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ROJECT GST\RULE ENGINE\LATE FEES GSTR-1\"/>
    </mc:Choice>
  </mc:AlternateContent>
  <xr:revisionPtr revIDLastSave="0" documentId="13_ncr:1_{65803154-6BD1-48FE-898A-1E2EB3B9225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CBIC_Late_Fee_Relief_Windows_1" sheetId="1" r:id="rId1"/>
    <sheet name="CALCULATOR" sheetId="2" r:id="rId2"/>
    <sheet name="TEST_DATA" sheetId="3" r:id="rId3"/>
    <sheet name="ASSER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001" i="2" l="1"/>
  <c r="D15001" i="2"/>
  <c r="C15001" i="2"/>
  <c r="B15001" i="2"/>
  <c r="A15001" i="2"/>
  <c r="E15000" i="2"/>
  <c r="D15000" i="2"/>
  <c r="C15000" i="2"/>
  <c r="B15000" i="2"/>
  <c r="A15000" i="2"/>
  <c r="E14999" i="2"/>
  <c r="D14999" i="2"/>
  <c r="C14999" i="2"/>
  <c r="B14999" i="2"/>
  <c r="A14999" i="2"/>
  <c r="E14998" i="2"/>
  <c r="D14998" i="2"/>
  <c r="C14998" i="2"/>
  <c r="B14998" i="2"/>
  <c r="A14998" i="2"/>
  <c r="E14997" i="2"/>
  <c r="D14997" i="2"/>
  <c r="C14997" i="2"/>
  <c r="B14997" i="2"/>
  <c r="A14997" i="2"/>
  <c r="E14996" i="2"/>
  <c r="D14996" i="2"/>
  <c r="C14996" i="2"/>
  <c r="B14996" i="2"/>
  <c r="A14996" i="2"/>
  <c r="E14995" i="2"/>
  <c r="D14995" i="2"/>
  <c r="C14995" i="2"/>
  <c r="B14995" i="2"/>
  <c r="A14995" i="2"/>
  <c r="E14994" i="2"/>
  <c r="D14994" i="2"/>
  <c r="C14994" i="2"/>
  <c r="B14994" i="2"/>
  <c r="A14994" i="2"/>
  <c r="E14993" i="2"/>
  <c r="D14993" i="2"/>
  <c r="C14993" i="2"/>
  <c r="B14993" i="2"/>
  <c r="A14993" i="2"/>
  <c r="E14992" i="2"/>
  <c r="D14992" i="2"/>
  <c r="C14992" i="2"/>
  <c r="B14992" i="2"/>
  <c r="A14992" i="2"/>
  <c r="E14991" i="2"/>
  <c r="D14991" i="2"/>
  <c r="C14991" i="2"/>
  <c r="B14991" i="2"/>
  <c r="A14991" i="2"/>
  <c r="E14990" i="2"/>
  <c r="D14990" i="2"/>
  <c r="C14990" i="2"/>
  <c r="B14990" i="2"/>
  <c r="A14990" i="2"/>
  <c r="E14989" i="2"/>
  <c r="D14989" i="2"/>
  <c r="C14989" i="2"/>
  <c r="B14989" i="2"/>
  <c r="A14989" i="2"/>
  <c r="E14988" i="2"/>
  <c r="D14988" i="2"/>
  <c r="C14988" i="2"/>
  <c r="B14988" i="2"/>
  <c r="A14988" i="2"/>
  <c r="E14987" i="2"/>
  <c r="D14987" i="2"/>
  <c r="C14987" i="2"/>
  <c r="B14987" i="2"/>
  <c r="A14987" i="2"/>
  <c r="E14986" i="2"/>
  <c r="D14986" i="2"/>
  <c r="C14986" i="2"/>
  <c r="B14986" i="2"/>
  <c r="A14986" i="2"/>
  <c r="E14985" i="2"/>
  <c r="D14985" i="2"/>
  <c r="C14985" i="2"/>
  <c r="B14985" i="2"/>
  <c r="A14985" i="2"/>
  <c r="E14984" i="2"/>
  <c r="D14984" i="2"/>
  <c r="C14984" i="2"/>
  <c r="B14984" i="2"/>
  <c r="A14984" i="2"/>
  <c r="E14983" i="2"/>
  <c r="D14983" i="2"/>
  <c r="C14983" i="2"/>
  <c r="B14983" i="2"/>
  <c r="A14983" i="2"/>
  <c r="E14982" i="2"/>
  <c r="D14982" i="2"/>
  <c r="C14982" i="2"/>
  <c r="B14982" i="2"/>
  <c r="A14982" i="2"/>
  <c r="E14981" i="2"/>
  <c r="D14981" i="2"/>
  <c r="C14981" i="2"/>
  <c r="B14981" i="2"/>
  <c r="A14981" i="2"/>
  <c r="E14980" i="2"/>
  <c r="D14980" i="2"/>
  <c r="C14980" i="2"/>
  <c r="B14980" i="2"/>
  <c r="A14980" i="2"/>
  <c r="E14979" i="2"/>
  <c r="D14979" i="2"/>
  <c r="C14979" i="2"/>
  <c r="B14979" i="2"/>
  <c r="A14979" i="2"/>
  <c r="E14978" i="2"/>
  <c r="D14978" i="2"/>
  <c r="C14978" i="2"/>
  <c r="B14978" i="2"/>
  <c r="A14978" i="2"/>
  <c r="E14977" i="2"/>
  <c r="D14977" i="2"/>
  <c r="C14977" i="2"/>
  <c r="B14977" i="2"/>
  <c r="A14977" i="2"/>
  <c r="E14976" i="2"/>
  <c r="D14976" i="2"/>
  <c r="C14976" i="2"/>
  <c r="B14976" i="2"/>
  <c r="A14976" i="2"/>
  <c r="E14975" i="2"/>
  <c r="D14975" i="2"/>
  <c r="C14975" i="2"/>
  <c r="B14975" i="2"/>
  <c r="A14975" i="2"/>
  <c r="E14974" i="2"/>
  <c r="D14974" i="2"/>
  <c r="C14974" i="2"/>
  <c r="B14974" i="2"/>
  <c r="A14974" i="2"/>
  <c r="E14973" i="2"/>
  <c r="D14973" i="2"/>
  <c r="C14973" i="2"/>
  <c r="B14973" i="2"/>
  <c r="A14973" i="2"/>
  <c r="E14972" i="2"/>
  <c r="D14972" i="2"/>
  <c r="C14972" i="2"/>
  <c r="B14972" i="2"/>
  <c r="A14972" i="2"/>
  <c r="E14971" i="2"/>
  <c r="D14971" i="2"/>
  <c r="C14971" i="2"/>
  <c r="B14971" i="2"/>
  <c r="A14971" i="2"/>
  <c r="E14970" i="2"/>
  <c r="D14970" i="2"/>
  <c r="C14970" i="2"/>
  <c r="B14970" i="2"/>
  <c r="A14970" i="2"/>
  <c r="E14969" i="2"/>
  <c r="D14969" i="2"/>
  <c r="C14969" i="2"/>
  <c r="B14969" i="2"/>
  <c r="A14969" i="2"/>
  <c r="E14968" i="2"/>
  <c r="D14968" i="2"/>
  <c r="C14968" i="2"/>
  <c r="B14968" i="2"/>
  <c r="A14968" i="2"/>
  <c r="E14967" i="2"/>
  <c r="D14967" i="2"/>
  <c r="C14967" i="2"/>
  <c r="B14967" i="2"/>
  <c r="A14967" i="2"/>
  <c r="E14966" i="2"/>
  <c r="D14966" i="2"/>
  <c r="C14966" i="2"/>
  <c r="B14966" i="2"/>
  <c r="A14966" i="2"/>
  <c r="E14965" i="2"/>
  <c r="D14965" i="2"/>
  <c r="C14965" i="2"/>
  <c r="B14965" i="2"/>
  <c r="A14965" i="2"/>
  <c r="E14964" i="2"/>
  <c r="D14964" i="2"/>
  <c r="C14964" i="2"/>
  <c r="B14964" i="2"/>
  <c r="A14964" i="2"/>
  <c r="E14963" i="2"/>
  <c r="D14963" i="2"/>
  <c r="C14963" i="2"/>
  <c r="B14963" i="2"/>
  <c r="A14963" i="2"/>
  <c r="E14962" i="2"/>
  <c r="D14962" i="2"/>
  <c r="C14962" i="2"/>
  <c r="B14962" i="2"/>
  <c r="A14962" i="2"/>
  <c r="E14961" i="2"/>
  <c r="D14961" i="2"/>
  <c r="C14961" i="2"/>
  <c r="B14961" i="2"/>
  <c r="A14961" i="2"/>
  <c r="E14960" i="2"/>
  <c r="D14960" i="2"/>
  <c r="C14960" i="2"/>
  <c r="B14960" i="2"/>
  <c r="A14960" i="2"/>
  <c r="E14959" i="2"/>
  <c r="D14959" i="2"/>
  <c r="C14959" i="2"/>
  <c r="B14959" i="2"/>
  <c r="A14959" i="2"/>
  <c r="E14958" i="2"/>
  <c r="D14958" i="2"/>
  <c r="C14958" i="2"/>
  <c r="B14958" i="2"/>
  <c r="A14958" i="2"/>
  <c r="E14957" i="2"/>
  <c r="D14957" i="2"/>
  <c r="C14957" i="2"/>
  <c r="B14957" i="2"/>
  <c r="A14957" i="2"/>
  <c r="E14956" i="2"/>
  <c r="D14956" i="2"/>
  <c r="C14956" i="2"/>
  <c r="B14956" i="2"/>
  <c r="A14956" i="2"/>
  <c r="E14955" i="2"/>
  <c r="D14955" i="2"/>
  <c r="C14955" i="2"/>
  <c r="B14955" i="2"/>
  <c r="A14955" i="2"/>
  <c r="E14954" i="2"/>
  <c r="D14954" i="2"/>
  <c r="C14954" i="2"/>
  <c r="B14954" i="2"/>
  <c r="A14954" i="2"/>
  <c r="E14953" i="2"/>
  <c r="D14953" i="2"/>
  <c r="C14953" i="2"/>
  <c r="B14953" i="2"/>
  <c r="A14953" i="2"/>
  <c r="E14952" i="2"/>
  <c r="D14952" i="2"/>
  <c r="C14952" i="2"/>
  <c r="B14952" i="2"/>
  <c r="A14952" i="2"/>
  <c r="E14951" i="2"/>
  <c r="D14951" i="2"/>
  <c r="C14951" i="2"/>
  <c r="B14951" i="2"/>
  <c r="A14951" i="2"/>
  <c r="E14950" i="2"/>
  <c r="D14950" i="2"/>
  <c r="C14950" i="2"/>
  <c r="B14950" i="2"/>
  <c r="A14950" i="2"/>
  <c r="E14949" i="2"/>
  <c r="D14949" i="2"/>
  <c r="C14949" i="2"/>
  <c r="B14949" i="2"/>
  <c r="A14949" i="2"/>
  <c r="E14948" i="2"/>
  <c r="D14948" i="2"/>
  <c r="C14948" i="2"/>
  <c r="B14948" i="2"/>
  <c r="A14948" i="2"/>
  <c r="E14947" i="2"/>
  <c r="D14947" i="2"/>
  <c r="C14947" i="2"/>
  <c r="B14947" i="2"/>
  <c r="A14947" i="2"/>
  <c r="E14946" i="2"/>
  <c r="D14946" i="2"/>
  <c r="C14946" i="2"/>
  <c r="B14946" i="2"/>
  <c r="A14946" i="2"/>
  <c r="E14945" i="2"/>
  <c r="D14945" i="2"/>
  <c r="C14945" i="2"/>
  <c r="B14945" i="2"/>
  <c r="A14945" i="2"/>
  <c r="E14944" i="2"/>
  <c r="D14944" i="2"/>
  <c r="C14944" i="2"/>
  <c r="B14944" i="2"/>
  <c r="A14944" i="2"/>
  <c r="E14943" i="2"/>
  <c r="D14943" i="2"/>
  <c r="C14943" i="2"/>
  <c r="B14943" i="2"/>
  <c r="A14943" i="2"/>
  <c r="E14942" i="2"/>
  <c r="D14942" i="2"/>
  <c r="C14942" i="2"/>
  <c r="B14942" i="2"/>
  <c r="A14942" i="2"/>
  <c r="E14941" i="2"/>
  <c r="D14941" i="2"/>
  <c r="C14941" i="2"/>
  <c r="B14941" i="2"/>
  <c r="A14941" i="2"/>
  <c r="E14940" i="2"/>
  <c r="D14940" i="2"/>
  <c r="C14940" i="2"/>
  <c r="B14940" i="2"/>
  <c r="A14940" i="2"/>
  <c r="E14939" i="2"/>
  <c r="D14939" i="2"/>
  <c r="C14939" i="2"/>
  <c r="B14939" i="2"/>
  <c r="A14939" i="2"/>
  <c r="E14938" i="2"/>
  <c r="D14938" i="2"/>
  <c r="C14938" i="2"/>
  <c r="B14938" i="2"/>
  <c r="A14938" i="2"/>
  <c r="E14937" i="2"/>
  <c r="D14937" i="2"/>
  <c r="C14937" i="2"/>
  <c r="B14937" i="2"/>
  <c r="A14937" i="2"/>
  <c r="E14936" i="2"/>
  <c r="D14936" i="2"/>
  <c r="C14936" i="2"/>
  <c r="B14936" i="2"/>
  <c r="A14936" i="2"/>
  <c r="E14935" i="2"/>
  <c r="D14935" i="2"/>
  <c r="C14935" i="2"/>
  <c r="B14935" i="2"/>
  <c r="A14935" i="2"/>
  <c r="E14934" i="2"/>
  <c r="D14934" i="2"/>
  <c r="C14934" i="2"/>
  <c r="B14934" i="2"/>
  <c r="A14934" i="2"/>
  <c r="E14933" i="2"/>
  <c r="D14933" i="2"/>
  <c r="C14933" i="2"/>
  <c r="B14933" i="2"/>
  <c r="A14933" i="2"/>
  <c r="E14932" i="2"/>
  <c r="D14932" i="2"/>
  <c r="C14932" i="2"/>
  <c r="B14932" i="2"/>
  <c r="A14932" i="2"/>
  <c r="E14931" i="2"/>
  <c r="D14931" i="2"/>
  <c r="C14931" i="2"/>
  <c r="B14931" i="2"/>
  <c r="A14931" i="2"/>
  <c r="E14930" i="2"/>
  <c r="D14930" i="2"/>
  <c r="C14930" i="2"/>
  <c r="B14930" i="2"/>
  <c r="A14930" i="2"/>
  <c r="E14929" i="2"/>
  <c r="D14929" i="2"/>
  <c r="C14929" i="2"/>
  <c r="B14929" i="2"/>
  <c r="A14929" i="2"/>
  <c r="E14928" i="2"/>
  <c r="D14928" i="2"/>
  <c r="C14928" i="2"/>
  <c r="B14928" i="2"/>
  <c r="A14928" i="2"/>
  <c r="E14927" i="2"/>
  <c r="D14927" i="2"/>
  <c r="C14927" i="2"/>
  <c r="B14927" i="2"/>
  <c r="A14927" i="2"/>
  <c r="E14926" i="2"/>
  <c r="D14926" i="2"/>
  <c r="C14926" i="2"/>
  <c r="B14926" i="2"/>
  <c r="A14926" i="2"/>
  <c r="E14925" i="2"/>
  <c r="D14925" i="2"/>
  <c r="C14925" i="2"/>
  <c r="B14925" i="2"/>
  <c r="A14925" i="2"/>
  <c r="E14924" i="2"/>
  <c r="D14924" i="2"/>
  <c r="C14924" i="2"/>
  <c r="B14924" i="2"/>
  <c r="A14924" i="2"/>
  <c r="E14923" i="2"/>
  <c r="D14923" i="2"/>
  <c r="C14923" i="2"/>
  <c r="B14923" i="2"/>
  <c r="A14923" i="2"/>
  <c r="E14922" i="2"/>
  <c r="D14922" i="2"/>
  <c r="C14922" i="2"/>
  <c r="B14922" i="2"/>
  <c r="A14922" i="2"/>
  <c r="E14921" i="2"/>
  <c r="D14921" i="2"/>
  <c r="C14921" i="2"/>
  <c r="B14921" i="2"/>
  <c r="A14921" i="2"/>
  <c r="E14920" i="2"/>
  <c r="D14920" i="2"/>
  <c r="C14920" i="2"/>
  <c r="B14920" i="2"/>
  <c r="A14920" i="2"/>
  <c r="E14919" i="2"/>
  <c r="D14919" i="2"/>
  <c r="C14919" i="2"/>
  <c r="B14919" i="2"/>
  <c r="A14919" i="2"/>
  <c r="E14918" i="2"/>
  <c r="D14918" i="2"/>
  <c r="C14918" i="2"/>
  <c r="B14918" i="2"/>
  <c r="A14918" i="2"/>
  <c r="E14917" i="2"/>
  <c r="D14917" i="2"/>
  <c r="C14917" i="2"/>
  <c r="B14917" i="2"/>
  <c r="A14917" i="2"/>
  <c r="E14916" i="2"/>
  <c r="D14916" i="2"/>
  <c r="C14916" i="2"/>
  <c r="B14916" i="2"/>
  <c r="A14916" i="2"/>
  <c r="E14915" i="2"/>
  <c r="D14915" i="2"/>
  <c r="C14915" i="2"/>
  <c r="B14915" i="2"/>
  <c r="A14915" i="2"/>
  <c r="E14914" i="2"/>
  <c r="D14914" i="2"/>
  <c r="C14914" i="2"/>
  <c r="B14914" i="2"/>
  <c r="A14914" i="2"/>
  <c r="E14913" i="2"/>
  <c r="D14913" i="2"/>
  <c r="C14913" i="2"/>
  <c r="B14913" i="2"/>
  <c r="A14913" i="2"/>
  <c r="E14912" i="2"/>
  <c r="D14912" i="2"/>
  <c r="C14912" i="2"/>
  <c r="B14912" i="2"/>
  <c r="A14912" i="2"/>
  <c r="E14911" i="2"/>
  <c r="D14911" i="2"/>
  <c r="C14911" i="2"/>
  <c r="B14911" i="2"/>
  <c r="A14911" i="2"/>
  <c r="E14910" i="2"/>
  <c r="D14910" i="2"/>
  <c r="C14910" i="2"/>
  <c r="B14910" i="2"/>
  <c r="A14910" i="2"/>
  <c r="E14909" i="2"/>
  <c r="D14909" i="2"/>
  <c r="C14909" i="2"/>
  <c r="B14909" i="2"/>
  <c r="A14909" i="2"/>
  <c r="E14908" i="2"/>
  <c r="D14908" i="2"/>
  <c r="C14908" i="2"/>
  <c r="B14908" i="2"/>
  <c r="A14908" i="2"/>
  <c r="E14907" i="2"/>
  <c r="D14907" i="2"/>
  <c r="C14907" i="2"/>
  <c r="B14907" i="2"/>
  <c r="A14907" i="2"/>
  <c r="E14906" i="2"/>
  <c r="D14906" i="2"/>
  <c r="C14906" i="2"/>
  <c r="B14906" i="2"/>
  <c r="A14906" i="2"/>
  <c r="E14905" i="2"/>
  <c r="D14905" i="2"/>
  <c r="C14905" i="2"/>
  <c r="B14905" i="2"/>
  <c r="A14905" i="2"/>
  <c r="E14904" i="2"/>
  <c r="D14904" i="2"/>
  <c r="C14904" i="2"/>
  <c r="B14904" i="2"/>
  <c r="A14904" i="2"/>
  <c r="E14903" i="2"/>
  <c r="D14903" i="2"/>
  <c r="C14903" i="2"/>
  <c r="B14903" i="2"/>
  <c r="A14903" i="2"/>
  <c r="E14902" i="2"/>
  <c r="D14902" i="2"/>
  <c r="C14902" i="2"/>
  <c r="B14902" i="2"/>
  <c r="A14902" i="2"/>
  <c r="E14901" i="2"/>
  <c r="D14901" i="2"/>
  <c r="C14901" i="2"/>
  <c r="B14901" i="2"/>
  <c r="A14901" i="2"/>
  <c r="E14900" i="2"/>
  <c r="D14900" i="2"/>
  <c r="C14900" i="2"/>
  <c r="B14900" i="2"/>
  <c r="A14900" i="2"/>
  <c r="E14899" i="2"/>
  <c r="D14899" i="2"/>
  <c r="C14899" i="2"/>
  <c r="B14899" i="2"/>
  <c r="A14899" i="2"/>
  <c r="E14898" i="2"/>
  <c r="D14898" i="2"/>
  <c r="C14898" i="2"/>
  <c r="B14898" i="2"/>
  <c r="A14898" i="2"/>
  <c r="E14897" i="2"/>
  <c r="D14897" i="2"/>
  <c r="C14897" i="2"/>
  <c r="B14897" i="2"/>
  <c r="A14897" i="2"/>
  <c r="E14896" i="2"/>
  <c r="D14896" i="2"/>
  <c r="C14896" i="2"/>
  <c r="B14896" i="2"/>
  <c r="A14896" i="2"/>
  <c r="E14895" i="2"/>
  <c r="D14895" i="2"/>
  <c r="C14895" i="2"/>
  <c r="B14895" i="2"/>
  <c r="A14895" i="2"/>
  <c r="E14894" i="2"/>
  <c r="D14894" i="2"/>
  <c r="C14894" i="2"/>
  <c r="B14894" i="2"/>
  <c r="A14894" i="2"/>
  <c r="E14893" i="2"/>
  <c r="D14893" i="2"/>
  <c r="C14893" i="2"/>
  <c r="B14893" i="2"/>
  <c r="A14893" i="2"/>
  <c r="E14892" i="2"/>
  <c r="D14892" i="2"/>
  <c r="C14892" i="2"/>
  <c r="B14892" i="2"/>
  <c r="A14892" i="2"/>
  <c r="E14891" i="2"/>
  <c r="D14891" i="2"/>
  <c r="C14891" i="2"/>
  <c r="B14891" i="2"/>
  <c r="A14891" i="2"/>
  <c r="E14890" i="2"/>
  <c r="D14890" i="2"/>
  <c r="C14890" i="2"/>
  <c r="B14890" i="2"/>
  <c r="A14890" i="2"/>
  <c r="E14889" i="2"/>
  <c r="D14889" i="2"/>
  <c r="C14889" i="2"/>
  <c r="B14889" i="2"/>
  <c r="A14889" i="2"/>
  <c r="E14888" i="2"/>
  <c r="D14888" i="2"/>
  <c r="C14888" i="2"/>
  <c r="B14888" i="2"/>
  <c r="A14888" i="2"/>
  <c r="E14887" i="2"/>
  <c r="D14887" i="2"/>
  <c r="C14887" i="2"/>
  <c r="B14887" i="2"/>
  <c r="A14887" i="2"/>
  <c r="E14886" i="2"/>
  <c r="D14886" i="2"/>
  <c r="C14886" i="2"/>
  <c r="B14886" i="2"/>
  <c r="A14886" i="2"/>
  <c r="E14885" i="2"/>
  <c r="D14885" i="2"/>
  <c r="C14885" i="2"/>
  <c r="B14885" i="2"/>
  <c r="A14885" i="2"/>
  <c r="E14884" i="2"/>
  <c r="D14884" i="2"/>
  <c r="C14884" i="2"/>
  <c r="B14884" i="2"/>
  <c r="A14884" i="2"/>
  <c r="E14883" i="2"/>
  <c r="D14883" i="2"/>
  <c r="C14883" i="2"/>
  <c r="B14883" i="2"/>
  <c r="A14883" i="2"/>
  <c r="E14882" i="2"/>
  <c r="D14882" i="2"/>
  <c r="C14882" i="2"/>
  <c r="B14882" i="2"/>
  <c r="A14882" i="2"/>
  <c r="E14881" i="2"/>
  <c r="D14881" i="2"/>
  <c r="C14881" i="2"/>
  <c r="B14881" i="2"/>
  <c r="A14881" i="2"/>
  <c r="E14880" i="2"/>
  <c r="D14880" i="2"/>
  <c r="C14880" i="2"/>
  <c r="B14880" i="2"/>
  <c r="A14880" i="2"/>
  <c r="E14879" i="2"/>
  <c r="D14879" i="2"/>
  <c r="C14879" i="2"/>
  <c r="B14879" i="2"/>
  <c r="A14879" i="2"/>
  <c r="E14878" i="2"/>
  <c r="D14878" i="2"/>
  <c r="C14878" i="2"/>
  <c r="B14878" i="2"/>
  <c r="A14878" i="2"/>
  <c r="E14877" i="2"/>
  <c r="D14877" i="2"/>
  <c r="C14877" i="2"/>
  <c r="B14877" i="2"/>
  <c r="A14877" i="2"/>
  <c r="E14876" i="2"/>
  <c r="D14876" i="2"/>
  <c r="C14876" i="2"/>
  <c r="B14876" i="2"/>
  <c r="A14876" i="2"/>
  <c r="E14875" i="2"/>
  <c r="D14875" i="2"/>
  <c r="C14875" i="2"/>
  <c r="B14875" i="2"/>
  <c r="A14875" i="2"/>
  <c r="E14874" i="2"/>
  <c r="D14874" i="2"/>
  <c r="C14874" i="2"/>
  <c r="B14874" i="2"/>
  <c r="A14874" i="2"/>
  <c r="E14873" i="2"/>
  <c r="D14873" i="2"/>
  <c r="C14873" i="2"/>
  <c r="B14873" i="2"/>
  <c r="A14873" i="2"/>
  <c r="E14872" i="2"/>
  <c r="D14872" i="2"/>
  <c r="C14872" i="2"/>
  <c r="B14872" i="2"/>
  <c r="A14872" i="2"/>
  <c r="E14871" i="2"/>
  <c r="D14871" i="2"/>
  <c r="C14871" i="2"/>
  <c r="B14871" i="2"/>
  <c r="A14871" i="2"/>
  <c r="E14870" i="2"/>
  <c r="D14870" i="2"/>
  <c r="C14870" i="2"/>
  <c r="B14870" i="2"/>
  <c r="A14870" i="2"/>
  <c r="E14869" i="2"/>
  <c r="D14869" i="2"/>
  <c r="C14869" i="2"/>
  <c r="B14869" i="2"/>
  <c r="A14869" i="2"/>
  <c r="E14868" i="2"/>
  <c r="D14868" i="2"/>
  <c r="C14868" i="2"/>
  <c r="B14868" i="2"/>
  <c r="A14868" i="2"/>
  <c r="E14867" i="2"/>
  <c r="D14867" i="2"/>
  <c r="C14867" i="2"/>
  <c r="B14867" i="2"/>
  <c r="A14867" i="2"/>
  <c r="E14866" i="2"/>
  <c r="D14866" i="2"/>
  <c r="C14866" i="2"/>
  <c r="B14866" i="2"/>
  <c r="A14866" i="2"/>
  <c r="E14865" i="2"/>
  <c r="D14865" i="2"/>
  <c r="C14865" i="2"/>
  <c r="B14865" i="2"/>
  <c r="A14865" i="2"/>
  <c r="E14864" i="2"/>
  <c r="D14864" i="2"/>
  <c r="C14864" i="2"/>
  <c r="B14864" i="2"/>
  <c r="A14864" i="2"/>
  <c r="E14863" i="2"/>
  <c r="D14863" i="2"/>
  <c r="C14863" i="2"/>
  <c r="B14863" i="2"/>
  <c r="A14863" i="2"/>
  <c r="E14862" i="2"/>
  <c r="D14862" i="2"/>
  <c r="C14862" i="2"/>
  <c r="B14862" i="2"/>
  <c r="A14862" i="2"/>
  <c r="E14861" i="2"/>
  <c r="D14861" i="2"/>
  <c r="C14861" i="2"/>
  <c r="B14861" i="2"/>
  <c r="A14861" i="2"/>
  <c r="E14860" i="2"/>
  <c r="D14860" i="2"/>
  <c r="C14860" i="2"/>
  <c r="B14860" i="2"/>
  <c r="A14860" i="2"/>
  <c r="E14859" i="2"/>
  <c r="D14859" i="2"/>
  <c r="C14859" i="2"/>
  <c r="B14859" i="2"/>
  <c r="A14859" i="2"/>
  <c r="E14858" i="2"/>
  <c r="D14858" i="2"/>
  <c r="C14858" i="2"/>
  <c r="B14858" i="2"/>
  <c r="A14858" i="2"/>
  <c r="E14857" i="2"/>
  <c r="D14857" i="2"/>
  <c r="C14857" i="2"/>
  <c r="B14857" i="2"/>
  <c r="A14857" i="2"/>
  <c r="E14856" i="2"/>
  <c r="D14856" i="2"/>
  <c r="C14856" i="2"/>
  <c r="B14856" i="2"/>
  <c r="A14856" i="2"/>
  <c r="E14855" i="2"/>
  <c r="D14855" i="2"/>
  <c r="C14855" i="2"/>
  <c r="B14855" i="2"/>
  <c r="A14855" i="2"/>
  <c r="E14854" i="2"/>
  <c r="D14854" i="2"/>
  <c r="C14854" i="2"/>
  <c r="B14854" i="2"/>
  <c r="A14854" i="2"/>
  <c r="E14853" i="2"/>
  <c r="D14853" i="2"/>
  <c r="C14853" i="2"/>
  <c r="B14853" i="2"/>
  <c r="A14853" i="2"/>
  <c r="E14852" i="2"/>
  <c r="D14852" i="2"/>
  <c r="C14852" i="2"/>
  <c r="B14852" i="2"/>
  <c r="A14852" i="2"/>
  <c r="E14851" i="2"/>
  <c r="D14851" i="2"/>
  <c r="C14851" i="2"/>
  <c r="B14851" i="2"/>
  <c r="A14851" i="2"/>
  <c r="E14850" i="2"/>
  <c r="D14850" i="2"/>
  <c r="C14850" i="2"/>
  <c r="B14850" i="2"/>
  <c r="A14850" i="2"/>
  <c r="E14849" i="2"/>
  <c r="D14849" i="2"/>
  <c r="C14849" i="2"/>
  <c r="B14849" i="2"/>
  <c r="A14849" i="2"/>
  <c r="E14848" i="2"/>
  <c r="D14848" i="2"/>
  <c r="C14848" i="2"/>
  <c r="B14848" i="2"/>
  <c r="A14848" i="2"/>
  <c r="E14847" i="2"/>
  <c r="D14847" i="2"/>
  <c r="C14847" i="2"/>
  <c r="B14847" i="2"/>
  <c r="A14847" i="2"/>
  <c r="E14846" i="2"/>
  <c r="D14846" i="2"/>
  <c r="C14846" i="2"/>
  <c r="B14846" i="2"/>
  <c r="A14846" i="2"/>
  <c r="E14845" i="2"/>
  <c r="D14845" i="2"/>
  <c r="C14845" i="2"/>
  <c r="B14845" i="2"/>
  <c r="A14845" i="2"/>
  <c r="E14844" i="2"/>
  <c r="D14844" i="2"/>
  <c r="C14844" i="2"/>
  <c r="B14844" i="2"/>
  <c r="A14844" i="2"/>
  <c r="E14843" i="2"/>
  <c r="D14843" i="2"/>
  <c r="C14843" i="2"/>
  <c r="B14843" i="2"/>
  <c r="A14843" i="2"/>
  <c r="E14842" i="2"/>
  <c r="D14842" i="2"/>
  <c r="C14842" i="2"/>
  <c r="B14842" i="2"/>
  <c r="A14842" i="2"/>
  <c r="E14841" i="2"/>
  <c r="D14841" i="2"/>
  <c r="C14841" i="2"/>
  <c r="B14841" i="2"/>
  <c r="A14841" i="2"/>
  <c r="E14840" i="2"/>
  <c r="D14840" i="2"/>
  <c r="C14840" i="2"/>
  <c r="B14840" i="2"/>
  <c r="A14840" i="2"/>
  <c r="E14839" i="2"/>
  <c r="D14839" i="2"/>
  <c r="C14839" i="2"/>
  <c r="B14839" i="2"/>
  <c r="A14839" i="2"/>
  <c r="E14838" i="2"/>
  <c r="D14838" i="2"/>
  <c r="C14838" i="2"/>
  <c r="B14838" i="2"/>
  <c r="A14838" i="2"/>
  <c r="E14837" i="2"/>
  <c r="D14837" i="2"/>
  <c r="C14837" i="2"/>
  <c r="B14837" i="2"/>
  <c r="A14837" i="2"/>
  <c r="E14836" i="2"/>
  <c r="D14836" i="2"/>
  <c r="C14836" i="2"/>
  <c r="B14836" i="2"/>
  <c r="A14836" i="2"/>
  <c r="E14835" i="2"/>
  <c r="D14835" i="2"/>
  <c r="C14835" i="2"/>
  <c r="B14835" i="2"/>
  <c r="A14835" i="2"/>
  <c r="E14834" i="2"/>
  <c r="D14834" i="2"/>
  <c r="C14834" i="2"/>
  <c r="B14834" i="2"/>
  <c r="A14834" i="2"/>
  <c r="E14833" i="2"/>
  <c r="D14833" i="2"/>
  <c r="C14833" i="2"/>
  <c r="B14833" i="2"/>
  <c r="A14833" i="2"/>
  <c r="E14832" i="2"/>
  <c r="D14832" i="2"/>
  <c r="C14832" i="2"/>
  <c r="B14832" i="2"/>
  <c r="A14832" i="2"/>
  <c r="E14831" i="2"/>
  <c r="D14831" i="2"/>
  <c r="C14831" i="2"/>
  <c r="B14831" i="2"/>
  <c r="A14831" i="2"/>
  <c r="E14830" i="2"/>
  <c r="D14830" i="2"/>
  <c r="C14830" i="2"/>
  <c r="B14830" i="2"/>
  <c r="A14830" i="2"/>
  <c r="E14829" i="2"/>
  <c r="D14829" i="2"/>
  <c r="C14829" i="2"/>
  <c r="B14829" i="2"/>
  <c r="A14829" i="2"/>
  <c r="E14828" i="2"/>
  <c r="D14828" i="2"/>
  <c r="C14828" i="2"/>
  <c r="B14828" i="2"/>
  <c r="A14828" i="2"/>
  <c r="E14827" i="2"/>
  <c r="D14827" i="2"/>
  <c r="C14827" i="2"/>
  <c r="B14827" i="2"/>
  <c r="A14827" i="2"/>
  <c r="E14826" i="2"/>
  <c r="D14826" i="2"/>
  <c r="C14826" i="2"/>
  <c r="B14826" i="2"/>
  <c r="A14826" i="2"/>
  <c r="E14825" i="2"/>
  <c r="D14825" i="2"/>
  <c r="C14825" i="2"/>
  <c r="B14825" i="2"/>
  <c r="A14825" i="2"/>
  <c r="E14824" i="2"/>
  <c r="D14824" i="2"/>
  <c r="C14824" i="2"/>
  <c r="B14824" i="2"/>
  <c r="A14824" i="2"/>
  <c r="E14823" i="2"/>
  <c r="D14823" i="2"/>
  <c r="C14823" i="2"/>
  <c r="B14823" i="2"/>
  <c r="A14823" i="2"/>
  <c r="E14822" i="2"/>
  <c r="D14822" i="2"/>
  <c r="C14822" i="2"/>
  <c r="B14822" i="2"/>
  <c r="A14822" i="2"/>
  <c r="E14821" i="2"/>
  <c r="D14821" i="2"/>
  <c r="C14821" i="2"/>
  <c r="B14821" i="2"/>
  <c r="A14821" i="2"/>
  <c r="E14820" i="2"/>
  <c r="D14820" i="2"/>
  <c r="C14820" i="2"/>
  <c r="B14820" i="2"/>
  <c r="A14820" i="2"/>
  <c r="E14819" i="2"/>
  <c r="D14819" i="2"/>
  <c r="C14819" i="2"/>
  <c r="B14819" i="2"/>
  <c r="A14819" i="2"/>
  <c r="E14818" i="2"/>
  <c r="D14818" i="2"/>
  <c r="C14818" i="2"/>
  <c r="B14818" i="2"/>
  <c r="A14818" i="2"/>
  <c r="E14817" i="2"/>
  <c r="D14817" i="2"/>
  <c r="C14817" i="2"/>
  <c r="B14817" i="2"/>
  <c r="A14817" i="2"/>
  <c r="E14816" i="2"/>
  <c r="D14816" i="2"/>
  <c r="C14816" i="2"/>
  <c r="B14816" i="2"/>
  <c r="A14816" i="2"/>
  <c r="E14815" i="2"/>
  <c r="D14815" i="2"/>
  <c r="C14815" i="2"/>
  <c r="B14815" i="2"/>
  <c r="A14815" i="2"/>
  <c r="E14814" i="2"/>
  <c r="D14814" i="2"/>
  <c r="C14814" i="2"/>
  <c r="B14814" i="2"/>
  <c r="A14814" i="2"/>
  <c r="E14813" i="2"/>
  <c r="D14813" i="2"/>
  <c r="C14813" i="2"/>
  <c r="B14813" i="2"/>
  <c r="A14813" i="2"/>
  <c r="E14812" i="2"/>
  <c r="D14812" i="2"/>
  <c r="C14812" i="2"/>
  <c r="B14812" i="2"/>
  <c r="A14812" i="2"/>
  <c r="E14811" i="2"/>
  <c r="D14811" i="2"/>
  <c r="C14811" i="2"/>
  <c r="B14811" i="2"/>
  <c r="A14811" i="2"/>
  <c r="E14810" i="2"/>
  <c r="D14810" i="2"/>
  <c r="C14810" i="2"/>
  <c r="B14810" i="2"/>
  <c r="A14810" i="2"/>
  <c r="E14809" i="2"/>
  <c r="D14809" i="2"/>
  <c r="C14809" i="2"/>
  <c r="B14809" i="2"/>
  <c r="A14809" i="2"/>
  <c r="E14808" i="2"/>
  <c r="D14808" i="2"/>
  <c r="C14808" i="2"/>
  <c r="B14808" i="2"/>
  <c r="A14808" i="2"/>
  <c r="E14807" i="2"/>
  <c r="D14807" i="2"/>
  <c r="C14807" i="2"/>
  <c r="B14807" i="2"/>
  <c r="A14807" i="2"/>
  <c r="E14806" i="2"/>
  <c r="D14806" i="2"/>
  <c r="C14806" i="2"/>
  <c r="B14806" i="2"/>
  <c r="A14806" i="2"/>
  <c r="E14805" i="2"/>
  <c r="D14805" i="2"/>
  <c r="C14805" i="2"/>
  <c r="B14805" i="2"/>
  <c r="A14805" i="2"/>
  <c r="E14804" i="2"/>
  <c r="D14804" i="2"/>
  <c r="C14804" i="2"/>
  <c r="B14804" i="2"/>
  <c r="A14804" i="2"/>
  <c r="E14803" i="2"/>
  <c r="D14803" i="2"/>
  <c r="C14803" i="2"/>
  <c r="B14803" i="2"/>
  <c r="A14803" i="2"/>
  <c r="E14802" i="2"/>
  <c r="D14802" i="2"/>
  <c r="C14802" i="2"/>
  <c r="B14802" i="2"/>
  <c r="A14802" i="2"/>
  <c r="E14801" i="2"/>
  <c r="D14801" i="2"/>
  <c r="C14801" i="2"/>
  <c r="B14801" i="2"/>
  <c r="A14801" i="2"/>
  <c r="E14800" i="2"/>
  <c r="D14800" i="2"/>
  <c r="C14800" i="2"/>
  <c r="B14800" i="2"/>
  <c r="A14800" i="2"/>
  <c r="E14799" i="2"/>
  <c r="D14799" i="2"/>
  <c r="C14799" i="2"/>
  <c r="B14799" i="2"/>
  <c r="A14799" i="2"/>
  <c r="E14798" i="2"/>
  <c r="D14798" i="2"/>
  <c r="C14798" i="2"/>
  <c r="B14798" i="2"/>
  <c r="A14798" i="2"/>
  <c r="E14797" i="2"/>
  <c r="D14797" i="2"/>
  <c r="C14797" i="2"/>
  <c r="B14797" i="2"/>
  <c r="A14797" i="2"/>
  <c r="E14796" i="2"/>
  <c r="D14796" i="2"/>
  <c r="C14796" i="2"/>
  <c r="B14796" i="2"/>
  <c r="A14796" i="2"/>
  <c r="E14795" i="2"/>
  <c r="D14795" i="2"/>
  <c r="C14795" i="2"/>
  <c r="B14795" i="2"/>
  <c r="A14795" i="2"/>
  <c r="E14794" i="2"/>
  <c r="D14794" i="2"/>
  <c r="C14794" i="2"/>
  <c r="B14794" i="2"/>
  <c r="A14794" i="2"/>
  <c r="E14793" i="2"/>
  <c r="D14793" i="2"/>
  <c r="C14793" i="2"/>
  <c r="B14793" i="2"/>
  <c r="A14793" i="2"/>
  <c r="E14792" i="2"/>
  <c r="D14792" i="2"/>
  <c r="C14792" i="2"/>
  <c r="B14792" i="2"/>
  <c r="A14792" i="2"/>
  <c r="E14791" i="2"/>
  <c r="D14791" i="2"/>
  <c r="C14791" i="2"/>
  <c r="B14791" i="2"/>
  <c r="A14791" i="2"/>
  <c r="E14790" i="2"/>
  <c r="D14790" i="2"/>
  <c r="C14790" i="2"/>
  <c r="B14790" i="2"/>
  <c r="A14790" i="2"/>
  <c r="E14789" i="2"/>
  <c r="D14789" i="2"/>
  <c r="C14789" i="2"/>
  <c r="B14789" i="2"/>
  <c r="A14789" i="2"/>
  <c r="E14788" i="2"/>
  <c r="D14788" i="2"/>
  <c r="C14788" i="2"/>
  <c r="B14788" i="2"/>
  <c r="A14788" i="2"/>
  <c r="E14787" i="2"/>
  <c r="D14787" i="2"/>
  <c r="C14787" i="2"/>
  <c r="B14787" i="2"/>
  <c r="A14787" i="2"/>
  <c r="E14786" i="2"/>
  <c r="D14786" i="2"/>
  <c r="C14786" i="2"/>
  <c r="B14786" i="2"/>
  <c r="A14786" i="2"/>
  <c r="E14785" i="2"/>
  <c r="D14785" i="2"/>
  <c r="C14785" i="2"/>
  <c r="B14785" i="2"/>
  <c r="A14785" i="2"/>
  <c r="E14784" i="2"/>
  <c r="D14784" i="2"/>
  <c r="C14784" i="2"/>
  <c r="B14784" i="2"/>
  <c r="A14784" i="2"/>
  <c r="E14783" i="2"/>
  <c r="D14783" i="2"/>
  <c r="C14783" i="2"/>
  <c r="B14783" i="2"/>
  <c r="A14783" i="2"/>
  <c r="E14782" i="2"/>
  <c r="D14782" i="2"/>
  <c r="C14782" i="2"/>
  <c r="B14782" i="2"/>
  <c r="A14782" i="2"/>
  <c r="E14781" i="2"/>
  <c r="D14781" i="2"/>
  <c r="C14781" i="2"/>
  <c r="B14781" i="2"/>
  <c r="A14781" i="2"/>
  <c r="E14780" i="2"/>
  <c r="D14780" i="2"/>
  <c r="C14780" i="2"/>
  <c r="B14780" i="2"/>
  <c r="A14780" i="2"/>
  <c r="E14779" i="2"/>
  <c r="D14779" i="2"/>
  <c r="C14779" i="2"/>
  <c r="B14779" i="2"/>
  <c r="A14779" i="2"/>
  <c r="E14778" i="2"/>
  <c r="D14778" i="2"/>
  <c r="C14778" i="2"/>
  <c r="B14778" i="2"/>
  <c r="A14778" i="2"/>
  <c r="E14777" i="2"/>
  <c r="D14777" i="2"/>
  <c r="C14777" i="2"/>
  <c r="B14777" i="2"/>
  <c r="A14777" i="2"/>
  <c r="E14776" i="2"/>
  <c r="D14776" i="2"/>
  <c r="C14776" i="2"/>
  <c r="B14776" i="2"/>
  <c r="A14776" i="2"/>
  <c r="E14775" i="2"/>
  <c r="D14775" i="2"/>
  <c r="C14775" i="2"/>
  <c r="B14775" i="2"/>
  <c r="A14775" i="2"/>
  <c r="E14774" i="2"/>
  <c r="D14774" i="2"/>
  <c r="C14774" i="2"/>
  <c r="B14774" i="2"/>
  <c r="A14774" i="2"/>
  <c r="E14773" i="2"/>
  <c r="D14773" i="2"/>
  <c r="C14773" i="2"/>
  <c r="B14773" i="2"/>
  <c r="A14773" i="2"/>
  <c r="E14772" i="2"/>
  <c r="D14772" i="2"/>
  <c r="C14772" i="2"/>
  <c r="B14772" i="2"/>
  <c r="A14772" i="2"/>
  <c r="E14771" i="2"/>
  <c r="D14771" i="2"/>
  <c r="C14771" i="2"/>
  <c r="B14771" i="2"/>
  <c r="A14771" i="2"/>
  <c r="E14770" i="2"/>
  <c r="D14770" i="2"/>
  <c r="C14770" i="2"/>
  <c r="B14770" i="2"/>
  <c r="A14770" i="2"/>
  <c r="E14769" i="2"/>
  <c r="D14769" i="2"/>
  <c r="C14769" i="2"/>
  <c r="B14769" i="2"/>
  <c r="A14769" i="2"/>
  <c r="E14768" i="2"/>
  <c r="D14768" i="2"/>
  <c r="C14768" i="2"/>
  <c r="B14768" i="2"/>
  <c r="A14768" i="2"/>
  <c r="E14767" i="2"/>
  <c r="D14767" i="2"/>
  <c r="C14767" i="2"/>
  <c r="B14767" i="2"/>
  <c r="A14767" i="2"/>
  <c r="E14766" i="2"/>
  <c r="D14766" i="2"/>
  <c r="C14766" i="2"/>
  <c r="B14766" i="2"/>
  <c r="A14766" i="2"/>
  <c r="E14765" i="2"/>
  <c r="D14765" i="2"/>
  <c r="C14765" i="2"/>
  <c r="B14765" i="2"/>
  <c r="A14765" i="2"/>
  <c r="E14764" i="2"/>
  <c r="D14764" i="2"/>
  <c r="C14764" i="2"/>
  <c r="B14764" i="2"/>
  <c r="A14764" i="2"/>
  <c r="E14763" i="2"/>
  <c r="D14763" i="2"/>
  <c r="C14763" i="2"/>
  <c r="B14763" i="2"/>
  <c r="A14763" i="2"/>
  <c r="E14762" i="2"/>
  <c r="D14762" i="2"/>
  <c r="C14762" i="2"/>
  <c r="B14762" i="2"/>
  <c r="A14762" i="2"/>
  <c r="E14761" i="2"/>
  <c r="D14761" i="2"/>
  <c r="C14761" i="2"/>
  <c r="B14761" i="2"/>
  <c r="A14761" i="2"/>
  <c r="E14760" i="2"/>
  <c r="D14760" i="2"/>
  <c r="C14760" i="2"/>
  <c r="B14760" i="2"/>
  <c r="A14760" i="2"/>
  <c r="E14759" i="2"/>
  <c r="D14759" i="2"/>
  <c r="C14759" i="2"/>
  <c r="B14759" i="2"/>
  <c r="A14759" i="2"/>
  <c r="E14758" i="2"/>
  <c r="D14758" i="2"/>
  <c r="C14758" i="2"/>
  <c r="B14758" i="2"/>
  <c r="A14758" i="2"/>
  <c r="E14757" i="2"/>
  <c r="D14757" i="2"/>
  <c r="C14757" i="2"/>
  <c r="B14757" i="2"/>
  <c r="A14757" i="2"/>
  <c r="E14756" i="2"/>
  <c r="D14756" i="2"/>
  <c r="C14756" i="2"/>
  <c r="B14756" i="2"/>
  <c r="A14756" i="2"/>
  <c r="E14755" i="2"/>
  <c r="D14755" i="2"/>
  <c r="C14755" i="2"/>
  <c r="B14755" i="2"/>
  <c r="A14755" i="2"/>
  <c r="E14754" i="2"/>
  <c r="D14754" i="2"/>
  <c r="C14754" i="2"/>
  <c r="B14754" i="2"/>
  <c r="A14754" i="2"/>
  <c r="E14753" i="2"/>
  <c r="D14753" i="2"/>
  <c r="C14753" i="2"/>
  <c r="B14753" i="2"/>
  <c r="A14753" i="2"/>
  <c r="E14752" i="2"/>
  <c r="D14752" i="2"/>
  <c r="C14752" i="2"/>
  <c r="B14752" i="2"/>
  <c r="A14752" i="2"/>
  <c r="E14751" i="2"/>
  <c r="D14751" i="2"/>
  <c r="C14751" i="2"/>
  <c r="B14751" i="2"/>
  <c r="A14751" i="2"/>
  <c r="E14750" i="2"/>
  <c r="D14750" i="2"/>
  <c r="C14750" i="2"/>
  <c r="B14750" i="2"/>
  <c r="A14750" i="2"/>
  <c r="E14749" i="2"/>
  <c r="D14749" i="2"/>
  <c r="C14749" i="2"/>
  <c r="B14749" i="2"/>
  <c r="A14749" i="2"/>
  <c r="E14748" i="2"/>
  <c r="D14748" i="2"/>
  <c r="C14748" i="2"/>
  <c r="B14748" i="2"/>
  <c r="A14748" i="2"/>
  <c r="E14747" i="2"/>
  <c r="D14747" i="2"/>
  <c r="C14747" i="2"/>
  <c r="B14747" i="2"/>
  <c r="A14747" i="2"/>
  <c r="E14746" i="2"/>
  <c r="D14746" i="2"/>
  <c r="C14746" i="2"/>
  <c r="B14746" i="2"/>
  <c r="A14746" i="2"/>
  <c r="E14745" i="2"/>
  <c r="D14745" i="2"/>
  <c r="C14745" i="2"/>
  <c r="B14745" i="2"/>
  <c r="A14745" i="2"/>
  <c r="E14744" i="2"/>
  <c r="D14744" i="2"/>
  <c r="C14744" i="2"/>
  <c r="B14744" i="2"/>
  <c r="A14744" i="2"/>
  <c r="E14743" i="2"/>
  <c r="D14743" i="2"/>
  <c r="C14743" i="2"/>
  <c r="B14743" i="2"/>
  <c r="A14743" i="2"/>
  <c r="E14742" i="2"/>
  <c r="D14742" i="2"/>
  <c r="C14742" i="2"/>
  <c r="B14742" i="2"/>
  <c r="A14742" i="2"/>
  <c r="E14741" i="2"/>
  <c r="D14741" i="2"/>
  <c r="C14741" i="2"/>
  <c r="B14741" i="2"/>
  <c r="A14741" i="2"/>
  <c r="E14740" i="2"/>
  <c r="D14740" i="2"/>
  <c r="C14740" i="2"/>
  <c r="B14740" i="2"/>
  <c r="A14740" i="2"/>
  <c r="E14739" i="2"/>
  <c r="D14739" i="2"/>
  <c r="C14739" i="2"/>
  <c r="B14739" i="2"/>
  <c r="A14739" i="2"/>
  <c r="E14738" i="2"/>
  <c r="D14738" i="2"/>
  <c r="C14738" i="2"/>
  <c r="B14738" i="2"/>
  <c r="A14738" i="2"/>
  <c r="E14737" i="2"/>
  <c r="D14737" i="2"/>
  <c r="C14737" i="2"/>
  <c r="B14737" i="2"/>
  <c r="A14737" i="2"/>
  <c r="E14736" i="2"/>
  <c r="D14736" i="2"/>
  <c r="C14736" i="2"/>
  <c r="B14736" i="2"/>
  <c r="A14736" i="2"/>
  <c r="E14735" i="2"/>
  <c r="D14735" i="2"/>
  <c r="C14735" i="2"/>
  <c r="B14735" i="2"/>
  <c r="A14735" i="2"/>
  <c r="E14734" i="2"/>
  <c r="D14734" i="2"/>
  <c r="C14734" i="2"/>
  <c r="B14734" i="2"/>
  <c r="A14734" i="2"/>
  <c r="E14733" i="2"/>
  <c r="D14733" i="2"/>
  <c r="C14733" i="2"/>
  <c r="B14733" i="2"/>
  <c r="A14733" i="2"/>
  <c r="E14732" i="2"/>
  <c r="D14732" i="2"/>
  <c r="C14732" i="2"/>
  <c r="B14732" i="2"/>
  <c r="A14732" i="2"/>
  <c r="E14731" i="2"/>
  <c r="D14731" i="2"/>
  <c r="C14731" i="2"/>
  <c r="B14731" i="2"/>
  <c r="A14731" i="2"/>
  <c r="E14730" i="2"/>
  <c r="D14730" i="2"/>
  <c r="C14730" i="2"/>
  <c r="B14730" i="2"/>
  <c r="A14730" i="2"/>
  <c r="E14729" i="2"/>
  <c r="D14729" i="2"/>
  <c r="C14729" i="2"/>
  <c r="B14729" i="2"/>
  <c r="A14729" i="2"/>
  <c r="E14728" i="2"/>
  <c r="D14728" i="2"/>
  <c r="C14728" i="2"/>
  <c r="B14728" i="2"/>
  <c r="A14728" i="2"/>
  <c r="E14727" i="2"/>
  <c r="D14727" i="2"/>
  <c r="C14727" i="2"/>
  <c r="B14727" i="2"/>
  <c r="A14727" i="2"/>
  <c r="E14726" i="2"/>
  <c r="D14726" i="2"/>
  <c r="C14726" i="2"/>
  <c r="B14726" i="2"/>
  <c r="A14726" i="2"/>
  <c r="E14725" i="2"/>
  <c r="D14725" i="2"/>
  <c r="C14725" i="2"/>
  <c r="B14725" i="2"/>
  <c r="A14725" i="2"/>
  <c r="E14724" i="2"/>
  <c r="D14724" i="2"/>
  <c r="C14724" i="2"/>
  <c r="B14724" i="2"/>
  <c r="A14724" i="2"/>
  <c r="E14723" i="2"/>
  <c r="D14723" i="2"/>
  <c r="C14723" i="2"/>
  <c r="B14723" i="2"/>
  <c r="A14723" i="2"/>
  <c r="E14722" i="2"/>
  <c r="D14722" i="2"/>
  <c r="C14722" i="2"/>
  <c r="B14722" i="2"/>
  <c r="A14722" i="2"/>
  <c r="E14721" i="2"/>
  <c r="D14721" i="2"/>
  <c r="C14721" i="2"/>
  <c r="B14721" i="2"/>
  <c r="A14721" i="2"/>
  <c r="E14720" i="2"/>
  <c r="D14720" i="2"/>
  <c r="C14720" i="2"/>
  <c r="B14720" i="2"/>
  <c r="A14720" i="2"/>
  <c r="E14719" i="2"/>
  <c r="D14719" i="2"/>
  <c r="C14719" i="2"/>
  <c r="B14719" i="2"/>
  <c r="A14719" i="2"/>
  <c r="E14718" i="2"/>
  <c r="D14718" i="2"/>
  <c r="C14718" i="2"/>
  <c r="B14718" i="2"/>
  <c r="A14718" i="2"/>
  <c r="E14717" i="2"/>
  <c r="D14717" i="2"/>
  <c r="C14717" i="2"/>
  <c r="B14717" i="2"/>
  <c r="A14717" i="2"/>
  <c r="E14716" i="2"/>
  <c r="D14716" i="2"/>
  <c r="C14716" i="2"/>
  <c r="B14716" i="2"/>
  <c r="A14716" i="2"/>
  <c r="E14715" i="2"/>
  <c r="D14715" i="2"/>
  <c r="C14715" i="2"/>
  <c r="B14715" i="2"/>
  <c r="A14715" i="2"/>
  <c r="E14714" i="2"/>
  <c r="D14714" i="2"/>
  <c r="C14714" i="2"/>
  <c r="B14714" i="2"/>
  <c r="A14714" i="2"/>
  <c r="E14713" i="2"/>
  <c r="D14713" i="2"/>
  <c r="C14713" i="2"/>
  <c r="B14713" i="2"/>
  <c r="A14713" i="2"/>
  <c r="E14712" i="2"/>
  <c r="D14712" i="2"/>
  <c r="C14712" i="2"/>
  <c r="B14712" i="2"/>
  <c r="A14712" i="2"/>
  <c r="E14711" i="2"/>
  <c r="D14711" i="2"/>
  <c r="C14711" i="2"/>
  <c r="B14711" i="2"/>
  <c r="A14711" i="2"/>
  <c r="E14710" i="2"/>
  <c r="D14710" i="2"/>
  <c r="C14710" i="2"/>
  <c r="B14710" i="2"/>
  <c r="A14710" i="2"/>
  <c r="E14709" i="2"/>
  <c r="D14709" i="2"/>
  <c r="C14709" i="2"/>
  <c r="B14709" i="2"/>
  <c r="A14709" i="2"/>
  <c r="E14708" i="2"/>
  <c r="D14708" i="2"/>
  <c r="C14708" i="2"/>
  <c r="B14708" i="2"/>
  <c r="A14708" i="2"/>
  <c r="E14707" i="2"/>
  <c r="D14707" i="2"/>
  <c r="C14707" i="2"/>
  <c r="B14707" i="2"/>
  <c r="A14707" i="2"/>
  <c r="E14706" i="2"/>
  <c r="D14706" i="2"/>
  <c r="C14706" i="2"/>
  <c r="B14706" i="2"/>
  <c r="A14706" i="2"/>
  <c r="E14705" i="2"/>
  <c r="D14705" i="2"/>
  <c r="C14705" i="2"/>
  <c r="B14705" i="2"/>
  <c r="A14705" i="2"/>
  <c r="E14704" i="2"/>
  <c r="D14704" i="2"/>
  <c r="C14704" i="2"/>
  <c r="B14704" i="2"/>
  <c r="A14704" i="2"/>
  <c r="E14703" i="2"/>
  <c r="D14703" i="2"/>
  <c r="C14703" i="2"/>
  <c r="B14703" i="2"/>
  <c r="A14703" i="2"/>
  <c r="E14702" i="2"/>
  <c r="D14702" i="2"/>
  <c r="C14702" i="2"/>
  <c r="B14702" i="2"/>
  <c r="A14702" i="2"/>
  <c r="E14701" i="2"/>
  <c r="D14701" i="2"/>
  <c r="C14701" i="2"/>
  <c r="B14701" i="2"/>
  <c r="A14701" i="2"/>
  <c r="E14700" i="2"/>
  <c r="D14700" i="2"/>
  <c r="C14700" i="2"/>
  <c r="B14700" i="2"/>
  <c r="A14700" i="2"/>
  <c r="E14699" i="2"/>
  <c r="D14699" i="2"/>
  <c r="C14699" i="2"/>
  <c r="B14699" i="2"/>
  <c r="A14699" i="2"/>
  <c r="E14698" i="2"/>
  <c r="D14698" i="2"/>
  <c r="C14698" i="2"/>
  <c r="B14698" i="2"/>
  <c r="A14698" i="2"/>
  <c r="E14697" i="2"/>
  <c r="D14697" i="2"/>
  <c r="C14697" i="2"/>
  <c r="B14697" i="2"/>
  <c r="A14697" i="2"/>
  <c r="E14696" i="2"/>
  <c r="D14696" i="2"/>
  <c r="C14696" i="2"/>
  <c r="B14696" i="2"/>
  <c r="A14696" i="2"/>
  <c r="E14695" i="2"/>
  <c r="D14695" i="2"/>
  <c r="C14695" i="2"/>
  <c r="B14695" i="2"/>
  <c r="A14695" i="2"/>
  <c r="E14694" i="2"/>
  <c r="D14694" i="2"/>
  <c r="C14694" i="2"/>
  <c r="B14694" i="2"/>
  <c r="A14694" i="2"/>
  <c r="E14693" i="2"/>
  <c r="D14693" i="2"/>
  <c r="C14693" i="2"/>
  <c r="B14693" i="2"/>
  <c r="A14693" i="2"/>
  <c r="E14692" i="2"/>
  <c r="D14692" i="2"/>
  <c r="C14692" i="2"/>
  <c r="B14692" i="2"/>
  <c r="A14692" i="2"/>
  <c r="E14691" i="2"/>
  <c r="D14691" i="2"/>
  <c r="C14691" i="2"/>
  <c r="B14691" i="2"/>
  <c r="A14691" i="2"/>
  <c r="E14690" i="2"/>
  <c r="D14690" i="2"/>
  <c r="C14690" i="2"/>
  <c r="B14690" i="2"/>
  <c r="A14690" i="2"/>
  <c r="E14689" i="2"/>
  <c r="D14689" i="2"/>
  <c r="C14689" i="2"/>
  <c r="B14689" i="2"/>
  <c r="A14689" i="2"/>
  <c r="E14688" i="2"/>
  <c r="D14688" i="2"/>
  <c r="C14688" i="2"/>
  <c r="B14688" i="2"/>
  <c r="A14688" i="2"/>
  <c r="E14687" i="2"/>
  <c r="D14687" i="2"/>
  <c r="C14687" i="2"/>
  <c r="B14687" i="2"/>
  <c r="A14687" i="2"/>
  <c r="E14686" i="2"/>
  <c r="D14686" i="2"/>
  <c r="C14686" i="2"/>
  <c r="B14686" i="2"/>
  <c r="A14686" i="2"/>
  <c r="E14685" i="2"/>
  <c r="D14685" i="2"/>
  <c r="C14685" i="2"/>
  <c r="B14685" i="2"/>
  <c r="A14685" i="2"/>
  <c r="E14684" i="2"/>
  <c r="D14684" i="2"/>
  <c r="C14684" i="2"/>
  <c r="B14684" i="2"/>
  <c r="A14684" i="2"/>
  <c r="E14683" i="2"/>
  <c r="D14683" i="2"/>
  <c r="C14683" i="2"/>
  <c r="B14683" i="2"/>
  <c r="A14683" i="2"/>
  <c r="E14682" i="2"/>
  <c r="D14682" i="2"/>
  <c r="C14682" i="2"/>
  <c r="B14682" i="2"/>
  <c r="A14682" i="2"/>
  <c r="E14681" i="2"/>
  <c r="D14681" i="2"/>
  <c r="C14681" i="2"/>
  <c r="B14681" i="2"/>
  <c r="A14681" i="2"/>
  <c r="E14680" i="2"/>
  <c r="D14680" i="2"/>
  <c r="C14680" i="2"/>
  <c r="B14680" i="2"/>
  <c r="A14680" i="2"/>
  <c r="E14679" i="2"/>
  <c r="D14679" i="2"/>
  <c r="C14679" i="2"/>
  <c r="B14679" i="2"/>
  <c r="A14679" i="2"/>
  <c r="E14678" i="2"/>
  <c r="D14678" i="2"/>
  <c r="C14678" i="2"/>
  <c r="B14678" i="2"/>
  <c r="A14678" i="2"/>
  <c r="E14677" i="2"/>
  <c r="D14677" i="2"/>
  <c r="C14677" i="2"/>
  <c r="B14677" i="2"/>
  <c r="A14677" i="2"/>
  <c r="E14676" i="2"/>
  <c r="D14676" i="2"/>
  <c r="C14676" i="2"/>
  <c r="B14676" i="2"/>
  <c r="A14676" i="2"/>
  <c r="E14675" i="2"/>
  <c r="D14675" i="2"/>
  <c r="C14675" i="2"/>
  <c r="B14675" i="2"/>
  <c r="A14675" i="2"/>
  <c r="E14674" i="2"/>
  <c r="D14674" i="2"/>
  <c r="C14674" i="2"/>
  <c r="B14674" i="2"/>
  <c r="A14674" i="2"/>
  <c r="E14673" i="2"/>
  <c r="D14673" i="2"/>
  <c r="C14673" i="2"/>
  <c r="B14673" i="2"/>
  <c r="A14673" i="2"/>
  <c r="E14672" i="2"/>
  <c r="D14672" i="2"/>
  <c r="C14672" i="2"/>
  <c r="B14672" i="2"/>
  <c r="A14672" i="2"/>
  <c r="E14671" i="2"/>
  <c r="D14671" i="2"/>
  <c r="C14671" i="2"/>
  <c r="B14671" i="2"/>
  <c r="A14671" i="2"/>
  <c r="E14670" i="2"/>
  <c r="D14670" i="2"/>
  <c r="C14670" i="2"/>
  <c r="B14670" i="2"/>
  <c r="A14670" i="2"/>
  <c r="E14669" i="2"/>
  <c r="D14669" i="2"/>
  <c r="C14669" i="2"/>
  <c r="B14669" i="2"/>
  <c r="A14669" i="2"/>
  <c r="E14668" i="2"/>
  <c r="D14668" i="2"/>
  <c r="C14668" i="2"/>
  <c r="B14668" i="2"/>
  <c r="A14668" i="2"/>
  <c r="E14667" i="2"/>
  <c r="D14667" i="2"/>
  <c r="C14667" i="2"/>
  <c r="B14667" i="2"/>
  <c r="A14667" i="2"/>
  <c r="E14666" i="2"/>
  <c r="D14666" i="2"/>
  <c r="C14666" i="2"/>
  <c r="B14666" i="2"/>
  <c r="A14666" i="2"/>
  <c r="E14665" i="2"/>
  <c r="D14665" i="2"/>
  <c r="C14665" i="2"/>
  <c r="B14665" i="2"/>
  <c r="A14665" i="2"/>
  <c r="E14664" i="2"/>
  <c r="D14664" i="2"/>
  <c r="C14664" i="2"/>
  <c r="B14664" i="2"/>
  <c r="A14664" i="2"/>
  <c r="E14663" i="2"/>
  <c r="D14663" i="2"/>
  <c r="C14663" i="2"/>
  <c r="B14663" i="2"/>
  <c r="A14663" i="2"/>
  <c r="E14662" i="2"/>
  <c r="D14662" i="2"/>
  <c r="C14662" i="2"/>
  <c r="B14662" i="2"/>
  <c r="A14662" i="2"/>
  <c r="E14661" i="2"/>
  <c r="D14661" i="2"/>
  <c r="C14661" i="2"/>
  <c r="B14661" i="2"/>
  <c r="A14661" i="2"/>
  <c r="E14660" i="2"/>
  <c r="D14660" i="2"/>
  <c r="C14660" i="2"/>
  <c r="B14660" i="2"/>
  <c r="A14660" i="2"/>
  <c r="E14659" i="2"/>
  <c r="D14659" i="2"/>
  <c r="C14659" i="2"/>
  <c r="B14659" i="2"/>
  <c r="A14659" i="2"/>
  <c r="E14658" i="2"/>
  <c r="D14658" i="2"/>
  <c r="C14658" i="2"/>
  <c r="B14658" i="2"/>
  <c r="A14658" i="2"/>
  <c r="E14657" i="2"/>
  <c r="D14657" i="2"/>
  <c r="C14657" i="2"/>
  <c r="B14657" i="2"/>
  <c r="A14657" i="2"/>
  <c r="E14656" i="2"/>
  <c r="D14656" i="2"/>
  <c r="C14656" i="2"/>
  <c r="B14656" i="2"/>
  <c r="A14656" i="2"/>
  <c r="E14655" i="2"/>
  <c r="D14655" i="2"/>
  <c r="C14655" i="2"/>
  <c r="B14655" i="2"/>
  <c r="A14655" i="2"/>
  <c r="E14654" i="2"/>
  <c r="D14654" i="2"/>
  <c r="C14654" i="2"/>
  <c r="B14654" i="2"/>
  <c r="A14654" i="2"/>
  <c r="E14653" i="2"/>
  <c r="D14653" i="2"/>
  <c r="C14653" i="2"/>
  <c r="B14653" i="2"/>
  <c r="A14653" i="2"/>
  <c r="E14652" i="2"/>
  <c r="D14652" i="2"/>
  <c r="C14652" i="2"/>
  <c r="B14652" i="2"/>
  <c r="A14652" i="2"/>
  <c r="E14651" i="2"/>
  <c r="D14651" i="2"/>
  <c r="C14651" i="2"/>
  <c r="B14651" i="2"/>
  <c r="A14651" i="2"/>
  <c r="E14650" i="2"/>
  <c r="D14650" i="2"/>
  <c r="C14650" i="2"/>
  <c r="B14650" i="2"/>
  <c r="A14650" i="2"/>
  <c r="E14649" i="2"/>
  <c r="D14649" i="2"/>
  <c r="C14649" i="2"/>
  <c r="B14649" i="2"/>
  <c r="A14649" i="2"/>
  <c r="E14648" i="2"/>
  <c r="D14648" i="2"/>
  <c r="C14648" i="2"/>
  <c r="B14648" i="2"/>
  <c r="A14648" i="2"/>
  <c r="E14647" i="2"/>
  <c r="D14647" i="2"/>
  <c r="C14647" i="2"/>
  <c r="B14647" i="2"/>
  <c r="A14647" i="2"/>
  <c r="E14646" i="2"/>
  <c r="D14646" i="2"/>
  <c r="C14646" i="2"/>
  <c r="B14646" i="2"/>
  <c r="A14646" i="2"/>
  <c r="E14645" i="2"/>
  <c r="D14645" i="2"/>
  <c r="C14645" i="2"/>
  <c r="B14645" i="2"/>
  <c r="A14645" i="2"/>
  <c r="E14644" i="2"/>
  <c r="D14644" i="2"/>
  <c r="C14644" i="2"/>
  <c r="B14644" i="2"/>
  <c r="A14644" i="2"/>
  <c r="E14643" i="2"/>
  <c r="D14643" i="2"/>
  <c r="C14643" i="2"/>
  <c r="B14643" i="2"/>
  <c r="A14643" i="2"/>
  <c r="E14642" i="2"/>
  <c r="D14642" i="2"/>
  <c r="C14642" i="2"/>
  <c r="B14642" i="2"/>
  <c r="A14642" i="2"/>
  <c r="E14641" i="2"/>
  <c r="D14641" i="2"/>
  <c r="C14641" i="2"/>
  <c r="B14641" i="2"/>
  <c r="A14641" i="2"/>
  <c r="E14640" i="2"/>
  <c r="D14640" i="2"/>
  <c r="C14640" i="2"/>
  <c r="B14640" i="2"/>
  <c r="A14640" i="2"/>
  <c r="E14639" i="2"/>
  <c r="D14639" i="2"/>
  <c r="C14639" i="2"/>
  <c r="B14639" i="2"/>
  <c r="A14639" i="2"/>
  <c r="E14638" i="2"/>
  <c r="D14638" i="2"/>
  <c r="C14638" i="2"/>
  <c r="B14638" i="2"/>
  <c r="A14638" i="2"/>
  <c r="E14637" i="2"/>
  <c r="D14637" i="2"/>
  <c r="C14637" i="2"/>
  <c r="B14637" i="2"/>
  <c r="A14637" i="2"/>
  <c r="E14636" i="2"/>
  <c r="D14636" i="2"/>
  <c r="C14636" i="2"/>
  <c r="B14636" i="2"/>
  <c r="A14636" i="2"/>
  <c r="E14635" i="2"/>
  <c r="D14635" i="2"/>
  <c r="C14635" i="2"/>
  <c r="B14635" i="2"/>
  <c r="A14635" i="2"/>
  <c r="E14634" i="2"/>
  <c r="D14634" i="2"/>
  <c r="C14634" i="2"/>
  <c r="B14634" i="2"/>
  <c r="A14634" i="2"/>
  <c r="E14633" i="2"/>
  <c r="D14633" i="2"/>
  <c r="C14633" i="2"/>
  <c r="B14633" i="2"/>
  <c r="A14633" i="2"/>
  <c r="E14632" i="2"/>
  <c r="D14632" i="2"/>
  <c r="C14632" i="2"/>
  <c r="B14632" i="2"/>
  <c r="A14632" i="2"/>
  <c r="E14631" i="2"/>
  <c r="D14631" i="2"/>
  <c r="C14631" i="2"/>
  <c r="B14631" i="2"/>
  <c r="A14631" i="2"/>
  <c r="E14630" i="2"/>
  <c r="D14630" i="2"/>
  <c r="C14630" i="2"/>
  <c r="B14630" i="2"/>
  <c r="A14630" i="2"/>
  <c r="E14629" i="2"/>
  <c r="D14629" i="2"/>
  <c r="C14629" i="2"/>
  <c r="B14629" i="2"/>
  <c r="A14629" i="2"/>
  <c r="E14628" i="2"/>
  <c r="D14628" i="2"/>
  <c r="C14628" i="2"/>
  <c r="B14628" i="2"/>
  <c r="A14628" i="2"/>
  <c r="E14627" i="2"/>
  <c r="D14627" i="2"/>
  <c r="C14627" i="2"/>
  <c r="B14627" i="2"/>
  <c r="A14627" i="2"/>
  <c r="E14626" i="2"/>
  <c r="D14626" i="2"/>
  <c r="C14626" i="2"/>
  <c r="B14626" i="2"/>
  <c r="A14626" i="2"/>
  <c r="E14625" i="2"/>
  <c r="D14625" i="2"/>
  <c r="C14625" i="2"/>
  <c r="B14625" i="2"/>
  <c r="A14625" i="2"/>
  <c r="E14624" i="2"/>
  <c r="D14624" i="2"/>
  <c r="C14624" i="2"/>
  <c r="B14624" i="2"/>
  <c r="A14624" i="2"/>
  <c r="E14623" i="2"/>
  <c r="D14623" i="2"/>
  <c r="C14623" i="2"/>
  <c r="B14623" i="2"/>
  <c r="A14623" i="2"/>
  <c r="E14622" i="2"/>
  <c r="D14622" i="2"/>
  <c r="C14622" i="2"/>
  <c r="B14622" i="2"/>
  <c r="A14622" i="2"/>
  <c r="E14621" i="2"/>
  <c r="D14621" i="2"/>
  <c r="C14621" i="2"/>
  <c r="B14621" i="2"/>
  <c r="A14621" i="2"/>
  <c r="E14620" i="2"/>
  <c r="D14620" i="2"/>
  <c r="C14620" i="2"/>
  <c r="B14620" i="2"/>
  <c r="A14620" i="2"/>
  <c r="E14619" i="2"/>
  <c r="D14619" i="2"/>
  <c r="C14619" i="2"/>
  <c r="B14619" i="2"/>
  <c r="A14619" i="2"/>
  <c r="E14618" i="2"/>
  <c r="D14618" i="2"/>
  <c r="C14618" i="2"/>
  <c r="B14618" i="2"/>
  <c r="A14618" i="2"/>
  <c r="E14617" i="2"/>
  <c r="D14617" i="2"/>
  <c r="C14617" i="2"/>
  <c r="B14617" i="2"/>
  <c r="A14617" i="2"/>
  <c r="E14616" i="2"/>
  <c r="D14616" i="2"/>
  <c r="C14616" i="2"/>
  <c r="B14616" i="2"/>
  <c r="A14616" i="2"/>
  <c r="E14615" i="2"/>
  <c r="D14615" i="2"/>
  <c r="C14615" i="2"/>
  <c r="B14615" i="2"/>
  <c r="A14615" i="2"/>
  <c r="E14614" i="2"/>
  <c r="D14614" i="2"/>
  <c r="C14614" i="2"/>
  <c r="B14614" i="2"/>
  <c r="A14614" i="2"/>
  <c r="E14613" i="2"/>
  <c r="D14613" i="2"/>
  <c r="C14613" i="2"/>
  <c r="B14613" i="2"/>
  <c r="A14613" i="2"/>
  <c r="E14612" i="2"/>
  <c r="D14612" i="2"/>
  <c r="C14612" i="2"/>
  <c r="B14612" i="2"/>
  <c r="A14612" i="2"/>
  <c r="E14611" i="2"/>
  <c r="D14611" i="2"/>
  <c r="C14611" i="2"/>
  <c r="B14611" i="2"/>
  <c r="A14611" i="2"/>
  <c r="E14610" i="2"/>
  <c r="D14610" i="2"/>
  <c r="C14610" i="2"/>
  <c r="B14610" i="2"/>
  <c r="A14610" i="2"/>
  <c r="E14609" i="2"/>
  <c r="D14609" i="2"/>
  <c r="C14609" i="2"/>
  <c r="B14609" i="2"/>
  <c r="A14609" i="2"/>
  <c r="E14608" i="2"/>
  <c r="D14608" i="2"/>
  <c r="C14608" i="2"/>
  <c r="B14608" i="2"/>
  <c r="A14608" i="2"/>
  <c r="E14607" i="2"/>
  <c r="D14607" i="2"/>
  <c r="C14607" i="2"/>
  <c r="B14607" i="2"/>
  <c r="A14607" i="2"/>
  <c r="E14606" i="2"/>
  <c r="D14606" i="2"/>
  <c r="C14606" i="2"/>
  <c r="B14606" i="2"/>
  <c r="A14606" i="2"/>
  <c r="E14605" i="2"/>
  <c r="D14605" i="2"/>
  <c r="C14605" i="2"/>
  <c r="B14605" i="2"/>
  <c r="A14605" i="2"/>
  <c r="E14604" i="2"/>
  <c r="D14604" i="2"/>
  <c r="C14604" i="2"/>
  <c r="B14604" i="2"/>
  <c r="A14604" i="2"/>
  <c r="E14603" i="2"/>
  <c r="D14603" i="2"/>
  <c r="C14603" i="2"/>
  <c r="B14603" i="2"/>
  <c r="A14603" i="2"/>
  <c r="E14602" i="2"/>
  <c r="D14602" i="2"/>
  <c r="C14602" i="2"/>
  <c r="B14602" i="2"/>
  <c r="A14602" i="2"/>
  <c r="E14601" i="2"/>
  <c r="D14601" i="2"/>
  <c r="C14601" i="2"/>
  <c r="B14601" i="2"/>
  <c r="A14601" i="2"/>
  <c r="E14600" i="2"/>
  <c r="D14600" i="2"/>
  <c r="C14600" i="2"/>
  <c r="B14600" i="2"/>
  <c r="A14600" i="2"/>
  <c r="E14599" i="2"/>
  <c r="D14599" i="2"/>
  <c r="C14599" i="2"/>
  <c r="B14599" i="2"/>
  <c r="A14599" i="2"/>
  <c r="E14598" i="2"/>
  <c r="D14598" i="2"/>
  <c r="C14598" i="2"/>
  <c r="B14598" i="2"/>
  <c r="A14598" i="2"/>
  <c r="E14597" i="2"/>
  <c r="D14597" i="2"/>
  <c r="C14597" i="2"/>
  <c r="B14597" i="2"/>
  <c r="A14597" i="2"/>
  <c r="E14596" i="2"/>
  <c r="D14596" i="2"/>
  <c r="C14596" i="2"/>
  <c r="B14596" i="2"/>
  <c r="A14596" i="2"/>
  <c r="E14595" i="2"/>
  <c r="D14595" i="2"/>
  <c r="C14595" i="2"/>
  <c r="B14595" i="2"/>
  <c r="A14595" i="2"/>
  <c r="E14594" i="2"/>
  <c r="D14594" i="2"/>
  <c r="C14594" i="2"/>
  <c r="B14594" i="2"/>
  <c r="A14594" i="2"/>
  <c r="E14593" i="2"/>
  <c r="D14593" i="2"/>
  <c r="C14593" i="2"/>
  <c r="B14593" i="2"/>
  <c r="A14593" i="2"/>
  <c r="E14592" i="2"/>
  <c r="D14592" i="2"/>
  <c r="C14592" i="2"/>
  <c r="B14592" i="2"/>
  <c r="A14592" i="2"/>
  <c r="E14591" i="2"/>
  <c r="D14591" i="2"/>
  <c r="C14591" i="2"/>
  <c r="B14591" i="2"/>
  <c r="A14591" i="2"/>
  <c r="E14590" i="2"/>
  <c r="D14590" i="2"/>
  <c r="C14590" i="2"/>
  <c r="B14590" i="2"/>
  <c r="A14590" i="2"/>
  <c r="E14589" i="2"/>
  <c r="D14589" i="2"/>
  <c r="C14589" i="2"/>
  <c r="B14589" i="2"/>
  <c r="A14589" i="2"/>
  <c r="E14588" i="2"/>
  <c r="D14588" i="2"/>
  <c r="C14588" i="2"/>
  <c r="B14588" i="2"/>
  <c r="A14588" i="2"/>
  <c r="E14587" i="2"/>
  <c r="D14587" i="2"/>
  <c r="C14587" i="2"/>
  <c r="B14587" i="2"/>
  <c r="A14587" i="2"/>
  <c r="E14586" i="2"/>
  <c r="D14586" i="2"/>
  <c r="C14586" i="2"/>
  <c r="B14586" i="2"/>
  <c r="A14586" i="2"/>
  <c r="E14585" i="2"/>
  <c r="D14585" i="2"/>
  <c r="C14585" i="2"/>
  <c r="B14585" i="2"/>
  <c r="A14585" i="2"/>
  <c r="E14584" i="2"/>
  <c r="D14584" i="2"/>
  <c r="C14584" i="2"/>
  <c r="B14584" i="2"/>
  <c r="A14584" i="2"/>
  <c r="E14583" i="2"/>
  <c r="D14583" i="2"/>
  <c r="C14583" i="2"/>
  <c r="B14583" i="2"/>
  <c r="A14583" i="2"/>
  <c r="E14582" i="2"/>
  <c r="D14582" i="2"/>
  <c r="C14582" i="2"/>
  <c r="B14582" i="2"/>
  <c r="A14582" i="2"/>
  <c r="E14581" i="2"/>
  <c r="D14581" i="2"/>
  <c r="C14581" i="2"/>
  <c r="B14581" i="2"/>
  <c r="A14581" i="2"/>
  <c r="E14580" i="2"/>
  <c r="D14580" i="2"/>
  <c r="C14580" i="2"/>
  <c r="B14580" i="2"/>
  <c r="A14580" i="2"/>
  <c r="E14579" i="2"/>
  <c r="D14579" i="2"/>
  <c r="C14579" i="2"/>
  <c r="B14579" i="2"/>
  <c r="A14579" i="2"/>
  <c r="E14578" i="2"/>
  <c r="D14578" i="2"/>
  <c r="C14578" i="2"/>
  <c r="B14578" i="2"/>
  <c r="A14578" i="2"/>
  <c r="E14577" i="2"/>
  <c r="D14577" i="2"/>
  <c r="C14577" i="2"/>
  <c r="B14577" i="2"/>
  <c r="A14577" i="2"/>
  <c r="E14576" i="2"/>
  <c r="D14576" i="2"/>
  <c r="C14576" i="2"/>
  <c r="B14576" i="2"/>
  <c r="A14576" i="2"/>
  <c r="E14575" i="2"/>
  <c r="D14575" i="2"/>
  <c r="C14575" i="2"/>
  <c r="B14575" i="2"/>
  <c r="A14575" i="2"/>
  <c r="E14574" i="2"/>
  <c r="D14574" i="2"/>
  <c r="C14574" i="2"/>
  <c r="B14574" i="2"/>
  <c r="A14574" i="2"/>
  <c r="E14573" i="2"/>
  <c r="D14573" i="2"/>
  <c r="C14573" i="2"/>
  <c r="B14573" i="2"/>
  <c r="A14573" i="2"/>
  <c r="E14572" i="2"/>
  <c r="D14572" i="2"/>
  <c r="C14572" i="2"/>
  <c r="B14572" i="2"/>
  <c r="A14572" i="2"/>
  <c r="E14571" i="2"/>
  <c r="D14571" i="2"/>
  <c r="C14571" i="2"/>
  <c r="B14571" i="2"/>
  <c r="A14571" i="2"/>
  <c r="E14570" i="2"/>
  <c r="D14570" i="2"/>
  <c r="C14570" i="2"/>
  <c r="B14570" i="2"/>
  <c r="A14570" i="2"/>
  <c r="E14569" i="2"/>
  <c r="D14569" i="2"/>
  <c r="C14569" i="2"/>
  <c r="B14569" i="2"/>
  <c r="A14569" i="2"/>
  <c r="E14568" i="2"/>
  <c r="D14568" i="2"/>
  <c r="C14568" i="2"/>
  <c r="B14568" i="2"/>
  <c r="A14568" i="2"/>
  <c r="E14567" i="2"/>
  <c r="D14567" i="2"/>
  <c r="C14567" i="2"/>
  <c r="B14567" i="2"/>
  <c r="A14567" i="2"/>
  <c r="E14566" i="2"/>
  <c r="D14566" i="2"/>
  <c r="C14566" i="2"/>
  <c r="B14566" i="2"/>
  <c r="A14566" i="2"/>
  <c r="E14565" i="2"/>
  <c r="D14565" i="2"/>
  <c r="C14565" i="2"/>
  <c r="B14565" i="2"/>
  <c r="A14565" i="2"/>
  <c r="E14564" i="2"/>
  <c r="D14564" i="2"/>
  <c r="C14564" i="2"/>
  <c r="B14564" i="2"/>
  <c r="A14564" i="2"/>
  <c r="E14563" i="2"/>
  <c r="D14563" i="2"/>
  <c r="C14563" i="2"/>
  <c r="B14563" i="2"/>
  <c r="A14563" i="2"/>
  <c r="E14562" i="2"/>
  <c r="D14562" i="2"/>
  <c r="C14562" i="2"/>
  <c r="B14562" i="2"/>
  <c r="A14562" i="2"/>
  <c r="E14561" i="2"/>
  <c r="D14561" i="2"/>
  <c r="C14561" i="2"/>
  <c r="B14561" i="2"/>
  <c r="A14561" i="2"/>
  <c r="E14560" i="2"/>
  <c r="D14560" i="2"/>
  <c r="C14560" i="2"/>
  <c r="B14560" i="2"/>
  <c r="A14560" i="2"/>
  <c r="E14559" i="2"/>
  <c r="D14559" i="2"/>
  <c r="C14559" i="2"/>
  <c r="B14559" i="2"/>
  <c r="A14559" i="2"/>
  <c r="E14558" i="2"/>
  <c r="D14558" i="2"/>
  <c r="C14558" i="2"/>
  <c r="B14558" i="2"/>
  <c r="A14558" i="2"/>
  <c r="E14557" i="2"/>
  <c r="D14557" i="2"/>
  <c r="C14557" i="2"/>
  <c r="B14557" i="2"/>
  <c r="A14557" i="2"/>
  <c r="E14556" i="2"/>
  <c r="D14556" i="2"/>
  <c r="C14556" i="2"/>
  <c r="B14556" i="2"/>
  <c r="A14556" i="2"/>
  <c r="E14555" i="2"/>
  <c r="D14555" i="2"/>
  <c r="C14555" i="2"/>
  <c r="B14555" i="2"/>
  <c r="A14555" i="2"/>
  <c r="E14554" i="2"/>
  <c r="D14554" i="2"/>
  <c r="C14554" i="2"/>
  <c r="B14554" i="2"/>
  <c r="A14554" i="2"/>
  <c r="E14553" i="2"/>
  <c r="D14553" i="2"/>
  <c r="C14553" i="2"/>
  <c r="B14553" i="2"/>
  <c r="A14553" i="2"/>
  <c r="E14552" i="2"/>
  <c r="D14552" i="2"/>
  <c r="C14552" i="2"/>
  <c r="B14552" i="2"/>
  <c r="A14552" i="2"/>
  <c r="E14551" i="2"/>
  <c r="D14551" i="2"/>
  <c r="C14551" i="2"/>
  <c r="B14551" i="2"/>
  <c r="A14551" i="2"/>
  <c r="E14550" i="2"/>
  <c r="D14550" i="2"/>
  <c r="C14550" i="2"/>
  <c r="B14550" i="2"/>
  <c r="A14550" i="2"/>
  <c r="E14549" i="2"/>
  <c r="D14549" i="2"/>
  <c r="C14549" i="2"/>
  <c r="B14549" i="2"/>
  <c r="A14549" i="2"/>
  <c r="E14548" i="2"/>
  <c r="D14548" i="2"/>
  <c r="C14548" i="2"/>
  <c r="B14548" i="2"/>
  <c r="A14548" i="2"/>
  <c r="E14547" i="2"/>
  <c r="D14547" i="2"/>
  <c r="C14547" i="2"/>
  <c r="B14547" i="2"/>
  <c r="A14547" i="2"/>
  <c r="E14546" i="2"/>
  <c r="D14546" i="2"/>
  <c r="C14546" i="2"/>
  <c r="B14546" i="2"/>
  <c r="A14546" i="2"/>
  <c r="E14545" i="2"/>
  <c r="D14545" i="2"/>
  <c r="C14545" i="2"/>
  <c r="B14545" i="2"/>
  <c r="A14545" i="2"/>
  <c r="E14544" i="2"/>
  <c r="D14544" i="2"/>
  <c r="C14544" i="2"/>
  <c r="B14544" i="2"/>
  <c r="A14544" i="2"/>
  <c r="E14543" i="2"/>
  <c r="D14543" i="2"/>
  <c r="C14543" i="2"/>
  <c r="B14543" i="2"/>
  <c r="A14543" i="2"/>
  <c r="E14542" i="2"/>
  <c r="D14542" i="2"/>
  <c r="C14542" i="2"/>
  <c r="B14542" i="2"/>
  <c r="A14542" i="2"/>
  <c r="E14541" i="2"/>
  <c r="D14541" i="2"/>
  <c r="C14541" i="2"/>
  <c r="B14541" i="2"/>
  <c r="A14541" i="2"/>
  <c r="E14540" i="2"/>
  <c r="D14540" i="2"/>
  <c r="C14540" i="2"/>
  <c r="B14540" i="2"/>
  <c r="A14540" i="2"/>
  <c r="E14539" i="2"/>
  <c r="D14539" i="2"/>
  <c r="C14539" i="2"/>
  <c r="B14539" i="2"/>
  <c r="A14539" i="2"/>
  <c r="E14538" i="2"/>
  <c r="D14538" i="2"/>
  <c r="C14538" i="2"/>
  <c r="B14538" i="2"/>
  <c r="A14538" i="2"/>
  <c r="E14537" i="2"/>
  <c r="D14537" i="2"/>
  <c r="C14537" i="2"/>
  <c r="B14537" i="2"/>
  <c r="A14537" i="2"/>
  <c r="E14536" i="2"/>
  <c r="D14536" i="2"/>
  <c r="C14536" i="2"/>
  <c r="B14536" i="2"/>
  <c r="A14536" i="2"/>
  <c r="E14535" i="2"/>
  <c r="D14535" i="2"/>
  <c r="C14535" i="2"/>
  <c r="B14535" i="2"/>
  <c r="A14535" i="2"/>
  <c r="E14534" i="2"/>
  <c r="D14534" i="2"/>
  <c r="C14534" i="2"/>
  <c r="B14534" i="2"/>
  <c r="A14534" i="2"/>
  <c r="E14533" i="2"/>
  <c r="D14533" i="2"/>
  <c r="C14533" i="2"/>
  <c r="B14533" i="2"/>
  <c r="A14533" i="2"/>
  <c r="E14532" i="2"/>
  <c r="D14532" i="2"/>
  <c r="C14532" i="2"/>
  <c r="B14532" i="2"/>
  <c r="A14532" i="2"/>
  <c r="E14531" i="2"/>
  <c r="D14531" i="2"/>
  <c r="C14531" i="2"/>
  <c r="B14531" i="2"/>
  <c r="A14531" i="2"/>
  <c r="E14530" i="2"/>
  <c r="D14530" i="2"/>
  <c r="C14530" i="2"/>
  <c r="B14530" i="2"/>
  <c r="A14530" i="2"/>
  <c r="E14529" i="2"/>
  <c r="D14529" i="2"/>
  <c r="C14529" i="2"/>
  <c r="B14529" i="2"/>
  <c r="A14529" i="2"/>
  <c r="E14528" i="2"/>
  <c r="D14528" i="2"/>
  <c r="C14528" i="2"/>
  <c r="B14528" i="2"/>
  <c r="A14528" i="2"/>
  <c r="E14527" i="2"/>
  <c r="D14527" i="2"/>
  <c r="C14527" i="2"/>
  <c r="B14527" i="2"/>
  <c r="A14527" i="2"/>
  <c r="E14526" i="2"/>
  <c r="D14526" i="2"/>
  <c r="C14526" i="2"/>
  <c r="B14526" i="2"/>
  <c r="A14526" i="2"/>
  <c r="E14525" i="2"/>
  <c r="D14525" i="2"/>
  <c r="C14525" i="2"/>
  <c r="B14525" i="2"/>
  <c r="A14525" i="2"/>
  <c r="E14524" i="2"/>
  <c r="D14524" i="2"/>
  <c r="C14524" i="2"/>
  <c r="B14524" i="2"/>
  <c r="A14524" i="2"/>
  <c r="E14523" i="2"/>
  <c r="D14523" i="2"/>
  <c r="C14523" i="2"/>
  <c r="B14523" i="2"/>
  <c r="A14523" i="2"/>
  <c r="E14522" i="2"/>
  <c r="D14522" i="2"/>
  <c r="C14522" i="2"/>
  <c r="B14522" i="2"/>
  <c r="A14522" i="2"/>
  <c r="E14521" i="2"/>
  <c r="D14521" i="2"/>
  <c r="C14521" i="2"/>
  <c r="B14521" i="2"/>
  <c r="A14521" i="2"/>
  <c r="E14520" i="2"/>
  <c r="D14520" i="2"/>
  <c r="C14520" i="2"/>
  <c r="B14520" i="2"/>
  <c r="A14520" i="2"/>
  <c r="E14519" i="2"/>
  <c r="D14519" i="2"/>
  <c r="C14519" i="2"/>
  <c r="B14519" i="2"/>
  <c r="A14519" i="2"/>
  <c r="E14518" i="2"/>
  <c r="D14518" i="2"/>
  <c r="C14518" i="2"/>
  <c r="B14518" i="2"/>
  <c r="A14518" i="2"/>
  <c r="E14517" i="2"/>
  <c r="D14517" i="2"/>
  <c r="C14517" i="2"/>
  <c r="B14517" i="2"/>
  <c r="A14517" i="2"/>
  <c r="E14516" i="2"/>
  <c r="D14516" i="2"/>
  <c r="C14516" i="2"/>
  <c r="B14516" i="2"/>
  <c r="A14516" i="2"/>
  <c r="E14515" i="2"/>
  <c r="D14515" i="2"/>
  <c r="C14515" i="2"/>
  <c r="B14515" i="2"/>
  <c r="A14515" i="2"/>
  <c r="E14514" i="2"/>
  <c r="D14514" i="2"/>
  <c r="C14514" i="2"/>
  <c r="B14514" i="2"/>
  <c r="A14514" i="2"/>
  <c r="E14513" i="2"/>
  <c r="D14513" i="2"/>
  <c r="C14513" i="2"/>
  <c r="B14513" i="2"/>
  <c r="A14513" i="2"/>
  <c r="E14512" i="2"/>
  <c r="D14512" i="2"/>
  <c r="C14512" i="2"/>
  <c r="B14512" i="2"/>
  <c r="A14512" i="2"/>
  <c r="E14511" i="2"/>
  <c r="D14511" i="2"/>
  <c r="C14511" i="2"/>
  <c r="B14511" i="2"/>
  <c r="A14511" i="2"/>
  <c r="E14510" i="2"/>
  <c r="D14510" i="2"/>
  <c r="C14510" i="2"/>
  <c r="B14510" i="2"/>
  <c r="A14510" i="2"/>
  <c r="E14509" i="2"/>
  <c r="D14509" i="2"/>
  <c r="C14509" i="2"/>
  <c r="B14509" i="2"/>
  <c r="A14509" i="2"/>
  <c r="E14508" i="2"/>
  <c r="D14508" i="2"/>
  <c r="C14508" i="2"/>
  <c r="B14508" i="2"/>
  <c r="A14508" i="2"/>
  <c r="E14507" i="2"/>
  <c r="D14507" i="2"/>
  <c r="C14507" i="2"/>
  <c r="B14507" i="2"/>
  <c r="A14507" i="2"/>
  <c r="E14506" i="2"/>
  <c r="D14506" i="2"/>
  <c r="C14506" i="2"/>
  <c r="B14506" i="2"/>
  <c r="A14506" i="2"/>
  <c r="E14505" i="2"/>
  <c r="D14505" i="2"/>
  <c r="C14505" i="2"/>
  <c r="B14505" i="2"/>
  <c r="A14505" i="2"/>
  <c r="E14504" i="2"/>
  <c r="D14504" i="2"/>
  <c r="C14504" i="2"/>
  <c r="B14504" i="2"/>
  <c r="A14504" i="2"/>
  <c r="E14503" i="2"/>
  <c r="D14503" i="2"/>
  <c r="C14503" i="2"/>
  <c r="B14503" i="2"/>
  <c r="A14503" i="2"/>
  <c r="E14502" i="2"/>
  <c r="D14502" i="2"/>
  <c r="C14502" i="2"/>
  <c r="B14502" i="2"/>
  <c r="A14502" i="2"/>
  <c r="E14501" i="2"/>
  <c r="D14501" i="2"/>
  <c r="C14501" i="2"/>
  <c r="B14501" i="2"/>
  <c r="A14501" i="2"/>
  <c r="E14500" i="2"/>
  <c r="D14500" i="2"/>
  <c r="C14500" i="2"/>
  <c r="B14500" i="2"/>
  <c r="A14500" i="2"/>
  <c r="E14499" i="2"/>
  <c r="D14499" i="2"/>
  <c r="C14499" i="2"/>
  <c r="B14499" i="2"/>
  <c r="A14499" i="2"/>
  <c r="E14498" i="2"/>
  <c r="D14498" i="2"/>
  <c r="C14498" i="2"/>
  <c r="B14498" i="2"/>
  <c r="A14498" i="2"/>
  <c r="E14497" i="2"/>
  <c r="D14497" i="2"/>
  <c r="C14497" i="2"/>
  <c r="B14497" i="2"/>
  <c r="A14497" i="2"/>
  <c r="E14496" i="2"/>
  <c r="D14496" i="2"/>
  <c r="C14496" i="2"/>
  <c r="B14496" i="2"/>
  <c r="A14496" i="2"/>
  <c r="E14495" i="2"/>
  <c r="D14495" i="2"/>
  <c r="C14495" i="2"/>
  <c r="B14495" i="2"/>
  <c r="A14495" i="2"/>
  <c r="E14494" i="2"/>
  <c r="D14494" i="2"/>
  <c r="C14494" i="2"/>
  <c r="B14494" i="2"/>
  <c r="A14494" i="2"/>
  <c r="E14493" i="2"/>
  <c r="D14493" i="2"/>
  <c r="C14493" i="2"/>
  <c r="B14493" i="2"/>
  <c r="A14493" i="2"/>
  <c r="E14492" i="2"/>
  <c r="D14492" i="2"/>
  <c r="C14492" i="2"/>
  <c r="B14492" i="2"/>
  <c r="A14492" i="2"/>
  <c r="E14491" i="2"/>
  <c r="D14491" i="2"/>
  <c r="C14491" i="2"/>
  <c r="B14491" i="2"/>
  <c r="A14491" i="2"/>
  <c r="E14490" i="2"/>
  <c r="D14490" i="2"/>
  <c r="C14490" i="2"/>
  <c r="B14490" i="2"/>
  <c r="A14490" i="2"/>
  <c r="E14489" i="2"/>
  <c r="D14489" i="2"/>
  <c r="C14489" i="2"/>
  <c r="B14489" i="2"/>
  <c r="A14489" i="2"/>
  <c r="E14488" i="2"/>
  <c r="D14488" i="2"/>
  <c r="C14488" i="2"/>
  <c r="B14488" i="2"/>
  <c r="A14488" i="2"/>
  <c r="E14487" i="2"/>
  <c r="D14487" i="2"/>
  <c r="C14487" i="2"/>
  <c r="B14487" i="2"/>
  <c r="A14487" i="2"/>
  <c r="E14486" i="2"/>
  <c r="D14486" i="2"/>
  <c r="C14486" i="2"/>
  <c r="B14486" i="2"/>
  <c r="A14486" i="2"/>
  <c r="E14485" i="2"/>
  <c r="D14485" i="2"/>
  <c r="C14485" i="2"/>
  <c r="B14485" i="2"/>
  <c r="A14485" i="2"/>
  <c r="E14484" i="2"/>
  <c r="D14484" i="2"/>
  <c r="C14484" i="2"/>
  <c r="B14484" i="2"/>
  <c r="A14484" i="2"/>
  <c r="E14483" i="2"/>
  <c r="D14483" i="2"/>
  <c r="C14483" i="2"/>
  <c r="B14483" i="2"/>
  <c r="A14483" i="2"/>
  <c r="E14482" i="2"/>
  <c r="D14482" i="2"/>
  <c r="C14482" i="2"/>
  <c r="B14482" i="2"/>
  <c r="A14482" i="2"/>
  <c r="E14481" i="2"/>
  <c r="D14481" i="2"/>
  <c r="C14481" i="2"/>
  <c r="B14481" i="2"/>
  <c r="A14481" i="2"/>
  <c r="E14480" i="2"/>
  <c r="D14480" i="2"/>
  <c r="C14480" i="2"/>
  <c r="B14480" i="2"/>
  <c r="A14480" i="2"/>
  <c r="E14479" i="2"/>
  <c r="D14479" i="2"/>
  <c r="C14479" i="2"/>
  <c r="B14479" i="2"/>
  <c r="A14479" i="2"/>
  <c r="E14478" i="2"/>
  <c r="D14478" i="2"/>
  <c r="C14478" i="2"/>
  <c r="B14478" i="2"/>
  <c r="A14478" i="2"/>
  <c r="E14477" i="2"/>
  <c r="D14477" i="2"/>
  <c r="C14477" i="2"/>
  <c r="B14477" i="2"/>
  <c r="A14477" i="2"/>
  <c r="E14476" i="2"/>
  <c r="D14476" i="2"/>
  <c r="C14476" i="2"/>
  <c r="B14476" i="2"/>
  <c r="A14476" i="2"/>
  <c r="E14475" i="2"/>
  <c r="D14475" i="2"/>
  <c r="C14475" i="2"/>
  <c r="B14475" i="2"/>
  <c r="A14475" i="2"/>
  <c r="E14474" i="2"/>
  <c r="D14474" i="2"/>
  <c r="C14474" i="2"/>
  <c r="B14474" i="2"/>
  <c r="A14474" i="2"/>
  <c r="E14473" i="2"/>
  <c r="D14473" i="2"/>
  <c r="C14473" i="2"/>
  <c r="B14473" i="2"/>
  <c r="A14473" i="2"/>
  <c r="E14472" i="2"/>
  <c r="D14472" i="2"/>
  <c r="C14472" i="2"/>
  <c r="B14472" i="2"/>
  <c r="A14472" i="2"/>
  <c r="E14471" i="2"/>
  <c r="D14471" i="2"/>
  <c r="C14471" i="2"/>
  <c r="B14471" i="2"/>
  <c r="A14471" i="2"/>
  <c r="E14470" i="2"/>
  <c r="D14470" i="2"/>
  <c r="C14470" i="2"/>
  <c r="B14470" i="2"/>
  <c r="A14470" i="2"/>
  <c r="E14469" i="2"/>
  <c r="D14469" i="2"/>
  <c r="C14469" i="2"/>
  <c r="B14469" i="2"/>
  <c r="A14469" i="2"/>
  <c r="E14468" i="2"/>
  <c r="D14468" i="2"/>
  <c r="C14468" i="2"/>
  <c r="B14468" i="2"/>
  <c r="A14468" i="2"/>
  <c r="E14467" i="2"/>
  <c r="D14467" i="2"/>
  <c r="C14467" i="2"/>
  <c r="B14467" i="2"/>
  <c r="A14467" i="2"/>
  <c r="E14466" i="2"/>
  <c r="D14466" i="2"/>
  <c r="C14466" i="2"/>
  <c r="B14466" i="2"/>
  <c r="A14466" i="2"/>
  <c r="E14465" i="2"/>
  <c r="D14465" i="2"/>
  <c r="C14465" i="2"/>
  <c r="B14465" i="2"/>
  <c r="A14465" i="2"/>
  <c r="E14464" i="2"/>
  <c r="D14464" i="2"/>
  <c r="C14464" i="2"/>
  <c r="B14464" i="2"/>
  <c r="A14464" i="2"/>
  <c r="E14463" i="2"/>
  <c r="D14463" i="2"/>
  <c r="C14463" i="2"/>
  <c r="B14463" i="2"/>
  <c r="A14463" i="2"/>
  <c r="E14462" i="2"/>
  <c r="D14462" i="2"/>
  <c r="C14462" i="2"/>
  <c r="B14462" i="2"/>
  <c r="A14462" i="2"/>
  <c r="E14461" i="2"/>
  <c r="D14461" i="2"/>
  <c r="C14461" i="2"/>
  <c r="B14461" i="2"/>
  <c r="A14461" i="2"/>
  <c r="E14460" i="2"/>
  <c r="D14460" i="2"/>
  <c r="C14460" i="2"/>
  <c r="B14460" i="2"/>
  <c r="A14460" i="2"/>
  <c r="E14459" i="2"/>
  <c r="D14459" i="2"/>
  <c r="C14459" i="2"/>
  <c r="B14459" i="2"/>
  <c r="A14459" i="2"/>
  <c r="E14458" i="2"/>
  <c r="D14458" i="2"/>
  <c r="C14458" i="2"/>
  <c r="B14458" i="2"/>
  <c r="A14458" i="2"/>
  <c r="E14457" i="2"/>
  <c r="D14457" i="2"/>
  <c r="C14457" i="2"/>
  <c r="B14457" i="2"/>
  <c r="A14457" i="2"/>
  <c r="E14456" i="2"/>
  <c r="D14456" i="2"/>
  <c r="C14456" i="2"/>
  <c r="B14456" i="2"/>
  <c r="A14456" i="2"/>
  <c r="E14455" i="2"/>
  <c r="D14455" i="2"/>
  <c r="C14455" i="2"/>
  <c r="B14455" i="2"/>
  <c r="A14455" i="2"/>
  <c r="E14454" i="2"/>
  <c r="D14454" i="2"/>
  <c r="C14454" i="2"/>
  <c r="B14454" i="2"/>
  <c r="A14454" i="2"/>
  <c r="E14453" i="2"/>
  <c r="D14453" i="2"/>
  <c r="C14453" i="2"/>
  <c r="B14453" i="2"/>
  <c r="A14453" i="2"/>
  <c r="E14452" i="2"/>
  <c r="D14452" i="2"/>
  <c r="C14452" i="2"/>
  <c r="B14452" i="2"/>
  <c r="A14452" i="2"/>
  <c r="E14451" i="2"/>
  <c r="D14451" i="2"/>
  <c r="C14451" i="2"/>
  <c r="B14451" i="2"/>
  <c r="A14451" i="2"/>
  <c r="E14450" i="2"/>
  <c r="D14450" i="2"/>
  <c r="C14450" i="2"/>
  <c r="B14450" i="2"/>
  <c r="A14450" i="2"/>
  <c r="E14449" i="2"/>
  <c r="D14449" i="2"/>
  <c r="C14449" i="2"/>
  <c r="B14449" i="2"/>
  <c r="A14449" i="2"/>
  <c r="E14448" i="2"/>
  <c r="D14448" i="2"/>
  <c r="C14448" i="2"/>
  <c r="B14448" i="2"/>
  <c r="A14448" i="2"/>
  <c r="E14447" i="2"/>
  <c r="D14447" i="2"/>
  <c r="C14447" i="2"/>
  <c r="B14447" i="2"/>
  <c r="A14447" i="2"/>
  <c r="E14446" i="2"/>
  <c r="D14446" i="2"/>
  <c r="C14446" i="2"/>
  <c r="B14446" i="2"/>
  <c r="A14446" i="2"/>
  <c r="E14445" i="2"/>
  <c r="D14445" i="2"/>
  <c r="C14445" i="2"/>
  <c r="B14445" i="2"/>
  <c r="A14445" i="2"/>
  <c r="E14444" i="2"/>
  <c r="D14444" i="2"/>
  <c r="C14444" i="2"/>
  <c r="B14444" i="2"/>
  <c r="A14444" i="2"/>
  <c r="E14443" i="2"/>
  <c r="D14443" i="2"/>
  <c r="C14443" i="2"/>
  <c r="B14443" i="2"/>
  <c r="A14443" i="2"/>
  <c r="E14442" i="2"/>
  <c r="D14442" i="2"/>
  <c r="C14442" i="2"/>
  <c r="B14442" i="2"/>
  <c r="A14442" i="2"/>
  <c r="E14441" i="2"/>
  <c r="D14441" i="2"/>
  <c r="C14441" i="2"/>
  <c r="B14441" i="2"/>
  <c r="A14441" i="2"/>
  <c r="E14440" i="2"/>
  <c r="D14440" i="2"/>
  <c r="C14440" i="2"/>
  <c r="B14440" i="2"/>
  <c r="A14440" i="2"/>
  <c r="E14439" i="2"/>
  <c r="D14439" i="2"/>
  <c r="C14439" i="2"/>
  <c r="B14439" i="2"/>
  <c r="A14439" i="2"/>
  <c r="E14438" i="2"/>
  <c r="D14438" i="2"/>
  <c r="C14438" i="2"/>
  <c r="B14438" i="2"/>
  <c r="A14438" i="2"/>
  <c r="E14437" i="2"/>
  <c r="D14437" i="2"/>
  <c r="C14437" i="2"/>
  <c r="B14437" i="2"/>
  <c r="A14437" i="2"/>
  <c r="E14436" i="2"/>
  <c r="D14436" i="2"/>
  <c r="C14436" i="2"/>
  <c r="B14436" i="2"/>
  <c r="A14436" i="2"/>
  <c r="E14435" i="2"/>
  <c r="D14435" i="2"/>
  <c r="C14435" i="2"/>
  <c r="B14435" i="2"/>
  <c r="A14435" i="2"/>
  <c r="E14434" i="2"/>
  <c r="D14434" i="2"/>
  <c r="C14434" i="2"/>
  <c r="B14434" i="2"/>
  <c r="A14434" i="2"/>
  <c r="E14433" i="2"/>
  <c r="D14433" i="2"/>
  <c r="C14433" i="2"/>
  <c r="B14433" i="2"/>
  <c r="A14433" i="2"/>
  <c r="E14432" i="2"/>
  <c r="D14432" i="2"/>
  <c r="C14432" i="2"/>
  <c r="B14432" i="2"/>
  <c r="A14432" i="2"/>
  <c r="E14431" i="2"/>
  <c r="D14431" i="2"/>
  <c r="C14431" i="2"/>
  <c r="B14431" i="2"/>
  <c r="A14431" i="2"/>
  <c r="E14430" i="2"/>
  <c r="D14430" i="2"/>
  <c r="C14430" i="2"/>
  <c r="B14430" i="2"/>
  <c r="A14430" i="2"/>
  <c r="E14429" i="2"/>
  <c r="D14429" i="2"/>
  <c r="C14429" i="2"/>
  <c r="B14429" i="2"/>
  <c r="A14429" i="2"/>
  <c r="E14428" i="2"/>
  <c r="D14428" i="2"/>
  <c r="C14428" i="2"/>
  <c r="B14428" i="2"/>
  <c r="A14428" i="2"/>
  <c r="E14427" i="2"/>
  <c r="D14427" i="2"/>
  <c r="C14427" i="2"/>
  <c r="B14427" i="2"/>
  <c r="A14427" i="2"/>
  <c r="E14426" i="2"/>
  <c r="D14426" i="2"/>
  <c r="C14426" i="2"/>
  <c r="B14426" i="2"/>
  <c r="A14426" i="2"/>
  <c r="E14425" i="2"/>
  <c r="D14425" i="2"/>
  <c r="C14425" i="2"/>
  <c r="B14425" i="2"/>
  <c r="A14425" i="2"/>
  <c r="E14424" i="2"/>
  <c r="D14424" i="2"/>
  <c r="C14424" i="2"/>
  <c r="B14424" i="2"/>
  <c r="A14424" i="2"/>
  <c r="E14423" i="2"/>
  <c r="D14423" i="2"/>
  <c r="C14423" i="2"/>
  <c r="B14423" i="2"/>
  <c r="A14423" i="2"/>
  <c r="E14422" i="2"/>
  <c r="D14422" i="2"/>
  <c r="C14422" i="2"/>
  <c r="B14422" i="2"/>
  <c r="A14422" i="2"/>
  <c r="E14421" i="2"/>
  <c r="D14421" i="2"/>
  <c r="C14421" i="2"/>
  <c r="B14421" i="2"/>
  <c r="A14421" i="2"/>
  <c r="E14420" i="2"/>
  <c r="D14420" i="2"/>
  <c r="C14420" i="2"/>
  <c r="B14420" i="2"/>
  <c r="A14420" i="2"/>
  <c r="E14419" i="2"/>
  <c r="D14419" i="2"/>
  <c r="C14419" i="2"/>
  <c r="B14419" i="2"/>
  <c r="A14419" i="2"/>
  <c r="E14418" i="2"/>
  <c r="D14418" i="2"/>
  <c r="C14418" i="2"/>
  <c r="B14418" i="2"/>
  <c r="A14418" i="2"/>
  <c r="E14417" i="2"/>
  <c r="D14417" i="2"/>
  <c r="C14417" i="2"/>
  <c r="B14417" i="2"/>
  <c r="A14417" i="2"/>
  <c r="E14416" i="2"/>
  <c r="D14416" i="2"/>
  <c r="C14416" i="2"/>
  <c r="B14416" i="2"/>
  <c r="A14416" i="2"/>
  <c r="E14415" i="2"/>
  <c r="D14415" i="2"/>
  <c r="C14415" i="2"/>
  <c r="B14415" i="2"/>
  <c r="A14415" i="2"/>
  <c r="E14414" i="2"/>
  <c r="D14414" i="2"/>
  <c r="C14414" i="2"/>
  <c r="B14414" i="2"/>
  <c r="A14414" i="2"/>
  <c r="E14413" i="2"/>
  <c r="D14413" i="2"/>
  <c r="C14413" i="2"/>
  <c r="B14413" i="2"/>
  <c r="A14413" i="2"/>
  <c r="E14412" i="2"/>
  <c r="D14412" i="2"/>
  <c r="C14412" i="2"/>
  <c r="B14412" i="2"/>
  <c r="A14412" i="2"/>
  <c r="E14411" i="2"/>
  <c r="D14411" i="2"/>
  <c r="C14411" i="2"/>
  <c r="B14411" i="2"/>
  <c r="A14411" i="2"/>
  <c r="E14410" i="2"/>
  <c r="D14410" i="2"/>
  <c r="C14410" i="2"/>
  <c r="B14410" i="2"/>
  <c r="A14410" i="2"/>
  <c r="E14409" i="2"/>
  <c r="D14409" i="2"/>
  <c r="C14409" i="2"/>
  <c r="B14409" i="2"/>
  <c r="A14409" i="2"/>
  <c r="E14408" i="2"/>
  <c r="D14408" i="2"/>
  <c r="C14408" i="2"/>
  <c r="B14408" i="2"/>
  <c r="A14408" i="2"/>
  <c r="E14407" i="2"/>
  <c r="D14407" i="2"/>
  <c r="C14407" i="2"/>
  <c r="B14407" i="2"/>
  <c r="A14407" i="2"/>
  <c r="E14406" i="2"/>
  <c r="D14406" i="2"/>
  <c r="C14406" i="2"/>
  <c r="B14406" i="2"/>
  <c r="A14406" i="2"/>
  <c r="E14405" i="2"/>
  <c r="D14405" i="2"/>
  <c r="C14405" i="2"/>
  <c r="B14405" i="2"/>
  <c r="A14405" i="2"/>
  <c r="E14404" i="2"/>
  <c r="D14404" i="2"/>
  <c r="C14404" i="2"/>
  <c r="B14404" i="2"/>
  <c r="A14404" i="2"/>
  <c r="E14403" i="2"/>
  <c r="D14403" i="2"/>
  <c r="C14403" i="2"/>
  <c r="B14403" i="2"/>
  <c r="A14403" i="2"/>
  <c r="E14402" i="2"/>
  <c r="D14402" i="2"/>
  <c r="C14402" i="2"/>
  <c r="B14402" i="2"/>
  <c r="A14402" i="2"/>
  <c r="E14401" i="2"/>
  <c r="D14401" i="2"/>
  <c r="C14401" i="2"/>
  <c r="B14401" i="2"/>
  <c r="A14401" i="2"/>
  <c r="E14400" i="2"/>
  <c r="D14400" i="2"/>
  <c r="C14400" i="2"/>
  <c r="B14400" i="2"/>
  <c r="A14400" i="2"/>
  <c r="E14399" i="2"/>
  <c r="D14399" i="2"/>
  <c r="C14399" i="2"/>
  <c r="B14399" i="2"/>
  <c r="A14399" i="2"/>
  <c r="E14398" i="2"/>
  <c r="D14398" i="2"/>
  <c r="C14398" i="2"/>
  <c r="B14398" i="2"/>
  <c r="A14398" i="2"/>
  <c r="E14397" i="2"/>
  <c r="D14397" i="2"/>
  <c r="C14397" i="2"/>
  <c r="B14397" i="2"/>
  <c r="A14397" i="2"/>
  <c r="E14396" i="2"/>
  <c r="D14396" i="2"/>
  <c r="C14396" i="2"/>
  <c r="B14396" i="2"/>
  <c r="A14396" i="2"/>
  <c r="E14395" i="2"/>
  <c r="D14395" i="2"/>
  <c r="C14395" i="2"/>
  <c r="B14395" i="2"/>
  <c r="A14395" i="2"/>
  <c r="E14394" i="2"/>
  <c r="D14394" i="2"/>
  <c r="C14394" i="2"/>
  <c r="B14394" i="2"/>
  <c r="A14394" i="2"/>
  <c r="E14393" i="2"/>
  <c r="D14393" i="2"/>
  <c r="C14393" i="2"/>
  <c r="B14393" i="2"/>
  <c r="A14393" i="2"/>
  <c r="E14392" i="2"/>
  <c r="D14392" i="2"/>
  <c r="C14392" i="2"/>
  <c r="B14392" i="2"/>
  <c r="A14392" i="2"/>
  <c r="E14391" i="2"/>
  <c r="D14391" i="2"/>
  <c r="C14391" i="2"/>
  <c r="B14391" i="2"/>
  <c r="A14391" i="2"/>
  <c r="E14390" i="2"/>
  <c r="D14390" i="2"/>
  <c r="C14390" i="2"/>
  <c r="B14390" i="2"/>
  <c r="A14390" i="2"/>
  <c r="E14389" i="2"/>
  <c r="D14389" i="2"/>
  <c r="C14389" i="2"/>
  <c r="B14389" i="2"/>
  <c r="A14389" i="2"/>
  <c r="E14388" i="2"/>
  <c r="D14388" i="2"/>
  <c r="C14388" i="2"/>
  <c r="B14388" i="2"/>
  <c r="A14388" i="2"/>
  <c r="E14387" i="2"/>
  <c r="D14387" i="2"/>
  <c r="C14387" i="2"/>
  <c r="B14387" i="2"/>
  <c r="A14387" i="2"/>
  <c r="E14386" i="2"/>
  <c r="D14386" i="2"/>
  <c r="C14386" i="2"/>
  <c r="B14386" i="2"/>
  <c r="A14386" i="2"/>
  <c r="E14385" i="2"/>
  <c r="D14385" i="2"/>
  <c r="C14385" i="2"/>
  <c r="B14385" i="2"/>
  <c r="A14385" i="2"/>
  <c r="E14384" i="2"/>
  <c r="D14384" i="2"/>
  <c r="C14384" i="2"/>
  <c r="B14384" i="2"/>
  <c r="A14384" i="2"/>
  <c r="E14383" i="2"/>
  <c r="D14383" i="2"/>
  <c r="C14383" i="2"/>
  <c r="B14383" i="2"/>
  <c r="A14383" i="2"/>
  <c r="E14382" i="2"/>
  <c r="D14382" i="2"/>
  <c r="C14382" i="2"/>
  <c r="B14382" i="2"/>
  <c r="A14382" i="2"/>
  <c r="E14381" i="2"/>
  <c r="D14381" i="2"/>
  <c r="C14381" i="2"/>
  <c r="B14381" i="2"/>
  <c r="A14381" i="2"/>
  <c r="E14380" i="2"/>
  <c r="D14380" i="2"/>
  <c r="C14380" i="2"/>
  <c r="B14380" i="2"/>
  <c r="A14380" i="2"/>
  <c r="E14379" i="2"/>
  <c r="D14379" i="2"/>
  <c r="C14379" i="2"/>
  <c r="B14379" i="2"/>
  <c r="A14379" i="2"/>
  <c r="E14378" i="2"/>
  <c r="D14378" i="2"/>
  <c r="C14378" i="2"/>
  <c r="B14378" i="2"/>
  <c r="A14378" i="2"/>
  <c r="E14377" i="2"/>
  <c r="D14377" i="2"/>
  <c r="C14377" i="2"/>
  <c r="B14377" i="2"/>
  <c r="A14377" i="2"/>
  <c r="E14376" i="2"/>
  <c r="D14376" i="2"/>
  <c r="C14376" i="2"/>
  <c r="B14376" i="2"/>
  <c r="A14376" i="2"/>
  <c r="E14375" i="2"/>
  <c r="D14375" i="2"/>
  <c r="C14375" i="2"/>
  <c r="B14375" i="2"/>
  <c r="A14375" i="2"/>
  <c r="E14374" i="2"/>
  <c r="D14374" i="2"/>
  <c r="C14374" i="2"/>
  <c r="B14374" i="2"/>
  <c r="A14374" i="2"/>
  <c r="E14373" i="2"/>
  <c r="D14373" i="2"/>
  <c r="C14373" i="2"/>
  <c r="B14373" i="2"/>
  <c r="A14373" i="2"/>
  <c r="E14372" i="2"/>
  <c r="D14372" i="2"/>
  <c r="C14372" i="2"/>
  <c r="B14372" i="2"/>
  <c r="A14372" i="2"/>
  <c r="E14371" i="2"/>
  <c r="D14371" i="2"/>
  <c r="C14371" i="2"/>
  <c r="B14371" i="2"/>
  <c r="A14371" i="2"/>
  <c r="E14370" i="2"/>
  <c r="D14370" i="2"/>
  <c r="C14370" i="2"/>
  <c r="B14370" i="2"/>
  <c r="A14370" i="2"/>
  <c r="E14369" i="2"/>
  <c r="D14369" i="2"/>
  <c r="C14369" i="2"/>
  <c r="B14369" i="2"/>
  <c r="A14369" i="2"/>
  <c r="E14368" i="2"/>
  <c r="D14368" i="2"/>
  <c r="C14368" i="2"/>
  <c r="B14368" i="2"/>
  <c r="A14368" i="2"/>
  <c r="E14367" i="2"/>
  <c r="D14367" i="2"/>
  <c r="C14367" i="2"/>
  <c r="B14367" i="2"/>
  <c r="A14367" i="2"/>
  <c r="E14366" i="2"/>
  <c r="D14366" i="2"/>
  <c r="C14366" i="2"/>
  <c r="B14366" i="2"/>
  <c r="A14366" i="2"/>
  <c r="E14365" i="2"/>
  <c r="D14365" i="2"/>
  <c r="C14365" i="2"/>
  <c r="B14365" i="2"/>
  <c r="A14365" i="2"/>
  <c r="E14364" i="2"/>
  <c r="D14364" i="2"/>
  <c r="C14364" i="2"/>
  <c r="B14364" i="2"/>
  <c r="A14364" i="2"/>
  <c r="E14363" i="2"/>
  <c r="D14363" i="2"/>
  <c r="C14363" i="2"/>
  <c r="B14363" i="2"/>
  <c r="A14363" i="2"/>
  <c r="E14362" i="2"/>
  <c r="D14362" i="2"/>
  <c r="C14362" i="2"/>
  <c r="B14362" i="2"/>
  <c r="A14362" i="2"/>
  <c r="E14361" i="2"/>
  <c r="D14361" i="2"/>
  <c r="C14361" i="2"/>
  <c r="B14361" i="2"/>
  <c r="A14361" i="2"/>
  <c r="E14360" i="2"/>
  <c r="D14360" i="2"/>
  <c r="C14360" i="2"/>
  <c r="B14360" i="2"/>
  <c r="A14360" i="2"/>
  <c r="E14359" i="2"/>
  <c r="D14359" i="2"/>
  <c r="C14359" i="2"/>
  <c r="B14359" i="2"/>
  <c r="A14359" i="2"/>
  <c r="E14358" i="2"/>
  <c r="D14358" i="2"/>
  <c r="C14358" i="2"/>
  <c r="B14358" i="2"/>
  <c r="A14358" i="2"/>
  <c r="E14357" i="2"/>
  <c r="D14357" i="2"/>
  <c r="C14357" i="2"/>
  <c r="B14357" i="2"/>
  <c r="A14357" i="2"/>
  <c r="E14356" i="2"/>
  <c r="D14356" i="2"/>
  <c r="C14356" i="2"/>
  <c r="B14356" i="2"/>
  <c r="A14356" i="2"/>
  <c r="E14355" i="2"/>
  <c r="D14355" i="2"/>
  <c r="C14355" i="2"/>
  <c r="B14355" i="2"/>
  <c r="A14355" i="2"/>
  <c r="E14354" i="2"/>
  <c r="D14354" i="2"/>
  <c r="C14354" i="2"/>
  <c r="B14354" i="2"/>
  <c r="A14354" i="2"/>
  <c r="E14353" i="2"/>
  <c r="D14353" i="2"/>
  <c r="C14353" i="2"/>
  <c r="B14353" i="2"/>
  <c r="A14353" i="2"/>
  <c r="E14352" i="2"/>
  <c r="D14352" i="2"/>
  <c r="C14352" i="2"/>
  <c r="B14352" i="2"/>
  <c r="A14352" i="2"/>
  <c r="E14351" i="2"/>
  <c r="D14351" i="2"/>
  <c r="C14351" i="2"/>
  <c r="B14351" i="2"/>
  <c r="A14351" i="2"/>
  <c r="E14350" i="2"/>
  <c r="D14350" i="2"/>
  <c r="C14350" i="2"/>
  <c r="B14350" i="2"/>
  <c r="A14350" i="2"/>
  <c r="E14349" i="2"/>
  <c r="D14349" i="2"/>
  <c r="C14349" i="2"/>
  <c r="B14349" i="2"/>
  <c r="A14349" i="2"/>
  <c r="E14348" i="2"/>
  <c r="D14348" i="2"/>
  <c r="C14348" i="2"/>
  <c r="B14348" i="2"/>
  <c r="A14348" i="2"/>
  <c r="E14347" i="2"/>
  <c r="D14347" i="2"/>
  <c r="C14347" i="2"/>
  <c r="B14347" i="2"/>
  <c r="A14347" i="2"/>
  <c r="E14346" i="2"/>
  <c r="D14346" i="2"/>
  <c r="C14346" i="2"/>
  <c r="B14346" i="2"/>
  <c r="A14346" i="2"/>
  <c r="E14345" i="2"/>
  <c r="D14345" i="2"/>
  <c r="C14345" i="2"/>
  <c r="B14345" i="2"/>
  <c r="A14345" i="2"/>
  <c r="E14344" i="2"/>
  <c r="D14344" i="2"/>
  <c r="C14344" i="2"/>
  <c r="B14344" i="2"/>
  <c r="A14344" i="2"/>
  <c r="E14343" i="2"/>
  <c r="D14343" i="2"/>
  <c r="C14343" i="2"/>
  <c r="B14343" i="2"/>
  <c r="A14343" i="2"/>
  <c r="E14342" i="2"/>
  <c r="D14342" i="2"/>
  <c r="C14342" i="2"/>
  <c r="B14342" i="2"/>
  <c r="A14342" i="2"/>
  <c r="E14341" i="2"/>
  <c r="D14341" i="2"/>
  <c r="C14341" i="2"/>
  <c r="B14341" i="2"/>
  <c r="A14341" i="2"/>
  <c r="E14340" i="2"/>
  <c r="D14340" i="2"/>
  <c r="C14340" i="2"/>
  <c r="B14340" i="2"/>
  <c r="A14340" i="2"/>
  <c r="E14339" i="2"/>
  <c r="D14339" i="2"/>
  <c r="C14339" i="2"/>
  <c r="B14339" i="2"/>
  <c r="A14339" i="2"/>
  <c r="E14338" i="2"/>
  <c r="D14338" i="2"/>
  <c r="C14338" i="2"/>
  <c r="B14338" i="2"/>
  <c r="A14338" i="2"/>
  <c r="E14337" i="2"/>
  <c r="D14337" i="2"/>
  <c r="C14337" i="2"/>
  <c r="B14337" i="2"/>
  <c r="A14337" i="2"/>
  <c r="E14336" i="2"/>
  <c r="D14336" i="2"/>
  <c r="C14336" i="2"/>
  <c r="B14336" i="2"/>
  <c r="A14336" i="2"/>
  <c r="E14335" i="2"/>
  <c r="D14335" i="2"/>
  <c r="C14335" i="2"/>
  <c r="B14335" i="2"/>
  <c r="A14335" i="2"/>
  <c r="E14334" i="2"/>
  <c r="D14334" i="2"/>
  <c r="C14334" i="2"/>
  <c r="B14334" i="2"/>
  <c r="A14334" i="2"/>
  <c r="E14333" i="2"/>
  <c r="D14333" i="2"/>
  <c r="C14333" i="2"/>
  <c r="B14333" i="2"/>
  <c r="A14333" i="2"/>
  <c r="E14332" i="2"/>
  <c r="D14332" i="2"/>
  <c r="C14332" i="2"/>
  <c r="B14332" i="2"/>
  <c r="A14332" i="2"/>
  <c r="E14331" i="2"/>
  <c r="D14331" i="2"/>
  <c r="C14331" i="2"/>
  <c r="B14331" i="2"/>
  <c r="A14331" i="2"/>
  <c r="E14330" i="2"/>
  <c r="D14330" i="2"/>
  <c r="C14330" i="2"/>
  <c r="B14330" i="2"/>
  <c r="A14330" i="2"/>
  <c r="E14329" i="2"/>
  <c r="D14329" i="2"/>
  <c r="C14329" i="2"/>
  <c r="B14329" i="2"/>
  <c r="A14329" i="2"/>
  <c r="E14328" i="2"/>
  <c r="D14328" i="2"/>
  <c r="C14328" i="2"/>
  <c r="B14328" i="2"/>
  <c r="A14328" i="2"/>
  <c r="E14327" i="2"/>
  <c r="D14327" i="2"/>
  <c r="C14327" i="2"/>
  <c r="B14327" i="2"/>
  <c r="A14327" i="2"/>
  <c r="E14326" i="2"/>
  <c r="D14326" i="2"/>
  <c r="C14326" i="2"/>
  <c r="B14326" i="2"/>
  <c r="A14326" i="2"/>
  <c r="E14325" i="2"/>
  <c r="D14325" i="2"/>
  <c r="C14325" i="2"/>
  <c r="B14325" i="2"/>
  <c r="A14325" i="2"/>
  <c r="E14324" i="2"/>
  <c r="D14324" i="2"/>
  <c r="C14324" i="2"/>
  <c r="B14324" i="2"/>
  <c r="A14324" i="2"/>
  <c r="E14323" i="2"/>
  <c r="D14323" i="2"/>
  <c r="C14323" i="2"/>
  <c r="B14323" i="2"/>
  <c r="A14323" i="2"/>
  <c r="E14322" i="2"/>
  <c r="D14322" i="2"/>
  <c r="C14322" i="2"/>
  <c r="B14322" i="2"/>
  <c r="A14322" i="2"/>
  <c r="E14321" i="2"/>
  <c r="D14321" i="2"/>
  <c r="C14321" i="2"/>
  <c r="B14321" i="2"/>
  <c r="A14321" i="2"/>
  <c r="E14320" i="2"/>
  <c r="D14320" i="2"/>
  <c r="C14320" i="2"/>
  <c r="B14320" i="2"/>
  <c r="A14320" i="2"/>
  <c r="E14319" i="2"/>
  <c r="D14319" i="2"/>
  <c r="C14319" i="2"/>
  <c r="B14319" i="2"/>
  <c r="A14319" i="2"/>
  <c r="E14318" i="2"/>
  <c r="D14318" i="2"/>
  <c r="C14318" i="2"/>
  <c r="B14318" i="2"/>
  <c r="A14318" i="2"/>
  <c r="E14317" i="2"/>
  <c r="D14317" i="2"/>
  <c r="C14317" i="2"/>
  <c r="B14317" i="2"/>
  <c r="A14317" i="2"/>
  <c r="E14316" i="2"/>
  <c r="D14316" i="2"/>
  <c r="C14316" i="2"/>
  <c r="B14316" i="2"/>
  <c r="A14316" i="2"/>
  <c r="E14315" i="2"/>
  <c r="D14315" i="2"/>
  <c r="C14315" i="2"/>
  <c r="B14315" i="2"/>
  <c r="A14315" i="2"/>
  <c r="E14314" i="2"/>
  <c r="D14314" i="2"/>
  <c r="C14314" i="2"/>
  <c r="B14314" i="2"/>
  <c r="A14314" i="2"/>
  <c r="E14313" i="2"/>
  <c r="D14313" i="2"/>
  <c r="C14313" i="2"/>
  <c r="B14313" i="2"/>
  <c r="A14313" i="2"/>
  <c r="E14312" i="2"/>
  <c r="D14312" i="2"/>
  <c r="C14312" i="2"/>
  <c r="B14312" i="2"/>
  <c r="A14312" i="2"/>
  <c r="E14311" i="2"/>
  <c r="D14311" i="2"/>
  <c r="C14311" i="2"/>
  <c r="B14311" i="2"/>
  <c r="A14311" i="2"/>
  <c r="E14310" i="2"/>
  <c r="D14310" i="2"/>
  <c r="C14310" i="2"/>
  <c r="B14310" i="2"/>
  <c r="A14310" i="2"/>
  <c r="E14309" i="2"/>
  <c r="D14309" i="2"/>
  <c r="C14309" i="2"/>
  <c r="B14309" i="2"/>
  <c r="A14309" i="2"/>
  <c r="E14308" i="2"/>
  <c r="D14308" i="2"/>
  <c r="C14308" i="2"/>
  <c r="B14308" i="2"/>
  <c r="A14308" i="2"/>
  <c r="E14307" i="2"/>
  <c r="D14307" i="2"/>
  <c r="C14307" i="2"/>
  <c r="B14307" i="2"/>
  <c r="A14307" i="2"/>
  <c r="E14306" i="2"/>
  <c r="D14306" i="2"/>
  <c r="C14306" i="2"/>
  <c r="B14306" i="2"/>
  <c r="A14306" i="2"/>
  <c r="E14305" i="2"/>
  <c r="D14305" i="2"/>
  <c r="C14305" i="2"/>
  <c r="B14305" i="2"/>
  <c r="A14305" i="2"/>
  <c r="E14304" i="2"/>
  <c r="D14304" i="2"/>
  <c r="C14304" i="2"/>
  <c r="B14304" i="2"/>
  <c r="A14304" i="2"/>
  <c r="E14303" i="2"/>
  <c r="D14303" i="2"/>
  <c r="C14303" i="2"/>
  <c r="B14303" i="2"/>
  <c r="A14303" i="2"/>
  <c r="E14302" i="2"/>
  <c r="D14302" i="2"/>
  <c r="C14302" i="2"/>
  <c r="B14302" i="2"/>
  <c r="A14302" i="2"/>
  <c r="E14301" i="2"/>
  <c r="D14301" i="2"/>
  <c r="C14301" i="2"/>
  <c r="B14301" i="2"/>
  <c r="A14301" i="2"/>
  <c r="E14300" i="2"/>
  <c r="D14300" i="2"/>
  <c r="C14300" i="2"/>
  <c r="B14300" i="2"/>
  <c r="A14300" i="2"/>
  <c r="E14299" i="2"/>
  <c r="D14299" i="2"/>
  <c r="C14299" i="2"/>
  <c r="B14299" i="2"/>
  <c r="A14299" i="2"/>
  <c r="E14298" i="2"/>
  <c r="D14298" i="2"/>
  <c r="C14298" i="2"/>
  <c r="B14298" i="2"/>
  <c r="A14298" i="2"/>
  <c r="E14297" i="2"/>
  <c r="D14297" i="2"/>
  <c r="C14297" i="2"/>
  <c r="B14297" i="2"/>
  <c r="A14297" i="2"/>
  <c r="E14296" i="2"/>
  <c r="D14296" i="2"/>
  <c r="C14296" i="2"/>
  <c r="B14296" i="2"/>
  <c r="A14296" i="2"/>
  <c r="E14295" i="2"/>
  <c r="D14295" i="2"/>
  <c r="C14295" i="2"/>
  <c r="B14295" i="2"/>
  <c r="A14295" i="2"/>
  <c r="E14294" i="2"/>
  <c r="D14294" i="2"/>
  <c r="C14294" i="2"/>
  <c r="B14294" i="2"/>
  <c r="A14294" i="2"/>
  <c r="E14293" i="2"/>
  <c r="D14293" i="2"/>
  <c r="C14293" i="2"/>
  <c r="B14293" i="2"/>
  <c r="A14293" i="2"/>
  <c r="E14292" i="2"/>
  <c r="D14292" i="2"/>
  <c r="C14292" i="2"/>
  <c r="B14292" i="2"/>
  <c r="A14292" i="2"/>
  <c r="E14291" i="2"/>
  <c r="D14291" i="2"/>
  <c r="C14291" i="2"/>
  <c r="B14291" i="2"/>
  <c r="A14291" i="2"/>
  <c r="E14290" i="2"/>
  <c r="D14290" i="2"/>
  <c r="C14290" i="2"/>
  <c r="B14290" i="2"/>
  <c r="A14290" i="2"/>
  <c r="E14289" i="2"/>
  <c r="D14289" i="2"/>
  <c r="C14289" i="2"/>
  <c r="B14289" i="2"/>
  <c r="A14289" i="2"/>
  <c r="E14288" i="2"/>
  <c r="D14288" i="2"/>
  <c r="C14288" i="2"/>
  <c r="B14288" i="2"/>
  <c r="A14288" i="2"/>
  <c r="E14287" i="2"/>
  <c r="D14287" i="2"/>
  <c r="C14287" i="2"/>
  <c r="B14287" i="2"/>
  <c r="A14287" i="2"/>
  <c r="E14286" i="2"/>
  <c r="D14286" i="2"/>
  <c r="C14286" i="2"/>
  <c r="B14286" i="2"/>
  <c r="A14286" i="2"/>
  <c r="E14285" i="2"/>
  <c r="D14285" i="2"/>
  <c r="C14285" i="2"/>
  <c r="B14285" i="2"/>
  <c r="A14285" i="2"/>
  <c r="E14284" i="2"/>
  <c r="D14284" i="2"/>
  <c r="C14284" i="2"/>
  <c r="B14284" i="2"/>
  <c r="A14284" i="2"/>
  <c r="E14283" i="2"/>
  <c r="D14283" i="2"/>
  <c r="C14283" i="2"/>
  <c r="B14283" i="2"/>
  <c r="A14283" i="2"/>
  <c r="E14282" i="2"/>
  <c r="D14282" i="2"/>
  <c r="C14282" i="2"/>
  <c r="B14282" i="2"/>
  <c r="A14282" i="2"/>
  <c r="E14281" i="2"/>
  <c r="D14281" i="2"/>
  <c r="C14281" i="2"/>
  <c r="B14281" i="2"/>
  <c r="A14281" i="2"/>
  <c r="E14280" i="2"/>
  <c r="D14280" i="2"/>
  <c r="C14280" i="2"/>
  <c r="B14280" i="2"/>
  <c r="A14280" i="2"/>
  <c r="E14279" i="2"/>
  <c r="D14279" i="2"/>
  <c r="C14279" i="2"/>
  <c r="B14279" i="2"/>
  <c r="A14279" i="2"/>
  <c r="E14278" i="2"/>
  <c r="D14278" i="2"/>
  <c r="C14278" i="2"/>
  <c r="B14278" i="2"/>
  <c r="A14278" i="2"/>
  <c r="E14277" i="2"/>
  <c r="D14277" i="2"/>
  <c r="C14277" i="2"/>
  <c r="B14277" i="2"/>
  <c r="A14277" i="2"/>
  <c r="E14276" i="2"/>
  <c r="D14276" i="2"/>
  <c r="C14276" i="2"/>
  <c r="B14276" i="2"/>
  <c r="A14276" i="2"/>
  <c r="E14275" i="2"/>
  <c r="D14275" i="2"/>
  <c r="C14275" i="2"/>
  <c r="B14275" i="2"/>
  <c r="A14275" i="2"/>
  <c r="E14274" i="2"/>
  <c r="D14274" i="2"/>
  <c r="C14274" i="2"/>
  <c r="B14274" i="2"/>
  <c r="A14274" i="2"/>
  <c r="E14273" i="2"/>
  <c r="D14273" i="2"/>
  <c r="C14273" i="2"/>
  <c r="B14273" i="2"/>
  <c r="A14273" i="2"/>
  <c r="E14272" i="2"/>
  <c r="D14272" i="2"/>
  <c r="C14272" i="2"/>
  <c r="B14272" i="2"/>
  <c r="A14272" i="2"/>
  <c r="E14271" i="2"/>
  <c r="D14271" i="2"/>
  <c r="C14271" i="2"/>
  <c r="B14271" i="2"/>
  <c r="A14271" i="2"/>
  <c r="E14270" i="2"/>
  <c r="D14270" i="2"/>
  <c r="C14270" i="2"/>
  <c r="B14270" i="2"/>
  <c r="A14270" i="2"/>
  <c r="E14269" i="2"/>
  <c r="D14269" i="2"/>
  <c r="C14269" i="2"/>
  <c r="B14269" i="2"/>
  <c r="A14269" i="2"/>
  <c r="E14268" i="2"/>
  <c r="D14268" i="2"/>
  <c r="C14268" i="2"/>
  <c r="B14268" i="2"/>
  <c r="A14268" i="2"/>
  <c r="E14267" i="2"/>
  <c r="D14267" i="2"/>
  <c r="C14267" i="2"/>
  <c r="B14267" i="2"/>
  <c r="A14267" i="2"/>
  <c r="E14266" i="2"/>
  <c r="D14266" i="2"/>
  <c r="C14266" i="2"/>
  <c r="B14266" i="2"/>
  <c r="A14266" i="2"/>
  <c r="E14265" i="2"/>
  <c r="D14265" i="2"/>
  <c r="C14265" i="2"/>
  <c r="B14265" i="2"/>
  <c r="A14265" i="2"/>
  <c r="E14264" i="2"/>
  <c r="D14264" i="2"/>
  <c r="C14264" i="2"/>
  <c r="B14264" i="2"/>
  <c r="A14264" i="2"/>
  <c r="E14263" i="2"/>
  <c r="D14263" i="2"/>
  <c r="C14263" i="2"/>
  <c r="B14263" i="2"/>
  <c r="A14263" i="2"/>
  <c r="E14262" i="2"/>
  <c r="D14262" i="2"/>
  <c r="C14262" i="2"/>
  <c r="B14262" i="2"/>
  <c r="A14262" i="2"/>
  <c r="E14261" i="2"/>
  <c r="D14261" i="2"/>
  <c r="C14261" i="2"/>
  <c r="B14261" i="2"/>
  <c r="A14261" i="2"/>
  <c r="E14260" i="2"/>
  <c r="D14260" i="2"/>
  <c r="C14260" i="2"/>
  <c r="B14260" i="2"/>
  <c r="A14260" i="2"/>
  <c r="E14259" i="2"/>
  <c r="D14259" i="2"/>
  <c r="C14259" i="2"/>
  <c r="B14259" i="2"/>
  <c r="A14259" i="2"/>
  <c r="E14258" i="2"/>
  <c r="D14258" i="2"/>
  <c r="C14258" i="2"/>
  <c r="B14258" i="2"/>
  <c r="A14258" i="2"/>
  <c r="E14257" i="2"/>
  <c r="D14257" i="2"/>
  <c r="C14257" i="2"/>
  <c r="B14257" i="2"/>
  <c r="A14257" i="2"/>
  <c r="E14256" i="2"/>
  <c r="D14256" i="2"/>
  <c r="C14256" i="2"/>
  <c r="B14256" i="2"/>
  <c r="A14256" i="2"/>
  <c r="E14255" i="2"/>
  <c r="D14255" i="2"/>
  <c r="C14255" i="2"/>
  <c r="B14255" i="2"/>
  <c r="A14255" i="2"/>
  <c r="E14254" i="2"/>
  <c r="D14254" i="2"/>
  <c r="C14254" i="2"/>
  <c r="B14254" i="2"/>
  <c r="A14254" i="2"/>
  <c r="E14253" i="2"/>
  <c r="D14253" i="2"/>
  <c r="C14253" i="2"/>
  <c r="B14253" i="2"/>
  <c r="A14253" i="2"/>
  <c r="E14252" i="2"/>
  <c r="D14252" i="2"/>
  <c r="C14252" i="2"/>
  <c r="B14252" i="2"/>
  <c r="A14252" i="2"/>
  <c r="E14251" i="2"/>
  <c r="D14251" i="2"/>
  <c r="C14251" i="2"/>
  <c r="B14251" i="2"/>
  <c r="A14251" i="2"/>
  <c r="E14250" i="2"/>
  <c r="D14250" i="2"/>
  <c r="C14250" i="2"/>
  <c r="B14250" i="2"/>
  <c r="A14250" i="2"/>
  <c r="E14249" i="2"/>
  <c r="D14249" i="2"/>
  <c r="C14249" i="2"/>
  <c r="B14249" i="2"/>
  <c r="A14249" i="2"/>
  <c r="E14248" i="2"/>
  <c r="D14248" i="2"/>
  <c r="C14248" i="2"/>
  <c r="B14248" i="2"/>
  <c r="A14248" i="2"/>
  <c r="E14247" i="2"/>
  <c r="D14247" i="2"/>
  <c r="C14247" i="2"/>
  <c r="B14247" i="2"/>
  <c r="A14247" i="2"/>
  <c r="E14246" i="2"/>
  <c r="D14246" i="2"/>
  <c r="C14246" i="2"/>
  <c r="B14246" i="2"/>
  <c r="A14246" i="2"/>
  <c r="E14245" i="2"/>
  <c r="D14245" i="2"/>
  <c r="C14245" i="2"/>
  <c r="B14245" i="2"/>
  <c r="A14245" i="2"/>
  <c r="E14244" i="2"/>
  <c r="D14244" i="2"/>
  <c r="C14244" i="2"/>
  <c r="B14244" i="2"/>
  <c r="A14244" i="2"/>
  <c r="E14243" i="2"/>
  <c r="D14243" i="2"/>
  <c r="C14243" i="2"/>
  <c r="B14243" i="2"/>
  <c r="A14243" i="2"/>
  <c r="E14242" i="2"/>
  <c r="D14242" i="2"/>
  <c r="C14242" i="2"/>
  <c r="B14242" i="2"/>
  <c r="A14242" i="2"/>
  <c r="E14241" i="2"/>
  <c r="D14241" i="2"/>
  <c r="C14241" i="2"/>
  <c r="B14241" i="2"/>
  <c r="A14241" i="2"/>
  <c r="E14240" i="2"/>
  <c r="D14240" i="2"/>
  <c r="C14240" i="2"/>
  <c r="B14240" i="2"/>
  <c r="A14240" i="2"/>
  <c r="E14239" i="2"/>
  <c r="D14239" i="2"/>
  <c r="C14239" i="2"/>
  <c r="B14239" i="2"/>
  <c r="A14239" i="2"/>
  <c r="E14238" i="2"/>
  <c r="D14238" i="2"/>
  <c r="C14238" i="2"/>
  <c r="B14238" i="2"/>
  <c r="A14238" i="2"/>
  <c r="E14237" i="2"/>
  <c r="D14237" i="2"/>
  <c r="C14237" i="2"/>
  <c r="B14237" i="2"/>
  <c r="A14237" i="2"/>
  <c r="E14236" i="2"/>
  <c r="D14236" i="2"/>
  <c r="C14236" i="2"/>
  <c r="B14236" i="2"/>
  <c r="A14236" i="2"/>
  <c r="E14235" i="2"/>
  <c r="D14235" i="2"/>
  <c r="C14235" i="2"/>
  <c r="B14235" i="2"/>
  <c r="A14235" i="2"/>
  <c r="E14234" i="2"/>
  <c r="D14234" i="2"/>
  <c r="C14234" i="2"/>
  <c r="B14234" i="2"/>
  <c r="A14234" i="2"/>
  <c r="E14233" i="2"/>
  <c r="D14233" i="2"/>
  <c r="C14233" i="2"/>
  <c r="B14233" i="2"/>
  <c r="A14233" i="2"/>
  <c r="E14232" i="2"/>
  <c r="D14232" i="2"/>
  <c r="C14232" i="2"/>
  <c r="B14232" i="2"/>
  <c r="A14232" i="2"/>
  <c r="E14231" i="2"/>
  <c r="D14231" i="2"/>
  <c r="C14231" i="2"/>
  <c r="B14231" i="2"/>
  <c r="A14231" i="2"/>
  <c r="E14230" i="2"/>
  <c r="D14230" i="2"/>
  <c r="C14230" i="2"/>
  <c r="B14230" i="2"/>
  <c r="A14230" i="2"/>
  <c r="E14229" i="2"/>
  <c r="D14229" i="2"/>
  <c r="C14229" i="2"/>
  <c r="B14229" i="2"/>
  <c r="A14229" i="2"/>
  <c r="E14228" i="2"/>
  <c r="D14228" i="2"/>
  <c r="C14228" i="2"/>
  <c r="B14228" i="2"/>
  <c r="A14228" i="2"/>
  <c r="E14227" i="2"/>
  <c r="D14227" i="2"/>
  <c r="C14227" i="2"/>
  <c r="B14227" i="2"/>
  <c r="A14227" i="2"/>
  <c r="E14226" i="2"/>
  <c r="D14226" i="2"/>
  <c r="C14226" i="2"/>
  <c r="B14226" i="2"/>
  <c r="A14226" i="2"/>
  <c r="E14225" i="2"/>
  <c r="D14225" i="2"/>
  <c r="C14225" i="2"/>
  <c r="B14225" i="2"/>
  <c r="A14225" i="2"/>
  <c r="E14224" i="2"/>
  <c r="D14224" i="2"/>
  <c r="C14224" i="2"/>
  <c r="B14224" i="2"/>
  <c r="A14224" i="2"/>
  <c r="E14223" i="2"/>
  <c r="D14223" i="2"/>
  <c r="C14223" i="2"/>
  <c r="B14223" i="2"/>
  <c r="A14223" i="2"/>
  <c r="E14222" i="2"/>
  <c r="D14222" i="2"/>
  <c r="C14222" i="2"/>
  <c r="B14222" i="2"/>
  <c r="A14222" i="2"/>
  <c r="E14221" i="2"/>
  <c r="D14221" i="2"/>
  <c r="C14221" i="2"/>
  <c r="B14221" i="2"/>
  <c r="A14221" i="2"/>
  <c r="E14220" i="2"/>
  <c r="D14220" i="2"/>
  <c r="C14220" i="2"/>
  <c r="B14220" i="2"/>
  <c r="A14220" i="2"/>
  <c r="E14219" i="2"/>
  <c r="D14219" i="2"/>
  <c r="C14219" i="2"/>
  <c r="B14219" i="2"/>
  <c r="A14219" i="2"/>
  <c r="E14218" i="2"/>
  <c r="D14218" i="2"/>
  <c r="C14218" i="2"/>
  <c r="B14218" i="2"/>
  <c r="A14218" i="2"/>
  <c r="E14217" i="2"/>
  <c r="D14217" i="2"/>
  <c r="C14217" i="2"/>
  <c r="B14217" i="2"/>
  <c r="A14217" i="2"/>
  <c r="E14216" i="2"/>
  <c r="D14216" i="2"/>
  <c r="C14216" i="2"/>
  <c r="B14216" i="2"/>
  <c r="A14216" i="2"/>
  <c r="E14215" i="2"/>
  <c r="D14215" i="2"/>
  <c r="C14215" i="2"/>
  <c r="B14215" i="2"/>
  <c r="A14215" i="2"/>
  <c r="E14214" i="2"/>
  <c r="D14214" i="2"/>
  <c r="C14214" i="2"/>
  <c r="B14214" i="2"/>
  <c r="A14214" i="2"/>
  <c r="E14213" i="2"/>
  <c r="D14213" i="2"/>
  <c r="C14213" i="2"/>
  <c r="B14213" i="2"/>
  <c r="A14213" i="2"/>
  <c r="E14212" i="2"/>
  <c r="D14212" i="2"/>
  <c r="C14212" i="2"/>
  <c r="B14212" i="2"/>
  <c r="A14212" i="2"/>
  <c r="E14211" i="2"/>
  <c r="D14211" i="2"/>
  <c r="C14211" i="2"/>
  <c r="B14211" i="2"/>
  <c r="A14211" i="2"/>
  <c r="E14210" i="2"/>
  <c r="D14210" i="2"/>
  <c r="C14210" i="2"/>
  <c r="B14210" i="2"/>
  <c r="A14210" i="2"/>
  <c r="E14209" i="2"/>
  <c r="D14209" i="2"/>
  <c r="C14209" i="2"/>
  <c r="B14209" i="2"/>
  <c r="A14209" i="2"/>
  <c r="E14208" i="2"/>
  <c r="D14208" i="2"/>
  <c r="C14208" i="2"/>
  <c r="B14208" i="2"/>
  <c r="A14208" i="2"/>
  <c r="E14207" i="2"/>
  <c r="D14207" i="2"/>
  <c r="C14207" i="2"/>
  <c r="B14207" i="2"/>
  <c r="A14207" i="2"/>
  <c r="E14206" i="2"/>
  <c r="D14206" i="2"/>
  <c r="C14206" i="2"/>
  <c r="B14206" i="2"/>
  <c r="A14206" i="2"/>
  <c r="E14205" i="2"/>
  <c r="D14205" i="2"/>
  <c r="C14205" i="2"/>
  <c r="B14205" i="2"/>
  <c r="A14205" i="2"/>
  <c r="E14204" i="2"/>
  <c r="D14204" i="2"/>
  <c r="C14204" i="2"/>
  <c r="B14204" i="2"/>
  <c r="A14204" i="2"/>
  <c r="E14203" i="2"/>
  <c r="D14203" i="2"/>
  <c r="C14203" i="2"/>
  <c r="B14203" i="2"/>
  <c r="A14203" i="2"/>
  <c r="E14202" i="2"/>
  <c r="D14202" i="2"/>
  <c r="C14202" i="2"/>
  <c r="B14202" i="2"/>
  <c r="A14202" i="2"/>
  <c r="E14201" i="2"/>
  <c r="D14201" i="2"/>
  <c r="C14201" i="2"/>
  <c r="B14201" i="2"/>
  <c r="A14201" i="2"/>
  <c r="E14200" i="2"/>
  <c r="D14200" i="2"/>
  <c r="C14200" i="2"/>
  <c r="B14200" i="2"/>
  <c r="A14200" i="2"/>
  <c r="E14199" i="2"/>
  <c r="D14199" i="2"/>
  <c r="C14199" i="2"/>
  <c r="B14199" i="2"/>
  <c r="A14199" i="2"/>
  <c r="E14198" i="2"/>
  <c r="D14198" i="2"/>
  <c r="C14198" i="2"/>
  <c r="B14198" i="2"/>
  <c r="A14198" i="2"/>
  <c r="E14197" i="2"/>
  <c r="D14197" i="2"/>
  <c r="C14197" i="2"/>
  <c r="B14197" i="2"/>
  <c r="A14197" i="2"/>
  <c r="E14196" i="2"/>
  <c r="D14196" i="2"/>
  <c r="C14196" i="2"/>
  <c r="B14196" i="2"/>
  <c r="A14196" i="2"/>
  <c r="E14195" i="2"/>
  <c r="D14195" i="2"/>
  <c r="C14195" i="2"/>
  <c r="B14195" i="2"/>
  <c r="A14195" i="2"/>
  <c r="E14194" i="2"/>
  <c r="D14194" i="2"/>
  <c r="C14194" i="2"/>
  <c r="B14194" i="2"/>
  <c r="A14194" i="2"/>
  <c r="E14193" i="2"/>
  <c r="D14193" i="2"/>
  <c r="C14193" i="2"/>
  <c r="B14193" i="2"/>
  <c r="A14193" i="2"/>
  <c r="E14192" i="2"/>
  <c r="D14192" i="2"/>
  <c r="C14192" i="2"/>
  <c r="B14192" i="2"/>
  <c r="A14192" i="2"/>
  <c r="E14191" i="2"/>
  <c r="D14191" i="2"/>
  <c r="C14191" i="2"/>
  <c r="B14191" i="2"/>
  <c r="A14191" i="2"/>
  <c r="E14190" i="2"/>
  <c r="D14190" i="2"/>
  <c r="C14190" i="2"/>
  <c r="B14190" i="2"/>
  <c r="A14190" i="2"/>
  <c r="E14189" i="2"/>
  <c r="D14189" i="2"/>
  <c r="C14189" i="2"/>
  <c r="B14189" i="2"/>
  <c r="A14189" i="2"/>
  <c r="E14188" i="2"/>
  <c r="D14188" i="2"/>
  <c r="C14188" i="2"/>
  <c r="B14188" i="2"/>
  <c r="A14188" i="2"/>
  <c r="E14187" i="2"/>
  <c r="D14187" i="2"/>
  <c r="C14187" i="2"/>
  <c r="B14187" i="2"/>
  <c r="A14187" i="2"/>
  <c r="E14186" i="2"/>
  <c r="D14186" i="2"/>
  <c r="C14186" i="2"/>
  <c r="B14186" i="2"/>
  <c r="A14186" i="2"/>
  <c r="E14185" i="2"/>
  <c r="D14185" i="2"/>
  <c r="C14185" i="2"/>
  <c r="B14185" i="2"/>
  <c r="A14185" i="2"/>
  <c r="E14184" i="2"/>
  <c r="D14184" i="2"/>
  <c r="C14184" i="2"/>
  <c r="B14184" i="2"/>
  <c r="A14184" i="2"/>
  <c r="E14183" i="2"/>
  <c r="D14183" i="2"/>
  <c r="C14183" i="2"/>
  <c r="B14183" i="2"/>
  <c r="A14183" i="2"/>
  <c r="E14182" i="2"/>
  <c r="D14182" i="2"/>
  <c r="C14182" i="2"/>
  <c r="B14182" i="2"/>
  <c r="A14182" i="2"/>
  <c r="E14181" i="2"/>
  <c r="D14181" i="2"/>
  <c r="C14181" i="2"/>
  <c r="B14181" i="2"/>
  <c r="A14181" i="2"/>
  <c r="E14180" i="2"/>
  <c r="D14180" i="2"/>
  <c r="C14180" i="2"/>
  <c r="B14180" i="2"/>
  <c r="A14180" i="2"/>
  <c r="E14179" i="2"/>
  <c r="D14179" i="2"/>
  <c r="C14179" i="2"/>
  <c r="B14179" i="2"/>
  <c r="A14179" i="2"/>
  <c r="E14178" i="2"/>
  <c r="D14178" i="2"/>
  <c r="C14178" i="2"/>
  <c r="B14178" i="2"/>
  <c r="A14178" i="2"/>
  <c r="E14177" i="2"/>
  <c r="D14177" i="2"/>
  <c r="C14177" i="2"/>
  <c r="B14177" i="2"/>
  <c r="A14177" i="2"/>
  <c r="E14176" i="2"/>
  <c r="D14176" i="2"/>
  <c r="C14176" i="2"/>
  <c r="B14176" i="2"/>
  <c r="A14176" i="2"/>
  <c r="E14175" i="2"/>
  <c r="D14175" i="2"/>
  <c r="C14175" i="2"/>
  <c r="B14175" i="2"/>
  <c r="A14175" i="2"/>
  <c r="E14174" i="2"/>
  <c r="D14174" i="2"/>
  <c r="C14174" i="2"/>
  <c r="B14174" i="2"/>
  <c r="A14174" i="2"/>
  <c r="E14173" i="2"/>
  <c r="D14173" i="2"/>
  <c r="C14173" i="2"/>
  <c r="B14173" i="2"/>
  <c r="A14173" i="2"/>
  <c r="E14172" i="2"/>
  <c r="D14172" i="2"/>
  <c r="C14172" i="2"/>
  <c r="B14172" i="2"/>
  <c r="A14172" i="2"/>
  <c r="E14171" i="2"/>
  <c r="D14171" i="2"/>
  <c r="C14171" i="2"/>
  <c r="B14171" i="2"/>
  <c r="A14171" i="2"/>
  <c r="E14170" i="2"/>
  <c r="D14170" i="2"/>
  <c r="C14170" i="2"/>
  <c r="B14170" i="2"/>
  <c r="A14170" i="2"/>
  <c r="E14169" i="2"/>
  <c r="D14169" i="2"/>
  <c r="C14169" i="2"/>
  <c r="B14169" i="2"/>
  <c r="A14169" i="2"/>
  <c r="E14168" i="2"/>
  <c r="D14168" i="2"/>
  <c r="C14168" i="2"/>
  <c r="B14168" i="2"/>
  <c r="A14168" i="2"/>
  <c r="E14167" i="2"/>
  <c r="D14167" i="2"/>
  <c r="C14167" i="2"/>
  <c r="B14167" i="2"/>
  <c r="A14167" i="2"/>
  <c r="E14166" i="2"/>
  <c r="D14166" i="2"/>
  <c r="C14166" i="2"/>
  <c r="B14166" i="2"/>
  <c r="A14166" i="2"/>
  <c r="E14165" i="2"/>
  <c r="D14165" i="2"/>
  <c r="C14165" i="2"/>
  <c r="B14165" i="2"/>
  <c r="A14165" i="2"/>
  <c r="E14164" i="2"/>
  <c r="D14164" i="2"/>
  <c r="C14164" i="2"/>
  <c r="B14164" i="2"/>
  <c r="A14164" i="2"/>
  <c r="E14163" i="2"/>
  <c r="D14163" i="2"/>
  <c r="C14163" i="2"/>
  <c r="B14163" i="2"/>
  <c r="A14163" i="2"/>
  <c r="E14162" i="2"/>
  <c r="D14162" i="2"/>
  <c r="C14162" i="2"/>
  <c r="B14162" i="2"/>
  <c r="A14162" i="2"/>
  <c r="E14161" i="2"/>
  <c r="D14161" i="2"/>
  <c r="C14161" i="2"/>
  <c r="B14161" i="2"/>
  <c r="A14161" i="2"/>
  <c r="E14160" i="2"/>
  <c r="D14160" i="2"/>
  <c r="C14160" i="2"/>
  <c r="B14160" i="2"/>
  <c r="A14160" i="2"/>
  <c r="E14159" i="2"/>
  <c r="D14159" i="2"/>
  <c r="C14159" i="2"/>
  <c r="B14159" i="2"/>
  <c r="A14159" i="2"/>
  <c r="E14158" i="2"/>
  <c r="D14158" i="2"/>
  <c r="C14158" i="2"/>
  <c r="B14158" i="2"/>
  <c r="A14158" i="2"/>
  <c r="E14157" i="2"/>
  <c r="D14157" i="2"/>
  <c r="C14157" i="2"/>
  <c r="B14157" i="2"/>
  <c r="A14157" i="2"/>
  <c r="E14156" i="2"/>
  <c r="D14156" i="2"/>
  <c r="C14156" i="2"/>
  <c r="B14156" i="2"/>
  <c r="A14156" i="2"/>
  <c r="E14155" i="2"/>
  <c r="D14155" i="2"/>
  <c r="C14155" i="2"/>
  <c r="B14155" i="2"/>
  <c r="A14155" i="2"/>
  <c r="E14154" i="2"/>
  <c r="D14154" i="2"/>
  <c r="C14154" i="2"/>
  <c r="B14154" i="2"/>
  <c r="A14154" i="2"/>
  <c r="E14153" i="2"/>
  <c r="D14153" i="2"/>
  <c r="C14153" i="2"/>
  <c r="B14153" i="2"/>
  <c r="A14153" i="2"/>
  <c r="E14152" i="2"/>
  <c r="D14152" i="2"/>
  <c r="C14152" i="2"/>
  <c r="B14152" i="2"/>
  <c r="A14152" i="2"/>
  <c r="E14151" i="2"/>
  <c r="D14151" i="2"/>
  <c r="C14151" i="2"/>
  <c r="B14151" i="2"/>
  <c r="A14151" i="2"/>
  <c r="E14150" i="2"/>
  <c r="D14150" i="2"/>
  <c r="C14150" i="2"/>
  <c r="B14150" i="2"/>
  <c r="A14150" i="2"/>
  <c r="E14149" i="2"/>
  <c r="D14149" i="2"/>
  <c r="C14149" i="2"/>
  <c r="B14149" i="2"/>
  <c r="A14149" i="2"/>
  <c r="E14148" i="2"/>
  <c r="D14148" i="2"/>
  <c r="C14148" i="2"/>
  <c r="B14148" i="2"/>
  <c r="A14148" i="2"/>
  <c r="E14147" i="2"/>
  <c r="D14147" i="2"/>
  <c r="C14147" i="2"/>
  <c r="B14147" i="2"/>
  <c r="A14147" i="2"/>
  <c r="E14146" i="2"/>
  <c r="D14146" i="2"/>
  <c r="C14146" i="2"/>
  <c r="B14146" i="2"/>
  <c r="A14146" i="2"/>
  <c r="E14145" i="2"/>
  <c r="D14145" i="2"/>
  <c r="C14145" i="2"/>
  <c r="B14145" i="2"/>
  <c r="A14145" i="2"/>
  <c r="E14144" i="2"/>
  <c r="D14144" i="2"/>
  <c r="C14144" i="2"/>
  <c r="B14144" i="2"/>
  <c r="A14144" i="2"/>
  <c r="E14143" i="2"/>
  <c r="D14143" i="2"/>
  <c r="C14143" i="2"/>
  <c r="B14143" i="2"/>
  <c r="A14143" i="2"/>
  <c r="E14142" i="2"/>
  <c r="D14142" i="2"/>
  <c r="C14142" i="2"/>
  <c r="B14142" i="2"/>
  <c r="A14142" i="2"/>
  <c r="E14141" i="2"/>
  <c r="D14141" i="2"/>
  <c r="C14141" i="2"/>
  <c r="B14141" i="2"/>
  <c r="A14141" i="2"/>
  <c r="E14140" i="2"/>
  <c r="D14140" i="2"/>
  <c r="C14140" i="2"/>
  <c r="B14140" i="2"/>
  <c r="A14140" i="2"/>
  <c r="E14139" i="2"/>
  <c r="D14139" i="2"/>
  <c r="C14139" i="2"/>
  <c r="B14139" i="2"/>
  <c r="A14139" i="2"/>
  <c r="E14138" i="2"/>
  <c r="D14138" i="2"/>
  <c r="C14138" i="2"/>
  <c r="B14138" i="2"/>
  <c r="A14138" i="2"/>
  <c r="E14137" i="2"/>
  <c r="D14137" i="2"/>
  <c r="C14137" i="2"/>
  <c r="B14137" i="2"/>
  <c r="A14137" i="2"/>
  <c r="E14136" i="2"/>
  <c r="D14136" i="2"/>
  <c r="C14136" i="2"/>
  <c r="B14136" i="2"/>
  <c r="A14136" i="2"/>
  <c r="E14135" i="2"/>
  <c r="D14135" i="2"/>
  <c r="C14135" i="2"/>
  <c r="B14135" i="2"/>
  <c r="A14135" i="2"/>
  <c r="E14134" i="2"/>
  <c r="D14134" i="2"/>
  <c r="C14134" i="2"/>
  <c r="B14134" i="2"/>
  <c r="A14134" i="2"/>
  <c r="E14133" i="2"/>
  <c r="D14133" i="2"/>
  <c r="C14133" i="2"/>
  <c r="B14133" i="2"/>
  <c r="A14133" i="2"/>
  <c r="E14132" i="2"/>
  <c r="D14132" i="2"/>
  <c r="C14132" i="2"/>
  <c r="B14132" i="2"/>
  <c r="A14132" i="2"/>
  <c r="E14131" i="2"/>
  <c r="D14131" i="2"/>
  <c r="C14131" i="2"/>
  <c r="B14131" i="2"/>
  <c r="A14131" i="2"/>
  <c r="E14130" i="2"/>
  <c r="D14130" i="2"/>
  <c r="C14130" i="2"/>
  <c r="B14130" i="2"/>
  <c r="A14130" i="2"/>
  <c r="E14129" i="2"/>
  <c r="D14129" i="2"/>
  <c r="C14129" i="2"/>
  <c r="B14129" i="2"/>
  <c r="A14129" i="2"/>
  <c r="E14128" i="2"/>
  <c r="D14128" i="2"/>
  <c r="C14128" i="2"/>
  <c r="B14128" i="2"/>
  <c r="A14128" i="2"/>
  <c r="E14127" i="2"/>
  <c r="D14127" i="2"/>
  <c r="C14127" i="2"/>
  <c r="B14127" i="2"/>
  <c r="A14127" i="2"/>
  <c r="E14126" i="2"/>
  <c r="D14126" i="2"/>
  <c r="C14126" i="2"/>
  <c r="B14126" i="2"/>
  <c r="A14126" i="2"/>
  <c r="E14125" i="2"/>
  <c r="D14125" i="2"/>
  <c r="C14125" i="2"/>
  <c r="B14125" i="2"/>
  <c r="A14125" i="2"/>
  <c r="E14124" i="2"/>
  <c r="D14124" i="2"/>
  <c r="C14124" i="2"/>
  <c r="B14124" i="2"/>
  <c r="A14124" i="2"/>
  <c r="E14123" i="2"/>
  <c r="D14123" i="2"/>
  <c r="C14123" i="2"/>
  <c r="B14123" i="2"/>
  <c r="A14123" i="2"/>
  <c r="E14122" i="2"/>
  <c r="D14122" i="2"/>
  <c r="C14122" i="2"/>
  <c r="B14122" i="2"/>
  <c r="A14122" i="2"/>
  <c r="E14121" i="2"/>
  <c r="D14121" i="2"/>
  <c r="C14121" i="2"/>
  <c r="B14121" i="2"/>
  <c r="A14121" i="2"/>
  <c r="E14120" i="2"/>
  <c r="D14120" i="2"/>
  <c r="C14120" i="2"/>
  <c r="B14120" i="2"/>
  <c r="A14120" i="2"/>
  <c r="E14119" i="2"/>
  <c r="D14119" i="2"/>
  <c r="C14119" i="2"/>
  <c r="B14119" i="2"/>
  <c r="A14119" i="2"/>
  <c r="E14118" i="2"/>
  <c r="D14118" i="2"/>
  <c r="C14118" i="2"/>
  <c r="B14118" i="2"/>
  <c r="A14118" i="2"/>
  <c r="E14117" i="2"/>
  <c r="D14117" i="2"/>
  <c r="C14117" i="2"/>
  <c r="B14117" i="2"/>
  <c r="A14117" i="2"/>
  <c r="E14116" i="2"/>
  <c r="D14116" i="2"/>
  <c r="C14116" i="2"/>
  <c r="B14116" i="2"/>
  <c r="A14116" i="2"/>
  <c r="E14115" i="2"/>
  <c r="D14115" i="2"/>
  <c r="C14115" i="2"/>
  <c r="B14115" i="2"/>
  <c r="A14115" i="2"/>
  <c r="E14114" i="2"/>
  <c r="D14114" i="2"/>
  <c r="C14114" i="2"/>
  <c r="B14114" i="2"/>
  <c r="A14114" i="2"/>
  <c r="E14113" i="2"/>
  <c r="D14113" i="2"/>
  <c r="C14113" i="2"/>
  <c r="B14113" i="2"/>
  <c r="A14113" i="2"/>
  <c r="E14112" i="2"/>
  <c r="D14112" i="2"/>
  <c r="C14112" i="2"/>
  <c r="B14112" i="2"/>
  <c r="A14112" i="2"/>
  <c r="E14111" i="2"/>
  <c r="D14111" i="2"/>
  <c r="C14111" i="2"/>
  <c r="B14111" i="2"/>
  <c r="A14111" i="2"/>
  <c r="E14110" i="2"/>
  <c r="D14110" i="2"/>
  <c r="C14110" i="2"/>
  <c r="B14110" i="2"/>
  <c r="A14110" i="2"/>
  <c r="E14109" i="2"/>
  <c r="D14109" i="2"/>
  <c r="C14109" i="2"/>
  <c r="B14109" i="2"/>
  <c r="A14109" i="2"/>
  <c r="E14108" i="2"/>
  <c r="D14108" i="2"/>
  <c r="C14108" i="2"/>
  <c r="B14108" i="2"/>
  <c r="A14108" i="2"/>
  <c r="E14107" i="2"/>
  <c r="D14107" i="2"/>
  <c r="C14107" i="2"/>
  <c r="B14107" i="2"/>
  <c r="A14107" i="2"/>
  <c r="E14106" i="2"/>
  <c r="D14106" i="2"/>
  <c r="C14106" i="2"/>
  <c r="B14106" i="2"/>
  <c r="A14106" i="2"/>
  <c r="E14105" i="2"/>
  <c r="D14105" i="2"/>
  <c r="C14105" i="2"/>
  <c r="B14105" i="2"/>
  <c r="A14105" i="2"/>
  <c r="E14104" i="2"/>
  <c r="D14104" i="2"/>
  <c r="C14104" i="2"/>
  <c r="B14104" i="2"/>
  <c r="A14104" i="2"/>
  <c r="E14103" i="2"/>
  <c r="D14103" i="2"/>
  <c r="C14103" i="2"/>
  <c r="B14103" i="2"/>
  <c r="A14103" i="2"/>
  <c r="E14102" i="2"/>
  <c r="D14102" i="2"/>
  <c r="C14102" i="2"/>
  <c r="B14102" i="2"/>
  <c r="A14102" i="2"/>
  <c r="E14101" i="2"/>
  <c r="D14101" i="2"/>
  <c r="C14101" i="2"/>
  <c r="B14101" i="2"/>
  <c r="A14101" i="2"/>
  <c r="E14100" i="2"/>
  <c r="D14100" i="2"/>
  <c r="C14100" i="2"/>
  <c r="B14100" i="2"/>
  <c r="A14100" i="2"/>
  <c r="E14099" i="2"/>
  <c r="D14099" i="2"/>
  <c r="C14099" i="2"/>
  <c r="B14099" i="2"/>
  <c r="A14099" i="2"/>
  <c r="E14098" i="2"/>
  <c r="D14098" i="2"/>
  <c r="C14098" i="2"/>
  <c r="B14098" i="2"/>
  <c r="A14098" i="2"/>
  <c r="E14097" i="2"/>
  <c r="D14097" i="2"/>
  <c r="C14097" i="2"/>
  <c r="B14097" i="2"/>
  <c r="A14097" i="2"/>
  <c r="E14096" i="2"/>
  <c r="D14096" i="2"/>
  <c r="C14096" i="2"/>
  <c r="B14096" i="2"/>
  <c r="A14096" i="2"/>
  <c r="E14095" i="2"/>
  <c r="D14095" i="2"/>
  <c r="C14095" i="2"/>
  <c r="B14095" i="2"/>
  <c r="A14095" i="2"/>
  <c r="E14094" i="2"/>
  <c r="D14094" i="2"/>
  <c r="C14094" i="2"/>
  <c r="B14094" i="2"/>
  <c r="A14094" i="2"/>
  <c r="E14093" i="2"/>
  <c r="D14093" i="2"/>
  <c r="C14093" i="2"/>
  <c r="B14093" i="2"/>
  <c r="A14093" i="2"/>
  <c r="E14092" i="2"/>
  <c r="D14092" i="2"/>
  <c r="C14092" i="2"/>
  <c r="B14092" i="2"/>
  <c r="A14092" i="2"/>
  <c r="E14091" i="2"/>
  <c r="D14091" i="2"/>
  <c r="C14091" i="2"/>
  <c r="B14091" i="2"/>
  <c r="A14091" i="2"/>
  <c r="E14090" i="2"/>
  <c r="D14090" i="2"/>
  <c r="C14090" i="2"/>
  <c r="B14090" i="2"/>
  <c r="A14090" i="2"/>
  <c r="E14089" i="2"/>
  <c r="D14089" i="2"/>
  <c r="C14089" i="2"/>
  <c r="B14089" i="2"/>
  <c r="A14089" i="2"/>
  <c r="E14088" i="2"/>
  <c r="D14088" i="2"/>
  <c r="C14088" i="2"/>
  <c r="B14088" i="2"/>
  <c r="A14088" i="2"/>
  <c r="E14087" i="2"/>
  <c r="D14087" i="2"/>
  <c r="C14087" i="2"/>
  <c r="B14087" i="2"/>
  <c r="A14087" i="2"/>
  <c r="E14086" i="2"/>
  <c r="D14086" i="2"/>
  <c r="C14086" i="2"/>
  <c r="B14086" i="2"/>
  <c r="A14086" i="2"/>
  <c r="E14085" i="2"/>
  <c r="D14085" i="2"/>
  <c r="C14085" i="2"/>
  <c r="B14085" i="2"/>
  <c r="A14085" i="2"/>
  <c r="E14084" i="2"/>
  <c r="D14084" i="2"/>
  <c r="C14084" i="2"/>
  <c r="B14084" i="2"/>
  <c r="A14084" i="2"/>
  <c r="E14083" i="2"/>
  <c r="D14083" i="2"/>
  <c r="C14083" i="2"/>
  <c r="B14083" i="2"/>
  <c r="A14083" i="2"/>
  <c r="E14082" i="2"/>
  <c r="D14082" i="2"/>
  <c r="C14082" i="2"/>
  <c r="B14082" i="2"/>
  <c r="A14082" i="2"/>
  <c r="E14081" i="2"/>
  <c r="D14081" i="2"/>
  <c r="C14081" i="2"/>
  <c r="B14081" i="2"/>
  <c r="A14081" i="2"/>
  <c r="E14080" i="2"/>
  <c r="D14080" i="2"/>
  <c r="C14080" i="2"/>
  <c r="B14080" i="2"/>
  <c r="A14080" i="2"/>
  <c r="E14079" i="2"/>
  <c r="D14079" i="2"/>
  <c r="C14079" i="2"/>
  <c r="B14079" i="2"/>
  <c r="A14079" i="2"/>
  <c r="E14078" i="2"/>
  <c r="D14078" i="2"/>
  <c r="C14078" i="2"/>
  <c r="B14078" i="2"/>
  <c r="A14078" i="2"/>
  <c r="E14077" i="2"/>
  <c r="D14077" i="2"/>
  <c r="C14077" i="2"/>
  <c r="B14077" i="2"/>
  <c r="A14077" i="2"/>
  <c r="E14076" i="2"/>
  <c r="D14076" i="2"/>
  <c r="C14076" i="2"/>
  <c r="B14076" i="2"/>
  <c r="A14076" i="2"/>
  <c r="E14075" i="2"/>
  <c r="D14075" i="2"/>
  <c r="C14075" i="2"/>
  <c r="B14075" i="2"/>
  <c r="A14075" i="2"/>
  <c r="E14074" i="2"/>
  <c r="D14074" i="2"/>
  <c r="C14074" i="2"/>
  <c r="B14074" i="2"/>
  <c r="A14074" i="2"/>
  <c r="E14073" i="2"/>
  <c r="D14073" i="2"/>
  <c r="C14073" i="2"/>
  <c r="B14073" i="2"/>
  <c r="A14073" i="2"/>
  <c r="E14072" i="2"/>
  <c r="D14072" i="2"/>
  <c r="C14072" i="2"/>
  <c r="B14072" i="2"/>
  <c r="A14072" i="2"/>
  <c r="E14071" i="2"/>
  <c r="D14071" i="2"/>
  <c r="C14071" i="2"/>
  <c r="B14071" i="2"/>
  <c r="A14071" i="2"/>
  <c r="E14070" i="2"/>
  <c r="D14070" i="2"/>
  <c r="C14070" i="2"/>
  <c r="B14070" i="2"/>
  <c r="A14070" i="2"/>
  <c r="E14069" i="2"/>
  <c r="D14069" i="2"/>
  <c r="C14069" i="2"/>
  <c r="B14069" i="2"/>
  <c r="A14069" i="2"/>
  <c r="E14068" i="2"/>
  <c r="D14068" i="2"/>
  <c r="C14068" i="2"/>
  <c r="B14068" i="2"/>
  <c r="A14068" i="2"/>
  <c r="E14067" i="2"/>
  <c r="D14067" i="2"/>
  <c r="C14067" i="2"/>
  <c r="B14067" i="2"/>
  <c r="A14067" i="2"/>
  <c r="E14066" i="2"/>
  <c r="D14066" i="2"/>
  <c r="C14066" i="2"/>
  <c r="B14066" i="2"/>
  <c r="A14066" i="2"/>
  <c r="E14065" i="2"/>
  <c r="D14065" i="2"/>
  <c r="C14065" i="2"/>
  <c r="B14065" i="2"/>
  <c r="A14065" i="2"/>
  <c r="E14064" i="2"/>
  <c r="D14064" i="2"/>
  <c r="C14064" i="2"/>
  <c r="B14064" i="2"/>
  <c r="A14064" i="2"/>
  <c r="E14063" i="2"/>
  <c r="D14063" i="2"/>
  <c r="C14063" i="2"/>
  <c r="B14063" i="2"/>
  <c r="A14063" i="2"/>
  <c r="E14062" i="2"/>
  <c r="D14062" i="2"/>
  <c r="C14062" i="2"/>
  <c r="B14062" i="2"/>
  <c r="A14062" i="2"/>
  <c r="E14061" i="2"/>
  <c r="D14061" i="2"/>
  <c r="C14061" i="2"/>
  <c r="B14061" i="2"/>
  <c r="A14061" i="2"/>
  <c r="E14060" i="2"/>
  <c r="D14060" i="2"/>
  <c r="C14060" i="2"/>
  <c r="B14060" i="2"/>
  <c r="A14060" i="2"/>
  <c r="E14059" i="2"/>
  <c r="D14059" i="2"/>
  <c r="C14059" i="2"/>
  <c r="B14059" i="2"/>
  <c r="A14059" i="2"/>
  <c r="E14058" i="2"/>
  <c r="D14058" i="2"/>
  <c r="C14058" i="2"/>
  <c r="B14058" i="2"/>
  <c r="A14058" i="2"/>
  <c r="E14057" i="2"/>
  <c r="D14057" i="2"/>
  <c r="C14057" i="2"/>
  <c r="B14057" i="2"/>
  <c r="A14057" i="2"/>
  <c r="E14056" i="2"/>
  <c r="D14056" i="2"/>
  <c r="C14056" i="2"/>
  <c r="B14056" i="2"/>
  <c r="A14056" i="2"/>
  <c r="E14055" i="2"/>
  <c r="D14055" i="2"/>
  <c r="C14055" i="2"/>
  <c r="B14055" i="2"/>
  <c r="A14055" i="2"/>
  <c r="E14054" i="2"/>
  <c r="D14054" i="2"/>
  <c r="C14054" i="2"/>
  <c r="B14054" i="2"/>
  <c r="A14054" i="2"/>
  <c r="E14053" i="2"/>
  <c r="D14053" i="2"/>
  <c r="C14053" i="2"/>
  <c r="B14053" i="2"/>
  <c r="A14053" i="2"/>
  <c r="E14052" i="2"/>
  <c r="D14052" i="2"/>
  <c r="C14052" i="2"/>
  <c r="B14052" i="2"/>
  <c r="A14052" i="2"/>
  <c r="E14051" i="2"/>
  <c r="D14051" i="2"/>
  <c r="C14051" i="2"/>
  <c r="B14051" i="2"/>
  <c r="A14051" i="2"/>
  <c r="E14050" i="2"/>
  <c r="D14050" i="2"/>
  <c r="C14050" i="2"/>
  <c r="B14050" i="2"/>
  <c r="A14050" i="2"/>
  <c r="E14049" i="2"/>
  <c r="D14049" i="2"/>
  <c r="C14049" i="2"/>
  <c r="B14049" i="2"/>
  <c r="A14049" i="2"/>
  <c r="E14048" i="2"/>
  <c r="D14048" i="2"/>
  <c r="C14048" i="2"/>
  <c r="B14048" i="2"/>
  <c r="A14048" i="2"/>
  <c r="E14047" i="2"/>
  <c r="D14047" i="2"/>
  <c r="C14047" i="2"/>
  <c r="B14047" i="2"/>
  <c r="A14047" i="2"/>
  <c r="E14046" i="2"/>
  <c r="D14046" i="2"/>
  <c r="C14046" i="2"/>
  <c r="B14046" i="2"/>
  <c r="A14046" i="2"/>
  <c r="E14045" i="2"/>
  <c r="D14045" i="2"/>
  <c r="C14045" i="2"/>
  <c r="B14045" i="2"/>
  <c r="A14045" i="2"/>
  <c r="E14044" i="2"/>
  <c r="D14044" i="2"/>
  <c r="C14044" i="2"/>
  <c r="B14044" i="2"/>
  <c r="A14044" i="2"/>
  <c r="E14043" i="2"/>
  <c r="D14043" i="2"/>
  <c r="C14043" i="2"/>
  <c r="B14043" i="2"/>
  <c r="A14043" i="2"/>
  <c r="E14042" i="2"/>
  <c r="D14042" i="2"/>
  <c r="C14042" i="2"/>
  <c r="B14042" i="2"/>
  <c r="A14042" i="2"/>
  <c r="E14041" i="2"/>
  <c r="D14041" i="2"/>
  <c r="C14041" i="2"/>
  <c r="B14041" i="2"/>
  <c r="A14041" i="2"/>
  <c r="E14040" i="2"/>
  <c r="D14040" i="2"/>
  <c r="C14040" i="2"/>
  <c r="B14040" i="2"/>
  <c r="A14040" i="2"/>
  <c r="E14039" i="2"/>
  <c r="D14039" i="2"/>
  <c r="C14039" i="2"/>
  <c r="B14039" i="2"/>
  <c r="A14039" i="2"/>
  <c r="E14038" i="2"/>
  <c r="D14038" i="2"/>
  <c r="C14038" i="2"/>
  <c r="B14038" i="2"/>
  <c r="A14038" i="2"/>
  <c r="E14037" i="2"/>
  <c r="D14037" i="2"/>
  <c r="C14037" i="2"/>
  <c r="B14037" i="2"/>
  <c r="A14037" i="2"/>
  <c r="E14036" i="2"/>
  <c r="D14036" i="2"/>
  <c r="C14036" i="2"/>
  <c r="B14036" i="2"/>
  <c r="A14036" i="2"/>
  <c r="E14035" i="2"/>
  <c r="D14035" i="2"/>
  <c r="C14035" i="2"/>
  <c r="B14035" i="2"/>
  <c r="A14035" i="2"/>
  <c r="E14034" i="2"/>
  <c r="D14034" i="2"/>
  <c r="C14034" i="2"/>
  <c r="B14034" i="2"/>
  <c r="A14034" i="2"/>
  <c r="E14033" i="2"/>
  <c r="D14033" i="2"/>
  <c r="C14033" i="2"/>
  <c r="B14033" i="2"/>
  <c r="A14033" i="2"/>
  <c r="E14032" i="2"/>
  <c r="D14032" i="2"/>
  <c r="C14032" i="2"/>
  <c r="B14032" i="2"/>
  <c r="A14032" i="2"/>
  <c r="E14031" i="2"/>
  <c r="D14031" i="2"/>
  <c r="C14031" i="2"/>
  <c r="B14031" i="2"/>
  <c r="A14031" i="2"/>
  <c r="E14030" i="2"/>
  <c r="D14030" i="2"/>
  <c r="C14030" i="2"/>
  <c r="B14030" i="2"/>
  <c r="A14030" i="2"/>
  <c r="E14029" i="2"/>
  <c r="D14029" i="2"/>
  <c r="C14029" i="2"/>
  <c r="B14029" i="2"/>
  <c r="A14029" i="2"/>
  <c r="E14028" i="2"/>
  <c r="D14028" i="2"/>
  <c r="C14028" i="2"/>
  <c r="B14028" i="2"/>
  <c r="A14028" i="2"/>
  <c r="E14027" i="2"/>
  <c r="D14027" i="2"/>
  <c r="C14027" i="2"/>
  <c r="B14027" i="2"/>
  <c r="A14027" i="2"/>
  <c r="E14026" i="2"/>
  <c r="D14026" i="2"/>
  <c r="C14026" i="2"/>
  <c r="B14026" i="2"/>
  <c r="A14026" i="2"/>
  <c r="E14025" i="2"/>
  <c r="D14025" i="2"/>
  <c r="C14025" i="2"/>
  <c r="B14025" i="2"/>
  <c r="A14025" i="2"/>
  <c r="E14024" i="2"/>
  <c r="D14024" i="2"/>
  <c r="C14024" i="2"/>
  <c r="B14024" i="2"/>
  <c r="A14024" i="2"/>
  <c r="E14023" i="2"/>
  <c r="D14023" i="2"/>
  <c r="C14023" i="2"/>
  <c r="B14023" i="2"/>
  <c r="A14023" i="2"/>
  <c r="E14022" i="2"/>
  <c r="D14022" i="2"/>
  <c r="C14022" i="2"/>
  <c r="B14022" i="2"/>
  <c r="A14022" i="2"/>
  <c r="E14021" i="2"/>
  <c r="D14021" i="2"/>
  <c r="C14021" i="2"/>
  <c r="B14021" i="2"/>
  <c r="A14021" i="2"/>
  <c r="E14020" i="2"/>
  <c r="D14020" i="2"/>
  <c r="C14020" i="2"/>
  <c r="B14020" i="2"/>
  <c r="A14020" i="2"/>
  <c r="E14019" i="2"/>
  <c r="D14019" i="2"/>
  <c r="C14019" i="2"/>
  <c r="B14019" i="2"/>
  <c r="A14019" i="2"/>
  <c r="E14018" i="2"/>
  <c r="D14018" i="2"/>
  <c r="C14018" i="2"/>
  <c r="B14018" i="2"/>
  <c r="A14018" i="2"/>
  <c r="E14017" i="2"/>
  <c r="D14017" i="2"/>
  <c r="C14017" i="2"/>
  <c r="B14017" i="2"/>
  <c r="A14017" i="2"/>
  <c r="E14016" i="2"/>
  <c r="D14016" i="2"/>
  <c r="C14016" i="2"/>
  <c r="B14016" i="2"/>
  <c r="A14016" i="2"/>
  <c r="E14015" i="2"/>
  <c r="D14015" i="2"/>
  <c r="C14015" i="2"/>
  <c r="B14015" i="2"/>
  <c r="A14015" i="2"/>
  <c r="E14014" i="2"/>
  <c r="D14014" i="2"/>
  <c r="C14014" i="2"/>
  <c r="B14014" i="2"/>
  <c r="A14014" i="2"/>
  <c r="E14013" i="2"/>
  <c r="D14013" i="2"/>
  <c r="C14013" i="2"/>
  <c r="B14013" i="2"/>
  <c r="A14013" i="2"/>
  <c r="E14012" i="2"/>
  <c r="D14012" i="2"/>
  <c r="C14012" i="2"/>
  <c r="B14012" i="2"/>
  <c r="A14012" i="2"/>
  <c r="E14011" i="2"/>
  <c r="D14011" i="2"/>
  <c r="C14011" i="2"/>
  <c r="B14011" i="2"/>
  <c r="A14011" i="2"/>
  <c r="E14010" i="2"/>
  <c r="D14010" i="2"/>
  <c r="C14010" i="2"/>
  <c r="B14010" i="2"/>
  <c r="A14010" i="2"/>
  <c r="E14009" i="2"/>
  <c r="D14009" i="2"/>
  <c r="C14009" i="2"/>
  <c r="B14009" i="2"/>
  <c r="A14009" i="2"/>
  <c r="E14008" i="2"/>
  <c r="D14008" i="2"/>
  <c r="C14008" i="2"/>
  <c r="B14008" i="2"/>
  <c r="A14008" i="2"/>
  <c r="E14007" i="2"/>
  <c r="D14007" i="2"/>
  <c r="C14007" i="2"/>
  <c r="B14007" i="2"/>
  <c r="A14007" i="2"/>
  <c r="E14006" i="2"/>
  <c r="D14006" i="2"/>
  <c r="C14006" i="2"/>
  <c r="B14006" i="2"/>
  <c r="A14006" i="2"/>
  <c r="E14005" i="2"/>
  <c r="D14005" i="2"/>
  <c r="C14005" i="2"/>
  <c r="B14005" i="2"/>
  <c r="A14005" i="2"/>
  <c r="E14004" i="2"/>
  <c r="D14004" i="2"/>
  <c r="C14004" i="2"/>
  <c r="B14004" i="2"/>
  <c r="A14004" i="2"/>
  <c r="E14003" i="2"/>
  <c r="D14003" i="2"/>
  <c r="C14003" i="2"/>
  <c r="B14003" i="2"/>
  <c r="A14003" i="2"/>
  <c r="E14002" i="2"/>
  <c r="D14002" i="2"/>
  <c r="C14002" i="2"/>
  <c r="B14002" i="2"/>
  <c r="A14002" i="2"/>
  <c r="E14001" i="2"/>
  <c r="D14001" i="2"/>
  <c r="C14001" i="2"/>
  <c r="B14001" i="2"/>
  <c r="A14001" i="2"/>
  <c r="E14000" i="2"/>
  <c r="D14000" i="2"/>
  <c r="C14000" i="2"/>
  <c r="B14000" i="2"/>
  <c r="A14000" i="2"/>
  <c r="E13999" i="2"/>
  <c r="D13999" i="2"/>
  <c r="C13999" i="2"/>
  <c r="B13999" i="2"/>
  <c r="A13999" i="2"/>
  <c r="E13998" i="2"/>
  <c r="D13998" i="2"/>
  <c r="C13998" i="2"/>
  <c r="B13998" i="2"/>
  <c r="A13998" i="2"/>
  <c r="E13997" i="2"/>
  <c r="D13997" i="2"/>
  <c r="C13997" i="2"/>
  <c r="B13997" i="2"/>
  <c r="A13997" i="2"/>
  <c r="E13996" i="2"/>
  <c r="D13996" i="2"/>
  <c r="C13996" i="2"/>
  <c r="B13996" i="2"/>
  <c r="A13996" i="2"/>
  <c r="E13995" i="2"/>
  <c r="D13995" i="2"/>
  <c r="C13995" i="2"/>
  <c r="B13995" i="2"/>
  <c r="A13995" i="2"/>
  <c r="E13994" i="2"/>
  <c r="D13994" i="2"/>
  <c r="C13994" i="2"/>
  <c r="B13994" i="2"/>
  <c r="A13994" i="2"/>
  <c r="E13993" i="2"/>
  <c r="D13993" i="2"/>
  <c r="C13993" i="2"/>
  <c r="B13993" i="2"/>
  <c r="A13993" i="2"/>
  <c r="E13992" i="2"/>
  <c r="D13992" i="2"/>
  <c r="C13992" i="2"/>
  <c r="B13992" i="2"/>
  <c r="A13992" i="2"/>
  <c r="E13991" i="2"/>
  <c r="D13991" i="2"/>
  <c r="C13991" i="2"/>
  <c r="B13991" i="2"/>
  <c r="A13991" i="2"/>
  <c r="E13990" i="2"/>
  <c r="D13990" i="2"/>
  <c r="C13990" i="2"/>
  <c r="B13990" i="2"/>
  <c r="A13990" i="2"/>
  <c r="E13989" i="2"/>
  <c r="D13989" i="2"/>
  <c r="C13989" i="2"/>
  <c r="B13989" i="2"/>
  <c r="A13989" i="2"/>
  <c r="E13988" i="2"/>
  <c r="D13988" i="2"/>
  <c r="C13988" i="2"/>
  <c r="B13988" i="2"/>
  <c r="A13988" i="2"/>
  <c r="E13987" i="2"/>
  <c r="D13987" i="2"/>
  <c r="C13987" i="2"/>
  <c r="B13987" i="2"/>
  <c r="A13987" i="2"/>
  <c r="E13986" i="2"/>
  <c r="D13986" i="2"/>
  <c r="C13986" i="2"/>
  <c r="B13986" i="2"/>
  <c r="A13986" i="2"/>
  <c r="E13985" i="2"/>
  <c r="D13985" i="2"/>
  <c r="C13985" i="2"/>
  <c r="B13985" i="2"/>
  <c r="A13985" i="2"/>
  <c r="E13984" i="2"/>
  <c r="D13984" i="2"/>
  <c r="C13984" i="2"/>
  <c r="B13984" i="2"/>
  <c r="A13984" i="2"/>
  <c r="E13983" i="2"/>
  <c r="D13983" i="2"/>
  <c r="C13983" i="2"/>
  <c r="B13983" i="2"/>
  <c r="A13983" i="2"/>
  <c r="E13982" i="2"/>
  <c r="D13982" i="2"/>
  <c r="C13982" i="2"/>
  <c r="B13982" i="2"/>
  <c r="A13982" i="2"/>
  <c r="E13981" i="2"/>
  <c r="D13981" i="2"/>
  <c r="C13981" i="2"/>
  <c r="B13981" i="2"/>
  <c r="A13981" i="2"/>
  <c r="E13980" i="2"/>
  <c r="D13980" i="2"/>
  <c r="C13980" i="2"/>
  <c r="B13980" i="2"/>
  <c r="A13980" i="2"/>
  <c r="E13979" i="2"/>
  <c r="D13979" i="2"/>
  <c r="C13979" i="2"/>
  <c r="B13979" i="2"/>
  <c r="A13979" i="2"/>
  <c r="E13978" i="2"/>
  <c r="D13978" i="2"/>
  <c r="C13978" i="2"/>
  <c r="B13978" i="2"/>
  <c r="A13978" i="2"/>
  <c r="E13977" i="2"/>
  <c r="D13977" i="2"/>
  <c r="C13977" i="2"/>
  <c r="B13977" i="2"/>
  <c r="A13977" i="2"/>
  <c r="E13976" i="2"/>
  <c r="D13976" i="2"/>
  <c r="C13976" i="2"/>
  <c r="B13976" i="2"/>
  <c r="A13976" i="2"/>
  <c r="E13975" i="2"/>
  <c r="D13975" i="2"/>
  <c r="C13975" i="2"/>
  <c r="B13975" i="2"/>
  <c r="A13975" i="2"/>
  <c r="E13974" i="2"/>
  <c r="D13974" i="2"/>
  <c r="C13974" i="2"/>
  <c r="B13974" i="2"/>
  <c r="A13974" i="2"/>
  <c r="E13973" i="2"/>
  <c r="D13973" i="2"/>
  <c r="C13973" i="2"/>
  <c r="B13973" i="2"/>
  <c r="A13973" i="2"/>
  <c r="E13972" i="2"/>
  <c r="D13972" i="2"/>
  <c r="C13972" i="2"/>
  <c r="B13972" i="2"/>
  <c r="A13972" i="2"/>
  <c r="E13971" i="2"/>
  <c r="D13971" i="2"/>
  <c r="C13971" i="2"/>
  <c r="B13971" i="2"/>
  <c r="A13971" i="2"/>
  <c r="E13970" i="2"/>
  <c r="D13970" i="2"/>
  <c r="C13970" i="2"/>
  <c r="B13970" i="2"/>
  <c r="A13970" i="2"/>
  <c r="E13969" i="2"/>
  <c r="D13969" i="2"/>
  <c r="C13969" i="2"/>
  <c r="B13969" i="2"/>
  <c r="A13969" i="2"/>
  <c r="E13968" i="2"/>
  <c r="D13968" i="2"/>
  <c r="C13968" i="2"/>
  <c r="B13968" i="2"/>
  <c r="A13968" i="2"/>
  <c r="E13967" i="2"/>
  <c r="D13967" i="2"/>
  <c r="C13967" i="2"/>
  <c r="B13967" i="2"/>
  <c r="A13967" i="2"/>
  <c r="E13966" i="2"/>
  <c r="D13966" i="2"/>
  <c r="C13966" i="2"/>
  <c r="B13966" i="2"/>
  <c r="A13966" i="2"/>
  <c r="E13965" i="2"/>
  <c r="D13965" i="2"/>
  <c r="C13965" i="2"/>
  <c r="B13965" i="2"/>
  <c r="A13965" i="2"/>
  <c r="E13964" i="2"/>
  <c r="D13964" i="2"/>
  <c r="C13964" i="2"/>
  <c r="B13964" i="2"/>
  <c r="A13964" i="2"/>
  <c r="E13963" i="2"/>
  <c r="D13963" i="2"/>
  <c r="C13963" i="2"/>
  <c r="B13963" i="2"/>
  <c r="A13963" i="2"/>
  <c r="E13962" i="2"/>
  <c r="D13962" i="2"/>
  <c r="C13962" i="2"/>
  <c r="B13962" i="2"/>
  <c r="A13962" i="2"/>
  <c r="E13961" i="2"/>
  <c r="D13961" i="2"/>
  <c r="C13961" i="2"/>
  <c r="B13961" i="2"/>
  <c r="A13961" i="2"/>
  <c r="E13960" i="2"/>
  <c r="D13960" i="2"/>
  <c r="C13960" i="2"/>
  <c r="B13960" i="2"/>
  <c r="A13960" i="2"/>
  <c r="E13959" i="2"/>
  <c r="D13959" i="2"/>
  <c r="C13959" i="2"/>
  <c r="B13959" i="2"/>
  <c r="A13959" i="2"/>
  <c r="E13958" i="2"/>
  <c r="D13958" i="2"/>
  <c r="C13958" i="2"/>
  <c r="B13958" i="2"/>
  <c r="A13958" i="2"/>
  <c r="E13957" i="2"/>
  <c r="D13957" i="2"/>
  <c r="C13957" i="2"/>
  <c r="B13957" i="2"/>
  <c r="A13957" i="2"/>
  <c r="E13956" i="2"/>
  <c r="D13956" i="2"/>
  <c r="C13956" i="2"/>
  <c r="B13956" i="2"/>
  <c r="A13956" i="2"/>
  <c r="E13955" i="2"/>
  <c r="D13955" i="2"/>
  <c r="C13955" i="2"/>
  <c r="B13955" i="2"/>
  <c r="A13955" i="2"/>
  <c r="E13954" i="2"/>
  <c r="D13954" i="2"/>
  <c r="C13954" i="2"/>
  <c r="B13954" i="2"/>
  <c r="A13954" i="2"/>
  <c r="E13953" i="2"/>
  <c r="D13953" i="2"/>
  <c r="C13953" i="2"/>
  <c r="B13953" i="2"/>
  <c r="A13953" i="2"/>
  <c r="E13952" i="2"/>
  <c r="D13952" i="2"/>
  <c r="C13952" i="2"/>
  <c r="B13952" i="2"/>
  <c r="A13952" i="2"/>
  <c r="E13951" i="2"/>
  <c r="D13951" i="2"/>
  <c r="C13951" i="2"/>
  <c r="B13951" i="2"/>
  <c r="A13951" i="2"/>
  <c r="E13950" i="2"/>
  <c r="D13950" i="2"/>
  <c r="C13950" i="2"/>
  <c r="B13950" i="2"/>
  <c r="A13950" i="2"/>
  <c r="E13949" i="2"/>
  <c r="D13949" i="2"/>
  <c r="C13949" i="2"/>
  <c r="B13949" i="2"/>
  <c r="A13949" i="2"/>
  <c r="E13948" i="2"/>
  <c r="D13948" i="2"/>
  <c r="C13948" i="2"/>
  <c r="B13948" i="2"/>
  <c r="A13948" i="2"/>
  <c r="E13947" i="2"/>
  <c r="D13947" i="2"/>
  <c r="C13947" i="2"/>
  <c r="B13947" i="2"/>
  <c r="A13947" i="2"/>
  <c r="E13946" i="2"/>
  <c r="D13946" i="2"/>
  <c r="C13946" i="2"/>
  <c r="B13946" i="2"/>
  <c r="A13946" i="2"/>
  <c r="E13945" i="2"/>
  <c r="D13945" i="2"/>
  <c r="C13945" i="2"/>
  <c r="B13945" i="2"/>
  <c r="A13945" i="2"/>
  <c r="E13944" i="2"/>
  <c r="D13944" i="2"/>
  <c r="C13944" i="2"/>
  <c r="B13944" i="2"/>
  <c r="A13944" i="2"/>
  <c r="E13943" i="2"/>
  <c r="D13943" i="2"/>
  <c r="C13943" i="2"/>
  <c r="B13943" i="2"/>
  <c r="A13943" i="2"/>
  <c r="E13942" i="2"/>
  <c r="D13942" i="2"/>
  <c r="C13942" i="2"/>
  <c r="B13942" i="2"/>
  <c r="A13942" i="2"/>
  <c r="E13941" i="2"/>
  <c r="D13941" i="2"/>
  <c r="C13941" i="2"/>
  <c r="B13941" i="2"/>
  <c r="A13941" i="2"/>
  <c r="E13940" i="2"/>
  <c r="D13940" i="2"/>
  <c r="C13940" i="2"/>
  <c r="B13940" i="2"/>
  <c r="A13940" i="2"/>
  <c r="E13939" i="2"/>
  <c r="D13939" i="2"/>
  <c r="C13939" i="2"/>
  <c r="B13939" i="2"/>
  <c r="A13939" i="2"/>
  <c r="E13938" i="2"/>
  <c r="D13938" i="2"/>
  <c r="C13938" i="2"/>
  <c r="B13938" i="2"/>
  <c r="A13938" i="2"/>
  <c r="E13937" i="2"/>
  <c r="D13937" i="2"/>
  <c r="C13937" i="2"/>
  <c r="B13937" i="2"/>
  <c r="A13937" i="2"/>
  <c r="E13936" i="2"/>
  <c r="D13936" i="2"/>
  <c r="C13936" i="2"/>
  <c r="B13936" i="2"/>
  <c r="A13936" i="2"/>
  <c r="E13935" i="2"/>
  <c r="D13935" i="2"/>
  <c r="C13935" i="2"/>
  <c r="B13935" i="2"/>
  <c r="A13935" i="2"/>
  <c r="E13934" i="2"/>
  <c r="D13934" i="2"/>
  <c r="C13934" i="2"/>
  <c r="B13934" i="2"/>
  <c r="A13934" i="2"/>
  <c r="E13933" i="2"/>
  <c r="D13933" i="2"/>
  <c r="C13933" i="2"/>
  <c r="B13933" i="2"/>
  <c r="A13933" i="2"/>
  <c r="E13932" i="2"/>
  <c r="D13932" i="2"/>
  <c r="C13932" i="2"/>
  <c r="B13932" i="2"/>
  <c r="A13932" i="2"/>
  <c r="E13931" i="2"/>
  <c r="D13931" i="2"/>
  <c r="C13931" i="2"/>
  <c r="B13931" i="2"/>
  <c r="A13931" i="2"/>
  <c r="E13930" i="2"/>
  <c r="D13930" i="2"/>
  <c r="C13930" i="2"/>
  <c r="B13930" i="2"/>
  <c r="A13930" i="2"/>
  <c r="E13929" i="2"/>
  <c r="D13929" i="2"/>
  <c r="C13929" i="2"/>
  <c r="B13929" i="2"/>
  <c r="A13929" i="2"/>
  <c r="E13928" i="2"/>
  <c r="D13928" i="2"/>
  <c r="C13928" i="2"/>
  <c r="B13928" i="2"/>
  <c r="A13928" i="2"/>
  <c r="E13927" i="2"/>
  <c r="D13927" i="2"/>
  <c r="C13927" i="2"/>
  <c r="B13927" i="2"/>
  <c r="A13927" i="2"/>
  <c r="E13926" i="2"/>
  <c r="D13926" i="2"/>
  <c r="C13926" i="2"/>
  <c r="B13926" i="2"/>
  <c r="A13926" i="2"/>
  <c r="E13925" i="2"/>
  <c r="D13925" i="2"/>
  <c r="C13925" i="2"/>
  <c r="B13925" i="2"/>
  <c r="A13925" i="2"/>
  <c r="E13924" i="2"/>
  <c r="D13924" i="2"/>
  <c r="C13924" i="2"/>
  <c r="B13924" i="2"/>
  <c r="A13924" i="2"/>
  <c r="E13923" i="2"/>
  <c r="D13923" i="2"/>
  <c r="C13923" i="2"/>
  <c r="B13923" i="2"/>
  <c r="A13923" i="2"/>
  <c r="E13922" i="2"/>
  <c r="D13922" i="2"/>
  <c r="C13922" i="2"/>
  <c r="B13922" i="2"/>
  <c r="A13922" i="2"/>
  <c r="E13921" i="2"/>
  <c r="D13921" i="2"/>
  <c r="C13921" i="2"/>
  <c r="B13921" i="2"/>
  <c r="A13921" i="2"/>
  <c r="E13920" i="2"/>
  <c r="D13920" i="2"/>
  <c r="C13920" i="2"/>
  <c r="B13920" i="2"/>
  <c r="A13920" i="2"/>
  <c r="E13919" i="2"/>
  <c r="D13919" i="2"/>
  <c r="C13919" i="2"/>
  <c r="B13919" i="2"/>
  <c r="A13919" i="2"/>
  <c r="E13918" i="2"/>
  <c r="D13918" i="2"/>
  <c r="C13918" i="2"/>
  <c r="B13918" i="2"/>
  <c r="A13918" i="2"/>
  <c r="E13917" i="2"/>
  <c r="D13917" i="2"/>
  <c r="C13917" i="2"/>
  <c r="B13917" i="2"/>
  <c r="A13917" i="2"/>
  <c r="E13916" i="2"/>
  <c r="D13916" i="2"/>
  <c r="C13916" i="2"/>
  <c r="B13916" i="2"/>
  <c r="A13916" i="2"/>
  <c r="E13915" i="2"/>
  <c r="D13915" i="2"/>
  <c r="C13915" i="2"/>
  <c r="B13915" i="2"/>
  <c r="A13915" i="2"/>
  <c r="E13914" i="2"/>
  <c r="D13914" i="2"/>
  <c r="C13914" i="2"/>
  <c r="B13914" i="2"/>
  <c r="A13914" i="2"/>
  <c r="E13913" i="2"/>
  <c r="D13913" i="2"/>
  <c r="C13913" i="2"/>
  <c r="B13913" i="2"/>
  <c r="A13913" i="2"/>
  <c r="E13912" i="2"/>
  <c r="D13912" i="2"/>
  <c r="C13912" i="2"/>
  <c r="B13912" i="2"/>
  <c r="A13912" i="2"/>
  <c r="E13911" i="2"/>
  <c r="D13911" i="2"/>
  <c r="C13911" i="2"/>
  <c r="B13911" i="2"/>
  <c r="A13911" i="2"/>
  <c r="E13910" i="2"/>
  <c r="D13910" i="2"/>
  <c r="C13910" i="2"/>
  <c r="B13910" i="2"/>
  <c r="A13910" i="2"/>
  <c r="E13909" i="2"/>
  <c r="D13909" i="2"/>
  <c r="C13909" i="2"/>
  <c r="B13909" i="2"/>
  <c r="A13909" i="2"/>
  <c r="E13908" i="2"/>
  <c r="D13908" i="2"/>
  <c r="C13908" i="2"/>
  <c r="B13908" i="2"/>
  <c r="A13908" i="2"/>
  <c r="E13907" i="2"/>
  <c r="D13907" i="2"/>
  <c r="C13907" i="2"/>
  <c r="B13907" i="2"/>
  <c r="A13907" i="2"/>
  <c r="E13906" i="2"/>
  <c r="D13906" i="2"/>
  <c r="C13906" i="2"/>
  <c r="B13906" i="2"/>
  <c r="A13906" i="2"/>
  <c r="E13905" i="2"/>
  <c r="D13905" i="2"/>
  <c r="C13905" i="2"/>
  <c r="B13905" i="2"/>
  <c r="A13905" i="2"/>
  <c r="E13904" i="2"/>
  <c r="D13904" i="2"/>
  <c r="C13904" i="2"/>
  <c r="B13904" i="2"/>
  <c r="A13904" i="2"/>
  <c r="E13903" i="2"/>
  <c r="D13903" i="2"/>
  <c r="C13903" i="2"/>
  <c r="B13903" i="2"/>
  <c r="A13903" i="2"/>
  <c r="E13902" i="2"/>
  <c r="D13902" i="2"/>
  <c r="C13902" i="2"/>
  <c r="B13902" i="2"/>
  <c r="A13902" i="2"/>
  <c r="E13901" i="2"/>
  <c r="D13901" i="2"/>
  <c r="C13901" i="2"/>
  <c r="B13901" i="2"/>
  <c r="A13901" i="2"/>
  <c r="E13900" i="2"/>
  <c r="D13900" i="2"/>
  <c r="C13900" i="2"/>
  <c r="B13900" i="2"/>
  <c r="A13900" i="2"/>
  <c r="E13899" i="2"/>
  <c r="D13899" i="2"/>
  <c r="C13899" i="2"/>
  <c r="B13899" i="2"/>
  <c r="A13899" i="2"/>
  <c r="E13898" i="2"/>
  <c r="D13898" i="2"/>
  <c r="C13898" i="2"/>
  <c r="B13898" i="2"/>
  <c r="A13898" i="2"/>
  <c r="E13897" i="2"/>
  <c r="D13897" i="2"/>
  <c r="C13897" i="2"/>
  <c r="B13897" i="2"/>
  <c r="A13897" i="2"/>
  <c r="E13896" i="2"/>
  <c r="D13896" i="2"/>
  <c r="C13896" i="2"/>
  <c r="B13896" i="2"/>
  <c r="A13896" i="2"/>
  <c r="E13895" i="2"/>
  <c r="D13895" i="2"/>
  <c r="C13895" i="2"/>
  <c r="B13895" i="2"/>
  <c r="A13895" i="2"/>
  <c r="E13894" i="2"/>
  <c r="D13894" i="2"/>
  <c r="C13894" i="2"/>
  <c r="B13894" i="2"/>
  <c r="A13894" i="2"/>
  <c r="E13893" i="2"/>
  <c r="D13893" i="2"/>
  <c r="C13893" i="2"/>
  <c r="B13893" i="2"/>
  <c r="A13893" i="2"/>
  <c r="E13892" i="2"/>
  <c r="D13892" i="2"/>
  <c r="C13892" i="2"/>
  <c r="B13892" i="2"/>
  <c r="A13892" i="2"/>
  <c r="E13891" i="2"/>
  <c r="D13891" i="2"/>
  <c r="C13891" i="2"/>
  <c r="B13891" i="2"/>
  <c r="A13891" i="2"/>
  <c r="E13890" i="2"/>
  <c r="D13890" i="2"/>
  <c r="C13890" i="2"/>
  <c r="B13890" i="2"/>
  <c r="A13890" i="2"/>
  <c r="E13889" i="2"/>
  <c r="D13889" i="2"/>
  <c r="C13889" i="2"/>
  <c r="B13889" i="2"/>
  <c r="A13889" i="2"/>
  <c r="E13888" i="2"/>
  <c r="D13888" i="2"/>
  <c r="C13888" i="2"/>
  <c r="B13888" i="2"/>
  <c r="A13888" i="2"/>
  <c r="E13887" i="2"/>
  <c r="D13887" i="2"/>
  <c r="C13887" i="2"/>
  <c r="B13887" i="2"/>
  <c r="A13887" i="2"/>
  <c r="E13886" i="2"/>
  <c r="D13886" i="2"/>
  <c r="C13886" i="2"/>
  <c r="B13886" i="2"/>
  <c r="A13886" i="2"/>
  <c r="E13885" i="2"/>
  <c r="D13885" i="2"/>
  <c r="C13885" i="2"/>
  <c r="B13885" i="2"/>
  <c r="A13885" i="2"/>
  <c r="E13884" i="2"/>
  <c r="D13884" i="2"/>
  <c r="C13884" i="2"/>
  <c r="B13884" i="2"/>
  <c r="A13884" i="2"/>
  <c r="E13883" i="2"/>
  <c r="D13883" i="2"/>
  <c r="C13883" i="2"/>
  <c r="B13883" i="2"/>
  <c r="A13883" i="2"/>
  <c r="E13882" i="2"/>
  <c r="D13882" i="2"/>
  <c r="C13882" i="2"/>
  <c r="B13882" i="2"/>
  <c r="A13882" i="2"/>
  <c r="E13881" i="2"/>
  <c r="D13881" i="2"/>
  <c r="C13881" i="2"/>
  <c r="B13881" i="2"/>
  <c r="A13881" i="2"/>
  <c r="E13880" i="2"/>
  <c r="D13880" i="2"/>
  <c r="C13880" i="2"/>
  <c r="B13880" i="2"/>
  <c r="A13880" i="2"/>
  <c r="E13879" i="2"/>
  <c r="D13879" i="2"/>
  <c r="C13879" i="2"/>
  <c r="B13879" i="2"/>
  <c r="A13879" i="2"/>
  <c r="E13878" i="2"/>
  <c r="D13878" i="2"/>
  <c r="C13878" i="2"/>
  <c r="B13878" i="2"/>
  <c r="A13878" i="2"/>
  <c r="E13877" i="2"/>
  <c r="D13877" i="2"/>
  <c r="C13877" i="2"/>
  <c r="B13877" i="2"/>
  <c r="A13877" i="2"/>
  <c r="E13876" i="2"/>
  <c r="D13876" i="2"/>
  <c r="C13876" i="2"/>
  <c r="B13876" i="2"/>
  <c r="A13876" i="2"/>
  <c r="E13875" i="2"/>
  <c r="D13875" i="2"/>
  <c r="C13875" i="2"/>
  <c r="B13875" i="2"/>
  <c r="A13875" i="2"/>
  <c r="E13874" i="2"/>
  <c r="D13874" i="2"/>
  <c r="C13874" i="2"/>
  <c r="B13874" i="2"/>
  <c r="A13874" i="2"/>
  <c r="E13873" i="2"/>
  <c r="D13873" i="2"/>
  <c r="C13873" i="2"/>
  <c r="B13873" i="2"/>
  <c r="A13873" i="2"/>
  <c r="E13872" i="2"/>
  <c r="D13872" i="2"/>
  <c r="C13872" i="2"/>
  <c r="B13872" i="2"/>
  <c r="A13872" i="2"/>
  <c r="E13871" i="2"/>
  <c r="D13871" i="2"/>
  <c r="C13871" i="2"/>
  <c r="B13871" i="2"/>
  <c r="A13871" i="2"/>
  <c r="E13870" i="2"/>
  <c r="D13870" i="2"/>
  <c r="C13870" i="2"/>
  <c r="B13870" i="2"/>
  <c r="A13870" i="2"/>
  <c r="E13869" i="2"/>
  <c r="D13869" i="2"/>
  <c r="C13869" i="2"/>
  <c r="B13869" i="2"/>
  <c r="A13869" i="2"/>
  <c r="E13868" i="2"/>
  <c r="D13868" i="2"/>
  <c r="C13868" i="2"/>
  <c r="B13868" i="2"/>
  <c r="A13868" i="2"/>
  <c r="E13867" i="2"/>
  <c r="D13867" i="2"/>
  <c r="C13867" i="2"/>
  <c r="B13867" i="2"/>
  <c r="A13867" i="2"/>
  <c r="E13866" i="2"/>
  <c r="D13866" i="2"/>
  <c r="C13866" i="2"/>
  <c r="B13866" i="2"/>
  <c r="A13866" i="2"/>
  <c r="E13865" i="2"/>
  <c r="D13865" i="2"/>
  <c r="C13865" i="2"/>
  <c r="B13865" i="2"/>
  <c r="A13865" i="2"/>
  <c r="E13864" i="2"/>
  <c r="D13864" i="2"/>
  <c r="C13864" i="2"/>
  <c r="B13864" i="2"/>
  <c r="A13864" i="2"/>
  <c r="E13863" i="2"/>
  <c r="D13863" i="2"/>
  <c r="C13863" i="2"/>
  <c r="B13863" i="2"/>
  <c r="A13863" i="2"/>
  <c r="E13862" i="2"/>
  <c r="D13862" i="2"/>
  <c r="C13862" i="2"/>
  <c r="B13862" i="2"/>
  <c r="A13862" i="2"/>
  <c r="E13861" i="2"/>
  <c r="D13861" i="2"/>
  <c r="C13861" i="2"/>
  <c r="B13861" i="2"/>
  <c r="A13861" i="2"/>
  <c r="E13860" i="2"/>
  <c r="D13860" i="2"/>
  <c r="C13860" i="2"/>
  <c r="B13860" i="2"/>
  <c r="A13860" i="2"/>
  <c r="E13859" i="2"/>
  <c r="D13859" i="2"/>
  <c r="C13859" i="2"/>
  <c r="B13859" i="2"/>
  <c r="A13859" i="2"/>
  <c r="E13858" i="2"/>
  <c r="D13858" i="2"/>
  <c r="C13858" i="2"/>
  <c r="B13858" i="2"/>
  <c r="A13858" i="2"/>
  <c r="E13857" i="2"/>
  <c r="D13857" i="2"/>
  <c r="C13857" i="2"/>
  <c r="B13857" i="2"/>
  <c r="A13857" i="2"/>
  <c r="E13856" i="2"/>
  <c r="D13856" i="2"/>
  <c r="C13856" i="2"/>
  <c r="B13856" i="2"/>
  <c r="A13856" i="2"/>
  <c r="E13855" i="2"/>
  <c r="D13855" i="2"/>
  <c r="C13855" i="2"/>
  <c r="B13855" i="2"/>
  <c r="A13855" i="2"/>
  <c r="E13854" i="2"/>
  <c r="D13854" i="2"/>
  <c r="C13854" i="2"/>
  <c r="B13854" i="2"/>
  <c r="A13854" i="2"/>
  <c r="E13853" i="2"/>
  <c r="D13853" i="2"/>
  <c r="C13853" i="2"/>
  <c r="B13853" i="2"/>
  <c r="A13853" i="2"/>
  <c r="E13852" i="2"/>
  <c r="D13852" i="2"/>
  <c r="C13852" i="2"/>
  <c r="B13852" i="2"/>
  <c r="A13852" i="2"/>
  <c r="E13851" i="2"/>
  <c r="D13851" i="2"/>
  <c r="C13851" i="2"/>
  <c r="B13851" i="2"/>
  <c r="A13851" i="2"/>
  <c r="E13850" i="2"/>
  <c r="D13850" i="2"/>
  <c r="C13850" i="2"/>
  <c r="B13850" i="2"/>
  <c r="A13850" i="2"/>
  <c r="E13849" i="2"/>
  <c r="D13849" i="2"/>
  <c r="C13849" i="2"/>
  <c r="B13849" i="2"/>
  <c r="A13849" i="2"/>
  <c r="E13848" i="2"/>
  <c r="D13848" i="2"/>
  <c r="C13848" i="2"/>
  <c r="B13848" i="2"/>
  <c r="A13848" i="2"/>
  <c r="E13847" i="2"/>
  <c r="D13847" i="2"/>
  <c r="C13847" i="2"/>
  <c r="B13847" i="2"/>
  <c r="A13847" i="2"/>
  <c r="E13846" i="2"/>
  <c r="D13846" i="2"/>
  <c r="C13846" i="2"/>
  <c r="B13846" i="2"/>
  <c r="A13846" i="2"/>
  <c r="E13845" i="2"/>
  <c r="D13845" i="2"/>
  <c r="C13845" i="2"/>
  <c r="B13845" i="2"/>
  <c r="A13845" i="2"/>
  <c r="E13844" i="2"/>
  <c r="D13844" i="2"/>
  <c r="C13844" i="2"/>
  <c r="B13844" i="2"/>
  <c r="A13844" i="2"/>
  <c r="E13843" i="2"/>
  <c r="D13843" i="2"/>
  <c r="C13843" i="2"/>
  <c r="B13843" i="2"/>
  <c r="A13843" i="2"/>
  <c r="E13842" i="2"/>
  <c r="D13842" i="2"/>
  <c r="C13842" i="2"/>
  <c r="B13842" i="2"/>
  <c r="A13842" i="2"/>
  <c r="E13841" i="2"/>
  <c r="D13841" i="2"/>
  <c r="C13841" i="2"/>
  <c r="B13841" i="2"/>
  <c r="A13841" i="2"/>
  <c r="E13840" i="2"/>
  <c r="D13840" i="2"/>
  <c r="C13840" i="2"/>
  <c r="B13840" i="2"/>
  <c r="A13840" i="2"/>
  <c r="E13839" i="2"/>
  <c r="D13839" i="2"/>
  <c r="C13839" i="2"/>
  <c r="B13839" i="2"/>
  <c r="A13839" i="2"/>
  <c r="E13838" i="2"/>
  <c r="D13838" i="2"/>
  <c r="C13838" i="2"/>
  <c r="B13838" i="2"/>
  <c r="A13838" i="2"/>
  <c r="E13837" i="2"/>
  <c r="D13837" i="2"/>
  <c r="C13837" i="2"/>
  <c r="B13837" i="2"/>
  <c r="A13837" i="2"/>
  <c r="E13836" i="2"/>
  <c r="D13836" i="2"/>
  <c r="C13836" i="2"/>
  <c r="B13836" i="2"/>
  <c r="A13836" i="2"/>
  <c r="E13835" i="2"/>
  <c r="D13835" i="2"/>
  <c r="C13835" i="2"/>
  <c r="B13835" i="2"/>
  <c r="A13835" i="2"/>
  <c r="E13834" i="2"/>
  <c r="D13834" i="2"/>
  <c r="C13834" i="2"/>
  <c r="B13834" i="2"/>
  <c r="A13834" i="2"/>
  <c r="E13833" i="2"/>
  <c r="D13833" i="2"/>
  <c r="C13833" i="2"/>
  <c r="B13833" i="2"/>
  <c r="A13833" i="2"/>
  <c r="E13832" i="2"/>
  <c r="D13832" i="2"/>
  <c r="C13832" i="2"/>
  <c r="B13832" i="2"/>
  <c r="A13832" i="2"/>
  <c r="E13831" i="2"/>
  <c r="D13831" i="2"/>
  <c r="C13831" i="2"/>
  <c r="B13831" i="2"/>
  <c r="A13831" i="2"/>
  <c r="E13830" i="2"/>
  <c r="D13830" i="2"/>
  <c r="C13830" i="2"/>
  <c r="B13830" i="2"/>
  <c r="A13830" i="2"/>
  <c r="E13829" i="2"/>
  <c r="D13829" i="2"/>
  <c r="C13829" i="2"/>
  <c r="B13829" i="2"/>
  <c r="A13829" i="2"/>
  <c r="E13828" i="2"/>
  <c r="D13828" i="2"/>
  <c r="C13828" i="2"/>
  <c r="B13828" i="2"/>
  <c r="A13828" i="2"/>
  <c r="E13827" i="2"/>
  <c r="D13827" i="2"/>
  <c r="C13827" i="2"/>
  <c r="B13827" i="2"/>
  <c r="A13827" i="2"/>
  <c r="E13826" i="2"/>
  <c r="D13826" i="2"/>
  <c r="C13826" i="2"/>
  <c r="B13826" i="2"/>
  <c r="A13826" i="2"/>
  <c r="E13825" i="2"/>
  <c r="D13825" i="2"/>
  <c r="C13825" i="2"/>
  <c r="B13825" i="2"/>
  <c r="A13825" i="2"/>
  <c r="E13824" i="2"/>
  <c r="D13824" i="2"/>
  <c r="C13824" i="2"/>
  <c r="B13824" i="2"/>
  <c r="A13824" i="2"/>
  <c r="E13823" i="2"/>
  <c r="D13823" i="2"/>
  <c r="C13823" i="2"/>
  <c r="B13823" i="2"/>
  <c r="A13823" i="2"/>
  <c r="E13822" i="2"/>
  <c r="D13822" i="2"/>
  <c r="C13822" i="2"/>
  <c r="B13822" i="2"/>
  <c r="A13822" i="2"/>
  <c r="E13821" i="2"/>
  <c r="D13821" i="2"/>
  <c r="C13821" i="2"/>
  <c r="B13821" i="2"/>
  <c r="A13821" i="2"/>
  <c r="E13820" i="2"/>
  <c r="D13820" i="2"/>
  <c r="C13820" i="2"/>
  <c r="B13820" i="2"/>
  <c r="A13820" i="2"/>
  <c r="E13819" i="2"/>
  <c r="D13819" i="2"/>
  <c r="C13819" i="2"/>
  <c r="B13819" i="2"/>
  <c r="A13819" i="2"/>
  <c r="E13818" i="2"/>
  <c r="D13818" i="2"/>
  <c r="C13818" i="2"/>
  <c r="B13818" i="2"/>
  <c r="A13818" i="2"/>
  <c r="E13817" i="2"/>
  <c r="D13817" i="2"/>
  <c r="C13817" i="2"/>
  <c r="B13817" i="2"/>
  <c r="A13817" i="2"/>
  <c r="E13816" i="2"/>
  <c r="D13816" i="2"/>
  <c r="C13816" i="2"/>
  <c r="B13816" i="2"/>
  <c r="A13816" i="2"/>
  <c r="E13815" i="2"/>
  <c r="D13815" i="2"/>
  <c r="C13815" i="2"/>
  <c r="B13815" i="2"/>
  <c r="A13815" i="2"/>
  <c r="E13814" i="2"/>
  <c r="D13814" i="2"/>
  <c r="C13814" i="2"/>
  <c r="B13814" i="2"/>
  <c r="A13814" i="2"/>
  <c r="E13813" i="2"/>
  <c r="D13813" i="2"/>
  <c r="C13813" i="2"/>
  <c r="B13813" i="2"/>
  <c r="A13813" i="2"/>
  <c r="E13812" i="2"/>
  <c r="D13812" i="2"/>
  <c r="C13812" i="2"/>
  <c r="B13812" i="2"/>
  <c r="A13812" i="2"/>
  <c r="E13811" i="2"/>
  <c r="D13811" i="2"/>
  <c r="C13811" i="2"/>
  <c r="B13811" i="2"/>
  <c r="A13811" i="2"/>
  <c r="E13810" i="2"/>
  <c r="D13810" i="2"/>
  <c r="C13810" i="2"/>
  <c r="B13810" i="2"/>
  <c r="A13810" i="2"/>
  <c r="E13809" i="2"/>
  <c r="D13809" i="2"/>
  <c r="C13809" i="2"/>
  <c r="B13809" i="2"/>
  <c r="A13809" i="2"/>
  <c r="E13808" i="2"/>
  <c r="D13808" i="2"/>
  <c r="C13808" i="2"/>
  <c r="B13808" i="2"/>
  <c r="A13808" i="2"/>
  <c r="E13807" i="2"/>
  <c r="D13807" i="2"/>
  <c r="C13807" i="2"/>
  <c r="B13807" i="2"/>
  <c r="A13807" i="2"/>
  <c r="E13806" i="2"/>
  <c r="D13806" i="2"/>
  <c r="C13806" i="2"/>
  <c r="B13806" i="2"/>
  <c r="A13806" i="2"/>
  <c r="E13805" i="2"/>
  <c r="D13805" i="2"/>
  <c r="C13805" i="2"/>
  <c r="B13805" i="2"/>
  <c r="A13805" i="2"/>
  <c r="E13804" i="2"/>
  <c r="D13804" i="2"/>
  <c r="C13804" i="2"/>
  <c r="B13804" i="2"/>
  <c r="A13804" i="2"/>
  <c r="E13803" i="2"/>
  <c r="D13803" i="2"/>
  <c r="C13803" i="2"/>
  <c r="B13803" i="2"/>
  <c r="A13803" i="2"/>
  <c r="E13802" i="2"/>
  <c r="D13802" i="2"/>
  <c r="C13802" i="2"/>
  <c r="B13802" i="2"/>
  <c r="A13802" i="2"/>
  <c r="E13801" i="2"/>
  <c r="D13801" i="2"/>
  <c r="C13801" i="2"/>
  <c r="B13801" i="2"/>
  <c r="A13801" i="2"/>
  <c r="E13800" i="2"/>
  <c r="D13800" i="2"/>
  <c r="C13800" i="2"/>
  <c r="B13800" i="2"/>
  <c r="A13800" i="2"/>
  <c r="E13799" i="2"/>
  <c r="D13799" i="2"/>
  <c r="C13799" i="2"/>
  <c r="B13799" i="2"/>
  <c r="A13799" i="2"/>
  <c r="E13798" i="2"/>
  <c r="D13798" i="2"/>
  <c r="C13798" i="2"/>
  <c r="B13798" i="2"/>
  <c r="A13798" i="2"/>
  <c r="E13797" i="2"/>
  <c r="D13797" i="2"/>
  <c r="C13797" i="2"/>
  <c r="B13797" i="2"/>
  <c r="A13797" i="2"/>
  <c r="E13796" i="2"/>
  <c r="D13796" i="2"/>
  <c r="C13796" i="2"/>
  <c r="B13796" i="2"/>
  <c r="A13796" i="2"/>
  <c r="E13795" i="2"/>
  <c r="D13795" i="2"/>
  <c r="C13795" i="2"/>
  <c r="B13795" i="2"/>
  <c r="A13795" i="2"/>
  <c r="E13794" i="2"/>
  <c r="D13794" i="2"/>
  <c r="C13794" i="2"/>
  <c r="B13794" i="2"/>
  <c r="A13794" i="2"/>
  <c r="E13793" i="2"/>
  <c r="D13793" i="2"/>
  <c r="C13793" i="2"/>
  <c r="B13793" i="2"/>
  <c r="A13793" i="2"/>
  <c r="E13792" i="2"/>
  <c r="D13792" i="2"/>
  <c r="C13792" i="2"/>
  <c r="B13792" i="2"/>
  <c r="A13792" i="2"/>
  <c r="E13791" i="2"/>
  <c r="D13791" i="2"/>
  <c r="C13791" i="2"/>
  <c r="B13791" i="2"/>
  <c r="A13791" i="2"/>
  <c r="E13790" i="2"/>
  <c r="D13790" i="2"/>
  <c r="C13790" i="2"/>
  <c r="B13790" i="2"/>
  <c r="A13790" i="2"/>
  <c r="E13789" i="2"/>
  <c r="D13789" i="2"/>
  <c r="C13789" i="2"/>
  <c r="B13789" i="2"/>
  <c r="A13789" i="2"/>
  <c r="E13788" i="2"/>
  <c r="D13788" i="2"/>
  <c r="C13788" i="2"/>
  <c r="B13788" i="2"/>
  <c r="A13788" i="2"/>
  <c r="E13787" i="2"/>
  <c r="D13787" i="2"/>
  <c r="C13787" i="2"/>
  <c r="B13787" i="2"/>
  <c r="A13787" i="2"/>
  <c r="E13786" i="2"/>
  <c r="D13786" i="2"/>
  <c r="C13786" i="2"/>
  <c r="B13786" i="2"/>
  <c r="A13786" i="2"/>
  <c r="E13785" i="2"/>
  <c r="D13785" i="2"/>
  <c r="C13785" i="2"/>
  <c r="B13785" i="2"/>
  <c r="A13785" i="2"/>
  <c r="E13784" i="2"/>
  <c r="D13784" i="2"/>
  <c r="C13784" i="2"/>
  <c r="B13784" i="2"/>
  <c r="A13784" i="2"/>
  <c r="E13783" i="2"/>
  <c r="D13783" i="2"/>
  <c r="C13783" i="2"/>
  <c r="B13783" i="2"/>
  <c r="A13783" i="2"/>
  <c r="E13782" i="2"/>
  <c r="D13782" i="2"/>
  <c r="C13782" i="2"/>
  <c r="B13782" i="2"/>
  <c r="A13782" i="2"/>
  <c r="E13781" i="2"/>
  <c r="D13781" i="2"/>
  <c r="C13781" i="2"/>
  <c r="B13781" i="2"/>
  <c r="A13781" i="2"/>
  <c r="E13780" i="2"/>
  <c r="D13780" i="2"/>
  <c r="C13780" i="2"/>
  <c r="B13780" i="2"/>
  <c r="A13780" i="2"/>
  <c r="E13779" i="2"/>
  <c r="D13779" i="2"/>
  <c r="C13779" i="2"/>
  <c r="B13779" i="2"/>
  <c r="A13779" i="2"/>
  <c r="E13778" i="2"/>
  <c r="D13778" i="2"/>
  <c r="C13778" i="2"/>
  <c r="B13778" i="2"/>
  <c r="A13778" i="2"/>
  <c r="E13777" i="2"/>
  <c r="D13777" i="2"/>
  <c r="C13777" i="2"/>
  <c r="B13777" i="2"/>
  <c r="A13777" i="2"/>
  <c r="E13776" i="2"/>
  <c r="D13776" i="2"/>
  <c r="C13776" i="2"/>
  <c r="B13776" i="2"/>
  <c r="A13776" i="2"/>
  <c r="E13775" i="2"/>
  <c r="D13775" i="2"/>
  <c r="C13775" i="2"/>
  <c r="B13775" i="2"/>
  <c r="A13775" i="2"/>
  <c r="E13774" i="2"/>
  <c r="D13774" i="2"/>
  <c r="C13774" i="2"/>
  <c r="B13774" i="2"/>
  <c r="A13774" i="2"/>
  <c r="E13773" i="2"/>
  <c r="D13773" i="2"/>
  <c r="C13773" i="2"/>
  <c r="B13773" i="2"/>
  <c r="A13773" i="2"/>
  <c r="E13772" i="2"/>
  <c r="D13772" i="2"/>
  <c r="C13772" i="2"/>
  <c r="B13772" i="2"/>
  <c r="A13772" i="2"/>
  <c r="E13771" i="2"/>
  <c r="D13771" i="2"/>
  <c r="C13771" i="2"/>
  <c r="B13771" i="2"/>
  <c r="A13771" i="2"/>
  <c r="E13770" i="2"/>
  <c r="D13770" i="2"/>
  <c r="C13770" i="2"/>
  <c r="B13770" i="2"/>
  <c r="A13770" i="2"/>
  <c r="E13769" i="2"/>
  <c r="D13769" i="2"/>
  <c r="C13769" i="2"/>
  <c r="B13769" i="2"/>
  <c r="A13769" i="2"/>
  <c r="E13768" i="2"/>
  <c r="D13768" i="2"/>
  <c r="C13768" i="2"/>
  <c r="B13768" i="2"/>
  <c r="A13768" i="2"/>
  <c r="E13767" i="2"/>
  <c r="D13767" i="2"/>
  <c r="C13767" i="2"/>
  <c r="B13767" i="2"/>
  <c r="A13767" i="2"/>
  <c r="E13766" i="2"/>
  <c r="D13766" i="2"/>
  <c r="C13766" i="2"/>
  <c r="B13766" i="2"/>
  <c r="A13766" i="2"/>
  <c r="E13765" i="2"/>
  <c r="D13765" i="2"/>
  <c r="C13765" i="2"/>
  <c r="B13765" i="2"/>
  <c r="A13765" i="2"/>
  <c r="E13764" i="2"/>
  <c r="D13764" i="2"/>
  <c r="C13764" i="2"/>
  <c r="B13764" i="2"/>
  <c r="A13764" i="2"/>
  <c r="E13763" i="2"/>
  <c r="D13763" i="2"/>
  <c r="C13763" i="2"/>
  <c r="B13763" i="2"/>
  <c r="A13763" i="2"/>
  <c r="E13762" i="2"/>
  <c r="D13762" i="2"/>
  <c r="C13762" i="2"/>
  <c r="B13762" i="2"/>
  <c r="A13762" i="2"/>
  <c r="E13761" i="2"/>
  <c r="D13761" i="2"/>
  <c r="C13761" i="2"/>
  <c r="B13761" i="2"/>
  <c r="A13761" i="2"/>
  <c r="E13760" i="2"/>
  <c r="D13760" i="2"/>
  <c r="C13760" i="2"/>
  <c r="B13760" i="2"/>
  <c r="A13760" i="2"/>
  <c r="E13759" i="2"/>
  <c r="D13759" i="2"/>
  <c r="C13759" i="2"/>
  <c r="B13759" i="2"/>
  <c r="A13759" i="2"/>
  <c r="E13758" i="2"/>
  <c r="D13758" i="2"/>
  <c r="C13758" i="2"/>
  <c r="B13758" i="2"/>
  <c r="A13758" i="2"/>
  <c r="E13757" i="2"/>
  <c r="D13757" i="2"/>
  <c r="C13757" i="2"/>
  <c r="B13757" i="2"/>
  <c r="A13757" i="2"/>
  <c r="E13756" i="2"/>
  <c r="D13756" i="2"/>
  <c r="C13756" i="2"/>
  <c r="B13756" i="2"/>
  <c r="A13756" i="2"/>
  <c r="E13755" i="2"/>
  <c r="D13755" i="2"/>
  <c r="C13755" i="2"/>
  <c r="B13755" i="2"/>
  <c r="A13755" i="2"/>
  <c r="E13754" i="2"/>
  <c r="D13754" i="2"/>
  <c r="C13754" i="2"/>
  <c r="B13754" i="2"/>
  <c r="A13754" i="2"/>
  <c r="E13753" i="2"/>
  <c r="D13753" i="2"/>
  <c r="C13753" i="2"/>
  <c r="B13753" i="2"/>
  <c r="A13753" i="2"/>
  <c r="E13752" i="2"/>
  <c r="D13752" i="2"/>
  <c r="C13752" i="2"/>
  <c r="B13752" i="2"/>
  <c r="A13752" i="2"/>
  <c r="E13751" i="2"/>
  <c r="D13751" i="2"/>
  <c r="C13751" i="2"/>
  <c r="B13751" i="2"/>
  <c r="A13751" i="2"/>
  <c r="E13750" i="2"/>
  <c r="D13750" i="2"/>
  <c r="C13750" i="2"/>
  <c r="B13750" i="2"/>
  <c r="A13750" i="2"/>
  <c r="E13749" i="2"/>
  <c r="D13749" i="2"/>
  <c r="C13749" i="2"/>
  <c r="B13749" i="2"/>
  <c r="A13749" i="2"/>
  <c r="E13748" i="2"/>
  <c r="D13748" i="2"/>
  <c r="C13748" i="2"/>
  <c r="B13748" i="2"/>
  <c r="A13748" i="2"/>
  <c r="E13747" i="2"/>
  <c r="D13747" i="2"/>
  <c r="C13747" i="2"/>
  <c r="B13747" i="2"/>
  <c r="A13747" i="2"/>
  <c r="E13746" i="2"/>
  <c r="D13746" i="2"/>
  <c r="C13746" i="2"/>
  <c r="B13746" i="2"/>
  <c r="A13746" i="2"/>
  <c r="E13745" i="2"/>
  <c r="D13745" i="2"/>
  <c r="C13745" i="2"/>
  <c r="B13745" i="2"/>
  <c r="A13745" i="2"/>
  <c r="E13744" i="2"/>
  <c r="D13744" i="2"/>
  <c r="C13744" i="2"/>
  <c r="B13744" i="2"/>
  <c r="A13744" i="2"/>
  <c r="E13743" i="2"/>
  <c r="D13743" i="2"/>
  <c r="C13743" i="2"/>
  <c r="B13743" i="2"/>
  <c r="A13743" i="2"/>
  <c r="E13742" i="2"/>
  <c r="D13742" i="2"/>
  <c r="C13742" i="2"/>
  <c r="B13742" i="2"/>
  <c r="A13742" i="2"/>
  <c r="E13741" i="2"/>
  <c r="D13741" i="2"/>
  <c r="C13741" i="2"/>
  <c r="B13741" i="2"/>
  <c r="A13741" i="2"/>
  <c r="E13740" i="2"/>
  <c r="D13740" i="2"/>
  <c r="C13740" i="2"/>
  <c r="B13740" i="2"/>
  <c r="A13740" i="2"/>
  <c r="E13739" i="2"/>
  <c r="D13739" i="2"/>
  <c r="C13739" i="2"/>
  <c r="B13739" i="2"/>
  <c r="A13739" i="2"/>
  <c r="E13738" i="2"/>
  <c r="D13738" i="2"/>
  <c r="C13738" i="2"/>
  <c r="B13738" i="2"/>
  <c r="A13738" i="2"/>
  <c r="E13737" i="2"/>
  <c r="D13737" i="2"/>
  <c r="C13737" i="2"/>
  <c r="B13737" i="2"/>
  <c r="A13737" i="2"/>
  <c r="E13736" i="2"/>
  <c r="D13736" i="2"/>
  <c r="C13736" i="2"/>
  <c r="B13736" i="2"/>
  <c r="A13736" i="2"/>
  <c r="E13735" i="2"/>
  <c r="D13735" i="2"/>
  <c r="C13735" i="2"/>
  <c r="B13735" i="2"/>
  <c r="A13735" i="2"/>
  <c r="E13734" i="2"/>
  <c r="D13734" i="2"/>
  <c r="C13734" i="2"/>
  <c r="B13734" i="2"/>
  <c r="A13734" i="2"/>
  <c r="E13733" i="2"/>
  <c r="D13733" i="2"/>
  <c r="C13733" i="2"/>
  <c r="B13733" i="2"/>
  <c r="A13733" i="2"/>
  <c r="E13732" i="2"/>
  <c r="D13732" i="2"/>
  <c r="C13732" i="2"/>
  <c r="B13732" i="2"/>
  <c r="A13732" i="2"/>
  <c r="E13731" i="2"/>
  <c r="D13731" i="2"/>
  <c r="C13731" i="2"/>
  <c r="B13731" i="2"/>
  <c r="A13731" i="2"/>
  <c r="E13730" i="2"/>
  <c r="D13730" i="2"/>
  <c r="C13730" i="2"/>
  <c r="B13730" i="2"/>
  <c r="A13730" i="2"/>
  <c r="E13729" i="2"/>
  <c r="D13729" i="2"/>
  <c r="C13729" i="2"/>
  <c r="B13729" i="2"/>
  <c r="A13729" i="2"/>
  <c r="E13728" i="2"/>
  <c r="D13728" i="2"/>
  <c r="C13728" i="2"/>
  <c r="B13728" i="2"/>
  <c r="A13728" i="2"/>
  <c r="E13727" i="2"/>
  <c r="D13727" i="2"/>
  <c r="C13727" i="2"/>
  <c r="B13727" i="2"/>
  <c r="A13727" i="2"/>
  <c r="E13726" i="2"/>
  <c r="D13726" i="2"/>
  <c r="C13726" i="2"/>
  <c r="B13726" i="2"/>
  <c r="A13726" i="2"/>
  <c r="E13725" i="2"/>
  <c r="D13725" i="2"/>
  <c r="C13725" i="2"/>
  <c r="B13725" i="2"/>
  <c r="A13725" i="2"/>
  <c r="E13724" i="2"/>
  <c r="D13724" i="2"/>
  <c r="C13724" i="2"/>
  <c r="B13724" i="2"/>
  <c r="A13724" i="2"/>
  <c r="E13723" i="2"/>
  <c r="D13723" i="2"/>
  <c r="C13723" i="2"/>
  <c r="B13723" i="2"/>
  <c r="A13723" i="2"/>
  <c r="E13722" i="2"/>
  <c r="D13722" i="2"/>
  <c r="C13722" i="2"/>
  <c r="B13722" i="2"/>
  <c r="A13722" i="2"/>
  <c r="E13721" i="2"/>
  <c r="D13721" i="2"/>
  <c r="C13721" i="2"/>
  <c r="B13721" i="2"/>
  <c r="A13721" i="2"/>
  <c r="E13720" i="2"/>
  <c r="D13720" i="2"/>
  <c r="C13720" i="2"/>
  <c r="B13720" i="2"/>
  <c r="A13720" i="2"/>
  <c r="E13719" i="2"/>
  <c r="D13719" i="2"/>
  <c r="C13719" i="2"/>
  <c r="B13719" i="2"/>
  <c r="A13719" i="2"/>
  <c r="E13718" i="2"/>
  <c r="D13718" i="2"/>
  <c r="C13718" i="2"/>
  <c r="B13718" i="2"/>
  <c r="A13718" i="2"/>
  <c r="E13717" i="2"/>
  <c r="D13717" i="2"/>
  <c r="C13717" i="2"/>
  <c r="B13717" i="2"/>
  <c r="A13717" i="2"/>
  <c r="E13716" i="2"/>
  <c r="D13716" i="2"/>
  <c r="C13716" i="2"/>
  <c r="B13716" i="2"/>
  <c r="A13716" i="2"/>
  <c r="E13715" i="2"/>
  <c r="D13715" i="2"/>
  <c r="C13715" i="2"/>
  <c r="B13715" i="2"/>
  <c r="A13715" i="2"/>
  <c r="E13714" i="2"/>
  <c r="D13714" i="2"/>
  <c r="C13714" i="2"/>
  <c r="B13714" i="2"/>
  <c r="A13714" i="2"/>
  <c r="E13713" i="2"/>
  <c r="D13713" i="2"/>
  <c r="C13713" i="2"/>
  <c r="B13713" i="2"/>
  <c r="A13713" i="2"/>
  <c r="E13712" i="2"/>
  <c r="D13712" i="2"/>
  <c r="C13712" i="2"/>
  <c r="B13712" i="2"/>
  <c r="A13712" i="2"/>
  <c r="E13711" i="2"/>
  <c r="D13711" i="2"/>
  <c r="C13711" i="2"/>
  <c r="B13711" i="2"/>
  <c r="A13711" i="2"/>
  <c r="E13710" i="2"/>
  <c r="D13710" i="2"/>
  <c r="C13710" i="2"/>
  <c r="B13710" i="2"/>
  <c r="A13710" i="2"/>
  <c r="E13709" i="2"/>
  <c r="D13709" i="2"/>
  <c r="C13709" i="2"/>
  <c r="B13709" i="2"/>
  <c r="A13709" i="2"/>
  <c r="E13708" i="2"/>
  <c r="D13708" i="2"/>
  <c r="C13708" i="2"/>
  <c r="B13708" i="2"/>
  <c r="A13708" i="2"/>
  <c r="E13707" i="2"/>
  <c r="D13707" i="2"/>
  <c r="C13707" i="2"/>
  <c r="B13707" i="2"/>
  <c r="A13707" i="2"/>
  <c r="E13706" i="2"/>
  <c r="D13706" i="2"/>
  <c r="C13706" i="2"/>
  <c r="B13706" i="2"/>
  <c r="A13706" i="2"/>
  <c r="E13705" i="2"/>
  <c r="D13705" i="2"/>
  <c r="C13705" i="2"/>
  <c r="B13705" i="2"/>
  <c r="A13705" i="2"/>
  <c r="E13704" i="2"/>
  <c r="D13704" i="2"/>
  <c r="C13704" i="2"/>
  <c r="B13704" i="2"/>
  <c r="A13704" i="2"/>
  <c r="E13703" i="2"/>
  <c r="D13703" i="2"/>
  <c r="C13703" i="2"/>
  <c r="B13703" i="2"/>
  <c r="A13703" i="2"/>
  <c r="E13702" i="2"/>
  <c r="D13702" i="2"/>
  <c r="C13702" i="2"/>
  <c r="B13702" i="2"/>
  <c r="A13702" i="2"/>
  <c r="E13701" i="2"/>
  <c r="D13701" i="2"/>
  <c r="C13701" i="2"/>
  <c r="B13701" i="2"/>
  <c r="A13701" i="2"/>
  <c r="E13700" i="2"/>
  <c r="D13700" i="2"/>
  <c r="C13700" i="2"/>
  <c r="B13700" i="2"/>
  <c r="A13700" i="2"/>
  <c r="E13699" i="2"/>
  <c r="D13699" i="2"/>
  <c r="C13699" i="2"/>
  <c r="B13699" i="2"/>
  <c r="A13699" i="2"/>
  <c r="E13698" i="2"/>
  <c r="D13698" i="2"/>
  <c r="C13698" i="2"/>
  <c r="B13698" i="2"/>
  <c r="A13698" i="2"/>
  <c r="E13697" i="2"/>
  <c r="D13697" i="2"/>
  <c r="C13697" i="2"/>
  <c r="B13697" i="2"/>
  <c r="A13697" i="2"/>
  <c r="E13696" i="2"/>
  <c r="D13696" i="2"/>
  <c r="C13696" i="2"/>
  <c r="B13696" i="2"/>
  <c r="A13696" i="2"/>
  <c r="E13695" i="2"/>
  <c r="D13695" i="2"/>
  <c r="C13695" i="2"/>
  <c r="B13695" i="2"/>
  <c r="A13695" i="2"/>
  <c r="E13694" i="2"/>
  <c r="D13694" i="2"/>
  <c r="C13694" i="2"/>
  <c r="B13694" i="2"/>
  <c r="A13694" i="2"/>
  <c r="E13693" i="2"/>
  <c r="D13693" i="2"/>
  <c r="C13693" i="2"/>
  <c r="B13693" i="2"/>
  <c r="A13693" i="2"/>
  <c r="E13692" i="2"/>
  <c r="D13692" i="2"/>
  <c r="C13692" i="2"/>
  <c r="B13692" i="2"/>
  <c r="A13692" i="2"/>
  <c r="E13691" i="2"/>
  <c r="D13691" i="2"/>
  <c r="C13691" i="2"/>
  <c r="B13691" i="2"/>
  <c r="A13691" i="2"/>
  <c r="E13690" i="2"/>
  <c r="D13690" i="2"/>
  <c r="C13690" i="2"/>
  <c r="B13690" i="2"/>
  <c r="A13690" i="2"/>
  <c r="E13689" i="2"/>
  <c r="D13689" i="2"/>
  <c r="C13689" i="2"/>
  <c r="B13689" i="2"/>
  <c r="A13689" i="2"/>
  <c r="E13688" i="2"/>
  <c r="D13688" i="2"/>
  <c r="C13688" i="2"/>
  <c r="B13688" i="2"/>
  <c r="A13688" i="2"/>
  <c r="E13687" i="2"/>
  <c r="D13687" i="2"/>
  <c r="C13687" i="2"/>
  <c r="B13687" i="2"/>
  <c r="A13687" i="2"/>
  <c r="E13686" i="2"/>
  <c r="D13686" i="2"/>
  <c r="C13686" i="2"/>
  <c r="B13686" i="2"/>
  <c r="A13686" i="2"/>
  <c r="E13685" i="2"/>
  <c r="D13685" i="2"/>
  <c r="C13685" i="2"/>
  <c r="B13685" i="2"/>
  <c r="A13685" i="2"/>
  <c r="E13684" i="2"/>
  <c r="D13684" i="2"/>
  <c r="C13684" i="2"/>
  <c r="B13684" i="2"/>
  <c r="A13684" i="2"/>
  <c r="E13683" i="2"/>
  <c r="D13683" i="2"/>
  <c r="C13683" i="2"/>
  <c r="B13683" i="2"/>
  <c r="A13683" i="2"/>
  <c r="E13682" i="2"/>
  <c r="D13682" i="2"/>
  <c r="C13682" i="2"/>
  <c r="B13682" i="2"/>
  <c r="A13682" i="2"/>
  <c r="E13681" i="2"/>
  <c r="D13681" i="2"/>
  <c r="C13681" i="2"/>
  <c r="B13681" i="2"/>
  <c r="A13681" i="2"/>
  <c r="E13680" i="2"/>
  <c r="D13680" i="2"/>
  <c r="C13680" i="2"/>
  <c r="B13680" i="2"/>
  <c r="A13680" i="2"/>
  <c r="E13679" i="2"/>
  <c r="D13679" i="2"/>
  <c r="C13679" i="2"/>
  <c r="B13679" i="2"/>
  <c r="A13679" i="2"/>
  <c r="E13678" i="2"/>
  <c r="D13678" i="2"/>
  <c r="C13678" i="2"/>
  <c r="B13678" i="2"/>
  <c r="A13678" i="2"/>
  <c r="E13677" i="2"/>
  <c r="D13677" i="2"/>
  <c r="C13677" i="2"/>
  <c r="B13677" i="2"/>
  <c r="A13677" i="2"/>
  <c r="E13676" i="2"/>
  <c r="D13676" i="2"/>
  <c r="C13676" i="2"/>
  <c r="B13676" i="2"/>
  <c r="A13676" i="2"/>
  <c r="E13675" i="2"/>
  <c r="D13675" i="2"/>
  <c r="C13675" i="2"/>
  <c r="B13675" i="2"/>
  <c r="A13675" i="2"/>
  <c r="E13674" i="2"/>
  <c r="D13674" i="2"/>
  <c r="C13674" i="2"/>
  <c r="B13674" i="2"/>
  <c r="A13674" i="2"/>
  <c r="E13673" i="2"/>
  <c r="D13673" i="2"/>
  <c r="C13673" i="2"/>
  <c r="B13673" i="2"/>
  <c r="A13673" i="2"/>
  <c r="E13672" i="2"/>
  <c r="D13672" i="2"/>
  <c r="C13672" i="2"/>
  <c r="B13672" i="2"/>
  <c r="A13672" i="2"/>
  <c r="E13671" i="2"/>
  <c r="D13671" i="2"/>
  <c r="C13671" i="2"/>
  <c r="B13671" i="2"/>
  <c r="A13671" i="2"/>
  <c r="E13670" i="2"/>
  <c r="D13670" i="2"/>
  <c r="C13670" i="2"/>
  <c r="B13670" i="2"/>
  <c r="A13670" i="2"/>
  <c r="E13669" i="2"/>
  <c r="D13669" i="2"/>
  <c r="C13669" i="2"/>
  <c r="B13669" i="2"/>
  <c r="A13669" i="2"/>
  <c r="E13668" i="2"/>
  <c r="D13668" i="2"/>
  <c r="C13668" i="2"/>
  <c r="B13668" i="2"/>
  <c r="A13668" i="2"/>
  <c r="E13667" i="2"/>
  <c r="D13667" i="2"/>
  <c r="C13667" i="2"/>
  <c r="B13667" i="2"/>
  <c r="A13667" i="2"/>
  <c r="E13666" i="2"/>
  <c r="D13666" i="2"/>
  <c r="C13666" i="2"/>
  <c r="B13666" i="2"/>
  <c r="A13666" i="2"/>
  <c r="E13665" i="2"/>
  <c r="D13665" i="2"/>
  <c r="C13665" i="2"/>
  <c r="B13665" i="2"/>
  <c r="A13665" i="2"/>
  <c r="E13664" i="2"/>
  <c r="D13664" i="2"/>
  <c r="C13664" i="2"/>
  <c r="B13664" i="2"/>
  <c r="A13664" i="2"/>
  <c r="E13663" i="2"/>
  <c r="D13663" i="2"/>
  <c r="C13663" i="2"/>
  <c r="B13663" i="2"/>
  <c r="A13663" i="2"/>
  <c r="E13662" i="2"/>
  <c r="D13662" i="2"/>
  <c r="C13662" i="2"/>
  <c r="B13662" i="2"/>
  <c r="A13662" i="2"/>
  <c r="E13661" i="2"/>
  <c r="D13661" i="2"/>
  <c r="C13661" i="2"/>
  <c r="B13661" i="2"/>
  <c r="A13661" i="2"/>
  <c r="E13660" i="2"/>
  <c r="D13660" i="2"/>
  <c r="C13660" i="2"/>
  <c r="B13660" i="2"/>
  <c r="A13660" i="2"/>
  <c r="E13659" i="2"/>
  <c r="D13659" i="2"/>
  <c r="C13659" i="2"/>
  <c r="B13659" i="2"/>
  <c r="A13659" i="2"/>
  <c r="E13658" i="2"/>
  <c r="D13658" i="2"/>
  <c r="C13658" i="2"/>
  <c r="B13658" i="2"/>
  <c r="A13658" i="2"/>
  <c r="E13657" i="2"/>
  <c r="D13657" i="2"/>
  <c r="C13657" i="2"/>
  <c r="B13657" i="2"/>
  <c r="A13657" i="2"/>
  <c r="E13656" i="2"/>
  <c r="D13656" i="2"/>
  <c r="C13656" i="2"/>
  <c r="B13656" i="2"/>
  <c r="A13656" i="2"/>
  <c r="E13655" i="2"/>
  <c r="D13655" i="2"/>
  <c r="C13655" i="2"/>
  <c r="B13655" i="2"/>
  <c r="A13655" i="2"/>
  <c r="E13654" i="2"/>
  <c r="D13654" i="2"/>
  <c r="C13654" i="2"/>
  <c r="B13654" i="2"/>
  <c r="A13654" i="2"/>
  <c r="E13653" i="2"/>
  <c r="D13653" i="2"/>
  <c r="C13653" i="2"/>
  <c r="B13653" i="2"/>
  <c r="A13653" i="2"/>
  <c r="E13652" i="2"/>
  <c r="D13652" i="2"/>
  <c r="C13652" i="2"/>
  <c r="B13652" i="2"/>
  <c r="A13652" i="2"/>
  <c r="E13651" i="2"/>
  <c r="D13651" i="2"/>
  <c r="C13651" i="2"/>
  <c r="B13651" i="2"/>
  <c r="A13651" i="2"/>
  <c r="E13650" i="2"/>
  <c r="D13650" i="2"/>
  <c r="C13650" i="2"/>
  <c r="B13650" i="2"/>
  <c r="A13650" i="2"/>
  <c r="E13649" i="2"/>
  <c r="D13649" i="2"/>
  <c r="C13649" i="2"/>
  <c r="B13649" i="2"/>
  <c r="A13649" i="2"/>
  <c r="E13648" i="2"/>
  <c r="D13648" i="2"/>
  <c r="C13648" i="2"/>
  <c r="B13648" i="2"/>
  <c r="A13648" i="2"/>
  <c r="E13647" i="2"/>
  <c r="D13647" i="2"/>
  <c r="C13647" i="2"/>
  <c r="B13647" i="2"/>
  <c r="A13647" i="2"/>
  <c r="E13646" i="2"/>
  <c r="D13646" i="2"/>
  <c r="C13646" i="2"/>
  <c r="B13646" i="2"/>
  <c r="A13646" i="2"/>
  <c r="E13645" i="2"/>
  <c r="D13645" i="2"/>
  <c r="C13645" i="2"/>
  <c r="B13645" i="2"/>
  <c r="A13645" i="2"/>
  <c r="E13644" i="2"/>
  <c r="D13644" i="2"/>
  <c r="C13644" i="2"/>
  <c r="B13644" i="2"/>
  <c r="A13644" i="2"/>
  <c r="E13643" i="2"/>
  <c r="D13643" i="2"/>
  <c r="C13643" i="2"/>
  <c r="B13643" i="2"/>
  <c r="A13643" i="2"/>
  <c r="E13642" i="2"/>
  <c r="D13642" i="2"/>
  <c r="C13642" i="2"/>
  <c r="B13642" i="2"/>
  <c r="A13642" i="2"/>
  <c r="E13641" i="2"/>
  <c r="D13641" i="2"/>
  <c r="C13641" i="2"/>
  <c r="B13641" i="2"/>
  <c r="A13641" i="2"/>
  <c r="E13640" i="2"/>
  <c r="D13640" i="2"/>
  <c r="C13640" i="2"/>
  <c r="B13640" i="2"/>
  <c r="A13640" i="2"/>
  <c r="E13639" i="2"/>
  <c r="D13639" i="2"/>
  <c r="C13639" i="2"/>
  <c r="B13639" i="2"/>
  <c r="A13639" i="2"/>
  <c r="E13638" i="2"/>
  <c r="D13638" i="2"/>
  <c r="C13638" i="2"/>
  <c r="B13638" i="2"/>
  <c r="A13638" i="2"/>
  <c r="E13637" i="2"/>
  <c r="D13637" i="2"/>
  <c r="C13637" i="2"/>
  <c r="B13637" i="2"/>
  <c r="A13637" i="2"/>
  <c r="E13636" i="2"/>
  <c r="D13636" i="2"/>
  <c r="C13636" i="2"/>
  <c r="B13636" i="2"/>
  <c r="A13636" i="2"/>
  <c r="E13635" i="2"/>
  <c r="D13635" i="2"/>
  <c r="C13635" i="2"/>
  <c r="B13635" i="2"/>
  <c r="A13635" i="2"/>
  <c r="E13634" i="2"/>
  <c r="D13634" i="2"/>
  <c r="C13634" i="2"/>
  <c r="B13634" i="2"/>
  <c r="A13634" i="2"/>
  <c r="E13633" i="2"/>
  <c r="D13633" i="2"/>
  <c r="C13633" i="2"/>
  <c r="B13633" i="2"/>
  <c r="A13633" i="2"/>
  <c r="E13632" i="2"/>
  <c r="D13632" i="2"/>
  <c r="C13632" i="2"/>
  <c r="B13632" i="2"/>
  <c r="A13632" i="2"/>
  <c r="E13631" i="2"/>
  <c r="D13631" i="2"/>
  <c r="C13631" i="2"/>
  <c r="B13631" i="2"/>
  <c r="A13631" i="2"/>
  <c r="E13630" i="2"/>
  <c r="D13630" i="2"/>
  <c r="C13630" i="2"/>
  <c r="B13630" i="2"/>
  <c r="A13630" i="2"/>
  <c r="E13629" i="2"/>
  <c r="D13629" i="2"/>
  <c r="C13629" i="2"/>
  <c r="B13629" i="2"/>
  <c r="A13629" i="2"/>
  <c r="E13628" i="2"/>
  <c r="D13628" i="2"/>
  <c r="C13628" i="2"/>
  <c r="B13628" i="2"/>
  <c r="A13628" i="2"/>
  <c r="E13627" i="2"/>
  <c r="D13627" i="2"/>
  <c r="C13627" i="2"/>
  <c r="B13627" i="2"/>
  <c r="A13627" i="2"/>
  <c r="E13626" i="2"/>
  <c r="D13626" i="2"/>
  <c r="C13626" i="2"/>
  <c r="B13626" i="2"/>
  <c r="A13626" i="2"/>
  <c r="E13625" i="2"/>
  <c r="D13625" i="2"/>
  <c r="C13625" i="2"/>
  <c r="B13625" i="2"/>
  <c r="A13625" i="2"/>
  <c r="E13624" i="2"/>
  <c r="D13624" i="2"/>
  <c r="C13624" i="2"/>
  <c r="B13624" i="2"/>
  <c r="A13624" i="2"/>
  <c r="E13623" i="2"/>
  <c r="D13623" i="2"/>
  <c r="C13623" i="2"/>
  <c r="B13623" i="2"/>
  <c r="A13623" i="2"/>
  <c r="E13622" i="2"/>
  <c r="D13622" i="2"/>
  <c r="C13622" i="2"/>
  <c r="B13622" i="2"/>
  <c r="A13622" i="2"/>
  <c r="E13621" i="2"/>
  <c r="D13621" i="2"/>
  <c r="C13621" i="2"/>
  <c r="B13621" i="2"/>
  <c r="A13621" i="2"/>
  <c r="E13620" i="2"/>
  <c r="D13620" i="2"/>
  <c r="C13620" i="2"/>
  <c r="B13620" i="2"/>
  <c r="A13620" i="2"/>
  <c r="E13619" i="2"/>
  <c r="D13619" i="2"/>
  <c r="C13619" i="2"/>
  <c r="B13619" i="2"/>
  <c r="A13619" i="2"/>
  <c r="E13618" i="2"/>
  <c r="D13618" i="2"/>
  <c r="C13618" i="2"/>
  <c r="B13618" i="2"/>
  <c r="A13618" i="2"/>
  <c r="E13617" i="2"/>
  <c r="D13617" i="2"/>
  <c r="C13617" i="2"/>
  <c r="B13617" i="2"/>
  <c r="A13617" i="2"/>
  <c r="E13616" i="2"/>
  <c r="D13616" i="2"/>
  <c r="C13616" i="2"/>
  <c r="B13616" i="2"/>
  <c r="A13616" i="2"/>
  <c r="E13615" i="2"/>
  <c r="D13615" i="2"/>
  <c r="C13615" i="2"/>
  <c r="B13615" i="2"/>
  <c r="A13615" i="2"/>
  <c r="E13614" i="2"/>
  <c r="D13614" i="2"/>
  <c r="C13614" i="2"/>
  <c r="B13614" i="2"/>
  <c r="A13614" i="2"/>
  <c r="E13613" i="2"/>
  <c r="D13613" i="2"/>
  <c r="C13613" i="2"/>
  <c r="B13613" i="2"/>
  <c r="A13613" i="2"/>
  <c r="E13612" i="2"/>
  <c r="D13612" i="2"/>
  <c r="C13612" i="2"/>
  <c r="B13612" i="2"/>
  <c r="A13612" i="2"/>
  <c r="E13611" i="2"/>
  <c r="D13611" i="2"/>
  <c r="C13611" i="2"/>
  <c r="B13611" i="2"/>
  <c r="A13611" i="2"/>
  <c r="E13610" i="2"/>
  <c r="D13610" i="2"/>
  <c r="C13610" i="2"/>
  <c r="B13610" i="2"/>
  <c r="A13610" i="2"/>
  <c r="E13609" i="2"/>
  <c r="D13609" i="2"/>
  <c r="C13609" i="2"/>
  <c r="B13609" i="2"/>
  <c r="A13609" i="2"/>
  <c r="E13608" i="2"/>
  <c r="D13608" i="2"/>
  <c r="C13608" i="2"/>
  <c r="B13608" i="2"/>
  <c r="A13608" i="2"/>
  <c r="E13607" i="2"/>
  <c r="D13607" i="2"/>
  <c r="C13607" i="2"/>
  <c r="B13607" i="2"/>
  <c r="A13607" i="2"/>
  <c r="E13606" i="2"/>
  <c r="D13606" i="2"/>
  <c r="C13606" i="2"/>
  <c r="B13606" i="2"/>
  <c r="A13606" i="2"/>
  <c r="E13605" i="2"/>
  <c r="D13605" i="2"/>
  <c r="C13605" i="2"/>
  <c r="B13605" i="2"/>
  <c r="A13605" i="2"/>
  <c r="E13604" i="2"/>
  <c r="D13604" i="2"/>
  <c r="C13604" i="2"/>
  <c r="B13604" i="2"/>
  <c r="A13604" i="2"/>
  <c r="E13603" i="2"/>
  <c r="D13603" i="2"/>
  <c r="C13603" i="2"/>
  <c r="B13603" i="2"/>
  <c r="A13603" i="2"/>
  <c r="E13602" i="2"/>
  <c r="D13602" i="2"/>
  <c r="C13602" i="2"/>
  <c r="B13602" i="2"/>
  <c r="A13602" i="2"/>
  <c r="E13601" i="2"/>
  <c r="D13601" i="2"/>
  <c r="C13601" i="2"/>
  <c r="B13601" i="2"/>
  <c r="A13601" i="2"/>
  <c r="E13600" i="2"/>
  <c r="D13600" i="2"/>
  <c r="C13600" i="2"/>
  <c r="B13600" i="2"/>
  <c r="A13600" i="2"/>
  <c r="E13599" i="2"/>
  <c r="D13599" i="2"/>
  <c r="C13599" i="2"/>
  <c r="B13599" i="2"/>
  <c r="A13599" i="2"/>
  <c r="E13598" i="2"/>
  <c r="D13598" i="2"/>
  <c r="C13598" i="2"/>
  <c r="B13598" i="2"/>
  <c r="A13598" i="2"/>
  <c r="E13597" i="2"/>
  <c r="D13597" i="2"/>
  <c r="C13597" i="2"/>
  <c r="B13597" i="2"/>
  <c r="A13597" i="2"/>
  <c r="E13596" i="2"/>
  <c r="D13596" i="2"/>
  <c r="C13596" i="2"/>
  <c r="B13596" i="2"/>
  <c r="A13596" i="2"/>
  <c r="E13595" i="2"/>
  <c r="D13595" i="2"/>
  <c r="C13595" i="2"/>
  <c r="B13595" i="2"/>
  <c r="A13595" i="2"/>
  <c r="E13594" i="2"/>
  <c r="D13594" i="2"/>
  <c r="C13594" i="2"/>
  <c r="B13594" i="2"/>
  <c r="A13594" i="2"/>
  <c r="E13593" i="2"/>
  <c r="D13593" i="2"/>
  <c r="C13593" i="2"/>
  <c r="B13593" i="2"/>
  <c r="A13593" i="2"/>
  <c r="E13592" i="2"/>
  <c r="D13592" i="2"/>
  <c r="C13592" i="2"/>
  <c r="B13592" i="2"/>
  <c r="A13592" i="2"/>
  <c r="E13591" i="2"/>
  <c r="D13591" i="2"/>
  <c r="C13591" i="2"/>
  <c r="B13591" i="2"/>
  <c r="A13591" i="2"/>
  <c r="E13590" i="2"/>
  <c r="D13590" i="2"/>
  <c r="C13590" i="2"/>
  <c r="B13590" i="2"/>
  <c r="A13590" i="2"/>
  <c r="E13589" i="2"/>
  <c r="D13589" i="2"/>
  <c r="C13589" i="2"/>
  <c r="B13589" i="2"/>
  <c r="A13589" i="2"/>
  <c r="E13588" i="2"/>
  <c r="D13588" i="2"/>
  <c r="C13588" i="2"/>
  <c r="B13588" i="2"/>
  <c r="A13588" i="2"/>
  <c r="E13587" i="2"/>
  <c r="D13587" i="2"/>
  <c r="C13587" i="2"/>
  <c r="B13587" i="2"/>
  <c r="A13587" i="2"/>
  <c r="E13586" i="2"/>
  <c r="D13586" i="2"/>
  <c r="C13586" i="2"/>
  <c r="B13586" i="2"/>
  <c r="A13586" i="2"/>
  <c r="E13585" i="2"/>
  <c r="D13585" i="2"/>
  <c r="C13585" i="2"/>
  <c r="B13585" i="2"/>
  <c r="A13585" i="2"/>
  <c r="E13584" i="2"/>
  <c r="D13584" i="2"/>
  <c r="C13584" i="2"/>
  <c r="B13584" i="2"/>
  <c r="A13584" i="2"/>
  <c r="E13583" i="2"/>
  <c r="D13583" i="2"/>
  <c r="C13583" i="2"/>
  <c r="B13583" i="2"/>
  <c r="A13583" i="2"/>
  <c r="E13582" i="2"/>
  <c r="D13582" i="2"/>
  <c r="C13582" i="2"/>
  <c r="B13582" i="2"/>
  <c r="A13582" i="2"/>
  <c r="E13581" i="2"/>
  <c r="D13581" i="2"/>
  <c r="C13581" i="2"/>
  <c r="B13581" i="2"/>
  <c r="A13581" i="2"/>
  <c r="E13580" i="2"/>
  <c r="D13580" i="2"/>
  <c r="C13580" i="2"/>
  <c r="B13580" i="2"/>
  <c r="A13580" i="2"/>
  <c r="E13579" i="2"/>
  <c r="D13579" i="2"/>
  <c r="C13579" i="2"/>
  <c r="B13579" i="2"/>
  <c r="A13579" i="2"/>
  <c r="E13578" i="2"/>
  <c r="D13578" i="2"/>
  <c r="C13578" i="2"/>
  <c r="B13578" i="2"/>
  <c r="A13578" i="2"/>
  <c r="E13577" i="2"/>
  <c r="D13577" i="2"/>
  <c r="C13577" i="2"/>
  <c r="B13577" i="2"/>
  <c r="A13577" i="2"/>
  <c r="E13576" i="2"/>
  <c r="D13576" i="2"/>
  <c r="C13576" i="2"/>
  <c r="B13576" i="2"/>
  <c r="A13576" i="2"/>
  <c r="E13575" i="2"/>
  <c r="D13575" i="2"/>
  <c r="C13575" i="2"/>
  <c r="B13575" i="2"/>
  <c r="A13575" i="2"/>
  <c r="E13574" i="2"/>
  <c r="D13574" i="2"/>
  <c r="C13574" i="2"/>
  <c r="B13574" i="2"/>
  <c r="A13574" i="2"/>
  <c r="E13573" i="2"/>
  <c r="D13573" i="2"/>
  <c r="C13573" i="2"/>
  <c r="B13573" i="2"/>
  <c r="A13573" i="2"/>
  <c r="E13572" i="2"/>
  <c r="D13572" i="2"/>
  <c r="C13572" i="2"/>
  <c r="B13572" i="2"/>
  <c r="A13572" i="2"/>
  <c r="E13571" i="2"/>
  <c r="D13571" i="2"/>
  <c r="C13571" i="2"/>
  <c r="B13571" i="2"/>
  <c r="A13571" i="2"/>
  <c r="E13570" i="2"/>
  <c r="D13570" i="2"/>
  <c r="C13570" i="2"/>
  <c r="B13570" i="2"/>
  <c r="A13570" i="2"/>
  <c r="E13569" i="2"/>
  <c r="D13569" i="2"/>
  <c r="C13569" i="2"/>
  <c r="B13569" i="2"/>
  <c r="A13569" i="2"/>
  <c r="E13568" i="2"/>
  <c r="D13568" i="2"/>
  <c r="C13568" i="2"/>
  <c r="B13568" i="2"/>
  <c r="A13568" i="2"/>
  <c r="E13567" i="2"/>
  <c r="D13567" i="2"/>
  <c r="C13567" i="2"/>
  <c r="B13567" i="2"/>
  <c r="A13567" i="2"/>
  <c r="E13566" i="2"/>
  <c r="D13566" i="2"/>
  <c r="C13566" i="2"/>
  <c r="B13566" i="2"/>
  <c r="A13566" i="2"/>
  <c r="E13565" i="2"/>
  <c r="D13565" i="2"/>
  <c r="C13565" i="2"/>
  <c r="B13565" i="2"/>
  <c r="A13565" i="2"/>
  <c r="E13564" i="2"/>
  <c r="D13564" i="2"/>
  <c r="C13564" i="2"/>
  <c r="B13564" i="2"/>
  <c r="A13564" i="2"/>
  <c r="E13563" i="2"/>
  <c r="D13563" i="2"/>
  <c r="C13563" i="2"/>
  <c r="B13563" i="2"/>
  <c r="A13563" i="2"/>
  <c r="E13562" i="2"/>
  <c r="D13562" i="2"/>
  <c r="C13562" i="2"/>
  <c r="B13562" i="2"/>
  <c r="A13562" i="2"/>
  <c r="E13561" i="2"/>
  <c r="D13561" i="2"/>
  <c r="C13561" i="2"/>
  <c r="B13561" i="2"/>
  <c r="A13561" i="2"/>
  <c r="E13560" i="2"/>
  <c r="D13560" i="2"/>
  <c r="C13560" i="2"/>
  <c r="B13560" i="2"/>
  <c r="A13560" i="2"/>
  <c r="E13559" i="2"/>
  <c r="D13559" i="2"/>
  <c r="C13559" i="2"/>
  <c r="B13559" i="2"/>
  <c r="A13559" i="2"/>
  <c r="E13558" i="2"/>
  <c r="D13558" i="2"/>
  <c r="C13558" i="2"/>
  <c r="B13558" i="2"/>
  <c r="A13558" i="2"/>
  <c r="E13557" i="2"/>
  <c r="D13557" i="2"/>
  <c r="C13557" i="2"/>
  <c r="B13557" i="2"/>
  <c r="A13557" i="2"/>
  <c r="E13556" i="2"/>
  <c r="D13556" i="2"/>
  <c r="C13556" i="2"/>
  <c r="B13556" i="2"/>
  <c r="A13556" i="2"/>
  <c r="E13555" i="2"/>
  <c r="D13555" i="2"/>
  <c r="C13555" i="2"/>
  <c r="B13555" i="2"/>
  <c r="A13555" i="2"/>
  <c r="E13554" i="2"/>
  <c r="D13554" i="2"/>
  <c r="C13554" i="2"/>
  <c r="B13554" i="2"/>
  <c r="A13554" i="2"/>
  <c r="E13553" i="2"/>
  <c r="D13553" i="2"/>
  <c r="C13553" i="2"/>
  <c r="B13553" i="2"/>
  <c r="A13553" i="2"/>
  <c r="E13552" i="2"/>
  <c r="D13552" i="2"/>
  <c r="C13552" i="2"/>
  <c r="B13552" i="2"/>
  <c r="A13552" i="2"/>
  <c r="E13551" i="2"/>
  <c r="D13551" i="2"/>
  <c r="C13551" i="2"/>
  <c r="B13551" i="2"/>
  <c r="A13551" i="2"/>
  <c r="E13550" i="2"/>
  <c r="D13550" i="2"/>
  <c r="C13550" i="2"/>
  <c r="B13550" i="2"/>
  <c r="A13550" i="2"/>
  <c r="E13549" i="2"/>
  <c r="D13549" i="2"/>
  <c r="C13549" i="2"/>
  <c r="B13549" i="2"/>
  <c r="A13549" i="2"/>
  <c r="E13548" i="2"/>
  <c r="D13548" i="2"/>
  <c r="C13548" i="2"/>
  <c r="B13548" i="2"/>
  <c r="A13548" i="2"/>
  <c r="E13547" i="2"/>
  <c r="D13547" i="2"/>
  <c r="C13547" i="2"/>
  <c r="B13547" i="2"/>
  <c r="A13547" i="2"/>
  <c r="E13546" i="2"/>
  <c r="D13546" i="2"/>
  <c r="C13546" i="2"/>
  <c r="B13546" i="2"/>
  <c r="A13546" i="2"/>
  <c r="E13545" i="2"/>
  <c r="D13545" i="2"/>
  <c r="C13545" i="2"/>
  <c r="B13545" i="2"/>
  <c r="A13545" i="2"/>
  <c r="E13544" i="2"/>
  <c r="D13544" i="2"/>
  <c r="C13544" i="2"/>
  <c r="B13544" i="2"/>
  <c r="A13544" i="2"/>
  <c r="E13543" i="2"/>
  <c r="D13543" i="2"/>
  <c r="C13543" i="2"/>
  <c r="B13543" i="2"/>
  <c r="A13543" i="2"/>
  <c r="E13542" i="2"/>
  <c r="D13542" i="2"/>
  <c r="C13542" i="2"/>
  <c r="B13542" i="2"/>
  <c r="A13542" i="2"/>
  <c r="E13541" i="2"/>
  <c r="D13541" i="2"/>
  <c r="C13541" i="2"/>
  <c r="B13541" i="2"/>
  <c r="A13541" i="2"/>
  <c r="E13540" i="2"/>
  <c r="D13540" i="2"/>
  <c r="C13540" i="2"/>
  <c r="B13540" i="2"/>
  <c r="A13540" i="2"/>
  <c r="E13539" i="2"/>
  <c r="D13539" i="2"/>
  <c r="C13539" i="2"/>
  <c r="B13539" i="2"/>
  <c r="A13539" i="2"/>
  <c r="E13538" i="2"/>
  <c r="D13538" i="2"/>
  <c r="C13538" i="2"/>
  <c r="B13538" i="2"/>
  <c r="A13538" i="2"/>
  <c r="E13537" i="2"/>
  <c r="D13537" i="2"/>
  <c r="C13537" i="2"/>
  <c r="B13537" i="2"/>
  <c r="A13537" i="2"/>
  <c r="E13536" i="2"/>
  <c r="D13536" i="2"/>
  <c r="C13536" i="2"/>
  <c r="B13536" i="2"/>
  <c r="A13536" i="2"/>
  <c r="E13535" i="2"/>
  <c r="D13535" i="2"/>
  <c r="C13535" i="2"/>
  <c r="B13535" i="2"/>
  <c r="A13535" i="2"/>
  <c r="E13534" i="2"/>
  <c r="D13534" i="2"/>
  <c r="C13534" i="2"/>
  <c r="B13534" i="2"/>
  <c r="A13534" i="2"/>
  <c r="E13533" i="2"/>
  <c r="D13533" i="2"/>
  <c r="C13533" i="2"/>
  <c r="B13533" i="2"/>
  <c r="A13533" i="2"/>
  <c r="E13532" i="2"/>
  <c r="D13532" i="2"/>
  <c r="C13532" i="2"/>
  <c r="B13532" i="2"/>
  <c r="A13532" i="2"/>
  <c r="E13531" i="2"/>
  <c r="D13531" i="2"/>
  <c r="C13531" i="2"/>
  <c r="B13531" i="2"/>
  <c r="A13531" i="2"/>
  <c r="E13530" i="2"/>
  <c r="D13530" i="2"/>
  <c r="C13530" i="2"/>
  <c r="B13530" i="2"/>
  <c r="A13530" i="2"/>
  <c r="E13529" i="2"/>
  <c r="D13529" i="2"/>
  <c r="C13529" i="2"/>
  <c r="B13529" i="2"/>
  <c r="A13529" i="2"/>
  <c r="E13528" i="2"/>
  <c r="D13528" i="2"/>
  <c r="C13528" i="2"/>
  <c r="B13528" i="2"/>
  <c r="A13528" i="2"/>
  <c r="E13527" i="2"/>
  <c r="D13527" i="2"/>
  <c r="C13527" i="2"/>
  <c r="B13527" i="2"/>
  <c r="A13527" i="2"/>
  <c r="E13526" i="2"/>
  <c r="D13526" i="2"/>
  <c r="C13526" i="2"/>
  <c r="B13526" i="2"/>
  <c r="A13526" i="2"/>
  <c r="E13525" i="2"/>
  <c r="D13525" i="2"/>
  <c r="C13525" i="2"/>
  <c r="B13525" i="2"/>
  <c r="A13525" i="2"/>
  <c r="E13524" i="2"/>
  <c r="D13524" i="2"/>
  <c r="C13524" i="2"/>
  <c r="B13524" i="2"/>
  <c r="A13524" i="2"/>
  <c r="E13523" i="2"/>
  <c r="D13523" i="2"/>
  <c r="C13523" i="2"/>
  <c r="B13523" i="2"/>
  <c r="A13523" i="2"/>
  <c r="E13522" i="2"/>
  <c r="D13522" i="2"/>
  <c r="C13522" i="2"/>
  <c r="B13522" i="2"/>
  <c r="A13522" i="2"/>
  <c r="E13521" i="2"/>
  <c r="D13521" i="2"/>
  <c r="C13521" i="2"/>
  <c r="B13521" i="2"/>
  <c r="A13521" i="2"/>
  <c r="E13520" i="2"/>
  <c r="D13520" i="2"/>
  <c r="C13520" i="2"/>
  <c r="B13520" i="2"/>
  <c r="A13520" i="2"/>
  <c r="E13519" i="2"/>
  <c r="D13519" i="2"/>
  <c r="C13519" i="2"/>
  <c r="B13519" i="2"/>
  <c r="A13519" i="2"/>
  <c r="E13518" i="2"/>
  <c r="D13518" i="2"/>
  <c r="C13518" i="2"/>
  <c r="B13518" i="2"/>
  <c r="A13518" i="2"/>
  <c r="E13517" i="2"/>
  <c r="D13517" i="2"/>
  <c r="C13517" i="2"/>
  <c r="B13517" i="2"/>
  <c r="A13517" i="2"/>
  <c r="E13516" i="2"/>
  <c r="D13516" i="2"/>
  <c r="C13516" i="2"/>
  <c r="B13516" i="2"/>
  <c r="A13516" i="2"/>
  <c r="E13515" i="2"/>
  <c r="D13515" i="2"/>
  <c r="C13515" i="2"/>
  <c r="B13515" i="2"/>
  <c r="A13515" i="2"/>
  <c r="E13514" i="2"/>
  <c r="D13514" i="2"/>
  <c r="C13514" i="2"/>
  <c r="B13514" i="2"/>
  <c r="A13514" i="2"/>
  <c r="E13513" i="2"/>
  <c r="D13513" i="2"/>
  <c r="C13513" i="2"/>
  <c r="B13513" i="2"/>
  <c r="A13513" i="2"/>
  <c r="E13512" i="2"/>
  <c r="D13512" i="2"/>
  <c r="C13512" i="2"/>
  <c r="B13512" i="2"/>
  <c r="A13512" i="2"/>
  <c r="E13511" i="2"/>
  <c r="D13511" i="2"/>
  <c r="C13511" i="2"/>
  <c r="B13511" i="2"/>
  <c r="A13511" i="2"/>
  <c r="E13510" i="2"/>
  <c r="D13510" i="2"/>
  <c r="C13510" i="2"/>
  <c r="B13510" i="2"/>
  <c r="A13510" i="2"/>
  <c r="E13509" i="2"/>
  <c r="D13509" i="2"/>
  <c r="C13509" i="2"/>
  <c r="B13509" i="2"/>
  <c r="A13509" i="2"/>
  <c r="E13508" i="2"/>
  <c r="D13508" i="2"/>
  <c r="C13508" i="2"/>
  <c r="B13508" i="2"/>
  <c r="A13508" i="2"/>
  <c r="E13507" i="2"/>
  <c r="D13507" i="2"/>
  <c r="C13507" i="2"/>
  <c r="B13507" i="2"/>
  <c r="A13507" i="2"/>
  <c r="E13506" i="2"/>
  <c r="D13506" i="2"/>
  <c r="C13506" i="2"/>
  <c r="B13506" i="2"/>
  <c r="A13506" i="2"/>
  <c r="E13505" i="2"/>
  <c r="D13505" i="2"/>
  <c r="C13505" i="2"/>
  <c r="B13505" i="2"/>
  <c r="A13505" i="2"/>
  <c r="E13504" i="2"/>
  <c r="D13504" i="2"/>
  <c r="C13504" i="2"/>
  <c r="B13504" i="2"/>
  <c r="A13504" i="2"/>
  <c r="E13503" i="2"/>
  <c r="D13503" i="2"/>
  <c r="C13503" i="2"/>
  <c r="B13503" i="2"/>
  <c r="A13503" i="2"/>
  <c r="E13502" i="2"/>
  <c r="D13502" i="2"/>
  <c r="C13502" i="2"/>
  <c r="B13502" i="2"/>
  <c r="A13502" i="2"/>
  <c r="E13501" i="2"/>
  <c r="D13501" i="2"/>
  <c r="C13501" i="2"/>
  <c r="B13501" i="2"/>
  <c r="A13501" i="2"/>
  <c r="E13500" i="2"/>
  <c r="D13500" i="2"/>
  <c r="C13500" i="2"/>
  <c r="B13500" i="2"/>
  <c r="A13500" i="2"/>
  <c r="E13499" i="2"/>
  <c r="D13499" i="2"/>
  <c r="C13499" i="2"/>
  <c r="B13499" i="2"/>
  <c r="A13499" i="2"/>
  <c r="E13498" i="2"/>
  <c r="D13498" i="2"/>
  <c r="C13498" i="2"/>
  <c r="B13498" i="2"/>
  <c r="A13498" i="2"/>
  <c r="E13497" i="2"/>
  <c r="D13497" i="2"/>
  <c r="C13497" i="2"/>
  <c r="B13497" i="2"/>
  <c r="A13497" i="2"/>
  <c r="E13496" i="2"/>
  <c r="D13496" i="2"/>
  <c r="C13496" i="2"/>
  <c r="B13496" i="2"/>
  <c r="A13496" i="2"/>
  <c r="E13495" i="2"/>
  <c r="D13495" i="2"/>
  <c r="C13495" i="2"/>
  <c r="B13495" i="2"/>
  <c r="A13495" i="2"/>
  <c r="E13494" i="2"/>
  <c r="D13494" i="2"/>
  <c r="C13494" i="2"/>
  <c r="B13494" i="2"/>
  <c r="A13494" i="2"/>
  <c r="E13493" i="2"/>
  <c r="D13493" i="2"/>
  <c r="C13493" i="2"/>
  <c r="B13493" i="2"/>
  <c r="A13493" i="2"/>
  <c r="E13492" i="2"/>
  <c r="D13492" i="2"/>
  <c r="C13492" i="2"/>
  <c r="B13492" i="2"/>
  <c r="A13492" i="2"/>
  <c r="E13491" i="2"/>
  <c r="D13491" i="2"/>
  <c r="C13491" i="2"/>
  <c r="B13491" i="2"/>
  <c r="A13491" i="2"/>
  <c r="E13490" i="2"/>
  <c r="D13490" i="2"/>
  <c r="C13490" i="2"/>
  <c r="B13490" i="2"/>
  <c r="A13490" i="2"/>
  <c r="E13489" i="2"/>
  <c r="D13489" i="2"/>
  <c r="C13489" i="2"/>
  <c r="B13489" i="2"/>
  <c r="A13489" i="2"/>
  <c r="E13488" i="2"/>
  <c r="D13488" i="2"/>
  <c r="C13488" i="2"/>
  <c r="B13488" i="2"/>
  <c r="A13488" i="2"/>
  <c r="E13487" i="2"/>
  <c r="D13487" i="2"/>
  <c r="C13487" i="2"/>
  <c r="B13487" i="2"/>
  <c r="A13487" i="2"/>
  <c r="E13486" i="2"/>
  <c r="D13486" i="2"/>
  <c r="C13486" i="2"/>
  <c r="B13486" i="2"/>
  <c r="A13486" i="2"/>
  <c r="E13485" i="2"/>
  <c r="D13485" i="2"/>
  <c r="C13485" i="2"/>
  <c r="B13485" i="2"/>
  <c r="A13485" i="2"/>
  <c r="E13484" i="2"/>
  <c r="D13484" i="2"/>
  <c r="C13484" i="2"/>
  <c r="B13484" i="2"/>
  <c r="A13484" i="2"/>
  <c r="E13483" i="2"/>
  <c r="D13483" i="2"/>
  <c r="C13483" i="2"/>
  <c r="B13483" i="2"/>
  <c r="A13483" i="2"/>
  <c r="E13482" i="2"/>
  <c r="D13482" i="2"/>
  <c r="C13482" i="2"/>
  <c r="B13482" i="2"/>
  <c r="A13482" i="2"/>
  <c r="E13481" i="2"/>
  <c r="D13481" i="2"/>
  <c r="C13481" i="2"/>
  <c r="B13481" i="2"/>
  <c r="A13481" i="2"/>
  <c r="E13480" i="2"/>
  <c r="D13480" i="2"/>
  <c r="C13480" i="2"/>
  <c r="B13480" i="2"/>
  <c r="A13480" i="2"/>
  <c r="E13479" i="2"/>
  <c r="D13479" i="2"/>
  <c r="C13479" i="2"/>
  <c r="B13479" i="2"/>
  <c r="A13479" i="2"/>
  <c r="E13478" i="2"/>
  <c r="D13478" i="2"/>
  <c r="C13478" i="2"/>
  <c r="B13478" i="2"/>
  <c r="A13478" i="2"/>
  <c r="E13477" i="2"/>
  <c r="D13477" i="2"/>
  <c r="C13477" i="2"/>
  <c r="B13477" i="2"/>
  <c r="A13477" i="2"/>
  <c r="E13476" i="2"/>
  <c r="D13476" i="2"/>
  <c r="C13476" i="2"/>
  <c r="B13476" i="2"/>
  <c r="A13476" i="2"/>
  <c r="E13475" i="2"/>
  <c r="D13475" i="2"/>
  <c r="C13475" i="2"/>
  <c r="B13475" i="2"/>
  <c r="A13475" i="2"/>
  <c r="E13474" i="2"/>
  <c r="D13474" i="2"/>
  <c r="C13474" i="2"/>
  <c r="B13474" i="2"/>
  <c r="A13474" i="2"/>
  <c r="E13473" i="2"/>
  <c r="D13473" i="2"/>
  <c r="C13473" i="2"/>
  <c r="B13473" i="2"/>
  <c r="A13473" i="2"/>
  <c r="E13472" i="2"/>
  <c r="D13472" i="2"/>
  <c r="C13472" i="2"/>
  <c r="B13472" i="2"/>
  <c r="A13472" i="2"/>
  <c r="E13471" i="2"/>
  <c r="D13471" i="2"/>
  <c r="C13471" i="2"/>
  <c r="B13471" i="2"/>
  <c r="A13471" i="2"/>
  <c r="E13470" i="2"/>
  <c r="D13470" i="2"/>
  <c r="C13470" i="2"/>
  <c r="B13470" i="2"/>
  <c r="A13470" i="2"/>
  <c r="E13469" i="2"/>
  <c r="D13469" i="2"/>
  <c r="C13469" i="2"/>
  <c r="B13469" i="2"/>
  <c r="A13469" i="2"/>
  <c r="E13468" i="2"/>
  <c r="D13468" i="2"/>
  <c r="C13468" i="2"/>
  <c r="B13468" i="2"/>
  <c r="A13468" i="2"/>
  <c r="E13467" i="2"/>
  <c r="D13467" i="2"/>
  <c r="C13467" i="2"/>
  <c r="B13467" i="2"/>
  <c r="A13467" i="2"/>
  <c r="E13466" i="2"/>
  <c r="D13466" i="2"/>
  <c r="C13466" i="2"/>
  <c r="B13466" i="2"/>
  <c r="A13466" i="2"/>
  <c r="E13465" i="2"/>
  <c r="D13465" i="2"/>
  <c r="C13465" i="2"/>
  <c r="B13465" i="2"/>
  <c r="A13465" i="2"/>
  <c r="E13464" i="2"/>
  <c r="D13464" i="2"/>
  <c r="C13464" i="2"/>
  <c r="B13464" i="2"/>
  <c r="A13464" i="2"/>
  <c r="E13463" i="2"/>
  <c r="D13463" i="2"/>
  <c r="C13463" i="2"/>
  <c r="B13463" i="2"/>
  <c r="A13463" i="2"/>
  <c r="E13462" i="2"/>
  <c r="D13462" i="2"/>
  <c r="C13462" i="2"/>
  <c r="B13462" i="2"/>
  <c r="A13462" i="2"/>
  <c r="E13461" i="2"/>
  <c r="D13461" i="2"/>
  <c r="C13461" i="2"/>
  <c r="B13461" i="2"/>
  <c r="A13461" i="2"/>
  <c r="E13460" i="2"/>
  <c r="D13460" i="2"/>
  <c r="C13460" i="2"/>
  <c r="B13460" i="2"/>
  <c r="A13460" i="2"/>
  <c r="E13459" i="2"/>
  <c r="D13459" i="2"/>
  <c r="C13459" i="2"/>
  <c r="B13459" i="2"/>
  <c r="A13459" i="2"/>
  <c r="E13458" i="2"/>
  <c r="D13458" i="2"/>
  <c r="C13458" i="2"/>
  <c r="B13458" i="2"/>
  <c r="A13458" i="2"/>
  <c r="E13457" i="2"/>
  <c r="D13457" i="2"/>
  <c r="C13457" i="2"/>
  <c r="B13457" i="2"/>
  <c r="A13457" i="2"/>
  <c r="E13456" i="2"/>
  <c r="D13456" i="2"/>
  <c r="C13456" i="2"/>
  <c r="B13456" i="2"/>
  <c r="A13456" i="2"/>
  <c r="E13455" i="2"/>
  <c r="D13455" i="2"/>
  <c r="C13455" i="2"/>
  <c r="B13455" i="2"/>
  <c r="A13455" i="2"/>
  <c r="E13454" i="2"/>
  <c r="D13454" i="2"/>
  <c r="C13454" i="2"/>
  <c r="B13454" i="2"/>
  <c r="A13454" i="2"/>
  <c r="E13453" i="2"/>
  <c r="D13453" i="2"/>
  <c r="C13453" i="2"/>
  <c r="B13453" i="2"/>
  <c r="A13453" i="2"/>
  <c r="E13452" i="2"/>
  <c r="D13452" i="2"/>
  <c r="C13452" i="2"/>
  <c r="B13452" i="2"/>
  <c r="A13452" i="2"/>
  <c r="E13451" i="2"/>
  <c r="D13451" i="2"/>
  <c r="C13451" i="2"/>
  <c r="B13451" i="2"/>
  <c r="A13451" i="2"/>
  <c r="E13450" i="2"/>
  <c r="D13450" i="2"/>
  <c r="C13450" i="2"/>
  <c r="B13450" i="2"/>
  <c r="A13450" i="2"/>
  <c r="E13449" i="2"/>
  <c r="D13449" i="2"/>
  <c r="C13449" i="2"/>
  <c r="B13449" i="2"/>
  <c r="A13449" i="2"/>
  <c r="E13448" i="2"/>
  <c r="D13448" i="2"/>
  <c r="C13448" i="2"/>
  <c r="B13448" i="2"/>
  <c r="A13448" i="2"/>
  <c r="E13447" i="2"/>
  <c r="D13447" i="2"/>
  <c r="C13447" i="2"/>
  <c r="B13447" i="2"/>
  <c r="A13447" i="2"/>
  <c r="E13446" i="2"/>
  <c r="D13446" i="2"/>
  <c r="C13446" i="2"/>
  <c r="B13446" i="2"/>
  <c r="A13446" i="2"/>
  <c r="E13445" i="2"/>
  <c r="D13445" i="2"/>
  <c r="C13445" i="2"/>
  <c r="B13445" i="2"/>
  <c r="A13445" i="2"/>
  <c r="E13444" i="2"/>
  <c r="D13444" i="2"/>
  <c r="C13444" i="2"/>
  <c r="B13444" i="2"/>
  <c r="A13444" i="2"/>
  <c r="E13443" i="2"/>
  <c r="D13443" i="2"/>
  <c r="C13443" i="2"/>
  <c r="B13443" i="2"/>
  <c r="A13443" i="2"/>
  <c r="E13442" i="2"/>
  <c r="D13442" i="2"/>
  <c r="C13442" i="2"/>
  <c r="B13442" i="2"/>
  <c r="A13442" i="2"/>
  <c r="E13441" i="2"/>
  <c r="D13441" i="2"/>
  <c r="C13441" i="2"/>
  <c r="B13441" i="2"/>
  <c r="A13441" i="2"/>
  <c r="E13440" i="2"/>
  <c r="D13440" i="2"/>
  <c r="C13440" i="2"/>
  <c r="B13440" i="2"/>
  <c r="A13440" i="2"/>
  <c r="E13439" i="2"/>
  <c r="D13439" i="2"/>
  <c r="C13439" i="2"/>
  <c r="B13439" i="2"/>
  <c r="A13439" i="2"/>
  <c r="E13438" i="2"/>
  <c r="D13438" i="2"/>
  <c r="C13438" i="2"/>
  <c r="B13438" i="2"/>
  <c r="A13438" i="2"/>
  <c r="E13437" i="2"/>
  <c r="D13437" i="2"/>
  <c r="C13437" i="2"/>
  <c r="B13437" i="2"/>
  <c r="A13437" i="2"/>
  <c r="E13436" i="2"/>
  <c r="D13436" i="2"/>
  <c r="C13436" i="2"/>
  <c r="B13436" i="2"/>
  <c r="A13436" i="2"/>
  <c r="E13435" i="2"/>
  <c r="D13435" i="2"/>
  <c r="C13435" i="2"/>
  <c r="B13435" i="2"/>
  <c r="A13435" i="2"/>
  <c r="E13434" i="2"/>
  <c r="D13434" i="2"/>
  <c r="C13434" i="2"/>
  <c r="B13434" i="2"/>
  <c r="A13434" i="2"/>
  <c r="E13433" i="2"/>
  <c r="D13433" i="2"/>
  <c r="C13433" i="2"/>
  <c r="B13433" i="2"/>
  <c r="A13433" i="2"/>
  <c r="E13432" i="2"/>
  <c r="D13432" i="2"/>
  <c r="C13432" i="2"/>
  <c r="B13432" i="2"/>
  <c r="A13432" i="2"/>
  <c r="E13431" i="2"/>
  <c r="D13431" i="2"/>
  <c r="C13431" i="2"/>
  <c r="B13431" i="2"/>
  <c r="A13431" i="2"/>
  <c r="E13430" i="2"/>
  <c r="D13430" i="2"/>
  <c r="C13430" i="2"/>
  <c r="B13430" i="2"/>
  <c r="A13430" i="2"/>
  <c r="E13429" i="2"/>
  <c r="D13429" i="2"/>
  <c r="C13429" i="2"/>
  <c r="B13429" i="2"/>
  <c r="A13429" i="2"/>
  <c r="E13428" i="2"/>
  <c r="D13428" i="2"/>
  <c r="C13428" i="2"/>
  <c r="B13428" i="2"/>
  <c r="A13428" i="2"/>
  <c r="E13427" i="2"/>
  <c r="D13427" i="2"/>
  <c r="C13427" i="2"/>
  <c r="B13427" i="2"/>
  <c r="A13427" i="2"/>
  <c r="E13426" i="2"/>
  <c r="D13426" i="2"/>
  <c r="C13426" i="2"/>
  <c r="B13426" i="2"/>
  <c r="A13426" i="2"/>
  <c r="E13425" i="2"/>
  <c r="D13425" i="2"/>
  <c r="C13425" i="2"/>
  <c r="B13425" i="2"/>
  <c r="A13425" i="2"/>
  <c r="E13424" i="2"/>
  <c r="D13424" i="2"/>
  <c r="C13424" i="2"/>
  <c r="B13424" i="2"/>
  <c r="A13424" i="2"/>
  <c r="E13423" i="2"/>
  <c r="D13423" i="2"/>
  <c r="C13423" i="2"/>
  <c r="B13423" i="2"/>
  <c r="A13423" i="2"/>
  <c r="E13422" i="2"/>
  <c r="D13422" i="2"/>
  <c r="C13422" i="2"/>
  <c r="B13422" i="2"/>
  <c r="A13422" i="2"/>
  <c r="E13421" i="2"/>
  <c r="D13421" i="2"/>
  <c r="C13421" i="2"/>
  <c r="B13421" i="2"/>
  <c r="A13421" i="2"/>
  <c r="E13420" i="2"/>
  <c r="D13420" i="2"/>
  <c r="C13420" i="2"/>
  <c r="B13420" i="2"/>
  <c r="A13420" i="2"/>
  <c r="E13419" i="2"/>
  <c r="D13419" i="2"/>
  <c r="C13419" i="2"/>
  <c r="B13419" i="2"/>
  <c r="A13419" i="2"/>
  <c r="E13418" i="2"/>
  <c r="D13418" i="2"/>
  <c r="C13418" i="2"/>
  <c r="B13418" i="2"/>
  <c r="A13418" i="2"/>
  <c r="E13417" i="2"/>
  <c r="D13417" i="2"/>
  <c r="C13417" i="2"/>
  <c r="B13417" i="2"/>
  <c r="A13417" i="2"/>
  <c r="E13416" i="2"/>
  <c r="D13416" i="2"/>
  <c r="C13416" i="2"/>
  <c r="B13416" i="2"/>
  <c r="A13416" i="2"/>
  <c r="E13415" i="2"/>
  <c r="D13415" i="2"/>
  <c r="C13415" i="2"/>
  <c r="B13415" i="2"/>
  <c r="A13415" i="2"/>
  <c r="E13414" i="2"/>
  <c r="D13414" i="2"/>
  <c r="C13414" i="2"/>
  <c r="B13414" i="2"/>
  <c r="A13414" i="2"/>
  <c r="E13413" i="2"/>
  <c r="D13413" i="2"/>
  <c r="C13413" i="2"/>
  <c r="B13413" i="2"/>
  <c r="A13413" i="2"/>
  <c r="E13412" i="2"/>
  <c r="D13412" i="2"/>
  <c r="C13412" i="2"/>
  <c r="B13412" i="2"/>
  <c r="A13412" i="2"/>
  <c r="E13411" i="2"/>
  <c r="D13411" i="2"/>
  <c r="C13411" i="2"/>
  <c r="B13411" i="2"/>
  <c r="A13411" i="2"/>
  <c r="E13410" i="2"/>
  <c r="D13410" i="2"/>
  <c r="C13410" i="2"/>
  <c r="B13410" i="2"/>
  <c r="A13410" i="2"/>
  <c r="E13409" i="2"/>
  <c r="D13409" i="2"/>
  <c r="C13409" i="2"/>
  <c r="B13409" i="2"/>
  <c r="A13409" i="2"/>
  <c r="E13408" i="2"/>
  <c r="D13408" i="2"/>
  <c r="C13408" i="2"/>
  <c r="B13408" i="2"/>
  <c r="A13408" i="2"/>
  <c r="E13407" i="2"/>
  <c r="D13407" i="2"/>
  <c r="C13407" i="2"/>
  <c r="B13407" i="2"/>
  <c r="A13407" i="2"/>
  <c r="E13406" i="2"/>
  <c r="D13406" i="2"/>
  <c r="C13406" i="2"/>
  <c r="B13406" i="2"/>
  <c r="A13406" i="2"/>
  <c r="E13405" i="2"/>
  <c r="D13405" i="2"/>
  <c r="C13405" i="2"/>
  <c r="B13405" i="2"/>
  <c r="A13405" i="2"/>
  <c r="E13404" i="2"/>
  <c r="D13404" i="2"/>
  <c r="C13404" i="2"/>
  <c r="B13404" i="2"/>
  <c r="A13404" i="2"/>
  <c r="E13403" i="2"/>
  <c r="D13403" i="2"/>
  <c r="C13403" i="2"/>
  <c r="B13403" i="2"/>
  <c r="A13403" i="2"/>
  <c r="E13402" i="2"/>
  <c r="D13402" i="2"/>
  <c r="C13402" i="2"/>
  <c r="B13402" i="2"/>
  <c r="A13402" i="2"/>
  <c r="E13401" i="2"/>
  <c r="D13401" i="2"/>
  <c r="C13401" i="2"/>
  <c r="B13401" i="2"/>
  <c r="A13401" i="2"/>
  <c r="E13400" i="2"/>
  <c r="D13400" i="2"/>
  <c r="C13400" i="2"/>
  <c r="B13400" i="2"/>
  <c r="A13400" i="2"/>
  <c r="E13399" i="2"/>
  <c r="D13399" i="2"/>
  <c r="C13399" i="2"/>
  <c r="B13399" i="2"/>
  <c r="A13399" i="2"/>
  <c r="E13398" i="2"/>
  <c r="D13398" i="2"/>
  <c r="C13398" i="2"/>
  <c r="B13398" i="2"/>
  <c r="A13398" i="2"/>
  <c r="E13397" i="2"/>
  <c r="D13397" i="2"/>
  <c r="C13397" i="2"/>
  <c r="B13397" i="2"/>
  <c r="A13397" i="2"/>
  <c r="E13396" i="2"/>
  <c r="D13396" i="2"/>
  <c r="C13396" i="2"/>
  <c r="B13396" i="2"/>
  <c r="A13396" i="2"/>
  <c r="E13395" i="2"/>
  <c r="D13395" i="2"/>
  <c r="C13395" i="2"/>
  <c r="B13395" i="2"/>
  <c r="A13395" i="2"/>
  <c r="E13394" i="2"/>
  <c r="D13394" i="2"/>
  <c r="C13394" i="2"/>
  <c r="B13394" i="2"/>
  <c r="A13394" i="2"/>
  <c r="E13393" i="2"/>
  <c r="D13393" i="2"/>
  <c r="C13393" i="2"/>
  <c r="B13393" i="2"/>
  <c r="A13393" i="2"/>
  <c r="E13392" i="2"/>
  <c r="D13392" i="2"/>
  <c r="C13392" i="2"/>
  <c r="B13392" i="2"/>
  <c r="A13392" i="2"/>
  <c r="E13391" i="2"/>
  <c r="D13391" i="2"/>
  <c r="C13391" i="2"/>
  <c r="B13391" i="2"/>
  <c r="A13391" i="2"/>
  <c r="E13390" i="2"/>
  <c r="D13390" i="2"/>
  <c r="C13390" i="2"/>
  <c r="B13390" i="2"/>
  <c r="A13390" i="2"/>
  <c r="E13389" i="2"/>
  <c r="D13389" i="2"/>
  <c r="C13389" i="2"/>
  <c r="B13389" i="2"/>
  <c r="A13389" i="2"/>
  <c r="E13388" i="2"/>
  <c r="D13388" i="2"/>
  <c r="C13388" i="2"/>
  <c r="B13388" i="2"/>
  <c r="A13388" i="2"/>
  <c r="E13387" i="2"/>
  <c r="D13387" i="2"/>
  <c r="C13387" i="2"/>
  <c r="B13387" i="2"/>
  <c r="A13387" i="2"/>
  <c r="E13386" i="2"/>
  <c r="D13386" i="2"/>
  <c r="C13386" i="2"/>
  <c r="B13386" i="2"/>
  <c r="A13386" i="2"/>
  <c r="E13385" i="2"/>
  <c r="D13385" i="2"/>
  <c r="C13385" i="2"/>
  <c r="B13385" i="2"/>
  <c r="A13385" i="2"/>
  <c r="E13384" i="2"/>
  <c r="D13384" i="2"/>
  <c r="C13384" i="2"/>
  <c r="B13384" i="2"/>
  <c r="A13384" i="2"/>
  <c r="E13383" i="2"/>
  <c r="D13383" i="2"/>
  <c r="C13383" i="2"/>
  <c r="B13383" i="2"/>
  <c r="A13383" i="2"/>
  <c r="E13382" i="2"/>
  <c r="D13382" i="2"/>
  <c r="C13382" i="2"/>
  <c r="B13382" i="2"/>
  <c r="A13382" i="2"/>
  <c r="E13381" i="2"/>
  <c r="D13381" i="2"/>
  <c r="C13381" i="2"/>
  <c r="B13381" i="2"/>
  <c r="A13381" i="2"/>
  <c r="E13380" i="2"/>
  <c r="D13380" i="2"/>
  <c r="C13380" i="2"/>
  <c r="B13380" i="2"/>
  <c r="A13380" i="2"/>
  <c r="E13379" i="2"/>
  <c r="D13379" i="2"/>
  <c r="C13379" i="2"/>
  <c r="B13379" i="2"/>
  <c r="A13379" i="2"/>
  <c r="E13378" i="2"/>
  <c r="D13378" i="2"/>
  <c r="C13378" i="2"/>
  <c r="B13378" i="2"/>
  <c r="A13378" i="2"/>
  <c r="E13377" i="2"/>
  <c r="D13377" i="2"/>
  <c r="C13377" i="2"/>
  <c r="B13377" i="2"/>
  <c r="A13377" i="2"/>
  <c r="E13376" i="2"/>
  <c r="D13376" i="2"/>
  <c r="C13376" i="2"/>
  <c r="B13376" i="2"/>
  <c r="A13376" i="2"/>
  <c r="E13375" i="2"/>
  <c r="D13375" i="2"/>
  <c r="C13375" i="2"/>
  <c r="B13375" i="2"/>
  <c r="A13375" i="2"/>
  <c r="E13374" i="2"/>
  <c r="D13374" i="2"/>
  <c r="C13374" i="2"/>
  <c r="B13374" i="2"/>
  <c r="A13374" i="2"/>
  <c r="E13373" i="2"/>
  <c r="D13373" i="2"/>
  <c r="C13373" i="2"/>
  <c r="B13373" i="2"/>
  <c r="A13373" i="2"/>
  <c r="E13372" i="2"/>
  <c r="D13372" i="2"/>
  <c r="C13372" i="2"/>
  <c r="B13372" i="2"/>
  <c r="A13372" i="2"/>
  <c r="E13371" i="2"/>
  <c r="D13371" i="2"/>
  <c r="C13371" i="2"/>
  <c r="B13371" i="2"/>
  <c r="A13371" i="2"/>
  <c r="E13370" i="2"/>
  <c r="D13370" i="2"/>
  <c r="C13370" i="2"/>
  <c r="B13370" i="2"/>
  <c r="A13370" i="2"/>
  <c r="E13369" i="2"/>
  <c r="D13369" i="2"/>
  <c r="C13369" i="2"/>
  <c r="B13369" i="2"/>
  <c r="A13369" i="2"/>
  <c r="E13368" i="2"/>
  <c r="D13368" i="2"/>
  <c r="C13368" i="2"/>
  <c r="B13368" i="2"/>
  <c r="A13368" i="2"/>
  <c r="E13367" i="2"/>
  <c r="D13367" i="2"/>
  <c r="C13367" i="2"/>
  <c r="B13367" i="2"/>
  <c r="A13367" i="2"/>
  <c r="E13366" i="2"/>
  <c r="D13366" i="2"/>
  <c r="C13366" i="2"/>
  <c r="B13366" i="2"/>
  <c r="A13366" i="2"/>
  <c r="E13365" i="2"/>
  <c r="D13365" i="2"/>
  <c r="C13365" i="2"/>
  <c r="B13365" i="2"/>
  <c r="A13365" i="2"/>
  <c r="E13364" i="2"/>
  <c r="D13364" i="2"/>
  <c r="C13364" i="2"/>
  <c r="B13364" i="2"/>
  <c r="A13364" i="2"/>
  <c r="E13363" i="2"/>
  <c r="D13363" i="2"/>
  <c r="C13363" i="2"/>
  <c r="B13363" i="2"/>
  <c r="A13363" i="2"/>
  <c r="E13362" i="2"/>
  <c r="D13362" i="2"/>
  <c r="C13362" i="2"/>
  <c r="B13362" i="2"/>
  <c r="A13362" i="2"/>
  <c r="E13361" i="2"/>
  <c r="D13361" i="2"/>
  <c r="C13361" i="2"/>
  <c r="B13361" i="2"/>
  <c r="A13361" i="2"/>
  <c r="E13360" i="2"/>
  <c r="D13360" i="2"/>
  <c r="C13360" i="2"/>
  <c r="B13360" i="2"/>
  <c r="A13360" i="2"/>
  <c r="E13359" i="2"/>
  <c r="D13359" i="2"/>
  <c r="C13359" i="2"/>
  <c r="B13359" i="2"/>
  <c r="A13359" i="2"/>
  <c r="E13358" i="2"/>
  <c r="D13358" i="2"/>
  <c r="C13358" i="2"/>
  <c r="B13358" i="2"/>
  <c r="A13358" i="2"/>
  <c r="E13357" i="2"/>
  <c r="D13357" i="2"/>
  <c r="C13357" i="2"/>
  <c r="B13357" i="2"/>
  <c r="A13357" i="2"/>
  <c r="E13356" i="2"/>
  <c r="D13356" i="2"/>
  <c r="C13356" i="2"/>
  <c r="B13356" i="2"/>
  <c r="A13356" i="2"/>
  <c r="E13355" i="2"/>
  <c r="D13355" i="2"/>
  <c r="C13355" i="2"/>
  <c r="B13355" i="2"/>
  <c r="A13355" i="2"/>
  <c r="E13354" i="2"/>
  <c r="D13354" i="2"/>
  <c r="C13354" i="2"/>
  <c r="B13354" i="2"/>
  <c r="A13354" i="2"/>
  <c r="E13353" i="2"/>
  <c r="D13353" i="2"/>
  <c r="C13353" i="2"/>
  <c r="B13353" i="2"/>
  <c r="A13353" i="2"/>
  <c r="E13352" i="2"/>
  <c r="D13352" i="2"/>
  <c r="C13352" i="2"/>
  <c r="B13352" i="2"/>
  <c r="A13352" i="2"/>
  <c r="E13351" i="2"/>
  <c r="D13351" i="2"/>
  <c r="C13351" i="2"/>
  <c r="B13351" i="2"/>
  <c r="A13351" i="2"/>
  <c r="E13350" i="2"/>
  <c r="D13350" i="2"/>
  <c r="C13350" i="2"/>
  <c r="B13350" i="2"/>
  <c r="A13350" i="2"/>
  <c r="E13349" i="2"/>
  <c r="D13349" i="2"/>
  <c r="C13349" i="2"/>
  <c r="B13349" i="2"/>
  <c r="A13349" i="2"/>
  <c r="E13348" i="2"/>
  <c r="D13348" i="2"/>
  <c r="C13348" i="2"/>
  <c r="B13348" i="2"/>
  <c r="A13348" i="2"/>
  <c r="E13347" i="2"/>
  <c r="D13347" i="2"/>
  <c r="C13347" i="2"/>
  <c r="B13347" i="2"/>
  <c r="A13347" i="2"/>
  <c r="E13346" i="2"/>
  <c r="D13346" i="2"/>
  <c r="C13346" i="2"/>
  <c r="B13346" i="2"/>
  <c r="A13346" i="2"/>
  <c r="E13345" i="2"/>
  <c r="D13345" i="2"/>
  <c r="C13345" i="2"/>
  <c r="B13345" i="2"/>
  <c r="A13345" i="2"/>
  <c r="E13344" i="2"/>
  <c r="D13344" i="2"/>
  <c r="C13344" i="2"/>
  <c r="B13344" i="2"/>
  <c r="A13344" i="2"/>
  <c r="E13343" i="2"/>
  <c r="D13343" i="2"/>
  <c r="C13343" i="2"/>
  <c r="B13343" i="2"/>
  <c r="A13343" i="2"/>
  <c r="E13342" i="2"/>
  <c r="D13342" i="2"/>
  <c r="C13342" i="2"/>
  <c r="B13342" i="2"/>
  <c r="A13342" i="2"/>
  <c r="E13341" i="2"/>
  <c r="D13341" i="2"/>
  <c r="C13341" i="2"/>
  <c r="B13341" i="2"/>
  <c r="A13341" i="2"/>
  <c r="E13340" i="2"/>
  <c r="D13340" i="2"/>
  <c r="C13340" i="2"/>
  <c r="B13340" i="2"/>
  <c r="A13340" i="2"/>
  <c r="E13339" i="2"/>
  <c r="D13339" i="2"/>
  <c r="C13339" i="2"/>
  <c r="B13339" i="2"/>
  <c r="A13339" i="2"/>
  <c r="E13338" i="2"/>
  <c r="D13338" i="2"/>
  <c r="C13338" i="2"/>
  <c r="B13338" i="2"/>
  <c r="A13338" i="2"/>
  <c r="E13337" i="2"/>
  <c r="D13337" i="2"/>
  <c r="C13337" i="2"/>
  <c r="B13337" i="2"/>
  <c r="A13337" i="2"/>
  <c r="E13336" i="2"/>
  <c r="D13336" i="2"/>
  <c r="C13336" i="2"/>
  <c r="B13336" i="2"/>
  <c r="A13336" i="2"/>
  <c r="E13335" i="2"/>
  <c r="D13335" i="2"/>
  <c r="C13335" i="2"/>
  <c r="B13335" i="2"/>
  <c r="A13335" i="2"/>
  <c r="E13334" i="2"/>
  <c r="D13334" i="2"/>
  <c r="C13334" i="2"/>
  <c r="B13334" i="2"/>
  <c r="A13334" i="2"/>
  <c r="E13333" i="2"/>
  <c r="D13333" i="2"/>
  <c r="C13333" i="2"/>
  <c r="B13333" i="2"/>
  <c r="A13333" i="2"/>
  <c r="E13332" i="2"/>
  <c r="D13332" i="2"/>
  <c r="C13332" i="2"/>
  <c r="B13332" i="2"/>
  <c r="A13332" i="2"/>
  <c r="E13331" i="2"/>
  <c r="D13331" i="2"/>
  <c r="C13331" i="2"/>
  <c r="B13331" i="2"/>
  <c r="A13331" i="2"/>
  <c r="E13330" i="2"/>
  <c r="D13330" i="2"/>
  <c r="C13330" i="2"/>
  <c r="B13330" i="2"/>
  <c r="A13330" i="2"/>
  <c r="E13329" i="2"/>
  <c r="D13329" i="2"/>
  <c r="C13329" i="2"/>
  <c r="B13329" i="2"/>
  <c r="A13329" i="2"/>
  <c r="E13328" i="2"/>
  <c r="D13328" i="2"/>
  <c r="C13328" i="2"/>
  <c r="B13328" i="2"/>
  <c r="A13328" i="2"/>
  <c r="E13327" i="2"/>
  <c r="D13327" i="2"/>
  <c r="C13327" i="2"/>
  <c r="B13327" i="2"/>
  <c r="A13327" i="2"/>
  <c r="E13326" i="2"/>
  <c r="D13326" i="2"/>
  <c r="C13326" i="2"/>
  <c r="B13326" i="2"/>
  <c r="A13326" i="2"/>
  <c r="E13325" i="2"/>
  <c r="D13325" i="2"/>
  <c r="C13325" i="2"/>
  <c r="B13325" i="2"/>
  <c r="A13325" i="2"/>
  <c r="E13324" i="2"/>
  <c r="D13324" i="2"/>
  <c r="C13324" i="2"/>
  <c r="B13324" i="2"/>
  <c r="A13324" i="2"/>
  <c r="E13323" i="2"/>
  <c r="D13323" i="2"/>
  <c r="C13323" i="2"/>
  <c r="B13323" i="2"/>
  <c r="A13323" i="2"/>
  <c r="E13322" i="2"/>
  <c r="D13322" i="2"/>
  <c r="C13322" i="2"/>
  <c r="B13322" i="2"/>
  <c r="A13322" i="2"/>
  <c r="E13321" i="2"/>
  <c r="D13321" i="2"/>
  <c r="C13321" i="2"/>
  <c r="B13321" i="2"/>
  <c r="A13321" i="2"/>
  <c r="E13320" i="2"/>
  <c r="D13320" i="2"/>
  <c r="C13320" i="2"/>
  <c r="B13320" i="2"/>
  <c r="A13320" i="2"/>
  <c r="E13319" i="2"/>
  <c r="D13319" i="2"/>
  <c r="C13319" i="2"/>
  <c r="B13319" i="2"/>
  <c r="A13319" i="2"/>
  <c r="E13318" i="2"/>
  <c r="D13318" i="2"/>
  <c r="C13318" i="2"/>
  <c r="B13318" i="2"/>
  <c r="A13318" i="2"/>
  <c r="E13317" i="2"/>
  <c r="D13317" i="2"/>
  <c r="C13317" i="2"/>
  <c r="B13317" i="2"/>
  <c r="A13317" i="2"/>
  <c r="E13316" i="2"/>
  <c r="D13316" i="2"/>
  <c r="C13316" i="2"/>
  <c r="B13316" i="2"/>
  <c r="A13316" i="2"/>
  <c r="E13315" i="2"/>
  <c r="D13315" i="2"/>
  <c r="C13315" i="2"/>
  <c r="B13315" i="2"/>
  <c r="A13315" i="2"/>
  <c r="E13314" i="2"/>
  <c r="D13314" i="2"/>
  <c r="C13314" i="2"/>
  <c r="B13314" i="2"/>
  <c r="A13314" i="2"/>
  <c r="E13313" i="2"/>
  <c r="D13313" i="2"/>
  <c r="C13313" i="2"/>
  <c r="B13313" i="2"/>
  <c r="A13313" i="2"/>
  <c r="E13312" i="2"/>
  <c r="D13312" i="2"/>
  <c r="C13312" i="2"/>
  <c r="B13312" i="2"/>
  <c r="A13312" i="2"/>
  <c r="E13311" i="2"/>
  <c r="D13311" i="2"/>
  <c r="C13311" i="2"/>
  <c r="B13311" i="2"/>
  <c r="A13311" i="2"/>
  <c r="E13310" i="2"/>
  <c r="D13310" i="2"/>
  <c r="C13310" i="2"/>
  <c r="B13310" i="2"/>
  <c r="A13310" i="2"/>
  <c r="E13309" i="2"/>
  <c r="D13309" i="2"/>
  <c r="C13309" i="2"/>
  <c r="B13309" i="2"/>
  <c r="A13309" i="2"/>
  <c r="E13308" i="2"/>
  <c r="D13308" i="2"/>
  <c r="C13308" i="2"/>
  <c r="B13308" i="2"/>
  <c r="A13308" i="2"/>
  <c r="E13307" i="2"/>
  <c r="D13307" i="2"/>
  <c r="C13307" i="2"/>
  <c r="B13307" i="2"/>
  <c r="A13307" i="2"/>
  <c r="E13306" i="2"/>
  <c r="D13306" i="2"/>
  <c r="C13306" i="2"/>
  <c r="B13306" i="2"/>
  <c r="A13306" i="2"/>
  <c r="E13305" i="2"/>
  <c r="D13305" i="2"/>
  <c r="C13305" i="2"/>
  <c r="B13305" i="2"/>
  <c r="A13305" i="2"/>
  <c r="E13304" i="2"/>
  <c r="D13304" i="2"/>
  <c r="C13304" i="2"/>
  <c r="B13304" i="2"/>
  <c r="A13304" i="2"/>
  <c r="E13303" i="2"/>
  <c r="D13303" i="2"/>
  <c r="C13303" i="2"/>
  <c r="B13303" i="2"/>
  <c r="A13303" i="2"/>
  <c r="E13302" i="2"/>
  <c r="D13302" i="2"/>
  <c r="C13302" i="2"/>
  <c r="B13302" i="2"/>
  <c r="A13302" i="2"/>
  <c r="E13301" i="2"/>
  <c r="D13301" i="2"/>
  <c r="C13301" i="2"/>
  <c r="B13301" i="2"/>
  <c r="A13301" i="2"/>
  <c r="E13300" i="2"/>
  <c r="D13300" i="2"/>
  <c r="C13300" i="2"/>
  <c r="B13300" i="2"/>
  <c r="A13300" i="2"/>
  <c r="E13299" i="2"/>
  <c r="D13299" i="2"/>
  <c r="C13299" i="2"/>
  <c r="B13299" i="2"/>
  <c r="A13299" i="2"/>
  <c r="E13298" i="2"/>
  <c r="D13298" i="2"/>
  <c r="C13298" i="2"/>
  <c r="B13298" i="2"/>
  <c r="A13298" i="2"/>
  <c r="E13297" i="2"/>
  <c r="D13297" i="2"/>
  <c r="C13297" i="2"/>
  <c r="B13297" i="2"/>
  <c r="A13297" i="2"/>
  <c r="E13296" i="2"/>
  <c r="D13296" i="2"/>
  <c r="C13296" i="2"/>
  <c r="B13296" i="2"/>
  <c r="A13296" i="2"/>
  <c r="E13295" i="2"/>
  <c r="D13295" i="2"/>
  <c r="C13295" i="2"/>
  <c r="B13295" i="2"/>
  <c r="A13295" i="2"/>
  <c r="E13294" i="2"/>
  <c r="D13294" i="2"/>
  <c r="C13294" i="2"/>
  <c r="B13294" i="2"/>
  <c r="A13294" i="2"/>
  <c r="E13293" i="2"/>
  <c r="D13293" i="2"/>
  <c r="C13293" i="2"/>
  <c r="B13293" i="2"/>
  <c r="A13293" i="2"/>
  <c r="E13292" i="2"/>
  <c r="D13292" i="2"/>
  <c r="C13292" i="2"/>
  <c r="B13292" i="2"/>
  <c r="A13292" i="2"/>
  <c r="E13291" i="2"/>
  <c r="D13291" i="2"/>
  <c r="C13291" i="2"/>
  <c r="B13291" i="2"/>
  <c r="A13291" i="2"/>
  <c r="E13290" i="2"/>
  <c r="D13290" i="2"/>
  <c r="C13290" i="2"/>
  <c r="B13290" i="2"/>
  <c r="A13290" i="2"/>
  <c r="E13289" i="2"/>
  <c r="D13289" i="2"/>
  <c r="C13289" i="2"/>
  <c r="B13289" i="2"/>
  <c r="A13289" i="2"/>
  <c r="E13288" i="2"/>
  <c r="D13288" i="2"/>
  <c r="C13288" i="2"/>
  <c r="B13288" i="2"/>
  <c r="A13288" i="2"/>
  <c r="E13287" i="2"/>
  <c r="D13287" i="2"/>
  <c r="C13287" i="2"/>
  <c r="B13287" i="2"/>
  <c r="A13287" i="2"/>
  <c r="E13286" i="2"/>
  <c r="D13286" i="2"/>
  <c r="C13286" i="2"/>
  <c r="B13286" i="2"/>
  <c r="A13286" i="2"/>
  <c r="E13285" i="2"/>
  <c r="D13285" i="2"/>
  <c r="C13285" i="2"/>
  <c r="B13285" i="2"/>
  <c r="A13285" i="2"/>
  <c r="E13284" i="2"/>
  <c r="D13284" i="2"/>
  <c r="C13284" i="2"/>
  <c r="B13284" i="2"/>
  <c r="A13284" i="2"/>
  <c r="E13283" i="2"/>
  <c r="D13283" i="2"/>
  <c r="C13283" i="2"/>
  <c r="B13283" i="2"/>
  <c r="A13283" i="2"/>
  <c r="E13282" i="2"/>
  <c r="D13282" i="2"/>
  <c r="C13282" i="2"/>
  <c r="B13282" i="2"/>
  <c r="A13282" i="2"/>
  <c r="E13281" i="2"/>
  <c r="D13281" i="2"/>
  <c r="C13281" i="2"/>
  <c r="B13281" i="2"/>
  <c r="A13281" i="2"/>
  <c r="E13280" i="2"/>
  <c r="D13280" i="2"/>
  <c r="C13280" i="2"/>
  <c r="B13280" i="2"/>
  <c r="A13280" i="2"/>
  <c r="E13279" i="2"/>
  <c r="D13279" i="2"/>
  <c r="C13279" i="2"/>
  <c r="B13279" i="2"/>
  <c r="A13279" i="2"/>
  <c r="E13278" i="2"/>
  <c r="D13278" i="2"/>
  <c r="C13278" i="2"/>
  <c r="B13278" i="2"/>
  <c r="A13278" i="2"/>
  <c r="E13277" i="2"/>
  <c r="D13277" i="2"/>
  <c r="C13277" i="2"/>
  <c r="B13277" i="2"/>
  <c r="A13277" i="2"/>
  <c r="E13276" i="2"/>
  <c r="D13276" i="2"/>
  <c r="C13276" i="2"/>
  <c r="B13276" i="2"/>
  <c r="A13276" i="2"/>
  <c r="E13275" i="2"/>
  <c r="D13275" i="2"/>
  <c r="C13275" i="2"/>
  <c r="B13275" i="2"/>
  <c r="A13275" i="2"/>
  <c r="E13274" i="2"/>
  <c r="D13274" i="2"/>
  <c r="C13274" i="2"/>
  <c r="B13274" i="2"/>
  <c r="A13274" i="2"/>
  <c r="E13273" i="2"/>
  <c r="D13273" i="2"/>
  <c r="C13273" i="2"/>
  <c r="B13273" i="2"/>
  <c r="A13273" i="2"/>
  <c r="E13272" i="2"/>
  <c r="D13272" i="2"/>
  <c r="C13272" i="2"/>
  <c r="B13272" i="2"/>
  <c r="A13272" i="2"/>
  <c r="E13271" i="2"/>
  <c r="D13271" i="2"/>
  <c r="C13271" i="2"/>
  <c r="B13271" i="2"/>
  <c r="A13271" i="2"/>
  <c r="E13270" i="2"/>
  <c r="D13270" i="2"/>
  <c r="C13270" i="2"/>
  <c r="B13270" i="2"/>
  <c r="A13270" i="2"/>
  <c r="E13269" i="2"/>
  <c r="D13269" i="2"/>
  <c r="C13269" i="2"/>
  <c r="B13269" i="2"/>
  <c r="A13269" i="2"/>
  <c r="E13268" i="2"/>
  <c r="D13268" i="2"/>
  <c r="C13268" i="2"/>
  <c r="B13268" i="2"/>
  <c r="A13268" i="2"/>
  <c r="E13267" i="2"/>
  <c r="D13267" i="2"/>
  <c r="C13267" i="2"/>
  <c r="B13267" i="2"/>
  <c r="A13267" i="2"/>
  <c r="E13266" i="2"/>
  <c r="D13266" i="2"/>
  <c r="C13266" i="2"/>
  <c r="B13266" i="2"/>
  <c r="A13266" i="2"/>
  <c r="E13265" i="2"/>
  <c r="D13265" i="2"/>
  <c r="C13265" i="2"/>
  <c r="B13265" i="2"/>
  <c r="A13265" i="2"/>
  <c r="E13264" i="2"/>
  <c r="D13264" i="2"/>
  <c r="C13264" i="2"/>
  <c r="B13264" i="2"/>
  <c r="A13264" i="2"/>
  <c r="E13263" i="2"/>
  <c r="D13263" i="2"/>
  <c r="C13263" i="2"/>
  <c r="B13263" i="2"/>
  <c r="A13263" i="2"/>
  <c r="E13262" i="2"/>
  <c r="D13262" i="2"/>
  <c r="C13262" i="2"/>
  <c r="B13262" i="2"/>
  <c r="A13262" i="2"/>
  <c r="E13261" i="2"/>
  <c r="D13261" i="2"/>
  <c r="C13261" i="2"/>
  <c r="B13261" i="2"/>
  <c r="A13261" i="2"/>
  <c r="E13260" i="2"/>
  <c r="D13260" i="2"/>
  <c r="C13260" i="2"/>
  <c r="B13260" i="2"/>
  <c r="A13260" i="2"/>
  <c r="E13259" i="2"/>
  <c r="D13259" i="2"/>
  <c r="C13259" i="2"/>
  <c r="B13259" i="2"/>
  <c r="A13259" i="2"/>
  <c r="E13258" i="2"/>
  <c r="D13258" i="2"/>
  <c r="C13258" i="2"/>
  <c r="B13258" i="2"/>
  <c r="A13258" i="2"/>
  <c r="E13257" i="2"/>
  <c r="D13257" i="2"/>
  <c r="C13257" i="2"/>
  <c r="B13257" i="2"/>
  <c r="A13257" i="2"/>
  <c r="E13256" i="2"/>
  <c r="D13256" i="2"/>
  <c r="C13256" i="2"/>
  <c r="B13256" i="2"/>
  <c r="A13256" i="2"/>
  <c r="E13255" i="2"/>
  <c r="D13255" i="2"/>
  <c r="C13255" i="2"/>
  <c r="B13255" i="2"/>
  <c r="A13255" i="2"/>
  <c r="E13254" i="2"/>
  <c r="D13254" i="2"/>
  <c r="C13254" i="2"/>
  <c r="B13254" i="2"/>
  <c r="A13254" i="2"/>
  <c r="E13253" i="2"/>
  <c r="D13253" i="2"/>
  <c r="C13253" i="2"/>
  <c r="B13253" i="2"/>
  <c r="A13253" i="2"/>
  <c r="E13252" i="2"/>
  <c r="D13252" i="2"/>
  <c r="C13252" i="2"/>
  <c r="B13252" i="2"/>
  <c r="A13252" i="2"/>
  <c r="E13251" i="2"/>
  <c r="D13251" i="2"/>
  <c r="C13251" i="2"/>
  <c r="B13251" i="2"/>
  <c r="A13251" i="2"/>
  <c r="E13250" i="2"/>
  <c r="D13250" i="2"/>
  <c r="C13250" i="2"/>
  <c r="B13250" i="2"/>
  <c r="A13250" i="2"/>
  <c r="E13249" i="2"/>
  <c r="D13249" i="2"/>
  <c r="C13249" i="2"/>
  <c r="B13249" i="2"/>
  <c r="A13249" i="2"/>
  <c r="E13248" i="2"/>
  <c r="D13248" i="2"/>
  <c r="C13248" i="2"/>
  <c r="B13248" i="2"/>
  <c r="A13248" i="2"/>
  <c r="E13247" i="2"/>
  <c r="D13247" i="2"/>
  <c r="C13247" i="2"/>
  <c r="B13247" i="2"/>
  <c r="A13247" i="2"/>
  <c r="E13246" i="2"/>
  <c r="D13246" i="2"/>
  <c r="C13246" i="2"/>
  <c r="B13246" i="2"/>
  <c r="A13246" i="2"/>
  <c r="E13245" i="2"/>
  <c r="D13245" i="2"/>
  <c r="C13245" i="2"/>
  <c r="B13245" i="2"/>
  <c r="A13245" i="2"/>
  <c r="E13244" i="2"/>
  <c r="D13244" i="2"/>
  <c r="C13244" i="2"/>
  <c r="B13244" i="2"/>
  <c r="A13244" i="2"/>
  <c r="E13243" i="2"/>
  <c r="D13243" i="2"/>
  <c r="C13243" i="2"/>
  <c r="B13243" i="2"/>
  <c r="A13243" i="2"/>
  <c r="E13242" i="2"/>
  <c r="D13242" i="2"/>
  <c r="C13242" i="2"/>
  <c r="B13242" i="2"/>
  <c r="A13242" i="2"/>
  <c r="E13241" i="2"/>
  <c r="D13241" i="2"/>
  <c r="C13241" i="2"/>
  <c r="B13241" i="2"/>
  <c r="A13241" i="2"/>
  <c r="E13240" i="2"/>
  <c r="D13240" i="2"/>
  <c r="C13240" i="2"/>
  <c r="B13240" i="2"/>
  <c r="A13240" i="2"/>
  <c r="E13239" i="2"/>
  <c r="D13239" i="2"/>
  <c r="C13239" i="2"/>
  <c r="B13239" i="2"/>
  <c r="A13239" i="2"/>
  <c r="E13238" i="2"/>
  <c r="D13238" i="2"/>
  <c r="C13238" i="2"/>
  <c r="B13238" i="2"/>
  <c r="A13238" i="2"/>
  <c r="E13237" i="2"/>
  <c r="D13237" i="2"/>
  <c r="C13237" i="2"/>
  <c r="B13237" i="2"/>
  <c r="A13237" i="2"/>
  <c r="E13236" i="2"/>
  <c r="D13236" i="2"/>
  <c r="C13236" i="2"/>
  <c r="B13236" i="2"/>
  <c r="A13236" i="2"/>
  <c r="E13235" i="2"/>
  <c r="D13235" i="2"/>
  <c r="C13235" i="2"/>
  <c r="B13235" i="2"/>
  <c r="A13235" i="2"/>
  <c r="E13234" i="2"/>
  <c r="D13234" i="2"/>
  <c r="C13234" i="2"/>
  <c r="B13234" i="2"/>
  <c r="A13234" i="2"/>
  <c r="E13233" i="2"/>
  <c r="D13233" i="2"/>
  <c r="C13233" i="2"/>
  <c r="B13233" i="2"/>
  <c r="A13233" i="2"/>
  <c r="E13232" i="2"/>
  <c r="D13232" i="2"/>
  <c r="C13232" i="2"/>
  <c r="B13232" i="2"/>
  <c r="A13232" i="2"/>
  <c r="E13231" i="2"/>
  <c r="D13231" i="2"/>
  <c r="C13231" i="2"/>
  <c r="B13231" i="2"/>
  <c r="A13231" i="2"/>
  <c r="E13230" i="2"/>
  <c r="D13230" i="2"/>
  <c r="C13230" i="2"/>
  <c r="B13230" i="2"/>
  <c r="A13230" i="2"/>
  <c r="E13229" i="2"/>
  <c r="D13229" i="2"/>
  <c r="C13229" i="2"/>
  <c r="B13229" i="2"/>
  <c r="A13229" i="2"/>
  <c r="E13228" i="2"/>
  <c r="D13228" i="2"/>
  <c r="C13228" i="2"/>
  <c r="B13228" i="2"/>
  <c r="A13228" i="2"/>
  <c r="E13227" i="2"/>
  <c r="D13227" i="2"/>
  <c r="C13227" i="2"/>
  <c r="B13227" i="2"/>
  <c r="A13227" i="2"/>
  <c r="E13226" i="2"/>
  <c r="D13226" i="2"/>
  <c r="C13226" i="2"/>
  <c r="B13226" i="2"/>
  <c r="A13226" i="2"/>
  <c r="E13225" i="2"/>
  <c r="D13225" i="2"/>
  <c r="C13225" i="2"/>
  <c r="B13225" i="2"/>
  <c r="A13225" i="2"/>
  <c r="E13224" i="2"/>
  <c r="D13224" i="2"/>
  <c r="C13224" i="2"/>
  <c r="B13224" i="2"/>
  <c r="A13224" i="2"/>
  <c r="E13223" i="2"/>
  <c r="D13223" i="2"/>
  <c r="C13223" i="2"/>
  <c r="B13223" i="2"/>
  <c r="A13223" i="2"/>
  <c r="E13222" i="2"/>
  <c r="D13222" i="2"/>
  <c r="C13222" i="2"/>
  <c r="B13222" i="2"/>
  <c r="A13222" i="2"/>
  <c r="E13221" i="2"/>
  <c r="D13221" i="2"/>
  <c r="C13221" i="2"/>
  <c r="B13221" i="2"/>
  <c r="A13221" i="2"/>
  <c r="E13220" i="2"/>
  <c r="D13220" i="2"/>
  <c r="C13220" i="2"/>
  <c r="B13220" i="2"/>
  <c r="A13220" i="2"/>
  <c r="E13219" i="2"/>
  <c r="D13219" i="2"/>
  <c r="C13219" i="2"/>
  <c r="B13219" i="2"/>
  <c r="A13219" i="2"/>
  <c r="E13218" i="2"/>
  <c r="D13218" i="2"/>
  <c r="C13218" i="2"/>
  <c r="B13218" i="2"/>
  <c r="A13218" i="2"/>
  <c r="E13217" i="2"/>
  <c r="D13217" i="2"/>
  <c r="C13217" i="2"/>
  <c r="B13217" i="2"/>
  <c r="A13217" i="2"/>
  <c r="E13216" i="2"/>
  <c r="D13216" i="2"/>
  <c r="C13216" i="2"/>
  <c r="B13216" i="2"/>
  <c r="A13216" i="2"/>
  <c r="E13215" i="2"/>
  <c r="D13215" i="2"/>
  <c r="C13215" i="2"/>
  <c r="B13215" i="2"/>
  <c r="A13215" i="2"/>
  <c r="E13214" i="2"/>
  <c r="D13214" i="2"/>
  <c r="C13214" i="2"/>
  <c r="B13214" i="2"/>
  <c r="A13214" i="2"/>
  <c r="E13213" i="2"/>
  <c r="D13213" i="2"/>
  <c r="C13213" i="2"/>
  <c r="B13213" i="2"/>
  <c r="A13213" i="2"/>
  <c r="E13212" i="2"/>
  <c r="D13212" i="2"/>
  <c r="C13212" i="2"/>
  <c r="B13212" i="2"/>
  <c r="A13212" i="2"/>
  <c r="E13211" i="2"/>
  <c r="D13211" i="2"/>
  <c r="C13211" i="2"/>
  <c r="B13211" i="2"/>
  <c r="A13211" i="2"/>
  <c r="E13210" i="2"/>
  <c r="D13210" i="2"/>
  <c r="C13210" i="2"/>
  <c r="B13210" i="2"/>
  <c r="A13210" i="2"/>
  <c r="E13209" i="2"/>
  <c r="D13209" i="2"/>
  <c r="C13209" i="2"/>
  <c r="B13209" i="2"/>
  <c r="A13209" i="2"/>
  <c r="E13208" i="2"/>
  <c r="D13208" i="2"/>
  <c r="C13208" i="2"/>
  <c r="B13208" i="2"/>
  <c r="A13208" i="2"/>
  <c r="E13207" i="2"/>
  <c r="D13207" i="2"/>
  <c r="C13207" i="2"/>
  <c r="B13207" i="2"/>
  <c r="A13207" i="2"/>
  <c r="E13206" i="2"/>
  <c r="D13206" i="2"/>
  <c r="C13206" i="2"/>
  <c r="B13206" i="2"/>
  <c r="A13206" i="2"/>
  <c r="E13205" i="2"/>
  <c r="D13205" i="2"/>
  <c r="C13205" i="2"/>
  <c r="B13205" i="2"/>
  <c r="A13205" i="2"/>
  <c r="E13204" i="2"/>
  <c r="D13204" i="2"/>
  <c r="C13204" i="2"/>
  <c r="B13204" i="2"/>
  <c r="A13204" i="2"/>
  <c r="E13203" i="2"/>
  <c r="D13203" i="2"/>
  <c r="C13203" i="2"/>
  <c r="B13203" i="2"/>
  <c r="A13203" i="2"/>
  <c r="E13202" i="2"/>
  <c r="D13202" i="2"/>
  <c r="C13202" i="2"/>
  <c r="B13202" i="2"/>
  <c r="A13202" i="2"/>
  <c r="E13201" i="2"/>
  <c r="D13201" i="2"/>
  <c r="C13201" i="2"/>
  <c r="B13201" i="2"/>
  <c r="A13201" i="2"/>
  <c r="E13200" i="2"/>
  <c r="D13200" i="2"/>
  <c r="C13200" i="2"/>
  <c r="B13200" i="2"/>
  <c r="A13200" i="2"/>
  <c r="E13199" i="2"/>
  <c r="D13199" i="2"/>
  <c r="C13199" i="2"/>
  <c r="B13199" i="2"/>
  <c r="A13199" i="2"/>
  <c r="E13198" i="2"/>
  <c r="D13198" i="2"/>
  <c r="C13198" i="2"/>
  <c r="B13198" i="2"/>
  <c r="A13198" i="2"/>
  <c r="E13197" i="2"/>
  <c r="D13197" i="2"/>
  <c r="C13197" i="2"/>
  <c r="B13197" i="2"/>
  <c r="A13197" i="2"/>
  <c r="E13196" i="2"/>
  <c r="D13196" i="2"/>
  <c r="C13196" i="2"/>
  <c r="B13196" i="2"/>
  <c r="A13196" i="2"/>
  <c r="E13195" i="2"/>
  <c r="D13195" i="2"/>
  <c r="C13195" i="2"/>
  <c r="B13195" i="2"/>
  <c r="A13195" i="2"/>
  <c r="E13194" i="2"/>
  <c r="D13194" i="2"/>
  <c r="C13194" i="2"/>
  <c r="B13194" i="2"/>
  <c r="A13194" i="2"/>
  <c r="E13193" i="2"/>
  <c r="D13193" i="2"/>
  <c r="C13193" i="2"/>
  <c r="B13193" i="2"/>
  <c r="A13193" i="2"/>
  <c r="E13192" i="2"/>
  <c r="D13192" i="2"/>
  <c r="C13192" i="2"/>
  <c r="B13192" i="2"/>
  <c r="A13192" i="2"/>
  <c r="E13191" i="2"/>
  <c r="D13191" i="2"/>
  <c r="C13191" i="2"/>
  <c r="B13191" i="2"/>
  <c r="A13191" i="2"/>
  <c r="E13190" i="2"/>
  <c r="D13190" i="2"/>
  <c r="C13190" i="2"/>
  <c r="B13190" i="2"/>
  <c r="A13190" i="2"/>
  <c r="E13189" i="2"/>
  <c r="D13189" i="2"/>
  <c r="C13189" i="2"/>
  <c r="B13189" i="2"/>
  <c r="A13189" i="2"/>
  <c r="E13188" i="2"/>
  <c r="D13188" i="2"/>
  <c r="C13188" i="2"/>
  <c r="B13188" i="2"/>
  <c r="A13188" i="2"/>
  <c r="E13187" i="2"/>
  <c r="D13187" i="2"/>
  <c r="C13187" i="2"/>
  <c r="B13187" i="2"/>
  <c r="A13187" i="2"/>
  <c r="E13186" i="2"/>
  <c r="D13186" i="2"/>
  <c r="C13186" i="2"/>
  <c r="B13186" i="2"/>
  <c r="A13186" i="2"/>
  <c r="E13185" i="2"/>
  <c r="D13185" i="2"/>
  <c r="C13185" i="2"/>
  <c r="B13185" i="2"/>
  <c r="A13185" i="2"/>
  <c r="E13184" i="2"/>
  <c r="D13184" i="2"/>
  <c r="C13184" i="2"/>
  <c r="B13184" i="2"/>
  <c r="A13184" i="2"/>
  <c r="E13183" i="2"/>
  <c r="D13183" i="2"/>
  <c r="C13183" i="2"/>
  <c r="B13183" i="2"/>
  <c r="A13183" i="2"/>
  <c r="E13182" i="2"/>
  <c r="D13182" i="2"/>
  <c r="C13182" i="2"/>
  <c r="B13182" i="2"/>
  <c r="A13182" i="2"/>
  <c r="E13181" i="2"/>
  <c r="D13181" i="2"/>
  <c r="C13181" i="2"/>
  <c r="B13181" i="2"/>
  <c r="A13181" i="2"/>
  <c r="E13180" i="2"/>
  <c r="D13180" i="2"/>
  <c r="C13180" i="2"/>
  <c r="B13180" i="2"/>
  <c r="A13180" i="2"/>
  <c r="E13179" i="2"/>
  <c r="D13179" i="2"/>
  <c r="C13179" i="2"/>
  <c r="B13179" i="2"/>
  <c r="A13179" i="2"/>
  <c r="E13178" i="2"/>
  <c r="D13178" i="2"/>
  <c r="C13178" i="2"/>
  <c r="B13178" i="2"/>
  <c r="A13178" i="2"/>
  <c r="E13177" i="2"/>
  <c r="D13177" i="2"/>
  <c r="C13177" i="2"/>
  <c r="B13177" i="2"/>
  <c r="A13177" i="2"/>
  <c r="E13176" i="2"/>
  <c r="D13176" i="2"/>
  <c r="C13176" i="2"/>
  <c r="B13176" i="2"/>
  <c r="A13176" i="2"/>
  <c r="E13175" i="2"/>
  <c r="D13175" i="2"/>
  <c r="C13175" i="2"/>
  <c r="B13175" i="2"/>
  <c r="A13175" i="2"/>
  <c r="E13174" i="2"/>
  <c r="D13174" i="2"/>
  <c r="C13174" i="2"/>
  <c r="B13174" i="2"/>
  <c r="A13174" i="2"/>
  <c r="E13173" i="2"/>
  <c r="D13173" i="2"/>
  <c r="C13173" i="2"/>
  <c r="B13173" i="2"/>
  <c r="A13173" i="2"/>
  <c r="E13172" i="2"/>
  <c r="D13172" i="2"/>
  <c r="C13172" i="2"/>
  <c r="B13172" i="2"/>
  <c r="A13172" i="2"/>
  <c r="E13171" i="2"/>
  <c r="D13171" i="2"/>
  <c r="C13171" i="2"/>
  <c r="B13171" i="2"/>
  <c r="A13171" i="2"/>
  <c r="E13170" i="2"/>
  <c r="D13170" i="2"/>
  <c r="C13170" i="2"/>
  <c r="B13170" i="2"/>
  <c r="A13170" i="2"/>
  <c r="E13169" i="2"/>
  <c r="D13169" i="2"/>
  <c r="C13169" i="2"/>
  <c r="B13169" i="2"/>
  <c r="A13169" i="2"/>
  <c r="E13168" i="2"/>
  <c r="D13168" i="2"/>
  <c r="C13168" i="2"/>
  <c r="B13168" i="2"/>
  <c r="A13168" i="2"/>
  <c r="E13167" i="2"/>
  <c r="D13167" i="2"/>
  <c r="C13167" i="2"/>
  <c r="B13167" i="2"/>
  <c r="A13167" i="2"/>
  <c r="E13166" i="2"/>
  <c r="D13166" i="2"/>
  <c r="C13166" i="2"/>
  <c r="B13166" i="2"/>
  <c r="A13166" i="2"/>
  <c r="E13165" i="2"/>
  <c r="D13165" i="2"/>
  <c r="C13165" i="2"/>
  <c r="B13165" i="2"/>
  <c r="A13165" i="2"/>
  <c r="E13164" i="2"/>
  <c r="D13164" i="2"/>
  <c r="C13164" i="2"/>
  <c r="B13164" i="2"/>
  <c r="A13164" i="2"/>
  <c r="E13163" i="2"/>
  <c r="D13163" i="2"/>
  <c r="C13163" i="2"/>
  <c r="B13163" i="2"/>
  <c r="A13163" i="2"/>
  <c r="E13162" i="2"/>
  <c r="D13162" i="2"/>
  <c r="C13162" i="2"/>
  <c r="B13162" i="2"/>
  <c r="A13162" i="2"/>
  <c r="E13161" i="2"/>
  <c r="D13161" i="2"/>
  <c r="C13161" i="2"/>
  <c r="B13161" i="2"/>
  <c r="A13161" i="2"/>
  <c r="E13160" i="2"/>
  <c r="D13160" i="2"/>
  <c r="C13160" i="2"/>
  <c r="B13160" i="2"/>
  <c r="A13160" i="2"/>
  <c r="E13159" i="2"/>
  <c r="D13159" i="2"/>
  <c r="C13159" i="2"/>
  <c r="B13159" i="2"/>
  <c r="A13159" i="2"/>
  <c r="E13158" i="2"/>
  <c r="D13158" i="2"/>
  <c r="C13158" i="2"/>
  <c r="B13158" i="2"/>
  <c r="A13158" i="2"/>
  <c r="E13157" i="2"/>
  <c r="D13157" i="2"/>
  <c r="C13157" i="2"/>
  <c r="B13157" i="2"/>
  <c r="A13157" i="2"/>
  <c r="E13156" i="2"/>
  <c r="D13156" i="2"/>
  <c r="C13156" i="2"/>
  <c r="B13156" i="2"/>
  <c r="A13156" i="2"/>
  <c r="E13155" i="2"/>
  <c r="D13155" i="2"/>
  <c r="C13155" i="2"/>
  <c r="B13155" i="2"/>
  <c r="A13155" i="2"/>
  <c r="E13154" i="2"/>
  <c r="D13154" i="2"/>
  <c r="C13154" i="2"/>
  <c r="B13154" i="2"/>
  <c r="A13154" i="2"/>
  <c r="E13153" i="2"/>
  <c r="D13153" i="2"/>
  <c r="C13153" i="2"/>
  <c r="B13153" i="2"/>
  <c r="A13153" i="2"/>
  <c r="E13152" i="2"/>
  <c r="D13152" i="2"/>
  <c r="C13152" i="2"/>
  <c r="B13152" i="2"/>
  <c r="A13152" i="2"/>
  <c r="E13151" i="2"/>
  <c r="D13151" i="2"/>
  <c r="C13151" i="2"/>
  <c r="B13151" i="2"/>
  <c r="A13151" i="2"/>
  <c r="E13150" i="2"/>
  <c r="D13150" i="2"/>
  <c r="C13150" i="2"/>
  <c r="B13150" i="2"/>
  <c r="A13150" i="2"/>
  <c r="E13149" i="2"/>
  <c r="D13149" i="2"/>
  <c r="C13149" i="2"/>
  <c r="B13149" i="2"/>
  <c r="A13149" i="2"/>
  <c r="E13148" i="2"/>
  <c r="D13148" i="2"/>
  <c r="C13148" i="2"/>
  <c r="B13148" i="2"/>
  <c r="A13148" i="2"/>
  <c r="E13147" i="2"/>
  <c r="D13147" i="2"/>
  <c r="C13147" i="2"/>
  <c r="B13147" i="2"/>
  <c r="A13147" i="2"/>
  <c r="E13146" i="2"/>
  <c r="D13146" i="2"/>
  <c r="C13146" i="2"/>
  <c r="B13146" i="2"/>
  <c r="A13146" i="2"/>
  <c r="E13145" i="2"/>
  <c r="D13145" i="2"/>
  <c r="C13145" i="2"/>
  <c r="B13145" i="2"/>
  <c r="A13145" i="2"/>
  <c r="E13144" i="2"/>
  <c r="D13144" i="2"/>
  <c r="C13144" i="2"/>
  <c r="B13144" i="2"/>
  <c r="A13144" i="2"/>
  <c r="E13143" i="2"/>
  <c r="D13143" i="2"/>
  <c r="C13143" i="2"/>
  <c r="B13143" i="2"/>
  <c r="A13143" i="2"/>
  <c r="E13142" i="2"/>
  <c r="D13142" i="2"/>
  <c r="C13142" i="2"/>
  <c r="B13142" i="2"/>
  <c r="A13142" i="2"/>
  <c r="E13141" i="2"/>
  <c r="D13141" i="2"/>
  <c r="C13141" i="2"/>
  <c r="B13141" i="2"/>
  <c r="A13141" i="2"/>
  <c r="E13140" i="2"/>
  <c r="D13140" i="2"/>
  <c r="C13140" i="2"/>
  <c r="B13140" i="2"/>
  <c r="A13140" i="2"/>
  <c r="E13139" i="2"/>
  <c r="D13139" i="2"/>
  <c r="C13139" i="2"/>
  <c r="B13139" i="2"/>
  <c r="A13139" i="2"/>
  <c r="E13138" i="2"/>
  <c r="D13138" i="2"/>
  <c r="C13138" i="2"/>
  <c r="B13138" i="2"/>
  <c r="A13138" i="2"/>
  <c r="E13137" i="2"/>
  <c r="D13137" i="2"/>
  <c r="C13137" i="2"/>
  <c r="B13137" i="2"/>
  <c r="A13137" i="2"/>
  <c r="E13136" i="2"/>
  <c r="D13136" i="2"/>
  <c r="C13136" i="2"/>
  <c r="B13136" i="2"/>
  <c r="A13136" i="2"/>
  <c r="E13135" i="2"/>
  <c r="D13135" i="2"/>
  <c r="C13135" i="2"/>
  <c r="B13135" i="2"/>
  <c r="A13135" i="2"/>
  <c r="E13134" i="2"/>
  <c r="D13134" i="2"/>
  <c r="C13134" i="2"/>
  <c r="B13134" i="2"/>
  <c r="A13134" i="2"/>
  <c r="E13133" i="2"/>
  <c r="D13133" i="2"/>
  <c r="C13133" i="2"/>
  <c r="B13133" i="2"/>
  <c r="A13133" i="2"/>
  <c r="E13132" i="2"/>
  <c r="D13132" i="2"/>
  <c r="C13132" i="2"/>
  <c r="B13132" i="2"/>
  <c r="A13132" i="2"/>
  <c r="E13131" i="2"/>
  <c r="D13131" i="2"/>
  <c r="C13131" i="2"/>
  <c r="B13131" i="2"/>
  <c r="A13131" i="2"/>
  <c r="E13130" i="2"/>
  <c r="D13130" i="2"/>
  <c r="C13130" i="2"/>
  <c r="B13130" i="2"/>
  <c r="A13130" i="2"/>
  <c r="E13129" i="2"/>
  <c r="D13129" i="2"/>
  <c r="C13129" i="2"/>
  <c r="B13129" i="2"/>
  <c r="A13129" i="2"/>
  <c r="E13128" i="2"/>
  <c r="D13128" i="2"/>
  <c r="C13128" i="2"/>
  <c r="B13128" i="2"/>
  <c r="A13128" i="2"/>
  <c r="E13127" i="2"/>
  <c r="D13127" i="2"/>
  <c r="C13127" i="2"/>
  <c r="B13127" i="2"/>
  <c r="A13127" i="2"/>
  <c r="E13126" i="2"/>
  <c r="D13126" i="2"/>
  <c r="C13126" i="2"/>
  <c r="B13126" i="2"/>
  <c r="A13126" i="2"/>
  <c r="E13125" i="2"/>
  <c r="D13125" i="2"/>
  <c r="C13125" i="2"/>
  <c r="B13125" i="2"/>
  <c r="A13125" i="2"/>
  <c r="E13124" i="2"/>
  <c r="D13124" i="2"/>
  <c r="C13124" i="2"/>
  <c r="B13124" i="2"/>
  <c r="A13124" i="2"/>
  <c r="E13123" i="2"/>
  <c r="D13123" i="2"/>
  <c r="C13123" i="2"/>
  <c r="B13123" i="2"/>
  <c r="A13123" i="2"/>
  <c r="E13122" i="2"/>
  <c r="D13122" i="2"/>
  <c r="C13122" i="2"/>
  <c r="B13122" i="2"/>
  <c r="A13122" i="2"/>
  <c r="E13121" i="2"/>
  <c r="D13121" i="2"/>
  <c r="C13121" i="2"/>
  <c r="B13121" i="2"/>
  <c r="A13121" i="2"/>
  <c r="E13120" i="2"/>
  <c r="D13120" i="2"/>
  <c r="C13120" i="2"/>
  <c r="B13120" i="2"/>
  <c r="A13120" i="2"/>
  <c r="E13119" i="2"/>
  <c r="D13119" i="2"/>
  <c r="C13119" i="2"/>
  <c r="B13119" i="2"/>
  <c r="A13119" i="2"/>
  <c r="E13118" i="2"/>
  <c r="D13118" i="2"/>
  <c r="C13118" i="2"/>
  <c r="B13118" i="2"/>
  <c r="A13118" i="2"/>
  <c r="E13117" i="2"/>
  <c r="D13117" i="2"/>
  <c r="C13117" i="2"/>
  <c r="B13117" i="2"/>
  <c r="A13117" i="2"/>
  <c r="E13116" i="2"/>
  <c r="D13116" i="2"/>
  <c r="C13116" i="2"/>
  <c r="B13116" i="2"/>
  <c r="A13116" i="2"/>
  <c r="E13115" i="2"/>
  <c r="D13115" i="2"/>
  <c r="C13115" i="2"/>
  <c r="B13115" i="2"/>
  <c r="A13115" i="2"/>
  <c r="E13114" i="2"/>
  <c r="D13114" i="2"/>
  <c r="C13114" i="2"/>
  <c r="B13114" i="2"/>
  <c r="A13114" i="2"/>
  <c r="E13113" i="2"/>
  <c r="D13113" i="2"/>
  <c r="C13113" i="2"/>
  <c r="B13113" i="2"/>
  <c r="A13113" i="2"/>
  <c r="E13112" i="2"/>
  <c r="D13112" i="2"/>
  <c r="C13112" i="2"/>
  <c r="B13112" i="2"/>
  <c r="A13112" i="2"/>
  <c r="E13111" i="2"/>
  <c r="D13111" i="2"/>
  <c r="C13111" i="2"/>
  <c r="B13111" i="2"/>
  <c r="A13111" i="2"/>
  <c r="E13110" i="2"/>
  <c r="D13110" i="2"/>
  <c r="C13110" i="2"/>
  <c r="B13110" i="2"/>
  <c r="A13110" i="2"/>
  <c r="E13109" i="2"/>
  <c r="D13109" i="2"/>
  <c r="C13109" i="2"/>
  <c r="B13109" i="2"/>
  <c r="A13109" i="2"/>
  <c r="E13108" i="2"/>
  <c r="D13108" i="2"/>
  <c r="C13108" i="2"/>
  <c r="B13108" i="2"/>
  <c r="A13108" i="2"/>
  <c r="E13107" i="2"/>
  <c r="D13107" i="2"/>
  <c r="C13107" i="2"/>
  <c r="B13107" i="2"/>
  <c r="A13107" i="2"/>
  <c r="E13106" i="2"/>
  <c r="D13106" i="2"/>
  <c r="C13106" i="2"/>
  <c r="B13106" i="2"/>
  <c r="A13106" i="2"/>
  <c r="E13105" i="2"/>
  <c r="D13105" i="2"/>
  <c r="C13105" i="2"/>
  <c r="B13105" i="2"/>
  <c r="A13105" i="2"/>
  <c r="E13104" i="2"/>
  <c r="D13104" i="2"/>
  <c r="C13104" i="2"/>
  <c r="B13104" i="2"/>
  <c r="A13104" i="2"/>
  <c r="E13103" i="2"/>
  <c r="D13103" i="2"/>
  <c r="C13103" i="2"/>
  <c r="B13103" i="2"/>
  <c r="A13103" i="2"/>
  <c r="E13102" i="2"/>
  <c r="D13102" i="2"/>
  <c r="C13102" i="2"/>
  <c r="B13102" i="2"/>
  <c r="A13102" i="2"/>
  <c r="E13101" i="2"/>
  <c r="D13101" i="2"/>
  <c r="C13101" i="2"/>
  <c r="B13101" i="2"/>
  <c r="A13101" i="2"/>
  <c r="E13100" i="2"/>
  <c r="D13100" i="2"/>
  <c r="C13100" i="2"/>
  <c r="B13100" i="2"/>
  <c r="A13100" i="2"/>
  <c r="E13099" i="2"/>
  <c r="D13099" i="2"/>
  <c r="C13099" i="2"/>
  <c r="B13099" i="2"/>
  <c r="A13099" i="2"/>
  <c r="E13098" i="2"/>
  <c r="D13098" i="2"/>
  <c r="C13098" i="2"/>
  <c r="B13098" i="2"/>
  <c r="A13098" i="2"/>
  <c r="E13097" i="2"/>
  <c r="D13097" i="2"/>
  <c r="C13097" i="2"/>
  <c r="B13097" i="2"/>
  <c r="A13097" i="2"/>
  <c r="E13096" i="2"/>
  <c r="D13096" i="2"/>
  <c r="C13096" i="2"/>
  <c r="B13096" i="2"/>
  <c r="A13096" i="2"/>
  <c r="E13095" i="2"/>
  <c r="D13095" i="2"/>
  <c r="C13095" i="2"/>
  <c r="B13095" i="2"/>
  <c r="A13095" i="2"/>
  <c r="E13094" i="2"/>
  <c r="D13094" i="2"/>
  <c r="C13094" i="2"/>
  <c r="B13094" i="2"/>
  <c r="A13094" i="2"/>
  <c r="E13093" i="2"/>
  <c r="D13093" i="2"/>
  <c r="C13093" i="2"/>
  <c r="B13093" i="2"/>
  <c r="A13093" i="2"/>
  <c r="E13092" i="2"/>
  <c r="D13092" i="2"/>
  <c r="C13092" i="2"/>
  <c r="B13092" i="2"/>
  <c r="A13092" i="2"/>
  <c r="E13091" i="2"/>
  <c r="D13091" i="2"/>
  <c r="C13091" i="2"/>
  <c r="B13091" i="2"/>
  <c r="A13091" i="2"/>
  <c r="E13090" i="2"/>
  <c r="D13090" i="2"/>
  <c r="C13090" i="2"/>
  <c r="B13090" i="2"/>
  <c r="A13090" i="2"/>
  <c r="E13089" i="2"/>
  <c r="D13089" i="2"/>
  <c r="C13089" i="2"/>
  <c r="B13089" i="2"/>
  <c r="A13089" i="2"/>
  <c r="E13088" i="2"/>
  <c r="D13088" i="2"/>
  <c r="C13088" i="2"/>
  <c r="B13088" i="2"/>
  <c r="A13088" i="2"/>
  <c r="E13087" i="2"/>
  <c r="D13087" i="2"/>
  <c r="C13087" i="2"/>
  <c r="B13087" i="2"/>
  <c r="A13087" i="2"/>
  <c r="E13086" i="2"/>
  <c r="D13086" i="2"/>
  <c r="C13086" i="2"/>
  <c r="B13086" i="2"/>
  <c r="A13086" i="2"/>
  <c r="E13085" i="2"/>
  <c r="D13085" i="2"/>
  <c r="C13085" i="2"/>
  <c r="B13085" i="2"/>
  <c r="A13085" i="2"/>
  <c r="E13084" i="2"/>
  <c r="D13084" i="2"/>
  <c r="C13084" i="2"/>
  <c r="B13084" i="2"/>
  <c r="A13084" i="2"/>
  <c r="E13083" i="2"/>
  <c r="D13083" i="2"/>
  <c r="C13083" i="2"/>
  <c r="B13083" i="2"/>
  <c r="A13083" i="2"/>
  <c r="E13082" i="2"/>
  <c r="D13082" i="2"/>
  <c r="C13082" i="2"/>
  <c r="B13082" i="2"/>
  <c r="A13082" i="2"/>
  <c r="E13081" i="2"/>
  <c r="D13081" i="2"/>
  <c r="C13081" i="2"/>
  <c r="B13081" i="2"/>
  <c r="A13081" i="2"/>
  <c r="E13080" i="2"/>
  <c r="D13080" i="2"/>
  <c r="C13080" i="2"/>
  <c r="B13080" i="2"/>
  <c r="A13080" i="2"/>
  <c r="E13079" i="2"/>
  <c r="D13079" i="2"/>
  <c r="C13079" i="2"/>
  <c r="B13079" i="2"/>
  <c r="A13079" i="2"/>
  <c r="E13078" i="2"/>
  <c r="D13078" i="2"/>
  <c r="C13078" i="2"/>
  <c r="B13078" i="2"/>
  <c r="A13078" i="2"/>
  <c r="E13077" i="2"/>
  <c r="D13077" i="2"/>
  <c r="C13077" i="2"/>
  <c r="B13077" i="2"/>
  <c r="A13077" i="2"/>
  <c r="E13076" i="2"/>
  <c r="D13076" i="2"/>
  <c r="C13076" i="2"/>
  <c r="B13076" i="2"/>
  <c r="A13076" i="2"/>
  <c r="E13075" i="2"/>
  <c r="D13075" i="2"/>
  <c r="C13075" i="2"/>
  <c r="B13075" i="2"/>
  <c r="A13075" i="2"/>
  <c r="E13074" i="2"/>
  <c r="D13074" i="2"/>
  <c r="C13074" i="2"/>
  <c r="B13074" i="2"/>
  <c r="A13074" i="2"/>
  <c r="E13073" i="2"/>
  <c r="D13073" i="2"/>
  <c r="C13073" i="2"/>
  <c r="B13073" i="2"/>
  <c r="A13073" i="2"/>
  <c r="E13072" i="2"/>
  <c r="D13072" i="2"/>
  <c r="C13072" i="2"/>
  <c r="B13072" i="2"/>
  <c r="A13072" i="2"/>
  <c r="E13071" i="2"/>
  <c r="D13071" i="2"/>
  <c r="C13071" i="2"/>
  <c r="B13071" i="2"/>
  <c r="A13071" i="2"/>
  <c r="E13070" i="2"/>
  <c r="D13070" i="2"/>
  <c r="C13070" i="2"/>
  <c r="B13070" i="2"/>
  <c r="A13070" i="2"/>
  <c r="E13069" i="2"/>
  <c r="D13069" i="2"/>
  <c r="C13069" i="2"/>
  <c r="B13069" i="2"/>
  <c r="A13069" i="2"/>
  <c r="E13068" i="2"/>
  <c r="D13068" i="2"/>
  <c r="C13068" i="2"/>
  <c r="B13068" i="2"/>
  <c r="A13068" i="2"/>
  <c r="E13067" i="2"/>
  <c r="D13067" i="2"/>
  <c r="C13067" i="2"/>
  <c r="B13067" i="2"/>
  <c r="A13067" i="2"/>
  <c r="E13066" i="2"/>
  <c r="D13066" i="2"/>
  <c r="C13066" i="2"/>
  <c r="B13066" i="2"/>
  <c r="A13066" i="2"/>
  <c r="E13065" i="2"/>
  <c r="D13065" i="2"/>
  <c r="C13065" i="2"/>
  <c r="B13065" i="2"/>
  <c r="A13065" i="2"/>
  <c r="E13064" i="2"/>
  <c r="D13064" i="2"/>
  <c r="C13064" i="2"/>
  <c r="B13064" i="2"/>
  <c r="A13064" i="2"/>
  <c r="E13063" i="2"/>
  <c r="D13063" i="2"/>
  <c r="C13063" i="2"/>
  <c r="B13063" i="2"/>
  <c r="A13063" i="2"/>
  <c r="E13062" i="2"/>
  <c r="D13062" i="2"/>
  <c r="C13062" i="2"/>
  <c r="B13062" i="2"/>
  <c r="A13062" i="2"/>
  <c r="E13061" i="2"/>
  <c r="D13061" i="2"/>
  <c r="C13061" i="2"/>
  <c r="B13061" i="2"/>
  <c r="A13061" i="2"/>
  <c r="E13060" i="2"/>
  <c r="D13060" i="2"/>
  <c r="C13060" i="2"/>
  <c r="B13060" i="2"/>
  <c r="A13060" i="2"/>
  <c r="E13059" i="2"/>
  <c r="D13059" i="2"/>
  <c r="C13059" i="2"/>
  <c r="B13059" i="2"/>
  <c r="A13059" i="2"/>
  <c r="E13058" i="2"/>
  <c r="D13058" i="2"/>
  <c r="C13058" i="2"/>
  <c r="B13058" i="2"/>
  <c r="A13058" i="2"/>
  <c r="E13057" i="2"/>
  <c r="D13057" i="2"/>
  <c r="C13057" i="2"/>
  <c r="B13057" i="2"/>
  <c r="A13057" i="2"/>
  <c r="E13056" i="2"/>
  <c r="D13056" i="2"/>
  <c r="C13056" i="2"/>
  <c r="B13056" i="2"/>
  <c r="A13056" i="2"/>
  <c r="E13055" i="2"/>
  <c r="D13055" i="2"/>
  <c r="C13055" i="2"/>
  <c r="B13055" i="2"/>
  <c r="A13055" i="2"/>
  <c r="E13054" i="2"/>
  <c r="D13054" i="2"/>
  <c r="C13054" i="2"/>
  <c r="B13054" i="2"/>
  <c r="A13054" i="2"/>
  <c r="E13053" i="2"/>
  <c r="D13053" i="2"/>
  <c r="C13053" i="2"/>
  <c r="B13053" i="2"/>
  <c r="A13053" i="2"/>
  <c r="E13052" i="2"/>
  <c r="D13052" i="2"/>
  <c r="C13052" i="2"/>
  <c r="B13052" i="2"/>
  <c r="A13052" i="2"/>
  <c r="E13051" i="2"/>
  <c r="D13051" i="2"/>
  <c r="C13051" i="2"/>
  <c r="B13051" i="2"/>
  <c r="A13051" i="2"/>
  <c r="E13050" i="2"/>
  <c r="D13050" i="2"/>
  <c r="C13050" i="2"/>
  <c r="B13050" i="2"/>
  <c r="A13050" i="2"/>
  <c r="E13049" i="2"/>
  <c r="D13049" i="2"/>
  <c r="C13049" i="2"/>
  <c r="B13049" i="2"/>
  <c r="A13049" i="2"/>
  <c r="E13048" i="2"/>
  <c r="D13048" i="2"/>
  <c r="C13048" i="2"/>
  <c r="B13048" i="2"/>
  <c r="A13048" i="2"/>
  <c r="E13047" i="2"/>
  <c r="D13047" i="2"/>
  <c r="C13047" i="2"/>
  <c r="B13047" i="2"/>
  <c r="A13047" i="2"/>
  <c r="E13046" i="2"/>
  <c r="D13046" i="2"/>
  <c r="C13046" i="2"/>
  <c r="B13046" i="2"/>
  <c r="A13046" i="2"/>
  <c r="E13045" i="2"/>
  <c r="D13045" i="2"/>
  <c r="C13045" i="2"/>
  <c r="B13045" i="2"/>
  <c r="A13045" i="2"/>
  <c r="E13044" i="2"/>
  <c r="D13044" i="2"/>
  <c r="C13044" i="2"/>
  <c r="B13044" i="2"/>
  <c r="A13044" i="2"/>
  <c r="E13043" i="2"/>
  <c r="D13043" i="2"/>
  <c r="C13043" i="2"/>
  <c r="B13043" i="2"/>
  <c r="A13043" i="2"/>
  <c r="E13042" i="2"/>
  <c r="D13042" i="2"/>
  <c r="C13042" i="2"/>
  <c r="B13042" i="2"/>
  <c r="A13042" i="2"/>
  <c r="E13041" i="2"/>
  <c r="D13041" i="2"/>
  <c r="C13041" i="2"/>
  <c r="B13041" i="2"/>
  <c r="A13041" i="2"/>
  <c r="E13040" i="2"/>
  <c r="D13040" i="2"/>
  <c r="C13040" i="2"/>
  <c r="B13040" i="2"/>
  <c r="A13040" i="2"/>
  <c r="E13039" i="2"/>
  <c r="D13039" i="2"/>
  <c r="C13039" i="2"/>
  <c r="B13039" i="2"/>
  <c r="A13039" i="2"/>
  <c r="E13038" i="2"/>
  <c r="D13038" i="2"/>
  <c r="C13038" i="2"/>
  <c r="B13038" i="2"/>
  <c r="A13038" i="2"/>
  <c r="E13037" i="2"/>
  <c r="D13037" i="2"/>
  <c r="C13037" i="2"/>
  <c r="B13037" i="2"/>
  <c r="A13037" i="2"/>
  <c r="E13036" i="2"/>
  <c r="D13036" i="2"/>
  <c r="C13036" i="2"/>
  <c r="B13036" i="2"/>
  <c r="A13036" i="2"/>
  <c r="E13035" i="2"/>
  <c r="D13035" i="2"/>
  <c r="C13035" i="2"/>
  <c r="B13035" i="2"/>
  <c r="A13035" i="2"/>
  <c r="E13034" i="2"/>
  <c r="D13034" i="2"/>
  <c r="C13034" i="2"/>
  <c r="B13034" i="2"/>
  <c r="A13034" i="2"/>
  <c r="E13033" i="2"/>
  <c r="D13033" i="2"/>
  <c r="C13033" i="2"/>
  <c r="B13033" i="2"/>
  <c r="A13033" i="2"/>
  <c r="E13032" i="2"/>
  <c r="D13032" i="2"/>
  <c r="C13032" i="2"/>
  <c r="B13032" i="2"/>
  <c r="A13032" i="2"/>
  <c r="E13031" i="2"/>
  <c r="D13031" i="2"/>
  <c r="C13031" i="2"/>
  <c r="B13031" i="2"/>
  <c r="A13031" i="2"/>
  <c r="E13030" i="2"/>
  <c r="D13030" i="2"/>
  <c r="C13030" i="2"/>
  <c r="B13030" i="2"/>
  <c r="A13030" i="2"/>
  <c r="E13029" i="2"/>
  <c r="D13029" i="2"/>
  <c r="C13029" i="2"/>
  <c r="B13029" i="2"/>
  <c r="A13029" i="2"/>
  <c r="E13028" i="2"/>
  <c r="D13028" i="2"/>
  <c r="C13028" i="2"/>
  <c r="B13028" i="2"/>
  <c r="A13028" i="2"/>
  <c r="E13027" i="2"/>
  <c r="D13027" i="2"/>
  <c r="C13027" i="2"/>
  <c r="B13027" i="2"/>
  <c r="A13027" i="2"/>
  <c r="E13026" i="2"/>
  <c r="D13026" i="2"/>
  <c r="C13026" i="2"/>
  <c r="B13026" i="2"/>
  <c r="A13026" i="2"/>
  <c r="E13025" i="2"/>
  <c r="D13025" i="2"/>
  <c r="C13025" i="2"/>
  <c r="B13025" i="2"/>
  <c r="A13025" i="2"/>
  <c r="E13024" i="2"/>
  <c r="D13024" i="2"/>
  <c r="C13024" i="2"/>
  <c r="B13024" i="2"/>
  <c r="A13024" i="2"/>
  <c r="E13023" i="2"/>
  <c r="D13023" i="2"/>
  <c r="C13023" i="2"/>
  <c r="B13023" i="2"/>
  <c r="A13023" i="2"/>
  <c r="E13022" i="2"/>
  <c r="D13022" i="2"/>
  <c r="C13022" i="2"/>
  <c r="B13022" i="2"/>
  <c r="A13022" i="2"/>
  <c r="E13021" i="2"/>
  <c r="D13021" i="2"/>
  <c r="C13021" i="2"/>
  <c r="B13021" i="2"/>
  <c r="A13021" i="2"/>
  <c r="E13020" i="2"/>
  <c r="D13020" i="2"/>
  <c r="C13020" i="2"/>
  <c r="B13020" i="2"/>
  <c r="A13020" i="2"/>
  <c r="E13019" i="2"/>
  <c r="D13019" i="2"/>
  <c r="C13019" i="2"/>
  <c r="B13019" i="2"/>
  <c r="A13019" i="2"/>
  <c r="E13018" i="2"/>
  <c r="D13018" i="2"/>
  <c r="C13018" i="2"/>
  <c r="B13018" i="2"/>
  <c r="A13018" i="2"/>
  <c r="E13017" i="2"/>
  <c r="D13017" i="2"/>
  <c r="C13017" i="2"/>
  <c r="B13017" i="2"/>
  <c r="A13017" i="2"/>
  <c r="E13016" i="2"/>
  <c r="D13016" i="2"/>
  <c r="C13016" i="2"/>
  <c r="B13016" i="2"/>
  <c r="A13016" i="2"/>
  <c r="E13015" i="2"/>
  <c r="D13015" i="2"/>
  <c r="C13015" i="2"/>
  <c r="B13015" i="2"/>
  <c r="A13015" i="2"/>
  <c r="E13014" i="2"/>
  <c r="D13014" i="2"/>
  <c r="C13014" i="2"/>
  <c r="B13014" i="2"/>
  <c r="A13014" i="2"/>
  <c r="E13013" i="2"/>
  <c r="D13013" i="2"/>
  <c r="C13013" i="2"/>
  <c r="B13013" i="2"/>
  <c r="A13013" i="2"/>
  <c r="E13012" i="2"/>
  <c r="D13012" i="2"/>
  <c r="C13012" i="2"/>
  <c r="B13012" i="2"/>
  <c r="A13012" i="2"/>
  <c r="E13011" i="2"/>
  <c r="D13011" i="2"/>
  <c r="C13011" i="2"/>
  <c r="B13011" i="2"/>
  <c r="A13011" i="2"/>
  <c r="E13010" i="2"/>
  <c r="D13010" i="2"/>
  <c r="C13010" i="2"/>
  <c r="B13010" i="2"/>
  <c r="A13010" i="2"/>
  <c r="E13009" i="2"/>
  <c r="D13009" i="2"/>
  <c r="C13009" i="2"/>
  <c r="B13009" i="2"/>
  <c r="A13009" i="2"/>
  <c r="E13008" i="2"/>
  <c r="D13008" i="2"/>
  <c r="C13008" i="2"/>
  <c r="B13008" i="2"/>
  <c r="A13008" i="2"/>
  <c r="E13007" i="2"/>
  <c r="D13007" i="2"/>
  <c r="C13007" i="2"/>
  <c r="B13007" i="2"/>
  <c r="A13007" i="2"/>
  <c r="E13006" i="2"/>
  <c r="D13006" i="2"/>
  <c r="C13006" i="2"/>
  <c r="B13006" i="2"/>
  <c r="A13006" i="2"/>
  <c r="E13005" i="2"/>
  <c r="D13005" i="2"/>
  <c r="C13005" i="2"/>
  <c r="B13005" i="2"/>
  <c r="A13005" i="2"/>
  <c r="E13004" i="2"/>
  <c r="D13004" i="2"/>
  <c r="C13004" i="2"/>
  <c r="B13004" i="2"/>
  <c r="A13004" i="2"/>
  <c r="E13003" i="2"/>
  <c r="D13003" i="2"/>
  <c r="C13003" i="2"/>
  <c r="B13003" i="2"/>
  <c r="A13003" i="2"/>
  <c r="E13002" i="2"/>
  <c r="D13002" i="2"/>
  <c r="C13002" i="2"/>
  <c r="B13002" i="2"/>
  <c r="A13002" i="2"/>
  <c r="E13001" i="2"/>
  <c r="D13001" i="2"/>
  <c r="C13001" i="2"/>
  <c r="B13001" i="2"/>
  <c r="A13001" i="2"/>
  <c r="E13000" i="2"/>
  <c r="D13000" i="2"/>
  <c r="C13000" i="2"/>
  <c r="B13000" i="2"/>
  <c r="A13000" i="2"/>
  <c r="E12999" i="2"/>
  <c r="D12999" i="2"/>
  <c r="C12999" i="2"/>
  <c r="B12999" i="2"/>
  <c r="A12999" i="2"/>
  <c r="E12998" i="2"/>
  <c r="D12998" i="2"/>
  <c r="C12998" i="2"/>
  <c r="B12998" i="2"/>
  <c r="A12998" i="2"/>
  <c r="E12997" i="2"/>
  <c r="D12997" i="2"/>
  <c r="C12997" i="2"/>
  <c r="B12997" i="2"/>
  <c r="A12997" i="2"/>
  <c r="E12996" i="2"/>
  <c r="D12996" i="2"/>
  <c r="C12996" i="2"/>
  <c r="B12996" i="2"/>
  <c r="A12996" i="2"/>
  <c r="E12995" i="2"/>
  <c r="D12995" i="2"/>
  <c r="C12995" i="2"/>
  <c r="B12995" i="2"/>
  <c r="A12995" i="2"/>
  <c r="E12994" i="2"/>
  <c r="D12994" i="2"/>
  <c r="C12994" i="2"/>
  <c r="B12994" i="2"/>
  <c r="A12994" i="2"/>
  <c r="E12993" i="2"/>
  <c r="D12993" i="2"/>
  <c r="C12993" i="2"/>
  <c r="B12993" i="2"/>
  <c r="A12993" i="2"/>
  <c r="E12992" i="2"/>
  <c r="D12992" i="2"/>
  <c r="C12992" i="2"/>
  <c r="B12992" i="2"/>
  <c r="A12992" i="2"/>
  <c r="E12991" i="2"/>
  <c r="D12991" i="2"/>
  <c r="C12991" i="2"/>
  <c r="B12991" i="2"/>
  <c r="A12991" i="2"/>
  <c r="E12990" i="2"/>
  <c r="D12990" i="2"/>
  <c r="C12990" i="2"/>
  <c r="B12990" i="2"/>
  <c r="A12990" i="2"/>
  <c r="E12989" i="2"/>
  <c r="D12989" i="2"/>
  <c r="C12989" i="2"/>
  <c r="B12989" i="2"/>
  <c r="A12989" i="2"/>
  <c r="E12988" i="2"/>
  <c r="D12988" i="2"/>
  <c r="C12988" i="2"/>
  <c r="B12988" i="2"/>
  <c r="A12988" i="2"/>
  <c r="E12987" i="2"/>
  <c r="D12987" i="2"/>
  <c r="C12987" i="2"/>
  <c r="B12987" i="2"/>
  <c r="A12987" i="2"/>
  <c r="E12986" i="2"/>
  <c r="D12986" i="2"/>
  <c r="C12986" i="2"/>
  <c r="B12986" i="2"/>
  <c r="A12986" i="2"/>
  <c r="E12985" i="2"/>
  <c r="D12985" i="2"/>
  <c r="C12985" i="2"/>
  <c r="B12985" i="2"/>
  <c r="A12985" i="2"/>
  <c r="E12984" i="2"/>
  <c r="D12984" i="2"/>
  <c r="C12984" i="2"/>
  <c r="B12984" i="2"/>
  <c r="A12984" i="2"/>
  <c r="E12983" i="2"/>
  <c r="D12983" i="2"/>
  <c r="C12983" i="2"/>
  <c r="B12983" i="2"/>
  <c r="A12983" i="2"/>
  <c r="E12982" i="2"/>
  <c r="D12982" i="2"/>
  <c r="C12982" i="2"/>
  <c r="B12982" i="2"/>
  <c r="A12982" i="2"/>
  <c r="E12981" i="2"/>
  <c r="D12981" i="2"/>
  <c r="C12981" i="2"/>
  <c r="B12981" i="2"/>
  <c r="A12981" i="2"/>
  <c r="E12980" i="2"/>
  <c r="D12980" i="2"/>
  <c r="C12980" i="2"/>
  <c r="B12980" i="2"/>
  <c r="A12980" i="2"/>
  <c r="E12979" i="2"/>
  <c r="D12979" i="2"/>
  <c r="C12979" i="2"/>
  <c r="B12979" i="2"/>
  <c r="A12979" i="2"/>
  <c r="E12978" i="2"/>
  <c r="D12978" i="2"/>
  <c r="C12978" i="2"/>
  <c r="B12978" i="2"/>
  <c r="A12978" i="2"/>
  <c r="E12977" i="2"/>
  <c r="D12977" i="2"/>
  <c r="C12977" i="2"/>
  <c r="B12977" i="2"/>
  <c r="A12977" i="2"/>
  <c r="E12976" i="2"/>
  <c r="D12976" i="2"/>
  <c r="C12976" i="2"/>
  <c r="B12976" i="2"/>
  <c r="A12976" i="2"/>
  <c r="E12975" i="2"/>
  <c r="D12975" i="2"/>
  <c r="C12975" i="2"/>
  <c r="B12975" i="2"/>
  <c r="A12975" i="2"/>
  <c r="E12974" i="2"/>
  <c r="D12974" i="2"/>
  <c r="C12974" i="2"/>
  <c r="B12974" i="2"/>
  <c r="A12974" i="2"/>
  <c r="E12973" i="2"/>
  <c r="D12973" i="2"/>
  <c r="C12973" i="2"/>
  <c r="B12973" i="2"/>
  <c r="A12973" i="2"/>
  <c r="E12972" i="2"/>
  <c r="D12972" i="2"/>
  <c r="C12972" i="2"/>
  <c r="B12972" i="2"/>
  <c r="A12972" i="2"/>
  <c r="E12971" i="2"/>
  <c r="D12971" i="2"/>
  <c r="C12971" i="2"/>
  <c r="B12971" i="2"/>
  <c r="A12971" i="2"/>
  <c r="E12970" i="2"/>
  <c r="D12970" i="2"/>
  <c r="C12970" i="2"/>
  <c r="B12970" i="2"/>
  <c r="A12970" i="2"/>
  <c r="E12969" i="2"/>
  <c r="D12969" i="2"/>
  <c r="C12969" i="2"/>
  <c r="B12969" i="2"/>
  <c r="A12969" i="2"/>
  <c r="E12968" i="2"/>
  <c r="D12968" i="2"/>
  <c r="C12968" i="2"/>
  <c r="B12968" i="2"/>
  <c r="A12968" i="2"/>
  <c r="E12967" i="2"/>
  <c r="D12967" i="2"/>
  <c r="C12967" i="2"/>
  <c r="B12967" i="2"/>
  <c r="A12967" i="2"/>
  <c r="E12966" i="2"/>
  <c r="D12966" i="2"/>
  <c r="C12966" i="2"/>
  <c r="B12966" i="2"/>
  <c r="A12966" i="2"/>
  <c r="E12965" i="2"/>
  <c r="D12965" i="2"/>
  <c r="C12965" i="2"/>
  <c r="B12965" i="2"/>
  <c r="A12965" i="2"/>
  <c r="E12964" i="2"/>
  <c r="D12964" i="2"/>
  <c r="C12964" i="2"/>
  <c r="B12964" i="2"/>
  <c r="A12964" i="2"/>
  <c r="E12963" i="2"/>
  <c r="D12963" i="2"/>
  <c r="C12963" i="2"/>
  <c r="B12963" i="2"/>
  <c r="A12963" i="2"/>
  <c r="E12962" i="2"/>
  <c r="D12962" i="2"/>
  <c r="C12962" i="2"/>
  <c r="B12962" i="2"/>
  <c r="A12962" i="2"/>
  <c r="E12961" i="2"/>
  <c r="D12961" i="2"/>
  <c r="C12961" i="2"/>
  <c r="B12961" i="2"/>
  <c r="A12961" i="2"/>
  <c r="E12960" i="2"/>
  <c r="D12960" i="2"/>
  <c r="C12960" i="2"/>
  <c r="B12960" i="2"/>
  <c r="A12960" i="2"/>
  <c r="E12959" i="2"/>
  <c r="D12959" i="2"/>
  <c r="C12959" i="2"/>
  <c r="B12959" i="2"/>
  <c r="A12959" i="2"/>
  <c r="E12958" i="2"/>
  <c r="D12958" i="2"/>
  <c r="C12958" i="2"/>
  <c r="B12958" i="2"/>
  <c r="A12958" i="2"/>
  <c r="E12957" i="2"/>
  <c r="D12957" i="2"/>
  <c r="C12957" i="2"/>
  <c r="B12957" i="2"/>
  <c r="A12957" i="2"/>
  <c r="E12956" i="2"/>
  <c r="D12956" i="2"/>
  <c r="C12956" i="2"/>
  <c r="B12956" i="2"/>
  <c r="A12956" i="2"/>
  <c r="E12955" i="2"/>
  <c r="D12955" i="2"/>
  <c r="C12955" i="2"/>
  <c r="B12955" i="2"/>
  <c r="A12955" i="2"/>
  <c r="E12954" i="2"/>
  <c r="D12954" i="2"/>
  <c r="C12954" i="2"/>
  <c r="B12954" i="2"/>
  <c r="A12954" i="2"/>
  <c r="E12953" i="2"/>
  <c r="D12953" i="2"/>
  <c r="C12953" i="2"/>
  <c r="B12953" i="2"/>
  <c r="A12953" i="2"/>
  <c r="E12952" i="2"/>
  <c r="D12952" i="2"/>
  <c r="C12952" i="2"/>
  <c r="B12952" i="2"/>
  <c r="A12952" i="2"/>
  <c r="E12951" i="2"/>
  <c r="D12951" i="2"/>
  <c r="C12951" i="2"/>
  <c r="B12951" i="2"/>
  <c r="A12951" i="2"/>
  <c r="E12950" i="2"/>
  <c r="D12950" i="2"/>
  <c r="C12950" i="2"/>
  <c r="B12950" i="2"/>
  <c r="A12950" i="2"/>
  <c r="E12949" i="2"/>
  <c r="D12949" i="2"/>
  <c r="C12949" i="2"/>
  <c r="B12949" i="2"/>
  <c r="A12949" i="2"/>
  <c r="E12948" i="2"/>
  <c r="D12948" i="2"/>
  <c r="C12948" i="2"/>
  <c r="B12948" i="2"/>
  <c r="A12948" i="2"/>
  <c r="E12947" i="2"/>
  <c r="D12947" i="2"/>
  <c r="C12947" i="2"/>
  <c r="B12947" i="2"/>
  <c r="A12947" i="2"/>
  <c r="E12946" i="2"/>
  <c r="D12946" i="2"/>
  <c r="C12946" i="2"/>
  <c r="B12946" i="2"/>
  <c r="A12946" i="2"/>
  <c r="E12945" i="2"/>
  <c r="D12945" i="2"/>
  <c r="C12945" i="2"/>
  <c r="B12945" i="2"/>
  <c r="A12945" i="2"/>
  <c r="E12944" i="2"/>
  <c r="D12944" i="2"/>
  <c r="C12944" i="2"/>
  <c r="B12944" i="2"/>
  <c r="A12944" i="2"/>
  <c r="E12943" i="2"/>
  <c r="D12943" i="2"/>
  <c r="C12943" i="2"/>
  <c r="B12943" i="2"/>
  <c r="A12943" i="2"/>
  <c r="E12942" i="2"/>
  <c r="D12942" i="2"/>
  <c r="C12942" i="2"/>
  <c r="B12942" i="2"/>
  <c r="A12942" i="2"/>
  <c r="E12941" i="2"/>
  <c r="D12941" i="2"/>
  <c r="C12941" i="2"/>
  <c r="B12941" i="2"/>
  <c r="A12941" i="2"/>
  <c r="E12940" i="2"/>
  <c r="D12940" i="2"/>
  <c r="C12940" i="2"/>
  <c r="B12940" i="2"/>
  <c r="A12940" i="2"/>
  <c r="E12939" i="2"/>
  <c r="D12939" i="2"/>
  <c r="C12939" i="2"/>
  <c r="B12939" i="2"/>
  <c r="A12939" i="2"/>
  <c r="E12938" i="2"/>
  <c r="D12938" i="2"/>
  <c r="C12938" i="2"/>
  <c r="B12938" i="2"/>
  <c r="A12938" i="2"/>
  <c r="E12937" i="2"/>
  <c r="D12937" i="2"/>
  <c r="C12937" i="2"/>
  <c r="B12937" i="2"/>
  <c r="A12937" i="2"/>
  <c r="E12936" i="2"/>
  <c r="D12936" i="2"/>
  <c r="C12936" i="2"/>
  <c r="B12936" i="2"/>
  <c r="A12936" i="2"/>
  <c r="E12935" i="2"/>
  <c r="D12935" i="2"/>
  <c r="C12935" i="2"/>
  <c r="B12935" i="2"/>
  <c r="A12935" i="2"/>
  <c r="E12934" i="2"/>
  <c r="D12934" i="2"/>
  <c r="C12934" i="2"/>
  <c r="B12934" i="2"/>
  <c r="A12934" i="2"/>
  <c r="E12933" i="2"/>
  <c r="D12933" i="2"/>
  <c r="C12933" i="2"/>
  <c r="B12933" i="2"/>
  <c r="A12933" i="2"/>
  <c r="E12932" i="2"/>
  <c r="D12932" i="2"/>
  <c r="C12932" i="2"/>
  <c r="B12932" i="2"/>
  <c r="A12932" i="2"/>
  <c r="E12931" i="2"/>
  <c r="D12931" i="2"/>
  <c r="C12931" i="2"/>
  <c r="B12931" i="2"/>
  <c r="A12931" i="2"/>
  <c r="E12930" i="2"/>
  <c r="D12930" i="2"/>
  <c r="C12930" i="2"/>
  <c r="B12930" i="2"/>
  <c r="A12930" i="2"/>
  <c r="E12929" i="2"/>
  <c r="D12929" i="2"/>
  <c r="C12929" i="2"/>
  <c r="B12929" i="2"/>
  <c r="A12929" i="2"/>
  <c r="E12928" i="2"/>
  <c r="D12928" i="2"/>
  <c r="C12928" i="2"/>
  <c r="B12928" i="2"/>
  <c r="A12928" i="2"/>
  <c r="E12927" i="2"/>
  <c r="D12927" i="2"/>
  <c r="C12927" i="2"/>
  <c r="B12927" i="2"/>
  <c r="A12927" i="2"/>
  <c r="E12926" i="2"/>
  <c r="D12926" i="2"/>
  <c r="C12926" i="2"/>
  <c r="B12926" i="2"/>
  <c r="A12926" i="2"/>
  <c r="E12925" i="2"/>
  <c r="D12925" i="2"/>
  <c r="C12925" i="2"/>
  <c r="B12925" i="2"/>
  <c r="A12925" i="2"/>
  <c r="E12924" i="2"/>
  <c r="D12924" i="2"/>
  <c r="C12924" i="2"/>
  <c r="B12924" i="2"/>
  <c r="A12924" i="2"/>
  <c r="E12923" i="2"/>
  <c r="D12923" i="2"/>
  <c r="C12923" i="2"/>
  <c r="B12923" i="2"/>
  <c r="A12923" i="2"/>
  <c r="E12922" i="2"/>
  <c r="D12922" i="2"/>
  <c r="C12922" i="2"/>
  <c r="B12922" i="2"/>
  <c r="A12922" i="2"/>
  <c r="E12921" i="2"/>
  <c r="D12921" i="2"/>
  <c r="C12921" i="2"/>
  <c r="B12921" i="2"/>
  <c r="A12921" i="2"/>
  <c r="E12920" i="2"/>
  <c r="D12920" i="2"/>
  <c r="C12920" i="2"/>
  <c r="B12920" i="2"/>
  <c r="A12920" i="2"/>
  <c r="E12919" i="2"/>
  <c r="D12919" i="2"/>
  <c r="C12919" i="2"/>
  <c r="B12919" i="2"/>
  <c r="A12919" i="2"/>
  <c r="E12918" i="2"/>
  <c r="D12918" i="2"/>
  <c r="C12918" i="2"/>
  <c r="B12918" i="2"/>
  <c r="A12918" i="2"/>
  <c r="E12917" i="2"/>
  <c r="D12917" i="2"/>
  <c r="C12917" i="2"/>
  <c r="B12917" i="2"/>
  <c r="A12917" i="2"/>
  <c r="E12916" i="2"/>
  <c r="D12916" i="2"/>
  <c r="C12916" i="2"/>
  <c r="B12916" i="2"/>
  <c r="A12916" i="2"/>
  <c r="E12915" i="2"/>
  <c r="D12915" i="2"/>
  <c r="C12915" i="2"/>
  <c r="B12915" i="2"/>
  <c r="A12915" i="2"/>
  <c r="E12914" i="2"/>
  <c r="D12914" i="2"/>
  <c r="C12914" i="2"/>
  <c r="B12914" i="2"/>
  <c r="A12914" i="2"/>
  <c r="E12913" i="2"/>
  <c r="D12913" i="2"/>
  <c r="C12913" i="2"/>
  <c r="B12913" i="2"/>
  <c r="A12913" i="2"/>
  <c r="E12912" i="2"/>
  <c r="D12912" i="2"/>
  <c r="C12912" i="2"/>
  <c r="B12912" i="2"/>
  <c r="A12912" i="2"/>
  <c r="E12911" i="2"/>
  <c r="D12911" i="2"/>
  <c r="C12911" i="2"/>
  <c r="B12911" i="2"/>
  <c r="A12911" i="2"/>
  <c r="E12910" i="2"/>
  <c r="D12910" i="2"/>
  <c r="C12910" i="2"/>
  <c r="B12910" i="2"/>
  <c r="A12910" i="2"/>
  <c r="E12909" i="2"/>
  <c r="D12909" i="2"/>
  <c r="C12909" i="2"/>
  <c r="B12909" i="2"/>
  <c r="A12909" i="2"/>
  <c r="E12908" i="2"/>
  <c r="D12908" i="2"/>
  <c r="C12908" i="2"/>
  <c r="B12908" i="2"/>
  <c r="A12908" i="2"/>
  <c r="E12907" i="2"/>
  <c r="D12907" i="2"/>
  <c r="C12907" i="2"/>
  <c r="B12907" i="2"/>
  <c r="A12907" i="2"/>
  <c r="E12906" i="2"/>
  <c r="D12906" i="2"/>
  <c r="C12906" i="2"/>
  <c r="B12906" i="2"/>
  <c r="A12906" i="2"/>
  <c r="E12905" i="2"/>
  <c r="D12905" i="2"/>
  <c r="C12905" i="2"/>
  <c r="B12905" i="2"/>
  <c r="A12905" i="2"/>
  <c r="E12904" i="2"/>
  <c r="D12904" i="2"/>
  <c r="C12904" i="2"/>
  <c r="B12904" i="2"/>
  <c r="A12904" i="2"/>
  <c r="E12903" i="2"/>
  <c r="D12903" i="2"/>
  <c r="C12903" i="2"/>
  <c r="B12903" i="2"/>
  <c r="A12903" i="2"/>
  <c r="E12902" i="2"/>
  <c r="D12902" i="2"/>
  <c r="C12902" i="2"/>
  <c r="B12902" i="2"/>
  <c r="A12902" i="2"/>
  <c r="E12901" i="2"/>
  <c r="D12901" i="2"/>
  <c r="C12901" i="2"/>
  <c r="B12901" i="2"/>
  <c r="A12901" i="2"/>
  <c r="E12900" i="2"/>
  <c r="D12900" i="2"/>
  <c r="C12900" i="2"/>
  <c r="B12900" i="2"/>
  <c r="A12900" i="2"/>
  <c r="E12899" i="2"/>
  <c r="D12899" i="2"/>
  <c r="C12899" i="2"/>
  <c r="B12899" i="2"/>
  <c r="A12899" i="2"/>
  <c r="E12898" i="2"/>
  <c r="D12898" i="2"/>
  <c r="C12898" i="2"/>
  <c r="B12898" i="2"/>
  <c r="A12898" i="2"/>
  <c r="E12897" i="2"/>
  <c r="D12897" i="2"/>
  <c r="C12897" i="2"/>
  <c r="B12897" i="2"/>
  <c r="A12897" i="2"/>
  <c r="E12896" i="2"/>
  <c r="D12896" i="2"/>
  <c r="C12896" i="2"/>
  <c r="B12896" i="2"/>
  <c r="A12896" i="2"/>
  <c r="E12895" i="2"/>
  <c r="D12895" i="2"/>
  <c r="C12895" i="2"/>
  <c r="B12895" i="2"/>
  <c r="A12895" i="2"/>
  <c r="E12894" i="2"/>
  <c r="D12894" i="2"/>
  <c r="C12894" i="2"/>
  <c r="B12894" i="2"/>
  <c r="A12894" i="2"/>
  <c r="E12893" i="2"/>
  <c r="D12893" i="2"/>
  <c r="C12893" i="2"/>
  <c r="B12893" i="2"/>
  <c r="A12893" i="2"/>
  <c r="E12892" i="2"/>
  <c r="D12892" i="2"/>
  <c r="C12892" i="2"/>
  <c r="B12892" i="2"/>
  <c r="A12892" i="2"/>
  <c r="E12891" i="2"/>
  <c r="D12891" i="2"/>
  <c r="C12891" i="2"/>
  <c r="B12891" i="2"/>
  <c r="A12891" i="2"/>
  <c r="E12890" i="2"/>
  <c r="D12890" i="2"/>
  <c r="C12890" i="2"/>
  <c r="B12890" i="2"/>
  <c r="A12890" i="2"/>
  <c r="E12889" i="2"/>
  <c r="D12889" i="2"/>
  <c r="C12889" i="2"/>
  <c r="B12889" i="2"/>
  <c r="A12889" i="2"/>
  <c r="E12888" i="2"/>
  <c r="D12888" i="2"/>
  <c r="C12888" i="2"/>
  <c r="B12888" i="2"/>
  <c r="A12888" i="2"/>
  <c r="E12887" i="2"/>
  <c r="D12887" i="2"/>
  <c r="C12887" i="2"/>
  <c r="B12887" i="2"/>
  <c r="A12887" i="2"/>
  <c r="E12886" i="2"/>
  <c r="D12886" i="2"/>
  <c r="C12886" i="2"/>
  <c r="B12886" i="2"/>
  <c r="A12886" i="2"/>
  <c r="E12885" i="2"/>
  <c r="D12885" i="2"/>
  <c r="C12885" i="2"/>
  <c r="B12885" i="2"/>
  <c r="A12885" i="2"/>
  <c r="E12884" i="2"/>
  <c r="D12884" i="2"/>
  <c r="C12884" i="2"/>
  <c r="B12884" i="2"/>
  <c r="A12884" i="2"/>
  <c r="E12883" i="2"/>
  <c r="D12883" i="2"/>
  <c r="C12883" i="2"/>
  <c r="B12883" i="2"/>
  <c r="A12883" i="2"/>
  <c r="E12882" i="2"/>
  <c r="D12882" i="2"/>
  <c r="C12882" i="2"/>
  <c r="B12882" i="2"/>
  <c r="A12882" i="2"/>
  <c r="E12881" i="2"/>
  <c r="D12881" i="2"/>
  <c r="C12881" i="2"/>
  <c r="B12881" i="2"/>
  <c r="A12881" i="2"/>
  <c r="E12880" i="2"/>
  <c r="D12880" i="2"/>
  <c r="C12880" i="2"/>
  <c r="B12880" i="2"/>
  <c r="A12880" i="2"/>
  <c r="E12879" i="2"/>
  <c r="D12879" i="2"/>
  <c r="C12879" i="2"/>
  <c r="B12879" i="2"/>
  <c r="A12879" i="2"/>
  <c r="E12878" i="2"/>
  <c r="D12878" i="2"/>
  <c r="C12878" i="2"/>
  <c r="B12878" i="2"/>
  <c r="A12878" i="2"/>
  <c r="E12877" i="2"/>
  <c r="D12877" i="2"/>
  <c r="C12877" i="2"/>
  <c r="B12877" i="2"/>
  <c r="A12877" i="2"/>
  <c r="E12876" i="2"/>
  <c r="D12876" i="2"/>
  <c r="C12876" i="2"/>
  <c r="B12876" i="2"/>
  <c r="A12876" i="2"/>
  <c r="E12875" i="2"/>
  <c r="D12875" i="2"/>
  <c r="C12875" i="2"/>
  <c r="B12875" i="2"/>
  <c r="A12875" i="2"/>
  <c r="E12874" i="2"/>
  <c r="D12874" i="2"/>
  <c r="C12874" i="2"/>
  <c r="B12874" i="2"/>
  <c r="A12874" i="2"/>
  <c r="E12873" i="2"/>
  <c r="D12873" i="2"/>
  <c r="C12873" i="2"/>
  <c r="B12873" i="2"/>
  <c r="A12873" i="2"/>
  <c r="E12872" i="2"/>
  <c r="D12872" i="2"/>
  <c r="C12872" i="2"/>
  <c r="B12872" i="2"/>
  <c r="A12872" i="2"/>
  <c r="E12871" i="2"/>
  <c r="D12871" i="2"/>
  <c r="C12871" i="2"/>
  <c r="B12871" i="2"/>
  <c r="A12871" i="2"/>
  <c r="E12870" i="2"/>
  <c r="D12870" i="2"/>
  <c r="C12870" i="2"/>
  <c r="B12870" i="2"/>
  <c r="A12870" i="2"/>
  <c r="E12869" i="2"/>
  <c r="D12869" i="2"/>
  <c r="C12869" i="2"/>
  <c r="B12869" i="2"/>
  <c r="A12869" i="2"/>
  <c r="E12868" i="2"/>
  <c r="D12868" i="2"/>
  <c r="C12868" i="2"/>
  <c r="B12868" i="2"/>
  <c r="A12868" i="2"/>
  <c r="E12867" i="2"/>
  <c r="D12867" i="2"/>
  <c r="C12867" i="2"/>
  <c r="B12867" i="2"/>
  <c r="A12867" i="2"/>
  <c r="E12866" i="2"/>
  <c r="D12866" i="2"/>
  <c r="C12866" i="2"/>
  <c r="B12866" i="2"/>
  <c r="A12866" i="2"/>
  <c r="E12865" i="2"/>
  <c r="D12865" i="2"/>
  <c r="C12865" i="2"/>
  <c r="B12865" i="2"/>
  <c r="A12865" i="2"/>
  <c r="E12864" i="2"/>
  <c r="D12864" i="2"/>
  <c r="C12864" i="2"/>
  <c r="B12864" i="2"/>
  <c r="A12864" i="2"/>
  <c r="E12863" i="2"/>
  <c r="D12863" i="2"/>
  <c r="C12863" i="2"/>
  <c r="B12863" i="2"/>
  <c r="A12863" i="2"/>
  <c r="E12862" i="2"/>
  <c r="D12862" i="2"/>
  <c r="C12862" i="2"/>
  <c r="B12862" i="2"/>
  <c r="A12862" i="2"/>
  <c r="E12861" i="2"/>
  <c r="D12861" i="2"/>
  <c r="C12861" i="2"/>
  <c r="B12861" i="2"/>
  <c r="A12861" i="2"/>
  <c r="E12860" i="2"/>
  <c r="D12860" i="2"/>
  <c r="C12860" i="2"/>
  <c r="B12860" i="2"/>
  <c r="A12860" i="2"/>
  <c r="E12859" i="2"/>
  <c r="D12859" i="2"/>
  <c r="C12859" i="2"/>
  <c r="B12859" i="2"/>
  <c r="A12859" i="2"/>
  <c r="E12858" i="2"/>
  <c r="D12858" i="2"/>
  <c r="C12858" i="2"/>
  <c r="B12858" i="2"/>
  <c r="A12858" i="2"/>
  <c r="E12857" i="2"/>
  <c r="D12857" i="2"/>
  <c r="C12857" i="2"/>
  <c r="B12857" i="2"/>
  <c r="A12857" i="2"/>
  <c r="E12856" i="2"/>
  <c r="D12856" i="2"/>
  <c r="C12856" i="2"/>
  <c r="B12856" i="2"/>
  <c r="A12856" i="2"/>
  <c r="E12855" i="2"/>
  <c r="D12855" i="2"/>
  <c r="C12855" i="2"/>
  <c r="B12855" i="2"/>
  <c r="A12855" i="2"/>
  <c r="E12854" i="2"/>
  <c r="D12854" i="2"/>
  <c r="C12854" i="2"/>
  <c r="B12854" i="2"/>
  <c r="A12854" i="2"/>
  <c r="E12853" i="2"/>
  <c r="D12853" i="2"/>
  <c r="C12853" i="2"/>
  <c r="B12853" i="2"/>
  <c r="A12853" i="2"/>
  <c r="E12852" i="2"/>
  <c r="D12852" i="2"/>
  <c r="C12852" i="2"/>
  <c r="B12852" i="2"/>
  <c r="A12852" i="2"/>
  <c r="E12851" i="2"/>
  <c r="D12851" i="2"/>
  <c r="C12851" i="2"/>
  <c r="B12851" i="2"/>
  <c r="A12851" i="2"/>
  <c r="E12850" i="2"/>
  <c r="D12850" i="2"/>
  <c r="C12850" i="2"/>
  <c r="B12850" i="2"/>
  <c r="A12850" i="2"/>
  <c r="E12849" i="2"/>
  <c r="D12849" i="2"/>
  <c r="C12849" i="2"/>
  <c r="B12849" i="2"/>
  <c r="A12849" i="2"/>
  <c r="E12848" i="2"/>
  <c r="D12848" i="2"/>
  <c r="C12848" i="2"/>
  <c r="B12848" i="2"/>
  <c r="A12848" i="2"/>
  <c r="E12847" i="2"/>
  <c r="D12847" i="2"/>
  <c r="C12847" i="2"/>
  <c r="B12847" i="2"/>
  <c r="A12847" i="2"/>
  <c r="E12846" i="2"/>
  <c r="D12846" i="2"/>
  <c r="C12846" i="2"/>
  <c r="B12846" i="2"/>
  <c r="A12846" i="2"/>
  <c r="E12845" i="2"/>
  <c r="D12845" i="2"/>
  <c r="C12845" i="2"/>
  <c r="B12845" i="2"/>
  <c r="A12845" i="2"/>
  <c r="E12844" i="2"/>
  <c r="D12844" i="2"/>
  <c r="C12844" i="2"/>
  <c r="B12844" i="2"/>
  <c r="A12844" i="2"/>
  <c r="E12843" i="2"/>
  <c r="D12843" i="2"/>
  <c r="C12843" i="2"/>
  <c r="B12843" i="2"/>
  <c r="A12843" i="2"/>
  <c r="E12842" i="2"/>
  <c r="D12842" i="2"/>
  <c r="C12842" i="2"/>
  <c r="B12842" i="2"/>
  <c r="A12842" i="2"/>
  <c r="E12841" i="2"/>
  <c r="D12841" i="2"/>
  <c r="C12841" i="2"/>
  <c r="B12841" i="2"/>
  <c r="A12841" i="2"/>
  <c r="E12840" i="2"/>
  <c r="D12840" i="2"/>
  <c r="C12840" i="2"/>
  <c r="B12840" i="2"/>
  <c r="A12840" i="2"/>
  <c r="E12839" i="2"/>
  <c r="D12839" i="2"/>
  <c r="C12839" i="2"/>
  <c r="B12839" i="2"/>
  <c r="A12839" i="2"/>
  <c r="E12838" i="2"/>
  <c r="D12838" i="2"/>
  <c r="C12838" i="2"/>
  <c r="B12838" i="2"/>
  <c r="A12838" i="2"/>
  <c r="E12837" i="2"/>
  <c r="D12837" i="2"/>
  <c r="C12837" i="2"/>
  <c r="B12837" i="2"/>
  <c r="A12837" i="2"/>
  <c r="E12836" i="2"/>
  <c r="D12836" i="2"/>
  <c r="C12836" i="2"/>
  <c r="B12836" i="2"/>
  <c r="A12836" i="2"/>
  <c r="E12835" i="2"/>
  <c r="D12835" i="2"/>
  <c r="C12835" i="2"/>
  <c r="B12835" i="2"/>
  <c r="A12835" i="2"/>
  <c r="E12834" i="2"/>
  <c r="D12834" i="2"/>
  <c r="C12834" i="2"/>
  <c r="B12834" i="2"/>
  <c r="A12834" i="2"/>
  <c r="E12833" i="2"/>
  <c r="D12833" i="2"/>
  <c r="C12833" i="2"/>
  <c r="B12833" i="2"/>
  <c r="A12833" i="2"/>
  <c r="E12832" i="2"/>
  <c r="D12832" i="2"/>
  <c r="C12832" i="2"/>
  <c r="B12832" i="2"/>
  <c r="A12832" i="2"/>
  <c r="E12831" i="2"/>
  <c r="D12831" i="2"/>
  <c r="C12831" i="2"/>
  <c r="B12831" i="2"/>
  <c r="A12831" i="2"/>
  <c r="E12830" i="2"/>
  <c r="D12830" i="2"/>
  <c r="C12830" i="2"/>
  <c r="B12830" i="2"/>
  <c r="A12830" i="2"/>
  <c r="E12829" i="2"/>
  <c r="D12829" i="2"/>
  <c r="C12829" i="2"/>
  <c r="B12829" i="2"/>
  <c r="A12829" i="2"/>
  <c r="E12828" i="2"/>
  <c r="D12828" i="2"/>
  <c r="C12828" i="2"/>
  <c r="B12828" i="2"/>
  <c r="A12828" i="2"/>
  <c r="E12827" i="2"/>
  <c r="D12827" i="2"/>
  <c r="C12827" i="2"/>
  <c r="B12827" i="2"/>
  <c r="A12827" i="2"/>
  <c r="E12826" i="2"/>
  <c r="D12826" i="2"/>
  <c r="C12826" i="2"/>
  <c r="B12826" i="2"/>
  <c r="A12826" i="2"/>
  <c r="E12825" i="2"/>
  <c r="D12825" i="2"/>
  <c r="C12825" i="2"/>
  <c r="B12825" i="2"/>
  <c r="A12825" i="2"/>
  <c r="E12824" i="2"/>
  <c r="D12824" i="2"/>
  <c r="C12824" i="2"/>
  <c r="B12824" i="2"/>
  <c r="A12824" i="2"/>
  <c r="E12823" i="2"/>
  <c r="D12823" i="2"/>
  <c r="C12823" i="2"/>
  <c r="B12823" i="2"/>
  <c r="A12823" i="2"/>
  <c r="E12822" i="2"/>
  <c r="D12822" i="2"/>
  <c r="C12822" i="2"/>
  <c r="B12822" i="2"/>
  <c r="A12822" i="2"/>
  <c r="E12821" i="2"/>
  <c r="D12821" i="2"/>
  <c r="C12821" i="2"/>
  <c r="B12821" i="2"/>
  <c r="A12821" i="2"/>
  <c r="E12820" i="2"/>
  <c r="D12820" i="2"/>
  <c r="C12820" i="2"/>
  <c r="B12820" i="2"/>
  <c r="A12820" i="2"/>
  <c r="E12819" i="2"/>
  <c r="D12819" i="2"/>
  <c r="C12819" i="2"/>
  <c r="B12819" i="2"/>
  <c r="A12819" i="2"/>
  <c r="E12818" i="2"/>
  <c r="D12818" i="2"/>
  <c r="C12818" i="2"/>
  <c r="B12818" i="2"/>
  <c r="A12818" i="2"/>
  <c r="E12817" i="2"/>
  <c r="D12817" i="2"/>
  <c r="C12817" i="2"/>
  <c r="B12817" i="2"/>
  <c r="A12817" i="2"/>
  <c r="E12816" i="2"/>
  <c r="D12816" i="2"/>
  <c r="C12816" i="2"/>
  <c r="B12816" i="2"/>
  <c r="A12816" i="2"/>
  <c r="E12815" i="2"/>
  <c r="D12815" i="2"/>
  <c r="C12815" i="2"/>
  <c r="B12815" i="2"/>
  <c r="A12815" i="2"/>
  <c r="E12814" i="2"/>
  <c r="D12814" i="2"/>
  <c r="C12814" i="2"/>
  <c r="B12814" i="2"/>
  <c r="A12814" i="2"/>
  <c r="E12813" i="2"/>
  <c r="D12813" i="2"/>
  <c r="C12813" i="2"/>
  <c r="B12813" i="2"/>
  <c r="A12813" i="2"/>
  <c r="E12812" i="2"/>
  <c r="D12812" i="2"/>
  <c r="C12812" i="2"/>
  <c r="B12812" i="2"/>
  <c r="A12812" i="2"/>
  <c r="E12811" i="2"/>
  <c r="D12811" i="2"/>
  <c r="C12811" i="2"/>
  <c r="B12811" i="2"/>
  <c r="A12811" i="2"/>
  <c r="E12810" i="2"/>
  <c r="D12810" i="2"/>
  <c r="C12810" i="2"/>
  <c r="B12810" i="2"/>
  <c r="A12810" i="2"/>
  <c r="E12809" i="2"/>
  <c r="D12809" i="2"/>
  <c r="C12809" i="2"/>
  <c r="B12809" i="2"/>
  <c r="A12809" i="2"/>
  <c r="E12808" i="2"/>
  <c r="D12808" i="2"/>
  <c r="C12808" i="2"/>
  <c r="B12808" i="2"/>
  <c r="A12808" i="2"/>
  <c r="E12807" i="2"/>
  <c r="D12807" i="2"/>
  <c r="C12807" i="2"/>
  <c r="B12807" i="2"/>
  <c r="A12807" i="2"/>
  <c r="E12806" i="2"/>
  <c r="D12806" i="2"/>
  <c r="C12806" i="2"/>
  <c r="B12806" i="2"/>
  <c r="A12806" i="2"/>
  <c r="E12805" i="2"/>
  <c r="D12805" i="2"/>
  <c r="C12805" i="2"/>
  <c r="B12805" i="2"/>
  <c r="A12805" i="2"/>
  <c r="E12804" i="2"/>
  <c r="D12804" i="2"/>
  <c r="C12804" i="2"/>
  <c r="B12804" i="2"/>
  <c r="A12804" i="2"/>
  <c r="E12803" i="2"/>
  <c r="D12803" i="2"/>
  <c r="C12803" i="2"/>
  <c r="B12803" i="2"/>
  <c r="A12803" i="2"/>
  <c r="E12802" i="2"/>
  <c r="D12802" i="2"/>
  <c r="C12802" i="2"/>
  <c r="B12802" i="2"/>
  <c r="A12802" i="2"/>
  <c r="E12801" i="2"/>
  <c r="D12801" i="2"/>
  <c r="C12801" i="2"/>
  <c r="B12801" i="2"/>
  <c r="A12801" i="2"/>
  <c r="E12800" i="2"/>
  <c r="D12800" i="2"/>
  <c r="C12800" i="2"/>
  <c r="B12800" i="2"/>
  <c r="A12800" i="2"/>
  <c r="E12799" i="2"/>
  <c r="D12799" i="2"/>
  <c r="C12799" i="2"/>
  <c r="B12799" i="2"/>
  <c r="A12799" i="2"/>
  <c r="E12798" i="2"/>
  <c r="D12798" i="2"/>
  <c r="C12798" i="2"/>
  <c r="B12798" i="2"/>
  <c r="A12798" i="2"/>
  <c r="E12797" i="2"/>
  <c r="D12797" i="2"/>
  <c r="C12797" i="2"/>
  <c r="B12797" i="2"/>
  <c r="A12797" i="2"/>
  <c r="E12796" i="2"/>
  <c r="D12796" i="2"/>
  <c r="C12796" i="2"/>
  <c r="B12796" i="2"/>
  <c r="A12796" i="2"/>
  <c r="E12795" i="2"/>
  <c r="D12795" i="2"/>
  <c r="C12795" i="2"/>
  <c r="B12795" i="2"/>
  <c r="A12795" i="2"/>
  <c r="E12794" i="2"/>
  <c r="D12794" i="2"/>
  <c r="C12794" i="2"/>
  <c r="B12794" i="2"/>
  <c r="A12794" i="2"/>
  <c r="E12793" i="2"/>
  <c r="D12793" i="2"/>
  <c r="C12793" i="2"/>
  <c r="B12793" i="2"/>
  <c r="A12793" i="2"/>
  <c r="E12792" i="2"/>
  <c r="D12792" i="2"/>
  <c r="C12792" i="2"/>
  <c r="B12792" i="2"/>
  <c r="A12792" i="2"/>
  <c r="E12791" i="2"/>
  <c r="D12791" i="2"/>
  <c r="C12791" i="2"/>
  <c r="B12791" i="2"/>
  <c r="A12791" i="2"/>
  <c r="E12790" i="2"/>
  <c r="D12790" i="2"/>
  <c r="C12790" i="2"/>
  <c r="B12790" i="2"/>
  <c r="A12790" i="2"/>
  <c r="E12789" i="2"/>
  <c r="D12789" i="2"/>
  <c r="C12789" i="2"/>
  <c r="B12789" i="2"/>
  <c r="A12789" i="2"/>
  <c r="E12788" i="2"/>
  <c r="D12788" i="2"/>
  <c r="C12788" i="2"/>
  <c r="B12788" i="2"/>
  <c r="A12788" i="2"/>
  <c r="E12787" i="2"/>
  <c r="D12787" i="2"/>
  <c r="C12787" i="2"/>
  <c r="B12787" i="2"/>
  <c r="A12787" i="2"/>
  <c r="E12786" i="2"/>
  <c r="D12786" i="2"/>
  <c r="C12786" i="2"/>
  <c r="B12786" i="2"/>
  <c r="A12786" i="2"/>
  <c r="E12785" i="2"/>
  <c r="D12785" i="2"/>
  <c r="C12785" i="2"/>
  <c r="B12785" i="2"/>
  <c r="A12785" i="2"/>
  <c r="E12784" i="2"/>
  <c r="D12784" i="2"/>
  <c r="C12784" i="2"/>
  <c r="B12784" i="2"/>
  <c r="A12784" i="2"/>
  <c r="E12783" i="2"/>
  <c r="D12783" i="2"/>
  <c r="C12783" i="2"/>
  <c r="B12783" i="2"/>
  <c r="A12783" i="2"/>
  <c r="E12782" i="2"/>
  <c r="D12782" i="2"/>
  <c r="C12782" i="2"/>
  <c r="B12782" i="2"/>
  <c r="A12782" i="2"/>
  <c r="E12781" i="2"/>
  <c r="D12781" i="2"/>
  <c r="C12781" i="2"/>
  <c r="B12781" i="2"/>
  <c r="A12781" i="2"/>
  <c r="E12780" i="2"/>
  <c r="D12780" i="2"/>
  <c r="C12780" i="2"/>
  <c r="B12780" i="2"/>
  <c r="A12780" i="2"/>
  <c r="E12779" i="2"/>
  <c r="D12779" i="2"/>
  <c r="C12779" i="2"/>
  <c r="B12779" i="2"/>
  <c r="A12779" i="2"/>
  <c r="E12778" i="2"/>
  <c r="D12778" i="2"/>
  <c r="C12778" i="2"/>
  <c r="B12778" i="2"/>
  <c r="A12778" i="2"/>
  <c r="E12777" i="2"/>
  <c r="D12777" i="2"/>
  <c r="C12777" i="2"/>
  <c r="B12777" i="2"/>
  <c r="A12777" i="2"/>
  <c r="E12776" i="2"/>
  <c r="D12776" i="2"/>
  <c r="C12776" i="2"/>
  <c r="B12776" i="2"/>
  <c r="A12776" i="2"/>
  <c r="E12775" i="2"/>
  <c r="D12775" i="2"/>
  <c r="C12775" i="2"/>
  <c r="B12775" i="2"/>
  <c r="A12775" i="2"/>
  <c r="E12774" i="2"/>
  <c r="D12774" i="2"/>
  <c r="C12774" i="2"/>
  <c r="B12774" i="2"/>
  <c r="A12774" i="2"/>
  <c r="E12773" i="2"/>
  <c r="D12773" i="2"/>
  <c r="C12773" i="2"/>
  <c r="B12773" i="2"/>
  <c r="A12773" i="2"/>
  <c r="E12772" i="2"/>
  <c r="D12772" i="2"/>
  <c r="C12772" i="2"/>
  <c r="B12772" i="2"/>
  <c r="A12772" i="2"/>
  <c r="E12771" i="2"/>
  <c r="D12771" i="2"/>
  <c r="C12771" i="2"/>
  <c r="B12771" i="2"/>
  <c r="A12771" i="2"/>
  <c r="E12770" i="2"/>
  <c r="D12770" i="2"/>
  <c r="C12770" i="2"/>
  <c r="B12770" i="2"/>
  <c r="A12770" i="2"/>
  <c r="E12769" i="2"/>
  <c r="D12769" i="2"/>
  <c r="C12769" i="2"/>
  <c r="B12769" i="2"/>
  <c r="A12769" i="2"/>
  <c r="E12768" i="2"/>
  <c r="D12768" i="2"/>
  <c r="C12768" i="2"/>
  <c r="B12768" i="2"/>
  <c r="A12768" i="2"/>
  <c r="E12767" i="2"/>
  <c r="D12767" i="2"/>
  <c r="C12767" i="2"/>
  <c r="B12767" i="2"/>
  <c r="A12767" i="2"/>
  <c r="E12766" i="2"/>
  <c r="D12766" i="2"/>
  <c r="C12766" i="2"/>
  <c r="B12766" i="2"/>
  <c r="A12766" i="2"/>
  <c r="E12765" i="2"/>
  <c r="D12765" i="2"/>
  <c r="C12765" i="2"/>
  <c r="B12765" i="2"/>
  <c r="A12765" i="2"/>
  <c r="E12764" i="2"/>
  <c r="D12764" i="2"/>
  <c r="C12764" i="2"/>
  <c r="B12764" i="2"/>
  <c r="A12764" i="2"/>
  <c r="E12763" i="2"/>
  <c r="D12763" i="2"/>
  <c r="C12763" i="2"/>
  <c r="B12763" i="2"/>
  <c r="A12763" i="2"/>
  <c r="E12762" i="2"/>
  <c r="D12762" i="2"/>
  <c r="C12762" i="2"/>
  <c r="B12762" i="2"/>
  <c r="A12762" i="2"/>
  <c r="E12761" i="2"/>
  <c r="D12761" i="2"/>
  <c r="C12761" i="2"/>
  <c r="B12761" i="2"/>
  <c r="A12761" i="2"/>
  <c r="E12760" i="2"/>
  <c r="D12760" i="2"/>
  <c r="C12760" i="2"/>
  <c r="B12760" i="2"/>
  <c r="A12760" i="2"/>
  <c r="E12759" i="2"/>
  <c r="D12759" i="2"/>
  <c r="C12759" i="2"/>
  <c r="B12759" i="2"/>
  <c r="A12759" i="2"/>
  <c r="E12758" i="2"/>
  <c r="D12758" i="2"/>
  <c r="C12758" i="2"/>
  <c r="B12758" i="2"/>
  <c r="A12758" i="2"/>
  <c r="E12757" i="2"/>
  <c r="D12757" i="2"/>
  <c r="C12757" i="2"/>
  <c r="B12757" i="2"/>
  <c r="A12757" i="2"/>
  <c r="E12756" i="2"/>
  <c r="D12756" i="2"/>
  <c r="C12756" i="2"/>
  <c r="B12756" i="2"/>
  <c r="A12756" i="2"/>
  <c r="E12755" i="2"/>
  <c r="D12755" i="2"/>
  <c r="C12755" i="2"/>
  <c r="B12755" i="2"/>
  <c r="A12755" i="2"/>
  <c r="E12754" i="2"/>
  <c r="D12754" i="2"/>
  <c r="C12754" i="2"/>
  <c r="B12754" i="2"/>
  <c r="A12754" i="2"/>
  <c r="E12753" i="2"/>
  <c r="D12753" i="2"/>
  <c r="C12753" i="2"/>
  <c r="B12753" i="2"/>
  <c r="A12753" i="2"/>
  <c r="E12752" i="2"/>
  <c r="D12752" i="2"/>
  <c r="C12752" i="2"/>
  <c r="B12752" i="2"/>
  <c r="A12752" i="2"/>
  <c r="E12751" i="2"/>
  <c r="D12751" i="2"/>
  <c r="C12751" i="2"/>
  <c r="B12751" i="2"/>
  <c r="A12751" i="2"/>
  <c r="E12750" i="2"/>
  <c r="D12750" i="2"/>
  <c r="C12750" i="2"/>
  <c r="B12750" i="2"/>
  <c r="A12750" i="2"/>
  <c r="E12749" i="2"/>
  <c r="D12749" i="2"/>
  <c r="C12749" i="2"/>
  <c r="B12749" i="2"/>
  <c r="A12749" i="2"/>
  <c r="E12748" i="2"/>
  <c r="D12748" i="2"/>
  <c r="C12748" i="2"/>
  <c r="B12748" i="2"/>
  <c r="A12748" i="2"/>
  <c r="E12747" i="2"/>
  <c r="D12747" i="2"/>
  <c r="C12747" i="2"/>
  <c r="B12747" i="2"/>
  <c r="A12747" i="2"/>
  <c r="E12746" i="2"/>
  <c r="D12746" i="2"/>
  <c r="C12746" i="2"/>
  <c r="B12746" i="2"/>
  <c r="A12746" i="2"/>
  <c r="E12745" i="2"/>
  <c r="D12745" i="2"/>
  <c r="C12745" i="2"/>
  <c r="B12745" i="2"/>
  <c r="A12745" i="2"/>
  <c r="E12744" i="2"/>
  <c r="D12744" i="2"/>
  <c r="C12744" i="2"/>
  <c r="B12744" i="2"/>
  <c r="A12744" i="2"/>
  <c r="E12743" i="2"/>
  <c r="D12743" i="2"/>
  <c r="C12743" i="2"/>
  <c r="B12743" i="2"/>
  <c r="A12743" i="2"/>
  <c r="E12742" i="2"/>
  <c r="D12742" i="2"/>
  <c r="C12742" i="2"/>
  <c r="B12742" i="2"/>
  <c r="A12742" i="2"/>
  <c r="E12741" i="2"/>
  <c r="D12741" i="2"/>
  <c r="C12741" i="2"/>
  <c r="B12741" i="2"/>
  <c r="A12741" i="2"/>
  <c r="E12740" i="2"/>
  <c r="D12740" i="2"/>
  <c r="C12740" i="2"/>
  <c r="B12740" i="2"/>
  <c r="A12740" i="2"/>
  <c r="E12739" i="2"/>
  <c r="D12739" i="2"/>
  <c r="C12739" i="2"/>
  <c r="B12739" i="2"/>
  <c r="A12739" i="2"/>
  <c r="E12738" i="2"/>
  <c r="D12738" i="2"/>
  <c r="C12738" i="2"/>
  <c r="B12738" i="2"/>
  <c r="A12738" i="2"/>
  <c r="E12737" i="2"/>
  <c r="D12737" i="2"/>
  <c r="C12737" i="2"/>
  <c r="B12737" i="2"/>
  <c r="A12737" i="2"/>
  <c r="E12736" i="2"/>
  <c r="D12736" i="2"/>
  <c r="C12736" i="2"/>
  <c r="B12736" i="2"/>
  <c r="A12736" i="2"/>
  <c r="E12735" i="2"/>
  <c r="D12735" i="2"/>
  <c r="C12735" i="2"/>
  <c r="B12735" i="2"/>
  <c r="A12735" i="2"/>
  <c r="E12734" i="2"/>
  <c r="D12734" i="2"/>
  <c r="C12734" i="2"/>
  <c r="B12734" i="2"/>
  <c r="A12734" i="2"/>
  <c r="E12733" i="2"/>
  <c r="D12733" i="2"/>
  <c r="C12733" i="2"/>
  <c r="B12733" i="2"/>
  <c r="A12733" i="2"/>
  <c r="E12732" i="2"/>
  <c r="D12732" i="2"/>
  <c r="C12732" i="2"/>
  <c r="B12732" i="2"/>
  <c r="A12732" i="2"/>
  <c r="E12731" i="2"/>
  <c r="D12731" i="2"/>
  <c r="C12731" i="2"/>
  <c r="B12731" i="2"/>
  <c r="A12731" i="2"/>
  <c r="E12730" i="2"/>
  <c r="D12730" i="2"/>
  <c r="C12730" i="2"/>
  <c r="B12730" i="2"/>
  <c r="A12730" i="2"/>
  <c r="E12729" i="2"/>
  <c r="D12729" i="2"/>
  <c r="C12729" i="2"/>
  <c r="B12729" i="2"/>
  <c r="A12729" i="2"/>
  <c r="E12728" i="2"/>
  <c r="D12728" i="2"/>
  <c r="C12728" i="2"/>
  <c r="B12728" i="2"/>
  <c r="A12728" i="2"/>
  <c r="E12727" i="2"/>
  <c r="D12727" i="2"/>
  <c r="C12727" i="2"/>
  <c r="B12727" i="2"/>
  <c r="A12727" i="2"/>
  <c r="E12726" i="2"/>
  <c r="D12726" i="2"/>
  <c r="C12726" i="2"/>
  <c r="B12726" i="2"/>
  <c r="A12726" i="2"/>
  <c r="E12725" i="2"/>
  <c r="D12725" i="2"/>
  <c r="C12725" i="2"/>
  <c r="B12725" i="2"/>
  <c r="A12725" i="2"/>
  <c r="E12724" i="2"/>
  <c r="D12724" i="2"/>
  <c r="C12724" i="2"/>
  <c r="B12724" i="2"/>
  <c r="A12724" i="2"/>
  <c r="E12723" i="2"/>
  <c r="D12723" i="2"/>
  <c r="C12723" i="2"/>
  <c r="B12723" i="2"/>
  <c r="A12723" i="2"/>
  <c r="E12722" i="2"/>
  <c r="D12722" i="2"/>
  <c r="C12722" i="2"/>
  <c r="B12722" i="2"/>
  <c r="A12722" i="2"/>
  <c r="E12721" i="2"/>
  <c r="D12721" i="2"/>
  <c r="C12721" i="2"/>
  <c r="B12721" i="2"/>
  <c r="A12721" i="2"/>
  <c r="E12720" i="2"/>
  <c r="D12720" i="2"/>
  <c r="C12720" i="2"/>
  <c r="B12720" i="2"/>
  <c r="A12720" i="2"/>
  <c r="E12719" i="2"/>
  <c r="D12719" i="2"/>
  <c r="C12719" i="2"/>
  <c r="B12719" i="2"/>
  <c r="A12719" i="2"/>
  <c r="E12718" i="2"/>
  <c r="D12718" i="2"/>
  <c r="C12718" i="2"/>
  <c r="B12718" i="2"/>
  <c r="A12718" i="2"/>
  <c r="E12717" i="2"/>
  <c r="D12717" i="2"/>
  <c r="C12717" i="2"/>
  <c r="B12717" i="2"/>
  <c r="A12717" i="2"/>
  <c r="E12716" i="2"/>
  <c r="D12716" i="2"/>
  <c r="C12716" i="2"/>
  <c r="B12716" i="2"/>
  <c r="A12716" i="2"/>
  <c r="E12715" i="2"/>
  <c r="D12715" i="2"/>
  <c r="C12715" i="2"/>
  <c r="B12715" i="2"/>
  <c r="A12715" i="2"/>
  <c r="E12714" i="2"/>
  <c r="D12714" i="2"/>
  <c r="C12714" i="2"/>
  <c r="B12714" i="2"/>
  <c r="A12714" i="2"/>
  <c r="E12713" i="2"/>
  <c r="D12713" i="2"/>
  <c r="C12713" i="2"/>
  <c r="B12713" i="2"/>
  <c r="A12713" i="2"/>
  <c r="E12712" i="2"/>
  <c r="D12712" i="2"/>
  <c r="C12712" i="2"/>
  <c r="B12712" i="2"/>
  <c r="A12712" i="2"/>
  <c r="E12711" i="2"/>
  <c r="D12711" i="2"/>
  <c r="C12711" i="2"/>
  <c r="B12711" i="2"/>
  <c r="A12711" i="2"/>
  <c r="E12710" i="2"/>
  <c r="D12710" i="2"/>
  <c r="C12710" i="2"/>
  <c r="B12710" i="2"/>
  <c r="A12710" i="2"/>
  <c r="E12709" i="2"/>
  <c r="D12709" i="2"/>
  <c r="C12709" i="2"/>
  <c r="B12709" i="2"/>
  <c r="A12709" i="2"/>
  <c r="E12708" i="2"/>
  <c r="D12708" i="2"/>
  <c r="C12708" i="2"/>
  <c r="B12708" i="2"/>
  <c r="A12708" i="2"/>
  <c r="E12707" i="2"/>
  <c r="D12707" i="2"/>
  <c r="C12707" i="2"/>
  <c r="B12707" i="2"/>
  <c r="A12707" i="2"/>
  <c r="E12706" i="2"/>
  <c r="D12706" i="2"/>
  <c r="C12706" i="2"/>
  <c r="B12706" i="2"/>
  <c r="A12706" i="2"/>
  <c r="E12705" i="2"/>
  <c r="D12705" i="2"/>
  <c r="C12705" i="2"/>
  <c r="B12705" i="2"/>
  <c r="A12705" i="2"/>
  <c r="E12704" i="2"/>
  <c r="D12704" i="2"/>
  <c r="C12704" i="2"/>
  <c r="B12704" i="2"/>
  <c r="A12704" i="2"/>
  <c r="E12703" i="2"/>
  <c r="D12703" i="2"/>
  <c r="C12703" i="2"/>
  <c r="B12703" i="2"/>
  <c r="A12703" i="2"/>
  <c r="E12702" i="2"/>
  <c r="D12702" i="2"/>
  <c r="C12702" i="2"/>
  <c r="B12702" i="2"/>
  <c r="A12702" i="2"/>
  <c r="E12701" i="2"/>
  <c r="D12701" i="2"/>
  <c r="C12701" i="2"/>
  <c r="B12701" i="2"/>
  <c r="A12701" i="2"/>
  <c r="E12700" i="2"/>
  <c r="D12700" i="2"/>
  <c r="C12700" i="2"/>
  <c r="B12700" i="2"/>
  <c r="A12700" i="2"/>
  <c r="E12699" i="2"/>
  <c r="D12699" i="2"/>
  <c r="C12699" i="2"/>
  <c r="B12699" i="2"/>
  <c r="A12699" i="2"/>
  <c r="E12698" i="2"/>
  <c r="D12698" i="2"/>
  <c r="C12698" i="2"/>
  <c r="B12698" i="2"/>
  <c r="A12698" i="2"/>
  <c r="E12697" i="2"/>
  <c r="D12697" i="2"/>
  <c r="C12697" i="2"/>
  <c r="B12697" i="2"/>
  <c r="A12697" i="2"/>
  <c r="E12696" i="2"/>
  <c r="D12696" i="2"/>
  <c r="C12696" i="2"/>
  <c r="B12696" i="2"/>
  <c r="A12696" i="2"/>
  <c r="E12695" i="2"/>
  <c r="D12695" i="2"/>
  <c r="C12695" i="2"/>
  <c r="B12695" i="2"/>
  <c r="A12695" i="2"/>
  <c r="E12694" i="2"/>
  <c r="D12694" i="2"/>
  <c r="C12694" i="2"/>
  <c r="B12694" i="2"/>
  <c r="A12694" i="2"/>
  <c r="E12693" i="2"/>
  <c r="D12693" i="2"/>
  <c r="C12693" i="2"/>
  <c r="B12693" i="2"/>
  <c r="A12693" i="2"/>
  <c r="E12692" i="2"/>
  <c r="D12692" i="2"/>
  <c r="C12692" i="2"/>
  <c r="B12692" i="2"/>
  <c r="A12692" i="2"/>
  <c r="E12691" i="2"/>
  <c r="D12691" i="2"/>
  <c r="C12691" i="2"/>
  <c r="B12691" i="2"/>
  <c r="A12691" i="2"/>
  <c r="E12690" i="2"/>
  <c r="D12690" i="2"/>
  <c r="C12690" i="2"/>
  <c r="B12690" i="2"/>
  <c r="A12690" i="2"/>
  <c r="E12689" i="2"/>
  <c r="D12689" i="2"/>
  <c r="C12689" i="2"/>
  <c r="B12689" i="2"/>
  <c r="A12689" i="2"/>
  <c r="E12688" i="2"/>
  <c r="D12688" i="2"/>
  <c r="C12688" i="2"/>
  <c r="B12688" i="2"/>
  <c r="A12688" i="2"/>
  <c r="E12687" i="2"/>
  <c r="D12687" i="2"/>
  <c r="C12687" i="2"/>
  <c r="B12687" i="2"/>
  <c r="A12687" i="2"/>
  <c r="E12686" i="2"/>
  <c r="D12686" i="2"/>
  <c r="C12686" i="2"/>
  <c r="B12686" i="2"/>
  <c r="A12686" i="2"/>
  <c r="E12685" i="2"/>
  <c r="D12685" i="2"/>
  <c r="C12685" i="2"/>
  <c r="B12685" i="2"/>
  <c r="A12685" i="2"/>
  <c r="E12684" i="2"/>
  <c r="D12684" i="2"/>
  <c r="C12684" i="2"/>
  <c r="B12684" i="2"/>
  <c r="A12684" i="2"/>
  <c r="E12683" i="2"/>
  <c r="D12683" i="2"/>
  <c r="C12683" i="2"/>
  <c r="B12683" i="2"/>
  <c r="A12683" i="2"/>
  <c r="E12682" i="2"/>
  <c r="D12682" i="2"/>
  <c r="C12682" i="2"/>
  <c r="B12682" i="2"/>
  <c r="A12682" i="2"/>
  <c r="E12681" i="2"/>
  <c r="D12681" i="2"/>
  <c r="C12681" i="2"/>
  <c r="B12681" i="2"/>
  <c r="A12681" i="2"/>
  <c r="E12680" i="2"/>
  <c r="D12680" i="2"/>
  <c r="C12680" i="2"/>
  <c r="B12680" i="2"/>
  <c r="A12680" i="2"/>
  <c r="E12679" i="2"/>
  <c r="D12679" i="2"/>
  <c r="C12679" i="2"/>
  <c r="B12679" i="2"/>
  <c r="A12679" i="2"/>
  <c r="E12678" i="2"/>
  <c r="D12678" i="2"/>
  <c r="C12678" i="2"/>
  <c r="B12678" i="2"/>
  <c r="A12678" i="2"/>
  <c r="E12677" i="2"/>
  <c r="D12677" i="2"/>
  <c r="C12677" i="2"/>
  <c r="B12677" i="2"/>
  <c r="A12677" i="2"/>
  <c r="E12676" i="2"/>
  <c r="D12676" i="2"/>
  <c r="C12676" i="2"/>
  <c r="B12676" i="2"/>
  <c r="A12676" i="2"/>
  <c r="E12675" i="2"/>
  <c r="D12675" i="2"/>
  <c r="C12675" i="2"/>
  <c r="B12675" i="2"/>
  <c r="A12675" i="2"/>
  <c r="E12674" i="2"/>
  <c r="D12674" i="2"/>
  <c r="C12674" i="2"/>
  <c r="B12674" i="2"/>
  <c r="A12674" i="2"/>
  <c r="E12673" i="2"/>
  <c r="D12673" i="2"/>
  <c r="C12673" i="2"/>
  <c r="B12673" i="2"/>
  <c r="A12673" i="2"/>
  <c r="E12672" i="2"/>
  <c r="D12672" i="2"/>
  <c r="C12672" i="2"/>
  <c r="B12672" i="2"/>
  <c r="A12672" i="2"/>
  <c r="E12671" i="2"/>
  <c r="D12671" i="2"/>
  <c r="C12671" i="2"/>
  <c r="B12671" i="2"/>
  <c r="A12671" i="2"/>
  <c r="E12670" i="2"/>
  <c r="D12670" i="2"/>
  <c r="C12670" i="2"/>
  <c r="B12670" i="2"/>
  <c r="A12670" i="2"/>
  <c r="E12669" i="2"/>
  <c r="D12669" i="2"/>
  <c r="C12669" i="2"/>
  <c r="B12669" i="2"/>
  <c r="A12669" i="2"/>
  <c r="E12668" i="2"/>
  <c r="D12668" i="2"/>
  <c r="C12668" i="2"/>
  <c r="B12668" i="2"/>
  <c r="A12668" i="2"/>
  <c r="E12667" i="2"/>
  <c r="D12667" i="2"/>
  <c r="C12667" i="2"/>
  <c r="B12667" i="2"/>
  <c r="A12667" i="2"/>
  <c r="E12666" i="2"/>
  <c r="D12666" i="2"/>
  <c r="C12666" i="2"/>
  <c r="B12666" i="2"/>
  <c r="A12666" i="2"/>
  <c r="E12665" i="2"/>
  <c r="D12665" i="2"/>
  <c r="C12665" i="2"/>
  <c r="B12665" i="2"/>
  <c r="A12665" i="2"/>
  <c r="E12664" i="2"/>
  <c r="D12664" i="2"/>
  <c r="C12664" i="2"/>
  <c r="B12664" i="2"/>
  <c r="A12664" i="2"/>
  <c r="E12663" i="2"/>
  <c r="D12663" i="2"/>
  <c r="C12663" i="2"/>
  <c r="B12663" i="2"/>
  <c r="A12663" i="2"/>
  <c r="E12662" i="2"/>
  <c r="D12662" i="2"/>
  <c r="C12662" i="2"/>
  <c r="B12662" i="2"/>
  <c r="A12662" i="2"/>
  <c r="E12661" i="2"/>
  <c r="D12661" i="2"/>
  <c r="C12661" i="2"/>
  <c r="B12661" i="2"/>
  <c r="A12661" i="2"/>
  <c r="E12660" i="2"/>
  <c r="D12660" i="2"/>
  <c r="C12660" i="2"/>
  <c r="B12660" i="2"/>
  <c r="A12660" i="2"/>
  <c r="E12659" i="2"/>
  <c r="D12659" i="2"/>
  <c r="C12659" i="2"/>
  <c r="B12659" i="2"/>
  <c r="A12659" i="2"/>
  <c r="E12658" i="2"/>
  <c r="D12658" i="2"/>
  <c r="C12658" i="2"/>
  <c r="B12658" i="2"/>
  <c r="A12658" i="2"/>
  <c r="E12657" i="2"/>
  <c r="D12657" i="2"/>
  <c r="C12657" i="2"/>
  <c r="B12657" i="2"/>
  <c r="A12657" i="2"/>
  <c r="E12656" i="2"/>
  <c r="D12656" i="2"/>
  <c r="C12656" i="2"/>
  <c r="B12656" i="2"/>
  <c r="A12656" i="2"/>
  <c r="E12655" i="2"/>
  <c r="D12655" i="2"/>
  <c r="C12655" i="2"/>
  <c r="B12655" i="2"/>
  <c r="A12655" i="2"/>
  <c r="E12654" i="2"/>
  <c r="D12654" i="2"/>
  <c r="C12654" i="2"/>
  <c r="B12654" i="2"/>
  <c r="A12654" i="2"/>
  <c r="E12653" i="2"/>
  <c r="D12653" i="2"/>
  <c r="C12653" i="2"/>
  <c r="B12653" i="2"/>
  <c r="A12653" i="2"/>
  <c r="E12652" i="2"/>
  <c r="D12652" i="2"/>
  <c r="C12652" i="2"/>
  <c r="B12652" i="2"/>
  <c r="A12652" i="2"/>
  <c r="E12651" i="2"/>
  <c r="D12651" i="2"/>
  <c r="C12651" i="2"/>
  <c r="B12651" i="2"/>
  <c r="A12651" i="2"/>
  <c r="E12650" i="2"/>
  <c r="D12650" i="2"/>
  <c r="C12650" i="2"/>
  <c r="B12650" i="2"/>
  <c r="A12650" i="2"/>
  <c r="E12649" i="2"/>
  <c r="D12649" i="2"/>
  <c r="C12649" i="2"/>
  <c r="B12649" i="2"/>
  <c r="A12649" i="2"/>
  <c r="E12648" i="2"/>
  <c r="D12648" i="2"/>
  <c r="C12648" i="2"/>
  <c r="B12648" i="2"/>
  <c r="A12648" i="2"/>
  <c r="E12647" i="2"/>
  <c r="D12647" i="2"/>
  <c r="C12647" i="2"/>
  <c r="B12647" i="2"/>
  <c r="A12647" i="2"/>
  <c r="E12646" i="2"/>
  <c r="D12646" i="2"/>
  <c r="C12646" i="2"/>
  <c r="B12646" i="2"/>
  <c r="A12646" i="2"/>
  <c r="E12645" i="2"/>
  <c r="D12645" i="2"/>
  <c r="C12645" i="2"/>
  <c r="B12645" i="2"/>
  <c r="A12645" i="2"/>
  <c r="E12644" i="2"/>
  <c r="D12644" i="2"/>
  <c r="C12644" i="2"/>
  <c r="B12644" i="2"/>
  <c r="A12644" i="2"/>
  <c r="E12643" i="2"/>
  <c r="D12643" i="2"/>
  <c r="C12643" i="2"/>
  <c r="B12643" i="2"/>
  <c r="A12643" i="2"/>
  <c r="E12642" i="2"/>
  <c r="D12642" i="2"/>
  <c r="C12642" i="2"/>
  <c r="B12642" i="2"/>
  <c r="A12642" i="2"/>
  <c r="E12641" i="2"/>
  <c r="D12641" i="2"/>
  <c r="C12641" i="2"/>
  <c r="B12641" i="2"/>
  <c r="A12641" i="2"/>
  <c r="E12640" i="2"/>
  <c r="D12640" i="2"/>
  <c r="C12640" i="2"/>
  <c r="B12640" i="2"/>
  <c r="A12640" i="2"/>
  <c r="E12639" i="2"/>
  <c r="D12639" i="2"/>
  <c r="C12639" i="2"/>
  <c r="B12639" i="2"/>
  <c r="A12639" i="2"/>
  <c r="E12638" i="2"/>
  <c r="D12638" i="2"/>
  <c r="C12638" i="2"/>
  <c r="B12638" i="2"/>
  <c r="A12638" i="2"/>
  <c r="E12637" i="2"/>
  <c r="D12637" i="2"/>
  <c r="C12637" i="2"/>
  <c r="B12637" i="2"/>
  <c r="A12637" i="2"/>
  <c r="E12636" i="2"/>
  <c r="D12636" i="2"/>
  <c r="C12636" i="2"/>
  <c r="B12636" i="2"/>
  <c r="A12636" i="2"/>
  <c r="E12635" i="2"/>
  <c r="D12635" i="2"/>
  <c r="C12635" i="2"/>
  <c r="B12635" i="2"/>
  <c r="A12635" i="2"/>
  <c r="E12634" i="2"/>
  <c r="D12634" i="2"/>
  <c r="C12634" i="2"/>
  <c r="B12634" i="2"/>
  <c r="A12634" i="2"/>
  <c r="E12633" i="2"/>
  <c r="D12633" i="2"/>
  <c r="C12633" i="2"/>
  <c r="B12633" i="2"/>
  <c r="A12633" i="2"/>
  <c r="E12632" i="2"/>
  <c r="D12632" i="2"/>
  <c r="C12632" i="2"/>
  <c r="B12632" i="2"/>
  <c r="A12632" i="2"/>
  <c r="E12631" i="2"/>
  <c r="D12631" i="2"/>
  <c r="C12631" i="2"/>
  <c r="B12631" i="2"/>
  <c r="A12631" i="2"/>
  <c r="E12630" i="2"/>
  <c r="D12630" i="2"/>
  <c r="C12630" i="2"/>
  <c r="B12630" i="2"/>
  <c r="A12630" i="2"/>
  <c r="E12629" i="2"/>
  <c r="D12629" i="2"/>
  <c r="C12629" i="2"/>
  <c r="B12629" i="2"/>
  <c r="A12629" i="2"/>
  <c r="E12628" i="2"/>
  <c r="D12628" i="2"/>
  <c r="C12628" i="2"/>
  <c r="B12628" i="2"/>
  <c r="A12628" i="2"/>
  <c r="E12627" i="2"/>
  <c r="D12627" i="2"/>
  <c r="C12627" i="2"/>
  <c r="B12627" i="2"/>
  <c r="A12627" i="2"/>
  <c r="E12626" i="2"/>
  <c r="D12626" i="2"/>
  <c r="C12626" i="2"/>
  <c r="B12626" i="2"/>
  <c r="A12626" i="2"/>
  <c r="E12625" i="2"/>
  <c r="D12625" i="2"/>
  <c r="C12625" i="2"/>
  <c r="B12625" i="2"/>
  <c r="A12625" i="2"/>
  <c r="E12624" i="2"/>
  <c r="D12624" i="2"/>
  <c r="C12624" i="2"/>
  <c r="B12624" i="2"/>
  <c r="A12624" i="2"/>
  <c r="E12623" i="2"/>
  <c r="D12623" i="2"/>
  <c r="C12623" i="2"/>
  <c r="B12623" i="2"/>
  <c r="A12623" i="2"/>
  <c r="E12622" i="2"/>
  <c r="D12622" i="2"/>
  <c r="C12622" i="2"/>
  <c r="B12622" i="2"/>
  <c r="A12622" i="2"/>
  <c r="E12621" i="2"/>
  <c r="D12621" i="2"/>
  <c r="C12621" i="2"/>
  <c r="B12621" i="2"/>
  <c r="A12621" i="2"/>
  <c r="E12620" i="2"/>
  <c r="D12620" i="2"/>
  <c r="C12620" i="2"/>
  <c r="B12620" i="2"/>
  <c r="A12620" i="2"/>
  <c r="E12619" i="2"/>
  <c r="D12619" i="2"/>
  <c r="C12619" i="2"/>
  <c r="B12619" i="2"/>
  <c r="A12619" i="2"/>
  <c r="E12618" i="2"/>
  <c r="D12618" i="2"/>
  <c r="C12618" i="2"/>
  <c r="B12618" i="2"/>
  <c r="A12618" i="2"/>
  <c r="E12617" i="2"/>
  <c r="D12617" i="2"/>
  <c r="C12617" i="2"/>
  <c r="B12617" i="2"/>
  <c r="A12617" i="2"/>
  <c r="E12616" i="2"/>
  <c r="D12616" i="2"/>
  <c r="C12616" i="2"/>
  <c r="B12616" i="2"/>
  <c r="A12616" i="2"/>
  <c r="E12615" i="2"/>
  <c r="D12615" i="2"/>
  <c r="C12615" i="2"/>
  <c r="B12615" i="2"/>
  <c r="A12615" i="2"/>
  <c r="E12614" i="2"/>
  <c r="D12614" i="2"/>
  <c r="C12614" i="2"/>
  <c r="B12614" i="2"/>
  <c r="A12614" i="2"/>
  <c r="E12613" i="2"/>
  <c r="D12613" i="2"/>
  <c r="C12613" i="2"/>
  <c r="B12613" i="2"/>
  <c r="A12613" i="2"/>
  <c r="E12612" i="2"/>
  <c r="D12612" i="2"/>
  <c r="C12612" i="2"/>
  <c r="B12612" i="2"/>
  <c r="A12612" i="2"/>
  <c r="E12611" i="2"/>
  <c r="D12611" i="2"/>
  <c r="C12611" i="2"/>
  <c r="B12611" i="2"/>
  <c r="A12611" i="2"/>
  <c r="E12610" i="2"/>
  <c r="D12610" i="2"/>
  <c r="C12610" i="2"/>
  <c r="B12610" i="2"/>
  <c r="A12610" i="2"/>
  <c r="E12609" i="2"/>
  <c r="D12609" i="2"/>
  <c r="C12609" i="2"/>
  <c r="B12609" i="2"/>
  <c r="A12609" i="2"/>
  <c r="E12608" i="2"/>
  <c r="D12608" i="2"/>
  <c r="C12608" i="2"/>
  <c r="B12608" i="2"/>
  <c r="A12608" i="2"/>
  <c r="E12607" i="2"/>
  <c r="D12607" i="2"/>
  <c r="C12607" i="2"/>
  <c r="B12607" i="2"/>
  <c r="A12607" i="2"/>
  <c r="E12606" i="2"/>
  <c r="D12606" i="2"/>
  <c r="C12606" i="2"/>
  <c r="B12606" i="2"/>
  <c r="A12606" i="2"/>
  <c r="E12605" i="2"/>
  <c r="D12605" i="2"/>
  <c r="C12605" i="2"/>
  <c r="B12605" i="2"/>
  <c r="A12605" i="2"/>
  <c r="E12604" i="2"/>
  <c r="D12604" i="2"/>
  <c r="C12604" i="2"/>
  <c r="B12604" i="2"/>
  <c r="A12604" i="2"/>
  <c r="E12603" i="2"/>
  <c r="D12603" i="2"/>
  <c r="C12603" i="2"/>
  <c r="B12603" i="2"/>
  <c r="A12603" i="2"/>
  <c r="E12602" i="2"/>
  <c r="D12602" i="2"/>
  <c r="C12602" i="2"/>
  <c r="B12602" i="2"/>
  <c r="A12602" i="2"/>
  <c r="E12601" i="2"/>
  <c r="D12601" i="2"/>
  <c r="C12601" i="2"/>
  <c r="B12601" i="2"/>
  <c r="A12601" i="2"/>
  <c r="E12600" i="2"/>
  <c r="D12600" i="2"/>
  <c r="C12600" i="2"/>
  <c r="B12600" i="2"/>
  <c r="A12600" i="2"/>
  <c r="E12599" i="2"/>
  <c r="D12599" i="2"/>
  <c r="C12599" i="2"/>
  <c r="B12599" i="2"/>
  <c r="A12599" i="2"/>
  <c r="E12598" i="2"/>
  <c r="D12598" i="2"/>
  <c r="C12598" i="2"/>
  <c r="B12598" i="2"/>
  <c r="A12598" i="2"/>
  <c r="E12597" i="2"/>
  <c r="D12597" i="2"/>
  <c r="C12597" i="2"/>
  <c r="B12597" i="2"/>
  <c r="A12597" i="2"/>
  <c r="E12596" i="2"/>
  <c r="D12596" i="2"/>
  <c r="C12596" i="2"/>
  <c r="B12596" i="2"/>
  <c r="A12596" i="2"/>
  <c r="E12595" i="2"/>
  <c r="D12595" i="2"/>
  <c r="C12595" i="2"/>
  <c r="B12595" i="2"/>
  <c r="A12595" i="2"/>
  <c r="E12594" i="2"/>
  <c r="D12594" i="2"/>
  <c r="C12594" i="2"/>
  <c r="B12594" i="2"/>
  <c r="A12594" i="2"/>
  <c r="E12593" i="2"/>
  <c r="D12593" i="2"/>
  <c r="C12593" i="2"/>
  <c r="B12593" i="2"/>
  <c r="A12593" i="2"/>
  <c r="E12592" i="2"/>
  <c r="D12592" i="2"/>
  <c r="C12592" i="2"/>
  <c r="B12592" i="2"/>
  <c r="A12592" i="2"/>
  <c r="E12591" i="2"/>
  <c r="D12591" i="2"/>
  <c r="C12591" i="2"/>
  <c r="B12591" i="2"/>
  <c r="A12591" i="2"/>
  <c r="E12590" i="2"/>
  <c r="D12590" i="2"/>
  <c r="C12590" i="2"/>
  <c r="B12590" i="2"/>
  <c r="A12590" i="2"/>
  <c r="E12589" i="2"/>
  <c r="D12589" i="2"/>
  <c r="C12589" i="2"/>
  <c r="B12589" i="2"/>
  <c r="A12589" i="2"/>
  <c r="E12588" i="2"/>
  <c r="D12588" i="2"/>
  <c r="C12588" i="2"/>
  <c r="B12588" i="2"/>
  <c r="A12588" i="2"/>
  <c r="E12587" i="2"/>
  <c r="D12587" i="2"/>
  <c r="C12587" i="2"/>
  <c r="B12587" i="2"/>
  <c r="A12587" i="2"/>
  <c r="E12586" i="2"/>
  <c r="D12586" i="2"/>
  <c r="C12586" i="2"/>
  <c r="B12586" i="2"/>
  <c r="A12586" i="2"/>
  <c r="E12585" i="2"/>
  <c r="D12585" i="2"/>
  <c r="C12585" i="2"/>
  <c r="B12585" i="2"/>
  <c r="A12585" i="2"/>
  <c r="E12584" i="2"/>
  <c r="D12584" i="2"/>
  <c r="C12584" i="2"/>
  <c r="B12584" i="2"/>
  <c r="A12584" i="2"/>
  <c r="E12583" i="2"/>
  <c r="D12583" i="2"/>
  <c r="C12583" i="2"/>
  <c r="B12583" i="2"/>
  <c r="A12583" i="2"/>
  <c r="E12582" i="2"/>
  <c r="D12582" i="2"/>
  <c r="C12582" i="2"/>
  <c r="B12582" i="2"/>
  <c r="A12582" i="2"/>
  <c r="E12581" i="2"/>
  <c r="D12581" i="2"/>
  <c r="C12581" i="2"/>
  <c r="B12581" i="2"/>
  <c r="A12581" i="2"/>
  <c r="E12580" i="2"/>
  <c r="D12580" i="2"/>
  <c r="C12580" i="2"/>
  <c r="B12580" i="2"/>
  <c r="A12580" i="2"/>
  <c r="E12579" i="2"/>
  <c r="D12579" i="2"/>
  <c r="C12579" i="2"/>
  <c r="B12579" i="2"/>
  <c r="A12579" i="2"/>
  <c r="E12578" i="2"/>
  <c r="D12578" i="2"/>
  <c r="C12578" i="2"/>
  <c r="B12578" i="2"/>
  <c r="A12578" i="2"/>
  <c r="E12577" i="2"/>
  <c r="D12577" i="2"/>
  <c r="C12577" i="2"/>
  <c r="B12577" i="2"/>
  <c r="A12577" i="2"/>
  <c r="E12576" i="2"/>
  <c r="D12576" i="2"/>
  <c r="C12576" i="2"/>
  <c r="B12576" i="2"/>
  <c r="A12576" i="2"/>
  <c r="E12575" i="2"/>
  <c r="D12575" i="2"/>
  <c r="C12575" i="2"/>
  <c r="B12575" i="2"/>
  <c r="A12575" i="2"/>
  <c r="E12574" i="2"/>
  <c r="D12574" i="2"/>
  <c r="C12574" i="2"/>
  <c r="B12574" i="2"/>
  <c r="A12574" i="2"/>
  <c r="E12573" i="2"/>
  <c r="D12573" i="2"/>
  <c r="C12573" i="2"/>
  <c r="B12573" i="2"/>
  <c r="A12573" i="2"/>
  <c r="E12572" i="2"/>
  <c r="D12572" i="2"/>
  <c r="C12572" i="2"/>
  <c r="B12572" i="2"/>
  <c r="A12572" i="2"/>
  <c r="E12571" i="2"/>
  <c r="D12571" i="2"/>
  <c r="C12571" i="2"/>
  <c r="B12571" i="2"/>
  <c r="A12571" i="2"/>
  <c r="E12570" i="2"/>
  <c r="D12570" i="2"/>
  <c r="C12570" i="2"/>
  <c r="B12570" i="2"/>
  <c r="A12570" i="2"/>
  <c r="E12569" i="2"/>
  <c r="D12569" i="2"/>
  <c r="C12569" i="2"/>
  <c r="B12569" i="2"/>
  <c r="A12569" i="2"/>
  <c r="E12568" i="2"/>
  <c r="D12568" i="2"/>
  <c r="C12568" i="2"/>
  <c r="B12568" i="2"/>
  <c r="A12568" i="2"/>
  <c r="E12567" i="2"/>
  <c r="D12567" i="2"/>
  <c r="C12567" i="2"/>
  <c r="B12567" i="2"/>
  <c r="A12567" i="2"/>
  <c r="E12566" i="2"/>
  <c r="D12566" i="2"/>
  <c r="C12566" i="2"/>
  <c r="B12566" i="2"/>
  <c r="A12566" i="2"/>
  <c r="E12565" i="2"/>
  <c r="D12565" i="2"/>
  <c r="C12565" i="2"/>
  <c r="B12565" i="2"/>
  <c r="A12565" i="2"/>
  <c r="E12564" i="2"/>
  <c r="D12564" i="2"/>
  <c r="C12564" i="2"/>
  <c r="B12564" i="2"/>
  <c r="A12564" i="2"/>
  <c r="E12563" i="2"/>
  <c r="D12563" i="2"/>
  <c r="C12563" i="2"/>
  <c r="B12563" i="2"/>
  <c r="A12563" i="2"/>
  <c r="E12562" i="2"/>
  <c r="D12562" i="2"/>
  <c r="C12562" i="2"/>
  <c r="B12562" i="2"/>
  <c r="A12562" i="2"/>
  <c r="E12561" i="2"/>
  <c r="D12561" i="2"/>
  <c r="C12561" i="2"/>
  <c r="B12561" i="2"/>
  <c r="A12561" i="2"/>
  <c r="E12560" i="2"/>
  <c r="D12560" i="2"/>
  <c r="C12560" i="2"/>
  <c r="B12560" i="2"/>
  <c r="A12560" i="2"/>
  <c r="E12559" i="2"/>
  <c r="D12559" i="2"/>
  <c r="C12559" i="2"/>
  <c r="B12559" i="2"/>
  <c r="A12559" i="2"/>
  <c r="E12558" i="2"/>
  <c r="D12558" i="2"/>
  <c r="C12558" i="2"/>
  <c r="B12558" i="2"/>
  <c r="A12558" i="2"/>
  <c r="E12557" i="2"/>
  <c r="D12557" i="2"/>
  <c r="C12557" i="2"/>
  <c r="B12557" i="2"/>
  <c r="A12557" i="2"/>
  <c r="E12556" i="2"/>
  <c r="D12556" i="2"/>
  <c r="C12556" i="2"/>
  <c r="B12556" i="2"/>
  <c r="A12556" i="2"/>
  <c r="E12555" i="2"/>
  <c r="D12555" i="2"/>
  <c r="C12555" i="2"/>
  <c r="B12555" i="2"/>
  <c r="A12555" i="2"/>
  <c r="E12554" i="2"/>
  <c r="D12554" i="2"/>
  <c r="C12554" i="2"/>
  <c r="B12554" i="2"/>
  <c r="A12554" i="2"/>
  <c r="E12553" i="2"/>
  <c r="D12553" i="2"/>
  <c r="C12553" i="2"/>
  <c r="B12553" i="2"/>
  <c r="A12553" i="2"/>
  <c r="E12552" i="2"/>
  <c r="D12552" i="2"/>
  <c r="C12552" i="2"/>
  <c r="B12552" i="2"/>
  <c r="A12552" i="2"/>
  <c r="E12551" i="2"/>
  <c r="D12551" i="2"/>
  <c r="C12551" i="2"/>
  <c r="B12551" i="2"/>
  <c r="A12551" i="2"/>
  <c r="E12550" i="2"/>
  <c r="D12550" i="2"/>
  <c r="C12550" i="2"/>
  <c r="B12550" i="2"/>
  <c r="A12550" i="2"/>
  <c r="E12549" i="2"/>
  <c r="D12549" i="2"/>
  <c r="C12549" i="2"/>
  <c r="B12549" i="2"/>
  <c r="A12549" i="2"/>
  <c r="E12548" i="2"/>
  <c r="D12548" i="2"/>
  <c r="C12548" i="2"/>
  <c r="B12548" i="2"/>
  <c r="A12548" i="2"/>
  <c r="E12547" i="2"/>
  <c r="D12547" i="2"/>
  <c r="C12547" i="2"/>
  <c r="B12547" i="2"/>
  <c r="A12547" i="2"/>
  <c r="E12546" i="2"/>
  <c r="D12546" i="2"/>
  <c r="C12546" i="2"/>
  <c r="B12546" i="2"/>
  <c r="A12546" i="2"/>
  <c r="E12545" i="2"/>
  <c r="D12545" i="2"/>
  <c r="C12545" i="2"/>
  <c r="B12545" i="2"/>
  <c r="A12545" i="2"/>
  <c r="E12544" i="2"/>
  <c r="D12544" i="2"/>
  <c r="C12544" i="2"/>
  <c r="B12544" i="2"/>
  <c r="A12544" i="2"/>
  <c r="E12543" i="2"/>
  <c r="D12543" i="2"/>
  <c r="C12543" i="2"/>
  <c r="B12543" i="2"/>
  <c r="A12543" i="2"/>
  <c r="E12542" i="2"/>
  <c r="D12542" i="2"/>
  <c r="C12542" i="2"/>
  <c r="B12542" i="2"/>
  <c r="A12542" i="2"/>
  <c r="E12541" i="2"/>
  <c r="D12541" i="2"/>
  <c r="C12541" i="2"/>
  <c r="B12541" i="2"/>
  <c r="A12541" i="2"/>
  <c r="E12540" i="2"/>
  <c r="D12540" i="2"/>
  <c r="C12540" i="2"/>
  <c r="B12540" i="2"/>
  <c r="A12540" i="2"/>
  <c r="E12539" i="2"/>
  <c r="D12539" i="2"/>
  <c r="C12539" i="2"/>
  <c r="B12539" i="2"/>
  <c r="A12539" i="2"/>
  <c r="E12538" i="2"/>
  <c r="D12538" i="2"/>
  <c r="C12538" i="2"/>
  <c r="B12538" i="2"/>
  <c r="A12538" i="2"/>
  <c r="E12537" i="2"/>
  <c r="D12537" i="2"/>
  <c r="C12537" i="2"/>
  <c r="B12537" i="2"/>
  <c r="A12537" i="2"/>
  <c r="E12536" i="2"/>
  <c r="D12536" i="2"/>
  <c r="C12536" i="2"/>
  <c r="B12536" i="2"/>
  <c r="A12536" i="2"/>
  <c r="E12535" i="2"/>
  <c r="D12535" i="2"/>
  <c r="C12535" i="2"/>
  <c r="B12535" i="2"/>
  <c r="A12535" i="2"/>
  <c r="E12534" i="2"/>
  <c r="D12534" i="2"/>
  <c r="C12534" i="2"/>
  <c r="B12534" i="2"/>
  <c r="A12534" i="2"/>
  <c r="E12533" i="2"/>
  <c r="D12533" i="2"/>
  <c r="C12533" i="2"/>
  <c r="B12533" i="2"/>
  <c r="A12533" i="2"/>
  <c r="E12532" i="2"/>
  <c r="D12532" i="2"/>
  <c r="C12532" i="2"/>
  <c r="B12532" i="2"/>
  <c r="A12532" i="2"/>
  <c r="E12531" i="2"/>
  <c r="D12531" i="2"/>
  <c r="C12531" i="2"/>
  <c r="B12531" i="2"/>
  <c r="A12531" i="2"/>
  <c r="E12530" i="2"/>
  <c r="D12530" i="2"/>
  <c r="C12530" i="2"/>
  <c r="B12530" i="2"/>
  <c r="A12530" i="2"/>
  <c r="E12529" i="2"/>
  <c r="D12529" i="2"/>
  <c r="C12529" i="2"/>
  <c r="B12529" i="2"/>
  <c r="A12529" i="2"/>
  <c r="E12528" i="2"/>
  <c r="D12528" i="2"/>
  <c r="C12528" i="2"/>
  <c r="B12528" i="2"/>
  <c r="A12528" i="2"/>
  <c r="E12527" i="2"/>
  <c r="D12527" i="2"/>
  <c r="C12527" i="2"/>
  <c r="B12527" i="2"/>
  <c r="A12527" i="2"/>
  <c r="E12526" i="2"/>
  <c r="D12526" i="2"/>
  <c r="C12526" i="2"/>
  <c r="B12526" i="2"/>
  <c r="A12526" i="2"/>
  <c r="E12525" i="2"/>
  <c r="D12525" i="2"/>
  <c r="C12525" i="2"/>
  <c r="B12525" i="2"/>
  <c r="A12525" i="2"/>
  <c r="E12524" i="2"/>
  <c r="D12524" i="2"/>
  <c r="C12524" i="2"/>
  <c r="B12524" i="2"/>
  <c r="A12524" i="2"/>
  <c r="E12523" i="2"/>
  <c r="D12523" i="2"/>
  <c r="C12523" i="2"/>
  <c r="B12523" i="2"/>
  <c r="A12523" i="2"/>
  <c r="E12522" i="2"/>
  <c r="D12522" i="2"/>
  <c r="C12522" i="2"/>
  <c r="B12522" i="2"/>
  <c r="A12522" i="2"/>
  <c r="E12521" i="2"/>
  <c r="D12521" i="2"/>
  <c r="C12521" i="2"/>
  <c r="B12521" i="2"/>
  <c r="A12521" i="2"/>
  <c r="E12520" i="2"/>
  <c r="D12520" i="2"/>
  <c r="C12520" i="2"/>
  <c r="B12520" i="2"/>
  <c r="A12520" i="2"/>
  <c r="E12519" i="2"/>
  <c r="D12519" i="2"/>
  <c r="C12519" i="2"/>
  <c r="B12519" i="2"/>
  <c r="A12519" i="2"/>
  <c r="E12518" i="2"/>
  <c r="D12518" i="2"/>
  <c r="C12518" i="2"/>
  <c r="B12518" i="2"/>
  <c r="A12518" i="2"/>
  <c r="E12517" i="2"/>
  <c r="D12517" i="2"/>
  <c r="C12517" i="2"/>
  <c r="B12517" i="2"/>
  <c r="A12517" i="2"/>
  <c r="E12516" i="2"/>
  <c r="D12516" i="2"/>
  <c r="C12516" i="2"/>
  <c r="B12516" i="2"/>
  <c r="A12516" i="2"/>
  <c r="E12515" i="2"/>
  <c r="D12515" i="2"/>
  <c r="C12515" i="2"/>
  <c r="B12515" i="2"/>
  <c r="A12515" i="2"/>
  <c r="E12514" i="2"/>
  <c r="D12514" i="2"/>
  <c r="C12514" i="2"/>
  <c r="B12514" i="2"/>
  <c r="A12514" i="2"/>
  <c r="E12513" i="2"/>
  <c r="D12513" i="2"/>
  <c r="C12513" i="2"/>
  <c r="B12513" i="2"/>
  <c r="A12513" i="2"/>
  <c r="E12512" i="2"/>
  <c r="D12512" i="2"/>
  <c r="C12512" i="2"/>
  <c r="B12512" i="2"/>
  <c r="A12512" i="2"/>
  <c r="E12511" i="2"/>
  <c r="D12511" i="2"/>
  <c r="C12511" i="2"/>
  <c r="B12511" i="2"/>
  <c r="A12511" i="2"/>
  <c r="E12510" i="2"/>
  <c r="D12510" i="2"/>
  <c r="C12510" i="2"/>
  <c r="B12510" i="2"/>
  <c r="A12510" i="2"/>
  <c r="E12509" i="2"/>
  <c r="D12509" i="2"/>
  <c r="C12509" i="2"/>
  <c r="B12509" i="2"/>
  <c r="A12509" i="2"/>
  <c r="E12508" i="2"/>
  <c r="D12508" i="2"/>
  <c r="C12508" i="2"/>
  <c r="B12508" i="2"/>
  <c r="A12508" i="2"/>
  <c r="E12507" i="2"/>
  <c r="D12507" i="2"/>
  <c r="C12507" i="2"/>
  <c r="B12507" i="2"/>
  <c r="A12507" i="2"/>
  <c r="E12506" i="2"/>
  <c r="D12506" i="2"/>
  <c r="C12506" i="2"/>
  <c r="B12506" i="2"/>
  <c r="A12506" i="2"/>
  <c r="E12505" i="2"/>
  <c r="D12505" i="2"/>
  <c r="C12505" i="2"/>
  <c r="B12505" i="2"/>
  <c r="A12505" i="2"/>
  <c r="E12504" i="2"/>
  <c r="D12504" i="2"/>
  <c r="C12504" i="2"/>
  <c r="B12504" i="2"/>
  <c r="A12504" i="2"/>
  <c r="E12503" i="2"/>
  <c r="D12503" i="2"/>
  <c r="C12503" i="2"/>
  <c r="B12503" i="2"/>
  <c r="A12503" i="2"/>
  <c r="E12502" i="2"/>
  <c r="D12502" i="2"/>
  <c r="C12502" i="2"/>
  <c r="B12502" i="2"/>
  <c r="A12502" i="2"/>
  <c r="E12501" i="2"/>
  <c r="D12501" i="2"/>
  <c r="C12501" i="2"/>
  <c r="B12501" i="2"/>
  <c r="A12501" i="2"/>
  <c r="E12500" i="2"/>
  <c r="D12500" i="2"/>
  <c r="C12500" i="2"/>
  <c r="B12500" i="2"/>
  <c r="A12500" i="2"/>
  <c r="E12499" i="2"/>
  <c r="D12499" i="2"/>
  <c r="C12499" i="2"/>
  <c r="B12499" i="2"/>
  <c r="A12499" i="2"/>
  <c r="E12498" i="2"/>
  <c r="D12498" i="2"/>
  <c r="C12498" i="2"/>
  <c r="B12498" i="2"/>
  <c r="A12498" i="2"/>
  <c r="E12497" i="2"/>
  <c r="D12497" i="2"/>
  <c r="C12497" i="2"/>
  <c r="B12497" i="2"/>
  <c r="A12497" i="2"/>
  <c r="E12496" i="2"/>
  <c r="D12496" i="2"/>
  <c r="C12496" i="2"/>
  <c r="B12496" i="2"/>
  <c r="A12496" i="2"/>
  <c r="E12495" i="2"/>
  <c r="D12495" i="2"/>
  <c r="C12495" i="2"/>
  <c r="B12495" i="2"/>
  <c r="A12495" i="2"/>
  <c r="E12494" i="2"/>
  <c r="D12494" i="2"/>
  <c r="C12494" i="2"/>
  <c r="B12494" i="2"/>
  <c r="A12494" i="2"/>
  <c r="E12493" i="2"/>
  <c r="D12493" i="2"/>
  <c r="C12493" i="2"/>
  <c r="B12493" i="2"/>
  <c r="A12493" i="2"/>
  <c r="E12492" i="2"/>
  <c r="D12492" i="2"/>
  <c r="C12492" i="2"/>
  <c r="B12492" i="2"/>
  <c r="A12492" i="2"/>
  <c r="E12491" i="2"/>
  <c r="D12491" i="2"/>
  <c r="C12491" i="2"/>
  <c r="B12491" i="2"/>
  <c r="A12491" i="2"/>
  <c r="E12490" i="2"/>
  <c r="D12490" i="2"/>
  <c r="C12490" i="2"/>
  <c r="B12490" i="2"/>
  <c r="A12490" i="2"/>
  <c r="E12489" i="2"/>
  <c r="D12489" i="2"/>
  <c r="C12489" i="2"/>
  <c r="B12489" i="2"/>
  <c r="A12489" i="2"/>
  <c r="E12488" i="2"/>
  <c r="D12488" i="2"/>
  <c r="C12488" i="2"/>
  <c r="B12488" i="2"/>
  <c r="A12488" i="2"/>
  <c r="E12487" i="2"/>
  <c r="D12487" i="2"/>
  <c r="C12487" i="2"/>
  <c r="B12487" i="2"/>
  <c r="A12487" i="2"/>
  <c r="E12486" i="2"/>
  <c r="D12486" i="2"/>
  <c r="C12486" i="2"/>
  <c r="B12486" i="2"/>
  <c r="A12486" i="2"/>
  <c r="E12485" i="2"/>
  <c r="D12485" i="2"/>
  <c r="C12485" i="2"/>
  <c r="B12485" i="2"/>
  <c r="A12485" i="2"/>
  <c r="E12484" i="2"/>
  <c r="D12484" i="2"/>
  <c r="C12484" i="2"/>
  <c r="B12484" i="2"/>
  <c r="A12484" i="2"/>
  <c r="E12483" i="2"/>
  <c r="D12483" i="2"/>
  <c r="C12483" i="2"/>
  <c r="B12483" i="2"/>
  <c r="A12483" i="2"/>
  <c r="E12482" i="2"/>
  <c r="D12482" i="2"/>
  <c r="C12482" i="2"/>
  <c r="B12482" i="2"/>
  <c r="A12482" i="2"/>
  <c r="E12481" i="2"/>
  <c r="D12481" i="2"/>
  <c r="C12481" i="2"/>
  <c r="B12481" i="2"/>
  <c r="A12481" i="2"/>
  <c r="E12480" i="2"/>
  <c r="D12480" i="2"/>
  <c r="C12480" i="2"/>
  <c r="B12480" i="2"/>
  <c r="A12480" i="2"/>
  <c r="E12479" i="2"/>
  <c r="D12479" i="2"/>
  <c r="C12479" i="2"/>
  <c r="B12479" i="2"/>
  <c r="A12479" i="2"/>
  <c r="E12478" i="2"/>
  <c r="D12478" i="2"/>
  <c r="C12478" i="2"/>
  <c r="B12478" i="2"/>
  <c r="A12478" i="2"/>
  <c r="E12477" i="2"/>
  <c r="D12477" i="2"/>
  <c r="C12477" i="2"/>
  <c r="B12477" i="2"/>
  <c r="A12477" i="2"/>
  <c r="E12476" i="2"/>
  <c r="D12476" i="2"/>
  <c r="C12476" i="2"/>
  <c r="B12476" i="2"/>
  <c r="A12476" i="2"/>
  <c r="E12475" i="2"/>
  <c r="D12475" i="2"/>
  <c r="C12475" i="2"/>
  <c r="B12475" i="2"/>
  <c r="A12475" i="2"/>
  <c r="E12474" i="2"/>
  <c r="D12474" i="2"/>
  <c r="C12474" i="2"/>
  <c r="B12474" i="2"/>
  <c r="A12474" i="2"/>
  <c r="E12473" i="2"/>
  <c r="D12473" i="2"/>
  <c r="C12473" i="2"/>
  <c r="B12473" i="2"/>
  <c r="A12473" i="2"/>
  <c r="E12472" i="2"/>
  <c r="D12472" i="2"/>
  <c r="C12472" i="2"/>
  <c r="B12472" i="2"/>
  <c r="A12472" i="2"/>
  <c r="E12471" i="2"/>
  <c r="D12471" i="2"/>
  <c r="C12471" i="2"/>
  <c r="B12471" i="2"/>
  <c r="A12471" i="2"/>
  <c r="E12470" i="2"/>
  <c r="D12470" i="2"/>
  <c r="C12470" i="2"/>
  <c r="B12470" i="2"/>
  <c r="A12470" i="2"/>
  <c r="E12469" i="2"/>
  <c r="D12469" i="2"/>
  <c r="C12469" i="2"/>
  <c r="B12469" i="2"/>
  <c r="A12469" i="2"/>
  <c r="E12468" i="2"/>
  <c r="D12468" i="2"/>
  <c r="C12468" i="2"/>
  <c r="B12468" i="2"/>
  <c r="A12468" i="2"/>
  <c r="E12467" i="2"/>
  <c r="D12467" i="2"/>
  <c r="C12467" i="2"/>
  <c r="B12467" i="2"/>
  <c r="A12467" i="2"/>
  <c r="E12466" i="2"/>
  <c r="D12466" i="2"/>
  <c r="C12466" i="2"/>
  <c r="B12466" i="2"/>
  <c r="A12466" i="2"/>
  <c r="E12465" i="2"/>
  <c r="D12465" i="2"/>
  <c r="C12465" i="2"/>
  <c r="B12465" i="2"/>
  <c r="A12465" i="2"/>
  <c r="E12464" i="2"/>
  <c r="D12464" i="2"/>
  <c r="C12464" i="2"/>
  <c r="B12464" i="2"/>
  <c r="A12464" i="2"/>
  <c r="E12463" i="2"/>
  <c r="D12463" i="2"/>
  <c r="C12463" i="2"/>
  <c r="B12463" i="2"/>
  <c r="A12463" i="2"/>
  <c r="E12462" i="2"/>
  <c r="D12462" i="2"/>
  <c r="C12462" i="2"/>
  <c r="B12462" i="2"/>
  <c r="A12462" i="2"/>
  <c r="E12461" i="2"/>
  <c r="D12461" i="2"/>
  <c r="C12461" i="2"/>
  <c r="B12461" i="2"/>
  <c r="A12461" i="2"/>
  <c r="E12460" i="2"/>
  <c r="D12460" i="2"/>
  <c r="C12460" i="2"/>
  <c r="B12460" i="2"/>
  <c r="A12460" i="2"/>
  <c r="E12459" i="2"/>
  <c r="D12459" i="2"/>
  <c r="C12459" i="2"/>
  <c r="B12459" i="2"/>
  <c r="A12459" i="2"/>
  <c r="E12458" i="2"/>
  <c r="D12458" i="2"/>
  <c r="C12458" i="2"/>
  <c r="B12458" i="2"/>
  <c r="A12458" i="2"/>
  <c r="E12457" i="2"/>
  <c r="D12457" i="2"/>
  <c r="C12457" i="2"/>
  <c r="B12457" i="2"/>
  <c r="A12457" i="2"/>
  <c r="E12456" i="2"/>
  <c r="D12456" i="2"/>
  <c r="C12456" i="2"/>
  <c r="B12456" i="2"/>
  <c r="A12456" i="2"/>
  <c r="E12455" i="2"/>
  <c r="D12455" i="2"/>
  <c r="C12455" i="2"/>
  <c r="B12455" i="2"/>
  <c r="A12455" i="2"/>
  <c r="E12454" i="2"/>
  <c r="D12454" i="2"/>
  <c r="C12454" i="2"/>
  <c r="B12454" i="2"/>
  <c r="A12454" i="2"/>
  <c r="E12453" i="2"/>
  <c r="D12453" i="2"/>
  <c r="C12453" i="2"/>
  <c r="B12453" i="2"/>
  <c r="A12453" i="2"/>
  <c r="E12452" i="2"/>
  <c r="D12452" i="2"/>
  <c r="C12452" i="2"/>
  <c r="B12452" i="2"/>
  <c r="A12452" i="2"/>
  <c r="E12451" i="2"/>
  <c r="D12451" i="2"/>
  <c r="C12451" i="2"/>
  <c r="B12451" i="2"/>
  <c r="A12451" i="2"/>
  <c r="E12450" i="2"/>
  <c r="D12450" i="2"/>
  <c r="C12450" i="2"/>
  <c r="B12450" i="2"/>
  <c r="A12450" i="2"/>
  <c r="E12449" i="2"/>
  <c r="D12449" i="2"/>
  <c r="C12449" i="2"/>
  <c r="B12449" i="2"/>
  <c r="A12449" i="2"/>
  <c r="E12448" i="2"/>
  <c r="D12448" i="2"/>
  <c r="C12448" i="2"/>
  <c r="B12448" i="2"/>
  <c r="A12448" i="2"/>
  <c r="E12447" i="2"/>
  <c r="D12447" i="2"/>
  <c r="C12447" i="2"/>
  <c r="B12447" i="2"/>
  <c r="A12447" i="2"/>
  <c r="E12446" i="2"/>
  <c r="D12446" i="2"/>
  <c r="C12446" i="2"/>
  <c r="B12446" i="2"/>
  <c r="A12446" i="2"/>
  <c r="E12445" i="2"/>
  <c r="D12445" i="2"/>
  <c r="C12445" i="2"/>
  <c r="B12445" i="2"/>
  <c r="A12445" i="2"/>
  <c r="E12444" i="2"/>
  <c r="D12444" i="2"/>
  <c r="C12444" i="2"/>
  <c r="B12444" i="2"/>
  <c r="A12444" i="2"/>
  <c r="E12443" i="2"/>
  <c r="D12443" i="2"/>
  <c r="C12443" i="2"/>
  <c r="B12443" i="2"/>
  <c r="A12443" i="2"/>
  <c r="E12442" i="2"/>
  <c r="D12442" i="2"/>
  <c r="C12442" i="2"/>
  <c r="B12442" i="2"/>
  <c r="A12442" i="2"/>
  <c r="E12441" i="2"/>
  <c r="D12441" i="2"/>
  <c r="C12441" i="2"/>
  <c r="B12441" i="2"/>
  <c r="A12441" i="2"/>
  <c r="E12440" i="2"/>
  <c r="D12440" i="2"/>
  <c r="C12440" i="2"/>
  <c r="B12440" i="2"/>
  <c r="A12440" i="2"/>
  <c r="E12439" i="2"/>
  <c r="D12439" i="2"/>
  <c r="C12439" i="2"/>
  <c r="B12439" i="2"/>
  <c r="A12439" i="2"/>
  <c r="E12438" i="2"/>
  <c r="D12438" i="2"/>
  <c r="C12438" i="2"/>
  <c r="B12438" i="2"/>
  <c r="A12438" i="2"/>
  <c r="E12437" i="2"/>
  <c r="D12437" i="2"/>
  <c r="C12437" i="2"/>
  <c r="B12437" i="2"/>
  <c r="A12437" i="2"/>
  <c r="E12436" i="2"/>
  <c r="D12436" i="2"/>
  <c r="C12436" i="2"/>
  <c r="B12436" i="2"/>
  <c r="A12436" i="2"/>
  <c r="E12435" i="2"/>
  <c r="D12435" i="2"/>
  <c r="C12435" i="2"/>
  <c r="B12435" i="2"/>
  <c r="A12435" i="2"/>
  <c r="E12434" i="2"/>
  <c r="D12434" i="2"/>
  <c r="C12434" i="2"/>
  <c r="B12434" i="2"/>
  <c r="A12434" i="2"/>
  <c r="E12433" i="2"/>
  <c r="D12433" i="2"/>
  <c r="C12433" i="2"/>
  <c r="B12433" i="2"/>
  <c r="A12433" i="2"/>
  <c r="E12432" i="2"/>
  <c r="D12432" i="2"/>
  <c r="C12432" i="2"/>
  <c r="B12432" i="2"/>
  <c r="A12432" i="2"/>
  <c r="E12431" i="2"/>
  <c r="D12431" i="2"/>
  <c r="C12431" i="2"/>
  <c r="B12431" i="2"/>
  <c r="A12431" i="2"/>
  <c r="E12430" i="2"/>
  <c r="D12430" i="2"/>
  <c r="C12430" i="2"/>
  <c r="B12430" i="2"/>
  <c r="A12430" i="2"/>
  <c r="E12429" i="2"/>
  <c r="D12429" i="2"/>
  <c r="C12429" i="2"/>
  <c r="B12429" i="2"/>
  <c r="A12429" i="2"/>
  <c r="E12428" i="2"/>
  <c r="D12428" i="2"/>
  <c r="C12428" i="2"/>
  <c r="B12428" i="2"/>
  <c r="A12428" i="2"/>
  <c r="E12427" i="2"/>
  <c r="D12427" i="2"/>
  <c r="C12427" i="2"/>
  <c r="B12427" i="2"/>
  <c r="A12427" i="2"/>
  <c r="E12426" i="2"/>
  <c r="D12426" i="2"/>
  <c r="C12426" i="2"/>
  <c r="B12426" i="2"/>
  <c r="A12426" i="2"/>
  <c r="E12425" i="2"/>
  <c r="D12425" i="2"/>
  <c r="C12425" i="2"/>
  <c r="B12425" i="2"/>
  <c r="A12425" i="2"/>
  <c r="E12424" i="2"/>
  <c r="D12424" i="2"/>
  <c r="C12424" i="2"/>
  <c r="B12424" i="2"/>
  <c r="A12424" i="2"/>
  <c r="E12423" i="2"/>
  <c r="D12423" i="2"/>
  <c r="C12423" i="2"/>
  <c r="B12423" i="2"/>
  <c r="A12423" i="2"/>
  <c r="E12422" i="2"/>
  <c r="D12422" i="2"/>
  <c r="C12422" i="2"/>
  <c r="B12422" i="2"/>
  <c r="A12422" i="2"/>
  <c r="E12421" i="2"/>
  <c r="D12421" i="2"/>
  <c r="C12421" i="2"/>
  <c r="B12421" i="2"/>
  <c r="A12421" i="2"/>
  <c r="E12420" i="2"/>
  <c r="D12420" i="2"/>
  <c r="C12420" i="2"/>
  <c r="B12420" i="2"/>
  <c r="A12420" i="2"/>
  <c r="E12419" i="2"/>
  <c r="D12419" i="2"/>
  <c r="C12419" i="2"/>
  <c r="B12419" i="2"/>
  <c r="A12419" i="2"/>
  <c r="E12418" i="2"/>
  <c r="D12418" i="2"/>
  <c r="C12418" i="2"/>
  <c r="B12418" i="2"/>
  <c r="A12418" i="2"/>
  <c r="E12417" i="2"/>
  <c r="D12417" i="2"/>
  <c r="C12417" i="2"/>
  <c r="B12417" i="2"/>
  <c r="A12417" i="2"/>
  <c r="E12416" i="2"/>
  <c r="D12416" i="2"/>
  <c r="C12416" i="2"/>
  <c r="B12416" i="2"/>
  <c r="A12416" i="2"/>
  <c r="E12415" i="2"/>
  <c r="D12415" i="2"/>
  <c r="C12415" i="2"/>
  <c r="B12415" i="2"/>
  <c r="A12415" i="2"/>
  <c r="E12414" i="2"/>
  <c r="D12414" i="2"/>
  <c r="C12414" i="2"/>
  <c r="B12414" i="2"/>
  <c r="A12414" i="2"/>
  <c r="E12413" i="2"/>
  <c r="D12413" i="2"/>
  <c r="C12413" i="2"/>
  <c r="B12413" i="2"/>
  <c r="A12413" i="2"/>
  <c r="E12412" i="2"/>
  <c r="D12412" i="2"/>
  <c r="C12412" i="2"/>
  <c r="B12412" i="2"/>
  <c r="A12412" i="2"/>
  <c r="E12411" i="2"/>
  <c r="D12411" i="2"/>
  <c r="C12411" i="2"/>
  <c r="B12411" i="2"/>
  <c r="A12411" i="2"/>
  <c r="E12410" i="2"/>
  <c r="D12410" i="2"/>
  <c r="C12410" i="2"/>
  <c r="B12410" i="2"/>
  <c r="A12410" i="2"/>
  <c r="E12409" i="2"/>
  <c r="D12409" i="2"/>
  <c r="C12409" i="2"/>
  <c r="B12409" i="2"/>
  <c r="A12409" i="2"/>
  <c r="E12408" i="2"/>
  <c r="D12408" i="2"/>
  <c r="C12408" i="2"/>
  <c r="B12408" i="2"/>
  <c r="A12408" i="2"/>
  <c r="E12407" i="2"/>
  <c r="D12407" i="2"/>
  <c r="C12407" i="2"/>
  <c r="B12407" i="2"/>
  <c r="A12407" i="2"/>
  <c r="E12406" i="2"/>
  <c r="D12406" i="2"/>
  <c r="C12406" i="2"/>
  <c r="B12406" i="2"/>
  <c r="A12406" i="2"/>
  <c r="E12405" i="2"/>
  <c r="D12405" i="2"/>
  <c r="C12405" i="2"/>
  <c r="B12405" i="2"/>
  <c r="A12405" i="2"/>
  <c r="E12404" i="2"/>
  <c r="D12404" i="2"/>
  <c r="C12404" i="2"/>
  <c r="B12404" i="2"/>
  <c r="A12404" i="2"/>
  <c r="E12403" i="2"/>
  <c r="D12403" i="2"/>
  <c r="C12403" i="2"/>
  <c r="B12403" i="2"/>
  <c r="A12403" i="2"/>
  <c r="E12402" i="2"/>
  <c r="D12402" i="2"/>
  <c r="C12402" i="2"/>
  <c r="B12402" i="2"/>
  <c r="A12402" i="2"/>
  <c r="E12401" i="2"/>
  <c r="D12401" i="2"/>
  <c r="C12401" i="2"/>
  <c r="B12401" i="2"/>
  <c r="A12401" i="2"/>
  <c r="E12400" i="2"/>
  <c r="D12400" i="2"/>
  <c r="C12400" i="2"/>
  <c r="B12400" i="2"/>
  <c r="A12400" i="2"/>
  <c r="E12399" i="2"/>
  <c r="D12399" i="2"/>
  <c r="C12399" i="2"/>
  <c r="B12399" i="2"/>
  <c r="A12399" i="2"/>
  <c r="E12398" i="2"/>
  <c r="D12398" i="2"/>
  <c r="C12398" i="2"/>
  <c r="B12398" i="2"/>
  <c r="A12398" i="2"/>
  <c r="E12397" i="2"/>
  <c r="D12397" i="2"/>
  <c r="C12397" i="2"/>
  <c r="B12397" i="2"/>
  <c r="A12397" i="2"/>
  <c r="E12396" i="2"/>
  <c r="D12396" i="2"/>
  <c r="C12396" i="2"/>
  <c r="B12396" i="2"/>
  <c r="A12396" i="2"/>
  <c r="E12395" i="2"/>
  <c r="D12395" i="2"/>
  <c r="C12395" i="2"/>
  <c r="B12395" i="2"/>
  <c r="A12395" i="2"/>
  <c r="E12394" i="2"/>
  <c r="D12394" i="2"/>
  <c r="C12394" i="2"/>
  <c r="B12394" i="2"/>
  <c r="A12394" i="2"/>
  <c r="E12393" i="2"/>
  <c r="D12393" i="2"/>
  <c r="C12393" i="2"/>
  <c r="B12393" i="2"/>
  <c r="A12393" i="2"/>
  <c r="E12392" i="2"/>
  <c r="D12392" i="2"/>
  <c r="C12392" i="2"/>
  <c r="B12392" i="2"/>
  <c r="A12392" i="2"/>
  <c r="E12391" i="2"/>
  <c r="D12391" i="2"/>
  <c r="C12391" i="2"/>
  <c r="B12391" i="2"/>
  <c r="A12391" i="2"/>
  <c r="E12390" i="2"/>
  <c r="D12390" i="2"/>
  <c r="C12390" i="2"/>
  <c r="B12390" i="2"/>
  <c r="A12390" i="2"/>
  <c r="E12389" i="2"/>
  <c r="D12389" i="2"/>
  <c r="C12389" i="2"/>
  <c r="B12389" i="2"/>
  <c r="A12389" i="2"/>
  <c r="E12388" i="2"/>
  <c r="D12388" i="2"/>
  <c r="C12388" i="2"/>
  <c r="B12388" i="2"/>
  <c r="A12388" i="2"/>
  <c r="E12387" i="2"/>
  <c r="D12387" i="2"/>
  <c r="C12387" i="2"/>
  <c r="B12387" i="2"/>
  <c r="A12387" i="2"/>
  <c r="E12386" i="2"/>
  <c r="D12386" i="2"/>
  <c r="C12386" i="2"/>
  <c r="B12386" i="2"/>
  <c r="A12386" i="2"/>
  <c r="E12385" i="2"/>
  <c r="D12385" i="2"/>
  <c r="C12385" i="2"/>
  <c r="B12385" i="2"/>
  <c r="A12385" i="2"/>
  <c r="E12384" i="2"/>
  <c r="D12384" i="2"/>
  <c r="C12384" i="2"/>
  <c r="B12384" i="2"/>
  <c r="A12384" i="2"/>
  <c r="E12383" i="2"/>
  <c r="D12383" i="2"/>
  <c r="C12383" i="2"/>
  <c r="B12383" i="2"/>
  <c r="A12383" i="2"/>
  <c r="E12382" i="2"/>
  <c r="D12382" i="2"/>
  <c r="C12382" i="2"/>
  <c r="B12382" i="2"/>
  <c r="A12382" i="2"/>
  <c r="E12381" i="2"/>
  <c r="D12381" i="2"/>
  <c r="C12381" i="2"/>
  <c r="B12381" i="2"/>
  <c r="A12381" i="2"/>
  <c r="E12380" i="2"/>
  <c r="D12380" i="2"/>
  <c r="C12380" i="2"/>
  <c r="B12380" i="2"/>
  <c r="A12380" i="2"/>
  <c r="E12379" i="2"/>
  <c r="D12379" i="2"/>
  <c r="C12379" i="2"/>
  <c r="B12379" i="2"/>
  <c r="A12379" i="2"/>
  <c r="E12378" i="2"/>
  <c r="D12378" i="2"/>
  <c r="C12378" i="2"/>
  <c r="B12378" i="2"/>
  <c r="A12378" i="2"/>
  <c r="E12377" i="2"/>
  <c r="D12377" i="2"/>
  <c r="C12377" i="2"/>
  <c r="B12377" i="2"/>
  <c r="A12377" i="2"/>
  <c r="E12376" i="2"/>
  <c r="D12376" i="2"/>
  <c r="C12376" i="2"/>
  <c r="B12376" i="2"/>
  <c r="A12376" i="2"/>
  <c r="E12375" i="2"/>
  <c r="D12375" i="2"/>
  <c r="C12375" i="2"/>
  <c r="B12375" i="2"/>
  <c r="A12375" i="2"/>
  <c r="E12374" i="2"/>
  <c r="D12374" i="2"/>
  <c r="C12374" i="2"/>
  <c r="B12374" i="2"/>
  <c r="A12374" i="2"/>
  <c r="E12373" i="2"/>
  <c r="D12373" i="2"/>
  <c r="C12373" i="2"/>
  <c r="B12373" i="2"/>
  <c r="A12373" i="2"/>
  <c r="E12372" i="2"/>
  <c r="D12372" i="2"/>
  <c r="C12372" i="2"/>
  <c r="B12372" i="2"/>
  <c r="A12372" i="2"/>
  <c r="E12371" i="2"/>
  <c r="D12371" i="2"/>
  <c r="C12371" i="2"/>
  <c r="B12371" i="2"/>
  <c r="A12371" i="2"/>
  <c r="E12370" i="2"/>
  <c r="D12370" i="2"/>
  <c r="C12370" i="2"/>
  <c r="B12370" i="2"/>
  <c r="A12370" i="2"/>
  <c r="E12369" i="2"/>
  <c r="D12369" i="2"/>
  <c r="C12369" i="2"/>
  <c r="B12369" i="2"/>
  <c r="A12369" i="2"/>
  <c r="E12368" i="2"/>
  <c r="D12368" i="2"/>
  <c r="C12368" i="2"/>
  <c r="B12368" i="2"/>
  <c r="A12368" i="2"/>
  <c r="E12367" i="2"/>
  <c r="D12367" i="2"/>
  <c r="C12367" i="2"/>
  <c r="B12367" i="2"/>
  <c r="A12367" i="2"/>
  <c r="E12366" i="2"/>
  <c r="D12366" i="2"/>
  <c r="C12366" i="2"/>
  <c r="B12366" i="2"/>
  <c r="A12366" i="2"/>
  <c r="E12365" i="2"/>
  <c r="D12365" i="2"/>
  <c r="C12365" i="2"/>
  <c r="B12365" i="2"/>
  <c r="A12365" i="2"/>
  <c r="E12364" i="2"/>
  <c r="D12364" i="2"/>
  <c r="C12364" i="2"/>
  <c r="B12364" i="2"/>
  <c r="A12364" i="2"/>
  <c r="E12363" i="2"/>
  <c r="D12363" i="2"/>
  <c r="C12363" i="2"/>
  <c r="B12363" i="2"/>
  <c r="A12363" i="2"/>
  <c r="E12362" i="2"/>
  <c r="D12362" i="2"/>
  <c r="C12362" i="2"/>
  <c r="B12362" i="2"/>
  <c r="A12362" i="2"/>
  <c r="E12361" i="2"/>
  <c r="D12361" i="2"/>
  <c r="C12361" i="2"/>
  <c r="B12361" i="2"/>
  <c r="A12361" i="2"/>
  <c r="E12360" i="2"/>
  <c r="D12360" i="2"/>
  <c r="C12360" i="2"/>
  <c r="B12360" i="2"/>
  <c r="A12360" i="2"/>
  <c r="E12359" i="2"/>
  <c r="D12359" i="2"/>
  <c r="C12359" i="2"/>
  <c r="B12359" i="2"/>
  <c r="A12359" i="2"/>
  <c r="E12358" i="2"/>
  <c r="D12358" i="2"/>
  <c r="C12358" i="2"/>
  <c r="B12358" i="2"/>
  <c r="A12358" i="2"/>
  <c r="E12357" i="2"/>
  <c r="D12357" i="2"/>
  <c r="C12357" i="2"/>
  <c r="B12357" i="2"/>
  <c r="A12357" i="2"/>
  <c r="E12356" i="2"/>
  <c r="D12356" i="2"/>
  <c r="C12356" i="2"/>
  <c r="B12356" i="2"/>
  <c r="A12356" i="2"/>
  <c r="E12355" i="2"/>
  <c r="D12355" i="2"/>
  <c r="C12355" i="2"/>
  <c r="B12355" i="2"/>
  <c r="A12355" i="2"/>
  <c r="E12354" i="2"/>
  <c r="D12354" i="2"/>
  <c r="C12354" i="2"/>
  <c r="B12354" i="2"/>
  <c r="A12354" i="2"/>
  <c r="E12353" i="2"/>
  <c r="D12353" i="2"/>
  <c r="C12353" i="2"/>
  <c r="B12353" i="2"/>
  <c r="A12353" i="2"/>
  <c r="E12352" i="2"/>
  <c r="D12352" i="2"/>
  <c r="C12352" i="2"/>
  <c r="B12352" i="2"/>
  <c r="A12352" i="2"/>
  <c r="E12351" i="2"/>
  <c r="D12351" i="2"/>
  <c r="C12351" i="2"/>
  <c r="B12351" i="2"/>
  <c r="A12351" i="2"/>
  <c r="E12350" i="2"/>
  <c r="D12350" i="2"/>
  <c r="C12350" i="2"/>
  <c r="B12350" i="2"/>
  <c r="A12350" i="2"/>
  <c r="E12349" i="2"/>
  <c r="D12349" i="2"/>
  <c r="C12349" i="2"/>
  <c r="B12349" i="2"/>
  <c r="A12349" i="2"/>
  <c r="E12348" i="2"/>
  <c r="D12348" i="2"/>
  <c r="C12348" i="2"/>
  <c r="B12348" i="2"/>
  <c r="A12348" i="2"/>
  <c r="E12347" i="2"/>
  <c r="D12347" i="2"/>
  <c r="C12347" i="2"/>
  <c r="B12347" i="2"/>
  <c r="A12347" i="2"/>
  <c r="E12346" i="2"/>
  <c r="D12346" i="2"/>
  <c r="C12346" i="2"/>
  <c r="B12346" i="2"/>
  <c r="A12346" i="2"/>
  <c r="E12345" i="2"/>
  <c r="D12345" i="2"/>
  <c r="C12345" i="2"/>
  <c r="B12345" i="2"/>
  <c r="A12345" i="2"/>
  <c r="E12344" i="2"/>
  <c r="D12344" i="2"/>
  <c r="C12344" i="2"/>
  <c r="B12344" i="2"/>
  <c r="A12344" i="2"/>
  <c r="E12343" i="2"/>
  <c r="D12343" i="2"/>
  <c r="C12343" i="2"/>
  <c r="B12343" i="2"/>
  <c r="A12343" i="2"/>
  <c r="E12342" i="2"/>
  <c r="D12342" i="2"/>
  <c r="C12342" i="2"/>
  <c r="B12342" i="2"/>
  <c r="A12342" i="2"/>
  <c r="E12341" i="2"/>
  <c r="D12341" i="2"/>
  <c r="C12341" i="2"/>
  <c r="B12341" i="2"/>
  <c r="A12341" i="2"/>
  <c r="E12340" i="2"/>
  <c r="D12340" i="2"/>
  <c r="C12340" i="2"/>
  <c r="B12340" i="2"/>
  <c r="A12340" i="2"/>
  <c r="E12339" i="2"/>
  <c r="D12339" i="2"/>
  <c r="C12339" i="2"/>
  <c r="B12339" i="2"/>
  <c r="A12339" i="2"/>
  <c r="E12338" i="2"/>
  <c r="D12338" i="2"/>
  <c r="C12338" i="2"/>
  <c r="B12338" i="2"/>
  <c r="A12338" i="2"/>
  <c r="E12337" i="2"/>
  <c r="D12337" i="2"/>
  <c r="C12337" i="2"/>
  <c r="B12337" i="2"/>
  <c r="A12337" i="2"/>
  <c r="E12336" i="2"/>
  <c r="D12336" i="2"/>
  <c r="C12336" i="2"/>
  <c r="B12336" i="2"/>
  <c r="A12336" i="2"/>
  <c r="E12335" i="2"/>
  <c r="D12335" i="2"/>
  <c r="C12335" i="2"/>
  <c r="B12335" i="2"/>
  <c r="A12335" i="2"/>
  <c r="E12334" i="2"/>
  <c r="D12334" i="2"/>
  <c r="C12334" i="2"/>
  <c r="B12334" i="2"/>
  <c r="A12334" i="2"/>
  <c r="E12333" i="2"/>
  <c r="D12333" i="2"/>
  <c r="C12333" i="2"/>
  <c r="B12333" i="2"/>
  <c r="A12333" i="2"/>
  <c r="E12332" i="2"/>
  <c r="D12332" i="2"/>
  <c r="C12332" i="2"/>
  <c r="B12332" i="2"/>
  <c r="A12332" i="2"/>
  <c r="E12331" i="2"/>
  <c r="D12331" i="2"/>
  <c r="C12331" i="2"/>
  <c r="B12331" i="2"/>
  <c r="A12331" i="2"/>
  <c r="E12330" i="2"/>
  <c r="D12330" i="2"/>
  <c r="C12330" i="2"/>
  <c r="B12330" i="2"/>
  <c r="A12330" i="2"/>
  <c r="E12329" i="2"/>
  <c r="D12329" i="2"/>
  <c r="C12329" i="2"/>
  <c r="B12329" i="2"/>
  <c r="A12329" i="2"/>
  <c r="E12328" i="2"/>
  <c r="D12328" i="2"/>
  <c r="C12328" i="2"/>
  <c r="B12328" i="2"/>
  <c r="A12328" i="2"/>
  <c r="E12327" i="2"/>
  <c r="D12327" i="2"/>
  <c r="C12327" i="2"/>
  <c r="B12327" i="2"/>
  <c r="A12327" i="2"/>
  <c r="E12326" i="2"/>
  <c r="D12326" i="2"/>
  <c r="C12326" i="2"/>
  <c r="B12326" i="2"/>
  <c r="A12326" i="2"/>
  <c r="E12325" i="2"/>
  <c r="D12325" i="2"/>
  <c r="C12325" i="2"/>
  <c r="B12325" i="2"/>
  <c r="A12325" i="2"/>
  <c r="E12324" i="2"/>
  <c r="D12324" i="2"/>
  <c r="C12324" i="2"/>
  <c r="B12324" i="2"/>
  <c r="A12324" i="2"/>
  <c r="E12323" i="2"/>
  <c r="D12323" i="2"/>
  <c r="C12323" i="2"/>
  <c r="B12323" i="2"/>
  <c r="A12323" i="2"/>
  <c r="E12322" i="2"/>
  <c r="D12322" i="2"/>
  <c r="C12322" i="2"/>
  <c r="B12322" i="2"/>
  <c r="A12322" i="2"/>
  <c r="E12321" i="2"/>
  <c r="D12321" i="2"/>
  <c r="C12321" i="2"/>
  <c r="B12321" i="2"/>
  <c r="A12321" i="2"/>
  <c r="E12320" i="2"/>
  <c r="D12320" i="2"/>
  <c r="C12320" i="2"/>
  <c r="B12320" i="2"/>
  <c r="A12320" i="2"/>
  <c r="E12319" i="2"/>
  <c r="D12319" i="2"/>
  <c r="C12319" i="2"/>
  <c r="B12319" i="2"/>
  <c r="A12319" i="2"/>
  <c r="E12318" i="2"/>
  <c r="D12318" i="2"/>
  <c r="C12318" i="2"/>
  <c r="B12318" i="2"/>
  <c r="A12318" i="2"/>
  <c r="E12317" i="2"/>
  <c r="D12317" i="2"/>
  <c r="C12317" i="2"/>
  <c r="B12317" i="2"/>
  <c r="A12317" i="2"/>
  <c r="E12316" i="2"/>
  <c r="D12316" i="2"/>
  <c r="C12316" i="2"/>
  <c r="B12316" i="2"/>
  <c r="A12316" i="2"/>
  <c r="E12315" i="2"/>
  <c r="D12315" i="2"/>
  <c r="C12315" i="2"/>
  <c r="B12315" i="2"/>
  <c r="A12315" i="2"/>
  <c r="E12314" i="2"/>
  <c r="D12314" i="2"/>
  <c r="C12314" i="2"/>
  <c r="B12314" i="2"/>
  <c r="A12314" i="2"/>
  <c r="E12313" i="2"/>
  <c r="D12313" i="2"/>
  <c r="C12313" i="2"/>
  <c r="B12313" i="2"/>
  <c r="A12313" i="2"/>
  <c r="E12312" i="2"/>
  <c r="D12312" i="2"/>
  <c r="C12312" i="2"/>
  <c r="B12312" i="2"/>
  <c r="A12312" i="2"/>
  <c r="E12311" i="2"/>
  <c r="D12311" i="2"/>
  <c r="C12311" i="2"/>
  <c r="B12311" i="2"/>
  <c r="A12311" i="2"/>
  <c r="E12310" i="2"/>
  <c r="D12310" i="2"/>
  <c r="C12310" i="2"/>
  <c r="B12310" i="2"/>
  <c r="A12310" i="2"/>
  <c r="E12309" i="2"/>
  <c r="D12309" i="2"/>
  <c r="C12309" i="2"/>
  <c r="B12309" i="2"/>
  <c r="A12309" i="2"/>
  <c r="E12308" i="2"/>
  <c r="D12308" i="2"/>
  <c r="C12308" i="2"/>
  <c r="B12308" i="2"/>
  <c r="A12308" i="2"/>
  <c r="E12307" i="2"/>
  <c r="D12307" i="2"/>
  <c r="C12307" i="2"/>
  <c r="B12307" i="2"/>
  <c r="A12307" i="2"/>
  <c r="E12306" i="2"/>
  <c r="D12306" i="2"/>
  <c r="C12306" i="2"/>
  <c r="B12306" i="2"/>
  <c r="A12306" i="2"/>
  <c r="E12305" i="2"/>
  <c r="D12305" i="2"/>
  <c r="C12305" i="2"/>
  <c r="B12305" i="2"/>
  <c r="A12305" i="2"/>
  <c r="E12304" i="2"/>
  <c r="D12304" i="2"/>
  <c r="C12304" i="2"/>
  <c r="B12304" i="2"/>
  <c r="A12304" i="2"/>
  <c r="E12303" i="2"/>
  <c r="D12303" i="2"/>
  <c r="C12303" i="2"/>
  <c r="B12303" i="2"/>
  <c r="A12303" i="2"/>
  <c r="E12302" i="2"/>
  <c r="D12302" i="2"/>
  <c r="C12302" i="2"/>
  <c r="B12302" i="2"/>
  <c r="A12302" i="2"/>
  <c r="E12301" i="2"/>
  <c r="D12301" i="2"/>
  <c r="C12301" i="2"/>
  <c r="B12301" i="2"/>
  <c r="A12301" i="2"/>
  <c r="E12300" i="2"/>
  <c r="D12300" i="2"/>
  <c r="C12300" i="2"/>
  <c r="B12300" i="2"/>
  <c r="A12300" i="2"/>
  <c r="E12299" i="2"/>
  <c r="D12299" i="2"/>
  <c r="C12299" i="2"/>
  <c r="B12299" i="2"/>
  <c r="A12299" i="2"/>
  <c r="E12298" i="2"/>
  <c r="D12298" i="2"/>
  <c r="C12298" i="2"/>
  <c r="B12298" i="2"/>
  <c r="A12298" i="2"/>
  <c r="E12297" i="2"/>
  <c r="D12297" i="2"/>
  <c r="C12297" i="2"/>
  <c r="B12297" i="2"/>
  <c r="A12297" i="2"/>
  <c r="E12296" i="2"/>
  <c r="D12296" i="2"/>
  <c r="C12296" i="2"/>
  <c r="B12296" i="2"/>
  <c r="A12296" i="2"/>
  <c r="E12295" i="2"/>
  <c r="D12295" i="2"/>
  <c r="C12295" i="2"/>
  <c r="B12295" i="2"/>
  <c r="A12295" i="2"/>
  <c r="E12294" i="2"/>
  <c r="D12294" i="2"/>
  <c r="C12294" i="2"/>
  <c r="B12294" i="2"/>
  <c r="A12294" i="2"/>
  <c r="E12293" i="2"/>
  <c r="D12293" i="2"/>
  <c r="C12293" i="2"/>
  <c r="B12293" i="2"/>
  <c r="A12293" i="2"/>
  <c r="E12292" i="2"/>
  <c r="D12292" i="2"/>
  <c r="C12292" i="2"/>
  <c r="B12292" i="2"/>
  <c r="A12292" i="2"/>
  <c r="E12291" i="2"/>
  <c r="D12291" i="2"/>
  <c r="C12291" i="2"/>
  <c r="B12291" i="2"/>
  <c r="A12291" i="2"/>
  <c r="E12290" i="2"/>
  <c r="D12290" i="2"/>
  <c r="C12290" i="2"/>
  <c r="B12290" i="2"/>
  <c r="A12290" i="2"/>
  <c r="E12289" i="2"/>
  <c r="D12289" i="2"/>
  <c r="C12289" i="2"/>
  <c r="B12289" i="2"/>
  <c r="A12289" i="2"/>
  <c r="E12288" i="2"/>
  <c r="D12288" i="2"/>
  <c r="C12288" i="2"/>
  <c r="B12288" i="2"/>
  <c r="A12288" i="2"/>
  <c r="E12287" i="2"/>
  <c r="D12287" i="2"/>
  <c r="C12287" i="2"/>
  <c r="B12287" i="2"/>
  <c r="A12287" i="2"/>
  <c r="E12286" i="2"/>
  <c r="D12286" i="2"/>
  <c r="C12286" i="2"/>
  <c r="B12286" i="2"/>
  <c r="A12286" i="2"/>
  <c r="E12285" i="2"/>
  <c r="D12285" i="2"/>
  <c r="C12285" i="2"/>
  <c r="B12285" i="2"/>
  <c r="A12285" i="2"/>
  <c r="E12284" i="2"/>
  <c r="D12284" i="2"/>
  <c r="C12284" i="2"/>
  <c r="B12284" i="2"/>
  <c r="A12284" i="2"/>
  <c r="E12283" i="2"/>
  <c r="D12283" i="2"/>
  <c r="C12283" i="2"/>
  <c r="B12283" i="2"/>
  <c r="A12283" i="2"/>
  <c r="E12282" i="2"/>
  <c r="D12282" i="2"/>
  <c r="C12282" i="2"/>
  <c r="B12282" i="2"/>
  <c r="A12282" i="2"/>
  <c r="E12281" i="2"/>
  <c r="D12281" i="2"/>
  <c r="C12281" i="2"/>
  <c r="B12281" i="2"/>
  <c r="A12281" i="2"/>
  <c r="E12280" i="2"/>
  <c r="D12280" i="2"/>
  <c r="C12280" i="2"/>
  <c r="B12280" i="2"/>
  <c r="A12280" i="2"/>
  <c r="E12279" i="2"/>
  <c r="D12279" i="2"/>
  <c r="C12279" i="2"/>
  <c r="B12279" i="2"/>
  <c r="A12279" i="2"/>
  <c r="E12278" i="2"/>
  <c r="D12278" i="2"/>
  <c r="C12278" i="2"/>
  <c r="B12278" i="2"/>
  <c r="A12278" i="2"/>
  <c r="E12277" i="2"/>
  <c r="D12277" i="2"/>
  <c r="C12277" i="2"/>
  <c r="B12277" i="2"/>
  <c r="A12277" i="2"/>
  <c r="E12276" i="2"/>
  <c r="D12276" i="2"/>
  <c r="C12276" i="2"/>
  <c r="B12276" i="2"/>
  <c r="A12276" i="2"/>
  <c r="E12275" i="2"/>
  <c r="D12275" i="2"/>
  <c r="C12275" i="2"/>
  <c r="B12275" i="2"/>
  <c r="A12275" i="2"/>
  <c r="E12274" i="2"/>
  <c r="D12274" i="2"/>
  <c r="C12274" i="2"/>
  <c r="B12274" i="2"/>
  <c r="A12274" i="2"/>
  <c r="E12273" i="2"/>
  <c r="D12273" i="2"/>
  <c r="C12273" i="2"/>
  <c r="B12273" i="2"/>
  <c r="A12273" i="2"/>
  <c r="E12272" i="2"/>
  <c r="D12272" i="2"/>
  <c r="C12272" i="2"/>
  <c r="B12272" i="2"/>
  <c r="A12272" i="2"/>
  <c r="E12271" i="2"/>
  <c r="D12271" i="2"/>
  <c r="C12271" i="2"/>
  <c r="B12271" i="2"/>
  <c r="A12271" i="2"/>
  <c r="E12270" i="2"/>
  <c r="D12270" i="2"/>
  <c r="C12270" i="2"/>
  <c r="B12270" i="2"/>
  <c r="A12270" i="2"/>
  <c r="E12269" i="2"/>
  <c r="D12269" i="2"/>
  <c r="C12269" i="2"/>
  <c r="B12269" i="2"/>
  <c r="A12269" i="2"/>
  <c r="E12268" i="2"/>
  <c r="D12268" i="2"/>
  <c r="C12268" i="2"/>
  <c r="B12268" i="2"/>
  <c r="A12268" i="2"/>
  <c r="E12267" i="2"/>
  <c r="D12267" i="2"/>
  <c r="C12267" i="2"/>
  <c r="B12267" i="2"/>
  <c r="A12267" i="2"/>
  <c r="E12266" i="2"/>
  <c r="D12266" i="2"/>
  <c r="C12266" i="2"/>
  <c r="B12266" i="2"/>
  <c r="A12266" i="2"/>
  <c r="E12265" i="2"/>
  <c r="D12265" i="2"/>
  <c r="C12265" i="2"/>
  <c r="B12265" i="2"/>
  <c r="A12265" i="2"/>
  <c r="E12264" i="2"/>
  <c r="D12264" i="2"/>
  <c r="C12264" i="2"/>
  <c r="B12264" i="2"/>
  <c r="A12264" i="2"/>
  <c r="E12263" i="2"/>
  <c r="D12263" i="2"/>
  <c r="C12263" i="2"/>
  <c r="B12263" i="2"/>
  <c r="A12263" i="2"/>
  <c r="E12262" i="2"/>
  <c r="D12262" i="2"/>
  <c r="C12262" i="2"/>
  <c r="B12262" i="2"/>
  <c r="A12262" i="2"/>
  <c r="E12261" i="2"/>
  <c r="D12261" i="2"/>
  <c r="C12261" i="2"/>
  <c r="B12261" i="2"/>
  <c r="A12261" i="2"/>
  <c r="E12260" i="2"/>
  <c r="D12260" i="2"/>
  <c r="C12260" i="2"/>
  <c r="B12260" i="2"/>
  <c r="A12260" i="2"/>
  <c r="E12259" i="2"/>
  <c r="D12259" i="2"/>
  <c r="C12259" i="2"/>
  <c r="B12259" i="2"/>
  <c r="A12259" i="2"/>
  <c r="E12258" i="2"/>
  <c r="D12258" i="2"/>
  <c r="C12258" i="2"/>
  <c r="B12258" i="2"/>
  <c r="A12258" i="2"/>
  <c r="E12257" i="2"/>
  <c r="D12257" i="2"/>
  <c r="C12257" i="2"/>
  <c r="B12257" i="2"/>
  <c r="A12257" i="2"/>
  <c r="E12256" i="2"/>
  <c r="D12256" i="2"/>
  <c r="C12256" i="2"/>
  <c r="B12256" i="2"/>
  <c r="A12256" i="2"/>
  <c r="E12255" i="2"/>
  <c r="D12255" i="2"/>
  <c r="C12255" i="2"/>
  <c r="B12255" i="2"/>
  <c r="A12255" i="2"/>
  <c r="E12254" i="2"/>
  <c r="D12254" i="2"/>
  <c r="C12254" i="2"/>
  <c r="B12254" i="2"/>
  <c r="A12254" i="2"/>
  <c r="E12253" i="2"/>
  <c r="D12253" i="2"/>
  <c r="C12253" i="2"/>
  <c r="B12253" i="2"/>
  <c r="A12253" i="2"/>
  <c r="E12252" i="2"/>
  <c r="D12252" i="2"/>
  <c r="C12252" i="2"/>
  <c r="B12252" i="2"/>
  <c r="A12252" i="2"/>
  <c r="E12251" i="2"/>
  <c r="D12251" i="2"/>
  <c r="C12251" i="2"/>
  <c r="B12251" i="2"/>
  <c r="A12251" i="2"/>
  <c r="E12250" i="2"/>
  <c r="D12250" i="2"/>
  <c r="C12250" i="2"/>
  <c r="B12250" i="2"/>
  <c r="A12250" i="2"/>
  <c r="E12249" i="2"/>
  <c r="D12249" i="2"/>
  <c r="C12249" i="2"/>
  <c r="B12249" i="2"/>
  <c r="A12249" i="2"/>
  <c r="E12248" i="2"/>
  <c r="D12248" i="2"/>
  <c r="C12248" i="2"/>
  <c r="B12248" i="2"/>
  <c r="A12248" i="2"/>
  <c r="E12247" i="2"/>
  <c r="D12247" i="2"/>
  <c r="C12247" i="2"/>
  <c r="B12247" i="2"/>
  <c r="A12247" i="2"/>
  <c r="E12246" i="2"/>
  <c r="D12246" i="2"/>
  <c r="C12246" i="2"/>
  <c r="B12246" i="2"/>
  <c r="A12246" i="2"/>
  <c r="E12245" i="2"/>
  <c r="D12245" i="2"/>
  <c r="C12245" i="2"/>
  <c r="B12245" i="2"/>
  <c r="A12245" i="2"/>
  <c r="E12244" i="2"/>
  <c r="D12244" i="2"/>
  <c r="C12244" i="2"/>
  <c r="B12244" i="2"/>
  <c r="A12244" i="2"/>
  <c r="E12243" i="2"/>
  <c r="D12243" i="2"/>
  <c r="C12243" i="2"/>
  <c r="B12243" i="2"/>
  <c r="A12243" i="2"/>
  <c r="E12242" i="2"/>
  <c r="D12242" i="2"/>
  <c r="C12242" i="2"/>
  <c r="B12242" i="2"/>
  <c r="A12242" i="2"/>
  <c r="E12241" i="2"/>
  <c r="D12241" i="2"/>
  <c r="C12241" i="2"/>
  <c r="B12241" i="2"/>
  <c r="A12241" i="2"/>
  <c r="E12240" i="2"/>
  <c r="D12240" i="2"/>
  <c r="C12240" i="2"/>
  <c r="B12240" i="2"/>
  <c r="A12240" i="2"/>
  <c r="E12239" i="2"/>
  <c r="D12239" i="2"/>
  <c r="C12239" i="2"/>
  <c r="B12239" i="2"/>
  <c r="A12239" i="2"/>
  <c r="E12238" i="2"/>
  <c r="D12238" i="2"/>
  <c r="C12238" i="2"/>
  <c r="B12238" i="2"/>
  <c r="A12238" i="2"/>
  <c r="E12237" i="2"/>
  <c r="D12237" i="2"/>
  <c r="C12237" i="2"/>
  <c r="B12237" i="2"/>
  <c r="A12237" i="2"/>
  <c r="E12236" i="2"/>
  <c r="D12236" i="2"/>
  <c r="C12236" i="2"/>
  <c r="B12236" i="2"/>
  <c r="A12236" i="2"/>
  <c r="E12235" i="2"/>
  <c r="D12235" i="2"/>
  <c r="C12235" i="2"/>
  <c r="B12235" i="2"/>
  <c r="A12235" i="2"/>
  <c r="E12234" i="2"/>
  <c r="D12234" i="2"/>
  <c r="C12234" i="2"/>
  <c r="B12234" i="2"/>
  <c r="A12234" i="2"/>
  <c r="E12233" i="2"/>
  <c r="D12233" i="2"/>
  <c r="C12233" i="2"/>
  <c r="B12233" i="2"/>
  <c r="A12233" i="2"/>
  <c r="E12232" i="2"/>
  <c r="D12232" i="2"/>
  <c r="C12232" i="2"/>
  <c r="B12232" i="2"/>
  <c r="A12232" i="2"/>
  <c r="E12231" i="2"/>
  <c r="D12231" i="2"/>
  <c r="C12231" i="2"/>
  <c r="B12231" i="2"/>
  <c r="A12231" i="2"/>
  <c r="E12230" i="2"/>
  <c r="D12230" i="2"/>
  <c r="C12230" i="2"/>
  <c r="B12230" i="2"/>
  <c r="A12230" i="2"/>
  <c r="E12229" i="2"/>
  <c r="D12229" i="2"/>
  <c r="C12229" i="2"/>
  <c r="B12229" i="2"/>
  <c r="A12229" i="2"/>
  <c r="E12228" i="2"/>
  <c r="D12228" i="2"/>
  <c r="C12228" i="2"/>
  <c r="B12228" i="2"/>
  <c r="A12228" i="2"/>
  <c r="E12227" i="2"/>
  <c r="D12227" i="2"/>
  <c r="C12227" i="2"/>
  <c r="B12227" i="2"/>
  <c r="A12227" i="2"/>
  <c r="E12226" i="2"/>
  <c r="D12226" i="2"/>
  <c r="C12226" i="2"/>
  <c r="B12226" i="2"/>
  <c r="A12226" i="2"/>
  <c r="E12225" i="2"/>
  <c r="D12225" i="2"/>
  <c r="C12225" i="2"/>
  <c r="B12225" i="2"/>
  <c r="A12225" i="2"/>
  <c r="E12224" i="2"/>
  <c r="D12224" i="2"/>
  <c r="C12224" i="2"/>
  <c r="B12224" i="2"/>
  <c r="A12224" i="2"/>
  <c r="E12223" i="2"/>
  <c r="D12223" i="2"/>
  <c r="C12223" i="2"/>
  <c r="B12223" i="2"/>
  <c r="A12223" i="2"/>
  <c r="E12222" i="2"/>
  <c r="D12222" i="2"/>
  <c r="C12222" i="2"/>
  <c r="B12222" i="2"/>
  <c r="A12222" i="2"/>
  <c r="E12221" i="2"/>
  <c r="D12221" i="2"/>
  <c r="C12221" i="2"/>
  <c r="B12221" i="2"/>
  <c r="A12221" i="2"/>
  <c r="E12220" i="2"/>
  <c r="D12220" i="2"/>
  <c r="C12220" i="2"/>
  <c r="B12220" i="2"/>
  <c r="A12220" i="2"/>
  <c r="E12219" i="2"/>
  <c r="D12219" i="2"/>
  <c r="C12219" i="2"/>
  <c r="B12219" i="2"/>
  <c r="A12219" i="2"/>
  <c r="E12218" i="2"/>
  <c r="D12218" i="2"/>
  <c r="C12218" i="2"/>
  <c r="B12218" i="2"/>
  <c r="A12218" i="2"/>
  <c r="E12217" i="2"/>
  <c r="D12217" i="2"/>
  <c r="C12217" i="2"/>
  <c r="B12217" i="2"/>
  <c r="A12217" i="2"/>
  <c r="E12216" i="2"/>
  <c r="D12216" i="2"/>
  <c r="C12216" i="2"/>
  <c r="B12216" i="2"/>
  <c r="A12216" i="2"/>
  <c r="E12215" i="2"/>
  <c r="D12215" i="2"/>
  <c r="C12215" i="2"/>
  <c r="B12215" i="2"/>
  <c r="A12215" i="2"/>
  <c r="E12214" i="2"/>
  <c r="D12214" i="2"/>
  <c r="C12214" i="2"/>
  <c r="B12214" i="2"/>
  <c r="A12214" i="2"/>
  <c r="E12213" i="2"/>
  <c r="D12213" i="2"/>
  <c r="C12213" i="2"/>
  <c r="B12213" i="2"/>
  <c r="A12213" i="2"/>
  <c r="E12212" i="2"/>
  <c r="D12212" i="2"/>
  <c r="C12212" i="2"/>
  <c r="B12212" i="2"/>
  <c r="A12212" i="2"/>
  <c r="E12211" i="2"/>
  <c r="D12211" i="2"/>
  <c r="C12211" i="2"/>
  <c r="B12211" i="2"/>
  <c r="A12211" i="2"/>
  <c r="E12210" i="2"/>
  <c r="D12210" i="2"/>
  <c r="C12210" i="2"/>
  <c r="B12210" i="2"/>
  <c r="A12210" i="2"/>
  <c r="E12209" i="2"/>
  <c r="D12209" i="2"/>
  <c r="C12209" i="2"/>
  <c r="B12209" i="2"/>
  <c r="A12209" i="2"/>
  <c r="E12208" i="2"/>
  <c r="D12208" i="2"/>
  <c r="C12208" i="2"/>
  <c r="B12208" i="2"/>
  <c r="A12208" i="2"/>
  <c r="E12207" i="2"/>
  <c r="D12207" i="2"/>
  <c r="C12207" i="2"/>
  <c r="B12207" i="2"/>
  <c r="A12207" i="2"/>
  <c r="E12206" i="2"/>
  <c r="D12206" i="2"/>
  <c r="C12206" i="2"/>
  <c r="B12206" i="2"/>
  <c r="A12206" i="2"/>
  <c r="E12205" i="2"/>
  <c r="D12205" i="2"/>
  <c r="C12205" i="2"/>
  <c r="B12205" i="2"/>
  <c r="A12205" i="2"/>
  <c r="E12204" i="2"/>
  <c r="D12204" i="2"/>
  <c r="C12204" i="2"/>
  <c r="B12204" i="2"/>
  <c r="A12204" i="2"/>
  <c r="E12203" i="2"/>
  <c r="D12203" i="2"/>
  <c r="C12203" i="2"/>
  <c r="B12203" i="2"/>
  <c r="A12203" i="2"/>
  <c r="E12202" i="2"/>
  <c r="D12202" i="2"/>
  <c r="C12202" i="2"/>
  <c r="B12202" i="2"/>
  <c r="A12202" i="2"/>
  <c r="E12201" i="2"/>
  <c r="D12201" i="2"/>
  <c r="C12201" i="2"/>
  <c r="B12201" i="2"/>
  <c r="A12201" i="2"/>
  <c r="E12200" i="2"/>
  <c r="D12200" i="2"/>
  <c r="C12200" i="2"/>
  <c r="B12200" i="2"/>
  <c r="A12200" i="2"/>
  <c r="E12199" i="2"/>
  <c r="D12199" i="2"/>
  <c r="C12199" i="2"/>
  <c r="B12199" i="2"/>
  <c r="A12199" i="2"/>
  <c r="E12198" i="2"/>
  <c r="D12198" i="2"/>
  <c r="C12198" i="2"/>
  <c r="B12198" i="2"/>
  <c r="A12198" i="2"/>
  <c r="E12197" i="2"/>
  <c r="D12197" i="2"/>
  <c r="C12197" i="2"/>
  <c r="B12197" i="2"/>
  <c r="A12197" i="2"/>
  <c r="E12196" i="2"/>
  <c r="D12196" i="2"/>
  <c r="C12196" i="2"/>
  <c r="B12196" i="2"/>
  <c r="A12196" i="2"/>
  <c r="E12195" i="2"/>
  <c r="D12195" i="2"/>
  <c r="C12195" i="2"/>
  <c r="B12195" i="2"/>
  <c r="A12195" i="2"/>
  <c r="E12194" i="2"/>
  <c r="D12194" i="2"/>
  <c r="C12194" i="2"/>
  <c r="B12194" i="2"/>
  <c r="A12194" i="2"/>
  <c r="E12193" i="2"/>
  <c r="D12193" i="2"/>
  <c r="C12193" i="2"/>
  <c r="B12193" i="2"/>
  <c r="A12193" i="2"/>
  <c r="E12192" i="2"/>
  <c r="D12192" i="2"/>
  <c r="C12192" i="2"/>
  <c r="B12192" i="2"/>
  <c r="A12192" i="2"/>
  <c r="E12191" i="2"/>
  <c r="D12191" i="2"/>
  <c r="C12191" i="2"/>
  <c r="B12191" i="2"/>
  <c r="A12191" i="2"/>
  <c r="E12190" i="2"/>
  <c r="D12190" i="2"/>
  <c r="C12190" i="2"/>
  <c r="B12190" i="2"/>
  <c r="A12190" i="2"/>
  <c r="E12189" i="2"/>
  <c r="D12189" i="2"/>
  <c r="C12189" i="2"/>
  <c r="B12189" i="2"/>
  <c r="A12189" i="2"/>
  <c r="E12188" i="2"/>
  <c r="D12188" i="2"/>
  <c r="C12188" i="2"/>
  <c r="B12188" i="2"/>
  <c r="A12188" i="2"/>
  <c r="E12187" i="2"/>
  <c r="D12187" i="2"/>
  <c r="C12187" i="2"/>
  <c r="B12187" i="2"/>
  <c r="A12187" i="2"/>
  <c r="E12186" i="2"/>
  <c r="D12186" i="2"/>
  <c r="C12186" i="2"/>
  <c r="B12186" i="2"/>
  <c r="A12186" i="2"/>
  <c r="E12185" i="2"/>
  <c r="D12185" i="2"/>
  <c r="C12185" i="2"/>
  <c r="B12185" i="2"/>
  <c r="A12185" i="2"/>
  <c r="E12184" i="2"/>
  <c r="D12184" i="2"/>
  <c r="C12184" i="2"/>
  <c r="B12184" i="2"/>
  <c r="A12184" i="2"/>
  <c r="E12183" i="2"/>
  <c r="D12183" i="2"/>
  <c r="C12183" i="2"/>
  <c r="B12183" i="2"/>
  <c r="A12183" i="2"/>
  <c r="E12182" i="2"/>
  <c r="D12182" i="2"/>
  <c r="C12182" i="2"/>
  <c r="B12182" i="2"/>
  <c r="A12182" i="2"/>
  <c r="E12181" i="2"/>
  <c r="D12181" i="2"/>
  <c r="C12181" i="2"/>
  <c r="B12181" i="2"/>
  <c r="A12181" i="2"/>
  <c r="E12180" i="2"/>
  <c r="D12180" i="2"/>
  <c r="C12180" i="2"/>
  <c r="B12180" i="2"/>
  <c r="A12180" i="2"/>
  <c r="E12179" i="2"/>
  <c r="D12179" i="2"/>
  <c r="C12179" i="2"/>
  <c r="B12179" i="2"/>
  <c r="A12179" i="2"/>
  <c r="E12178" i="2"/>
  <c r="D12178" i="2"/>
  <c r="C12178" i="2"/>
  <c r="B12178" i="2"/>
  <c r="A12178" i="2"/>
  <c r="E12177" i="2"/>
  <c r="D12177" i="2"/>
  <c r="C12177" i="2"/>
  <c r="B12177" i="2"/>
  <c r="A12177" i="2"/>
  <c r="E12176" i="2"/>
  <c r="D12176" i="2"/>
  <c r="C12176" i="2"/>
  <c r="B12176" i="2"/>
  <c r="A12176" i="2"/>
  <c r="E12175" i="2"/>
  <c r="D12175" i="2"/>
  <c r="C12175" i="2"/>
  <c r="B12175" i="2"/>
  <c r="A12175" i="2"/>
  <c r="E12174" i="2"/>
  <c r="D12174" i="2"/>
  <c r="C12174" i="2"/>
  <c r="B12174" i="2"/>
  <c r="A12174" i="2"/>
  <c r="E12173" i="2"/>
  <c r="D12173" i="2"/>
  <c r="C12173" i="2"/>
  <c r="B12173" i="2"/>
  <c r="A12173" i="2"/>
  <c r="E12172" i="2"/>
  <c r="D12172" i="2"/>
  <c r="C12172" i="2"/>
  <c r="B12172" i="2"/>
  <c r="A12172" i="2"/>
  <c r="E12171" i="2"/>
  <c r="D12171" i="2"/>
  <c r="C12171" i="2"/>
  <c r="B12171" i="2"/>
  <c r="A12171" i="2"/>
  <c r="E12170" i="2"/>
  <c r="D12170" i="2"/>
  <c r="C12170" i="2"/>
  <c r="B12170" i="2"/>
  <c r="A12170" i="2"/>
  <c r="E12169" i="2"/>
  <c r="D12169" i="2"/>
  <c r="C12169" i="2"/>
  <c r="B12169" i="2"/>
  <c r="A12169" i="2"/>
  <c r="E12168" i="2"/>
  <c r="D12168" i="2"/>
  <c r="C12168" i="2"/>
  <c r="B12168" i="2"/>
  <c r="A12168" i="2"/>
  <c r="E12167" i="2"/>
  <c r="D12167" i="2"/>
  <c r="C12167" i="2"/>
  <c r="B12167" i="2"/>
  <c r="A12167" i="2"/>
  <c r="E12166" i="2"/>
  <c r="D12166" i="2"/>
  <c r="C12166" i="2"/>
  <c r="B12166" i="2"/>
  <c r="A12166" i="2"/>
  <c r="E12165" i="2"/>
  <c r="D12165" i="2"/>
  <c r="C12165" i="2"/>
  <c r="B12165" i="2"/>
  <c r="A12165" i="2"/>
  <c r="E12164" i="2"/>
  <c r="D12164" i="2"/>
  <c r="C12164" i="2"/>
  <c r="B12164" i="2"/>
  <c r="A12164" i="2"/>
  <c r="E12163" i="2"/>
  <c r="D12163" i="2"/>
  <c r="C12163" i="2"/>
  <c r="B12163" i="2"/>
  <c r="A12163" i="2"/>
  <c r="E12162" i="2"/>
  <c r="D12162" i="2"/>
  <c r="C12162" i="2"/>
  <c r="B12162" i="2"/>
  <c r="A12162" i="2"/>
  <c r="E12161" i="2"/>
  <c r="D12161" i="2"/>
  <c r="C12161" i="2"/>
  <c r="B12161" i="2"/>
  <c r="A12161" i="2"/>
  <c r="E12160" i="2"/>
  <c r="D12160" i="2"/>
  <c r="C12160" i="2"/>
  <c r="B12160" i="2"/>
  <c r="A12160" i="2"/>
  <c r="E12159" i="2"/>
  <c r="D12159" i="2"/>
  <c r="C12159" i="2"/>
  <c r="B12159" i="2"/>
  <c r="A12159" i="2"/>
  <c r="E12158" i="2"/>
  <c r="D12158" i="2"/>
  <c r="C12158" i="2"/>
  <c r="B12158" i="2"/>
  <c r="A12158" i="2"/>
  <c r="E12157" i="2"/>
  <c r="D12157" i="2"/>
  <c r="C12157" i="2"/>
  <c r="B12157" i="2"/>
  <c r="A12157" i="2"/>
  <c r="E12156" i="2"/>
  <c r="D12156" i="2"/>
  <c r="C12156" i="2"/>
  <c r="B12156" i="2"/>
  <c r="A12156" i="2"/>
  <c r="E12155" i="2"/>
  <c r="D12155" i="2"/>
  <c r="C12155" i="2"/>
  <c r="B12155" i="2"/>
  <c r="A12155" i="2"/>
  <c r="E12154" i="2"/>
  <c r="D12154" i="2"/>
  <c r="C12154" i="2"/>
  <c r="B12154" i="2"/>
  <c r="A12154" i="2"/>
  <c r="E12153" i="2"/>
  <c r="D12153" i="2"/>
  <c r="C12153" i="2"/>
  <c r="B12153" i="2"/>
  <c r="A12153" i="2"/>
  <c r="E12152" i="2"/>
  <c r="D12152" i="2"/>
  <c r="C12152" i="2"/>
  <c r="B12152" i="2"/>
  <c r="A12152" i="2"/>
  <c r="E12151" i="2"/>
  <c r="D12151" i="2"/>
  <c r="C12151" i="2"/>
  <c r="B12151" i="2"/>
  <c r="A12151" i="2"/>
  <c r="E12150" i="2"/>
  <c r="D12150" i="2"/>
  <c r="C12150" i="2"/>
  <c r="B12150" i="2"/>
  <c r="A12150" i="2"/>
  <c r="E12149" i="2"/>
  <c r="D12149" i="2"/>
  <c r="C12149" i="2"/>
  <c r="B12149" i="2"/>
  <c r="A12149" i="2"/>
  <c r="E12148" i="2"/>
  <c r="D12148" i="2"/>
  <c r="C12148" i="2"/>
  <c r="B12148" i="2"/>
  <c r="A12148" i="2"/>
  <c r="E12147" i="2"/>
  <c r="D12147" i="2"/>
  <c r="C12147" i="2"/>
  <c r="B12147" i="2"/>
  <c r="A12147" i="2"/>
  <c r="E12146" i="2"/>
  <c r="D12146" i="2"/>
  <c r="C12146" i="2"/>
  <c r="B12146" i="2"/>
  <c r="A12146" i="2"/>
  <c r="E12145" i="2"/>
  <c r="D12145" i="2"/>
  <c r="C12145" i="2"/>
  <c r="B12145" i="2"/>
  <c r="A12145" i="2"/>
  <c r="E12144" i="2"/>
  <c r="D12144" i="2"/>
  <c r="C12144" i="2"/>
  <c r="B12144" i="2"/>
  <c r="A12144" i="2"/>
  <c r="E12143" i="2"/>
  <c r="D12143" i="2"/>
  <c r="C12143" i="2"/>
  <c r="B12143" i="2"/>
  <c r="A12143" i="2"/>
  <c r="E12142" i="2"/>
  <c r="D12142" i="2"/>
  <c r="C12142" i="2"/>
  <c r="B12142" i="2"/>
  <c r="A12142" i="2"/>
  <c r="E12141" i="2"/>
  <c r="D12141" i="2"/>
  <c r="C12141" i="2"/>
  <c r="B12141" i="2"/>
  <c r="A12141" i="2"/>
  <c r="E12140" i="2"/>
  <c r="D12140" i="2"/>
  <c r="C12140" i="2"/>
  <c r="B12140" i="2"/>
  <c r="A12140" i="2"/>
  <c r="E12139" i="2"/>
  <c r="D12139" i="2"/>
  <c r="C12139" i="2"/>
  <c r="B12139" i="2"/>
  <c r="A12139" i="2"/>
  <c r="E12138" i="2"/>
  <c r="D12138" i="2"/>
  <c r="C12138" i="2"/>
  <c r="B12138" i="2"/>
  <c r="A12138" i="2"/>
  <c r="E12137" i="2"/>
  <c r="D12137" i="2"/>
  <c r="C12137" i="2"/>
  <c r="B12137" i="2"/>
  <c r="A12137" i="2"/>
  <c r="E12136" i="2"/>
  <c r="D12136" i="2"/>
  <c r="C12136" i="2"/>
  <c r="B12136" i="2"/>
  <c r="A12136" i="2"/>
  <c r="E12135" i="2"/>
  <c r="D12135" i="2"/>
  <c r="C12135" i="2"/>
  <c r="B12135" i="2"/>
  <c r="A12135" i="2"/>
  <c r="E12134" i="2"/>
  <c r="D12134" i="2"/>
  <c r="C12134" i="2"/>
  <c r="B12134" i="2"/>
  <c r="A12134" i="2"/>
  <c r="E12133" i="2"/>
  <c r="D12133" i="2"/>
  <c r="C12133" i="2"/>
  <c r="B12133" i="2"/>
  <c r="A12133" i="2"/>
  <c r="E12132" i="2"/>
  <c r="D12132" i="2"/>
  <c r="C12132" i="2"/>
  <c r="B12132" i="2"/>
  <c r="A12132" i="2"/>
  <c r="E12131" i="2"/>
  <c r="D12131" i="2"/>
  <c r="C12131" i="2"/>
  <c r="B12131" i="2"/>
  <c r="A12131" i="2"/>
  <c r="E12130" i="2"/>
  <c r="D12130" i="2"/>
  <c r="C12130" i="2"/>
  <c r="B12130" i="2"/>
  <c r="A12130" i="2"/>
  <c r="E12129" i="2"/>
  <c r="D12129" i="2"/>
  <c r="C12129" i="2"/>
  <c r="B12129" i="2"/>
  <c r="A12129" i="2"/>
  <c r="E12128" i="2"/>
  <c r="D12128" i="2"/>
  <c r="C12128" i="2"/>
  <c r="B12128" i="2"/>
  <c r="A12128" i="2"/>
  <c r="E12127" i="2"/>
  <c r="D12127" i="2"/>
  <c r="C12127" i="2"/>
  <c r="B12127" i="2"/>
  <c r="A12127" i="2"/>
  <c r="E12126" i="2"/>
  <c r="D12126" i="2"/>
  <c r="C12126" i="2"/>
  <c r="B12126" i="2"/>
  <c r="A12126" i="2"/>
  <c r="E12125" i="2"/>
  <c r="D12125" i="2"/>
  <c r="C12125" i="2"/>
  <c r="B12125" i="2"/>
  <c r="A12125" i="2"/>
  <c r="E12124" i="2"/>
  <c r="D12124" i="2"/>
  <c r="C12124" i="2"/>
  <c r="B12124" i="2"/>
  <c r="A12124" i="2"/>
  <c r="E12123" i="2"/>
  <c r="D12123" i="2"/>
  <c r="C12123" i="2"/>
  <c r="B12123" i="2"/>
  <c r="A12123" i="2"/>
  <c r="E12122" i="2"/>
  <c r="D12122" i="2"/>
  <c r="C12122" i="2"/>
  <c r="B12122" i="2"/>
  <c r="A12122" i="2"/>
  <c r="E12121" i="2"/>
  <c r="D12121" i="2"/>
  <c r="C12121" i="2"/>
  <c r="B12121" i="2"/>
  <c r="A12121" i="2"/>
  <c r="E12120" i="2"/>
  <c r="D12120" i="2"/>
  <c r="C12120" i="2"/>
  <c r="B12120" i="2"/>
  <c r="A12120" i="2"/>
  <c r="E12119" i="2"/>
  <c r="D12119" i="2"/>
  <c r="C12119" i="2"/>
  <c r="B12119" i="2"/>
  <c r="A12119" i="2"/>
  <c r="E12118" i="2"/>
  <c r="D12118" i="2"/>
  <c r="C12118" i="2"/>
  <c r="B12118" i="2"/>
  <c r="A12118" i="2"/>
  <c r="E12117" i="2"/>
  <c r="D12117" i="2"/>
  <c r="C12117" i="2"/>
  <c r="B12117" i="2"/>
  <c r="A12117" i="2"/>
  <c r="E12116" i="2"/>
  <c r="D12116" i="2"/>
  <c r="C12116" i="2"/>
  <c r="B12116" i="2"/>
  <c r="A12116" i="2"/>
  <c r="E12115" i="2"/>
  <c r="D12115" i="2"/>
  <c r="C12115" i="2"/>
  <c r="B12115" i="2"/>
  <c r="A12115" i="2"/>
  <c r="E12114" i="2"/>
  <c r="D12114" i="2"/>
  <c r="C12114" i="2"/>
  <c r="B12114" i="2"/>
  <c r="A12114" i="2"/>
  <c r="E12113" i="2"/>
  <c r="D12113" i="2"/>
  <c r="C12113" i="2"/>
  <c r="B12113" i="2"/>
  <c r="A12113" i="2"/>
  <c r="E12112" i="2"/>
  <c r="D12112" i="2"/>
  <c r="C12112" i="2"/>
  <c r="B12112" i="2"/>
  <c r="A12112" i="2"/>
  <c r="E12111" i="2"/>
  <c r="D12111" i="2"/>
  <c r="C12111" i="2"/>
  <c r="B12111" i="2"/>
  <c r="A12111" i="2"/>
  <c r="E12110" i="2"/>
  <c r="D12110" i="2"/>
  <c r="C12110" i="2"/>
  <c r="B12110" i="2"/>
  <c r="A12110" i="2"/>
  <c r="E12109" i="2"/>
  <c r="D12109" i="2"/>
  <c r="C12109" i="2"/>
  <c r="B12109" i="2"/>
  <c r="A12109" i="2"/>
  <c r="E12108" i="2"/>
  <c r="D12108" i="2"/>
  <c r="C12108" i="2"/>
  <c r="B12108" i="2"/>
  <c r="A12108" i="2"/>
  <c r="E12107" i="2"/>
  <c r="D12107" i="2"/>
  <c r="C12107" i="2"/>
  <c r="B12107" i="2"/>
  <c r="A12107" i="2"/>
  <c r="E12106" i="2"/>
  <c r="D12106" i="2"/>
  <c r="C12106" i="2"/>
  <c r="B12106" i="2"/>
  <c r="A12106" i="2"/>
  <c r="E12105" i="2"/>
  <c r="D12105" i="2"/>
  <c r="C12105" i="2"/>
  <c r="B12105" i="2"/>
  <c r="A12105" i="2"/>
  <c r="E12104" i="2"/>
  <c r="D12104" i="2"/>
  <c r="C12104" i="2"/>
  <c r="B12104" i="2"/>
  <c r="A12104" i="2"/>
  <c r="E12103" i="2"/>
  <c r="D12103" i="2"/>
  <c r="C12103" i="2"/>
  <c r="B12103" i="2"/>
  <c r="A12103" i="2"/>
  <c r="E12102" i="2"/>
  <c r="D12102" i="2"/>
  <c r="C12102" i="2"/>
  <c r="B12102" i="2"/>
  <c r="A12102" i="2"/>
  <c r="E12101" i="2"/>
  <c r="D12101" i="2"/>
  <c r="C12101" i="2"/>
  <c r="B12101" i="2"/>
  <c r="A12101" i="2"/>
  <c r="E12100" i="2"/>
  <c r="D12100" i="2"/>
  <c r="C12100" i="2"/>
  <c r="B12100" i="2"/>
  <c r="A12100" i="2"/>
  <c r="E12099" i="2"/>
  <c r="D12099" i="2"/>
  <c r="C12099" i="2"/>
  <c r="B12099" i="2"/>
  <c r="A12099" i="2"/>
  <c r="E12098" i="2"/>
  <c r="D12098" i="2"/>
  <c r="C12098" i="2"/>
  <c r="B12098" i="2"/>
  <c r="A12098" i="2"/>
  <c r="E12097" i="2"/>
  <c r="D12097" i="2"/>
  <c r="C12097" i="2"/>
  <c r="B12097" i="2"/>
  <c r="A12097" i="2"/>
  <c r="E12096" i="2"/>
  <c r="D12096" i="2"/>
  <c r="C12096" i="2"/>
  <c r="B12096" i="2"/>
  <c r="A12096" i="2"/>
  <c r="E12095" i="2"/>
  <c r="D12095" i="2"/>
  <c r="C12095" i="2"/>
  <c r="B12095" i="2"/>
  <c r="A12095" i="2"/>
  <c r="E12094" i="2"/>
  <c r="D12094" i="2"/>
  <c r="C12094" i="2"/>
  <c r="B12094" i="2"/>
  <c r="A12094" i="2"/>
  <c r="E12093" i="2"/>
  <c r="D12093" i="2"/>
  <c r="C12093" i="2"/>
  <c r="B12093" i="2"/>
  <c r="A12093" i="2"/>
  <c r="E12092" i="2"/>
  <c r="D12092" i="2"/>
  <c r="C12092" i="2"/>
  <c r="B12092" i="2"/>
  <c r="A12092" i="2"/>
  <c r="E12091" i="2"/>
  <c r="D12091" i="2"/>
  <c r="C12091" i="2"/>
  <c r="B12091" i="2"/>
  <c r="A12091" i="2"/>
  <c r="E12090" i="2"/>
  <c r="D12090" i="2"/>
  <c r="C12090" i="2"/>
  <c r="B12090" i="2"/>
  <c r="A12090" i="2"/>
  <c r="E12089" i="2"/>
  <c r="D12089" i="2"/>
  <c r="C12089" i="2"/>
  <c r="B12089" i="2"/>
  <c r="A12089" i="2"/>
  <c r="E12088" i="2"/>
  <c r="D12088" i="2"/>
  <c r="C12088" i="2"/>
  <c r="B12088" i="2"/>
  <c r="A12088" i="2"/>
  <c r="E12087" i="2"/>
  <c r="D12087" i="2"/>
  <c r="C12087" i="2"/>
  <c r="B12087" i="2"/>
  <c r="A12087" i="2"/>
  <c r="E12086" i="2"/>
  <c r="D12086" i="2"/>
  <c r="C12086" i="2"/>
  <c r="B12086" i="2"/>
  <c r="A12086" i="2"/>
  <c r="E12085" i="2"/>
  <c r="D12085" i="2"/>
  <c r="C12085" i="2"/>
  <c r="B12085" i="2"/>
  <c r="A12085" i="2"/>
  <c r="E12084" i="2"/>
  <c r="D12084" i="2"/>
  <c r="C12084" i="2"/>
  <c r="B12084" i="2"/>
  <c r="A12084" i="2"/>
  <c r="E12083" i="2"/>
  <c r="D12083" i="2"/>
  <c r="C12083" i="2"/>
  <c r="B12083" i="2"/>
  <c r="A12083" i="2"/>
  <c r="E12082" i="2"/>
  <c r="D12082" i="2"/>
  <c r="C12082" i="2"/>
  <c r="B12082" i="2"/>
  <c r="A12082" i="2"/>
  <c r="E12081" i="2"/>
  <c r="D12081" i="2"/>
  <c r="C12081" i="2"/>
  <c r="B12081" i="2"/>
  <c r="A12081" i="2"/>
  <c r="E12080" i="2"/>
  <c r="D12080" i="2"/>
  <c r="C12080" i="2"/>
  <c r="B12080" i="2"/>
  <c r="A12080" i="2"/>
  <c r="E12079" i="2"/>
  <c r="D12079" i="2"/>
  <c r="C12079" i="2"/>
  <c r="B12079" i="2"/>
  <c r="A12079" i="2"/>
  <c r="E12078" i="2"/>
  <c r="D12078" i="2"/>
  <c r="C12078" i="2"/>
  <c r="B12078" i="2"/>
  <c r="A12078" i="2"/>
  <c r="E12077" i="2"/>
  <c r="D12077" i="2"/>
  <c r="C12077" i="2"/>
  <c r="B12077" i="2"/>
  <c r="A12077" i="2"/>
  <c r="E12076" i="2"/>
  <c r="D12076" i="2"/>
  <c r="C12076" i="2"/>
  <c r="B12076" i="2"/>
  <c r="A12076" i="2"/>
  <c r="E12075" i="2"/>
  <c r="D12075" i="2"/>
  <c r="C12075" i="2"/>
  <c r="B12075" i="2"/>
  <c r="A12075" i="2"/>
  <c r="E12074" i="2"/>
  <c r="D12074" i="2"/>
  <c r="C12074" i="2"/>
  <c r="B12074" i="2"/>
  <c r="A12074" i="2"/>
  <c r="E12073" i="2"/>
  <c r="D12073" i="2"/>
  <c r="C12073" i="2"/>
  <c r="B12073" i="2"/>
  <c r="A12073" i="2"/>
  <c r="E12072" i="2"/>
  <c r="D12072" i="2"/>
  <c r="C12072" i="2"/>
  <c r="B12072" i="2"/>
  <c r="A12072" i="2"/>
  <c r="E12071" i="2"/>
  <c r="D12071" i="2"/>
  <c r="C12071" i="2"/>
  <c r="B12071" i="2"/>
  <c r="A12071" i="2"/>
  <c r="E12070" i="2"/>
  <c r="D12070" i="2"/>
  <c r="C12070" i="2"/>
  <c r="B12070" i="2"/>
  <c r="A12070" i="2"/>
  <c r="E12069" i="2"/>
  <c r="D12069" i="2"/>
  <c r="C12069" i="2"/>
  <c r="B12069" i="2"/>
  <c r="A12069" i="2"/>
  <c r="E12068" i="2"/>
  <c r="D12068" i="2"/>
  <c r="C12068" i="2"/>
  <c r="B12068" i="2"/>
  <c r="A12068" i="2"/>
  <c r="E12067" i="2"/>
  <c r="D12067" i="2"/>
  <c r="C12067" i="2"/>
  <c r="B12067" i="2"/>
  <c r="A12067" i="2"/>
  <c r="E12066" i="2"/>
  <c r="D12066" i="2"/>
  <c r="C12066" i="2"/>
  <c r="B12066" i="2"/>
  <c r="A12066" i="2"/>
  <c r="E12065" i="2"/>
  <c r="D12065" i="2"/>
  <c r="C12065" i="2"/>
  <c r="B12065" i="2"/>
  <c r="A12065" i="2"/>
  <c r="E12064" i="2"/>
  <c r="D12064" i="2"/>
  <c r="C12064" i="2"/>
  <c r="B12064" i="2"/>
  <c r="A12064" i="2"/>
  <c r="E12063" i="2"/>
  <c r="D12063" i="2"/>
  <c r="C12063" i="2"/>
  <c r="B12063" i="2"/>
  <c r="A12063" i="2"/>
  <c r="E12062" i="2"/>
  <c r="D12062" i="2"/>
  <c r="C12062" i="2"/>
  <c r="B12062" i="2"/>
  <c r="A12062" i="2"/>
  <c r="E12061" i="2"/>
  <c r="D12061" i="2"/>
  <c r="C12061" i="2"/>
  <c r="B12061" i="2"/>
  <c r="A12061" i="2"/>
  <c r="E12060" i="2"/>
  <c r="D12060" i="2"/>
  <c r="C12060" i="2"/>
  <c r="B12060" i="2"/>
  <c r="A12060" i="2"/>
  <c r="E12059" i="2"/>
  <c r="D12059" i="2"/>
  <c r="C12059" i="2"/>
  <c r="B12059" i="2"/>
  <c r="A12059" i="2"/>
  <c r="E12058" i="2"/>
  <c r="D12058" i="2"/>
  <c r="C12058" i="2"/>
  <c r="B12058" i="2"/>
  <c r="A12058" i="2"/>
  <c r="E12057" i="2"/>
  <c r="D12057" i="2"/>
  <c r="C12057" i="2"/>
  <c r="B12057" i="2"/>
  <c r="A12057" i="2"/>
  <c r="E12056" i="2"/>
  <c r="D12056" i="2"/>
  <c r="C12056" i="2"/>
  <c r="B12056" i="2"/>
  <c r="A12056" i="2"/>
  <c r="E12055" i="2"/>
  <c r="D12055" i="2"/>
  <c r="C12055" i="2"/>
  <c r="B12055" i="2"/>
  <c r="A12055" i="2"/>
  <c r="E12054" i="2"/>
  <c r="D12054" i="2"/>
  <c r="C12054" i="2"/>
  <c r="B12054" i="2"/>
  <c r="A12054" i="2"/>
  <c r="E12053" i="2"/>
  <c r="D12053" i="2"/>
  <c r="C12053" i="2"/>
  <c r="B12053" i="2"/>
  <c r="A12053" i="2"/>
  <c r="E12052" i="2"/>
  <c r="D12052" i="2"/>
  <c r="C12052" i="2"/>
  <c r="B12052" i="2"/>
  <c r="A12052" i="2"/>
  <c r="E12051" i="2"/>
  <c r="D12051" i="2"/>
  <c r="C12051" i="2"/>
  <c r="B12051" i="2"/>
  <c r="A12051" i="2"/>
  <c r="E12050" i="2"/>
  <c r="D12050" i="2"/>
  <c r="C12050" i="2"/>
  <c r="B12050" i="2"/>
  <c r="A12050" i="2"/>
  <c r="E12049" i="2"/>
  <c r="D12049" i="2"/>
  <c r="C12049" i="2"/>
  <c r="B12049" i="2"/>
  <c r="A12049" i="2"/>
  <c r="E12048" i="2"/>
  <c r="D12048" i="2"/>
  <c r="C12048" i="2"/>
  <c r="B12048" i="2"/>
  <c r="A12048" i="2"/>
  <c r="E12047" i="2"/>
  <c r="D12047" i="2"/>
  <c r="C12047" i="2"/>
  <c r="B12047" i="2"/>
  <c r="A12047" i="2"/>
  <c r="E12046" i="2"/>
  <c r="D12046" i="2"/>
  <c r="C12046" i="2"/>
  <c r="B12046" i="2"/>
  <c r="A12046" i="2"/>
  <c r="E12045" i="2"/>
  <c r="D12045" i="2"/>
  <c r="C12045" i="2"/>
  <c r="B12045" i="2"/>
  <c r="A12045" i="2"/>
  <c r="E12044" i="2"/>
  <c r="D12044" i="2"/>
  <c r="C12044" i="2"/>
  <c r="B12044" i="2"/>
  <c r="A12044" i="2"/>
  <c r="E12043" i="2"/>
  <c r="D12043" i="2"/>
  <c r="C12043" i="2"/>
  <c r="B12043" i="2"/>
  <c r="A12043" i="2"/>
  <c r="E12042" i="2"/>
  <c r="D12042" i="2"/>
  <c r="C12042" i="2"/>
  <c r="B12042" i="2"/>
  <c r="A12042" i="2"/>
  <c r="E12041" i="2"/>
  <c r="D12041" i="2"/>
  <c r="C12041" i="2"/>
  <c r="B12041" i="2"/>
  <c r="A12041" i="2"/>
  <c r="E12040" i="2"/>
  <c r="D12040" i="2"/>
  <c r="C12040" i="2"/>
  <c r="B12040" i="2"/>
  <c r="A12040" i="2"/>
  <c r="E12039" i="2"/>
  <c r="D12039" i="2"/>
  <c r="C12039" i="2"/>
  <c r="B12039" i="2"/>
  <c r="A12039" i="2"/>
  <c r="E12038" i="2"/>
  <c r="D12038" i="2"/>
  <c r="C12038" i="2"/>
  <c r="B12038" i="2"/>
  <c r="A12038" i="2"/>
  <c r="E12037" i="2"/>
  <c r="D12037" i="2"/>
  <c r="C12037" i="2"/>
  <c r="B12037" i="2"/>
  <c r="A12037" i="2"/>
  <c r="E12036" i="2"/>
  <c r="D12036" i="2"/>
  <c r="C12036" i="2"/>
  <c r="B12036" i="2"/>
  <c r="A12036" i="2"/>
  <c r="E12035" i="2"/>
  <c r="D12035" i="2"/>
  <c r="C12035" i="2"/>
  <c r="B12035" i="2"/>
  <c r="A12035" i="2"/>
  <c r="E12034" i="2"/>
  <c r="D12034" i="2"/>
  <c r="C12034" i="2"/>
  <c r="B12034" i="2"/>
  <c r="A12034" i="2"/>
  <c r="E12033" i="2"/>
  <c r="D12033" i="2"/>
  <c r="C12033" i="2"/>
  <c r="B12033" i="2"/>
  <c r="A12033" i="2"/>
  <c r="E12032" i="2"/>
  <c r="D12032" i="2"/>
  <c r="C12032" i="2"/>
  <c r="B12032" i="2"/>
  <c r="A12032" i="2"/>
  <c r="E12031" i="2"/>
  <c r="D12031" i="2"/>
  <c r="C12031" i="2"/>
  <c r="B12031" i="2"/>
  <c r="A12031" i="2"/>
  <c r="E12030" i="2"/>
  <c r="D12030" i="2"/>
  <c r="C12030" i="2"/>
  <c r="B12030" i="2"/>
  <c r="A12030" i="2"/>
  <c r="E12029" i="2"/>
  <c r="D12029" i="2"/>
  <c r="C12029" i="2"/>
  <c r="B12029" i="2"/>
  <c r="A12029" i="2"/>
  <c r="E12028" i="2"/>
  <c r="D12028" i="2"/>
  <c r="C12028" i="2"/>
  <c r="B12028" i="2"/>
  <c r="A12028" i="2"/>
  <c r="E12027" i="2"/>
  <c r="D12027" i="2"/>
  <c r="C12027" i="2"/>
  <c r="B12027" i="2"/>
  <c r="A12027" i="2"/>
  <c r="E12026" i="2"/>
  <c r="D12026" i="2"/>
  <c r="C12026" i="2"/>
  <c r="B12026" i="2"/>
  <c r="A12026" i="2"/>
  <c r="E12025" i="2"/>
  <c r="D12025" i="2"/>
  <c r="C12025" i="2"/>
  <c r="B12025" i="2"/>
  <c r="A12025" i="2"/>
  <c r="E12024" i="2"/>
  <c r="D12024" i="2"/>
  <c r="C12024" i="2"/>
  <c r="B12024" i="2"/>
  <c r="A12024" i="2"/>
  <c r="E12023" i="2"/>
  <c r="D12023" i="2"/>
  <c r="C12023" i="2"/>
  <c r="B12023" i="2"/>
  <c r="A12023" i="2"/>
  <c r="E12022" i="2"/>
  <c r="D12022" i="2"/>
  <c r="C12022" i="2"/>
  <c r="B12022" i="2"/>
  <c r="A12022" i="2"/>
  <c r="E12021" i="2"/>
  <c r="D12021" i="2"/>
  <c r="C12021" i="2"/>
  <c r="B12021" i="2"/>
  <c r="A12021" i="2"/>
  <c r="E12020" i="2"/>
  <c r="D12020" i="2"/>
  <c r="C12020" i="2"/>
  <c r="B12020" i="2"/>
  <c r="A12020" i="2"/>
  <c r="E12019" i="2"/>
  <c r="D12019" i="2"/>
  <c r="C12019" i="2"/>
  <c r="B12019" i="2"/>
  <c r="A12019" i="2"/>
  <c r="E12018" i="2"/>
  <c r="D12018" i="2"/>
  <c r="C12018" i="2"/>
  <c r="B12018" i="2"/>
  <c r="A12018" i="2"/>
  <c r="E12017" i="2"/>
  <c r="D12017" i="2"/>
  <c r="C12017" i="2"/>
  <c r="B12017" i="2"/>
  <c r="A12017" i="2"/>
  <c r="E12016" i="2"/>
  <c r="D12016" i="2"/>
  <c r="C12016" i="2"/>
  <c r="B12016" i="2"/>
  <c r="A12016" i="2"/>
  <c r="E12015" i="2"/>
  <c r="D12015" i="2"/>
  <c r="C12015" i="2"/>
  <c r="B12015" i="2"/>
  <c r="A12015" i="2"/>
  <c r="E12014" i="2"/>
  <c r="D12014" i="2"/>
  <c r="C12014" i="2"/>
  <c r="B12014" i="2"/>
  <c r="A12014" i="2"/>
  <c r="E12013" i="2"/>
  <c r="D12013" i="2"/>
  <c r="C12013" i="2"/>
  <c r="B12013" i="2"/>
  <c r="A12013" i="2"/>
  <c r="E12012" i="2"/>
  <c r="D12012" i="2"/>
  <c r="C12012" i="2"/>
  <c r="B12012" i="2"/>
  <c r="A12012" i="2"/>
  <c r="E12011" i="2"/>
  <c r="D12011" i="2"/>
  <c r="C12011" i="2"/>
  <c r="B12011" i="2"/>
  <c r="A12011" i="2"/>
  <c r="E12010" i="2"/>
  <c r="D12010" i="2"/>
  <c r="C12010" i="2"/>
  <c r="B12010" i="2"/>
  <c r="A12010" i="2"/>
  <c r="E12009" i="2"/>
  <c r="D12009" i="2"/>
  <c r="C12009" i="2"/>
  <c r="B12009" i="2"/>
  <c r="A12009" i="2"/>
  <c r="E12008" i="2"/>
  <c r="D12008" i="2"/>
  <c r="C12008" i="2"/>
  <c r="B12008" i="2"/>
  <c r="A12008" i="2"/>
  <c r="E12007" i="2"/>
  <c r="D12007" i="2"/>
  <c r="C12007" i="2"/>
  <c r="B12007" i="2"/>
  <c r="A12007" i="2"/>
  <c r="E12006" i="2"/>
  <c r="D12006" i="2"/>
  <c r="C12006" i="2"/>
  <c r="B12006" i="2"/>
  <c r="A12006" i="2"/>
  <c r="E12005" i="2"/>
  <c r="D12005" i="2"/>
  <c r="C12005" i="2"/>
  <c r="B12005" i="2"/>
  <c r="A12005" i="2"/>
  <c r="E12004" i="2"/>
  <c r="D12004" i="2"/>
  <c r="C12004" i="2"/>
  <c r="B12004" i="2"/>
  <c r="A12004" i="2"/>
  <c r="E12003" i="2"/>
  <c r="D12003" i="2"/>
  <c r="C12003" i="2"/>
  <c r="B12003" i="2"/>
  <c r="A12003" i="2"/>
  <c r="E12002" i="2"/>
  <c r="D12002" i="2"/>
  <c r="C12002" i="2"/>
  <c r="B12002" i="2"/>
  <c r="A12002" i="2"/>
  <c r="E12001" i="2"/>
  <c r="D12001" i="2"/>
  <c r="C12001" i="2"/>
  <c r="B12001" i="2"/>
  <c r="A12001" i="2"/>
  <c r="E12000" i="2"/>
  <c r="D12000" i="2"/>
  <c r="C12000" i="2"/>
  <c r="B12000" i="2"/>
  <c r="A12000" i="2"/>
  <c r="E11999" i="2"/>
  <c r="D11999" i="2"/>
  <c r="C11999" i="2"/>
  <c r="B11999" i="2"/>
  <c r="A11999" i="2"/>
  <c r="E11998" i="2"/>
  <c r="D11998" i="2"/>
  <c r="C11998" i="2"/>
  <c r="B11998" i="2"/>
  <c r="A11998" i="2"/>
  <c r="E11997" i="2"/>
  <c r="D11997" i="2"/>
  <c r="C11997" i="2"/>
  <c r="B11997" i="2"/>
  <c r="A11997" i="2"/>
  <c r="E11996" i="2"/>
  <c r="D11996" i="2"/>
  <c r="C11996" i="2"/>
  <c r="B11996" i="2"/>
  <c r="A11996" i="2"/>
  <c r="E11995" i="2"/>
  <c r="D11995" i="2"/>
  <c r="C11995" i="2"/>
  <c r="B11995" i="2"/>
  <c r="A11995" i="2"/>
  <c r="E11994" i="2"/>
  <c r="D11994" i="2"/>
  <c r="C11994" i="2"/>
  <c r="B11994" i="2"/>
  <c r="A11994" i="2"/>
  <c r="E11993" i="2"/>
  <c r="D11993" i="2"/>
  <c r="C11993" i="2"/>
  <c r="B11993" i="2"/>
  <c r="A11993" i="2"/>
  <c r="E11992" i="2"/>
  <c r="D11992" i="2"/>
  <c r="C11992" i="2"/>
  <c r="B11992" i="2"/>
  <c r="A11992" i="2"/>
  <c r="E11991" i="2"/>
  <c r="D11991" i="2"/>
  <c r="C11991" i="2"/>
  <c r="B11991" i="2"/>
  <c r="A11991" i="2"/>
  <c r="E11990" i="2"/>
  <c r="D11990" i="2"/>
  <c r="C11990" i="2"/>
  <c r="B11990" i="2"/>
  <c r="A11990" i="2"/>
  <c r="E11989" i="2"/>
  <c r="D11989" i="2"/>
  <c r="C11989" i="2"/>
  <c r="B11989" i="2"/>
  <c r="A11989" i="2"/>
  <c r="E11988" i="2"/>
  <c r="D11988" i="2"/>
  <c r="C11988" i="2"/>
  <c r="B11988" i="2"/>
  <c r="A11988" i="2"/>
  <c r="E11987" i="2"/>
  <c r="D11987" i="2"/>
  <c r="C11987" i="2"/>
  <c r="B11987" i="2"/>
  <c r="A11987" i="2"/>
  <c r="E11986" i="2"/>
  <c r="D11986" i="2"/>
  <c r="C11986" i="2"/>
  <c r="B11986" i="2"/>
  <c r="A11986" i="2"/>
  <c r="E11985" i="2"/>
  <c r="D11985" i="2"/>
  <c r="C11985" i="2"/>
  <c r="B11985" i="2"/>
  <c r="A11985" i="2"/>
  <c r="E11984" i="2"/>
  <c r="D11984" i="2"/>
  <c r="C11984" i="2"/>
  <c r="B11984" i="2"/>
  <c r="A11984" i="2"/>
  <c r="E11983" i="2"/>
  <c r="D11983" i="2"/>
  <c r="C11983" i="2"/>
  <c r="B11983" i="2"/>
  <c r="A11983" i="2"/>
  <c r="E11982" i="2"/>
  <c r="D11982" i="2"/>
  <c r="C11982" i="2"/>
  <c r="B11982" i="2"/>
  <c r="A11982" i="2"/>
  <c r="E11981" i="2"/>
  <c r="D11981" i="2"/>
  <c r="C11981" i="2"/>
  <c r="B11981" i="2"/>
  <c r="A11981" i="2"/>
  <c r="E11980" i="2"/>
  <c r="D11980" i="2"/>
  <c r="C11980" i="2"/>
  <c r="B11980" i="2"/>
  <c r="A11980" i="2"/>
  <c r="E11979" i="2"/>
  <c r="D11979" i="2"/>
  <c r="C11979" i="2"/>
  <c r="B11979" i="2"/>
  <c r="A11979" i="2"/>
  <c r="E11978" i="2"/>
  <c r="D11978" i="2"/>
  <c r="C11978" i="2"/>
  <c r="B11978" i="2"/>
  <c r="A11978" i="2"/>
  <c r="E11977" i="2"/>
  <c r="D11977" i="2"/>
  <c r="C11977" i="2"/>
  <c r="B11977" i="2"/>
  <c r="A11977" i="2"/>
  <c r="E11976" i="2"/>
  <c r="D11976" i="2"/>
  <c r="C11976" i="2"/>
  <c r="B11976" i="2"/>
  <c r="A11976" i="2"/>
  <c r="E11975" i="2"/>
  <c r="D11975" i="2"/>
  <c r="C11975" i="2"/>
  <c r="B11975" i="2"/>
  <c r="A11975" i="2"/>
  <c r="E11974" i="2"/>
  <c r="D11974" i="2"/>
  <c r="C11974" i="2"/>
  <c r="B11974" i="2"/>
  <c r="A11974" i="2"/>
  <c r="E11973" i="2"/>
  <c r="D11973" i="2"/>
  <c r="C11973" i="2"/>
  <c r="B11973" i="2"/>
  <c r="A11973" i="2"/>
  <c r="E11972" i="2"/>
  <c r="D11972" i="2"/>
  <c r="C11972" i="2"/>
  <c r="B11972" i="2"/>
  <c r="A11972" i="2"/>
  <c r="E11971" i="2"/>
  <c r="D11971" i="2"/>
  <c r="C11971" i="2"/>
  <c r="B11971" i="2"/>
  <c r="A11971" i="2"/>
  <c r="E11970" i="2"/>
  <c r="D11970" i="2"/>
  <c r="C11970" i="2"/>
  <c r="B11970" i="2"/>
  <c r="A11970" i="2"/>
  <c r="E11969" i="2"/>
  <c r="D11969" i="2"/>
  <c r="C11969" i="2"/>
  <c r="B11969" i="2"/>
  <c r="A11969" i="2"/>
  <c r="E11968" i="2"/>
  <c r="D11968" i="2"/>
  <c r="C11968" i="2"/>
  <c r="B11968" i="2"/>
  <c r="A11968" i="2"/>
  <c r="E11967" i="2"/>
  <c r="D11967" i="2"/>
  <c r="C11967" i="2"/>
  <c r="B11967" i="2"/>
  <c r="A11967" i="2"/>
  <c r="E11966" i="2"/>
  <c r="D11966" i="2"/>
  <c r="C11966" i="2"/>
  <c r="B11966" i="2"/>
  <c r="A11966" i="2"/>
  <c r="E11965" i="2"/>
  <c r="D11965" i="2"/>
  <c r="C11965" i="2"/>
  <c r="B11965" i="2"/>
  <c r="A11965" i="2"/>
  <c r="E11964" i="2"/>
  <c r="D11964" i="2"/>
  <c r="C11964" i="2"/>
  <c r="B11964" i="2"/>
  <c r="A11964" i="2"/>
  <c r="E11963" i="2"/>
  <c r="D11963" i="2"/>
  <c r="C11963" i="2"/>
  <c r="B11963" i="2"/>
  <c r="A11963" i="2"/>
  <c r="E11962" i="2"/>
  <c r="D11962" i="2"/>
  <c r="C11962" i="2"/>
  <c r="B11962" i="2"/>
  <c r="A11962" i="2"/>
  <c r="E11961" i="2"/>
  <c r="D11961" i="2"/>
  <c r="C11961" i="2"/>
  <c r="B11961" i="2"/>
  <c r="A11961" i="2"/>
  <c r="E11960" i="2"/>
  <c r="D11960" i="2"/>
  <c r="C11960" i="2"/>
  <c r="B11960" i="2"/>
  <c r="A11960" i="2"/>
  <c r="E11959" i="2"/>
  <c r="D11959" i="2"/>
  <c r="C11959" i="2"/>
  <c r="B11959" i="2"/>
  <c r="A11959" i="2"/>
  <c r="E11958" i="2"/>
  <c r="D11958" i="2"/>
  <c r="C11958" i="2"/>
  <c r="B11958" i="2"/>
  <c r="A11958" i="2"/>
  <c r="E11957" i="2"/>
  <c r="D11957" i="2"/>
  <c r="C11957" i="2"/>
  <c r="B11957" i="2"/>
  <c r="A11957" i="2"/>
  <c r="E11956" i="2"/>
  <c r="D11956" i="2"/>
  <c r="C11956" i="2"/>
  <c r="B11956" i="2"/>
  <c r="A11956" i="2"/>
  <c r="E11955" i="2"/>
  <c r="D11955" i="2"/>
  <c r="C11955" i="2"/>
  <c r="B11955" i="2"/>
  <c r="A11955" i="2"/>
  <c r="E11954" i="2"/>
  <c r="D11954" i="2"/>
  <c r="C11954" i="2"/>
  <c r="B11954" i="2"/>
  <c r="A11954" i="2"/>
  <c r="E11953" i="2"/>
  <c r="D11953" i="2"/>
  <c r="C11953" i="2"/>
  <c r="B11953" i="2"/>
  <c r="A11953" i="2"/>
  <c r="E11952" i="2"/>
  <c r="D11952" i="2"/>
  <c r="C11952" i="2"/>
  <c r="B11952" i="2"/>
  <c r="A11952" i="2"/>
  <c r="E11951" i="2"/>
  <c r="D11951" i="2"/>
  <c r="C11951" i="2"/>
  <c r="B11951" i="2"/>
  <c r="A11951" i="2"/>
  <c r="E11950" i="2"/>
  <c r="D11950" i="2"/>
  <c r="C11950" i="2"/>
  <c r="B11950" i="2"/>
  <c r="A11950" i="2"/>
  <c r="E11949" i="2"/>
  <c r="D11949" i="2"/>
  <c r="C11949" i="2"/>
  <c r="B11949" i="2"/>
  <c r="A11949" i="2"/>
  <c r="E11948" i="2"/>
  <c r="D11948" i="2"/>
  <c r="C11948" i="2"/>
  <c r="B11948" i="2"/>
  <c r="A11948" i="2"/>
  <c r="E11947" i="2"/>
  <c r="D11947" i="2"/>
  <c r="C11947" i="2"/>
  <c r="B11947" i="2"/>
  <c r="A11947" i="2"/>
  <c r="E11946" i="2"/>
  <c r="D11946" i="2"/>
  <c r="C11946" i="2"/>
  <c r="B11946" i="2"/>
  <c r="A11946" i="2"/>
  <c r="E11945" i="2"/>
  <c r="D11945" i="2"/>
  <c r="C11945" i="2"/>
  <c r="B11945" i="2"/>
  <c r="A11945" i="2"/>
  <c r="E11944" i="2"/>
  <c r="D11944" i="2"/>
  <c r="C11944" i="2"/>
  <c r="B11944" i="2"/>
  <c r="A11944" i="2"/>
  <c r="E11943" i="2"/>
  <c r="D11943" i="2"/>
  <c r="C11943" i="2"/>
  <c r="B11943" i="2"/>
  <c r="A11943" i="2"/>
  <c r="E11942" i="2"/>
  <c r="D11942" i="2"/>
  <c r="C11942" i="2"/>
  <c r="B11942" i="2"/>
  <c r="A11942" i="2"/>
  <c r="E11941" i="2"/>
  <c r="D11941" i="2"/>
  <c r="C11941" i="2"/>
  <c r="B11941" i="2"/>
  <c r="A11941" i="2"/>
  <c r="E11940" i="2"/>
  <c r="D11940" i="2"/>
  <c r="C11940" i="2"/>
  <c r="B11940" i="2"/>
  <c r="A11940" i="2"/>
  <c r="E11939" i="2"/>
  <c r="D11939" i="2"/>
  <c r="C11939" i="2"/>
  <c r="B11939" i="2"/>
  <c r="A11939" i="2"/>
  <c r="E11938" i="2"/>
  <c r="D11938" i="2"/>
  <c r="C11938" i="2"/>
  <c r="B11938" i="2"/>
  <c r="A11938" i="2"/>
  <c r="E11937" i="2"/>
  <c r="D11937" i="2"/>
  <c r="C11937" i="2"/>
  <c r="B11937" i="2"/>
  <c r="A11937" i="2"/>
  <c r="E11936" i="2"/>
  <c r="D11936" i="2"/>
  <c r="C11936" i="2"/>
  <c r="B11936" i="2"/>
  <c r="A11936" i="2"/>
  <c r="E11935" i="2"/>
  <c r="D11935" i="2"/>
  <c r="C11935" i="2"/>
  <c r="B11935" i="2"/>
  <c r="A11935" i="2"/>
  <c r="E11934" i="2"/>
  <c r="D11934" i="2"/>
  <c r="C11934" i="2"/>
  <c r="B11934" i="2"/>
  <c r="A11934" i="2"/>
  <c r="E11933" i="2"/>
  <c r="D11933" i="2"/>
  <c r="C11933" i="2"/>
  <c r="B11933" i="2"/>
  <c r="A11933" i="2"/>
  <c r="E11932" i="2"/>
  <c r="D11932" i="2"/>
  <c r="C11932" i="2"/>
  <c r="B11932" i="2"/>
  <c r="A11932" i="2"/>
  <c r="E11931" i="2"/>
  <c r="D11931" i="2"/>
  <c r="C11931" i="2"/>
  <c r="B11931" i="2"/>
  <c r="A11931" i="2"/>
  <c r="E11930" i="2"/>
  <c r="D11930" i="2"/>
  <c r="C11930" i="2"/>
  <c r="B11930" i="2"/>
  <c r="A11930" i="2"/>
  <c r="E11929" i="2"/>
  <c r="D11929" i="2"/>
  <c r="C11929" i="2"/>
  <c r="B11929" i="2"/>
  <c r="A11929" i="2"/>
  <c r="E11928" i="2"/>
  <c r="D11928" i="2"/>
  <c r="C11928" i="2"/>
  <c r="B11928" i="2"/>
  <c r="A11928" i="2"/>
  <c r="E11927" i="2"/>
  <c r="D11927" i="2"/>
  <c r="C11927" i="2"/>
  <c r="B11927" i="2"/>
  <c r="A11927" i="2"/>
  <c r="E11926" i="2"/>
  <c r="D11926" i="2"/>
  <c r="C11926" i="2"/>
  <c r="B11926" i="2"/>
  <c r="A11926" i="2"/>
  <c r="E11925" i="2"/>
  <c r="D11925" i="2"/>
  <c r="C11925" i="2"/>
  <c r="B11925" i="2"/>
  <c r="A11925" i="2"/>
  <c r="E11924" i="2"/>
  <c r="D11924" i="2"/>
  <c r="C11924" i="2"/>
  <c r="B11924" i="2"/>
  <c r="A11924" i="2"/>
  <c r="E11923" i="2"/>
  <c r="D11923" i="2"/>
  <c r="C11923" i="2"/>
  <c r="B11923" i="2"/>
  <c r="A11923" i="2"/>
  <c r="E11922" i="2"/>
  <c r="D11922" i="2"/>
  <c r="C11922" i="2"/>
  <c r="B11922" i="2"/>
  <c r="A11922" i="2"/>
  <c r="E11921" i="2"/>
  <c r="D11921" i="2"/>
  <c r="C11921" i="2"/>
  <c r="B11921" i="2"/>
  <c r="A11921" i="2"/>
  <c r="E11920" i="2"/>
  <c r="D11920" i="2"/>
  <c r="C11920" i="2"/>
  <c r="B11920" i="2"/>
  <c r="A11920" i="2"/>
  <c r="E11919" i="2"/>
  <c r="D11919" i="2"/>
  <c r="C11919" i="2"/>
  <c r="B11919" i="2"/>
  <c r="A11919" i="2"/>
  <c r="E11918" i="2"/>
  <c r="D11918" i="2"/>
  <c r="C11918" i="2"/>
  <c r="B11918" i="2"/>
  <c r="A11918" i="2"/>
  <c r="E11917" i="2"/>
  <c r="D11917" i="2"/>
  <c r="C11917" i="2"/>
  <c r="B11917" i="2"/>
  <c r="A11917" i="2"/>
  <c r="E11916" i="2"/>
  <c r="D11916" i="2"/>
  <c r="C11916" i="2"/>
  <c r="B11916" i="2"/>
  <c r="A11916" i="2"/>
  <c r="E11915" i="2"/>
  <c r="D11915" i="2"/>
  <c r="C11915" i="2"/>
  <c r="B11915" i="2"/>
  <c r="A11915" i="2"/>
  <c r="E11914" i="2"/>
  <c r="D11914" i="2"/>
  <c r="C11914" i="2"/>
  <c r="B11914" i="2"/>
  <c r="A11914" i="2"/>
  <c r="E11913" i="2"/>
  <c r="D11913" i="2"/>
  <c r="C11913" i="2"/>
  <c r="B11913" i="2"/>
  <c r="A11913" i="2"/>
  <c r="E11912" i="2"/>
  <c r="D11912" i="2"/>
  <c r="C11912" i="2"/>
  <c r="B11912" i="2"/>
  <c r="A11912" i="2"/>
  <c r="E11911" i="2"/>
  <c r="D11911" i="2"/>
  <c r="C11911" i="2"/>
  <c r="B11911" i="2"/>
  <c r="A11911" i="2"/>
  <c r="E11910" i="2"/>
  <c r="D11910" i="2"/>
  <c r="C11910" i="2"/>
  <c r="B11910" i="2"/>
  <c r="A11910" i="2"/>
  <c r="E11909" i="2"/>
  <c r="D11909" i="2"/>
  <c r="C11909" i="2"/>
  <c r="B11909" i="2"/>
  <c r="A11909" i="2"/>
  <c r="E11908" i="2"/>
  <c r="D11908" i="2"/>
  <c r="C11908" i="2"/>
  <c r="B11908" i="2"/>
  <c r="A11908" i="2"/>
  <c r="E11907" i="2"/>
  <c r="D11907" i="2"/>
  <c r="C11907" i="2"/>
  <c r="B11907" i="2"/>
  <c r="A11907" i="2"/>
  <c r="E11906" i="2"/>
  <c r="D11906" i="2"/>
  <c r="C11906" i="2"/>
  <c r="B11906" i="2"/>
  <c r="A11906" i="2"/>
  <c r="E11905" i="2"/>
  <c r="D11905" i="2"/>
  <c r="C11905" i="2"/>
  <c r="B11905" i="2"/>
  <c r="A11905" i="2"/>
  <c r="E11904" i="2"/>
  <c r="D11904" i="2"/>
  <c r="C11904" i="2"/>
  <c r="B11904" i="2"/>
  <c r="A11904" i="2"/>
  <c r="E11903" i="2"/>
  <c r="D11903" i="2"/>
  <c r="C11903" i="2"/>
  <c r="B11903" i="2"/>
  <c r="A11903" i="2"/>
  <c r="E11902" i="2"/>
  <c r="D11902" i="2"/>
  <c r="C11902" i="2"/>
  <c r="B11902" i="2"/>
  <c r="A11902" i="2"/>
  <c r="E11901" i="2"/>
  <c r="D11901" i="2"/>
  <c r="C11901" i="2"/>
  <c r="B11901" i="2"/>
  <c r="A11901" i="2"/>
  <c r="E11900" i="2"/>
  <c r="D11900" i="2"/>
  <c r="C11900" i="2"/>
  <c r="B11900" i="2"/>
  <c r="A11900" i="2"/>
  <c r="E11899" i="2"/>
  <c r="D11899" i="2"/>
  <c r="C11899" i="2"/>
  <c r="B11899" i="2"/>
  <c r="A11899" i="2"/>
  <c r="E11898" i="2"/>
  <c r="D11898" i="2"/>
  <c r="C11898" i="2"/>
  <c r="B11898" i="2"/>
  <c r="A11898" i="2"/>
  <c r="E11897" i="2"/>
  <c r="D11897" i="2"/>
  <c r="C11897" i="2"/>
  <c r="B11897" i="2"/>
  <c r="A11897" i="2"/>
  <c r="E11896" i="2"/>
  <c r="D11896" i="2"/>
  <c r="C11896" i="2"/>
  <c r="B11896" i="2"/>
  <c r="A11896" i="2"/>
  <c r="E11895" i="2"/>
  <c r="D11895" i="2"/>
  <c r="C11895" i="2"/>
  <c r="B11895" i="2"/>
  <c r="A11895" i="2"/>
  <c r="E11894" i="2"/>
  <c r="D11894" i="2"/>
  <c r="C11894" i="2"/>
  <c r="B11894" i="2"/>
  <c r="A11894" i="2"/>
  <c r="E11893" i="2"/>
  <c r="D11893" i="2"/>
  <c r="C11893" i="2"/>
  <c r="B11893" i="2"/>
  <c r="A11893" i="2"/>
  <c r="E11892" i="2"/>
  <c r="D11892" i="2"/>
  <c r="C11892" i="2"/>
  <c r="B11892" i="2"/>
  <c r="A11892" i="2"/>
  <c r="E11891" i="2"/>
  <c r="D11891" i="2"/>
  <c r="C11891" i="2"/>
  <c r="B11891" i="2"/>
  <c r="A11891" i="2"/>
  <c r="E11890" i="2"/>
  <c r="D11890" i="2"/>
  <c r="C11890" i="2"/>
  <c r="B11890" i="2"/>
  <c r="A11890" i="2"/>
  <c r="E11889" i="2"/>
  <c r="D11889" i="2"/>
  <c r="C11889" i="2"/>
  <c r="B11889" i="2"/>
  <c r="A11889" i="2"/>
  <c r="E11888" i="2"/>
  <c r="D11888" i="2"/>
  <c r="C11888" i="2"/>
  <c r="B11888" i="2"/>
  <c r="A11888" i="2"/>
  <c r="E11887" i="2"/>
  <c r="D11887" i="2"/>
  <c r="C11887" i="2"/>
  <c r="B11887" i="2"/>
  <c r="A11887" i="2"/>
  <c r="E11886" i="2"/>
  <c r="D11886" i="2"/>
  <c r="C11886" i="2"/>
  <c r="B11886" i="2"/>
  <c r="A11886" i="2"/>
  <c r="E11885" i="2"/>
  <c r="D11885" i="2"/>
  <c r="C11885" i="2"/>
  <c r="B11885" i="2"/>
  <c r="A11885" i="2"/>
  <c r="E11884" i="2"/>
  <c r="D11884" i="2"/>
  <c r="C11884" i="2"/>
  <c r="B11884" i="2"/>
  <c r="A11884" i="2"/>
  <c r="E11883" i="2"/>
  <c r="D11883" i="2"/>
  <c r="C11883" i="2"/>
  <c r="B11883" i="2"/>
  <c r="A11883" i="2"/>
  <c r="E11882" i="2"/>
  <c r="D11882" i="2"/>
  <c r="C11882" i="2"/>
  <c r="B11882" i="2"/>
  <c r="A11882" i="2"/>
  <c r="E11881" i="2"/>
  <c r="D11881" i="2"/>
  <c r="C11881" i="2"/>
  <c r="B11881" i="2"/>
  <c r="A11881" i="2"/>
  <c r="E11880" i="2"/>
  <c r="D11880" i="2"/>
  <c r="C11880" i="2"/>
  <c r="B11880" i="2"/>
  <c r="A11880" i="2"/>
  <c r="E11879" i="2"/>
  <c r="D11879" i="2"/>
  <c r="C11879" i="2"/>
  <c r="B11879" i="2"/>
  <c r="A11879" i="2"/>
  <c r="E11878" i="2"/>
  <c r="D11878" i="2"/>
  <c r="C11878" i="2"/>
  <c r="B11878" i="2"/>
  <c r="A11878" i="2"/>
  <c r="E11877" i="2"/>
  <c r="D11877" i="2"/>
  <c r="C11877" i="2"/>
  <c r="B11877" i="2"/>
  <c r="A11877" i="2"/>
  <c r="E11876" i="2"/>
  <c r="D11876" i="2"/>
  <c r="C11876" i="2"/>
  <c r="B11876" i="2"/>
  <c r="A11876" i="2"/>
  <c r="E11875" i="2"/>
  <c r="D11875" i="2"/>
  <c r="C11875" i="2"/>
  <c r="B11875" i="2"/>
  <c r="A11875" i="2"/>
  <c r="E11874" i="2"/>
  <c r="D11874" i="2"/>
  <c r="C11874" i="2"/>
  <c r="B11874" i="2"/>
  <c r="A11874" i="2"/>
  <c r="E11873" i="2"/>
  <c r="D11873" i="2"/>
  <c r="C11873" i="2"/>
  <c r="B11873" i="2"/>
  <c r="A11873" i="2"/>
  <c r="E11872" i="2"/>
  <c r="D11872" i="2"/>
  <c r="C11872" i="2"/>
  <c r="B11872" i="2"/>
  <c r="A11872" i="2"/>
  <c r="E11871" i="2"/>
  <c r="D11871" i="2"/>
  <c r="C11871" i="2"/>
  <c r="B11871" i="2"/>
  <c r="A11871" i="2"/>
  <c r="E11870" i="2"/>
  <c r="D11870" i="2"/>
  <c r="C11870" i="2"/>
  <c r="B11870" i="2"/>
  <c r="A11870" i="2"/>
  <c r="E11869" i="2"/>
  <c r="D11869" i="2"/>
  <c r="C11869" i="2"/>
  <c r="B11869" i="2"/>
  <c r="A11869" i="2"/>
  <c r="E11868" i="2"/>
  <c r="D11868" i="2"/>
  <c r="C11868" i="2"/>
  <c r="B11868" i="2"/>
  <c r="A11868" i="2"/>
  <c r="E11867" i="2"/>
  <c r="D11867" i="2"/>
  <c r="C11867" i="2"/>
  <c r="B11867" i="2"/>
  <c r="A11867" i="2"/>
  <c r="E11866" i="2"/>
  <c r="D11866" i="2"/>
  <c r="C11866" i="2"/>
  <c r="B11866" i="2"/>
  <c r="A11866" i="2"/>
  <c r="E11865" i="2"/>
  <c r="D11865" i="2"/>
  <c r="C11865" i="2"/>
  <c r="B11865" i="2"/>
  <c r="A11865" i="2"/>
  <c r="E11864" i="2"/>
  <c r="D11864" i="2"/>
  <c r="C11864" i="2"/>
  <c r="B11864" i="2"/>
  <c r="A11864" i="2"/>
  <c r="E11863" i="2"/>
  <c r="D11863" i="2"/>
  <c r="C11863" i="2"/>
  <c r="B11863" i="2"/>
  <c r="A11863" i="2"/>
  <c r="E11862" i="2"/>
  <c r="D11862" i="2"/>
  <c r="C11862" i="2"/>
  <c r="B11862" i="2"/>
  <c r="A11862" i="2"/>
  <c r="E11861" i="2"/>
  <c r="D11861" i="2"/>
  <c r="C11861" i="2"/>
  <c r="B11861" i="2"/>
  <c r="A11861" i="2"/>
  <c r="E11860" i="2"/>
  <c r="D11860" i="2"/>
  <c r="C11860" i="2"/>
  <c r="B11860" i="2"/>
  <c r="A11860" i="2"/>
  <c r="E11859" i="2"/>
  <c r="D11859" i="2"/>
  <c r="C11859" i="2"/>
  <c r="B11859" i="2"/>
  <c r="A11859" i="2"/>
  <c r="E11858" i="2"/>
  <c r="D11858" i="2"/>
  <c r="C11858" i="2"/>
  <c r="B11858" i="2"/>
  <c r="A11858" i="2"/>
  <c r="E11857" i="2"/>
  <c r="D11857" i="2"/>
  <c r="C11857" i="2"/>
  <c r="B11857" i="2"/>
  <c r="A11857" i="2"/>
  <c r="E11856" i="2"/>
  <c r="D11856" i="2"/>
  <c r="C11856" i="2"/>
  <c r="B11856" i="2"/>
  <c r="A11856" i="2"/>
  <c r="E11855" i="2"/>
  <c r="D11855" i="2"/>
  <c r="C11855" i="2"/>
  <c r="B11855" i="2"/>
  <c r="A11855" i="2"/>
  <c r="E11854" i="2"/>
  <c r="D11854" i="2"/>
  <c r="C11854" i="2"/>
  <c r="B11854" i="2"/>
  <c r="A11854" i="2"/>
  <c r="E11853" i="2"/>
  <c r="D11853" i="2"/>
  <c r="C11853" i="2"/>
  <c r="B11853" i="2"/>
  <c r="A11853" i="2"/>
  <c r="E11852" i="2"/>
  <c r="D11852" i="2"/>
  <c r="C11852" i="2"/>
  <c r="B11852" i="2"/>
  <c r="A11852" i="2"/>
  <c r="E11851" i="2"/>
  <c r="D11851" i="2"/>
  <c r="C11851" i="2"/>
  <c r="B11851" i="2"/>
  <c r="A11851" i="2"/>
  <c r="E11850" i="2"/>
  <c r="D11850" i="2"/>
  <c r="C11850" i="2"/>
  <c r="B11850" i="2"/>
  <c r="A11850" i="2"/>
  <c r="E11849" i="2"/>
  <c r="D11849" i="2"/>
  <c r="C11849" i="2"/>
  <c r="B11849" i="2"/>
  <c r="A11849" i="2"/>
  <c r="E11848" i="2"/>
  <c r="D11848" i="2"/>
  <c r="C11848" i="2"/>
  <c r="B11848" i="2"/>
  <c r="A11848" i="2"/>
  <c r="E11847" i="2"/>
  <c r="D11847" i="2"/>
  <c r="C11847" i="2"/>
  <c r="B11847" i="2"/>
  <c r="A11847" i="2"/>
  <c r="E11846" i="2"/>
  <c r="D11846" i="2"/>
  <c r="C11846" i="2"/>
  <c r="B11846" i="2"/>
  <c r="A11846" i="2"/>
  <c r="E11845" i="2"/>
  <c r="D11845" i="2"/>
  <c r="C11845" i="2"/>
  <c r="B11845" i="2"/>
  <c r="A11845" i="2"/>
  <c r="E11844" i="2"/>
  <c r="D11844" i="2"/>
  <c r="C11844" i="2"/>
  <c r="B11844" i="2"/>
  <c r="A11844" i="2"/>
  <c r="E11843" i="2"/>
  <c r="D11843" i="2"/>
  <c r="C11843" i="2"/>
  <c r="B11843" i="2"/>
  <c r="A11843" i="2"/>
  <c r="E11842" i="2"/>
  <c r="D11842" i="2"/>
  <c r="C11842" i="2"/>
  <c r="B11842" i="2"/>
  <c r="A11842" i="2"/>
  <c r="E11841" i="2"/>
  <c r="D11841" i="2"/>
  <c r="C11841" i="2"/>
  <c r="B11841" i="2"/>
  <c r="A11841" i="2"/>
  <c r="E11840" i="2"/>
  <c r="D11840" i="2"/>
  <c r="C11840" i="2"/>
  <c r="B11840" i="2"/>
  <c r="A11840" i="2"/>
  <c r="E11839" i="2"/>
  <c r="D11839" i="2"/>
  <c r="C11839" i="2"/>
  <c r="B11839" i="2"/>
  <c r="A11839" i="2"/>
  <c r="E11838" i="2"/>
  <c r="D11838" i="2"/>
  <c r="C11838" i="2"/>
  <c r="B11838" i="2"/>
  <c r="A11838" i="2"/>
  <c r="E11837" i="2"/>
  <c r="D11837" i="2"/>
  <c r="C11837" i="2"/>
  <c r="B11837" i="2"/>
  <c r="A11837" i="2"/>
  <c r="E11836" i="2"/>
  <c r="D11836" i="2"/>
  <c r="C11836" i="2"/>
  <c r="B11836" i="2"/>
  <c r="A11836" i="2"/>
  <c r="E11835" i="2"/>
  <c r="D11835" i="2"/>
  <c r="C11835" i="2"/>
  <c r="B11835" i="2"/>
  <c r="A11835" i="2"/>
  <c r="E11834" i="2"/>
  <c r="D11834" i="2"/>
  <c r="C11834" i="2"/>
  <c r="B11834" i="2"/>
  <c r="A11834" i="2"/>
  <c r="E11833" i="2"/>
  <c r="D11833" i="2"/>
  <c r="C11833" i="2"/>
  <c r="B11833" i="2"/>
  <c r="A11833" i="2"/>
  <c r="E11832" i="2"/>
  <c r="D11832" i="2"/>
  <c r="C11832" i="2"/>
  <c r="B11832" i="2"/>
  <c r="A11832" i="2"/>
  <c r="E11831" i="2"/>
  <c r="D11831" i="2"/>
  <c r="C11831" i="2"/>
  <c r="B11831" i="2"/>
  <c r="A11831" i="2"/>
  <c r="E11830" i="2"/>
  <c r="D11830" i="2"/>
  <c r="C11830" i="2"/>
  <c r="B11830" i="2"/>
  <c r="A11830" i="2"/>
  <c r="E11829" i="2"/>
  <c r="D11829" i="2"/>
  <c r="C11829" i="2"/>
  <c r="B11829" i="2"/>
  <c r="A11829" i="2"/>
  <c r="E11828" i="2"/>
  <c r="D11828" i="2"/>
  <c r="C11828" i="2"/>
  <c r="B11828" i="2"/>
  <c r="A11828" i="2"/>
  <c r="E11827" i="2"/>
  <c r="D11827" i="2"/>
  <c r="C11827" i="2"/>
  <c r="B11827" i="2"/>
  <c r="A11827" i="2"/>
  <c r="E11826" i="2"/>
  <c r="D11826" i="2"/>
  <c r="C11826" i="2"/>
  <c r="B11826" i="2"/>
  <c r="A11826" i="2"/>
  <c r="E11825" i="2"/>
  <c r="D11825" i="2"/>
  <c r="C11825" i="2"/>
  <c r="B11825" i="2"/>
  <c r="A11825" i="2"/>
  <c r="E11824" i="2"/>
  <c r="D11824" i="2"/>
  <c r="C11824" i="2"/>
  <c r="B11824" i="2"/>
  <c r="A11824" i="2"/>
  <c r="E11823" i="2"/>
  <c r="D11823" i="2"/>
  <c r="C11823" i="2"/>
  <c r="B11823" i="2"/>
  <c r="A11823" i="2"/>
  <c r="E11822" i="2"/>
  <c r="D11822" i="2"/>
  <c r="C11822" i="2"/>
  <c r="B11822" i="2"/>
  <c r="A11822" i="2"/>
  <c r="E11821" i="2"/>
  <c r="D11821" i="2"/>
  <c r="C11821" i="2"/>
  <c r="B11821" i="2"/>
  <c r="A11821" i="2"/>
  <c r="E11820" i="2"/>
  <c r="D11820" i="2"/>
  <c r="C11820" i="2"/>
  <c r="B11820" i="2"/>
  <c r="A11820" i="2"/>
  <c r="E11819" i="2"/>
  <c r="D11819" i="2"/>
  <c r="C11819" i="2"/>
  <c r="B11819" i="2"/>
  <c r="A11819" i="2"/>
  <c r="E11818" i="2"/>
  <c r="D11818" i="2"/>
  <c r="C11818" i="2"/>
  <c r="B11818" i="2"/>
  <c r="A11818" i="2"/>
  <c r="E11817" i="2"/>
  <c r="D11817" i="2"/>
  <c r="C11817" i="2"/>
  <c r="B11817" i="2"/>
  <c r="A11817" i="2"/>
  <c r="E11816" i="2"/>
  <c r="D11816" i="2"/>
  <c r="C11816" i="2"/>
  <c r="B11816" i="2"/>
  <c r="A11816" i="2"/>
  <c r="E11815" i="2"/>
  <c r="D11815" i="2"/>
  <c r="C11815" i="2"/>
  <c r="B11815" i="2"/>
  <c r="A11815" i="2"/>
  <c r="E11814" i="2"/>
  <c r="D11814" i="2"/>
  <c r="C11814" i="2"/>
  <c r="B11814" i="2"/>
  <c r="A11814" i="2"/>
  <c r="E11813" i="2"/>
  <c r="D11813" i="2"/>
  <c r="C11813" i="2"/>
  <c r="B11813" i="2"/>
  <c r="A11813" i="2"/>
  <c r="E11812" i="2"/>
  <c r="D11812" i="2"/>
  <c r="C11812" i="2"/>
  <c r="B11812" i="2"/>
  <c r="A11812" i="2"/>
  <c r="E11811" i="2"/>
  <c r="D11811" i="2"/>
  <c r="C11811" i="2"/>
  <c r="B11811" i="2"/>
  <c r="A11811" i="2"/>
  <c r="E11810" i="2"/>
  <c r="D11810" i="2"/>
  <c r="C11810" i="2"/>
  <c r="B11810" i="2"/>
  <c r="A11810" i="2"/>
  <c r="E11809" i="2"/>
  <c r="D11809" i="2"/>
  <c r="C11809" i="2"/>
  <c r="B11809" i="2"/>
  <c r="A11809" i="2"/>
  <c r="E11808" i="2"/>
  <c r="D11808" i="2"/>
  <c r="C11808" i="2"/>
  <c r="B11808" i="2"/>
  <c r="A11808" i="2"/>
  <c r="E11807" i="2"/>
  <c r="D11807" i="2"/>
  <c r="C11807" i="2"/>
  <c r="B11807" i="2"/>
  <c r="A11807" i="2"/>
  <c r="E11806" i="2"/>
  <c r="D11806" i="2"/>
  <c r="C11806" i="2"/>
  <c r="B11806" i="2"/>
  <c r="A11806" i="2"/>
  <c r="E11805" i="2"/>
  <c r="D11805" i="2"/>
  <c r="C11805" i="2"/>
  <c r="B11805" i="2"/>
  <c r="A11805" i="2"/>
  <c r="E11804" i="2"/>
  <c r="D11804" i="2"/>
  <c r="C11804" i="2"/>
  <c r="B11804" i="2"/>
  <c r="A11804" i="2"/>
  <c r="E11803" i="2"/>
  <c r="D11803" i="2"/>
  <c r="C11803" i="2"/>
  <c r="B11803" i="2"/>
  <c r="A11803" i="2"/>
  <c r="E11802" i="2"/>
  <c r="D11802" i="2"/>
  <c r="C11802" i="2"/>
  <c r="B11802" i="2"/>
  <c r="A11802" i="2"/>
  <c r="E11801" i="2"/>
  <c r="D11801" i="2"/>
  <c r="C11801" i="2"/>
  <c r="B11801" i="2"/>
  <c r="A11801" i="2"/>
  <c r="E11800" i="2"/>
  <c r="D11800" i="2"/>
  <c r="C11800" i="2"/>
  <c r="B11800" i="2"/>
  <c r="A11800" i="2"/>
  <c r="E11799" i="2"/>
  <c r="D11799" i="2"/>
  <c r="C11799" i="2"/>
  <c r="B11799" i="2"/>
  <c r="A11799" i="2"/>
  <c r="E11798" i="2"/>
  <c r="D11798" i="2"/>
  <c r="C11798" i="2"/>
  <c r="B11798" i="2"/>
  <c r="A11798" i="2"/>
  <c r="E11797" i="2"/>
  <c r="D11797" i="2"/>
  <c r="C11797" i="2"/>
  <c r="B11797" i="2"/>
  <c r="A11797" i="2"/>
  <c r="E11796" i="2"/>
  <c r="D11796" i="2"/>
  <c r="C11796" i="2"/>
  <c r="B11796" i="2"/>
  <c r="A11796" i="2"/>
  <c r="E11795" i="2"/>
  <c r="D11795" i="2"/>
  <c r="C11795" i="2"/>
  <c r="B11795" i="2"/>
  <c r="A11795" i="2"/>
  <c r="E11794" i="2"/>
  <c r="D11794" i="2"/>
  <c r="C11794" i="2"/>
  <c r="B11794" i="2"/>
  <c r="A11794" i="2"/>
  <c r="E11793" i="2"/>
  <c r="D11793" i="2"/>
  <c r="C11793" i="2"/>
  <c r="B11793" i="2"/>
  <c r="A11793" i="2"/>
  <c r="E11792" i="2"/>
  <c r="D11792" i="2"/>
  <c r="C11792" i="2"/>
  <c r="B11792" i="2"/>
  <c r="A11792" i="2"/>
  <c r="E11791" i="2"/>
  <c r="D11791" i="2"/>
  <c r="C11791" i="2"/>
  <c r="B11791" i="2"/>
  <c r="A11791" i="2"/>
  <c r="E11790" i="2"/>
  <c r="D11790" i="2"/>
  <c r="C11790" i="2"/>
  <c r="B11790" i="2"/>
  <c r="A11790" i="2"/>
  <c r="E11789" i="2"/>
  <c r="D11789" i="2"/>
  <c r="C11789" i="2"/>
  <c r="B11789" i="2"/>
  <c r="A11789" i="2"/>
  <c r="E11788" i="2"/>
  <c r="D11788" i="2"/>
  <c r="C11788" i="2"/>
  <c r="B11788" i="2"/>
  <c r="A11788" i="2"/>
  <c r="E11787" i="2"/>
  <c r="D11787" i="2"/>
  <c r="C11787" i="2"/>
  <c r="B11787" i="2"/>
  <c r="A11787" i="2"/>
  <c r="E11786" i="2"/>
  <c r="D11786" i="2"/>
  <c r="C11786" i="2"/>
  <c r="B11786" i="2"/>
  <c r="A11786" i="2"/>
  <c r="E11785" i="2"/>
  <c r="D11785" i="2"/>
  <c r="C11785" i="2"/>
  <c r="B11785" i="2"/>
  <c r="A11785" i="2"/>
  <c r="E11784" i="2"/>
  <c r="D11784" i="2"/>
  <c r="C11784" i="2"/>
  <c r="B11784" i="2"/>
  <c r="A11784" i="2"/>
  <c r="E11783" i="2"/>
  <c r="D11783" i="2"/>
  <c r="C11783" i="2"/>
  <c r="B11783" i="2"/>
  <c r="A11783" i="2"/>
  <c r="E11782" i="2"/>
  <c r="D11782" i="2"/>
  <c r="C11782" i="2"/>
  <c r="B11782" i="2"/>
  <c r="A11782" i="2"/>
  <c r="E11781" i="2"/>
  <c r="D11781" i="2"/>
  <c r="C11781" i="2"/>
  <c r="B11781" i="2"/>
  <c r="A11781" i="2"/>
  <c r="E11780" i="2"/>
  <c r="D11780" i="2"/>
  <c r="C11780" i="2"/>
  <c r="B11780" i="2"/>
  <c r="A11780" i="2"/>
  <c r="E11779" i="2"/>
  <c r="D11779" i="2"/>
  <c r="C11779" i="2"/>
  <c r="B11779" i="2"/>
  <c r="A11779" i="2"/>
  <c r="E11778" i="2"/>
  <c r="D11778" i="2"/>
  <c r="C11778" i="2"/>
  <c r="B11778" i="2"/>
  <c r="A11778" i="2"/>
  <c r="E11777" i="2"/>
  <c r="D11777" i="2"/>
  <c r="C11777" i="2"/>
  <c r="B11777" i="2"/>
  <c r="A11777" i="2"/>
  <c r="E11776" i="2"/>
  <c r="D11776" i="2"/>
  <c r="C11776" i="2"/>
  <c r="B11776" i="2"/>
  <c r="A11776" i="2"/>
  <c r="E11775" i="2"/>
  <c r="D11775" i="2"/>
  <c r="C11775" i="2"/>
  <c r="B11775" i="2"/>
  <c r="A11775" i="2"/>
  <c r="E11774" i="2"/>
  <c r="D11774" i="2"/>
  <c r="C11774" i="2"/>
  <c r="B11774" i="2"/>
  <c r="A11774" i="2"/>
  <c r="E11773" i="2"/>
  <c r="D11773" i="2"/>
  <c r="C11773" i="2"/>
  <c r="B11773" i="2"/>
  <c r="A11773" i="2"/>
  <c r="E11772" i="2"/>
  <c r="D11772" i="2"/>
  <c r="C11772" i="2"/>
  <c r="B11772" i="2"/>
  <c r="A11772" i="2"/>
  <c r="E11771" i="2"/>
  <c r="D11771" i="2"/>
  <c r="C11771" i="2"/>
  <c r="B11771" i="2"/>
  <c r="A11771" i="2"/>
  <c r="E11770" i="2"/>
  <c r="D11770" i="2"/>
  <c r="C11770" i="2"/>
  <c r="B11770" i="2"/>
  <c r="A11770" i="2"/>
  <c r="E11769" i="2"/>
  <c r="D11769" i="2"/>
  <c r="C11769" i="2"/>
  <c r="B11769" i="2"/>
  <c r="A11769" i="2"/>
  <c r="E11768" i="2"/>
  <c r="D11768" i="2"/>
  <c r="C11768" i="2"/>
  <c r="B11768" i="2"/>
  <c r="A11768" i="2"/>
  <c r="E11767" i="2"/>
  <c r="D11767" i="2"/>
  <c r="C11767" i="2"/>
  <c r="B11767" i="2"/>
  <c r="A11767" i="2"/>
  <c r="E11766" i="2"/>
  <c r="D11766" i="2"/>
  <c r="C11766" i="2"/>
  <c r="B11766" i="2"/>
  <c r="A11766" i="2"/>
  <c r="E11765" i="2"/>
  <c r="D11765" i="2"/>
  <c r="C11765" i="2"/>
  <c r="B11765" i="2"/>
  <c r="A11765" i="2"/>
  <c r="E11764" i="2"/>
  <c r="D11764" i="2"/>
  <c r="C11764" i="2"/>
  <c r="B11764" i="2"/>
  <c r="A11764" i="2"/>
  <c r="E11763" i="2"/>
  <c r="D11763" i="2"/>
  <c r="C11763" i="2"/>
  <c r="B11763" i="2"/>
  <c r="A11763" i="2"/>
  <c r="E11762" i="2"/>
  <c r="D11762" i="2"/>
  <c r="C11762" i="2"/>
  <c r="B11762" i="2"/>
  <c r="A11762" i="2"/>
  <c r="E11761" i="2"/>
  <c r="D11761" i="2"/>
  <c r="C11761" i="2"/>
  <c r="B11761" i="2"/>
  <c r="A11761" i="2"/>
  <c r="E11760" i="2"/>
  <c r="D11760" i="2"/>
  <c r="C11760" i="2"/>
  <c r="B11760" i="2"/>
  <c r="A11760" i="2"/>
  <c r="E11759" i="2"/>
  <c r="D11759" i="2"/>
  <c r="C11759" i="2"/>
  <c r="B11759" i="2"/>
  <c r="A11759" i="2"/>
  <c r="E11758" i="2"/>
  <c r="D11758" i="2"/>
  <c r="C11758" i="2"/>
  <c r="B11758" i="2"/>
  <c r="A11758" i="2"/>
  <c r="E11757" i="2"/>
  <c r="D11757" i="2"/>
  <c r="C11757" i="2"/>
  <c r="B11757" i="2"/>
  <c r="A11757" i="2"/>
  <c r="E11756" i="2"/>
  <c r="D11756" i="2"/>
  <c r="C11756" i="2"/>
  <c r="B11756" i="2"/>
  <c r="A11756" i="2"/>
  <c r="E11755" i="2"/>
  <c r="D11755" i="2"/>
  <c r="C11755" i="2"/>
  <c r="B11755" i="2"/>
  <c r="A11755" i="2"/>
  <c r="E11754" i="2"/>
  <c r="D11754" i="2"/>
  <c r="C11754" i="2"/>
  <c r="B11754" i="2"/>
  <c r="A11754" i="2"/>
  <c r="E11753" i="2"/>
  <c r="D11753" i="2"/>
  <c r="C11753" i="2"/>
  <c r="B11753" i="2"/>
  <c r="A11753" i="2"/>
  <c r="E11752" i="2"/>
  <c r="D11752" i="2"/>
  <c r="C11752" i="2"/>
  <c r="B11752" i="2"/>
  <c r="A11752" i="2"/>
  <c r="E11751" i="2"/>
  <c r="D11751" i="2"/>
  <c r="C11751" i="2"/>
  <c r="B11751" i="2"/>
  <c r="A11751" i="2"/>
  <c r="E11750" i="2"/>
  <c r="D11750" i="2"/>
  <c r="C11750" i="2"/>
  <c r="B11750" i="2"/>
  <c r="A11750" i="2"/>
  <c r="E11749" i="2"/>
  <c r="D11749" i="2"/>
  <c r="C11749" i="2"/>
  <c r="B11749" i="2"/>
  <c r="A11749" i="2"/>
  <c r="E11748" i="2"/>
  <c r="D11748" i="2"/>
  <c r="C11748" i="2"/>
  <c r="B11748" i="2"/>
  <c r="A11748" i="2"/>
  <c r="E11747" i="2"/>
  <c r="D11747" i="2"/>
  <c r="C11747" i="2"/>
  <c r="B11747" i="2"/>
  <c r="A11747" i="2"/>
  <c r="E11746" i="2"/>
  <c r="D11746" i="2"/>
  <c r="C11746" i="2"/>
  <c r="B11746" i="2"/>
  <c r="A11746" i="2"/>
  <c r="E11745" i="2"/>
  <c r="D11745" i="2"/>
  <c r="C11745" i="2"/>
  <c r="B11745" i="2"/>
  <c r="A11745" i="2"/>
  <c r="E11744" i="2"/>
  <c r="D11744" i="2"/>
  <c r="C11744" i="2"/>
  <c r="B11744" i="2"/>
  <c r="A11744" i="2"/>
  <c r="E11743" i="2"/>
  <c r="D11743" i="2"/>
  <c r="C11743" i="2"/>
  <c r="B11743" i="2"/>
  <c r="A11743" i="2"/>
  <c r="E11742" i="2"/>
  <c r="D11742" i="2"/>
  <c r="C11742" i="2"/>
  <c r="B11742" i="2"/>
  <c r="A11742" i="2"/>
  <c r="E11741" i="2"/>
  <c r="D11741" i="2"/>
  <c r="C11741" i="2"/>
  <c r="B11741" i="2"/>
  <c r="A11741" i="2"/>
  <c r="E11740" i="2"/>
  <c r="D11740" i="2"/>
  <c r="C11740" i="2"/>
  <c r="B11740" i="2"/>
  <c r="A11740" i="2"/>
  <c r="E11739" i="2"/>
  <c r="D11739" i="2"/>
  <c r="C11739" i="2"/>
  <c r="B11739" i="2"/>
  <c r="A11739" i="2"/>
  <c r="E11738" i="2"/>
  <c r="D11738" i="2"/>
  <c r="C11738" i="2"/>
  <c r="B11738" i="2"/>
  <c r="A11738" i="2"/>
  <c r="E11737" i="2"/>
  <c r="D11737" i="2"/>
  <c r="C11737" i="2"/>
  <c r="B11737" i="2"/>
  <c r="A11737" i="2"/>
  <c r="E11736" i="2"/>
  <c r="D11736" i="2"/>
  <c r="C11736" i="2"/>
  <c r="B11736" i="2"/>
  <c r="A11736" i="2"/>
  <c r="E11735" i="2"/>
  <c r="D11735" i="2"/>
  <c r="C11735" i="2"/>
  <c r="B11735" i="2"/>
  <c r="A11735" i="2"/>
  <c r="E11734" i="2"/>
  <c r="D11734" i="2"/>
  <c r="C11734" i="2"/>
  <c r="B11734" i="2"/>
  <c r="A11734" i="2"/>
  <c r="E11733" i="2"/>
  <c r="D11733" i="2"/>
  <c r="C11733" i="2"/>
  <c r="B11733" i="2"/>
  <c r="A11733" i="2"/>
  <c r="E11732" i="2"/>
  <c r="D11732" i="2"/>
  <c r="C11732" i="2"/>
  <c r="B11732" i="2"/>
  <c r="A11732" i="2"/>
  <c r="E11731" i="2"/>
  <c r="D11731" i="2"/>
  <c r="C11731" i="2"/>
  <c r="B11731" i="2"/>
  <c r="A11731" i="2"/>
  <c r="E11730" i="2"/>
  <c r="D11730" i="2"/>
  <c r="C11730" i="2"/>
  <c r="B11730" i="2"/>
  <c r="A11730" i="2"/>
  <c r="E11729" i="2"/>
  <c r="D11729" i="2"/>
  <c r="C11729" i="2"/>
  <c r="B11729" i="2"/>
  <c r="A11729" i="2"/>
  <c r="E11728" i="2"/>
  <c r="D11728" i="2"/>
  <c r="C11728" i="2"/>
  <c r="B11728" i="2"/>
  <c r="A11728" i="2"/>
  <c r="E11727" i="2"/>
  <c r="D11727" i="2"/>
  <c r="C11727" i="2"/>
  <c r="B11727" i="2"/>
  <c r="A11727" i="2"/>
  <c r="E11726" i="2"/>
  <c r="D11726" i="2"/>
  <c r="C11726" i="2"/>
  <c r="B11726" i="2"/>
  <c r="A11726" i="2"/>
  <c r="E11725" i="2"/>
  <c r="D11725" i="2"/>
  <c r="C11725" i="2"/>
  <c r="B11725" i="2"/>
  <c r="A11725" i="2"/>
  <c r="E11724" i="2"/>
  <c r="D11724" i="2"/>
  <c r="C11724" i="2"/>
  <c r="B11724" i="2"/>
  <c r="A11724" i="2"/>
  <c r="E11723" i="2"/>
  <c r="D11723" i="2"/>
  <c r="C11723" i="2"/>
  <c r="B11723" i="2"/>
  <c r="A11723" i="2"/>
  <c r="E11722" i="2"/>
  <c r="D11722" i="2"/>
  <c r="C11722" i="2"/>
  <c r="B11722" i="2"/>
  <c r="A11722" i="2"/>
  <c r="E11721" i="2"/>
  <c r="D11721" i="2"/>
  <c r="C11721" i="2"/>
  <c r="B11721" i="2"/>
  <c r="A11721" i="2"/>
  <c r="E11720" i="2"/>
  <c r="D11720" i="2"/>
  <c r="C11720" i="2"/>
  <c r="B11720" i="2"/>
  <c r="A11720" i="2"/>
  <c r="E11719" i="2"/>
  <c r="D11719" i="2"/>
  <c r="C11719" i="2"/>
  <c r="B11719" i="2"/>
  <c r="A11719" i="2"/>
  <c r="E11718" i="2"/>
  <c r="D11718" i="2"/>
  <c r="C11718" i="2"/>
  <c r="B11718" i="2"/>
  <c r="A11718" i="2"/>
  <c r="E11717" i="2"/>
  <c r="D11717" i="2"/>
  <c r="C11717" i="2"/>
  <c r="B11717" i="2"/>
  <c r="A11717" i="2"/>
  <c r="E11716" i="2"/>
  <c r="D11716" i="2"/>
  <c r="C11716" i="2"/>
  <c r="B11716" i="2"/>
  <c r="A11716" i="2"/>
  <c r="E11715" i="2"/>
  <c r="D11715" i="2"/>
  <c r="C11715" i="2"/>
  <c r="B11715" i="2"/>
  <c r="A11715" i="2"/>
  <c r="E11714" i="2"/>
  <c r="D11714" i="2"/>
  <c r="C11714" i="2"/>
  <c r="B11714" i="2"/>
  <c r="A11714" i="2"/>
  <c r="E11713" i="2"/>
  <c r="D11713" i="2"/>
  <c r="C11713" i="2"/>
  <c r="B11713" i="2"/>
  <c r="A11713" i="2"/>
  <c r="E11712" i="2"/>
  <c r="D11712" i="2"/>
  <c r="C11712" i="2"/>
  <c r="B11712" i="2"/>
  <c r="A11712" i="2"/>
  <c r="E11711" i="2"/>
  <c r="D11711" i="2"/>
  <c r="C11711" i="2"/>
  <c r="B11711" i="2"/>
  <c r="A11711" i="2"/>
  <c r="E11710" i="2"/>
  <c r="D11710" i="2"/>
  <c r="C11710" i="2"/>
  <c r="B11710" i="2"/>
  <c r="A11710" i="2"/>
  <c r="E11709" i="2"/>
  <c r="D11709" i="2"/>
  <c r="C11709" i="2"/>
  <c r="B11709" i="2"/>
  <c r="A11709" i="2"/>
  <c r="E11708" i="2"/>
  <c r="D11708" i="2"/>
  <c r="C11708" i="2"/>
  <c r="B11708" i="2"/>
  <c r="A11708" i="2"/>
  <c r="E11707" i="2"/>
  <c r="D11707" i="2"/>
  <c r="C11707" i="2"/>
  <c r="B11707" i="2"/>
  <c r="A11707" i="2"/>
  <c r="E11706" i="2"/>
  <c r="D11706" i="2"/>
  <c r="C11706" i="2"/>
  <c r="B11706" i="2"/>
  <c r="A11706" i="2"/>
  <c r="E11705" i="2"/>
  <c r="D11705" i="2"/>
  <c r="C11705" i="2"/>
  <c r="B11705" i="2"/>
  <c r="A11705" i="2"/>
  <c r="E11704" i="2"/>
  <c r="D11704" i="2"/>
  <c r="C11704" i="2"/>
  <c r="B11704" i="2"/>
  <c r="A11704" i="2"/>
  <c r="E11703" i="2"/>
  <c r="D11703" i="2"/>
  <c r="C11703" i="2"/>
  <c r="B11703" i="2"/>
  <c r="A11703" i="2"/>
  <c r="E11702" i="2"/>
  <c r="D11702" i="2"/>
  <c r="C11702" i="2"/>
  <c r="B11702" i="2"/>
  <c r="A11702" i="2"/>
  <c r="E11701" i="2"/>
  <c r="D11701" i="2"/>
  <c r="C11701" i="2"/>
  <c r="B11701" i="2"/>
  <c r="A11701" i="2"/>
  <c r="E11700" i="2"/>
  <c r="D11700" i="2"/>
  <c r="C11700" i="2"/>
  <c r="B11700" i="2"/>
  <c r="A11700" i="2"/>
  <c r="E11699" i="2"/>
  <c r="D11699" i="2"/>
  <c r="C11699" i="2"/>
  <c r="B11699" i="2"/>
  <c r="A11699" i="2"/>
  <c r="E11698" i="2"/>
  <c r="D11698" i="2"/>
  <c r="C11698" i="2"/>
  <c r="B11698" i="2"/>
  <c r="A11698" i="2"/>
  <c r="E11697" i="2"/>
  <c r="D11697" i="2"/>
  <c r="C11697" i="2"/>
  <c r="B11697" i="2"/>
  <c r="A11697" i="2"/>
  <c r="E11696" i="2"/>
  <c r="D11696" i="2"/>
  <c r="C11696" i="2"/>
  <c r="B11696" i="2"/>
  <c r="A11696" i="2"/>
  <c r="E11695" i="2"/>
  <c r="D11695" i="2"/>
  <c r="C11695" i="2"/>
  <c r="B11695" i="2"/>
  <c r="A11695" i="2"/>
  <c r="E11694" i="2"/>
  <c r="D11694" i="2"/>
  <c r="C11694" i="2"/>
  <c r="B11694" i="2"/>
  <c r="A11694" i="2"/>
  <c r="E11693" i="2"/>
  <c r="D11693" i="2"/>
  <c r="C11693" i="2"/>
  <c r="B11693" i="2"/>
  <c r="A11693" i="2"/>
  <c r="E11692" i="2"/>
  <c r="D11692" i="2"/>
  <c r="C11692" i="2"/>
  <c r="B11692" i="2"/>
  <c r="A11692" i="2"/>
  <c r="E11691" i="2"/>
  <c r="D11691" i="2"/>
  <c r="C11691" i="2"/>
  <c r="B11691" i="2"/>
  <c r="A11691" i="2"/>
  <c r="E11690" i="2"/>
  <c r="D11690" i="2"/>
  <c r="C11690" i="2"/>
  <c r="B11690" i="2"/>
  <c r="A11690" i="2"/>
  <c r="E11689" i="2"/>
  <c r="D11689" i="2"/>
  <c r="C11689" i="2"/>
  <c r="B11689" i="2"/>
  <c r="A11689" i="2"/>
  <c r="E11688" i="2"/>
  <c r="D11688" i="2"/>
  <c r="C11688" i="2"/>
  <c r="B11688" i="2"/>
  <c r="A11688" i="2"/>
  <c r="E11687" i="2"/>
  <c r="D11687" i="2"/>
  <c r="C11687" i="2"/>
  <c r="B11687" i="2"/>
  <c r="A11687" i="2"/>
  <c r="E11686" i="2"/>
  <c r="D11686" i="2"/>
  <c r="C11686" i="2"/>
  <c r="B11686" i="2"/>
  <c r="A11686" i="2"/>
  <c r="E11685" i="2"/>
  <c r="D11685" i="2"/>
  <c r="C11685" i="2"/>
  <c r="B11685" i="2"/>
  <c r="A11685" i="2"/>
  <c r="E11684" i="2"/>
  <c r="D11684" i="2"/>
  <c r="C11684" i="2"/>
  <c r="B11684" i="2"/>
  <c r="A11684" i="2"/>
  <c r="E11683" i="2"/>
  <c r="D11683" i="2"/>
  <c r="C11683" i="2"/>
  <c r="B11683" i="2"/>
  <c r="A11683" i="2"/>
  <c r="E11682" i="2"/>
  <c r="D11682" i="2"/>
  <c r="C11682" i="2"/>
  <c r="B11682" i="2"/>
  <c r="A11682" i="2"/>
  <c r="E11681" i="2"/>
  <c r="D11681" i="2"/>
  <c r="C11681" i="2"/>
  <c r="B11681" i="2"/>
  <c r="A11681" i="2"/>
  <c r="E11680" i="2"/>
  <c r="D11680" i="2"/>
  <c r="C11680" i="2"/>
  <c r="B11680" i="2"/>
  <c r="A11680" i="2"/>
  <c r="E11679" i="2"/>
  <c r="D11679" i="2"/>
  <c r="C11679" i="2"/>
  <c r="B11679" i="2"/>
  <c r="A11679" i="2"/>
  <c r="E11678" i="2"/>
  <c r="D11678" i="2"/>
  <c r="C11678" i="2"/>
  <c r="B11678" i="2"/>
  <c r="A11678" i="2"/>
  <c r="E11677" i="2"/>
  <c r="D11677" i="2"/>
  <c r="C11677" i="2"/>
  <c r="B11677" i="2"/>
  <c r="A11677" i="2"/>
  <c r="E11676" i="2"/>
  <c r="D11676" i="2"/>
  <c r="C11676" i="2"/>
  <c r="B11676" i="2"/>
  <c r="A11676" i="2"/>
  <c r="E11675" i="2"/>
  <c r="D11675" i="2"/>
  <c r="C11675" i="2"/>
  <c r="B11675" i="2"/>
  <c r="A11675" i="2"/>
  <c r="E11674" i="2"/>
  <c r="D11674" i="2"/>
  <c r="C11674" i="2"/>
  <c r="B11674" i="2"/>
  <c r="A11674" i="2"/>
  <c r="E11673" i="2"/>
  <c r="D11673" i="2"/>
  <c r="C11673" i="2"/>
  <c r="B11673" i="2"/>
  <c r="A11673" i="2"/>
  <c r="E11672" i="2"/>
  <c r="D11672" i="2"/>
  <c r="C11672" i="2"/>
  <c r="B11672" i="2"/>
  <c r="A11672" i="2"/>
  <c r="E11671" i="2"/>
  <c r="D11671" i="2"/>
  <c r="C11671" i="2"/>
  <c r="B11671" i="2"/>
  <c r="A11671" i="2"/>
  <c r="E11670" i="2"/>
  <c r="D11670" i="2"/>
  <c r="C11670" i="2"/>
  <c r="B11670" i="2"/>
  <c r="A11670" i="2"/>
  <c r="E11669" i="2"/>
  <c r="D11669" i="2"/>
  <c r="C11669" i="2"/>
  <c r="B11669" i="2"/>
  <c r="A11669" i="2"/>
  <c r="E11668" i="2"/>
  <c r="D11668" i="2"/>
  <c r="C11668" i="2"/>
  <c r="B11668" i="2"/>
  <c r="A11668" i="2"/>
  <c r="E11667" i="2"/>
  <c r="D11667" i="2"/>
  <c r="C11667" i="2"/>
  <c r="B11667" i="2"/>
  <c r="A11667" i="2"/>
  <c r="E11666" i="2"/>
  <c r="D11666" i="2"/>
  <c r="C11666" i="2"/>
  <c r="B11666" i="2"/>
  <c r="A11666" i="2"/>
  <c r="E11665" i="2"/>
  <c r="D11665" i="2"/>
  <c r="C11665" i="2"/>
  <c r="B11665" i="2"/>
  <c r="A11665" i="2"/>
  <c r="E11664" i="2"/>
  <c r="D11664" i="2"/>
  <c r="C11664" i="2"/>
  <c r="B11664" i="2"/>
  <c r="A11664" i="2"/>
  <c r="E11663" i="2"/>
  <c r="D11663" i="2"/>
  <c r="C11663" i="2"/>
  <c r="B11663" i="2"/>
  <c r="A11663" i="2"/>
  <c r="E11662" i="2"/>
  <c r="D11662" i="2"/>
  <c r="C11662" i="2"/>
  <c r="B11662" i="2"/>
  <c r="A11662" i="2"/>
  <c r="E11661" i="2"/>
  <c r="D11661" i="2"/>
  <c r="C11661" i="2"/>
  <c r="B11661" i="2"/>
  <c r="A11661" i="2"/>
  <c r="E11660" i="2"/>
  <c r="D11660" i="2"/>
  <c r="C11660" i="2"/>
  <c r="B11660" i="2"/>
  <c r="A11660" i="2"/>
  <c r="E11659" i="2"/>
  <c r="D11659" i="2"/>
  <c r="C11659" i="2"/>
  <c r="B11659" i="2"/>
  <c r="A11659" i="2"/>
  <c r="E11658" i="2"/>
  <c r="D11658" i="2"/>
  <c r="C11658" i="2"/>
  <c r="B11658" i="2"/>
  <c r="A11658" i="2"/>
  <c r="E11657" i="2"/>
  <c r="D11657" i="2"/>
  <c r="C11657" i="2"/>
  <c r="B11657" i="2"/>
  <c r="A11657" i="2"/>
  <c r="E11656" i="2"/>
  <c r="D11656" i="2"/>
  <c r="C11656" i="2"/>
  <c r="B11656" i="2"/>
  <c r="A11656" i="2"/>
  <c r="E11655" i="2"/>
  <c r="D11655" i="2"/>
  <c r="C11655" i="2"/>
  <c r="B11655" i="2"/>
  <c r="A11655" i="2"/>
  <c r="E11654" i="2"/>
  <c r="D11654" i="2"/>
  <c r="C11654" i="2"/>
  <c r="B11654" i="2"/>
  <c r="A11654" i="2"/>
  <c r="E11653" i="2"/>
  <c r="D11653" i="2"/>
  <c r="C11653" i="2"/>
  <c r="B11653" i="2"/>
  <c r="A11653" i="2"/>
  <c r="E11652" i="2"/>
  <c r="D11652" i="2"/>
  <c r="C11652" i="2"/>
  <c r="B11652" i="2"/>
  <c r="A11652" i="2"/>
  <c r="E11651" i="2"/>
  <c r="D11651" i="2"/>
  <c r="C11651" i="2"/>
  <c r="B11651" i="2"/>
  <c r="A11651" i="2"/>
  <c r="E11650" i="2"/>
  <c r="D11650" i="2"/>
  <c r="C11650" i="2"/>
  <c r="B11650" i="2"/>
  <c r="A11650" i="2"/>
  <c r="E11649" i="2"/>
  <c r="D11649" i="2"/>
  <c r="C11649" i="2"/>
  <c r="B11649" i="2"/>
  <c r="A11649" i="2"/>
  <c r="E11648" i="2"/>
  <c r="D11648" i="2"/>
  <c r="C11648" i="2"/>
  <c r="B11648" i="2"/>
  <c r="A11648" i="2"/>
  <c r="E11647" i="2"/>
  <c r="D11647" i="2"/>
  <c r="C11647" i="2"/>
  <c r="B11647" i="2"/>
  <c r="A11647" i="2"/>
  <c r="E11646" i="2"/>
  <c r="D11646" i="2"/>
  <c r="C11646" i="2"/>
  <c r="B11646" i="2"/>
  <c r="A11646" i="2"/>
  <c r="E11645" i="2"/>
  <c r="D11645" i="2"/>
  <c r="C11645" i="2"/>
  <c r="B11645" i="2"/>
  <c r="A11645" i="2"/>
  <c r="E11644" i="2"/>
  <c r="D11644" i="2"/>
  <c r="C11644" i="2"/>
  <c r="B11644" i="2"/>
  <c r="A11644" i="2"/>
  <c r="E11643" i="2"/>
  <c r="D11643" i="2"/>
  <c r="C11643" i="2"/>
  <c r="B11643" i="2"/>
  <c r="A11643" i="2"/>
  <c r="E11642" i="2"/>
  <c r="D11642" i="2"/>
  <c r="C11642" i="2"/>
  <c r="B11642" i="2"/>
  <c r="A11642" i="2"/>
  <c r="E11641" i="2"/>
  <c r="D11641" i="2"/>
  <c r="C11641" i="2"/>
  <c r="B11641" i="2"/>
  <c r="A11641" i="2"/>
  <c r="E11640" i="2"/>
  <c r="D11640" i="2"/>
  <c r="C11640" i="2"/>
  <c r="B11640" i="2"/>
  <c r="A11640" i="2"/>
  <c r="E11639" i="2"/>
  <c r="D11639" i="2"/>
  <c r="C11639" i="2"/>
  <c r="B11639" i="2"/>
  <c r="A11639" i="2"/>
  <c r="E11638" i="2"/>
  <c r="D11638" i="2"/>
  <c r="C11638" i="2"/>
  <c r="B11638" i="2"/>
  <c r="A11638" i="2"/>
  <c r="E11637" i="2"/>
  <c r="D11637" i="2"/>
  <c r="C11637" i="2"/>
  <c r="B11637" i="2"/>
  <c r="A11637" i="2"/>
  <c r="E11636" i="2"/>
  <c r="D11636" i="2"/>
  <c r="C11636" i="2"/>
  <c r="B11636" i="2"/>
  <c r="A11636" i="2"/>
  <c r="E11635" i="2"/>
  <c r="D11635" i="2"/>
  <c r="C11635" i="2"/>
  <c r="B11635" i="2"/>
  <c r="A11635" i="2"/>
  <c r="E11634" i="2"/>
  <c r="D11634" i="2"/>
  <c r="C11634" i="2"/>
  <c r="B11634" i="2"/>
  <c r="A11634" i="2"/>
  <c r="E11633" i="2"/>
  <c r="D11633" i="2"/>
  <c r="C11633" i="2"/>
  <c r="B11633" i="2"/>
  <c r="A11633" i="2"/>
  <c r="E11632" i="2"/>
  <c r="D11632" i="2"/>
  <c r="C11632" i="2"/>
  <c r="B11632" i="2"/>
  <c r="A11632" i="2"/>
  <c r="E11631" i="2"/>
  <c r="D11631" i="2"/>
  <c r="C11631" i="2"/>
  <c r="B11631" i="2"/>
  <c r="A11631" i="2"/>
  <c r="E11630" i="2"/>
  <c r="D11630" i="2"/>
  <c r="C11630" i="2"/>
  <c r="B11630" i="2"/>
  <c r="A11630" i="2"/>
  <c r="E11629" i="2"/>
  <c r="D11629" i="2"/>
  <c r="C11629" i="2"/>
  <c r="B11629" i="2"/>
  <c r="A11629" i="2"/>
  <c r="E11628" i="2"/>
  <c r="D11628" i="2"/>
  <c r="C11628" i="2"/>
  <c r="B11628" i="2"/>
  <c r="A11628" i="2"/>
  <c r="E11627" i="2"/>
  <c r="D11627" i="2"/>
  <c r="C11627" i="2"/>
  <c r="B11627" i="2"/>
  <c r="A11627" i="2"/>
  <c r="E11626" i="2"/>
  <c r="D11626" i="2"/>
  <c r="C11626" i="2"/>
  <c r="B11626" i="2"/>
  <c r="A11626" i="2"/>
  <c r="E11625" i="2"/>
  <c r="D11625" i="2"/>
  <c r="C11625" i="2"/>
  <c r="B11625" i="2"/>
  <c r="A11625" i="2"/>
  <c r="E11624" i="2"/>
  <c r="D11624" i="2"/>
  <c r="C11624" i="2"/>
  <c r="B11624" i="2"/>
  <c r="A11624" i="2"/>
  <c r="E11623" i="2"/>
  <c r="D11623" i="2"/>
  <c r="C11623" i="2"/>
  <c r="B11623" i="2"/>
  <c r="A11623" i="2"/>
  <c r="E11622" i="2"/>
  <c r="D11622" i="2"/>
  <c r="C11622" i="2"/>
  <c r="B11622" i="2"/>
  <c r="A11622" i="2"/>
  <c r="E11621" i="2"/>
  <c r="D11621" i="2"/>
  <c r="C11621" i="2"/>
  <c r="B11621" i="2"/>
  <c r="A11621" i="2"/>
  <c r="E11620" i="2"/>
  <c r="D11620" i="2"/>
  <c r="C11620" i="2"/>
  <c r="B11620" i="2"/>
  <c r="A11620" i="2"/>
  <c r="E11619" i="2"/>
  <c r="D11619" i="2"/>
  <c r="C11619" i="2"/>
  <c r="B11619" i="2"/>
  <c r="A11619" i="2"/>
  <c r="E11618" i="2"/>
  <c r="D11618" i="2"/>
  <c r="C11618" i="2"/>
  <c r="B11618" i="2"/>
  <c r="A11618" i="2"/>
  <c r="E11617" i="2"/>
  <c r="D11617" i="2"/>
  <c r="C11617" i="2"/>
  <c r="B11617" i="2"/>
  <c r="A11617" i="2"/>
  <c r="E11616" i="2"/>
  <c r="D11616" i="2"/>
  <c r="C11616" i="2"/>
  <c r="B11616" i="2"/>
  <c r="A11616" i="2"/>
  <c r="E11615" i="2"/>
  <c r="D11615" i="2"/>
  <c r="C11615" i="2"/>
  <c r="B11615" i="2"/>
  <c r="A11615" i="2"/>
  <c r="E11614" i="2"/>
  <c r="D11614" i="2"/>
  <c r="C11614" i="2"/>
  <c r="B11614" i="2"/>
  <c r="A11614" i="2"/>
  <c r="E11613" i="2"/>
  <c r="D11613" i="2"/>
  <c r="C11613" i="2"/>
  <c r="B11613" i="2"/>
  <c r="A11613" i="2"/>
  <c r="E11612" i="2"/>
  <c r="D11612" i="2"/>
  <c r="C11612" i="2"/>
  <c r="B11612" i="2"/>
  <c r="A11612" i="2"/>
  <c r="E11611" i="2"/>
  <c r="D11611" i="2"/>
  <c r="C11611" i="2"/>
  <c r="B11611" i="2"/>
  <c r="A11611" i="2"/>
  <c r="E11610" i="2"/>
  <c r="D11610" i="2"/>
  <c r="C11610" i="2"/>
  <c r="B11610" i="2"/>
  <c r="A11610" i="2"/>
  <c r="E11609" i="2"/>
  <c r="D11609" i="2"/>
  <c r="C11609" i="2"/>
  <c r="B11609" i="2"/>
  <c r="A11609" i="2"/>
  <c r="E11608" i="2"/>
  <c r="D11608" i="2"/>
  <c r="C11608" i="2"/>
  <c r="B11608" i="2"/>
  <c r="A11608" i="2"/>
  <c r="E11607" i="2"/>
  <c r="D11607" i="2"/>
  <c r="C11607" i="2"/>
  <c r="B11607" i="2"/>
  <c r="A11607" i="2"/>
  <c r="E11606" i="2"/>
  <c r="D11606" i="2"/>
  <c r="C11606" i="2"/>
  <c r="B11606" i="2"/>
  <c r="A11606" i="2"/>
  <c r="E11605" i="2"/>
  <c r="D11605" i="2"/>
  <c r="C11605" i="2"/>
  <c r="B11605" i="2"/>
  <c r="A11605" i="2"/>
  <c r="E11604" i="2"/>
  <c r="D11604" i="2"/>
  <c r="C11604" i="2"/>
  <c r="B11604" i="2"/>
  <c r="A11604" i="2"/>
  <c r="E11603" i="2"/>
  <c r="D11603" i="2"/>
  <c r="C11603" i="2"/>
  <c r="B11603" i="2"/>
  <c r="A11603" i="2"/>
  <c r="E11602" i="2"/>
  <c r="D11602" i="2"/>
  <c r="C11602" i="2"/>
  <c r="B11602" i="2"/>
  <c r="A11602" i="2"/>
  <c r="E11601" i="2"/>
  <c r="D11601" i="2"/>
  <c r="C11601" i="2"/>
  <c r="B11601" i="2"/>
  <c r="A11601" i="2"/>
  <c r="E11600" i="2"/>
  <c r="D11600" i="2"/>
  <c r="C11600" i="2"/>
  <c r="B11600" i="2"/>
  <c r="A11600" i="2"/>
  <c r="E11599" i="2"/>
  <c r="D11599" i="2"/>
  <c r="C11599" i="2"/>
  <c r="B11599" i="2"/>
  <c r="A11599" i="2"/>
  <c r="E11598" i="2"/>
  <c r="D11598" i="2"/>
  <c r="C11598" i="2"/>
  <c r="B11598" i="2"/>
  <c r="A11598" i="2"/>
  <c r="E11597" i="2"/>
  <c r="D11597" i="2"/>
  <c r="C11597" i="2"/>
  <c r="B11597" i="2"/>
  <c r="A11597" i="2"/>
  <c r="E11596" i="2"/>
  <c r="D11596" i="2"/>
  <c r="C11596" i="2"/>
  <c r="B11596" i="2"/>
  <c r="A11596" i="2"/>
  <c r="E11595" i="2"/>
  <c r="D11595" i="2"/>
  <c r="C11595" i="2"/>
  <c r="B11595" i="2"/>
  <c r="A11595" i="2"/>
  <c r="E11594" i="2"/>
  <c r="D11594" i="2"/>
  <c r="C11594" i="2"/>
  <c r="B11594" i="2"/>
  <c r="A11594" i="2"/>
  <c r="E11593" i="2"/>
  <c r="D11593" i="2"/>
  <c r="C11593" i="2"/>
  <c r="B11593" i="2"/>
  <c r="A11593" i="2"/>
  <c r="E11592" i="2"/>
  <c r="D11592" i="2"/>
  <c r="C11592" i="2"/>
  <c r="B11592" i="2"/>
  <c r="A11592" i="2"/>
  <c r="E11591" i="2"/>
  <c r="D11591" i="2"/>
  <c r="C11591" i="2"/>
  <c r="B11591" i="2"/>
  <c r="A11591" i="2"/>
  <c r="E11590" i="2"/>
  <c r="D11590" i="2"/>
  <c r="C11590" i="2"/>
  <c r="B11590" i="2"/>
  <c r="A11590" i="2"/>
  <c r="E11589" i="2"/>
  <c r="D11589" i="2"/>
  <c r="C11589" i="2"/>
  <c r="B11589" i="2"/>
  <c r="A11589" i="2"/>
  <c r="E11588" i="2"/>
  <c r="D11588" i="2"/>
  <c r="C11588" i="2"/>
  <c r="B11588" i="2"/>
  <c r="A11588" i="2"/>
  <c r="E11587" i="2"/>
  <c r="D11587" i="2"/>
  <c r="C11587" i="2"/>
  <c r="B11587" i="2"/>
  <c r="A11587" i="2"/>
  <c r="E11586" i="2"/>
  <c r="D11586" i="2"/>
  <c r="C11586" i="2"/>
  <c r="B11586" i="2"/>
  <c r="A11586" i="2"/>
  <c r="E11585" i="2"/>
  <c r="D11585" i="2"/>
  <c r="C11585" i="2"/>
  <c r="B11585" i="2"/>
  <c r="A11585" i="2"/>
  <c r="E11584" i="2"/>
  <c r="D11584" i="2"/>
  <c r="C11584" i="2"/>
  <c r="B11584" i="2"/>
  <c r="A11584" i="2"/>
  <c r="E11583" i="2"/>
  <c r="D11583" i="2"/>
  <c r="C11583" i="2"/>
  <c r="B11583" i="2"/>
  <c r="A11583" i="2"/>
  <c r="E11582" i="2"/>
  <c r="D11582" i="2"/>
  <c r="C11582" i="2"/>
  <c r="B11582" i="2"/>
  <c r="A11582" i="2"/>
  <c r="E11581" i="2"/>
  <c r="D11581" i="2"/>
  <c r="C11581" i="2"/>
  <c r="B11581" i="2"/>
  <c r="A11581" i="2"/>
  <c r="E11580" i="2"/>
  <c r="D11580" i="2"/>
  <c r="C11580" i="2"/>
  <c r="B11580" i="2"/>
  <c r="A11580" i="2"/>
  <c r="E11579" i="2"/>
  <c r="D11579" i="2"/>
  <c r="C11579" i="2"/>
  <c r="B11579" i="2"/>
  <c r="A11579" i="2"/>
  <c r="E11578" i="2"/>
  <c r="D11578" i="2"/>
  <c r="C11578" i="2"/>
  <c r="B11578" i="2"/>
  <c r="A11578" i="2"/>
  <c r="E11577" i="2"/>
  <c r="D11577" i="2"/>
  <c r="C11577" i="2"/>
  <c r="B11577" i="2"/>
  <c r="A11577" i="2"/>
  <c r="E11576" i="2"/>
  <c r="D11576" i="2"/>
  <c r="C11576" i="2"/>
  <c r="B11576" i="2"/>
  <c r="A11576" i="2"/>
  <c r="E11575" i="2"/>
  <c r="D11575" i="2"/>
  <c r="C11575" i="2"/>
  <c r="B11575" i="2"/>
  <c r="A11575" i="2"/>
  <c r="E11574" i="2"/>
  <c r="D11574" i="2"/>
  <c r="C11574" i="2"/>
  <c r="B11574" i="2"/>
  <c r="A11574" i="2"/>
  <c r="E11573" i="2"/>
  <c r="D11573" i="2"/>
  <c r="C11573" i="2"/>
  <c r="B11573" i="2"/>
  <c r="A11573" i="2"/>
  <c r="E11572" i="2"/>
  <c r="D11572" i="2"/>
  <c r="C11572" i="2"/>
  <c r="B11572" i="2"/>
  <c r="A11572" i="2"/>
  <c r="E11571" i="2"/>
  <c r="D11571" i="2"/>
  <c r="C11571" i="2"/>
  <c r="B11571" i="2"/>
  <c r="A11571" i="2"/>
  <c r="E11570" i="2"/>
  <c r="D11570" i="2"/>
  <c r="C11570" i="2"/>
  <c r="B11570" i="2"/>
  <c r="A11570" i="2"/>
  <c r="E11569" i="2"/>
  <c r="D11569" i="2"/>
  <c r="C11569" i="2"/>
  <c r="B11569" i="2"/>
  <c r="A11569" i="2"/>
  <c r="E11568" i="2"/>
  <c r="D11568" i="2"/>
  <c r="C11568" i="2"/>
  <c r="B11568" i="2"/>
  <c r="A11568" i="2"/>
  <c r="E11567" i="2"/>
  <c r="D11567" i="2"/>
  <c r="C11567" i="2"/>
  <c r="B11567" i="2"/>
  <c r="A11567" i="2"/>
  <c r="E11566" i="2"/>
  <c r="D11566" i="2"/>
  <c r="C11566" i="2"/>
  <c r="B11566" i="2"/>
  <c r="A11566" i="2"/>
  <c r="E11565" i="2"/>
  <c r="D11565" i="2"/>
  <c r="C11565" i="2"/>
  <c r="B11565" i="2"/>
  <c r="A11565" i="2"/>
  <c r="E11564" i="2"/>
  <c r="D11564" i="2"/>
  <c r="C11564" i="2"/>
  <c r="B11564" i="2"/>
  <c r="A11564" i="2"/>
  <c r="E11563" i="2"/>
  <c r="D11563" i="2"/>
  <c r="C11563" i="2"/>
  <c r="B11563" i="2"/>
  <c r="A11563" i="2"/>
  <c r="E11562" i="2"/>
  <c r="D11562" i="2"/>
  <c r="C11562" i="2"/>
  <c r="B11562" i="2"/>
  <c r="A11562" i="2"/>
  <c r="E11561" i="2"/>
  <c r="D11561" i="2"/>
  <c r="C11561" i="2"/>
  <c r="B11561" i="2"/>
  <c r="A11561" i="2"/>
  <c r="E11560" i="2"/>
  <c r="D11560" i="2"/>
  <c r="C11560" i="2"/>
  <c r="B11560" i="2"/>
  <c r="A11560" i="2"/>
  <c r="E11559" i="2"/>
  <c r="D11559" i="2"/>
  <c r="C11559" i="2"/>
  <c r="B11559" i="2"/>
  <c r="A11559" i="2"/>
  <c r="E11558" i="2"/>
  <c r="D11558" i="2"/>
  <c r="C11558" i="2"/>
  <c r="B11558" i="2"/>
  <c r="A11558" i="2"/>
  <c r="E11557" i="2"/>
  <c r="D11557" i="2"/>
  <c r="C11557" i="2"/>
  <c r="B11557" i="2"/>
  <c r="A11557" i="2"/>
  <c r="E11556" i="2"/>
  <c r="D11556" i="2"/>
  <c r="C11556" i="2"/>
  <c r="B11556" i="2"/>
  <c r="A11556" i="2"/>
  <c r="E11555" i="2"/>
  <c r="D11555" i="2"/>
  <c r="C11555" i="2"/>
  <c r="B11555" i="2"/>
  <c r="A11555" i="2"/>
  <c r="E11554" i="2"/>
  <c r="D11554" i="2"/>
  <c r="C11554" i="2"/>
  <c r="B11554" i="2"/>
  <c r="A11554" i="2"/>
  <c r="E11553" i="2"/>
  <c r="D11553" i="2"/>
  <c r="C11553" i="2"/>
  <c r="B11553" i="2"/>
  <c r="A11553" i="2"/>
  <c r="E11552" i="2"/>
  <c r="D11552" i="2"/>
  <c r="C11552" i="2"/>
  <c r="B11552" i="2"/>
  <c r="A11552" i="2"/>
  <c r="E11551" i="2"/>
  <c r="D11551" i="2"/>
  <c r="C11551" i="2"/>
  <c r="B11551" i="2"/>
  <c r="A11551" i="2"/>
  <c r="E11550" i="2"/>
  <c r="D11550" i="2"/>
  <c r="C11550" i="2"/>
  <c r="B11550" i="2"/>
  <c r="A11550" i="2"/>
  <c r="E11549" i="2"/>
  <c r="D11549" i="2"/>
  <c r="C11549" i="2"/>
  <c r="B11549" i="2"/>
  <c r="A11549" i="2"/>
  <c r="E11548" i="2"/>
  <c r="D11548" i="2"/>
  <c r="C11548" i="2"/>
  <c r="B11548" i="2"/>
  <c r="A11548" i="2"/>
  <c r="E11547" i="2"/>
  <c r="D11547" i="2"/>
  <c r="C11547" i="2"/>
  <c r="B11547" i="2"/>
  <c r="A11547" i="2"/>
  <c r="E11546" i="2"/>
  <c r="D11546" i="2"/>
  <c r="C11546" i="2"/>
  <c r="B11546" i="2"/>
  <c r="A11546" i="2"/>
  <c r="E11545" i="2"/>
  <c r="D11545" i="2"/>
  <c r="C11545" i="2"/>
  <c r="B11545" i="2"/>
  <c r="A11545" i="2"/>
  <c r="E11544" i="2"/>
  <c r="D11544" i="2"/>
  <c r="C11544" i="2"/>
  <c r="B11544" i="2"/>
  <c r="A11544" i="2"/>
  <c r="E11543" i="2"/>
  <c r="D11543" i="2"/>
  <c r="C11543" i="2"/>
  <c r="B11543" i="2"/>
  <c r="A11543" i="2"/>
  <c r="E11542" i="2"/>
  <c r="D11542" i="2"/>
  <c r="C11542" i="2"/>
  <c r="B11542" i="2"/>
  <c r="A11542" i="2"/>
  <c r="E11541" i="2"/>
  <c r="D11541" i="2"/>
  <c r="C11541" i="2"/>
  <c r="B11541" i="2"/>
  <c r="A11541" i="2"/>
  <c r="E11540" i="2"/>
  <c r="D11540" i="2"/>
  <c r="C11540" i="2"/>
  <c r="B11540" i="2"/>
  <c r="A11540" i="2"/>
  <c r="E11539" i="2"/>
  <c r="D11539" i="2"/>
  <c r="C11539" i="2"/>
  <c r="B11539" i="2"/>
  <c r="A11539" i="2"/>
  <c r="E11538" i="2"/>
  <c r="D11538" i="2"/>
  <c r="C11538" i="2"/>
  <c r="B11538" i="2"/>
  <c r="A11538" i="2"/>
  <c r="E11537" i="2"/>
  <c r="D11537" i="2"/>
  <c r="C11537" i="2"/>
  <c r="B11537" i="2"/>
  <c r="A11537" i="2"/>
  <c r="E11536" i="2"/>
  <c r="D11536" i="2"/>
  <c r="C11536" i="2"/>
  <c r="B11536" i="2"/>
  <c r="A11536" i="2"/>
  <c r="E11535" i="2"/>
  <c r="D11535" i="2"/>
  <c r="C11535" i="2"/>
  <c r="B11535" i="2"/>
  <c r="A11535" i="2"/>
  <c r="E11534" i="2"/>
  <c r="D11534" i="2"/>
  <c r="C11534" i="2"/>
  <c r="B11534" i="2"/>
  <c r="A11534" i="2"/>
  <c r="E11533" i="2"/>
  <c r="D11533" i="2"/>
  <c r="C11533" i="2"/>
  <c r="B11533" i="2"/>
  <c r="A11533" i="2"/>
  <c r="E11532" i="2"/>
  <c r="D11532" i="2"/>
  <c r="C11532" i="2"/>
  <c r="B11532" i="2"/>
  <c r="A11532" i="2"/>
  <c r="E11531" i="2"/>
  <c r="D11531" i="2"/>
  <c r="C11531" i="2"/>
  <c r="B11531" i="2"/>
  <c r="A11531" i="2"/>
  <c r="E11530" i="2"/>
  <c r="D11530" i="2"/>
  <c r="C11530" i="2"/>
  <c r="B11530" i="2"/>
  <c r="A11530" i="2"/>
  <c r="E11529" i="2"/>
  <c r="D11529" i="2"/>
  <c r="C11529" i="2"/>
  <c r="B11529" i="2"/>
  <c r="A11529" i="2"/>
  <c r="E11528" i="2"/>
  <c r="D11528" i="2"/>
  <c r="C11528" i="2"/>
  <c r="B11528" i="2"/>
  <c r="A11528" i="2"/>
  <c r="E11527" i="2"/>
  <c r="D11527" i="2"/>
  <c r="C11527" i="2"/>
  <c r="B11527" i="2"/>
  <c r="A11527" i="2"/>
  <c r="E11526" i="2"/>
  <c r="D11526" i="2"/>
  <c r="C11526" i="2"/>
  <c r="B11526" i="2"/>
  <c r="A11526" i="2"/>
  <c r="E11525" i="2"/>
  <c r="D11525" i="2"/>
  <c r="C11525" i="2"/>
  <c r="B11525" i="2"/>
  <c r="A11525" i="2"/>
  <c r="E11524" i="2"/>
  <c r="D11524" i="2"/>
  <c r="C11524" i="2"/>
  <c r="B11524" i="2"/>
  <c r="A11524" i="2"/>
  <c r="E11523" i="2"/>
  <c r="D11523" i="2"/>
  <c r="C11523" i="2"/>
  <c r="B11523" i="2"/>
  <c r="A11523" i="2"/>
  <c r="E11522" i="2"/>
  <c r="D11522" i="2"/>
  <c r="C11522" i="2"/>
  <c r="B11522" i="2"/>
  <c r="A11522" i="2"/>
  <c r="E11521" i="2"/>
  <c r="D11521" i="2"/>
  <c r="C11521" i="2"/>
  <c r="B11521" i="2"/>
  <c r="A11521" i="2"/>
  <c r="E11520" i="2"/>
  <c r="D11520" i="2"/>
  <c r="C11520" i="2"/>
  <c r="B11520" i="2"/>
  <c r="A11520" i="2"/>
  <c r="E11519" i="2"/>
  <c r="D11519" i="2"/>
  <c r="C11519" i="2"/>
  <c r="B11519" i="2"/>
  <c r="A11519" i="2"/>
  <c r="E11518" i="2"/>
  <c r="D11518" i="2"/>
  <c r="C11518" i="2"/>
  <c r="B11518" i="2"/>
  <c r="A11518" i="2"/>
  <c r="E11517" i="2"/>
  <c r="D11517" i="2"/>
  <c r="C11517" i="2"/>
  <c r="B11517" i="2"/>
  <c r="A11517" i="2"/>
  <c r="E11516" i="2"/>
  <c r="D11516" i="2"/>
  <c r="C11516" i="2"/>
  <c r="B11516" i="2"/>
  <c r="A11516" i="2"/>
  <c r="E11515" i="2"/>
  <c r="D11515" i="2"/>
  <c r="C11515" i="2"/>
  <c r="B11515" i="2"/>
  <c r="A11515" i="2"/>
  <c r="E11514" i="2"/>
  <c r="D11514" i="2"/>
  <c r="C11514" i="2"/>
  <c r="B11514" i="2"/>
  <c r="A11514" i="2"/>
  <c r="E11513" i="2"/>
  <c r="D11513" i="2"/>
  <c r="C11513" i="2"/>
  <c r="B11513" i="2"/>
  <c r="A11513" i="2"/>
  <c r="E11512" i="2"/>
  <c r="D11512" i="2"/>
  <c r="C11512" i="2"/>
  <c r="B11512" i="2"/>
  <c r="A11512" i="2"/>
  <c r="E11511" i="2"/>
  <c r="D11511" i="2"/>
  <c r="C11511" i="2"/>
  <c r="B11511" i="2"/>
  <c r="A11511" i="2"/>
  <c r="E11510" i="2"/>
  <c r="D11510" i="2"/>
  <c r="C11510" i="2"/>
  <c r="B11510" i="2"/>
  <c r="A11510" i="2"/>
  <c r="E11509" i="2"/>
  <c r="D11509" i="2"/>
  <c r="C11509" i="2"/>
  <c r="B11509" i="2"/>
  <c r="A11509" i="2"/>
  <c r="E11508" i="2"/>
  <c r="D11508" i="2"/>
  <c r="C11508" i="2"/>
  <c r="B11508" i="2"/>
  <c r="A11508" i="2"/>
  <c r="E11507" i="2"/>
  <c r="D11507" i="2"/>
  <c r="C11507" i="2"/>
  <c r="B11507" i="2"/>
  <c r="A11507" i="2"/>
  <c r="E11506" i="2"/>
  <c r="D11506" i="2"/>
  <c r="C11506" i="2"/>
  <c r="B11506" i="2"/>
  <c r="A11506" i="2"/>
  <c r="E11505" i="2"/>
  <c r="D11505" i="2"/>
  <c r="C11505" i="2"/>
  <c r="B11505" i="2"/>
  <c r="A11505" i="2"/>
  <c r="E11504" i="2"/>
  <c r="D11504" i="2"/>
  <c r="C11504" i="2"/>
  <c r="B11504" i="2"/>
  <c r="A11504" i="2"/>
  <c r="E11503" i="2"/>
  <c r="D11503" i="2"/>
  <c r="C11503" i="2"/>
  <c r="B11503" i="2"/>
  <c r="A11503" i="2"/>
  <c r="E11502" i="2"/>
  <c r="D11502" i="2"/>
  <c r="C11502" i="2"/>
  <c r="B11502" i="2"/>
  <c r="A11502" i="2"/>
  <c r="E11501" i="2"/>
  <c r="D11501" i="2"/>
  <c r="C11501" i="2"/>
  <c r="B11501" i="2"/>
  <c r="A11501" i="2"/>
  <c r="E11500" i="2"/>
  <c r="D11500" i="2"/>
  <c r="C11500" i="2"/>
  <c r="B11500" i="2"/>
  <c r="A11500" i="2"/>
  <c r="E11499" i="2"/>
  <c r="D11499" i="2"/>
  <c r="C11499" i="2"/>
  <c r="B11499" i="2"/>
  <c r="A11499" i="2"/>
  <c r="E11498" i="2"/>
  <c r="D11498" i="2"/>
  <c r="C11498" i="2"/>
  <c r="B11498" i="2"/>
  <c r="A11498" i="2"/>
  <c r="E11497" i="2"/>
  <c r="D11497" i="2"/>
  <c r="C11497" i="2"/>
  <c r="B11497" i="2"/>
  <c r="A11497" i="2"/>
  <c r="E11496" i="2"/>
  <c r="D11496" i="2"/>
  <c r="C11496" i="2"/>
  <c r="B11496" i="2"/>
  <c r="A11496" i="2"/>
  <c r="E11495" i="2"/>
  <c r="D11495" i="2"/>
  <c r="C11495" i="2"/>
  <c r="B11495" i="2"/>
  <c r="A11495" i="2"/>
  <c r="E11494" i="2"/>
  <c r="D11494" i="2"/>
  <c r="C11494" i="2"/>
  <c r="B11494" i="2"/>
  <c r="A11494" i="2"/>
  <c r="E11493" i="2"/>
  <c r="D11493" i="2"/>
  <c r="C11493" i="2"/>
  <c r="B11493" i="2"/>
  <c r="A11493" i="2"/>
  <c r="E11492" i="2"/>
  <c r="D11492" i="2"/>
  <c r="C11492" i="2"/>
  <c r="B11492" i="2"/>
  <c r="A11492" i="2"/>
  <c r="E11491" i="2"/>
  <c r="D11491" i="2"/>
  <c r="C11491" i="2"/>
  <c r="B11491" i="2"/>
  <c r="A11491" i="2"/>
  <c r="E11490" i="2"/>
  <c r="D11490" i="2"/>
  <c r="C11490" i="2"/>
  <c r="B11490" i="2"/>
  <c r="A11490" i="2"/>
  <c r="E11489" i="2"/>
  <c r="D11489" i="2"/>
  <c r="C11489" i="2"/>
  <c r="B11489" i="2"/>
  <c r="A11489" i="2"/>
  <c r="E11488" i="2"/>
  <c r="D11488" i="2"/>
  <c r="C11488" i="2"/>
  <c r="B11488" i="2"/>
  <c r="A11488" i="2"/>
  <c r="E11487" i="2"/>
  <c r="D11487" i="2"/>
  <c r="C11487" i="2"/>
  <c r="B11487" i="2"/>
  <c r="A11487" i="2"/>
  <c r="E11486" i="2"/>
  <c r="D11486" i="2"/>
  <c r="C11486" i="2"/>
  <c r="B11486" i="2"/>
  <c r="A11486" i="2"/>
  <c r="E11485" i="2"/>
  <c r="D11485" i="2"/>
  <c r="C11485" i="2"/>
  <c r="B11485" i="2"/>
  <c r="A11485" i="2"/>
  <c r="E11484" i="2"/>
  <c r="D11484" i="2"/>
  <c r="C11484" i="2"/>
  <c r="B11484" i="2"/>
  <c r="A11484" i="2"/>
  <c r="E11483" i="2"/>
  <c r="D11483" i="2"/>
  <c r="C11483" i="2"/>
  <c r="B11483" i="2"/>
  <c r="A11483" i="2"/>
  <c r="E11482" i="2"/>
  <c r="D11482" i="2"/>
  <c r="C11482" i="2"/>
  <c r="B11482" i="2"/>
  <c r="A11482" i="2"/>
  <c r="E11481" i="2"/>
  <c r="D11481" i="2"/>
  <c r="C11481" i="2"/>
  <c r="B11481" i="2"/>
  <c r="A11481" i="2"/>
  <c r="E11480" i="2"/>
  <c r="D11480" i="2"/>
  <c r="C11480" i="2"/>
  <c r="B11480" i="2"/>
  <c r="A11480" i="2"/>
  <c r="E11479" i="2"/>
  <c r="D11479" i="2"/>
  <c r="C11479" i="2"/>
  <c r="B11479" i="2"/>
  <c r="A11479" i="2"/>
  <c r="E11478" i="2"/>
  <c r="D11478" i="2"/>
  <c r="C11478" i="2"/>
  <c r="B11478" i="2"/>
  <c r="A11478" i="2"/>
  <c r="E11477" i="2"/>
  <c r="D11477" i="2"/>
  <c r="C11477" i="2"/>
  <c r="B11477" i="2"/>
  <c r="A11477" i="2"/>
  <c r="E11476" i="2"/>
  <c r="D11476" i="2"/>
  <c r="C11476" i="2"/>
  <c r="B11476" i="2"/>
  <c r="A11476" i="2"/>
  <c r="E11475" i="2"/>
  <c r="D11475" i="2"/>
  <c r="C11475" i="2"/>
  <c r="B11475" i="2"/>
  <c r="A11475" i="2"/>
  <c r="E11474" i="2"/>
  <c r="D11474" i="2"/>
  <c r="C11474" i="2"/>
  <c r="B11474" i="2"/>
  <c r="A11474" i="2"/>
  <c r="E11473" i="2"/>
  <c r="D11473" i="2"/>
  <c r="C11473" i="2"/>
  <c r="B11473" i="2"/>
  <c r="A11473" i="2"/>
  <c r="E11472" i="2"/>
  <c r="D11472" i="2"/>
  <c r="C11472" i="2"/>
  <c r="B11472" i="2"/>
  <c r="A11472" i="2"/>
  <c r="E11471" i="2"/>
  <c r="D11471" i="2"/>
  <c r="C11471" i="2"/>
  <c r="B11471" i="2"/>
  <c r="A11471" i="2"/>
  <c r="E11470" i="2"/>
  <c r="D11470" i="2"/>
  <c r="C11470" i="2"/>
  <c r="B11470" i="2"/>
  <c r="A11470" i="2"/>
  <c r="E11469" i="2"/>
  <c r="D11469" i="2"/>
  <c r="C11469" i="2"/>
  <c r="B11469" i="2"/>
  <c r="A11469" i="2"/>
  <c r="E11468" i="2"/>
  <c r="D11468" i="2"/>
  <c r="C11468" i="2"/>
  <c r="B11468" i="2"/>
  <c r="A11468" i="2"/>
  <c r="E11467" i="2"/>
  <c r="D11467" i="2"/>
  <c r="C11467" i="2"/>
  <c r="B11467" i="2"/>
  <c r="A11467" i="2"/>
  <c r="E11466" i="2"/>
  <c r="D11466" i="2"/>
  <c r="C11466" i="2"/>
  <c r="B11466" i="2"/>
  <c r="A11466" i="2"/>
  <c r="E11465" i="2"/>
  <c r="D11465" i="2"/>
  <c r="C11465" i="2"/>
  <c r="B11465" i="2"/>
  <c r="A11465" i="2"/>
  <c r="E11464" i="2"/>
  <c r="D11464" i="2"/>
  <c r="C11464" i="2"/>
  <c r="B11464" i="2"/>
  <c r="A11464" i="2"/>
  <c r="E11463" i="2"/>
  <c r="D11463" i="2"/>
  <c r="C11463" i="2"/>
  <c r="B11463" i="2"/>
  <c r="A11463" i="2"/>
  <c r="E11462" i="2"/>
  <c r="D11462" i="2"/>
  <c r="C11462" i="2"/>
  <c r="B11462" i="2"/>
  <c r="A11462" i="2"/>
  <c r="E11461" i="2"/>
  <c r="D11461" i="2"/>
  <c r="C11461" i="2"/>
  <c r="B11461" i="2"/>
  <c r="A11461" i="2"/>
  <c r="E11460" i="2"/>
  <c r="D11460" i="2"/>
  <c r="C11460" i="2"/>
  <c r="B11460" i="2"/>
  <c r="A11460" i="2"/>
  <c r="E11459" i="2"/>
  <c r="D11459" i="2"/>
  <c r="C11459" i="2"/>
  <c r="B11459" i="2"/>
  <c r="A11459" i="2"/>
  <c r="E11458" i="2"/>
  <c r="D11458" i="2"/>
  <c r="C11458" i="2"/>
  <c r="B11458" i="2"/>
  <c r="A11458" i="2"/>
  <c r="E11457" i="2"/>
  <c r="D11457" i="2"/>
  <c r="C11457" i="2"/>
  <c r="B11457" i="2"/>
  <c r="A11457" i="2"/>
  <c r="E11456" i="2"/>
  <c r="D11456" i="2"/>
  <c r="C11456" i="2"/>
  <c r="B11456" i="2"/>
  <c r="A11456" i="2"/>
  <c r="E11455" i="2"/>
  <c r="D11455" i="2"/>
  <c r="C11455" i="2"/>
  <c r="B11455" i="2"/>
  <c r="A11455" i="2"/>
  <c r="E11454" i="2"/>
  <c r="D11454" i="2"/>
  <c r="C11454" i="2"/>
  <c r="B11454" i="2"/>
  <c r="A11454" i="2"/>
  <c r="E11453" i="2"/>
  <c r="D11453" i="2"/>
  <c r="C11453" i="2"/>
  <c r="B11453" i="2"/>
  <c r="A11453" i="2"/>
  <c r="E11452" i="2"/>
  <c r="D11452" i="2"/>
  <c r="C11452" i="2"/>
  <c r="B11452" i="2"/>
  <c r="A11452" i="2"/>
  <c r="E11451" i="2"/>
  <c r="D11451" i="2"/>
  <c r="C11451" i="2"/>
  <c r="B11451" i="2"/>
  <c r="A11451" i="2"/>
  <c r="E11450" i="2"/>
  <c r="D11450" i="2"/>
  <c r="C11450" i="2"/>
  <c r="B11450" i="2"/>
  <c r="A11450" i="2"/>
  <c r="E11449" i="2"/>
  <c r="D11449" i="2"/>
  <c r="C11449" i="2"/>
  <c r="B11449" i="2"/>
  <c r="A11449" i="2"/>
  <c r="E11448" i="2"/>
  <c r="D11448" i="2"/>
  <c r="C11448" i="2"/>
  <c r="B11448" i="2"/>
  <c r="A11448" i="2"/>
  <c r="E11447" i="2"/>
  <c r="D11447" i="2"/>
  <c r="C11447" i="2"/>
  <c r="B11447" i="2"/>
  <c r="A11447" i="2"/>
  <c r="E11446" i="2"/>
  <c r="D11446" i="2"/>
  <c r="C11446" i="2"/>
  <c r="B11446" i="2"/>
  <c r="A11446" i="2"/>
  <c r="E11445" i="2"/>
  <c r="D11445" i="2"/>
  <c r="C11445" i="2"/>
  <c r="B11445" i="2"/>
  <c r="A11445" i="2"/>
  <c r="E11444" i="2"/>
  <c r="D11444" i="2"/>
  <c r="C11444" i="2"/>
  <c r="B11444" i="2"/>
  <c r="A11444" i="2"/>
  <c r="E11443" i="2"/>
  <c r="D11443" i="2"/>
  <c r="C11443" i="2"/>
  <c r="B11443" i="2"/>
  <c r="A11443" i="2"/>
  <c r="E11442" i="2"/>
  <c r="D11442" i="2"/>
  <c r="C11442" i="2"/>
  <c r="B11442" i="2"/>
  <c r="A11442" i="2"/>
  <c r="E11441" i="2"/>
  <c r="D11441" i="2"/>
  <c r="C11441" i="2"/>
  <c r="B11441" i="2"/>
  <c r="A11441" i="2"/>
  <c r="E11440" i="2"/>
  <c r="D11440" i="2"/>
  <c r="C11440" i="2"/>
  <c r="B11440" i="2"/>
  <c r="A11440" i="2"/>
  <c r="E11439" i="2"/>
  <c r="D11439" i="2"/>
  <c r="C11439" i="2"/>
  <c r="B11439" i="2"/>
  <c r="A11439" i="2"/>
  <c r="E11438" i="2"/>
  <c r="D11438" i="2"/>
  <c r="C11438" i="2"/>
  <c r="B11438" i="2"/>
  <c r="A11438" i="2"/>
  <c r="E11437" i="2"/>
  <c r="D11437" i="2"/>
  <c r="C11437" i="2"/>
  <c r="B11437" i="2"/>
  <c r="A11437" i="2"/>
  <c r="E11436" i="2"/>
  <c r="D11436" i="2"/>
  <c r="C11436" i="2"/>
  <c r="B11436" i="2"/>
  <c r="A11436" i="2"/>
  <c r="E11435" i="2"/>
  <c r="D11435" i="2"/>
  <c r="C11435" i="2"/>
  <c r="B11435" i="2"/>
  <c r="A11435" i="2"/>
  <c r="E11434" i="2"/>
  <c r="D11434" i="2"/>
  <c r="C11434" i="2"/>
  <c r="B11434" i="2"/>
  <c r="A11434" i="2"/>
  <c r="E11433" i="2"/>
  <c r="D11433" i="2"/>
  <c r="C11433" i="2"/>
  <c r="B11433" i="2"/>
  <c r="A11433" i="2"/>
  <c r="E11432" i="2"/>
  <c r="D11432" i="2"/>
  <c r="C11432" i="2"/>
  <c r="B11432" i="2"/>
  <c r="A11432" i="2"/>
  <c r="E11431" i="2"/>
  <c r="D11431" i="2"/>
  <c r="C11431" i="2"/>
  <c r="B11431" i="2"/>
  <c r="A11431" i="2"/>
  <c r="E11430" i="2"/>
  <c r="D11430" i="2"/>
  <c r="C11430" i="2"/>
  <c r="B11430" i="2"/>
  <c r="A11430" i="2"/>
  <c r="E11429" i="2"/>
  <c r="D11429" i="2"/>
  <c r="C11429" i="2"/>
  <c r="B11429" i="2"/>
  <c r="A11429" i="2"/>
  <c r="E11428" i="2"/>
  <c r="D11428" i="2"/>
  <c r="C11428" i="2"/>
  <c r="B11428" i="2"/>
  <c r="A11428" i="2"/>
  <c r="E11427" i="2"/>
  <c r="D11427" i="2"/>
  <c r="C11427" i="2"/>
  <c r="B11427" i="2"/>
  <c r="A11427" i="2"/>
  <c r="E11426" i="2"/>
  <c r="D11426" i="2"/>
  <c r="C11426" i="2"/>
  <c r="B11426" i="2"/>
  <c r="A11426" i="2"/>
  <c r="E11425" i="2"/>
  <c r="D11425" i="2"/>
  <c r="C11425" i="2"/>
  <c r="B11425" i="2"/>
  <c r="A11425" i="2"/>
  <c r="E11424" i="2"/>
  <c r="D11424" i="2"/>
  <c r="C11424" i="2"/>
  <c r="B11424" i="2"/>
  <c r="A11424" i="2"/>
  <c r="E11423" i="2"/>
  <c r="D11423" i="2"/>
  <c r="C11423" i="2"/>
  <c r="B11423" i="2"/>
  <c r="A11423" i="2"/>
  <c r="E11422" i="2"/>
  <c r="D11422" i="2"/>
  <c r="C11422" i="2"/>
  <c r="B11422" i="2"/>
  <c r="A11422" i="2"/>
  <c r="E11421" i="2"/>
  <c r="D11421" i="2"/>
  <c r="C11421" i="2"/>
  <c r="B11421" i="2"/>
  <c r="A11421" i="2"/>
  <c r="E11420" i="2"/>
  <c r="D11420" i="2"/>
  <c r="C11420" i="2"/>
  <c r="B11420" i="2"/>
  <c r="A11420" i="2"/>
  <c r="E11419" i="2"/>
  <c r="D11419" i="2"/>
  <c r="C11419" i="2"/>
  <c r="B11419" i="2"/>
  <c r="A11419" i="2"/>
  <c r="E11418" i="2"/>
  <c r="D11418" i="2"/>
  <c r="C11418" i="2"/>
  <c r="B11418" i="2"/>
  <c r="A11418" i="2"/>
  <c r="E11417" i="2"/>
  <c r="D11417" i="2"/>
  <c r="C11417" i="2"/>
  <c r="B11417" i="2"/>
  <c r="A11417" i="2"/>
  <c r="E11416" i="2"/>
  <c r="D11416" i="2"/>
  <c r="C11416" i="2"/>
  <c r="B11416" i="2"/>
  <c r="A11416" i="2"/>
  <c r="E11415" i="2"/>
  <c r="D11415" i="2"/>
  <c r="C11415" i="2"/>
  <c r="B11415" i="2"/>
  <c r="A11415" i="2"/>
  <c r="E11414" i="2"/>
  <c r="D11414" i="2"/>
  <c r="C11414" i="2"/>
  <c r="B11414" i="2"/>
  <c r="A11414" i="2"/>
  <c r="E11413" i="2"/>
  <c r="D11413" i="2"/>
  <c r="C11413" i="2"/>
  <c r="B11413" i="2"/>
  <c r="A11413" i="2"/>
  <c r="E11412" i="2"/>
  <c r="D11412" i="2"/>
  <c r="C11412" i="2"/>
  <c r="B11412" i="2"/>
  <c r="A11412" i="2"/>
  <c r="E11411" i="2"/>
  <c r="D11411" i="2"/>
  <c r="C11411" i="2"/>
  <c r="B11411" i="2"/>
  <c r="A11411" i="2"/>
  <c r="E11410" i="2"/>
  <c r="D11410" i="2"/>
  <c r="C11410" i="2"/>
  <c r="B11410" i="2"/>
  <c r="A11410" i="2"/>
  <c r="E11409" i="2"/>
  <c r="D11409" i="2"/>
  <c r="C11409" i="2"/>
  <c r="B11409" i="2"/>
  <c r="A11409" i="2"/>
  <c r="E11408" i="2"/>
  <c r="D11408" i="2"/>
  <c r="C11408" i="2"/>
  <c r="B11408" i="2"/>
  <c r="A11408" i="2"/>
  <c r="E11407" i="2"/>
  <c r="D11407" i="2"/>
  <c r="C11407" i="2"/>
  <c r="B11407" i="2"/>
  <c r="A11407" i="2"/>
  <c r="E11406" i="2"/>
  <c r="D11406" i="2"/>
  <c r="C11406" i="2"/>
  <c r="B11406" i="2"/>
  <c r="A11406" i="2"/>
  <c r="E11405" i="2"/>
  <c r="D11405" i="2"/>
  <c r="C11405" i="2"/>
  <c r="B11405" i="2"/>
  <c r="A11405" i="2"/>
  <c r="E11404" i="2"/>
  <c r="D11404" i="2"/>
  <c r="C11404" i="2"/>
  <c r="B11404" i="2"/>
  <c r="A11404" i="2"/>
  <c r="E11403" i="2"/>
  <c r="D11403" i="2"/>
  <c r="C11403" i="2"/>
  <c r="B11403" i="2"/>
  <c r="A11403" i="2"/>
  <c r="E11402" i="2"/>
  <c r="D11402" i="2"/>
  <c r="C11402" i="2"/>
  <c r="B11402" i="2"/>
  <c r="A11402" i="2"/>
  <c r="E11401" i="2"/>
  <c r="D11401" i="2"/>
  <c r="C11401" i="2"/>
  <c r="B11401" i="2"/>
  <c r="A11401" i="2"/>
  <c r="E11400" i="2"/>
  <c r="D11400" i="2"/>
  <c r="C11400" i="2"/>
  <c r="B11400" i="2"/>
  <c r="A11400" i="2"/>
  <c r="E11399" i="2"/>
  <c r="D11399" i="2"/>
  <c r="C11399" i="2"/>
  <c r="B11399" i="2"/>
  <c r="A11399" i="2"/>
  <c r="E11398" i="2"/>
  <c r="D11398" i="2"/>
  <c r="C11398" i="2"/>
  <c r="B11398" i="2"/>
  <c r="A11398" i="2"/>
  <c r="E11397" i="2"/>
  <c r="D11397" i="2"/>
  <c r="C11397" i="2"/>
  <c r="B11397" i="2"/>
  <c r="A11397" i="2"/>
  <c r="E11396" i="2"/>
  <c r="D11396" i="2"/>
  <c r="C11396" i="2"/>
  <c r="B11396" i="2"/>
  <c r="A11396" i="2"/>
  <c r="E11395" i="2"/>
  <c r="D11395" i="2"/>
  <c r="C11395" i="2"/>
  <c r="B11395" i="2"/>
  <c r="A11395" i="2"/>
  <c r="E11394" i="2"/>
  <c r="D11394" i="2"/>
  <c r="C11394" i="2"/>
  <c r="B11394" i="2"/>
  <c r="A11394" i="2"/>
  <c r="E11393" i="2"/>
  <c r="D11393" i="2"/>
  <c r="C11393" i="2"/>
  <c r="B11393" i="2"/>
  <c r="A11393" i="2"/>
  <c r="E11392" i="2"/>
  <c r="D11392" i="2"/>
  <c r="C11392" i="2"/>
  <c r="B11392" i="2"/>
  <c r="A11392" i="2"/>
  <c r="E11391" i="2"/>
  <c r="D11391" i="2"/>
  <c r="C11391" i="2"/>
  <c r="B11391" i="2"/>
  <c r="A11391" i="2"/>
  <c r="E11390" i="2"/>
  <c r="D11390" i="2"/>
  <c r="C11390" i="2"/>
  <c r="B11390" i="2"/>
  <c r="A11390" i="2"/>
  <c r="E11389" i="2"/>
  <c r="D11389" i="2"/>
  <c r="C11389" i="2"/>
  <c r="B11389" i="2"/>
  <c r="A11389" i="2"/>
  <c r="E11388" i="2"/>
  <c r="D11388" i="2"/>
  <c r="C11388" i="2"/>
  <c r="B11388" i="2"/>
  <c r="A11388" i="2"/>
  <c r="E11387" i="2"/>
  <c r="D11387" i="2"/>
  <c r="C11387" i="2"/>
  <c r="B11387" i="2"/>
  <c r="A11387" i="2"/>
  <c r="E11386" i="2"/>
  <c r="D11386" i="2"/>
  <c r="C11386" i="2"/>
  <c r="B11386" i="2"/>
  <c r="A11386" i="2"/>
  <c r="E11385" i="2"/>
  <c r="D11385" i="2"/>
  <c r="C11385" i="2"/>
  <c r="B11385" i="2"/>
  <c r="A11385" i="2"/>
  <c r="E11384" i="2"/>
  <c r="D11384" i="2"/>
  <c r="C11384" i="2"/>
  <c r="B11384" i="2"/>
  <c r="A11384" i="2"/>
  <c r="E11383" i="2"/>
  <c r="D11383" i="2"/>
  <c r="C11383" i="2"/>
  <c r="B11383" i="2"/>
  <c r="A11383" i="2"/>
  <c r="E11382" i="2"/>
  <c r="D11382" i="2"/>
  <c r="C11382" i="2"/>
  <c r="B11382" i="2"/>
  <c r="A11382" i="2"/>
  <c r="E11381" i="2"/>
  <c r="D11381" i="2"/>
  <c r="C11381" i="2"/>
  <c r="B11381" i="2"/>
  <c r="A11381" i="2"/>
  <c r="E11380" i="2"/>
  <c r="D11380" i="2"/>
  <c r="C11380" i="2"/>
  <c r="B11380" i="2"/>
  <c r="A11380" i="2"/>
  <c r="E11379" i="2"/>
  <c r="D11379" i="2"/>
  <c r="C11379" i="2"/>
  <c r="B11379" i="2"/>
  <c r="A11379" i="2"/>
  <c r="E11378" i="2"/>
  <c r="D11378" i="2"/>
  <c r="C11378" i="2"/>
  <c r="B11378" i="2"/>
  <c r="A11378" i="2"/>
  <c r="E11377" i="2"/>
  <c r="D11377" i="2"/>
  <c r="C11377" i="2"/>
  <c r="B11377" i="2"/>
  <c r="A11377" i="2"/>
  <c r="E11376" i="2"/>
  <c r="D11376" i="2"/>
  <c r="C11376" i="2"/>
  <c r="B11376" i="2"/>
  <c r="A11376" i="2"/>
  <c r="E11375" i="2"/>
  <c r="D11375" i="2"/>
  <c r="C11375" i="2"/>
  <c r="B11375" i="2"/>
  <c r="A11375" i="2"/>
  <c r="E11374" i="2"/>
  <c r="D11374" i="2"/>
  <c r="C11374" i="2"/>
  <c r="B11374" i="2"/>
  <c r="A11374" i="2"/>
  <c r="E11373" i="2"/>
  <c r="D11373" i="2"/>
  <c r="C11373" i="2"/>
  <c r="B11373" i="2"/>
  <c r="A11373" i="2"/>
  <c r="E11372" i="2"/>
  <c r="D11372" i="2"/>
  <c r="C11372" i="2"/>
  <c r="B11372" i="2"/>
  <c r="A11372" i="2"/>
  <c r="E11371" i="2"/>
  <c r="D11371" i="2"/>
  <c r="C11371" i="2"/>
  <c r="B11371" i="2"/>
  <c r="A11371" i="2"/>
  <c r="E11370" i="2"/>
  <c r="D11370" i="2"/>
  <c r="C11370" i="2"/>
  <c r="B11370" i="2"/>
  <c r="A11370" i="2"/>
  <c r="E11369" i="2"/>
  <c r="D11369" i="2"/>
  <c r="C11369" i="2"/>
  <c r="B11369" i="2"/>
  <c r="A11369" i="2"/>
  <c r="E11368" i="2"/>
  <c r="D11368" i="2"/>
  <c r="C11368" i="2"/>
  <c r="B11368" i="2"/>
  <c r="A11368" i="2"/>
  <c r="E11367" i="2"/>
  <c r="D11367" i="2"/>
  <c r="C11367" i="2"/>
  <c r="B11367" i="2"/>
  <c r="A11367" i="2"/>
  <c r="E11366" i="2"/>
  <c r="D11366" i="2"/>
  <c r="C11366" i="2"/>
  <c r="B11366" i="2"/>
  <c r="A11366" i="2"/>
  <c r="E11365" i="2"/>
  <c r="D11365" i="2"/>
  <c r="C11365" i="2"/>
  <c r="B11365" i="2"/>
  <c r="A11365" i="2"/>
  <c r="E11364" i="2"/>
  <c r="D11364" i="2"/>
  <c r="C11364" i="2"/>
  <c r="B11364" i="2"/>
  <c r="A11364" i="2"/>
  <c r="E11363" i="2"/>
  <c r="D11363" i="2"/>
  <c r="C11363" i="2"/>
  <c r="B11363" i="2"/>
  <c r="A11363" i="2"/>
  <c r="E11362" i="2"/>
  <c r="D11362" i="2"/>
  <c r="C11362" i="2"/>
  <c r="B11362" i="2"/>
  <c r="A11362" i="2"/>
  <c r="E11361" i="2"/>
  <c r="D11361" i="2"/>
  <c r="C11361" i="2"/>
  <c r="B11361" i="2"/>
  <c r="A11361" i="2"/>
  <c r="E11360" i="2"/>
  <c r="D11360" i="2"/>
  <c r="C11360" i="2"/>
  <c r="B11360" i="2"/>
  <c r="A11360" i="2"/>
  <c r="E11359" i="2"/>
  <c r="D11359" i="2"/>
  <c r="C11359" i="2"/>
  <c r="B11359" i="2"/>
  <c r="A11359" i="2"/>
  <c r="E11358" i="2"/>
  <c r="D11358" i="2"/>
  <c r="C11358" i="2"/>
  <c r="B11358" i="2"/>
  <c r="A11358" i="2"/>
  <c r="E11357" i="2"/>
  <c r="D11357" i="2"/>
  <c r="C11357" i="2"/>
  <c r="B11357" i="2"/>
  <c r="A11357" i="2"/>
  <c r="E11356" i="2"/>
  <c r="D11356" i="2"/>
  <c r="C11356" i="2"/>
  <c r="B11356" i="2"/>
  <c r="A11356" i="2"/>
  <c r="E11355" i="2"/>
  <c r="D11355" i="2"/>
  <c r="C11355" i="2"/>
  <c r="B11355" i="2"/>
  <c r="A11355" i="2"/>
  <c r="E11354" i="2"/>
  <c r="D11354" i="2"/>
  <c r="C11354" i="2"/>
  <c r="B11354" i="2"/>
  <c r="A11354" i="2"/>
  <c r="E11353" i="2"/>
  <c r="D11353" i="2"/>
  <c r="C11353" i="2"/>
  <c r="B11353" i="2"/>
  <c r="A11353" i="2"/>
  <c r="E11352" i="2"/>
  <c r="D11352" i="2"/>
  <c r="C11352" i="2"/>
  <c r="B11352" i="2"/>
  <c r="A11352" i="2"/>
  <c r="E11351" i="2"/>
  <c r="D11351" i="2"/>
  <c r="C11351" i="2"/>
  <c r="B11351" i="2"/>
  <c r="A11351" i="2"/>
  <c r="E11350" i="2"/>
  <c r="D11350" i="2"/>
  <c r="C11350" i="2"/>
  <c r="B11350" i="2"/>
  <c r="A11350" i="2"/>
  <c r="E11349" i="2"/>
  <c r="D11349" i="2"/>
  <c r="C11349" i="2"/>
  <c r="B11349" i="2"/>
  <c r="A11349" i="2"/>
  <c r="E11348" i="2"/>
  <c r="D11348" i="2"/>
  <c r="C11348" i="2"/>
  <c r="B11348" i="2"/>
  <c r="A11348" i="2"/>
  <c r="E11347" i="2"/>
  <c r="D11347" i="2"/>
  <c r="C11347" i="2"/>
  <c r="B11347" i="2"/>
  <c r="A11347" i="2"/>
  <c r="E11346" i="2"/>
  <c r="D11346" i="2"/>
  <c r="C11346" i="2"/>
  <c r="B11346" i="2"/>
  <c r="A11346" i="2"/>
  <c r="E11345" i="2"/>
  <c r="D11345" i="2"/>
  <c r="C11345" i="2"/>
  <c r="B11345" i="2"/>
  <c r="A11345" i="2"/>
  <c r="E11344" i="2"/>
  <c r="D11344" i="2"/>
  <c r="C11344" i="2"/>
  <c r="B11344" i="2"/>
  <c r="A11344" i="2"/>
  <c r="E11343" i="2"/>
  <c r="D11343" i="2"/>
  <c r="C11343" i="2"/>
  <c r="B11343" i="2"/>
  <c r="A11343" i="2"/>
  <c r="E11342" i="2"/>
  <c r="D11342" i="2"/>
  <c r="C11342" i="2"/>
  <c r="B11342" i="2"/>
  <c r="A11342" i="2"/>
  <c r="E11341" i="2"/>
  <c r="D11341" i="2"/>
  <c r="C11341" i="2"/>
  <c r="B11341" i="2"/>
  <c r="A11341" i="2"/>
  <c r="E11340" i="2"/>
  <c r="D11340" i="2"/>
  <c r="C11340" i="2"/>
  <c r="B11340" i="2"/>
  <c r="A11340" i="2"/>
  <c r="E11339" i="2"/>
  <c r="D11339" i="2"/>
  <c r="C11339" i="2"/>
  <c r="B11339" i="2"/>
  <c r="A11339" i="2"/>
  <c r="E11338" i="2"/>
  <c r="D11338" i="2"/>
  <c r="C11338" i="2"/>
  <c r="B11338" i="2"/>
  <c r="A11338" i="2"/>
  <c r="E11337" i="2"/>
  <c r="D11337" i="2"/>
  <c r="C11337" i="2"/>
  <c r="B11337" i="2"/>
  <c r="A11337" i="2"/>
  <c r="E11336" i="2"/>
  <c r="D11336" i="2"/>
  <c r="C11336" i="2"/>
  <c r="B11336" i="2"/>
  <c r="A11336" i="2"/>
  <c r="E11335" i="2"/>
  <c r="D11335" i="2"/>
  <c r="C11335" i="2"/>
  <c r="B11335" i="2"/>
  <c r="A11335" i="2"/>
  <c r="E11334" i="2"/>
  <c r="D11334" i="2"/>
  <c r="C11334" i="2"/>
  <c r="B11334" i="2"/>
  <c r="A11334" i="2"/>
  <c r="E11333" i="2"/>
  <c r="D11333" i="2"/>
  <c r="C11333" i="2"/>
  <c r="B11333" i="2"/>
  <c r="A11333" i="2"/>
  <c r="E11332" i="2"/>
  <c r="D11332" i="2"/>
  <c r="C11332" i="2"/>
  <c r="B11332" i="2"/>
  <c r="A11332" i="2"/>
  <c r="E11331" i="2"/>
  <c r="D11331" i="2"/>
  <c r="C11331" i="2"/>
  <c r="B11331" i="2"/>
  <c r="A11331" i="2"/>
  <c r="E11330" i="2"/>
  <c r="D11330" i="2"/>
  <c r="C11330" i="2"/>
  <c r="B11330" i="2"/>
  <c r="A11330" i="2"/>
  <c r="E11329" i="2"/>
  <c r="D11329" i="2"/>
  <c r="C11329" i="2"/>
  <c r="B11329" i="2"/>
  <c r="A11329" i="2"/>
  <c r="E11328" i="2"/>
  <c r="D11328" i="2"/>
  <c r="C11328" i="2"/>
  <c r="B11328" i="2"/>
  <c r="A11328" i="2"/>
  <c r="E11327" i="2"/>
  <c r="D11327" i="2"/>
  <c r="C11327" i="2"/>
  <c r="B11327" i="2"/>
  <c r="A11327" i="2"/>
  <c r="E11326" i="2"/>
  <c r="D11326" i="2"/>
  <c r="C11326" i="2"/>
  <c r="B11326" i="2"/>
  <c r="A11326" i="2"/>
  <c r="E11325" i="2"/>
  <c r="D11325" i="2"/>
  <c r="C11325" i="2"/>
  <c r="B11325" i="2"/>
  <c r="A11325" i="2"/>
  <c r="E11324" i="2"/>
  <c r="D11324" i="2"/>
  <c r="C11324" i="2"/>
  <c r="B11324" i="2"/>
  <c r="A11324" i="2"/>
  <c r="E11323" i="2"/>
  <c r="D11323" i="2"/>
  <c r="C11323" i="2"/>
  <c r="B11323" i="2"/>
  <c r="A11323" i="2"/>
  <c r="E11322" i="2"/>
  <c r="D11322" i="2"/>
  <c r="C11322" i="2"/>
  <c r="B11322" i="2"/>
  <c r="A11322" i="2"/>
  <c r="E11321" i="2"/>
  <c r="D11321" i="2"/>
  <c r="C11321" i="2"/>
  <c r="B11321" i="2"/>
  <c r="A11321" i="2"/>
  <c r="E11320" i="2"/>
  <c r="D11320" i="2"/>
  <c r="C11320" i="2"/>
  <c r="B11320" i="2"/>
  <c r="A11320" i="2"/>
  <c r="E11319" i="2"/>
  <c r="D11319" i="2"/>
  <c r="C11319" i="2"/>
  <c r="B11319" i="2"/>
  <c r="A11319" i="2"/>
  <c r="E11318" i="2"/>
  <c r="D11318" i="2"/>
  <c r="C11318" i="2"/>
  <c r="B11318" i="2"/>
  <c r="A11318" i="2"/>
  <c r="E11317" i="2"/>
  <c r="D11317" i="2"/>
  <c r="C11317" i="2"/>
  <c r="B11317" i="2"/>
  <c r="A11317" i="2"/>
  <c r="E11316" i="2"/>
  <c r="D11316" i="2"/>
  <c r="C11316" i="2"/>
  <c r="B11316" i="2"/>
  <c r="A11316" i="2"/>
  <c r="E11315" i="2"/>
  <c r="D11315" i="2"/>
  <c r="C11315" i="2"/>
  <c r="B11315" i="2"/>
  <c r="A11315" i="2"/>
  <c r="E11314" i="2"/>
  <c r="D11314" i="2"/>
  <c r="C11314" i="2"/>
  <c r="B11314" i="2"/>
  <c r="A11314" i="2"/>
  <c r="E11313" i="2"/>
  <c r="D11313" i="2"/>
  <c r="C11313" i="2"/>
  <c r="B11313" i="2"/>
  <c r="A11313" i="2"/>
  <c r="E11312" i="2"/>
  <c r="D11312" i="2"/>
  <c r="C11312" i="2"/>
  <c r="B11312" i="2"/>
  <c r="A11312" i="2"/>
  <c r="E11311" i="2"/>
  <c r="D11311" i="2"/>
  <c r="C11311" i="2"/>
  <c r="B11311" i="2"/>
  <c r="A11311" i="2"/>
  <c r="E11310" i="2"/>
  <c r="D11310" i="2"/>
  <c r="C11310" i="2"/>
  <c r="B11310" i="2"/>
  <c r="A11310" i="2"/>
  <c r="E11309" i="2"/>
  <c r="D11309" i="2"/>
  <c r="C11309" i="2"/>
  <c r="B11309" i="2"/>
  <c r="A11309" i="2"/>
  <c r="E11308" i="2"/>
  <c r="D11308" i="2"/>
  <c r="C11308" i="2"/>
  <c r="B11308" i="2"/>
  <c r="A11308" i="2"/>
  <c r="E11307" i="2"/>
  <c r="D11307" i="2"/>
  <c r="C11307" i="2"/>
  <c r="B11307" i="2"/>
  <c r="A11307" i="2"/>
  <c r="E11306" i="2"/>
  <c r="D11306" i="2"/>
  <c r="C11306" i="2"/>
  <c r="B11306" i="2"/>
  <c r="A11306" i="2"/>
  <c r="E11305" i="2"/>
  <c r="D11305" i="2"/>
  <c r="C11305" i="2"/>
  <c r="B11305" i="2"/>
  <c r="A11305" i="2"/>
  <c r="E11304" i="2"/>
  <c r="D11304" i="2"/>
  <c r="C11304" i="2"/>
  <c r="B11304" i="2"/>
  <c r="A11304" i="2"/>
  <c r="E11303" i="2"/>
  <c r="D11303" i="2"/>
  <c r="C11303" i="2"/>
  <c r="B11303" i="2"/>
  <c r="A11303" i="2"/>
  <c r="E11302" i="2"/>
  <c r="D11302" i="2"/>
  <c r="C11302" i="2"/>
  <c r="B11302" i="2"/>
  <c r="A11302" i="2"/>
  <c r="E11301" i="2"/>
  <c r="D11301" i="2"/>
  <c r="C11301" i="2"/>
  <c r="B11301" i="2"/>
  <c r="A11301" i="2"/>
  <c r="E11300" i="2"/>
  <c r="D11300" i="2"/>
  <c r="C11300" i="2"/>
  <c r="B11300" i="2"/>
  <c r="A11300" i="2"/>
  <c r="E11299" i="2"/>
  <c r="D11299" i="2"/>
  <c r="C11299" i="2"/>
  <c r="B11299" i="2"/>
  <c r="A11299" i="2"/>
  <c r="E11298" i="2"/>
  <c r="D11298" i="2"/>
  <c r="C11298" i="2"/>
  <c r="B11298" i="2"/>
  <c r="A11298" i="2"/>
  <c r="E11297" i="2"/>
  <c r="D11297" i="2"/>
  <c r="C11297" i="2"/>
  <c r="B11297" i="2"/>
  <c r="A11297" i="2"/>
  <c r="E11296" i="2"/>
  <c r="D11296" i="2"/>
  <c r="C11296" i="2"/>
  <c r="B11296" i="2"/>
  <c r="A11296" i="2"/>
  <c r="E11295" i="2"/>
  <c r="D11295" i="2"/>
  <c r="C11295" i="2"/>
  <c r="B11295" i="2"/>
  <c r="A11295" i="2"/>
  <c r="E11294" i="2"/>
  <c r="D11294" i="2"/>
  <c r="C11294" i="2"/>
  <c r="B11294" i="2"/>
  <c r="A11294" i="2"/>
  <c r="E11293" i="2"/>
  <c r="D11293" i="2"/>
  <c r="C11293" i="2"/>
  <c r="B11293" i="2"/>
  <c r="A11293" i="2"/>
  <c r="E11292" i="2"/>
  <c r="D11292" i="2"/>
  <c r="C11292" i="2"/>
  <c r="B11292" i="2"/>
  <c r="A11292" i="2"/>
  <c r="E11291" i="2"/>
  <c r="D11291" i="2"/>
  <c r="C11291" i="2"/>
  <c r="B11291" i="2"/>
  <c r="A11291" i="2"/>
  <c r="E11290" i="2"/>
  <c r="D11290" i="2"/>
  <c r="C11290" i="2"/>
  <c r="B11290" i="2"/>
  <c r="A11290" i="2"/>
  <c r="E11289" i="2"/>
  <c r="D11289" i="2"/>
  <c r="C11289" i="2"/>
  <c r="B11289" i="2"/>
  <c r="A11289" i="2"/>
  <c r="E11288" i="2"/>
  <c r="D11288" i="2"/>
  <c r="C11288" i="2"/>
  <c r="B11288" i="2"/>
  <c r="A11288" i="2"/>
  <c r="E11287" i="2"/>
  <c r="D11287" i="2"/>
  <c r="C11287" i="2"/>
  <c r="B11287" i="2"/>
  <c r="A11287" i="2"/>
  <c r="E11286" i="2"/>
  <c r="D11286" i="2"/>
  <c r="C11286" i="2"/>
  <c r="B11286" i="2"/>
  <c r="A11286" i="2"/>
  <c r="E11285" i="2"/>
  <c r="D11285" i="2"/>
  <c r="C11285" i="2"/>
  <c r="B11285" i="2"/>
  <c r="A11285" i="2"/>
  <c r="E11284" i="2"/>
  <c r="D11284" i="2"/>
  <c r="C11284" i="2"/>
  <c r="B11284" i="2"/>
  <c r="A11284" i="2"/>
  <c r="E11283" i="2"/>
  <c r="D11283" i="2"/>
  <c r="C11283" i="2"/>
  <c r="B11283" i="2"/>
  <c r="A11283" i="2"/>
  <c r="E11282" i="2"/>
  <c r="D11282" i="2"/>
  <c r="C11282" i="2"/>
  <c r="B11282" i="2"/>
  <c r="A11282" i="2"/>
  <c r="E11281" i="2"/>
  <c r="D11281" i="2"/>
  <c r="C11281" i="2"/>
  <c r="B11281" i="2"/>
  <c r="A11281" i="2"/>
  <c r="E11280" i="2"/>
  <c r="D11280" i="2"/>
  <c r="C11280" i="2"/>
  <c r="B11280" i="2"/>
  <c r="A11280" i="2"/>
  <c r="E11279" i="2"/>
  <c r="D11279" i="2"/>
  <c r="C11279" i="2"/>
  <c r="B11279" i="2"/>
  <c r="A11279" i="2"/>
  <c r="E11278" i="2"/>
  <c r="D11278" i="2"/>
  <c r="C11278" i="2"/>
  <c r="B11278" i="2"/>
  <c r="A11278" i="2"/>
  <c r="E11277" i="2"/>
  <c r="D11277" i="2"/>
  <c r="C11277" i="2"/>
  <c r="B11277" i="2"/>
  <c r="A11277" i="2"/>
  <c r="E11276" i="2"/>
  <c r="D11276" i="2"/>
  <c r="C11276" i="2"/>
  <c r="B11276" i="2"/>
  <c r="A11276" i="2"/>
  <c r="E11275" i="2"/>
  <c r="D11275" i="2"/>
  <c r="C11275" i="2"/>
  <c r="B11275" i="2"/>
  <c r="A11275" i="2"/>
  <c r="E11274" i="2"/>
  <c r="D11274" i="2"/>
  <c r="C11274" i="2"/>
  <c r="B11274" i="2"/>
  <c r="A11274" i="2"/>
  <c r="E11273" i="2"/>
  <c r="D11273" i="2"/>
  <c r="C11273" i="2"/>
  <c r="B11273" i="2"/>
  <c r="A11273" i="2"/>
  <c r="E11272" i="2"/>
  <c r="D11272" i="2"/>
  <c r="C11272" i="2"/>
  <c r="B11272" i="2"/>
  <c r="A11272" i="2"/>
  <c r="E11271" i="2"/>
  <c r="D11271" i="2"/>
  <c r="C11271" i="2"/>
  <c r="B11271" i="2"/>
  <c r="A11271" i="2"/>
  <c r="E11270" i="2"/>
  <c r="D11270" i="2"/>
  <c r="C11270" i="2"/>
  <c r="B11270" i="2"/>
  <c r="A11270" i="2"/>
  <c r="E11269" i="2"/>
  <c r="D11269" i="2"/>
  <c r="C11269" i="2"/>
  <c r="B11269" i="2"/>
  <c r="A11269" i="2"/>
  <c r="E11268" i="2"/>
  <c r="D11268" i="2"/>
  <c r="C11268" i="2"/>
  <c r="B11268" i="2"/>
  <c r="A11268" i="2"/>
  <c r="E11267" i="2"/>
  <c r="D11267" i="2"/>
  <c r="C11267" i="2"/>
  <c r="B11267" i="2"/>
  <c r="A11267" i="2"/>
  <c r="E11266" i="2"/>
  <c r="D11266" i="2"/>
  <c r="C11266" i="2"/>
  <c r="B11266" i="2"/>
  <c r="A11266" i="2"/>
  <c r="E11265" i="2"/>
  <c r="D11265" i="2"/>
  <c r="C11265" i="2"/>
  <c r="B11265" i="2"/>
  <c r="A11265" i="2"/>
  <c r="E11264" i="2"/>
  <c r="D11264" i="2"/>
  <c r="C11264" i="2"/>
  <c r="B11264" i="2"/>
  <c r="A11264" i="2"/>
  <c r="E11263" i="2"/>
  <c r="D11263" i="2"/>
  <c r="C11263" i="2"/>
  <c r="B11263" i="2"/>
  <c r="A11263" i="2"/>
  <c r="E11262" i="2"/>
  <c r="D11262" i="2"/>
  <c r="C11262" i="2"/>
  <c r="B11262" i="2"/>
  <c r="A11262" i="2"/>
  <c r="E11261" i="2"/>
  <c r="D11261" i="2"/>
  <c r="C11261" i="2"/>
  <c r="B11261" i="2"/>
  <c r="A11261" i="2"/>
  <c r="E11260" i="2"/>
  <c r="D11260" i="2"/>
  <c r="C11260" i="2"/>
  <c r="B11260" i="2"/>
  <c r="A11260" i="2"/>
  <c r="E11259" i="2"/>
  <c r="D11259" i="2"/>
  <c r="C11259" i="2"/>
  <c r="B11259" i="2"/>
  <c r="A11259" i="2"/>
  <c r="E11258" i="2"/>
  <c r="D11258" i="2"/>
  <c r="C11258" i="2"/>
  <c r="B11258" i="2"/>
  <c r="A11258" i="2"/>
  <c r="E11257" i="2"/>
  <c r="D11257" i="2"/>
  <c r="C11257" i="2"/>
  <c r="B11257" i="2"/>
  <c r="A11257" i="2"/>
  <c r="E11256" i="2"/>
  <c r="D11256" i="2"/>
  <c r="C11256" i="2"/>
  <c r="B11256" i="2"/>
  <c r="A11256" i="2"/>
  <c r="E11255" i="2"/>
  <c r="D11255" i="2"/>
  <c r="C11255" i="2"/>
  <c r="B11255" i="2"/>
  <c r="A11255" i="2"/>
  <c r="E11254" i="2"/>
  <c r="D11254" i="2"/>
  <c r="C11254" i="2"/>
  <c r="B11254" i="2"/>
  <c r="A11254" i="2"/>
  <c r="E11253" i="2"/>
  <c r="D11253" i="2"/>
  <c r="C11253" i="2"/>
  <c r="B11253" i="2"/>
  <c r="A11253" i="2"/>
  <c r="E11252" i="2"/>
  <c r="D11252" i="2"/>
  <c r="C11252" i="2"/>
  <c r="B11252" i="2"/>
  <c r="A11252" i="2"/>
  <c r="E11251" i="2"/>
  <c r="D11251" i="2"/>
  <c r="C11251" i="2"/>
  <c r="B11251" i="2"/>
  <c r="A11251" i="2"/>
  <c r="E11250" i="2"/>
  <c r="D11250" i="2"/>
  <c r="C11250" i="2"/>
  <c r="B11250" i="2"/>
  <c r="A11250" i="2"/>
  <c r="E11249" i="2"/>
  <c r="D11249" i="2"/>
  <c r="C11249" i="2"/>
  <c r="B11249" i="2"/>
  <c r="A11249" i="2"/>
  <c r="E11248" i="2"/>
  <c r="D11248" i="2"/>
  <c r="C11248" i="2"/>
  <c r="B11248" i="2"/>
  <c r="A11248" i="2"/>
  <c r="E11247" i="2"/>
  <c r="D11247" i="2"/>
  <c r="C11247" i="2"/>
  <c r="B11247" i="2"/>
  <c r="A11247" i="2"/>
  <c r="E11246" i="2"/>
  <c r="D11246" i="2"/>
  <c r="C11246" i="2"/>
  <c r="B11246" i="2"/>
  <c r="A11246" i="2"/>
  <c r="E11245" i="2"/>
  <c r="D11245" i="2"/>
  <c r="C11245" i="2"/>
  <c r="B11245" i="2"/>
  <c r="A11245" i="2"/>
  <c r="E11244" i="2"/>
  <c r="D11244" i="2"/>
  <c r="C11244" i="2"/>
  <c r="B11244" i="2"/>
  <c r="A11244" i="2"/>
  <c r="E11243" i="2"/>
  <c r="D11243" i="2"/>
  <c r="C11243" i="2"/>
  <c r="B11243" i="2"/>
  <c r="A11243" i="2"/>
  <c r="E11242" i="2"/>
  <c r="D11242" i="2"/>
  <c r="C11242" i="2"/>
  <c r="B11242" i="2"/>
  <c r="A11242" i="2"/>
  <c r="E11241" i="2"/>
  <c r="D11241" i="2"/>
  <c r="C11241" i="2"/>
  <c r="B11241" i="2"/>
  <c r="A11241" i="2"/>
  <c r="E11240" i="2"/>
  <c r="D11240" i="2"/>
  <c r="C11240" i="2"/>
  <c r="B11240" i="2"/>
  <c r="A11240" i="2"/>
  <c r="E11239" i="2"/>
  <c r="D11239" i="2"/>
  <c r="C11239" i="2"/>
  <c r="B11239" i="2"/>
  <c r="A11239" i="2"/>
  <c r="E11238" i="2"/>
  <c r="D11238" i="2"/>
  <c r="C11238" i="2"/>
  <c r="B11238" i="2"/>
  <c r="A11238" i="2"/>
  <c r="E11237" i="2"/>
  <c r="D11237" i="2"/>
  <c r="C11237" i="2"/>
  <c r="B11237" i="2"/>
  <c r="A11237" i="2"/>
  <c r="E11236" i="2"/>
  <c r="D11236" i="2"/>
  <c r="C11236" i="2"/>
  <c r="B11236" i="2"/>
  <c r="A11236" i="2"/>
  <c r="E11235" i="2"/>
  <c r="D11235" i="2"/>
  <c r="C11235" i="2"/>
  <c r="B11235" i="2"/>
  <c r="A11235" i="2"/>
  <c r="E11234" i="2"/>
  <c r="D11234" i="2"/>
  <c r="C11234" i="2"/>
  <c r="B11234" i="2"/>
  <c r="A11234" i="2"/>
  <c r="E11233" i="2"/>
  <c r="D11233" i="2"/>
  <c r="C11233" i="2"/>
  <c r="B11233" i="2"/>
  <c r="A11233" i="2"/>
  <c r="E11232" i="2"/>
  <c r="D11232" i="2"/>
  <c r="C11232" i="2"/>
  <c r="B11232" i="2"/>
  <c r="A11232" i="2"/>
  <c r="E11231" i="2"/>
  <c r="D11231" i="2"/>
  <c r="C11231" i="2"/>
  <c r="B11231" i="2"/>
  <c r="A11231" i="2"/>
  <c r="E11230" i="2"/>
  <c r="D11230" i="2"/>
  <c r="C11230" i="2"/>
  <c r="B11230" i="2"/>
  <c r="A11230" i="2"/>
  <c r="E11229" i="2"/>
  <c r="D11229" i="2"/>
  <c r="C11229" i="2"/>
  <c r="B11229" i="2"/>
  <c r="A11229" i="2"/>
  <c r="E11228" i="2"/>
  <c r="D11228" i="2"/>
  <c r="C11228" i="2"/>
  <c r="B11228" i="2"/>
  <c r="A11228" i="2"/>
  <c r="E11227" i="2"/>
  <c r="D11227" i="2"/>
  <c r="C11227" i="2"/>
  <c r="B11227" i="2"/>
  <c r="A11227" i="2"/>
  <c r="E11226" i="2"/>
  <c r="D11226" i="2"/>
  <c r="C11226" i="2"/>
  <c r="B11226" i="2"/>
  <c r="A11226" i="2"/>
  <c r="E11225" i="2"/>
  <c r="D11225" i="2"/>
  <c r="C11225" i="2"/>
  <c r="B11225" i="2"/>
  <c r="A11225" i="2"/>
  <c r="E11224" i="2"/>
  <c r="D11224" i="2"/>
  <c r="C11224" i="2"/>
  <c r="B11224" i="2"/>
  <c r="A11224" i="2"/>
  <c r="E11223" i="2"/>
  <c r="D11223" i="2"/>
  <c r="C11223" i="2"/>
  <c r="B11223" i="2"/>
  <c r="A11223" i="2"/>
  <c r="E11222" i="2"/>
  <c r="D11222" i="2"/>
  <c r="C11222" i="2"/>
  <c r="B11222" i="2"/>
  <c r="A11222" i="2"/>
  <c r="E11221" i="2"/>
  <c r="D11221" i="2"/>
  <c r="C11221" i="2"/>
  <c r="B11221" i="2"/>
  <c r="A11221" i="2"/>
  <c r="E11220" i="2"/>
  <c r="D11220" i="2"/>
  <c r="C11220" i="2"/>
  <c r="B11220" i="2"/>
  <c r="A11220" i="2"/>
  <c r="E11219" i="2"/>
  <c r="D11219" i="2"/>
  <c r="C11219" i="2"/>
  <c r="B11219" i="2"/>
  <c r="A11219" i="2"/>
  <c r="E11218" i="2"/>
  <c r="D11218" i="2"/>
  <c r="C11218" i="2"/>
  <c r="B11218" i="2"/>
  <c r="A11218" i="2"/>
  <c r="E11217" i="2"/>
  <c r="D11217" i="2"/>
  <c r="C11217" i="2"/>
  <c r="B11217" i="2"/>
  <c r="A11217" i="2"/>
  <c r="E11216" i="2"/>
  <c r="D11216" i="2"/>
  <c r="C11216" i="2"/>
  <c r="B11216" i="2"/>
  <c r="A11216" i="2"/>
  <c r="E11215" i="2"/>
  <c r="D11215" i="2"/>
  <c r="C11215" i="2"/>
  <c r="B11215" i="2"/>
  <c r="A11215" i="2"/>
  <c r="E11214" i="2"/>
  <c r="D11214" i="2"/>
  <c r="C11214" i="2"/>
  <c r="B11214" i="2"/>
  <c r="A11214" i="2"/>
  <c r="E11213" i="2"/>
  <c r="D11213" i="2"/>
  <c r="C11213" i="2"/>
  <c r="B11213" i="2"/>
  <c r="A11213" i="2"/>
  <c r="E11212" i="2"/>
  <c r="D11212" i="2"/>
  <c r="C11212" i="2"/>
  <c r="B11212" i="2"/>
  <c r="A11212" i="2"/>
  <c r="E11211" i="2"/>
  <c r="D11211" i="2"/>
  <c r="C11211" i="2"/>
  <c r="B11211" i="2"/>
  <c r="A11211" i="2"/>
  <c r="E11210" i="2"/>
  <c r="D11210" i="2"/>
  <c r="C11210" i="2"/>
  <c r="B11210" i="2"/>
  <c r="A11210" i="2"/>
  <c r="E11209" i="2"/>
  <c r="D11209" i="2"/>
  <c r="C11209" i="2"/>
  <c r="B11209" i="2"/>
  <c r="A11209" i="2"/>
  <c r="E11208" i="2"/>
  <c r="D11208" i="2"/>
  <c r="C11208" i="2"/>
  <c r="B11208" i="2"/>
  <c r="A11208" i="2"/>
  <c r="E11207" i="2"/>
  <c r="D11207" i="2"/>
  <c r="C11207" i="2"/>
  <c r="B11207" i="2"/>
  <c r="A11207" i="2"/>
  <c r="E11206" i="2"/>
  <c r="D11206" i="2"/>
  <c r="C11206" i="2"/>
  <c r="B11206" i="2"/>
  <c r="A11206" i="2"/>
  <c r="E11205" i="2"/>
  <c r="D11205" i="2"/>
  <c r="C11205" i="2"/>
  <c r="B11205" i="2"/>
  <c r="A11205" i="2"/>
  <c r="E11204" i="2"/>
  <c r="D11204" i="2"/>
  <c r="C11204" i="2"/>
  <c r="B11204" i="2"/>
  <c r="A11204" i="2"/>
  <c r="E11203" i="2"/>
  <c r="D11203" i="2"/>
  <c r="C11203" i="2"/>
  <c r="B11203" i="2"/>
  <c r="A11203" i="2"/>
  <c r="E11202" i="2"/>
  <c r="D11202" i="2"/>
  <c r="C11202" i="2"/>
  <c r="B11202" i="2"/>
  <c r="A11202" i="2"/>
  <c r="E11201" i="2"/>
  <c r="D11201" i="2"/>
  <c r="C11201" i="2"/>
  <c r="B11201" i="2"/>
  <c r="A11201" i="2"/>
  <c r="E11200" i="2"/>
  <c r="D11200" i="2"/>
  <c r="C11200" i="2"/>
  <c r="B11200" i="2"/>
  <c r="A11200" i="2"/>
  <c r="E11199" i="2"/>
  <c r="D11199" i="2"/>
  <c r="C11199" i="2"/>
  <c r="B11199" i="2"/>
  <c r="A11199" i="2"/>
  <c r="E11198" i="2"/>
  <c r="D11198" i="2"/>
  <c r="C11198" i="2"/>
  <c r="B11198" i="2"/>
  <c r="A11198" i="2"/>
  <c r="E11197" i="2"/>
  <c r="D11197" i="2"/>
  <c r="C11197" i="2"/>
  <c r="B11197" i="2"/>
  <c r="A11197" i="2"/>
  <c r="E11196" i="2"/>
  <c r="D11196" i="2"/>
  <c r="C11196" i="2"/>
  <c r="B11196" i="2"/>
  <c r="A11196" i="2"/>
  <c r="E11195" i="2"/>
  <c r="D11195" i="2"/>
  <c r="C11195" i="2"/>
  <c r="B11195" i="2"/>
  <c r="A11195" i="2"/>
  <c r="E11194" i="2"/>
  <c r="D11194" i="2"/>
  <c r="C11194" i="2"/>
  <c r="B11194" i="2"/>
  <c r="A11194" i="2"/>
  <c r="E11193" i="2"/>
  <c r="D11193" i="2"/>
  <c r="C11193" i="2"/>
  <c r="B11193" i="2"/>
  <c r="A11193" i="2"/>
  <c r="E11192" i="2"/>
  <c r="D11192" i="2"/>
  <c r="C11192" i="2"/>
  <c r="B11192" i="2"/>
  <c r="A11192" i="2"/>
  <c r="E11191" i="2"/>
  <c r="D11191" i="2"/>
  <c r="C11191" i="2"/>
  <c r="B11191" i="2"/>
  <c r="A11191" i="2"/>
  <c r="E11190" i="2"/>
  <c r="D11190" i="2"/>
  <c r="C11190" i="2"/>
  <c r="B11190" i="2"/>
  <c r="A11190" i="2"/>
  <c r="E11189" i="2"/>
  <c r="D11189" i="2"/>
  <c r="C11189" i="2"/>
  <c r="B11189" i="2"/>
  <c r="A11189" i="2"/>
  <c r="E11188" i="2"/>
  <c r="D11188" i="2"/>
  <c r="C11188" i="2"/>
  <c r="B11188" i="2"/>
  <c r="A11188" i="2"/>
  <c r="E11187" i="2"/>
  <c r="D11187" i="2"/>
  <c r="C11187" i="2"/>
  <c r="B11187" i="2"/>
  <c r="A11187" i="2"/>
  <c r="E11186" i="2"/>
  <c r="D11186" i="2"/>
  <c r="C11186" i="2"/>
  <c r="B11186" i="2"/>
  <c r="A11186" i="2"/>
  <c r="E11185" i="2"/>
  <c r="D11185" i="2"/>
  <c r="C11185" i="2"/>
  <c r="B11185" i="2"/>
  <c r="A11185" i="2"/>
  <c r="E11184" i="2"/>
  <c r="D11184" i="2"/>
  <c r="C11184" i="2"/>
  <c r="B11184" i="2"/>
  <c r="A11184" i="2"/>
  <c r="E11183" i="2"/>
  <c r="D11183" i="2"/>
  <c r="C11183" i="2"/>
  <c r="B11183" i="2"/>
  <c r="A11183" i="2"/>
  <c r="E11182" i="2"/>
  <c r="D11182" i="2"/>
  <c r="C11182" i="2"/>
  <c r="B11182" i="2"/>
  <c r="A11182" i="2"/>
  <c r="E11181" i="2"/>
  <c r="D11181" i="2"/>
  <c r="C11181" i="2"/>
  <c r="B11181" i="2"/>
  <c r="A11181" i="2"/>
  <c r="E11180" i="2"/>
  <c r="D11180" i="2"/>
  <c r="C11180" i="2"/>
  <c r="B11180" i="2"/>
  <c r="A11180" i="2"/>
  <c r="E11179" i="2"/>
  <c r="D11179" i="2"/>
  <c r="C11179" i="2"/>
  <c r="B11179" i="2"/>
  <c r="A11179" i="2"/>
  <c r="E11178" i="2"/>
  <c r="D11178" i="2"/>
  <c r="C11178" i="2"/>
  <c r="B11178" i="2"/>
  <c r="A11178" i="2"/>
  <c r="E11177" i="2"/>
  <c r="D11177" i="2"/>
  <c r="C11177" i="2"/>
  <c r="B11177" i="2"/>
  <c r="A11177" i="2"/>
  <c r="E11176" i="2"/>
  <c r="D11176" i="2"/>
  <c r="C11176" i="2"/>
  <c r="B11176" i="2"/>
  <c r="A11176" i="2"/>
  <c r="E11175" i="2"/>
  <c r="D11175" i="2"/>
  <c r="C11175" i="2"/>
  <c r="B11175" i="2"/>
  <c r="A11175" i="2"/>
  <c r="E11174" i="2"/>
  <c r="D11174" i="2"/>
  <c r="C11174" i="2"/>
  <c r="B11174" i="2"/>
  <c r="A11174" i="2"/>
  <c r="E11173" i="2"/>
  <c r="D11173" i="2"/>
  <c r="C11173" i="2"/>
  <c r="B11173" i="2"/>
  <c r="A11173" i="2"/>
  <c r="E11172" i="2"/>
  <c r="D11172" i="2"/>
  <c r="C11172" i="2"/>
  <c r="B11172" i="2"/>
  <c r="A11172" i="2"/>
  <c r="E11171" i="2"/>
  <c r="D11171" i="2"/>
  <c r="C11171" i="2"/>
  <c r="B11171" i="2"/>
  <c r="A11171" i="2"/>
  <c r="E11170" i="2"/>
  <c r="D11170" i="2"/>
  <c r="C11170" i="2"/>
  <c r="B11170" i="2"/>
  <c r="A11170" i="2"/>
  <c r="E11169" i="2"/>
  <c r="D11169" i="2"/>
  <c r="C11169" i="2"/>
  <c r="B11169" i="2"/>
  <c r="A11169" i="2"/>
  <c r="E11168" i="2"/>
  <c r="D11168" i="2"/>
  <c r="C11168" i="2"/>
  <c r="B11168" i="2"/>
  <c r="A11168" i="2"/>
  <c r="E11167" i="2"/>
  <c r="D11167" i="2"/>
  <c r="C11167" i="2"/>
  <c r="B11167" i="2"/>
  <c r="A11167" i="2"/>
  <c r="E11166" i="2"/>
  <c r="D11166" i="2"/>
  <c r="C11166" i="2"/>
  <c r="B11166" i="2"/>
  <c r="A11166" i="2"/>
  <c r="E11165" i="2"/>
  <c r="D11165" i="2"/>
  <c r="C11165" i="2"/>
  <c r="B11165" i="2"/>
  <c r="A11165" i="2"/>
  <c r="E11164" i="2"/>
  <c r="D11164" i="2"/>
  <c r="C11164" i="2"/>
  <c r="B11164" i="2"/>
  <c r="A11164" i="2"/>
  <c r="E11163" i="2"/>
  <c r="D11163" i="2"/>
  <c r="C11163" i="2"/>
  <c r="B11163" i="2"/>
  <c r="A11163" i="2"/>
  <c r="E11162" i="2"/>
  <c r="D11162" i="2"/>
  <c r="C11162" i="2"/>
  <c r="B11162" i="2"/>
  <c r="A11162" i="2"/>
  <c r="E11161" i="2"/>
  <c r="D11161" i="2"/>
  <c r="C11161" i="2"/>
  <c r="B11161" i="2"/>
  <c r="A11161" i="2"/>
  <c r="E11160" i="2"/>
  <c r="D11160" i="2"/>
  <c r="C11160" i="2"/>
  <c r="B11160" i="2"/>
  <c r="A11160" i="2"/>
  <c r="E11159" i="2"/>
  <c r="D11159" i="2"/>
  <c r="C11159" i="2"/>
  <c r="B11159" i="2"/>
  <c r="A11159" i="2"/>
  <c r="E11158" i="2"/>
  <c r="D11158" i="2"/>
  <c r="C11158" i="2"/>
  <c r="B11158" i="2"/>
  <c r="A11158" i="2"/>
  <c r="E11157" i="2"/>
  <c r="D11157" i="2"/>
  <c r="C11157" i="2"/>
  <c r="B11157" i="2"/>
  <c r="A11157" i="2"/>
  <c r="E11156" i="2"/>
  <c r="D11156" i="2"/>
  <c r="C11156" i="2"/>
  <c r="B11156" i="2"/>
  <c r="A11156" i="2"/>
  <c r="E11155" i="2"/>
  <c r="D11155" i="2"/>
  <c r="C11155" i="2"/>
  <c r="B11155" i="2"/>
  <c r="A11155" i="2"/>
  <c r="E11154" i="2"/>
  <c r="D11154" i="2"/>
  <c r="C11154" i="2"/>
  <c r="B11154" i="2"/>
  <c r="A11154" i="2"/>
  <c r="E11153" i="2"/>
  <c r="D11153" i="2"/>
  <c r="C11153" i="2"/>
  <c r="B11153" i="2"/>
  <c r="A11153" i="2"/>
  <c r="E11152" i="2"/>
  <c r="D11152" i="2"/>
  <c r="C11152" i="2"/>
  <c r="B11152" i="2"/>
  <c r="A11152" i="2"/>
  <c r="E11151" i="2"/>
  <c r="D11151" i="2"/>
  <c r="C11151" i="2"/>
  <c r="B11151" i="2"/>
  <c r="A11151" i="2"/>
  <c r="E11150" i="2"/>
  <c r="D11150" i="2"/>
  <c r="C11150" i="2"/>
  <c r="B11150" i="2"/>
  <c r="A11150" i="2"/>
  <c r="E11149" i="2"/>
  <c r="D11149" i="2"/>
  <c r="C11149" i="2"/>
  <c r="B11149" i="2"/>
  <c r="A11149" i="2"/>
  <c r="E11148" i="2"/>
  <c r="D11148" i="2"/>
  <c r="C11148" i="2"/>
  <c r="B11148" i="2"/>
  <c r="A11148" i="2"/>
  <c r="E11147" i="2"/>
  <c r="D11147" i="2"/>
  <c r="C11147" i="2"/>
  <c r="B11147" i="2"/>
  <c r="A11147" i="2"/>
  <c r="E11146" i="2"/>
  <c r="D11146" i="2"/>
  <c r="C11146" i="2"/>
  <c r="B11146" i="2"/>
  <c r="A11146" i="2"/>
  <c r="E11145" i="2"/>
  <c r="D11145" i="2"/>
  <c r="C11145" i="2"/>
  <c r="B11145" i="2"/>
  <c r="A11145" i="2"/>
  <c r="E11144" i="2"/>
  <c r="D11144" i="2"/>
  <c r="C11144" i="2"/>
  <c r="B11144" i="2"/>
  <c r="A11144" i="2"/>
  <c r="E11143" i="2"/>
  <c r="D11143" i="2"/>
  <c r="C11143" i="2"/>
  <c r="B11143" i="2"/>
  <c r="A11143" i="2"/>
  <c r="E11142" i="2"/>
  <c r="D11142" i="2"/>
  <c r="C11142" i="2"/>
  <c r="B11142" i="2"/>
  <c r="A11142" i="2"/>
  <c r="E11141" i="2"/>
  <c r="D11141" i="2"/>
  <c r="C11141" i="2"/>
  <c r="B11141" i="2"/>
  <c r="A11141" i="2"/>
  <c r="E11140" i="2"/>
  <c r="D11140" i="2"/>
  <c r="C11140" i="2"/>
  <c r="B11140" i="2"/>
  <c r="A11140" i="2"/>
  <c r="E11139" i="2"/>
  <c r="D11139" i="2"/>
  <c r="C11139" i="2"/>
  <c r="B11139" i="2"/>
  <c r="A11139" i="2"/>
  <c r="E11138" i="2"/>
  <c r="D11138" i="2"/>
  <c r="C11138" i="2"/>
  <c r="B11138" i="2"/>
  <c r="A11138" i="2"/>
  <c r="E11137" i="2"/>
  <c r="D11137" i="2"/>
  <c r="C11137" i="2"/>
  <c r="B11137" i="2"/>
  <c r="A11137" i="2"/>
  <c r="E11136" i="2"/>
  <c r="D11136" i="2"/>
  <c r="C11136" i="2"/>
  <c r="B11136" i="2"/>
  <c r="A11136" i="2"/>
  <c r="E11135" i="2"/>
  <c r="D11135" i="2"/>
  <c r="C11135" i="2"/>
  <c r="B11135" i="2"/>
  <c r="A11135" i="2"/>
  <c r="E11134" i="2"/>
  <c r="D11134" i="2"/>
  <c r="C11134" i="2"/>
  <c r="B11134" i="2"/>
  <c r="A11134" i="2"/>
  <c r="E11133" i="2"/>
  <c r="D11133" i="2"/>
  <c r="C11133" i="2"/>
  <c r="B11133" i="2"/>
  <c r="A11133" i="2"/>
  <c r="E11132" i="2"/>
  <c r="D11132" i="2"/>
  <c r="C11132" i="2"/>
  <c r="B11132" i="2"/>
  <c r="A11132" i="2"/>
  <c r="E11131" i="2"/>
  <c r="D11131" i="2"/>
  <c r="C11131" i="2"/>
  <c r="B11131" i="2"/>
  <c r="A11131" i="2"/>
  <c r="E11130" i="2"/>
  <c r="D11130" i="2"/>
  <c r="C11130" i="2"/>
  <c r="B11130" i="2"/>
  <c r="A11130" i="2"/>
  <c r="E11129" i="2"/>
  <c r="D11129" i="2"/>
  <c r="C11129" i="2"/>
  <c r="B11129" i="2"/>
  <c r="A11129" i="2"/>
  <c r="E11128" i="2"/>
  <c r="D11128" i="2"/>
  <c r="C11128" i="2"/>
  <c r="B11128" i="2"/>
  <c r="A11128" i="2"/>
  <c r="E11127" i="2"/>
  <c r="D11127" i="2"/>
  <c r="C11127" i="2"/>
  <c r="B11127" i="2"/>
  <c r="A11127" i="2"/>
  <c r="E11126" i="2"/>
  <c r="D11126" i="2"/>
  <c r="C11126" i="2"/>
  <c r="B11126" i="2"/>
  <c r="A11126" i="2"/>
  <c r="E11125" i="2"/>
  <c r="D11125" i="2"/>
  <c r="C11125" i="2"/>
  <c r="B11125" i="2"/>
  <c r="A11125" i="2"/>
  <c r="E11124" i="2"/>
  <c r="D11124" i="2"/>
  <c r="C11124" i="2"/>
  <c r="B11124" i="2"/>
  <c r="A11124" i="2"/>
  <c r="E11123" i="2"/>
  <c r="D11123" i="2"/>
  <c r="C11123" i="2"/>
  <c r="B11123" i="2"/>
  <c r="A11123" i="2"/>
  <c r="E11122" i="2"/>
  <c r="D11122" i="2"/>
  <c r="C11122" i="2"/>
  <c r="B11122" i="2"/>
  <c r="A11122" i="2"/>
  <c r="E11121" i="2"/>
  <c r="D11121" i="2"/>
  <c r="C11121" i="2"/>
  <c r="B11121" i="2"/>
  <c r="A11121" i="2"/>
  <c r="E11120" i="2"/>
  <c r="D11120" i="2"/>
  <c r="C11120" i="2"/>
  <c r="B11120" i="2"/>
  <c r="A11120" i="2"/>
  <c r="E11119" i="2"/>
  <c r="D11119" i="2"/>
  <c r="C11119" i="2"/>
  <c r="B11119" i="2"/>
  <c r="A11119" i="2"/>
  <c r="E11118" i="2"/>
  <c r="D11118" i="2"/>
  <c r="C11118" i="2"/>
  <c r="B11118" i="2"/>
  <c r="A11118" i="2"/>
  <c r="E11117" i="2"/>
  <c r="D11117" i="2"/>
  <c r="C11117" i="2"/>
  <c r="B11117" i="2"/>
  <c r="A11117" i="2"/>
  <c r="E11116" i="2"/>
  <c r="D11116" i="2"/>
  <c r="C11116" i="2"/>
  <c r="B11116" i="2"/>
  <c r="A11116" i="2"/>
  <c r="E11115" i="2"/>
  <c r="D11115" i="2"/>
  <c r="C11115" i="2"/>
  <c r="B11115" i="2"/>
  <c r="A11115" i="2"/>
  <c r="E11114" i="2"/>
  <c r="D11114" i="2"/>
  <c r="C11114" i="2"/>
  <c r="B11114" i="2"/>
  <c r="A11114" i="2"/>
  <c r="E11113" i="2"/>
  <c r="D11113" i="2"/>
  <c r="C11113" i="2"/>
  <c r="B11113" i="2"/>
  <c r="A11113" i="2"/>
  <c r="E11112" i="2"/>
  <c r="D11112" i="2"/>
  <c r="C11112" i="2"/>
  <c r="B11112" i="2"/>
  <c r="A11112" i="2"/>
  <c r="E11111" i="2"/>
  <c r="D11111" i="2"/>
  <c r="C11111" i="2"/>
  <c r="B11111" i="2"/>
  <c r="A11111" i="2"/>
  <c r="E11110" i="2"/>
  <c r="D11110" i="2"/>
  <c r="C11110" i="2"/>
  <c r="B11110" i="2"/>
  <c r="A11110" i="2"/>
  <c r="E11109" i="2"/>
  <c r="D11109" i="2"/>
  <c r="C11109" i="2"/>
  <c r="B11109" i="2"/>
  <c r="A11109" i="2"/>
  <c r="E11108" i="2"/>
  <c r="D11108" i="2"/>
  <c r="C11108" i="2"/>
  <c r="B11108" i="2"/>
  <c r="A11108" i="2"/>
  <c r="E11107" i="2"/>
  <c r="D11107" i="2"/>
  <c r="C11107" i="2"/>
  <c r="B11107" i="2"/>
  <c r="A11107" i="2"/>
  <c r="E11106" i="2"/>
  <c r="D11106" i="2"/>
  <c r="C11106" i="2"/>
  <c r="B11106" i="2"/>
  <c r="A11106" i="2"/>
  <c r="E11105" i="2"/>
  <c r="D11105" i="2"/>
  <c r="C11105" i="2"/>
  <c r="B11105" i="2"/>
  <c r="A11105" i="2"/>
  <c r="E11104" i="2"/>
  <c r="D11104" i="2"/>
  <c r="C11104" i="2"/>
  <c r="B11104" i="2"/>
  <c r="A11104" i="2"/>
  <c r="E11103" i="2"/>
  <c r="D11103" i="2"/>
  <c r="C11103" i="2"/>
  <c r="B11103" i="2"/>
  <c r="A11103" i="2"/>
  <c r="E11102" i="2"/>
  <c r="D11102" i="2"/>
  <c r="C11102" i="2"/>
  <c r="B11102" i="2"/>
  <c r="A11102" i="2"/>
  <c r="E11101" i="2"/>
  <c r="D11101" i="2"/>
  <c r="C11101" i="2"/>
  <c r="B11101" i="2"/>
  <c r="A11101" i="2"/>
  <c r="E11100" i="2"/>
  <c r="D11100" i="2"/>
  <c r="C11100" i="2"/>
  <c r="B11100" i="2"/>
  <c r="A11100" i="2"/>
  <c r="E11099" i="2"/>
  <c r="D11099" i="2"/>
  <c r="C11099" i="2"/>
  <c r="B11099" i="2"/>
  <c r="A11099" i="2"/>
  <c r="E11098" i="2"/>
  <c r="D11098" i="2"/>
  <c r="C11098" i="2"/>
  <c r="B11098" i="2"/>
  <c r="A11098" i="2"/>
  <c r="E11097" i="2"/>
  <c r="D11097" i="2"/>
  <c r="C11097" i="2"/>
  <c r="B11097" i="2"/>
  <c r="A11097" i="2"/>
  <c r="E11096" i="2"/>
  <c r="D11096" i="2"/>
  <c r="C11096" i="2"/>
  <c r="B11096" i="2"/>
  <c r="A11096" i="2"/>
  <c r="E11095" i="2"/>
  <c r="D11095" i="2"/>
  <c r="C11095" i="2"/>
  <c r="B11095" i="2"/>
  <c r="A11095" i="2"/>
  <c r="E11094" i="2"/>
  <c r="D11094" i="2"/>
  <c r="C11094" i="2"/>
  <c r="B11094" i="2"/>
  <c r="A11094" i="2"/>
  <c r="E11093" i="2"/>
  <c r="D11093" i="2"/>
  <c r="C11093" i="2"/>
  <c r="B11093" i="2"/>
  <c r="A11093" i="2"/>
  <c r="E11092" i="2"/>
  <c r="D11092" i="2"/>
  <c r="C11092" i="2"/>
  <c r="B11092" i="2"/>
  <c r="A11092" i="2"/>
  <c r="E11091" i="2"/>
  <c r="D11091" i="2"/>
  <c r="C11091" i="2"/>
  <c r="B11091" i="2"/>
  <c r="A11091" i="2"/>
  <c r="E11090" i="2"/>
  <c r="D11090" i="2"/>
  <c r="C11090" i="2"/>
  <c r="B11090" i="2"/>
  <c r="A11090" i="2"/>
  <c r="E11089" i="2"/>
  <c r="D11089" i="2"/>
  <c r="C11089" i="2"/>
  <c r="B11089" i="2"/>
  <c r="A11089" i="2"/>
  <c r="E11088" i="2"/>
  <c r="D11088" i="2"/>
  <c r="C11088" i="2"/>
  <c r="B11088" i="2"/>
  <c r="A11088" i="2"/>
  <c r="E11087" i="2"/>
  <c r="D11087" i="2"/>
  <c r="C11087" i="2"/>
  <c r="B11087" i="2"/>
  <c r="A11087" i="2"/>
  <c r="E11086" i="2"/>
  <c r="D11086" i="2"/>
  <c r="C11086" i="2"/>
  <c r="B11086" i="2"/>
  <c r="A11086" i="2"/>
  <c r="E11085" i="2"/>
  <c r="D11085" i="2"/>
  <c r="C11085" i="2"/>
  <c r="B11085" i="2"/>
  <c r="A11085" i="2"/>
  <c r="E11084" i="2"/>
  <c r="D11084" i="2"/>
  <c r="C11084" i="2"/>
  <c r="B11084" i="2"/>
  <c r="A11084" i="2"/>
  <c r="E11083" i="2"/>
  <c r="D11083" i="2"/>
  <c r="C11083" i="2"/>
  <c r="B11083" i="2"/>
  <c r="A11083" i="2"/>
  <c r="E11082" i="2"/>
  <c r="D11082" i="2"/>
  <c r="C11082" i="2"/>
  <c r="B11082" i="2"/>
  <c r="A11082" i="2"/>
  <c r="E11081" i="2"/>
  <c r="D11081" i="2"/>
  <c r="C11081" i="2"/>
  <c r="B11081" i="2"/>
  <c r="A11081" i="2"/>
  <c r="E11080" i="2"/>
  <c r="D11080" i="2"/>
  <c r="C11080" i="2"/>
  <c r="B11080" i="2"/>
  <c r="A11080" i="2"/>
  <c r="E11079" i="2"/>
  <c r="D11079" i="2"/>
  <c r="C11079" i="2"/>
  <c r="B11079" i="2"/>
  <c r="A11079" i="2"/>
  <c r="E11078" i="2"/>
  <c r="D11078" i="2"/>
  <c r="C11078" i="2"/>
  <c r="B11078" i="2"/>
  <c r="A11078" i="2"/>
  <c r="E11077" i="2"/>
  <c r="D11077" i="2"/>
  <c r="C11077" i="2"/>
  <c r="B11077" i="2"/>
  <c r="A11077" i="2"/>
  <c r="E11076" i="2"/>
  <c r="D11076" i="2"/>
  <c r="C11076" i="2"/>
  <c r="B11076" i="2"/>
  <c r="A11076" i="2"/>
  <c r="E11075" i="2"/>
  <c r="D11075" i="2"/>
  <c r="C11075" i="2"/>
  <c r="B11075" i="2"/>
  <c r="A11075" i="2"/>
  <c r="E11074" i="2"/>
  <c r="D11074" i="2"/>
  <c r="C11074" i="2"/>
  <c r="B11074" i="2"/>
  <c r="A11074" i="2"/>
  <c r="E11073" i="2"/>
  <c r="D11073" i="2"/>
  <c r="C11073" i="2"/>
  <c r="B11073" i="2"/>
  <c r="A11073" i="2"/>
  <c r="E11072" i="2"/>
  <c r="D11072" i="2"/>
  <c r="C11072" i="2"/>
  <c r="B11072" i="2"/>
  <c r="A11072" i="2"/>
  <c r="E11071" i="2"/>
  <c r="D11071" i="2"/>
  <c r="C11071" i="2"/>
  <c r="B11071" i="2"/>
  <c r="A11071" i="2"/>
  <c r="E11070" i="2"/>
  <c r="D11070" i="2"/>
  <c r="C11070" i="2"/>
  <c r="B11070" i="2"/>
  <c r="A11070" i="2"/>
  <c r="E11069" i="2"/>
  <c r="D11069" i="2"/>
  <c r="C11069" i="2"/>
  <c r="B11069" i="2"/>
  <c r="A11069" i="2"/>
  <c r="E11068" i="2"/>
  <c r="D11068" i="2"/>
  <c r="C11068" i="2"/>
  <c r="B11068" i="2"/>
  <c r="A11068" i="2"/>
  <c r="E11067" i="2"/>
  <c r="D11067" i="2"/>
  <c r="C11067" i="2"/>
  <c r="B11067" i="2"/>
  <c r="A11067" i="2"/>
  <c r="E11066" i="2"/>
  <c r="D11066" i="2"/>
  <c r="C11066" i="2"/>
  <c r="B11066" i="2"/>
  <c r="A11066" i="2"/>
  <c r="E11065" i="2"/>
  <c r="D11065" i="2"/>
  <c r="C11065" i="2"/>
  <c r="B11065" i="2"/>
  <c r="A11065" i="2"/>
  <c r="E11064" i="2"/>
  <c r="D11064" i="2"/>
  <c r="C11064" i="2"/>
  <c r="B11064" i="2"/>
  <c r="A11064" i="2"/>
  <c r="E11063" i="2"/>
  <c r="D11063" i="2"/>
  <c r="C11063" i="2"/>
  <c r="B11063" i="2"/>
  <c r="A11063" i="2"/>
  <c r="E11062" i="2"/>
  <c r="D11062" i="2"/>
  <c r="C11062" i="2"/>
  <c r="B11062" i="2"/>
  <c r="A11062" i="2"/>
  <c r="E11061" i="2"/>
  <c r="D11061" i="2"/>
  <c r="C11061" i="2"/>
  <c r="B11061" i="2"/>
  <c r="A11061" i="2"/>
  <c r="E11060" i="2"/>
  <c r="D11060" i="2"/>
  <c r="C11060" i="2"/>
  <c r="B11060" i="2"/>
  <c r="A11060" i="2"/>
  <c r="E11059" i="2"/>
  <c r="D11059" i="2"/>
  <c r="C11059" i="2"/>
  <c r="B11059" i="2"/>
  <c r="A11059" i="2"/>
  <c r="E11058" i="2"/>
  <c r="D11058" i="2"/>
  <c r="C11058" i="2"/>
  <c r="B11058" i="2"/>
  <c r="A11058" i="2"/>
  <c r="E11057" i="2"/>
  <c r="D11057" i="2"/>
  <c r="C11057" i="2"/>
  <c r="B11057" i="2"/>
  <c r="A11057" i="2"/>
  <c r="E11056" i="2"/>
  <c r="D11056" i="2"/>
  <c r="C11056" i="2"/>
  <c r="B11056" i="2"/>
  <c r="A11056" i="2"/>
  <c r="E11055" i="2"/>
  <c r="D11055" i="2"/>
  <c r="C11055" i="2"/>
  <c r="B11055" i="2"/>
  <c r="A11055" i="2"/>
  <c r="E11054" i="2"/>
  <c r="D11054" i="2"/>
  <c r="C11054" i="2"/>
  <c r="B11054" i="2"/>
  <c r="A11054" i="2"/>
  <c r="E11053" i="2"/>
  <c r="D11053" i="2"/>
  <c r="C11053" i="2"/>
  <c r="B11053" i="2"/>
  <c r="A11053" i="2"/>
  <c r="E11052" i="2"/>
  <c r="D11052" i="2"/>
  <c r="C11052" i="2"/>
  <c r="B11052" i="2"/>
  <c r="A11052" i="2"/>
  <c r="E11051" i="2"/>
  <c r="D11051" i="2"/>
  <c r="C11051" i="2"/>
  <c r="B11051" i="2"/>
  <c r="A11051" i="2"/>
  <c r="E11050" i="2"/>
  <c r="D11050" i="2"/>
  <c r="C11050" i="2"/>
  <c r="B11050" i="2"/>
  <c r="A11050" i="2"/>
  <c r="E11049" i="2"/>
  <c r="D11049" i="2"/>
  <c r="C11049" i="2"/>
  <c r="B11049" i="2"/>
  <c r="A11049" i="2"/>
  <c r="E11048" i="2"/>
  <c r="D11048" i="2"/>
  <c r="C11048" i="2"/>
  <c r="B11048" i="2"/>
  <c r="A11048" i="2"/>
  <c r="E11047" i="2"/>
  <c r="D11047" i="2"/>
  <c r="C11047" i="2"/>
  <c r="B11047" i="2"/>
  <c r="A11047" i="2"/>
  <c r="E11046" i="2"/>
  <c r="D11046" i="2"/>
  <c r="C11046" i="2"/>
  <c r="B11046" i="2"/>
  <c r="A11046" i="2"/>
  <c r="E11045" i="2"/>
  <c r="D11045" i="2"/>
  <c r="C11045" i="2"/>
  <c r="B11045" i="2"/>
  <c r="A11045" i="2"/>
  <c r="E11044" i="2"/>
  <c r="D11044" i="2"/>
  <c r="C11044" i="2"/>
  <c r="B11044" i="2"/>
  <c r="A11044" i="2"/>
  <c r="E11043" i="2"/>
  <c r="D11043" i="2"/>
  <c r="C11043" i="2"/>
  <c r="B11043" i="2"/>
  <c r="A11043" i="2"/>
  <c r="E11042" i="2"/>
  <c r="D11042" i="2"/>
  <c r="C11042" i="2"/>
  <c r="B11042" i="2"/>
  <c r="A11042" i="2"/>
  <c r="E11041" i="2"/>
  <c r="D11041" i="2"/>
  <c r="C11041" i="2"/>
  <c r="B11041" i="2"/>
  <c r="A11041" i="2"/>
  <c r="E11040" i="2"/>
  <c r="D11040" i="2"/>
  <c r="C11040" i="2"/>
  <c r="B11040" i="2"/>
  <c r="A11040" i="2"/>
  <c r="E11039" i="2"/>
  <c r="D11039" i="2"/>
  <c r="C11039" i="2"/>
  <c r="B11039" i="2"/>
  <c r="A11039" i="2"/>
  <c r="E11038" i="2"/>
  <c r="D11038" i="2"/>
  <c r="C11038" i="2"/>
  <c r="B11038" i="2"/>
  <c r="A11038" i="2"/>
  <c r="E11037" i="2"/>
  <c r="D11037" i="2"/>
  <c r="C11037" i="2"/>
  <c r="B11037" i="2"/>
  <c r="A11037" i="2"/>
  <c r="E11036" i="2"/>
  <c r="D11036" i="2"/>
  <c r="C11036" i="2"/>
  <c r="B11036" i="2"/>
  <c r="A11036" i="2"/>
  <c r="E11035" i="2"/>
  <c r="D11035" i="2"/>
  <c r="C11035" i="2"/>
  <c r="B11035" i="2"/>
  <c r="A11035" i="2"/>
  <c r="E11034" i="2"/>
  <c r="D11034" i="2"/>
  <c r="C11034" i="2"/>
  <c r="B11034" i="2"/>
  <c r="A11034" i="2"/>
  <c r="E11033" i="2"/>
  <c r="D11033" i="2"/>
  <c r="C11033" i="2"/>
  <c r="B11033" i="2"/>
  <c r="A11033" i="2"/>
  <c r="E11032" i="2"/>
  <c r="D11032" i="2"/>
  <c r="C11032" i="2"/>
  <c r="B11032" i="2"/>
  <c r="A11032" i="2"/>
  <c r="E11031" i="2"/>
  <c r="D11031" i="2"/>
  <c r="C11031" i="2"/>
  <c r="B11031" i="2"/>
  <c r="A11031" i="2"/>
  <c r="E11030" i="2"/>
  <c r="D11030" i="2"/>
  <c r="C11030" i="2"/>
  <c r="B11030" i="2"/>
  <c r="A11030" i="2"/>
  <c r="E11029" i="2"/>
  <c r="D11029" i="2"/>
  <c r="C11029" i="2"/>
  <c r="B11029" i="2"/>
  <c r="A11029" i="2"/>
  <c r="E11028" i="2"/>
  <c r="D11028" i="2"/>
  <c r="C11028" i="2"/>
  <c r="B11028" i="2"/>
  <c r="A11028" i="2"/>
  <c r="E11027" i="2"/>
  <c r="D11027" i="2"/>
  <c r="C11027" i="2"/>
  <c r="B11027" i="2"/>
  <c r="A11027" i="2"/>
  <c r="E11026" i="2"/>
  <c r="D11026" i="2"/>
  <c r="C11026" i="2"/>
  <c r="B11026" i="2"/>
  <c r="A11026" i="2"/>
  <c r="E11025" i="2"/>
  <c r="D11025" i="2"/>
  <c r="C11025" i="2"/>
  <c r="B11025" i="2"/>
  <c r="A11025" i="2"/>
  <c r="E11024" i="2"/>
  <c r="D11024" i="2"/>
  <c r="C11024" i="2"/>
  <c r="B11024" i="2"/>
  <c r="A11024" i="2"/>
  <c r="E11023" i="2"/>
  <c r="D11023" i="2"/>
  <c r="C11023" i="2"/>
  <c r="B11023" i="2"/>
  <c r="A11023" i="2"/>
  <c r="E11022" i="2"/>
  <c r="D11022" i="2"/>
  <c r="C11022" i="2"/>
  <c r="B11022" i="2"/>
  <c r="A11022" i="2"/>
  <c r="E11021" i="2"/>
  <c r="D11021" i="2"/>
  <c r="C11021" i="2"/>
  <c r="B11021" i="2"/>
  <c r="A11021" i="2"/>
  <c r="E11020" i="2"/>
  <c r="D11020" i="2"/>
  <c r="C11020" i="2"/>
  <c r="B11020" i="2"/>
  <c r="A11020" i="2"/>
  <c r="E11019" i="2"/>
  <c r="D11019" i="2"/>
  <c r="C11019" i="2"/>
  <c r="B11019" i="2"/>
  <c r="A11019" i="2"/>
  <c r="E11018" i="2"/>
  <c r="D11018" i="2"/>
  <c r="C11018" i="2"/>
  <c r="B11018" i="2"/>
  <c r="A11018" i="2"/>
  <c r="E11017" i="2"/>
  <c r="D11017" i="2"/>
  <c r="C11017" i="2"/>
  <c r="B11017" i="2"/>
  <c r="A11017" i="2"/>
  <c r="E11016" i="2"/>
  <c r="D11016" i="2"/>
  <c r="C11016" i="2"/>
  <c r="B11016" i="2"/>
  <c r="A11016" i="2"/>
  <c r="E11015" i="2"/>
  <c r="D11015" i="2"/>
  <c r="C11015" i="2"/>
  <c r="B11015" i="2"/>
  <c r="A11015" i="2"/>
  <c r="E11014" i="2"/>
  <c r="D11014" i="2"/>
  <c r="C11014" i="2"/>
  <c r="B11014" i="2"/>
  <c r="A11014" i="2"/>
  <c r="E11013" i="2"/>
  <c r="D11013" i="2"/>
  <c r="C11013" i="2"/>
  <c r="B11013" i="2"/>
  <c r="A11013" i="2"/>
  <c r="E11012" i="2"/>
  <c r="D11012" i="2"/>
  <c r="C11012" i="2"/>
  <c r="B11012" i="2"/>
  <c r="A11012" i="2"/>
  <c r="E11011" i="2"/>
  <c r="D11011" i="2"/>
  <c r="C11011" i="2"/>
  <c r="B11011" i="2"/>
  <c r="A11011" i="2"/>
  <c r="E11010" i="2"/>
  <c r="D11010" i="2"/>
  <c r="C11010" i="2"/>
  <c r="B11010" i="2"/>
  <c r="A11010" i="2"/>
  <c r="E11009" i="2"/>
  <c r="D11009" i="2"/>
  <c r="C11009" i="2"/>
  <c r="B11009" i="2"/>
  <c r="A11009" i="2"/>
  <c r="E11008" i="2"/>
  <c r="D11008" i="2"/>
  <c r="C11008" i="2"/>
  <c r="B11008" i="2"/>
  <c r="A11008" i="2"/>
  <c r="E11007" i="2"/>
  <c r="D11007" i="2"/>
  <c r="C11007" i="2"/>
  <c r="B11007" i="2"/>
  <c r="A11007" i="2"/>
  <c r="E11006" i="2"/>
  <c r="D11006" i="2"/>
  <c r="C11006" i="2"/>
  <c r="B11006" i="2"/>
  <c r="A11006" i="2"/>
  <c r="E11005" i="2"/>
  <c r="D11005" i="2"/>
  <c r="C11005" i="2"/>
  <c r="B11005" i="2"/>
  <c r="A11005" i="2"/>
  <c r="E11004" i="2"/>
  <c r="D11004" i="2"/>
  <c r="C11004" i="2"/>
  <c r="B11004" i="2"/>
  <c r="A11004" i="2"/>
  <c r="E11003" i="2"/>
  <c r="D11003" i="2"/>
  <c r="C11003" i="2"/>
  <c r="B11003" i="2"/>
  <c r="A11003" i="2"/>
  <c r="E11002" i="2"/>
  <c r="D11002" i="2"/>
  <c r="C11002" i="2"/>
  <c r="B11002" i="2"/>
  <c r="A11002" i="2"/>
  <c r="E11001" i="2"/>
  <c r="D11001" i="2"/>
  <c r="C11001" i="2"/>
  <c r="B11001" i="2"/>
  <c r="A11001" i="2"/>
  <c r="E11000" i="2"/>
  <c r="D11000" i="2"/>
  <c r="C11000" i="2"/>
  <c r="B11000" i="2"/>
  <c r="A11000" i="2"/>
  <c r="E10999" i="2"/>
  <c r="D10999" i="2"/>
  <c r="C10999" i="2"/>
  <c r="B10999" i="2"/>
  <c r="A10999" i="2"/>
  <c r="E10998" i="2"/>
  <c r="D10998" i="2"/>
  <c r="C10998" i="2"/>
  <c r="B10998" i="2"/>
  <c r="A10998" i="2"/>
  <c r="E10997" i="2"/>
  <c r="D10997" i="2"/>
  <c r="C10997" i="2"/>
  <c r="B10997" i="2"/>
  <c r="A10997" i="2"/>
  <c r="E10996" i="2"/>
  <c r="D10996" i="2"/>
  <c r="C10996" i="2"/>
  <c r="B10996" i="2"/>
  <c r="A10996" i="2"/>
  <c r="E10995" i="2"/>
  <c r="D10995" i="2"/>
  <c r="C10995" i="2"/>
  <c r="B10995" i="2"/>
  <c r="A10995" i="2"/>
  <c r="E10994" i="2"/>
  <c r="D10994" i="2"/>
  <c r="C10994" i="2"/>
  <c r="B10994" i="2"/>
  <c r="A10994" i="2"/>
  <c r="E10993" i="2"/>
  <c r="D10993" i="2"/>
  <c r="C10993" i="2"/>
  <c r="B10993" i="2"/>
  <c r="A10993" i="2"/>
  <c r="E10992" i="2"/>
  <c r="D10992" i="2"/>
  <c r="C10992" i="2"/>
  <c r="B10992" i="2"/>
  <c r="A10992" i="2"/>
  <c r="E10991" i="2"/>
  <c r="D10991" i="2"/>
  <c r="C10991" i="2"/>
  <c r="B10991" i="2"/>
  <c r="A10991" i="2"/>
  <c r="E10990" i="2"/>
  <c r="D10990" i="2"/>
  <c r="C10990" i="2"/>
  <c r="B10990" i="2"/>
  <c r="A10990" i="2"/>
  <c r="E10989" i="2"/>
  <c r="D10989" i="2"/>
  <c r="C10989" i="2"/>
  <c r="B10989" i="2"/>
  <c r="A10989" i="2"/>
  <c r="E10988" i="2"/>
  <c r="D10988" i="2"/>
  <c r="C10988" i="2"/>
  <c r="B10988" i="2"/>
  <c r="A10988" i="2"/>
  <c r="E10987" i="2"/>
  <c r="D10987" i="2"/>
  <c r="C10987" i="2"/>
  <c r="B10987" i="2"/>
  <c r="A10987" i="2"/>
  <c r="E10986" i="2"/>
  <c r="D10986" i="2"/>
  <c r="C10986" i="2"/>
  <c r="B10986" i="2"/>
  <c r="A10986" i="2"/>
  <c r="E10985" i="2"/>
  <c r="D10985" i="2"/>
  <c r="C10985" i="2"/>
  <c r="B10985" i="2"/>
  <c r="A10985" i="2"/>
  <c r="E10984" i="2"/>
  <c r="D10984" i="2"/>
  <c r="C10984" i="2"/>
  <c r="B10984" i="2"/>
  <c r="A10984" i="2"/>
  <c r="E10983" i="2"/>
  <c r="D10983" i="2"/>
  <c r="C10983" i="2"/>
  <c r="B10983" i="2"/>
  <c r="A10983" i="2"/>
  <c r="E10982" i="2"/>
  <c r="D10982" i="2"/>
  <c r="C10982" i="2"/>
  <c r="B10982" i="2"/>
  <c r="A10982" i="2"/>
  <c r="E10981" i="2"/>
  <c r="D10981" i="2"/>
  <c r="C10981" i="2"/>
  <c r="B10981" i="2"/>
  <c r="A10981" i="2"/>
  <c r="E10980" i="2"/>
  <c r="D10980" i="2"/>
  <c r="C10980" i="2"/>
  <c r="B10980" i="2"/>
  <c r="A10980" i="2"/>
  <c r="E10979" i="2"/>
  <c r="D10979" i="2"/>
  <c r="C10979" i="2"/>
  <c r="B10979" i="2"/>
  <c r="A10979" i="2"/>
  <c r="E10978" i="2"/>
  <c r="D10978" i="2"/>
  <c r="C10978" i="2"/>
  <c r="B10978" i="2"/>
  <c r="A10978" i="2"/>
  <c r="E10977" i="2"/>
  <c r="D10977" i="2"/>
  <c r="C10977" i="2"/>
  <c r="B10977" i="2"/>
  <c r="A10977" i="2"/>
  <c r="E10976" i="2"/>
  <c r="D10976" i="2"/>
  <c r="C10976" i="2"/>
  <c r="B10976" i="2"/>
  <c r="A10976" i="2"/>
  <c r="E10975" i="2"/>
  <c r="D10975" i="2"/>
  <c r="C10975" i="2"/>
  <c r="B10975" i="2"/>
  <c r="A10975" i="2"/>
  <c r="E10974" i="2"/>
  <c r="D10974" i="2"/>
  <c r="C10974" i="2"/>
  <c r="B10974" i="2"/>
  <c r="A10974" i="2"/>
  <c r="E10973" i="2"/>
  <c r="D10973" i="2"/>
  <c r="C10973" i="2"/>
  <c r="B10973" i="2"/>
  <c r="A10973" i="2"/>
  <c r="E10972" i="2"/>
  <c r="D10972" i="2"/>
  <c r="C10972" i="2"/>
  <c r="B10972" i="2"/>
  <c r="A10972" i="2"/>
  <c r="E10971" i="2"/>
  <c r="D10971" i="2"/>
  <c r="C10971" i="2"/>
  <c r="B10971" i="2"/>
  <c r="A10971" i="2"/>
  <c r="E10970" i="2"/>
  <c r="D10970" i="2"/>
  <c r="C10970" i="2"/>
  <c r="B10970" i="2"/>
  <c r="A10970" i="2"/>
  <c r="E10969" i="2"/>
  <c r="D10969" i="2"/>
  <c r="C10969" i="2"/>
  <c r="B10969" i="2"/>
  <c r="A10969" i="2"/>
  <c r="E10968" i="2"/>
  <c r="D10968" i="2"/>
  <c r="C10968" i="2"/>
  <c r="B10968" i="2"/>
  <c r="A10968" i="2"/>
  <c r="E10967" i="2"/>
  <c r="D10967" i="2"/>
  <c r="C10967" i="2"/>
  <c r="B10967" i="2"/>
  <c r="A10967" i="2"/>
  <c r="E10966" i="2"/>
  <c r="D10966" i="2"/>
  <c r="C10966" i="2"/>
  <c r="B10966" i="2"/>
  <c r="A10966" i="2"/>
  <c r="E10965" i="2"/>
  <c r="D10965" i="2"/>
  <c r="C10965" i="2"/>
  <c r="B10965" i="2"/>
  <c r="A10965" i="2"/>
  <c r="E10964" i="2"/>
  <c r="D10964" i="2"/>
  <c r="C10964" i="2"/>
  <c r="B10964" i="2"/>
  <c r="A10964" i="2"/>
  <c r="E10963" i="2"/>
  <c r="D10963" i="2"/>
  <c r="C10963" i="2"/>
  <c r="B10963" i="2"/>
  <c r="A10963" i="2"/>
  <c r="E10962" i="2"/>
  <c r="D10962" i="2"/>
  <c r="C10962" i="2"/>
  <c r="B10962" i="2"/>
  <c r="A10962" i="2"/>
  <c r="E10961" i="2"/>
  <c r="D10961" i="2"/>
  <c r="C10961" i="2"/>
  <c r="B10961" i="2"/>
  <c r="A10961" i="2"/>
  <c r="E10960" i="2"/>
  <c r="D10960" i="2"/>
  <c r="C10960" i="2"/>
  <c r="B10960" i="2"/>
  <c r="A10960" i="2"/>
  <c r="E10959" i="2"/>
  <c r="D10959" i="2"/>
  <c r="C10959" i="2"/>
  <c r="B10959" i="2"/>
  <c r="A10959" i="2"/>
  <c r="E10958" i="2"/>
  <c r="D10958" i="2"/>
  <c r="C10958" i="2"/>
  <c r="B10958" i="2"/>
  <c r="A10958" i="2"/>
  <c r="E10957" i="2"/>
  <c r="D10957" i="2"/>
  <c r="C10957" i="2"/>
  <c r="B10957" i="2"/>
  <c r="A10957" i="2"/>
  <c r="E10956" i="2"/>
  <c r="D10956" i="2"/>
  <c r="C10956" i="2"/>
  <c r="B10956" i="2"/>
  <c r="A10956" i="2"/>
  <c r="E10955" i="2"/>
  <c r="D10955" i="2"/>
  <c r="C10955" i="2"/>
  <c r="B10955" i="2"/>
  <c r="A10955" i="2"/>
  <c r="E10954" i="2"/>
  <c r="D10954" i="2"/>
  <c r="C10954" i="2"/>
  <c r="B10954" i="2"/>
  <c r="A10954" i="2"/>
  <c r="E10953" i="2"/>
  <c r="D10953" i="2"/>
  <c r="C10953" i="2"/>
  <c r="B10953" i="2"/>
  <c r="A10953" i="2"/>
  <c r="E10952" i="2"/>
  <c r="D10952" i="2"/>
  <c r="C10952" i="2"/>
  <c r="B10952" i="2"/>
  <c r="A10952" i="2"/>
  <c r="E10951" i="2"/>
  <c r="D10951" i="2"/>
  <c r="C10951" i="2"/>
  <c r="B10951" i="2"/>
  <c r="A10951" i="2"/>
  <c r="E10950" i="2"/>
  <c r="D10950" i="2"/>
  <c r="C10950" i="2"/>
  <c r="B10950" i="2"/>
  <c r="A10950" i="2"/>
  <c r="E10949" i="2"/>
  <c r="D10949" i="2"/>
  <c r="C10949" i="2"/>
  <c r="B10949" i="2"/>
  <c r="A10949" i="2"/>
  <c r="E10948" i="2"/>
  <c r="D10948" i="2"/>
  <c r="C10948" i="2"/>
  <c r="B10948" i="2"/>
  <c r="A10948" i="2"/>
  <c r="E10947" i="2"/>
  <c r="D10947" i="2"/>
  <c r="C10947" i="2"/>
  <c r="B10947" i="2"/>
  <c r="A10947" i="2"/>
  <c r="E10946" i="2"/>
  <c r="D10946" i="2"/>
  <c r="C10946" i="2"/>
  <c r="B10946" i="2"/>
  <c r="A10946" i="2"/>
  <c r="E10945" i="2"/>
  <c r="D10945" i="2"/>
  <c r="C10945" i="2"/>
  <c r="B10945" i="2"/>
  <c r="A10945" i="2"/>
  <c r="E10944" i="2"/>
  <c r="D10944" i="2"/>
  <c r="C10944" i="2"/>
  <c r="B10944" i="2"/>
  <c r="A10944" i="2"/>
  <c r="E10943" i="2"/>
  <c r="D10943" i="2"/>
  <c r="C10943" i="2"/>
  <c r="B10943" i="2"/>
  <c r="A10943" i="2"/>
  <c r="E10942" i="2"/>
  <c r="D10942" i="2"/>
  <c r="C10942" i="2"/>
  <c r="B10942" i="2"/>
  <c r="A10942" i="2"/>
  <c r="E10941" i="2"/>
  <c r="D10941" i="2"/>
  <c r="C10941" i="2"/>
  <c r="B10941" i="2"/>
  <c r="A10941" i="2"/>
  <c r="E10940" i="2"/>
  <c r="D10940" i="2"/>
  <c r="C10940" i="2"/>
  <c r="B10940" i="2"/>
  <c r="A10940" i="2"/>
  <c r="E10939" i="2"/>
  <c r="D10939" i="2"/>
  <c r="C10939" i="2"/>
  <c r="B10939" i="2"/>
  <c r="A10939" i="2"/>
  <c r="E10938" i="2"/>
  <c r="D10938" i="2"/>
  <c r="C10938" i="2"/>
  <c r="B10938" i="2"/>
  <c r="A10938" i="2"/>
  <c r="E10937" i="2"/>
  <c r="D10937" i="2"/>
  <c r="C10937" i="2"/>
  <c r="B10937" i="2"/>
  <c r="A10937" i="2"/>
  <c r="E10936" i="2"/>
  <c r="D10936" i="2"/>
  <c r="C10936" i="2"/>
  <c r="B10936" i="2"/>
  <c r="A10936" i="2"/>
  <c r="E10935" i="2"/>
  <c r="D10935" i="2"/>
  <c r="C10935" i="2"/>
  <c r="B10935" i="2"/>
  <c r="A10935" i="2"/>
  <c r="E10934" i="2"/>
  <c r="D10934" i="2"/>
  <c r="C10934" i="2"/>
  <c r="B10934" i="2"/>
  <c r="A10934" i="2"/>
  <c r="E10933" i="2"/>
  <c r="D10933" i="2"/>
  <c r="C10933" i="2"/>
  <c r="B10933" i="2"/>
  <c r="A10933" i="2"/>
  <c r="E10932" i="2"/>
  <c r="D10932" i="2"/>
  <c r="C10932" i="2"/>
  <c r="B10932" i="2"/>
  <c r="A10932" i="2"/>
  <c r="E10931" i="2"/>
  <c r="D10931" i="2"/>
  <c r="C10931" i="2"/>
  <c r="B10931" i="2"/>
  <c r="A10931" i="2"/>
  <c r="E10930" i="2"/>
  <c r="D10930" i="2"/>
  <c r="C10930" i="2"/>
  <c r="B10930" i="2"/>
  <c r="A10930" i="2"/>
  <c r="E10929" i="2"/>
  <c r="D10929" i="2"/>
  <c r="C10929" i="2"/>
  <c r="B10929" i="2"/>
  <c r="A10929" i="2"/>
  <c r="E10928" i="2"/>
  <c r="D10928" i="2"/>
  <c r="C10928" i="2"/>
  <c r="B10928" i="2"/>
  <c r="A10928" i="2"/>
  <c r="E10927" i="2"/>
  <c r="D10927" i="2"/>
  <c r="C10927" i="2"/>
  <c r="B10927" i="2"/>
  <c r="A10927" i="2"/>
  <c r="E10926" i="2"/>
  <c r="D10926" i="2"/>
  <c r="C10926" i="2"/>
  <c r="B10926" i="2"/>
  <c r="A10926" i="2"/>
  <c r="E10925" i="2"/>
  <c r="D10925" i="2"/>
  <c r="C10925" i="2"/>
  <c r="B10925" i="2"/>
  <c r="A10925" i="2"/>
  <c r="E10924" i="2"/>
  <c r="D10924" i="2"/>
  <c r="C10924" i="2"/>
  <c r="B10924" i="2"/>
  <c r="A10924" i="2"/>
  <c r="E10923" i="2"/>
  <c r="D10923" i="2"/>
  <c r="C10923" i="2"/>
  <c r="B10923" i="2"/>
  <c r="A10923" i="2"/>
  <c r="E10922" i="2"/>
  <c r="D10922" i="2"/>
  <c r="C10922" i="2"/>
  <c r="B10922" i="2"/>
  <c r="A10922" i="2"/>
  <c r="E10921" i="2"/>
  <c r="D10921" i="2"/>
  <c r="C10921" i="2"/>
  <c r="B10921" i="2"/>
  <c r="A10921" i="2"/>
  <c r="E10920" i="2"/>
  <c r="D10920" i="2"/>
  <c r="C10920" i="2"/>
  <c r="B10920" i="2"/>
  <c r="A10920" i="2"/>
  <c r="E10919" i="2"/>
  <c r="D10919" i="2"/>
  <c r="C10919" i="2"/>
  <c r="B10919" i="2"/>
  <c r="A10919" i="2"/>
  <c r="E10918" i="2"/>
  <c r="D10918" i="2"/>
  <c r="C10918" i="2"/>
  <c r="B10918" i="2"/>
  <c r="A10918" i="2"/>
  <c r="E10917" i="2"/>
  <c r="D10917" i="2"/>
  <c r="C10917" i="2"/>
  <c r="B10917" i="2"/>
  <c r="A10917" i="2"/>
  <c r="E10916" i="2"/>
  <c r="D10916" i="2"/>
  <c r="C10916" i="2"/>
  <c r="B10916" i="2"/>
  <c r="A10916" i="2"/>
  <c r="E10915" i="2"/>
  <c r="D10915" i="2"/>
  <c r="C10915" i="2"/>
  <c r="B10915" i="2"/>
  <c r="A10915" i="2"/>
  <c r="E10914" i="2"/>
  <c r="D10914" i="2"/>
  <c r="C10914" i="2"/>
  <c r="B10914" i="2"/>
  <c r="A10914" i="2"/>
  <c r="E10913" i="2"/>
  <c r="D10913" i="2"/>
  <c r="C10913" i="2"/>
  <c r="B10913" i="2"/>
  <c r="A10913" i="2"/>
  <c r="E10912" i="2"/>
  <c r="D10912" i="2"/>
  <c r="C10912" i="2"/>
  <c r="B10912" i="2"/>
  <c r="A10912" i="2"/>
  <c r="E10911" i="2"/>
  <c r="D10911" i="2"/>
  <c r="C10911" i="2"/>
  <c r="B10911" i="2"/>
  <c r="A10911" i="2"/>
  <c r="E10910" i="2"/>
  <c r="D10910" i="2"/>
  <c r="C10910" i="2"/>
  <c r="B10910" i="2"/>
  <c r="A10910" i="2"/>
  <c r="E10909" i="2"/>
  <c r="D10909" i="2"/>
  <c r="C10909" i="2"/>
  <c r="B10909" i="2"/>
  <c r="A10909" i="2"/>
  <c r="E10908" i="2"/>
  <c r="D10908" i="2"/>
  <c r="C10908" i="2"/>
  <c r="B10908" i="2"/>
  <c r="A10908" i="2"/>
  <c r="E10907" i="2"/>
  <c r="D10907" i="2"/>
  <c r="C10907" i="2"/>
  <c r="B10907" i="2"/>
  <c r="A10907" i="2"/>
  <c r="E10906" i="2"/>
  <c r="D10906" i="2"/>
  <c r="C10906" i="2"/>
  <c r="B10906" i="2"/>
  <c r="A10906" i="2"/>
  <c r="E10905" i="2"/>
  <c r="D10905" i="2"/>
  <c r="C10905" i="2"/>
  <c r="B10905" i="2"/>
  <c r="A10905" i="2"/>
  <c r="E10904" i="2"/>
  <c r="D10904" i="2"/>
  <c r="C10904" i="2"/>
  <c r="B10904" i="2"/>
  <c r="A10904" i="2"/>
  <c r="E10903" i="2"/>
  <c r="D10903" i="2"/>
  <c r="C10903" i="2"/>
  <c r="B10903" i="2"/>
  <c r="A10903" i="2"/>
  <c r="E10902" i="2"/>
  <c r="D10902" i="2"/>
  <c r="C10902" i="2"/>
  <c r="B10902" i="2"/>
  <c r="A10902" i="2"/>
  <c r="E10901" i="2"/>
  <c r="D10901" i="2"/>
  <c r="C10901" i="2"/>
  <c r="B10901" i="2"/>
  <c r="A10901" i="2"/>
  <c r="E10900" i="2"/>
  <c r="D10900" i="2"/>
  <c r="C10900" i="2"/>
  <c r="B10900" i="2"/>
  <c r="A10900" i="2"/>
  <c r="E10899" i="2"/>
  <c r="D10899" i="2"/>
  <c r="C10899" i="2"/>
  <c r="B10899" i="2"/>
  <c r="A10899" i="2"/>
  <c r="E10898" i="2"/>
  <c r="D10898" i="2"/>
  <c r="C10898" i="2"/>
  <c r="B10898" i="2"/>
  <c r="A10898" i="2"/>
  <c r="E10897" i="2"/>
  <c r="D10897" i="2"/>
  <c r="C10897" i="2"/>
  <c r="B10897" i="2"/>
  <c r="A10897" i="2"/>
  <c r="E10896" i="2"/>
  <c r="D10896" i="2"/>
  <c r="C10896" i="2"/>
  <c r="B10896" i="2"/>
  <c r="A10896" i="2"/>
  <c r="E10895" i="2"/>
  <c r="D10895" i="2"/>
  <c r="C10895" i="2"/>
  <c r="B10895" i="2"/>
  <c r="A10895" i="2"/>
  <c r="E10894" i="2"/>
  <c r="D10894" i="2"/>
  <c r="C10894" i="2"/>
  <c r="B10894" i="2"/>
  <c r="A10894" i="2"/>
  <c r="E10893" i="2"/>
  <c r="D10893" i="2"/>
  <c r="C10893" i="2"/>
  <c r="B10893" i="2"/>
  <c r="A10893" i="2"/>
  <c r="E10892" i="2"/>
  <c r="D10892" i="2"/>
  <c r="C10892" i="2"/>
  <c r="B10892" i="2"/>
  <c r="A10892" i="2"/>
  <c r="E10891" i="2"/>
  <c r="D10891" i="2"/>
  <c r="C10891" i="2"/>
  <c r="B10891" i="2"/>
  <c r="A10891" i="2"/>
  <c r="E10890" i="2"/>
  <c r="D10890" i="2"/>
  <c r="C10890" i="2"/>
  <c r="B10890" i="2"/>
  <c r="A10890" i="2"/>
  <c r="E10889" i="2"/>
  <c r="D10889" i="2"/>
  <c r="C10889" i="2"/>
  <c r="B10889" i="2"/>
  <c r="A10889" i="2"/>
  <c r="E10888" i="2"/>
  <c r="D10888" i="2"/>
  <c r="C10888" i="2"/>
  <c r="B10888" i="2"/>
  <c r="A10888" i="2"/>
  <c r="E10887" i="2"/>
  <c r="D10887" i="2"/>
  <c r="C10887" i="2"/>
  <c r="B10887" i="2"/>
  <c r="A10887" i="2"/>
  <c r="E10886" i="2"/>
  <c r="D10886" i="2"/>
  <c r="C10886" i="2"/>
  <c r="B10886" i="2"/>
  <c r="A10886" i="2"/>
  <c r="E10885" i="2"/>
  <c r="D10885" i="2"/>
  <c r="C10885" i="2"/>
  <c r="B10885" i="2"/>
  <c r="A10885" i="2"/>
  <c r="E10884" i="2"/>
  <c r="D10884" i="2"/>
  <c r="C10884" i="2"/>
  <c r="B10884" i="2"/>
  <c r="A10884" i="2"/>
  <c r="E10883" i="2"/>
  <c r="D10883" i="2"/>
  <c r="C10883" i="2"/>
  <c r="B10883" i="2"/>
  <c r="A10883" i="2"/>
  <c r="E10882" i="2"/>
  <c r="D10882" i="2"/>
  <c r="C10882" i="2"/>
  <c r="B10882" i="2"/>
  <c r="A10882" i="2"/>
  <c r="E10881" i="2"/>
  <c r="D10881" i="2"/>
  <c r="C10881" i="2"/>
  <c r="B10881" i="2"/>
  <c r="A10881" i="2"/>
  <c r="E10880" i="2"/>
  <c r="D10880" i="2"/>
  <c r="C10880" i="2"/>
  <c r="B10880" i="2"/>
  <c r="A10880" i="2"/>
  <c r="E10879" i="2"/>
  <c r="D10879" i="2"/>
  <c r="C10879" i="2"/>
  <c r="B10879" i="2"/>
  <c r="A10879" i="2"/>
  <c r="E10878" i="2"/>
  <c r="D10878" i="2"/>
  <c r="C10878" i="2"/>
  <c r="B10878" i="2"/>
  <c r="A10878" i="2"/>
  <c r="E10877" i="2"/>
  <c r="D10877" i="2"/>
  <c r="C10877" i="2"/>
  <c r="B10877" i="2"/>
  <c r="A10877" i="2"/>
  <c r="E10876" i="2"/>
  <c r="D10876" i="2"/>
  <c r="C10876" i="2"/>
  <c r="B10876" i="2"/>
  <c r="A10876" i="2"/>
  <c r="E10875" i="2"/>
  <c r="D10875" i="2"/>
  <c r="C10875" i="2"/>
  <c r="B10875" i="2"/>
  <c r="A10875" i="2"/>
  <c r="E10874" i="2"/>
  <c r="D10874" i="2"/>
  <c r="C10874" i="2"/>
  <c r="B10874" i="2"/>
  <c r="A10874" i="2"/>
  <c r="E10873" i="2"/>
  <c r="D10873" i="2"/>
  <c r="C10873" i="2"/>
  <c r="B10873" i="2"/>
  <c r="A10873" i="2"/>
  <c r="E10872" i="2"/>
  <c r="D10872" i="2"/>
  <c r="C10872" i="2"/>
  <c r="B10872" i="2"/>
  <c r="A10872" i="2"/>
  <c r="E10871" i="2"/>
  <c r="D10871" i="2"/>
  <c r="C10871" i="2"/>
  <c r="B10871" i="2"/>
  <c r="A10871" i="2"/>
  <c r="E10870" i="2"/>
  <c r="D10870" i="2"/>
  <c r="C10870" i="2"/>
  <c r="B10870" i="2"/>
  <c r="A10870" i="2"/>
  <c r="E10869" i="2"/>
  <c r="D10869" i="2"/>
  <c r="C10869" i="2"/>
  <c r="B10869" i="2"/>
  <c r="A10869" i="2"/>
  <c r="E10868" i="2"/>
  <c r="D10868" i="2"/>
  <c r="C10868" i="2"/>
  <c r="B10868" i="2"/>
  <c r="A10868" i="2"/>
  <c r="E10867" i="2"/>
  <c r="D10867" i="2"/>
  <c r="C10867" i="2"/>
  <c r="B10867" i="2"/>
  <c r="A10867" i="2"/>
  <c r="E10866" i="2"/>
  <c r="D10866" i="2"/>
  <c r="C10866" i="2"/>
  <c r="B10866" i="2"/>
  <c r="A10866" i="2"/>
  <c r="E10865" i="2"/>
  <c r="D10865" i="2"/>
  <c r="C10865" i="2"/>
  <c r="B10865" i="2"/>
  <c r="A10865" i="2"/>
  <c r="E10864" i="2"/>
  <c r="D10864" i="2"/>
  <c r="C10864" i="2"/>
  <c r="B10864" i="2"/>
  <c r="A10864" i="2"/>
  <c r="E10863" i="2"/>
  <c r="D10863" i="2"/>
  <c r="C10863" i="2"/>
  <c r="B10863" i="2"/>
  <c r="A10863" i="2"/>
  <c r="E10862" i="2"/>
  <c r="D10862" i="2"/>
  <c r="C10862" i="2"/>
  <c r="B10862" i="2"/>
  <c r="A10862" i="2"/>
  <c r="E10861" i="2"/>
  <c r="D10861" i="2"/>
  <c r="C10861" i="2"/>
  <c r="B10861" i="2"/>
  <c r="A10861" i="2"/>
  <c r="E10860" i="2"/>
  <c r="D10860" i="2"/>
  <c r="C10860" i="2"/>
  <c r="B10860" i="2"/>
  <c r="A10860" i="2"/>
  <c r="E10859" i="2"/>
  <c r="D10859" i="2"/>
  <c r="C10859" i="2"/>
  <c r="B10859" i="2"/>
  <c r="A10859" i="2"/>
  <c r="E10858" i="2"/>
  <c r="D10858" i="2"/>
  <c r="C10858" i="2"/>
  <c r="B10858" i="2"/>
  <c r="A10858" i="2"/>
  <c r="E10857" i="2"/>
  <c r="D10857" i="2"/>
  <c r="C10857" i="2"/>
  <c r="B10857" i="2"/>
  <c r="A10857" i="2"/>
  <c r="E10856" i="2"/>
  <c r="D10856" i="2"/>
  <c r="C10856" i="2"/>
  <c r="B10856" i="2"/>
  <c r="A10856" i="2"/>
  <c r="E10855" i="2"/>
  <c r="D10855" i="2"/>
  <c r="C10855" i="2"/>
  <c r="B10855" i="2"/>
  <c r="A10855" i="2"/>
  <c r="E10854" i="2"/>
  <c r="D10854" i="2"/>
  <c r="C10854" i="2"/>
  <c r="B10854" i="2"/>
  <c r="A10854" i="2"/>
  <c r="E10853" i="2"/>
  <c r="D10853" i="2"/>
  <c r="C10853" i="2"/>
  <c r="B10853" i="2"/>
  <c r="A10853" i="2"/>
  <c r="E10852" i="2"/>
  <c r="D10852" i="2"/>
  <c r="C10852" i="2"/>
  <c r="B10852" i="2"/>
  <c r="A10852" i="2"/>
  <c r="E10851" i="2"/>
  <c r="D10851" i="2"/>
  <c r="C10851" i="2"/>
  <c r="B10851" i="2"/>
  <c r="A10851" i="2"/>
  <c r="E10850" i="2"/>
  <c r="D10850" i="2"/>
  <c r="C10850" i="2"/>
  <c r="B10850" i="2"/>
  <c r="A10850" i="2"/>
  <c r="E10849" i="2"/>
  <c r="D10849" i="2"/>
  <c r="C10849" i="2"/>
  <c r="B10849" i="2"/>
  <c r="A10849" i="2"/>
  <c r="E10848" i="2"/>
  <c r="D10848" i="2"/>
  <c r="C10848" i="2"/>
  <c r="B10848" i="2"/>
  <c r="A10848" i="2"/>
  <c r="E10847" i="2"/>
  <c r="D10847" i="2"/>
  <c r="C10847" i="2"/>
  <c r="B10847" i="2"/>
  <c r="A10847" i="2"/>
  <c r="E10846" i="2"/>
  <c r="D10846" i="2"/>
  <c r="C10846" i="2"/>
  <c r="B10846" i="2"/>
  <c r="A10846" i="2"/>
  <c r="E10845" i="2"/>
  <c r="D10845" i="2"/>
  <c r="C10845" i="2"/>
  <c r="B10845" i="2"/>
  <c r="A10845" i="2"/>
  <c r="E10844" i="2"/>
  <c r="D10844" i="2"/>
  <c r="C10844" i="2"/>
  <c r="B10844" i="2"/>
  <c r="A10844" i="2"/>
  <c r="E10843" i="2"/>
  <c r="D10843" i="2"/>
  <c r="C10843" i="2"/>
  <c r="B10843" i="2"/>
  <c r="A10843" i="2"/>
  <c r="E10842" i="2"/>
  <c r="D10842" i="2"/>
  <c r="C10842" i="2"/>
  <c r="B10842" i="2"/>
  <c r="A10842" i="2"/>
  <c r="E10841" i="2"/>
  <c r="D10841" i="2"/>
  <c r="C10841" i="2"/>
  <c r="B10841" i="2"/>
  <c r="A10841" i="2"/>
  <c r="E10840" i="2"/>
  <c r="D10840" i="2"/>
  <c r="C10840" i="2"/>
  <c r="B10840" i="2"/>
  <c r="A10840" i="2"/>
  <c r="E10839" i="2"/>
  <c r="D10839" i="2"/>
  <c r="C10839" i="2"/>
  <c r="B10839" i="2"/>
  <c r="A10839" i="2"/>
  <c r="E10838" i="2"/>
  <c r="D10838" i="2"/>
  <c r="C10838" i="2"/>
  <c r="B10838" i="2"/>
  <c r="A10838" i="2"/>
  <c r="E10837" i="2"/>
  <c r="D10837" i="2"/>
  <c r="C10837" i="2"/>
  <c r="B10837" i="2"/>
  <c r="A10837" i="2"/>
  <c r="E10836" i="2"/>
  <c r="D10836" i="2"/>
  <c r="C10836" i="2"/>
  <c r="B10836" i="2"/>
  <c r="A10836" i="2"/>
  <c r="E10835" i="2"/>
  <c r="D10835" i="2"/>
  <c r="C10835" i="2"/>
  <c r="B10835" i="2"/>
  <c r="A10835" i="2"/>
  <c r="E10834" i="2"/>
  <c r="D10834" i="2"/>
  <c r="C10834" i="2"/>
  <c r="B10834" i="2"/>
  <c r="A10834" i="2"/>
  <c r="E10833" i="2"/>
  <c r="D10833" i="2"/>
  <c r="C10833" i="2"/>
  <c r="B10833" i="2"/>
  <c r="A10833" i="2"/>
  <c r="E10832" i="2"/>
  <c r="D10832" i="2"/>
  <c r="C10832" i="2"/>
  <c r="B10832" i="2"/>
  <c r="A10832" i="2"/>
  <c r="E10831" i="2"/>
  <c r="D10831" i="2"/>
  <c r="C10831" i="2"/>
  <c r="B10831" i="2"/>
  <c r="A10831" i="2"/>
  <c r="E10830" i="2"/>
  <c r="D10830" i="2"/>
  <c r="C10830" i="2"/>
  <c r="B10830" i="2"/>
  <c r="A10830" i="2"/>
  <c r="E10829" i="2"/>
  <c r="D10829" i="2"/>
  <c r="C10829" i="2"/>
  <c r="B10829" i="2"/>
  <c r="A10829" i="2"/>
  <c r="E10828" i="2"/>
  <c r="D10828" i="2"/>
  <c r="C10828" i="2"/>
  <c r="B10828" i="2"/>
  <c r="A10828" i="2"/>
  <c r="E10827" i="2"/>
  <c r="D10827" i="2"/>
  <c r="C10827" i="2"/>
  <c r="B10827" i="2"/>
  <c r="A10827" i="2"/>
  <c r="E10826" i="2"/>
  <c r="D10826" i="2"/>
  <c r="C10826" i="2"/>
  <c r="B10826" i="2"/>
  <c r="A10826" i="2"/>
  <c r="E10825" i="2"/>
  <c r="D10825" i="2"/>
  <c r="C10825" i="2"/>
  <c r="B10825" i="2"/>
  <c r="A10825" i="2"/>
  <c r="E10824" i="2"/>
  <c r="D10824" i="2"/>
  <c r="C10824" i="2"/>
  <c r="B10824" i="2"/>
  <c r="A10824" i="2"/>
  <c r="E10823" i="2"/>
  <c r="D10823" i="2"/>
  <c r="C10823" i="2"/>
  <c r="B10823" i="2"/>
  <c r="A10823" i="2"/>
  <c r="E10822" i="2"/>
  <c r="D10822" i="2"/>
  <c r="C10822" i="2"/>
  <c r="B10822" i="2"/>
  <c r="A10822" i="2"/>
  <c r="E10821" i="2"/>
  <c r="D10821" i="2"/>
  <c r="C10821" i="2"/>
  <c r="B10821" i="2"/>
  <c r="A10821" i="2"/>
  <c r="E10820" i="2"/>
  <c r="D10820" i="2"/>
  <c r="C10820" i="2"/>
  <c r="B10820" i="2"/>
  <c r="A10820" i="2"/>
  <c r="E10819" i="2"/>
  <c r="D10819" i="2"/>
  <c r="C10819" i="2"/>
  <c r="B10819" i="2"/>
  <c r="A10819" i="2"/>
  <c r="E10818" i="2"/>
  <c r="D10818" i="2"/>
  <c r="C10818" i="2"/>
  <c r="B10818" i="2"/>
  <c r="A10818" i="2"/>
  <c r="E10817" i="2"/>
  <c r="D10817" i="2"/>
  <c r="C10817" i="2"/>
  <c r="B10817" i="2"/>
  <c r="A10817" i="2"/>
  <c r="E10816" i="2"/>
  <c r="D10816" i="2"/>
  <c r="C10816" i="2"/>
  <c r="B10816" i="2"/>
  <c r="A10816" i="2"/>
  <c r="E10815" i="2"/>
  <c r="D10815" i="2"/>
  <c r="C10815" i="2"/>
  <c r="B10815" i="2"/>
  <c r="A10815" i="2"/>
  <c r="E10814" i="2"/>
  <c r="D10814" i="2"/>
  <c r="C10814" i="2"/>
  <c r="B10814" i="2"/>
  <c r="A10814" i="2"/>
  <c r="E10813" i="2"/>
  <c r="D10813" i="2"/>
  <c r="C10813" i="2"/>
  <c r="B10813" i="2"/>
  <c r="A10813" i="2"/>
  <c r="E10812" i="2"/>
  <c r="D10812" i="2"/>
  <c r="C10812" i="2"/>
  <c r="B10812" i="2"/>
  <c r="A10812" i="2"/>
  <c r="E10811" i="2"/>
  <c r="D10811" i="2"/>
  <c r="C10811" i="2"/>
  <c r="B10811" i="2"/>
  <c r="A10811" i="2"/>
  <c r="E10810" i="2"/>
  <c r="D10810" i="2"/>
  <c r="C10810" i="2"/>
  <c r="B10810" i="2"/>
  <c r="A10810" i="2"/>
  <c r="E10809" i="2"/>
  <c r="D10809" i="2"/>
  <c r="C10809" i="2"/>
  <c r="B10809" i="2"/>
  <c r="A10809" i="2"/>
  <c r="E10808" i="2"/>
  <c r="D10808" i="2"/>
  <c r="C10808" i="2"/>
  <c r="B10808" i="2"/>
  <c r="A10808" i="2"/>
  <c r="E10807" i="2"/>
  <c r="D10807" i="2"/>
  <c r="C10807" i="2"/>
  <c r="B10807" i="2"/>
  <c r="A10807" i="2"/>
  <c r="E10806" i="2"/>
  <c r="D10806" i="2"/>
  <c r="C10806" i="2"/>
  <c r="B10806" i="2"/>
  <c r="A10806" i="2"/>
  <c r="E10805" i="2"/>
  <c r="D10805" i="2"/>
  <c r="C10805" i="2"/>
  <c r="B10805" i="2"/>
  <c r="A10805" i="2"/>
  <c r="E10804" i="2"/>
  <c r="D10804" i="2"/>
  <c r="C10804" i="2"/>
  <c r="B10804" i="2"/>
  <c r="A10804" i="2"/>
  <c r="E10803" i="2"/>
  <c r="D10803" i="2"/>
  <c r="C10803" i="2"/>
  <c r="B10803" i="2"/>
  <c r="A10803" i="2"/>
  <c r="E10802" i="2"/>
  <c r="D10802" i="2"/>
  <c r="C10802" i="2"/>
  <c r="B10802" i="2"/>
  <c r="A10802" i="2"/>
  <c r="E10801" i="2"/>
  <c r="D10801" i="2"/>
  <c r="C10801" i="2"/>
  <c r="B10801" i="2"/>
  <c r="A10801" i="2"/>
  <c r="E10800" i="2"/>
  <c r="D10800" i="2"/>
  <c r="C10800" i="2"/>
  <c r="B10800" i="2"/>
  <c r="A10800" i="2"/>
  <c r="E10799" i="2"/>
  <c r="D10799" i="2"/>
  <c r="C10799" i="2"/>
  <c r="B10799" i="2"/>
  <c r="A10799" i="2"/>
  <c r="E10798" i="2"/>
  <c r="D10798" i="2"/>
  <c r="C10798" i="2"/>
  <c r="B10798" i="2"/>
  <c r="A10798" i="2"/>
  <c r="E10797" i="2"/>
  <c r="D10797" i="2"/>
  <c r="C10797" i="2"/>
  <c r="B10797" i="2"/>
  <c r="A10797" i="2"/>
  <c r="E10796" i="2"/>
  <c r="D10796" i="2"/>
  <c r="C10796" i="2"/>
  <c r="B10796" i="2"/>
  <c r="A10796" i="2"/>
  <c r="E10795" i="2"/>
  <c r="D10795" i="2"/>
  <c r="C10795" i="2"/>
  <c r="B10795" i="2"/>
  <c r="A10795" i="2"/>
  <c r="E10794" i="2"/>
  <c r="D10794" i="2"/>
  <c r="C10794" i="2"/>
  <c r="B10794" i="2"/>
  <c r="A10794" i="2"/>
  <c r="E10793" i="2"/>
  <c r="D10793" i="2"/>
  <c r="C10793" i="2"/>
  <c r="B10793" i="2"/>
  <c r="A10793" i="2"/>
  <c r="E10792" i="2"/>
  <c r="D10792" i="2"/>
  <c r="C10792" i="2"/>
  <c r="B10792" i="2"/>
  <c r="A10792" i="2"/>
  <c r="E10791" i="2"/>
  <c r="D10791" i="2"/>
  <c r="C10791" i="2"/>
  <c r="B10791" i="2"/>
  <c r="A10791" i="2"/>
  <c r="E10790" i="2"/>
  <c r="D10790" i="2"/>
  <c r="C10790" i="2"/>
  <c r="B10790" i="2"/>
  <c r="A10790" i="2"/>
  <c r="E10789" i="2"/>
  <c r="D10789" i="2"/>
  <c r="C10789" i="2"/>
  <c r="B10789" i="2"/>
  <c r="A10789" i="2"/>
  <c r="E10788" i="2"/>
  <c r="D10788" i="2"/>
  <c r="C10788" i="2"/>
  <c r="B10788" i="2"/>
  <c r="A10788" i="2"/>
  <c r="E10787" i="2"/>
  <c r="D10787" i="2"/>
  <c r="C10787" i="2"/>
  <c r="B10787" i="2"/>
  <c r="A10787" i="2"/>
  <c r="E10786" i="2"/>
  <c r="D10786" i="2"/>
  <c r="C10786" i="2"/>
  <c r="B10786" i="2"/>
  <c r="A10786" i="2"/>
  <c r="E10785" i="2"/>
  <c r="D10785" i="2"/>
  <c r="C10785" i="2"/>
  <c r="B10785" i="2"/>
  <c r="A10785" i="2"/>
  <c r="E10784" i="2"/>
  <c r="D10784" i="2"/>
  <c r="C10784" i="2"/>
  <c r="B10784" i="2"/>
  <c r="A10784" i="2"/>
  <c r="E10783" i="2"/>
  <c r="D10783" i="2"/>
  <c r="C10783" i="2"/>
  <c r="B10783" i="2"/>
  <c r="A10783" i="2"/>
  <c r="E10782" i="2"/>
  <c r="D10782" i="2"/>
  <c r="C10782" i="2"/>
  <c r="B10782" i="2"/>
  <c r="A10782" i="2"/>
  <c r="E10781" i="2"/>
  <c r="D10781" i="2"/>
  <c r="C10781" i="2"/>
  <c r="B10781" i="2"/>
  <c r="A10781" i="2"/>
  <c r="E10780" i="2"/>
  <c r="D10780" i="2"/>
  <c r="C10780" i="2"/>
  <c r="B10780" i="2"/>
  <c r="A10780" i="2"/>
  <c r="E10779" i="2"/>
  <c r="D10779" i="2"/>
  <c r="C10779" i="2"/>
  <c r="B10779" i="2"/>
  <c r="A10779" i="2"/>
  <c r="E10778" i="2"/>
  <c r="D10778" i="2"/>
  <c r="C10778" i="2"/>
  <c r="B10778" i="2"/>
  <c r="A10778" i="2"/>
  <c r="E10777" i="2"/>
  <c r="D10777" i="2"/>
  <c r="C10777" i="2"/>
  <c r="B10777" i="2"/>
  <c r="A10777" i="2"/>
  <c r="E10776" i="2"/>
  <c r="D10776" i="2"/>
  <c r="C10776" i="2"/>
  <c r="B10776" i="2"/>
  <c r="A10776" i="2"/>
  <c r="E10775" i="2"/>
  <c r="D10775" i="2"/>
  <c r="C10775" i="2"/>
  <c r="B10775" i="2"/>
  <c r="A10775" i="2"/>
  <c r="E10774" i="2"/>
  <c r="D10774" i="2"/>
  <c r="C10774" i="2"/>
  <c r="B10774" i="2"/>
  <c r="A10774" i="2"/>
  <c r="E10773" i="2"/>
  <c r="D10773" i="2"/>
  <c r="C10773" i="2"/>
  <c r="B10773" i="2"/>
  <c r="A10773" i="2"/>
  <c r="E10772" i="2"/>
  <c r="D10772" i="2"/>
  <c r="C10772" i="2"/>
  <c r="B10772" i="2"/>
  <c r="A10772" i="2"/>
  <c r="E10771" i="2"/>
  <c r="D10771" i="2"/>
  <c r="C10771" i="2"/>
  <c r="B10771" i="2"/>
  <c r="A10771" i="2"/>
  <c r="E10770" i="2"/>
  <c r="D10770" i="2"/>
  <c r="C10770" i="2"/>
  <c r="B10770" i="2"/>
  <c r="A10770" i="2"/>
  <c r="E10769" i="2"/>
  <c r="D10769" i="2"/>
  <c r="C10769" i="2"/>
  <c r="B10769" i="2"/>
  <c r="A10769" i="2"/>
  <c r="E10768" i="2"/>
  <c r="D10768" i="2"/>
  <c r="C10768" i="2"/>
  <c r="B10768" i="2"/>
  <c r="A10768" i="2"/>
  <c r="E10767" i="2"/>
  <c r="D10767" i="2"/>
  <c r="C10767" i="2"/>
  <c r="B10767" i="2"/>
  <c r="A10767" i="2"/>
  <c r="E10766" i="2"/>
  <c r="D10766" i="2"/>
  <c r="C10766" i="2"/>
  <c r="B10766" i="2"/>
  <c r="A10766" i="2"/>
  <c r="E10765" i="2"/>
  <c r="D10765" i="2"/>
  <c r="C10765" i="2"/>
  <c r="B10765" i="2"/>
  <c r="A10765" i="2"/>
  <c r="E10764" i="2"/>
  <c r="D10764" i="2"/>
  <c r="C10764" i="2"/>
  <c r="B10764" i="2"/>
  <c r="A10764" i="2"/>
  <c r="E10763" i="2"/>
  <c r="D10763" i="2"/>
  <c r="C10763" i="2"/>
  <c r="B10763" i="2"/>
  <c r="A10763" i="2"/>
  <c r="E10762" i="2"/>
  <c r="D10762" i="2"/>
  <c r="C10762" i="2"/>
  <c r="B10762" i="2"/>
  <c r="A10762" i="2"/>
  <c r="E10761" i="2"/>
  <c r="D10761" i="2"/>
  <c r="C10761" i="2"/>
  <c r="B10761" i="2"/>
  <c r="A10761" i="2"/>
  <c r="E10760" i="2"/>
  <c r="D10760" i="2"/>
  <c r="C10760" i="2"/>
  <c r="B10760" i="2"/>
  <c r="A10760" i="2"/>
  <c r="E10759" i="2"/>
  <c r="D10759" i="2"/>
  <c r="C10759" i="2"/>
  <c r="B10759" i="2"/>
  <c r="A10759" i="2"/>
  <c r="E10758" i="2"/>
  <c r="D10758" i="2"/>
  <c r="C10758" i="2"/>
  <c r="B10758" i="2"/>
  <c r="A10758" i="2"/>
  <c r="E10757" i="2"/>
  <c r="D10757" i="2"/>
  <c r="C10757" i="2"/>
  <c r="B10757" i="2"/>
  <c r="A10757" i="2"/>
  <c r="E10756" i="2"/>
  <c r="D10756" i="2"/>
  <c r="C10756" i="2"/>
  <c r="B10756" i="2"/>
  <c r="A10756" i="2"/>
  <c r="E10755" i="2"/>
  <c r="D10755" i="2"/>
  <c r="C10755" i="2"/>
  <c r="B10755" i="2"/>
  <c r="A10755" i="2"/>
  <c r="E10754" i="2"/>
  <c r="D10754" i="2"/>
  <c r="C10754" i="2"/>
  <c r="B10754" i="2"/>
  <c r="A10754" i="2"/>
  <c r="E10753" i="2"/>
  <c r="D10753" i="2"/>
  <c r="C10753" i="2"/>
  <c r="B10753" i="2"/>
  <c r="A10753" i="2"/>
  <c r="E10752" i="2"/>
  <c r="D10752" i="2"/>
  <c r="C10752" i="2"/>
  <c r="B10752" i="2"/>
  <c r="A10752" i="2"/>
  <c r="E10751" i="2"/>
  <c r="D10751" i="2"/>
  <c r="C10751" i="2"/>
  <c r="B10751" i="2"/>
  <c r="A10751" i="2"/>
  <c r="E10750" i="2"/>
  <c r="D10750" i="2"/>
  <c r="C10750" i="2"/>
  <c r="B10750" i="2"/>
  <c r="A10750" i="2"/>
  <c r="E10749" i="2"/>
  <c r="D10749" i="2"/>
  <c r="C10749" i="2"/>
  <c r="B10749" i="2"/>
  <c r="A10749" i="2"/>
  <c r="E10748" i="2"/>
  <c r="D10748" i="2"/>
  <c r="C10748" i="2"/>
  <c r="B10748" i="2"/>
  <c r="A10748" i="2"/>
  <c r="E10747" i="2"/>
  <c r="D10747" i="2"/>
  <c r="C10747" i="2"/>
  <c r="B10747" i="2"/>
  <c r="A10747" i="2"/>
  <c r="E10746" i="2"/>
  <c r="D10746" i="2"/>
  <c r="C10746" i="2"/>
  <c r="B10746" i="2"/>
  <c r="A10746" i="2"/>
  <c r="E10745" i="2"/>
  <c r="D10745" i="2"/>
  <c r="C10745" i="2"/>
  <c r="B10745" i="2"/>
  <c r="A10745" i="2"/>
  <c r="E10744" i="2"/>
  <c r="D10744" i="2"/>
  <c r="C10744" i="2"/>
  <c r="B10744" i="2"/>
  <c r="A10744" i="2"/>
  <c r="E10743" i="2"/>
  <c r="D10743" i="2"/>
  <c r="C10743" i="2"/>
  <c r="B10743" i="2"/>
  <c r="A10743" i="2"/>
  <c r="E10742" i="2"/>
  <c r="D10742" i="2"/>
  <c r="C10742" i="2"/>
  <c r="B10742" i="2"/>
  <c r="A10742" i="2"/>
  <c r="E10741" i="2"/>
  <c r="D10741" i="2"/>
  <c r="C10741" i="2"/>
  <c r="B10741" i="2"/>
  <c r="A10741" i="2"/>
  <c r="E10740" i="2"/>
  <c r="D10740" i="2"/>
  <c r="C10740" i="2"/>
  <c r="B10740" i="2"/>
  <c r="A10740" i="2"/>
  <c r="E10739" i="2"/>
  <c r="D10739" i="2"/>
  <c r="C10739" i="2"/>
  <c r="B10739" i="2"/>
  <c r="A10739" i="2"/>
  <c r="E10738" i="2"/>
  <c r="D10738" i="2"/>
  <c r="C10738" i="2"/>
  <c r="B10738" i="2"/>
  <c r="A10738" i="2"/>
  <c r="E10737" i="2"/>
  <c r="D10737" i="2"/>
  <c r="C10737" i="2"/>
  <c r="B10737" i="2"/>
  <c r="A10737" i="2"/>
  <c r="E10736" i="2"/>
  <c r="D10736" i="2"/>
  <c r="C10736" i="2"/>
  <c r="B10736" i="2"/>
  <c r="A10736" i="2"/>
  <c r="E10735" i="2"/>
  <c r="D10735" i="2"/>
  <c r="C10735" i="2"/>
  <c r="B10735" i="2"/>
  <c r="A10735" i="2"/>
  <c r="E10734" i="2"/>
  <c r="D10734" i="2"/>
  <c r="C10734" i="2"/>
  <c r="B10734" i="2"/>
  <c r="A10734" i="2"/>
  <c r="E10733" i="2"/>
  <c r="D10733" i="2"/>
  <c r="C10733" i="2"/>
  <c r="B10733" i="2"/>
  <c r="A10733" i="2"/>
  <c r="E10732" i="2"/>
  <c r="D10732" i="2"/>
  <c r="C10732" i="2"/>
  <c r="B10732" i="2"/>
  <c r="A10732" i="2"/>
  <c r="E10731" i="2"/>
  <c r="D10731" i="2"/>
  <c r="C10731" i="2"/>
  <c r="B10731" i="2"/>
  <c r="A10731" i="2"/>
  <c r="E10730" i="2"/>
  <c r="D10730" i="2"/>
  <c r="C10730" i="2"/>
  <c r="B10730" i="2"/>
  <c r="A10730" i="2"/>
  <c r="E10729" i="2"/>
  <c r="D10729" i="2"/>
  <c r="C10729" i="2"/>
  <c r="B10729" i="2"/>
  <c r="A10729" i="2"/>
  <c r="E10728" i="2"/>
  <c r="D10728" i="2"/>
  <c r="C10728" i="2"/>
  <c r="B10728" i="2"/>
  <c r="A10728" i="2"/>
  <c r="E10727" i="2"/>
  <c r="D10727" i="2"/>
  <c r="C10727" i="2"/>
  <c r="B10727" i="2"/>
  <c r="A10727" i="2"/>
  <c r="E10726" i="2"/>
  <c r="D10726" i="2"/>
  <c r="C10726" i="2"/>
  <c r="B10726" i="2"/>
  <c r="A10726" i="2"/>
  <c r="E10725" i="2"/>
  <c r="D10725" i="2"/>
  <c r="C10725" i="2"/>
  <c r="B10725" i="2"/>
  <c r="A10725" i="2"/>
  <c r="E10724" i="2"/>
  <c r="D10724" i="2"/>
  <c r="C10724" i="2"/>
  <c r="B10724" i="2"/>
  <c r="A10724" i="2"/>
  <c r="E10723" i="2"/>
  <c r="D10723" i="2"/>
  <c r="C10723" i="2"/>
  <c r="B10723" i="2"/>
  <c r="A10723" i="2"/>
  <c r="E10722" i="2"/>
  <c r="D10722" i="2"/>
  <c r="C10722" i="2"/>
  <c r="B10722" i="2"/>
  <c r="A10722" i="2"/>
  <c r="E10721" i="2"/>
  <c r="D10721" i="2"/>
  <c r="C10721" i="2"/>
  <c r="B10721" i="2"/>
  <c r="A10721" i="2"/>
  <c r="E10720" i="2"/>
  <c r="D10720" i="2"/>
  <c r="C10720" i="2"/>
  <c r="B10720" i="2"/>
  <c r="A10720" i="2"/>
  <c r="E10719" i="2"/>
  <c r="D10719" i="2"/>
  <c r="C10719" i="2"/>
  <c r="B10719" i="2"/>
  <c r="A10719" i="2"/>
  <c r="E10718" i="2"/>
  <c r="D10718" i="2"/>
  <c r="C10718" i="2"/>
  <c r="B10718" i="2"/>
  <c r="A10718" i="2"/>
  <c r="E10717" i="2"/>
  <c r="D10717" i="2"/>
  <c r="C10717" i="2"/>
  <c r="B10717" i="2"/>
  <c r="A10717" i="2"/>
  <c r="E10716" i="2"/>
  <c r="D10716" i="2"/>
  <c r="C10716" i="2"/>
  <c r="B10716" i="2"/>
  <c r="A10716" i="2"/>
  <c r="E10715" i="2"/>
  <c r="D10715" i="2"/>
  <c r="C10715" i="2"/>
  <c r="B10715" i="2"/>
  <c r="A10715" i="2"/>
  <c r="E10714" i="2"/>
  <c r="D10714" i="2"/>
  <c r="C10714" i="2"/>
  <c r="B10714" i="2"/>
  <c r="A10714" i="2"/>
  <c r="E10713" i="2"/>
  <c r="D10713" i="2"/>
  <c r="C10713" i="2"/>
  <c r="B10713" i="2"/>
  <c r="A10713" i="2"/>
  <c r="E10712" i="2"/>
  <c r="D10712" i="2"/>
  <c r="C10712" i="2"/>
  <c r="B10712" i="2"/>
  <c r="A10712" i="2"/>
  <c r="E10711" i="2"/>
  <c r="D10711" i="2"/>
  <c r="C10711" i="2"/>
  <c r="B10711" i="2"/>
  <c r="A10711" i="2"/>
  <c r="E10710" i="2"/>
  <c r="D10710" i="2"/>
  <c r="C10710" i="2"/>
  <c r="B10710" i="2"/>
  <c r="A10710" i="2"/>
  <c r="E10709" i="2"/>
  <c r="D10709" i="2"/>
  <c r="C10709" i="2"/>
  <c r="B10709" i="2"/>
  <c r="A10709" i="2"/>
  <c r="E10708" i="2"/>
  <c r="D10708" i="2"/>
  <c r="C10708" i="2"/>
  <c r="B10708" i="2"/>
  <c r="A10708" i="2"/>
  <c r="E10707" i="2"/>
  <c r="D10707" i="2"/>
  <c r="C10707" i="2"/>
  <c r="B10707" i="2"/>
  <c r="A10707" i="2"/>
  <c r="E10706" i="2"/>
  <c r="D10706" i="2"/>
  <c r="C10706" i="2"/>
  <c r="B10706" i="2"/>
  <c r="A10706" i="2"/>
  <c r="E10705" i="2"/>
  <c r="D10705" i="2"/>
  <c r="C10705" i="2"/>
  <c r="B10705" i="2"/>
  <c r="A10705" i="2"/>
  <c r="E10704" i="2"/>
  <c r="D10704" i="2"/>
  <c r="C10704" i="2"/>
  <c r="B10704" i="2"/>
  <c r="A10704" i="2"/>
  <c r="E10703" i="2"/>
  <c r="D10703" i="2"/>
  <c r="C10703" i="2"/>
  <c r="B10703" i="2"/>
  <c r="A10703" i="2"/>
  <c r="E10702" i="2"/>
  <c r="D10702" i="2"/>
  <c r="C10702" i="2"/>
  <c r="B10702" i="2"/>
  <c r="A10702" i="2"/>
  <c r="E10701" i="2"/>
  <c r="D10701" i="2"/>
  <c r="C10701" i="2"/>
  <c r="B10701" i="2"/>
  <c r="A10701" i="2"/>
  <c r="E10700" i="2"/>
  <c r="D10700" i="2"/>
  <c r="C10700" i="2"/>
  <c r="B10700" i="2"/>
  <c r="A10700" i="2"/>
  <c r="E10699" i="2"/>
  <c r="D10699" i="2"/>
  <c r="C10699" i="2"/>
  <c r="B10699" i="2"/>
  <c r="A10699" i="2"/>
  <c r="E10698" i="2"/>
  <c r="D10698" i="2"/>
  <c r="C10698" i="2"/>
  <c r="B10698" i="2"/>
  <c r="A10698" i="2"/>
  <c r="E10697" i="2"/>
  <c r="D10697" i="2"/>
  <c r="C10697" i="2"/>
  <c r="B10697" i="2"/>
  <c r="A10697" i="2"/>
  <c r="E10696" i="2"/>
  <c r="D10696" i="2"/>
  <c r="C10696" i="2"/>
  <c r="B10696" i="2"/>
  <c r="A10696" i="2"/>
  <c r="E10695" i="2"/>
  <c r="D10695" i="2"/>
  <c r="C10695" i="2"/>
  <c r="B10695" i="2"/>
  <c r="A10695" i="2"/>
  <c r="E10694" i="2"/>
  <c r="D10694" i="2"/>
  <c r="C10694" i="2"/>
  <c r="B10694" i="2"/>
  <c r="A10694" i="2"/>
  <c r="E10693" i="2"/>
  <c r="D10693" i="2"/>
  <c r="C10693" i="2"/>
  <c r="B10693" i="2"/>
  <c r="A10693" i="2"/>
  <c r="E10692" i="2"/>
  <c r="D10692" i="2"/>
  <c r="C10692" i="2"/>
  <c r="B10692" i="2"/>
  <c r="A10692" i="2"/>
  <c r="E10691" i="2"/>
  <c r="D10691" i="2"/>
  <c r="C10691" i="2"/>
  <c r="B10691" i="2"/>
  <c r="A10691" i="2"/>
  <c r="E10690" i="2"/>
  <c r="D10690" i="2"/>
  <c r="C10690" i="2"/>
  <c r="B10690" i="2"/>
  <c r="A10690" i="2"/>
  <c r="E10689" i="2"/>
  <c r="D10689" i="2"/>
  <c r="C10689" i="2"/>
  <c r="B10689" i="2"/>
  <c r="A10689" i="2"/>
  <c r="E10688" i="2"/>
  <c r="D10688" i="2"/>
  <c r="C10688" i="2"/>
  <c r="B10688" i="2"/>
  <c r="A10688" i="2"/>
  <c r="E10687" i="2"/>
  <c r="D10687" i="2"/>
  <c r="C10687" i="2"/>
  <c r="B10687" i="2"/>
  <c r="A10687" i="2"/>
  <c r="E10686" i="2"/>
  <c r="D10686" i="2"/>
  <c r="C10686" i="2"/>
  <c r="B10686" i="2"/>
  <c r="A10686" i="2"/>
  <c r="E10685" i="2"/>
  <c r="D10685" i="2"/>
  <c r="C10685" i="2"/>
  <c r="B10685" i="2"/>
  <c r="A10685" i="2"/>
  <c r="E10684" i="2"/>
  <c r="D10684" i="2"/>
  <c r="C10684" i="2"/>
  <c r="B10684" i="2"/>
  <c r="A10684" i="2"/>
  <c r="E10683" i="2"/>
  <c r="D10683" i="2"/>
  <c r="C10683" i="2"/>
  <c r="B10683" i="2"/>
  <c r="A10683" i="2"/>
  <c r="E10682" i="2"/>
  <c r="D10682" i="2"/>
  <c r="C10682" i="2"/>
  <c r="B10682" i="2"/>
  <c r="A10682" i="2"/>
  <c r="E10681" i="2"/>
  <c r="D10681" i="2"/>
  <c r="C10681" i="2"/>
  <c r="B10681" i="2"/>
  <c r="A10681" i="2"/>
  <c r="E10680" i="2"/>
  <c r="D10680" i="2"/>
  <c r="C10680" i="2"/>
  <c r="B10680" i="2"/>
  <c r="A10680" i="2"/>
  <c r="E10679" i="2"/>
  <c r="D10679" i="2"/>
  <c r="C10679" i="2"/>
  <c r="B10679" i="2"/>
  <c r="A10679" i="2"/>
  <c r="E10678" i="2"/>
  <c r="D10678" i="2"/>
  <c r="C10678" i="2"/>
  <c r="B10678" i="2"/>
  <c r="A10678" i="2"/>
  <c r="E10677" i="2"/>
  <c r="D10677" i="2"/>
  <c r="C10677" i="2"/>
  <c r="B10677" i="2"/>
  <c r="A10677" i="2"/>
  <c r="E10676" i="2"/>
  <c r="D10676" i="2"/>
  <c r="C10676" i="2"/>
  <c r="B10676" i="2"/>
  <c r="A10676" i="2"/>
  <c r="E10675" i="2"/>
  <c r="D10675" i="2"/>
  <c r="C10675" i="2"/>
  <c r="B10675" i="2"/>
  <c r="A10675" i="2"/>
  <c r="E10674" i="2"/>
  <c r="D10674" i="2"/>
  <c r="C10674" i="2"/>
  <c r="B10674" i="2"/>
  <c r="A10674" i="2"/>
  <c r="E10673" i="2"/>
  <c r="D10673" i="2"/>
  <c r="C10673" i="2"/>
  <c r="B10673" i="2"/>
  <c r="A10673" i="2"/>
  <c r="E10672" i="2"/>
  <c r="D10672" i="2"/>
  <c r="C10672" i="2"/>
  <c r="B10672" i="2"/>
  <c r="A10672" i="2"/>
  <c r="E10671" i="2"/>
  <c r="D10671" i="2"/>
  <c r="C10671" i="2"/>
  <c r="B10671" i="2"/>
  <c r="A10671" i="2"/>
  <c r="E10670" i="2"/>
  <c r="D10670" i="2"/>
  <c r="C10670" i="2"/>
  <c r="B10670" i="2"/>
  <c r="A10670" i="2"/>
  <c r="E10669" i="2"/>
  <c r="D10669" i="2"/>
  <c r="C10669" i="2"/>
  <c r="B10669" i="2"/>
  <c r="A10669" i="2"/>
  <c r="E10668" i="2"/>
  <c r="D10668" i="2"/>
  <c r="C10668" i="2"/>
  <c r="B10668" i="2"/>
  <c r="A10668" i="2"/>
  <c r="E10667" i="2"/>
  <c r="D10667" i="2"/>
  <c r="C10667" i="2"/>
  <c r="B10667" i="2"/>
  <c r="A10667" i="2"/>
  <c r="E10666" i="2"/>
  <c r="D10666" i="2"/>
  <c r="C10666" i="2"/>
  <c r="B10666" i="2"/>
  <c r="A10666" i="2"/>
  <c r="E10665" i="2"/>
  <c r="D10665" i="2"/>
  <c r="C10665" i="2"/>
  <c r="B10665" i="2"/>
  <c r="A10665" i="2"/>
  <c r="E10664" i="2"/>
  <c r="D10664" i="2"/>
  <c r="C10664" i="2"/>
  <c r="B10664" i="2"/>
  <c r="A10664" i="2"/>
  <c r="E10663" i="2"/>
  <c r="D10663" i="2"/>
  <c r="C10663" i="2"/>
  <c r="B10663" i="2"/>
  <c r="A10663" i="2"/>
  <c r="E10662" i="2"/>
  <c r="D10662" i="2"/>
  <c r="C10662" i="2"/>
  <c r="B10662" i="2"/>
  <c r="A10662" i="2"/>
  <c r="E10661" i="2"/>
  <c r="D10661" i="2"/>
  <c r="C10661" i="2"/>
  <c r="B10661" i="2"/>
  <c r="A10661" i="2"/>
  <c r="E10660" i="2"/>
  <c r="D10660" i="2"/>
  <c r="C10660" i="2"/>
  <c r="B10660" i="2"/>
  <c r="A10660" i="2"/>
  <c r="E10659" i="2"/>
  <c r="D10659" i="2"/>
  <c r="C10659" i="2"/>
  <c r="B10659" i="2"/>
  <c r="A10659" i="2"/>
  <c r="E10658" i="2"/>
  <c r="D10658" i="2"/>
  <c r="C10658" i="2"/>
  <c r="B10658" i="2"/>
  <c r="A10658" i="2"/>
  <c r="E10657" i="2"/>
  <c r="D10657" i="2"/>
  <c r="C10657" i="2"/>
  <c r="B10657" i="2"/>
  <c r="A10657" i="2"/>
  <c r="E10656" i="2"/>
  <c r="D10656" i="2"/>
  <c r="C10656" i="2"/>
  <c r="B10656" i="2"/>
  <c r="A10656" i="2"/>
  <c r="E10655" i="2"/>
  <c r="D10655" i="2"/>
  <c r="C10655" i="2"/>
  <c r="B10655" i="2"/>
  <c r="A10655" i="2"/>
  <c r="E10654" i="2"/>
  <c r="D10654" i="2"/>
  <c r="C10654" i="2"/>
  <c r="B10654" i="2"/>
  <c r="A10654" i="2"/>
  <c r="E10653" i="2"/>
  <c r="D10653" i="2"/>
  <c r="C10653" i="2"/>
  <c r="B10653" i="2"/>
  <c r="A10653" i="2"/>
  <c r="E10652" i="2"/>
  <c r="D10652" i="2"/>
  <c r="C10652" i="2"/>
  <c r="B10652" i="2"/>
  <c r="A10652" i="2"/>
  <c r="E10651" i="2"/>
  <c r="D10651" i="2"/>
  <c r="C10651" i="2"/>
  <c r="B10651" i="2"/>
  <c r="A10651" i="2"/>
  <c r="E10650" i="2"/>
  <c r="D10650" i="2"/>
  <c r="C10650" i="2"/>
  <c r="B10650" i="2"/>
  <c r="A10650" i="2"/>
  <c r="E10649" i="2"/>
  <c r="D10649" i="2"/>
  <c r="C10649" i="2"/>
  <c r="B10649" i="2"/>
  <c r="A10649" i="2"/>
  <c r="E10648" i="2"/>
  <c r="D10648" i="2"/>
  <c r="C10648" i="2"/>
  <c r="B10648" i="2"/>
  <c r="A10648" i="2"/>
  <c r="E10647" i="2"/>
  <c r="D10647" i="2"/>
  <c r="C10647" i="2"/>
  <c r="B10647" i="2"/>
  <c r="A10647" i="2"/>
  <c r="E10646" i="2"/>
  <c r="D10646" i="2"/>
  <c r="C10646" i="2"/>
  <c r="B10646" i="2"/>
  <c r="A10646" i="2"/>
  <c r="E10645" i="2"/>
  <c r="D10645" i="2"/>
  <c r="C10645" i="2"/>
  <c r="B10645" i="2"/>
  <c r="A10645" i="2"/>
  <c r="E10644" i="2"/>
  <c r="D10644" i="2"/>
  <c r="C10644" i="2"/>
  <c r="B10644" i="2"/>
  <c r="A10644" i="2"/>
  <c r="E10643" i="2"/>
  <c r="D10643" i="2"/>
  <c r="C10643" i="2"/>
  <c r="B10643" i="2"/>
  <c r="A10643" i="2"/>
  <c r="E10642" i="2"/>
  <c r="D10642" i="2"/>
  <c r="C10642" i="2"/>
  <c r="B10642" i="2"/>
  <c r="A10642" i="2"/>
  <c r="E10641" i="2"/>
  <c r="D10641" i="2"/>
  <c r="C10641" i="2"/>
  <c r="B10641" i="2"/>
  <c r="A10641" i="2"/>
  <c r="E10640" i="2"/>
  <c r="D10640" i="2"/>
  <c r="C10640" i="2"/>
  <c r="B10640" i="2"/>
  <c r="A10640" i="2"/>
  <c r="E10639" i="2"/>
  <c r="D10639" i="2"/>
  <c r="C10639" i="2"/>
  <c r="B10639" i="2"/>
  <c r="A10639" i="2"/>
  <c r="E10638" i="2"/>
  <c r="D10638" i="2"/>
  <c r="C10638" i="2"/>
  <c r="B10638" i="2"/>
  <c r="A10638" i="2"/>
  <c r="E10637" i="2"/>
  <c r="D10637" i="2"/>
  <c r="C10637" i="2"/>
  <c r="B10637" i="2"/>
  <c r="A10637" i="2"/>
  <c r="E10636" i="2"/>
  <c r="D10636" i="2"/>
  <c r="C10636" i="2"/>
  <c r="B10636" i="2"/>
  <c r="A10636" i="2"/>
  <c r="E10635" i="2"/>
  <c r="D10635" i="2"/>
  <c r="C10635" i="2"/>
  <c r="B10635" i="2"/>
  <c r="A10635" i="2"/>
  <c r="E10634" i="2"/>
  <c r="D10634" i="2"/>
  <c r="C10634" i="2"/>
  <c r="B10634" i="2"/>
  <c r="A10634" i="2"/>
  <c r="E10633" i="2"/>
  <c r="D10633" i="2"/>
  <c r="C10633" i="2"/>
  <c r="B10633" i="2"/>
  <c r="A10633" i="2"/>
  <c r="E10632" i="2"/>
  <c r="D10632" i="2"/>
  <c r="C10632" i="2"/>
  <c r="B10632" i="2"/>
  <c r="A10632" i="2"/>
  <c r="E10631" i="2"/>
  <c r="D10631" i="2"/>
  <c r="C10631" i="2"/>
  <c r="B10631" i="2"/>
  <c r="A10631" i="2"/>
  <c r="E10630" i="2"/>
  <c r="D10630" i="2"/>
  <c r="C10630" i="2"/>
  <c r="B10630" i="2"/>
  <c r="A10630" i="2"/>
  <c r="E10629" i="2"/>
  <c r="D10629" i="2"/>
  <c r="C10629" i="2"/>
  <c r="B10629" i="2"/>
  <c r="A10629" i="2"/>
  <c r="E10628" i="2"/>
  <c r="D10628" i="2"/>
  <c r="C10628" i="2"/>
  <c r="B10628" i="2"/>
  <c r="A10628" i="2"/>
  <c r="E10627" i="2"/>
  <c r="D10627" i="2"/>
  <c r="C10627" i="2"/>
  <c r="B10627" i="2"/>
  <c r="A10627" i="2"/>
  <c r="E10626" i="2"/>
  <c r="D10626" i="2"/>
  <c r="C10626" i="2"/>
  <c r="B10626" i="2"/>
  <c r="A10626" i="2"/>
  <c r="E10625" i="2"/>
  <c r="D10625" i="2"/>
  <c r="C10625" i="2"/>
  <c r="B10625" i="2"/>
  <c r="A10625" i="2"/>
  <c r="E10624" i="2"/>
  <c r="D10624" i="2"/>
  <c r="C10624" i="2"/>
  <c r="B10624" i="2"/>
  <c r="A10624" i="2"/>
  <c r="E10623" i="2"/>
  <c r="D10623" i="2"/>
  <c r="C10623" i="2"/>
  <c r="B10623" i="2"/>
  <c r="A10623" i="2"/>
  <c r="E10622" i="2"/>
  <c r="D10622" i="2"/>
  <c r="C10622" i="2"/>
  <c r="B10622" i="2"/>
  <c r="A10622" i="2"/>
  <c r="E10621" i="2"/>
  <c r="D10621" i="2"/>
  <c r="C10621" i="2"/>
  <c r="B10621" i="2"/>
  <c r="A10621" i="2"/>
  <c r="E10620" i="2"/>
  <c r="D10620" i="2"/>
  <c r="C10620" i="2"/>
  <c r="B10620" i="2"/>
  <c r="A10620" i="2"/>
  <c r="E10619" i="2"/>
  <c r="D10619" i="2"/>
  <c r="C10619" i="2"/>
  <c r="B10619" i="2"/>
  <c r="A10619" i="2"/>
  <c r="E10618" i="2"/>
  <c r="D10618" i="2"/>
  <c r="C10618" i="2"/>
  <c r="B10618" i="2"/>
  <c r="A10618" i="2"/>
  <c r="E10617" i="2"/>
  <c r="D10617" i="2"/>
  <c r="C10617" i="2"/>
  <c r="B10617" i="2"/>
  <c r="A10617" i="2"/>
  <c r="E10616" i="2"/>
  <c r="D10616" i="2"/>
  <c r="C10616" i="2"/>
  <c r="B10616" i="2"/>
  <c r="A10616" i="2"/>
  <c r="E10615" i="2"/>
  <c r="D10615" i="2"/>
  <c r="C10615" i="2"/>
  <c r="B10615" i="2"/>
  <c r="A10615" i="2"/>
  <c r="E10614" i="2"/>
  <c r="D10614" i="2"/>
  <c r="C10614" i="2"/>
  <c r="B10614" i="2"/>
  <c r="A10614" i="2"/>
  <c r="E10613" i="2"/>
  <c r="D10613" i="2"/>
  <c r="C10613" i="2"/>
  <c r="B10613" i="2"/>
  <c r="A10613" i="2"/>
  <c r="E10612" i="2"/>
  <c r="D10612" i="2"/>
  <c r="C10612" i="2"/>
  <c r="B10612" i="2"/>
  <c r="A10612" i="2"/>
  <c r="E10611" i="2"/>
  <c r="D10611" i="2"/>
  <c r="C10611" i="2"/>
  <c r="B10611" i="2"/>
  <c r="A10611" i="2"/>
  <c r="E10610" i="2"/>
  <c r="D10610" i="2"/>
  <c r="C10610" i="2"/>
  <c r="B10610" i="2"/>
  <c r="A10610" i="2"/>
  <c r="E10609" i="2"/>
  <c r="D10609" i="2"/>
  <c r="C10609" i="2"/>
  <c r="B10609" i="2"/>
  <c r="A10609" i="2"/>
  <c r="E10608" i="2"/>
  <c r="D10608" i="2"/>
  <c r="C10608" i="2"/>
  <c r="B10608" i="2"/>
  <c r="A10608" i="2"/>
  <c r="E10607" i="2"/>
  <c r="D10607" i="2"/>
  <c r="C10607" i="2"/>
  <c r="B10607" i="2"/>
  <c r="A10607" i="2"/>
  <c r="E10606" i="2"/>
  <c r="D10606" i="2"/>
  <c r="C10606" i="2"/>
  <c r="B10606" i="2"/>
  <c r="A10606" i="2"/>
  <c r="E10605" i="2"/>
  <c r="D10605" i="2"/>
  <c r="C10605" i="2"/>
  <c r="B10605" i="2"/>
  <c r="A10605" i="2"/>
  <c r="E10604" i="2"/>
  <c r="D10604" i="2"/>
  <c r="C10604" i="2"/>
  <c r="B10604" i="2"/>
  <c r="A10604" i="2"/>
  <c r="E10603" i="2"/>
  <c r="D10603" i="2"/>
  <c r="C10603" i="2"/>
  <c r="B10603" i="2"/>
  <c r="A10603" i="2"/>
  <c r="E10602" i="2"/>
  <c r="D10602" i="2"/>
  <c r="C10602" i="2"/>
  <c r="B10602" i="2"/>
  <c r="A10602" i="2"/>
  <c r="E10601" i="2"/>
  <c r="D10601" i="2"/>
  <c r="C10601" i="2"/>
  <c r="B10601" i="2"/>
  <c r="A10601" i="2"/>
  <c r="E10600" i="2"/>
  <c r="D10600" i="2"/>
  <c r="C10600" i="2"/>
  <c r="B10600" i="2"/>
  <c r="A10600" i="2"/>
  <c r="E10599" i="2"/>
  <c r="D10599" i="2"/>
  <c r="C10599" i="2"/>
  <c r="B10599" i="2"/>
  <c r="A10599" i="2"/>
  <c r="E10598" i="2"/>
  <c r="D10598" i="2"/>
  <c r="C10598" i="2"/>
  <c r="B10598" i="2"/>
  <c r="A10598" i="2"/>
  <c r="E10597" i="2"/>
  <c r="D10597" i="2"/>
  <c r="C10597" i="2"/>
  <c r="B10597" i="2"/>
  <c r="A10597" i="2"/>
  <c r="E10596" i="2"/>
  <c r="D10596" i="2"/>
  <c r="C10596" i="2"/>
  <c r="B10596" i="2"/>
  <c r="A10596" i="2"/>
  <c r="E10595" i="2"/>
  <c r="D10595" i="2"/>
  <c r="C10595" i="2"/>
  <c r="B10595" i="2"/>
  <c r="A10595" i="2"/>
  <c r="E10594" i="2"/>
  <c r="D10594" i="2"/>
  <c r="C10594" i="2"/>
  <c r="B10594" i="2"/>
  <c r="A10594" i="2"/>
  <c r="E10593" i="2"/>
  <c r="D10593" i="2"/>
  <c r="C10593" i="2"/>
  <c r="B10593" i="2"/>
  <c r="A10593" i="2"/>
  <c r="E10592" i="2"/>
  <c r="D10592" i="2"/>
  <c r="C10592" i="2"/>
  <c r="B10592" i="2"/>
  <c r="A10592" i="2"/>
  <c r="E10591" i="2"/>
  <c r="D10591" i="2"/>
  <c r="C10591" i="2"/>
  <c r="B10591" i="2"/>
  <c r="A10591" i="2"/>
  <c r="E10590" i="2"/>
  <c r="D10590" i="2"/>
  <c r="C10590" i="2"/>
  <c r="B10590" i="2"/>
  <c r="A10590" i="2"/>
  <c r="E10589" i="2"/>
  <c r="D10589" i="2"/>
  <c r="C10589" i="2"/>
  <c r="B10589" i="2"/>
  <c r="A10589" i="2"/>
  <c r="E10588" i="2"/>
  <c r="D10588" i="2"/>
  <c r="C10588" i="2"/>
  <c r="B10588" i="2"/>
  <c r="A10588" i="2"/>
  <c r="E10587" i="2"/>
  <c r="D10587" i="2"/>
  <c r="C10587" i="2"/>
  <c r="B10587" i="2"/>
  <c r="A10587" i="2"/>
  <c r="E10586" i="2"/>
  <c r="D10586" i="2"/>
  <c r="C10586" i="2"/>
  <c r="B10586" i="2"/>
  <c r="A10586" i="2"/>
  <c r="E10585" i="2"/>
  <c r="D10585" i="2"/>
  <c r="C10585" i="2"/>
  <c r="B10585" i="2"/>
  <c r="A10585" i="2"/>
  <c r="E10584" i="2"/>
  <c r="D10584" i="2"/>
  <c r="C10584" i="2"/>
  <c r="B10584" i="2"/>
  <c r="A10584" i="2"/>
  <c r="E10583" i="2"/>
  <c r="D10583" i="2"/>
  <c r="C10583" i="2"/>
  <c r="B10583" i="2"/>
  <c r="A10583" i="2"/>
  <c r="E10582" i="2"/>
  <c r="D10582" i="2"/>
  <c r="C10582" i="2"/>
  <c r="B10582" i="2"/>
  <c r="A10582" i="2"/>
  <c r="E10581" i="2"/>
  <c r="D10581" i="2"/>
  <c r="C10581" i="2"/>
  <c r="B10581" i="2"/>
  <c r="A10581" i="2"/>
  <c r="E10580" i="2"/>
  <c r="D10580" i="2"/>
  <c r="C10580" i="2"/>
  <c r="B10580" i="2"/>
  <c r="A10580" i="2"/>
  <c r="E10579" i="2"/>
  <c r="D10579" i="2"/>
  <c r="C10579" i="2"/>
  <c r="B10579" i="2"/>
  <c r="A10579" i="2"/>
  <c r="E10578" i="2"/>
  <c r="D10578" i="2"/>
  <c r="C10578" i="2"/>
  <c r="B10578" i="2"/>
  <c r="A10578" i="2"/>
  <c r="E10577" i="2"/>
  <c r="D10577" i="2"/>
  <c r="C10577" i="2"/>
  <c r="B10577" i="2"/>
  <c r="A10577" i="2"/>
  <c r="E10576" i="2"/>
  <c r="D10576" i="2"/>
  <c r="C10576" i="2"/>
  <c r="B10576" i="2"/>
  <c r="A10576" i="2"/>
  <c r="E10575" i="2"/>
  <c r="D10575" i="2"/>
  <c r="C10575" i="2"/>
  <c r="B10575" i="2"/>
  <c r="A10575" i="2"/>
  <c r="E10574" i="2"/>
  <c r="D10574" i="2"/>
  <c r="C10574" i="2"/>
  <c r="B10574" i="2"/>
  <c r="A10574" i="2"/>
  <c r="E10573" i="2"/>
  <c r="D10573" i="2"/>
  <c r="C10573" i="2"/>
  <c r="B10573" i="2"/>
  <c r="A10573" i="2"/>
  <c r="E10572" i="2"/>
  <c r="D10572" i="2"/>
  <c r="C10572" i="2"/>
  <c r="B10572" i="2"/>
  <c r="A10572" i="2"/>
  <c r="E10571" i="2"/>
  <c r="D10571" i="2"/>
  <c r="C10571" i="2"/>
  <c r="B10571" i="2"/>
  <c r="A10571" i="2"/>
  <c r="E10570" i="2"/>
  <c r="D10570" i="2"/>
  <c r="C10570" i="2"/>
  <c r="B10570" i="2"/>
  <c r="A10570" i="2"/>
  <c r="E10569" i="2"/>
  <c r="D10569" i="2"/>
  <c r="C10569" i="2"/>
  <c r="B10569" i="2"/>
  <c r="A10569" i="2"/>
  <c r="E10568" i="2"/>
  <c r="D10568" i="2"/>
  <c r="C10568" i="2"/>
  <c r="B10568" i="2"/>
  <c r="A10568" i="2"/>
  <c r="E10567" i="2"/>
  <c r="D10567" i="2"/>
  <c r="C10567" i="2"/>
  <c r="B10567" i="2"/>
  <c r="A10567" i="2"/>
  <c r="E10566" i="2"/>
  <c r="D10566" i="2"/>
  <c r="C10566" i="2"/>
  <c r="B10566" i="2"/>
  <c r="A10566" i="2"/>
  <c r="E10565" i="2"/>
  <c r="D10565" i="2"/>
  <c r="C10565" i="2"/>
  <c r="B10565" i="2"/>
  <c r="A10565" i="2"/>
  <c r="E10564" i="2"/>
  <c r="D10564" i="2"/>
  <c r="C10564" i="2"/>
  <c r="B10564" i="2"/>
  <c r="A10564" i="2"/>
  <c r="E10563" i="2"/>
  <c r="D10563" i="2"/>
  <c r="C10563" i="2"/>
  <c r="B10563" i="2"/>
  <c r="A10563" i="2"/>
  <c r="E10562" i="2"/>
  <c r="D10562" i="2"/>
  <c r="C10562" i="2"/>
  <c r="B10562" i="2"/>
  <c r="A10562" i="2"/>
  <c r="E10561" i="2"/>
  <c r="D10561" i="2"/>
  <c r="C10561" i="2"/>
  <c r="B10561" i="2"/>
  <c r="A10561" i="2"/>
  <c r="E10560" i="2"/>
  <c r="D10560" i="2"/>
  <c r="C10560" i="2"/>
  <c r="B10560" i="2"/>
  <c r="A10560" i="2"/>
  <c r="E10559" i="2"/>
  <c r="D10559" i="2"/>
  <c r="C10559" i="2"/>
  <c r="B10559" i="2"/>
  <c r="A10559" i="2"/>
  <c r="E10558" i="2"/>
  <c r="D10558" i="2"/>
  <c r="C10558" i="2"/>
  <c r="B10558" i="2"/>
  <c r="A10558" i="2"/>
  <c r="E10557" i="2"/>
  <c r="D10557" i="2"/>
  <c r="C10557" i="2"/>
  <c r="B10557" i="2"/>
  <c r="A10557" i="2"/>
  <c r="E10556" i="2"/>
  <c r="D10556" i="2"/>
  <c r="C10556" i="2"/>
  <c r="B10556" i="2"/>
  <c r="A10556" i="2"/>
  <c r="E10555" i="2"/>
  <c r="D10555" i="2"/>
  <c r="C10555" i="2"/>
  <c r="B10555" i="2"/>
  <c r="A10555" i="2"/>
  <c r="E10554" i="2"/>
  <c r="D10554" i="2"/>
  <c r="C10554" i="2"/>
  <c r="B10554" i="2"/>
  <c r="A10554" i="2"/>
  <c r="E10553" i="2"/>
  <c r="D10553" i="2"/>
  <c r="C10553" i="2"/>
  <c r="B10553" i="2"/>
  <c r="A10553" i="2"/>
  <c r="E10552" i="2"/>
  <c r="D10552" i="2"/>
  <c r="C10552" i="2"/>
  <c r="B10552" i="2"/>
  <c r="A10552" i="2"/>
  <c r="E10551" i="2"/>
  <c r="D10551" i="2"/>
  <c r="C10551" i="2"/>
  <c r="B10551" i="2"/>
  <c r="A10551" i="2"/>
  <c r="E10550" i="2"/>
  <c r="D10550" i="2"/>
  <c r="C10550" i="2"/>
  <c r="B10550" i="2"/>
  <c r="A10550" i="2"/>
  <c r="E10549" i="2"/>
  <c r="D10549" i="2"/>
  <c r="C10549" i="2"/>
  <c r="B10549" i="2"/>
  <c r="A10549" i="2"/>
  <c r="E10548" i="2"/>
  <c r="D10548" i="2"/>
  <c r="C10548" i="2"/>
  <c r="B10548" i="2"/>
  <c r="A10548" i="2"/>
  <c r="E10547" i="2"/>
  <c r="D10547" i="2"/>
  <c r="C10547" i="2"/>
  <c r="B10547" i="2"/>
  <c r="A10547" i="2"/>
  <c r="E10546" i="2"/>
  <c r="D10546" i="2"/>
  <c r="C10546" i="2"/>
  <c r="B10546" i="2"/>
  <c r="A10546" i="2"/>
  <c r="E10545" i="2"/>
  <c r="D10545" i="2"/>
  <c r="C10545" i="2"/>
  <c r="B10545" i="2"/>
  <c r="A10545" i="2"/>
  <c r="E10544" i="2"/>
  <c r="D10544" i="2"/>
  <c r="C10544" i="2"/>
  <c r="B10544" i="2"/>
  <c r="A10544" i="2"/>
  <c r="E10543" i="2"/>
  <c r="D10543" i="2"/>
  <c r="C10543" i="2"/>
  <c r="B10543" i="2"/>
  <c r="A10543" i="2"/>
  <c r="E10542" i="2"/>
  <c r="D10542" i="2"/>
  <c r="C10542" i="2"/>
  <c r="B10542" i="2"/>
  <c r="A10542" i="2"/>
  <c r="E10541" i="2"/>
  <c r="D10541" i="2"/>
  <c r="C10541" i="2"/>
  <c r="B10541" i="2"/>
  <c r="A10541" i="2"/>
  <c r="E10540" i="2"/>
  <c r="D10540" i="2"/>
  <c r="C10540" i="2"/>
  <c r="B10540" i="2"/>
  <c r="A10540" i="2"/>
  <c r="E10539" i="2"/>
  <c r="D10539" i="2"/>
  <c r="C10539" i="2"/>
  <c r="B10539" i="2"/>
  <c r="A10539" i="2"/>
  <c r="E10538" i="2"/>
  <c r="D10538" i="2"/>
  <c r="C10538" i="2"/>
  <c r="B10538" i="2"/>
  <c r="A10538" i="2"/>
  <c r="E10537" i="2"/>
  <c r="D10537" i="2"/>
  <c r="C10537" i="2"/>
  <c r="B10537" i="2"/>
  <c r="A10537" i="2"/>
  <c r="E10536" i="2"/>
  <c r="D10536" i="2"/>
  <c r="C10536" i="2"/>
  <c r="B10536" i="2"/>
  <c r="A10536" i="2"/>
  <c r="E10535" i="2"/>
  <c r="D10535" i="2"/>
  <c r="C10535" i="2"/>
  <c r="B10535" i="2"/>
  <c r="A10535" i="2"/>
  <c r="E10534" i="2"/>
  <c r="D10534" i="2"/>
  <c r="C10534" i="2"/>
  <c r="B10534" i="2"/>
  <c r="A10534" i="2"/>
  <c r="E10533" i="2"/>
  <c r="D10533" i="2"/>
  <c r="C10533" i="2"/>
  <c r="B10533" i="2"/>
  <c r="A10533" i="2"/>
  <c r="E10532" i="2"/>
  <c r="D10532" i="2"/>
  <c r="C10532" i="2"/>
  <c r="B10532" i="2"/>
  <c r="A10532" i="2"/>
  <c r="E10531" i="2"/>
  <c r="D10531" i="2"/>
  <c r="C10531" i="2"/>
  <c r="B10531" i="2"/>
  <c r="A10531" i="2"/>
  <c r="E10530" i="2"/>
  <c r="D10530" i="2"/>
  <c r="C10530" i="2"/>
  <c r="B10530" i="2"/>
  <c r="A10530" i="2"/>
  <c r="E10529" i="2"/>
  <c r="D10529" i="2"/>
  <c r="C10529" i="2"/>
  <c r="B10529" i="2"/>
  <c r="A10529" i="2"/>
  <c r="E10528" i="2"/>
  <c r="D10528" i="2"/>
  <c r="C10528" i="2"/>
  <c r="B10528" i="2"/>
  <c r="A10528" i="2"/>
  <c r="E10527" i="2"/>
  <c r="D10527" i="2"/>
  <c r="C10527" i="2"/>
  <c r="B10527" i="2"/>
  <c r="A10527" i="2"/>
  <c r="E10526" i="2"/>
  <c r="D10526" i="2"/>
  <c r="C10526" i="2"/>
  <c r="B10526" i="2"/>
  <c r="A10526" i="2"/>
  <c r="E10525" i="2"/>
  <c r="D10525" i="2"/>
  <c r="C10525" i="2"/>
  <c r="B10525" i="2"/>
  <c r="A10525" i="2"/>
  <c r="E10524" i="2"/>
  <c r="D10524" i="2"/>
  <c r="C10524" i="2"/>
  <c r="B10524" i="2"/>
  <c r="A10524" i="2"/>
  <c r="E10523" i="2"/>
  <c r="D10523" i="2"/>
  <c r="C10523" i="2"/>
  <c r="B10523" i="2"/>
  <c r="A10523" i="2"/>
  <c r="E10522" i="2"/>
  <c r="D10522" i="2"/>
  <c r="C10522" i="2"/>
  <c r="B10522" i="2"/>
  <c r="A10522" i="2"/>
  <c r="E10521" i="2"/>
  <c r="D10521" i="2"/>
  <c r="C10521" i="2"/>
  <c r="B10521" i="2"/>
  <c r="A10521" i="2"/>
  <c r="E10520" i="2"/>
  <c r="D10520" i="2"/>
  <c r="C10520" i="2"/>
  <c r="B10520" i="2"/>
  <c r="A10520" i="2"/>
  <c r="E10519" i="2"/>
  <c r="D10519" i="2"/>
  <c r="C10519" i="2"/>
  <c r="B10519" i="2"/>
  <c r="A10519" i="2"/>
  <c r="E10518" i="2"/>
  <c r="D10518" i="2"/>
  <c r="C10518" i="2"/>
  <c r="B10518" i="2"/>
  <c r="A10518" i="2"/>
  <c r="E10517" i="2"/>
  <c r="D10517" i="2"/>
  <c r="C10517" i="2"/>
  <c r="B10517" i="2"/>
  <c r="A10517" i="2"/>
  <c r="E10516" i="2"/>
  <c r="D10516" i="2"/>
  <c r="C10516" i="2"/>
  <c r="B10516" i="2"/>
  <c r="A10516" i="2"/>
  <c r="E10515" i="2"/>
  <c r="D10515" i="2"/>
  <c r="C10515" i="2"/>
  <c r="B10515" i="2"/>
  <c r="A10515" i="2"/>
  <c r="E10514" i="2"/>
  <c r="D10514" i="2"/>
  <c r="C10514" i="2"/>
  <c r="B10514" i="2"/>
  <c r="A10514" i="2"/>
  <c r="E10513" i="2"/>
  <c r="D10513" i="2"/>
  <c r="C10513" i="2"/>
  <c r="B10513" i="2"/>
  <c r="A10513" i="2"/>
  <c r="E10512" i="2"/>
  <c r="D10512" i="2"/>
  <c r="C10512" i="2"/>
  <c r="B10512" i="2"/>
  <c r="A10512" i="2"/>
  <c r="E10511" i="2"/>
  <c r="D10511" i="2"/>
  <c r="C10511" i="2"/>
  <c r="B10511" i="2"/>
  <c r="A10511" i="2"/>
  <c r="E10510" i="2"/>
  <c r="D10510" i="2"/>
  <c r="C10510" i="2"/>
  <c r="B10510" i="2"/>
  <c r="A10510" i="2"/>
  <c r="E10509" i="2"/>
  <c r="D10509" i="2"/>
  <c r="C10509" i="2"/>
  <c r="B10509" i="2"/>
  <c r="A10509" i="2"/>
  <c r="E10508" i="2"/>
  <c r="D10508" i="2"/>
  <c r="C10508" i="2"/>
  <c r="B10508" i="2"/>
  <c r="A10508" i="2"/>
  <c r="E10507" i="2"/>
  <c r="D10507" i="2"/>
  <c r="C10507" i="2"/>
  <c r="B10507" i="2"/>
  <c r="A10507" i="2"/>
  <c r="E10506" i="2"/>
  <c r="D10506" i="2"/>
  <c r="C10506" i="2"/>
  <c r="B10506" i="2"/>
  <c r="A10506" i="2"/>
  <c r="E10505" i="2"/>
  <c r="D10505" i="2"/>
  <c r="C10505" i="2"/>
  <c r="B10505" i="2"/>
  <c r="A10505" i="2"/>
  <c r="E10504" i="2"/>
  <c r="D10504" i="2"/>
  <c r="C10504" i="2"/>
  <c r="B10504" i="2"/>
  <c r="A10504" i="2"/>
  <c r="E10503" i="2"/>
  <c r="D10503" i="2"/>
  <c r="C10503" i="2"/>
  <c r="B10503" i="2"/>
  <c r="A10503" i="2"/>
  <c r="E10502" i="2"/>
  <c r="D10502" i="2"/>
  <c r="C10502" i="2"/>
  <c r="B10502" i="2"/>
  <c r="A10502" i="2"/>
  <c r="E10501" i="2"/>
  <c r="D10501" i="2"/>
  <c r="C10501" i="2"/>
  <c r="B10501" i="2"/>
  <c r="A10501" i="2"/>
  <c r="E10500" i="2"/>
  <c r="D10500" i="2"/>
  <c r="C10500" i="2"/>
  <c r="B10500" i="2"/>
  <c r="A10500" i="2"/>
  <c r="E10499" i="2"/>
  <c r="D10499" i="2"/>
  <c r="C10499" i="2"/>
  <c r="B10499" i="2"/>
  <c r="A10499" i="2"/>
  <c r="E10498" i="2"/>
  <c r="D10498" i="2"/>
  <c r="C10498" i="2"/>
  <c r="B10498" i="2"/>
  <c r="A10498" i="2"/>
  <c r="E10497" i="2"/>
  <c r="D10497" i="2"/>
  <c r="C10497" i="2"/>
  <c r="B10497" i="2"/>
  <c r="A10497" i="2"/>
  <c r="E10496" i="2"/>
  <c r="D10496" i="2"/>
  <c r="C10496" i="2"/>
  <c r="B10496" i="2"/>
  <c r="A10496" i="2"/>
  <c r="E10495" i="2"/>
  <c r="D10495" i="2"/>
  <c r="C10495" i="2"/>
  <c r="B10495" i="2"/>
  <c r="A10495" i="2"/>
  <c r="E10494" i="2"/>
  <c r="D10494" i="2"/>
  <c r="C10494" i="2"/>
  <c r="B10494" i="2"/>
  <c r="A10494" i="2"/>
  <c r="E10493" i="2"/>
  <c r="D10493" i="2"/>
  <c r="C10493" i="2"/>
  <c r="B10493" i="2"/>
  <c r="A10493" i="2"/>
  <c r="E10492" i="2"/>
  <c r="D10492" i="2"/>
  <c r="C10492" i="2"/>
  <c r="B10492" i="2"/>
  <c r="A10492" i="2"/>
  <c r="E10491" i="2"/>
  <c r="D10491" i="2"/>
  <c r="C10491" i="2"/>
  <c r="B10491" i="2"/>
  <c r="A10491" i="2"/>
  <c r="E10490" i="2"/>
  <c r="D10490" i="2"/>
  <c r="C10490" i="2"/>
  <c r="B10490" i="2"/>
  <c r="A10490" i="2"/>
  <c r="E10489" i="2"/>
  <c r="D10489" i="2"/>
  <c r="C10489" i="2"/>
  <c r="B10489" i="2"/>
  <c r="A10489" i="2"/>
  <c r="E10488" i="2"/>
  <c r="D10488" i="2"/>
  <c r="C10488" i="2"/>
  <c r="B10488" i="2"/>
  <c r="A10488" i="2"/>
  <c r="E10487" i="2"/>
  <c r="D10487" i="2"/>
  <c r="C10487" i="2"/>
  <c r="B10487" i="2"/>
  <c r="A10487" i="2"/>
  <c r="E10486" i="2"/>
  <c r="D10486" i="2"/>
  <c r="C10486" i="2"/>
  <c r="B10486" i="2"/>
  <c r="A10486" i="2"/>
  <c r="E10485" i="2"/>
  <c r="D10485" i="2"/>
  <c r="C10485" i="2"/>
  <c r="B10485" i="2"/>
  <c r="A10485" i="2"/>
  <c r="E10484" i="2"/>
  <c r="D10484" i="2"/>
  <c r="C10484" i="2"/>
  <c r="B10484" i="2"/>
  <c r="A10484" i="2"/>
  <c r="E10483" i="2"/>
  <c r="D10483" i="2"/>
  <c r="C10483" i="2"/>
  <c r="B10483" i="2"/>
  <c r="A10483" i="2"/>
  <c r="E10482" i="2"/>
  <c r="D10482" i="2"/>
  <c r="C10482" i="2"/>
  <c r="B10482" i="2"/>
  <c r="A10482" i="2"/>
  <c r="E10481" i="2"/>
  <c r="D10481" i="2"/>
  <c r="C10481" i="2"/>
  <c r="B10481" i="2"/>
  <c r="A10481" i="2"/>
  <c r="E10480" i="2"/>
  <c r="D10480" i="2"/>
  <c r="C10480" i="2"/>
  <c r="B10480" i="2"/>
  <c r="A10480" i="2"/>
  <c r="E10479" i="2"/>
  <c r="D10479" i="2"/>
  <c r="C10479" i="2"/>
  <c r="B10479" i="2"/>
  <c r="A10479" i="2"/>
  <c r="E10478" i="2"/>
  <c r="D10478" i="2"/>
  <c r="C10478" i="2"/>
  <c r="B10478" i="2"/>
  <c r="A10478" i="2"/>
  <c r="E10477" i="2"/>
  <c r="D10477" i="2"/>
  <c r="C10477" i="2"/>
  <c r="B10477" i="2"/>
  <c r="A10477" i="2"/>
  <c r="E10476" i="2"/>
  <c r="D10476" i="2"/>
  <c r="C10476" i="2"/>
  <c r="B10476" i="2"/>
  <c r="A10476" i="2"/>
  <c r="E10475" i="2"/>
  <c r="D10475" i="2"/>
  <c r="C10475" i="2"/>
  <c r="B10475" i="2"/>
  <c r="A10475" i="2"/>
  <c r="E10474" i="2"/>
  <c r="D10474" i="2"/>
  <c r="C10474" i="2"/>
  <c r="B10474" i="2"/>
  <c r="A10474" i="2"/>
  <c r="E10473" i="2"/>
  <c r="D10473" i="2"/>
  <c r="C10473" i="2"/>
  <c r="B10473" i="2"/>
  <c r="A10473" i="2"/>
  <c r="E10472" i="2"/>
  <c r="D10472" i="2"/>
  <c r="C10472" i="2"/>
  <c r="B10472" i="2"/>
  <c r="A10472" i="2"/>
  <c r="E10471" i="2"/>
  <c r="D10471" i="2"/>
  <c r="C10471" i="2"/>
  <c r="B10471" i="2"/>
  <c r="A10471" i="2"/>
  <c r="E10470" i="2"/>
  <c r="D10470" i="2"/>
  <c r="C10470" i="2"/>
  <c r="B10470" i="2"/>
  <c r="A10470" i="2"/>
  <c r="E10469" i="2"/>
  <c r="D10469" i="2"/>
  <c r="C10469" i="2"/>
  <c r="B10469" i="2"/>
  <c r="A10469" i="2"/>
  <c r="E10468" i="2"/>
  <c r="D10468" i="2"/>
  <c r="C10468" i="2"/>
  <c r="B10468" i="2"/>
  <c r="A10468" i="2"/>
  <c r="E10467" i="2"/>
  <c r="D10467" i="2"/>
  <c r="C10467" i="2"/>
  <c r="B10467" i="2"/>
  <c r="A10467" i="2"/>
  <c r="E10466" i="2"/>
  <c r="D10466" i="2"/>
  <c r="C10466" i="2"/>
  <c r="B10466" i="2"/>
  <c r="A10466" i="2"/>
  <c r="E10465" i="2"/>
  <c r="D10465" i="2"/>
  <c r="C10465" i="2"/>
  <c r="B10465" i="2"/>
  <c r="A10465" i="2"/>
  <c r="E10464" i="2"/>
  <c r="D10464" i="2"/>
  <c r="C10464" i="2"/>
  <c r="B10464" i="2"/>
  <c r="A10464" i="2"/>
  <c r="E10463" i="2"/>
  <c r="D10463" i="2"/>
  <c r="C10463" i="2"/>
  <c r="B10463" i="2"/>
  <c r="A10463" i="2"/>
  <c r="E10462" i="2"/>
  <c r="D10462" i="2"/>
  <c r="C10462" i="2"/>
  <c r="B10462" i="2"/>
  <c r="A10462" i="2"/>
  <c r="E10461" i="2"/>
  <c r="D10461" i="2"/>
  <c r="C10461" i="2"/>
  <c r="B10461" i="2"/>
  <c r="A10461" i="2"/>
  <c r="E10460" i="2"/>
  <c r="D10460" i="2"/>
  <c r="C10460" i="2"/>
  <c r="B10460" i="2"/>
  <c r="A10460" i="2"/>
  <c r="E10459" i="2"/>
  <c r="D10459" i="2"/>
  <c r="C10459" i="2"/>
  <c r="B10459" i="2"/>
  <c r="A10459" i="2"/>
  <c r="E10458" i="2"/>
  <c r="D10458" i="2"/>
  <c r="C10458" i="2"/>
  <c r="B10458" i="2"/>
  <c r="A10458" i="2"/>
  <c r="E10457" i="2"/>
  <c r="D10457" i="2"/>
  <c r="C10457" i="2"/>
  <c r="B10457" i="2"/>
  <c r="A10457" i="2"/>
  <c r="E10456" i="2"/>
  <c r="D10456" i="2"/>
  <c r="C10456" i="2"/>
  <c r="B10456" i="2"/>
  <c r="A10456" i="2"/>
  <c r="E10455" i="2"/>
  <c r="D10455" i="2"/>
  <c r="C10455" i="2"/>
  <c r="B10455" i="2"/>
  <c r="A10455" i="2"/>
  <c r="E10454" i="2"/>
  <c r="D10454" i="2"/>
  <c r="C10454" i="2"/>
  <c r="B10454" i="2"/>
  <c r="A10454" i="2"/>
  <c r="E10453" i="2"/>
  <c r="D10453" i="2"/>
  <c r="C10453" i="2"/>
  <c r="B10453" i="2"/>
  <c r="A10453" i="2"/>
  <c r="E10452" i="2"/>
  <c r="D10452" i="2"/>
  <c r="C10452" i="2"/>
  <c r="B10452" i="2"/>
  <c r="A10452" i="2"/>
  <c r="E10451" i="2"/>
  <c r="D10451" i="2"/>
  <c r="C10451" i="2"/>
  <c r="B10451" i="2"/>
  <c r="A10451" i="2"/>
  <c r="E10450" i="2"/>
  <c r="D10450" i="2"/>
  <c r="C10450" i="2"/>
  <c r="B10450" i="2"/>
  <c r="A10450" i="2"/>
  <c r="E10449" i="2"/>
  <c r="D10449" i="2"/>
  <c r="C10449" i="2"/>
  <c r="B10449" i="2"/>
  <c r="A10449" i="2"/>
  <c r="E10448" i="2"/>
  <c r="D10448" i="2"/>
  <c r="C10448" i="2"/>
  <c r="B10448" i="2"/>
  <c r="A10448" i="2"/>
  <c r="E10447" i="2"/>
  <c r="D10447" i="2"/>
  <c r="C10447" i="2"/>
  <c r="B10447" i="2"/>
  <c r="A10447" i="2"/>
  <c r="E10446" i="2"/>
  <c r="D10446" i="2"/>
  <c r="C10446" i="2"/>
  <c r="B10446" i="2"/>
  <c r="A10446" i="2"/>
  <c r="E10445" i="2"/>
  <c r="D10445" i="2"/>
  <c r="C10445" i="2"/>
  <c r="B10445" i="2"/>
  <c r="A10445" i="2"/>
  <c r="E10444" i="2"/>
  <c r="D10444" i="2"/>
  <c r="C10444" i="2"/>
  <c r="B10444" i="2"/>
  <c r="A10444" i="2"/>
  <c r="E10443" i="2"/>
  <c r="D10443" i="2"/>
  <c r="C10443" i="2"/>
  <c r="B10443" i="2"/>
  <c r="A10443" i="2"/>
  <c r="E10442" i="2"/>
  <c r="D10442" i="2"/>
  <c r="C10442" i="2"/>
  <c r="B10442" i="2"/>
  <c r="A10442" i="2"/>
  <c r="E10441" i="2"/>
  <c r="D10441" i="2"/>
  <c r="C10441" i="2"/>
  <c r="B10441" i="2"/>
  <c r="A10441" i="2"/>
  <c r="E10440" i="2"/>
  <c r="D10440" i="2"/>
  <c r="C10440" i="2"/>
  <c r="B10440" i="2"/>
  <c r="A10440" i="2"/>
  <c r="E10439" i="2"/>
  <c r="D10439" i="2"/>
  <c r="C10439" i="2"/>
  <c r="B10439" i="2"/>
  <c r="A10439" i="2"/>
  <c r="E10438" i="2"/>
  <c r="D10438" i="2"/>
  <c r="C10438" i="2"/>
  <c r="B10438" i="2"/>
  <c r="A10438" i="2"/>
  <c r="E10437" i="2"/>
  <c r="D10437" i="2"/>
  <c r="C10437" i="2"/>
  <c r="B10437" i="2"/>
  <c r="A10437" i="2"/>
  <c r="E10436" i="2"/>
  <c r="D10436" i="2"/>
  <c r="C10436" i="2"/>
  <c r="B10436" i="2"/>
  <c r="A10436" i="2"/>
  <c r="E10435" i="2"/>
  <c r="D10435" i="2"/>
  <c r="C10435" i="2"/>
  <c r="B10435" i="2"/>
  <c r="A10435" i="2"/>
  <c r="E10434" i="2"/>
  <c r="D10434" i="2"/>
  <c r="C10434" i="2"/>
  <c r="B10434" i="2"/>
  <c r="A10434" i="2"/>
  <c r="E10433" i="2"/>
  <c r="D10433" i="2"/>
  <c r="C10433" i="2"/>
  <c r="B10433" i="2"/>
  <c r="A10433" i="2"/>
  <c r="E10432" i="2"/>
  <c r="D10432" i="2"/>
  <c r="C10432" i="2"/>
  <c r="B10432" i="2"/>
  <c r="A10432" i="2"/>
  <c r="E10431" i="2"/>
  <c r="D10431" i="2"/>
  <c r="C10431" i="2"/>
  <c r="B10431" i="2"/>
  <c r="A10431" i="2"/>
  <c r="E10430" i="2"/>
  <c r="D10430" i="2"/>
  <c r="C10430" i="2"/>
  <c r="B10430" i="2"/>
  <c r="A10430" i="2"/>
  <c r="E10429" i="2"/>
  <c r="D10429" i="2"/>
  <c r="C10429" i="2"/>
  <c r="B10429" i="2"/>
  <c r="A10429" i="2"/>
  <c r="E10428" i="2"/>
  <c r="D10428" i="2"/>
  <c r="C10428" i="2"/>
  <c r="B10428" i="2"/>
  <c r="A10428" i="2"/>
  <c r="E10427" i="2"/>
  <c r="D10427" i="2"/>
  <c r="C10427" i="2"/>
  <c r="B10427" i="2"/>
  <c r="A10427" i="2"/>
  <c r="E10426" i="2"/>
  <c r="D10426" i="2"/>
  <c r="C10426" i="2"/>
  <c r="B10426" i="2"/>
  <c r="A10426" i="2"/>
  <c r="E10425" i="2"/>
  <c r="D10425" i="2"/>
  <c r="C10425" i="2"/>
  <c r="B10425" i="2"/>
  <c r="A10425" i="2"/>
  <c r="E10424" i="2"/>
  <c r="D10424" i="2"/>
  <c r="C10424" i="2"/>
  <c r="B10424" i="2"/>
  <c r="A10424" i="2"/>
  <c r="E10423" i="2"/>
  <c r="D10423" i="2"/>
  <c r="C10423" i="2"/>
  <c r="B10423" i="2"/>
  <c r="A10423" i="2"/>
  <c r="E10422" i="2"/>
  <c r="D10422" i="2"/>
  <c r="C10422" i="2"/>
  <c r="B10422" i="2"/>
  <c r="A10422" i="2"/>
  <c r="E10421" i="2"/>
  <c r="D10421" i="2"/>
  <c r="C10421" i="2"/>
  <c r="B10421" i="2"/>
  <c r="A10421" i="2"/>
  <c r="E10420" i="2"/>
  <c r="D10420" i="2"/>
  <c r="C10420" i="2"/>
  <c r="B10420" i="2"/>
  <c r="A10420" i="2"/>
  <c r="E10419" i="2"/>
  <c r="D10419" i="2"/>
  <c r="C10419" i="2"/>
  <c r="B10419" i="2"/>
  <c r="A10419" i="2"/>
  <c r="E10418" i="2"/>
  <c r="D10418" i="2"/>
  <c r="C10418" i="2"/>
  <c r="B10418" i="2"/>
  <c r="A10418" i="2"/>
  <c r="E10417" i="2"/>
  <c r="D10417" i="2"/>
  <c r="C10417" i="2"/>
  <c r="B10417" i="2"/>
  <c r="A10417" i="2"/>
  <c r="E10416" i="2"/>
  <c r="D10416" i="2"/>
  <c r="C10416" i="2"/>
  <c r="B10416" i="2"/>
  <c r="A10416" i="2"/>
  <c r="E10415" i="2"/>
  <c r="D10415" i="2"/>
  <c r="C10415" i="2"/>
  <c r="B10415" i="2"/>
  <c r="A10415" i="2"/>
  <c r="E10414" i="2"/>
  <c r="D10414" i="2"/>
  <c r="C10414" i="2"/>
  <c r="B10414" i="2"/>
  <c r="A10414" i="2"/>
  <c r="E10413" i="2"/>
  <c r="D10413" i="2"/>
  <c r="C10413" i="2"/>
  <c r="B10413" i="2"/>
  <c r="A10413" i="2"/>
  <c r="E10412" i="2"/>
  <c r="D10412" i="2"/>
  <c r="C10412" i="2"/>
  <c r="B10412" i="2"/>
  <c r="A10412" i="2"/>
  <c r="E10411" i="2"/>
  <c r="D10411" i="2"/>
  <c r="C10411" i="2"/>
  <c r="B10411" i="2"/>
  <c r="A10411" i="2"/>
  <c r="E10410" i="2"/>
  <c r="D10410" i="2"/>
  <c r="C10410" i="2"/>
  <c r="B10410" i="2"/>
  <c r="A10410" i="2"/>
  <c r="E10409" i="2"/>
  <c r="D10409" i="2"/>
  <c r="C10409" i="2"/>
  <c r="B10409" i="2"/>
  <c r="A10409" i="2"/>
  <c r="E10408" i="2"/>
  <c r="D10408" i="2"/>
  <c r="C10408" i="2"/>
  <c r="B10408" i="2"/>
  <c r="A10408" i="2"/>
  <c r="E10407" i="2"/>
  <c r="D10407" i="2"/>
  <c r="C10407" i="2"/>
  <c r="B10407" i="2"/>
  <c r="A10407" i="2"/>
  <c r="E10406" i="2"/>
  <c r="D10406" i="2"/>
  <c r="C10406" i="2"/>
  <c r="B10406" i="2"/>
  <c r="A10406" i="2"/>
  <c r="E10405" i="2"/>
  <c r="D10405" i="2"/>
  <c r="C10405" i="2"/>
  <c r="B10405" i="2"/>
  <c r="A10405" i="2"/>
  <c r="E10404" i="2"/>
  <c r="D10404" i="2"/>
  <c r="C10404" i="2"/>
  <c r="B10404" i="2"/>
  <c r="A10404" i="2"/>
  <c r="E10403" i="2"/>
  <c r="D10403" i="2"/>
  <c r="C10403" i="2"/>
  <c r="B10403" i="2"/>
  <c r="A10403" i="2"/>
  <c r="E10402" i="2"/>
  <c r="D10402" i="2"/>
  <c r="C10402" i="2"/>
  <c r="B10402" i="2"/>
  <c r="A10402" i="2"/>
  <c r="E10401" i="2"/>
  <c r="D10401" i="2"/>
  <c r="C10401" i="2"/>
  <c r="B10401" i="2"/>
  <c r="A10401" i="2"/>
  <c r="E10400" i="2"/>
  <c r="D10400" i="2"/>
  <c r="C10400" i="2"/>
  <c r="B10400" i="2"/>
  <c r="A10400" i="2"/>
  <c r="E10399" i="2"/>
  <c r="D10399" i="2"/>
  <c r="C10399" i="2"/>
  <c r="B10399" i="2"/>
  <c r="A10399" i="2"/>
  <c r="E10398" i="2"/>
  <c r="D10398" i="2"/>
  <c r="C10398" i="2"/>
  <c r="B10398" i="2"/>
  <c r="A10398" i="2"/>
  <c r="E10397" i="2"/>
  <c r="D10397" i="2"/>
  <c r="C10397" i="2"/>
  <c r="B10397" i="2"/>
  <c r="A10397" i="2"/>
  <c r="E10396" i="2"/>
  <c r="D10396" i="2"/>
  <c r="C10396" i="2"/>
  <c r="B10396" i="2"/>
  <c r="A10396" i="2"/>
  <c r="E10395" i="2"/>
  <c r="D10395" i="2"/>
  <c r="C10395" i="2"/>
  <c r="B10395" i="2"/>
  <c r="A10395" i="2"/>
  <c r="E10394" i="2"/>
  <c r="D10394" i="2"/>
  <c r="C10394" i="2"/>
  <c r="B10394" i="2"/>
  <c r="A10394" i="2"/>
  <c r="E10393" i="2"/>
  <c r="D10393" i="2"/>
  <c r="C10393" i="2"/>
  <c r="B10393" i="2"/>
  <c r="A10393" i="2"/>
  <c r="E10392" i="2"/>
  <c r="D10392" i="2"/>
  <c r="C10392" i="2"/>
  <c r="B10392" i="2"/>
  <c r="A10392" i="2"/>
  <c r="E10391" i="2"/>
  <c r="D10391" i="2"/>
  <c r="C10391" i="2"/>
  <c r="B10391" i="2"/>
  <c r="A10391" i="2"/>
  <c r="E10390" i="2"/>
  <c r="D10390" i="2"/>
  <c r="C10390" i="2"/>
  <c r="B10390" i="2"/>
  <c r="A10390" i="2"/>
  <c r="E10389" i="2"/>
  <c r="D10389" i="2"/>
  <c r="C10389" i="2"/>
  <c r="B10389" i="2"/>
  <c r="A10389" i="2"/>
  <c r="E10388" i="2"/>
  <c r="D10388" i="2"/>
  <c r="C10388" i="2"/>
  <c r="B10388" i="2"/>
  <c r="A10388" i="2"/>
  <c r="E10387" i="2"/>
  <c r="D10387" i="2"/>
  <c r="C10387" i="2"/>
  <c r="B10387" i="2"/>
  <c r="A10387" i="2"/>
  <c r="E10386" i="2"/>
  <c r="D10386" i="2"/>
  <c r="C10386" i="2"/>
  <c r="B10386" i="2"/>
  <c r="A10386" i="2"/>
  <c r="E10385" i="2"/>
  <c r="D10385" i="2"/>
  <c r="C10385" i="2"/>
  <c r="B10385" i="2"/>
  <c r="A10385" i="2"/>
  <c r="E10384" i="2"/>
  <c r="D10384" i="2"/>
  <c r="C10384" i="2"/>
  <c r="B10384" i="2"/>
  <c r="A10384" i="2"/>
  <c r="E10383" i="2"/>
  <c r="D10383" i="2"/>
  <c r="C10383" i="2"/>
  <c r="B10383" i="2"/>
  <c r="A10383" i="2"/>
  <c r="E10382" i="2"/>
  <c r="D10382" i="2"/>
  <c r="C10382" i="2"/>
  <c r="B10382" i="2"/>
  <c r="A10382" i="2"/>
  <c r="E10381" i="2"/>
  <c r="D10381" i="2"/>
  <c r="C10381" i="2"/>
  <c r="B10381" i="2"/>
  <c r="A10381" i="2"/>
  <c r="E10380" i="2"/>
  <c r="D10380" i="2"/>
  <c r="C10380" i="2"/>
  <c r="B10380" i="2"/>
  <c r="A10380" i="2"/>
  <c r="E10379" i="2"/>
  <c r="D10379" i="2"/>
  <c r="C10379" i="2"/>
  <c r="B10379" i="2"/>
  <c r="A10379" i="2"/>
  <c r="E10378" i="2"/>
  <c r="D10378" i="2"/>
  <c r="C10378" i="2"/>
  <c r="B10378" i="2"/>
  <c r="A10378" i="2"/>
  <c r="E10377" i="2"/>
  <c r="D10377" i="2"/>
  <c r="C10377" i="2"/>
  <c r="B10377" i="2"/>
  <c r="A10377" i="2"/>
  <c r="E10376" i="2"/>
  <c r="D10376" i="2"/>
  <c r="C10376" i="2"/>
  <c r="B10376" i="2"/>
  <c r="A10376" i="2"/>
  <c r="E10375" i="2"/>
  <c r="D10375" i="2"/>
  <c r="C10375" i="2"/>
  <c r="B10375" i="2"/>
  <c r="A10375" i="2"/>
  <c r="E10374" i="2"/>
  <c r="D10374" i="2"/>
  <c r="C10374" i="2"/>
  <c r="B10374" i="2"/>
  <c r="A10374" i="2"/>
  <c r="E10373" i="2"/>
  <c r="D10373" i="2"/>
  <c r="C10373" i="2"/>
  <c r="B10373" i="2"/>
  <c r="A10373" i="2"/>
  <c r="E10372" i="2"/>
  <c r="D10372" i="2"/>
  <c r="C10372" i="2"/>
  <c r="B10372" i="2"/>
  <c r="A10372" i="2"/>
  <c r="E10371" i="2"/>
  <c r="D10371" i="2"/>
  <c r="C10371" i="2"/>
  <c r="B10371" i="2"/>
  <c r="A10371" i="2"/>
  <c r="E10370" i="2"/>
  <c r="D10370" i="2"/>
  <c r="C10370" i="2"/>
  <c r="B10370" i="2"/>
  <c r="A10370" i="2"/>
  <c r="E10369" i="2"/>
  <c r="D10369" i="2"/>
  <c r="C10369" i="2"/>
  <c r="B10369" i="2"/>
  <c r="A10369" i="2"/>
  <c r="E10368" i="2"/>
  <c r="D10368" i="2"/>
  <c r="C10368" i="2"/>
  <c r="B10368" i="2"/>
  <c r="A10368" i="2"/>
  <c r="E10367" i="2"/>
  <c r="D10367" i="2"/>
  <c r="C10367" i="2"/>
  <c r="B10367" i="2"/>
  <c r="A10367" i="2"/>
  <c r="E10366" i="2"/>
  <c r="D10366" i="2"/>
  <c r="C10366" i="2"/>
  <c r="B10366" i="2"/>
  <c r="A10366" i="2"/>
  <c r="E10365" i="2"/>
  <c r="D10365" i="2"/>
  <c r="C10365" i="2"/>
  <c r="B10365" i="2"/>
  <c r="A10365" i="2"/>
  <c r="E10364" i="2"/>
  <c r="D10364" i="2"/>
  <c r="C10364" i="2"/>
  <c r="B10364" i="2"/>
  <c r="A10364" i="2"/>
  <c r="E10363" i="2"/>
  <c r="D10363" i="2"/>
  <c r="C10363" i="2"/>
  <c r="B10363" i="2"/>
  <c r="A10363" i="2"/>
  <c r="E10362" i="2"/>
  <c r="D10362" i="2"/>
  <c r="C10362" i="2"/>
  <c r="B10362" i="2"/>
  <c r="A10362" i="2"/>
  <c r="E10361" i="2"/>
  <c r="D10361" i="2"/>
  <c r="C10361" i="2"/>
  <c r="B10361" i="2"/>
  <c r="A10361" i="2"/>
  <c r="E10360" i="2"/>
  <c r="D10360" i="2"/>
  <c r="C10360" i="2"/>
  <c r="B10360" i="2"/>
  <c r="A10360" i="2"/>
  <c r="E10359" i="2"/>
  <c r="D10359" i="2"/>
  <c r="C10359" i="2"/>
  <c r="B10359" i="2"/>
  <c r="A10359" i="2"/>
  <c r="E10358" i="2"/>
  <c r="D10358" i="2"/>
  <c r="C10358" i="2"/>
  <c r="B10358" i="2"/>
  <c r="A10358" i="2"/>
  <c r="E10357" i="2"/>
  <c r="D10357" i="2"/>
  <c r="C10357" i="2"/>
  <c r="B10357" i="2"/>
  <c r="A10357" i="2"/>
  <c r="E10356" i="2"/>
  <c r="D10356" i="2"/>
  <c r="C10356" i="2"/>
  <c r="B10356" i="2"/>
  <c r="A10356" i="2"/>
  <c r="E10355" i="2"/>
  <c r="D10355" i="2"/>
  <c r="C10355" i="2"/>
  <c r="B10355" i="2"/>
  <c r="A10355" i="2"/>
  <c r="E10354" i="2"/>
  <c r="D10354" i="2"/>
  <c r="C10354" i="2"/>
  <c r="B10354" i="2"/>
  <c r="A10354" i="2"/>
  <c r="E10353" i="2"/>
  <c r="D10353" i="2"/>
  <c r="C10353" i="2"/>
  <c r="B10353" i="2"/>
  <c r="A10353" i="2"/>
  <c r="E10352" i="2"/>
  <c r="D10352" i="2"/>
  <c r="C10352" i="2"/>
  <c r="B10352" i="2"/>
  <c r="A10352" i="2"/>
  <c r="E10351" i="2"/>
  <c r="D10351" i="2"/>
  <c r="C10351" i="2"/>
  <c r="B10351" i="2"/>
  <c r="A10351" i="2"/>
  <c r="E10350" i="2"/>
  <c r="D10350" i="2"/>
  <c r="C10350" i="2"/>
  <c r="B10350" i="2"/>
  <c r="A10350" i="2"/>
  <c r="E10349" i="2"/>
  <c r="D10349" i="2"/>
  <c r="C10349" i="2"/>
  <c r="B10349" i="2"/>
  <c r="A10349" i="2"/>
  <c r="E10348" i="2"/>
  <c r="D10348" i="2"/>
  <c r="C10348" i="2"/>
  <c r="B10348" i="2"/>
  <c r="A10348" i="2"/>
  <c r="E10347" i="2"/>
  <c r="D10347" i="2"/>
  <c r="C10347" i="2"/>
  <c r="B10347" i="2"/>
  <c r="A10347" i="2"/>
  <c r="E10346" i="2"/>
  <c r="D10346" i="2"/>
  <c r="C10346" i="2"/>
  <c r="B10346" i="2"/>
  <c r="A10346" i="2"/>
  <c r="E10345" i="2"/>
  <c r="D10345" i="2"/>
  <c r="C10345" i="2"/>
  <c r="B10345" i="2"/>
  <c r="A10345" i="2"/>
  <c r="E10344" i="2"/>
  <c r="D10344" i="2"/>
  <c r="C10344" i="2"/>
  <c r="B10344" i="2"/>
  <c r="A10344" i="2"/>
  <c r="E10343" i="2"/>
  <c r="D10343" i="2"/>
  <c r="C10343" i="2"/>
  <c r="B10343" i="2"/>
  <c r="A10343" i="2"/>
  <c r="E10342" i="2"/>
  <c r="D10342" i="2"/>
  <c r="C10342" i="2"/>
  <c r="B10342" i="2"/>
  <c r="A10342" i="2"/>
  <c r="E10341" i="2"/>
  <c r="D10341" i="2"/>
  <c r="C10341" i="2"/>
  <c r="B10341" i="2"/>
  <c r="A10341" i="2"/>
  <c r="E10340" i="2"/>
  <c r="D10340" i="2"/>
  <c r="C10340" i="2"/>
  <c r="B10340" i="2"/>
  <c r="A10340" i="2"/>
  <c r="E10339" i="2"/>
  <c r="D10339" i="2"/>
  <c r="C10339" i="2"/>
  <c r="B10339" i="2"/>
  <c r="A10339" i="2"/>
  <c r="E10338" i="2"/>
  <c r="D10338" i="2"/>
  <c r="C10338" i="2"/>
  <c r="B10338" i="2"/>
  <c r="A10338" i="2"/>
  <c r="E10337" i="2"/>
  <c r="D10337" i="2"/>
  <c r="C10337" i="2"/>
  <c r="B10337" i="2"/>
  <c r="A10337" i="2"/>
  <c r="E10336" i="2"/>
  <c r="D10336" i="2"/>
  <c r="C10336" i="2"/>
  <c r="B10336" i="2"/>
  <c r="A10336" i="2"/>
  <c r="E10335" i="2"/>
  <c r="D10335" i="2"/>
  <c r="C10335" i="2"/>
  <c r="B10335" i="2"/>
  <c r="A10335" i="2"/>
  <c r="E10334" i="2"/>
  <c r="D10334" i="2"/>
  <c r="C10334" i="2"/>
  <c r="B10334" i="2"/>
  <c r="A10334" i="2"/>
  <c r="E10333" i="2"/>
  <c r="D10333" i="2"/>
  <c r="C10333" i="2"/>
  <c r="B10333" i="2"/>
  <c r="A10333" i="2"/>
  <c r="E10332" i="2"/>
  <c r="D10332" i="2"/>
  <c r="C10332" i="2"/>
  <c r="B10332" i="2"/>
  <c r="A10332" i="2"/>
  <c r="E10331" i="2"/>
  <c r="D10331" i="2"/>
  <c r="C10331" i="2"/>
  <c r="B10331" i="2"/>
  <c r="A10331" i="2"/>
  <c r="E10330" i="2"/>
  <c r="D10330" i="2"/>
  <c r="C10330" i="2"/>
  <c r="B10330" i="2"/>
  <c r="A10330" i="2"/>
  <c r="E10329" i="2"/>
  <c r="D10329" i="2"/>
  <c r="C10329" i="2"/>
  <c r="B10329" i="2"/>
  <c r="A10329" i="2"/>
  <c r="E10328" i="2"/>
  <c r="D10328" i="2"/>
  <c r="C10328" i="2"/>
  <c r="B10328" i="2"/>
  <c r="A10328" i="2"/>
  <c r="E10327" i="2"/>
  <c r="D10327" i="2"/>
  <c r="C10327" i="2"/>
  <c r="B10327" i="2"/>
  <c r="A10327" i="2"/>
  <c r="E10326" i="2"/>
  <c r="D10326" i="2"/>
  <c r="C10326" i="2"/>
  <c r="B10326" i="2"/>
  <c r="A10326" i="2"/>
  <c r="E10325" i="2"/>
  <c r="D10325" i="2"/>
  <c r="C10325" i="2"/>
  <c r="B10325" i="2"/>
  <c r="A10325" i="2"/>
  <c r="E10324" i="2"/>
  <c r="D10324" i="2"/>
  <c r="C10324" i="2"/>
  <c r="B10324" i="2"/>
  <c r="A10324" i="2"/>
  <c r="E10323" i="2"/>
  <c r="D10323" i="2"/>
  <c r="C10323" i="2"/>
  <c r="B10323" i="2"/>
  <c r="A10323" i="2"/>
  <c r="E10322" i="2"/>
  <c r="D10322" i="2"/>
  <c r="C10322" i="2"/>
  <c r="B10322" i="2"/>
  <c r="A10322" i="2"/>
  <c r="E10321" i="2"/>
  <c r="D10321" i="2"/>
  <c r="C10321" i="2"/>
  <c r="B10321" i="2"/>
  <c r="A10321" i="2"/>
  <c r="E10320" i="2"/>
  <c r="D10320" i="2"/>
  <c r="C10320" i="2"/>
  <c r="B10320" i="2"/>
  <c r="A10320" i="2"/>
  <c r="E10319" i="2"/>
  <c r="D10319" i="2"/>
  <c r="C10319" i="2"/>
  <c r="B10319" i="2"/>
  <c r="A10319" i="2"/>
  <c r="E10318" i="2"/>
  <c r="D10318" i="2"/>
  <c r="C10318" i="2"/>
  <c r="B10318" i="2"/>
  <c r="A10318" i="2"/>
  <c r="E10317" i="2"/>
  <c r="D10317" i="2"/>
  <c r="C10317" i="2"/>
  <c r="B10317" i="2"/>
  <c r="A10317" i="2"/>
  <c r="E10316" i="2"/>
  <c r="D10316" i="2"/>
  <c r="C10316" i="2"/>
  <c r="B10316" i="2"/>
  <c r="A10316" i="2"/>
  <c r="E10315" i="2"/>
  <c r="D10315" i="2"/>
  <c r="C10315" i="2"/>
  <c r="B10315" i="2"/>
  <c r="A10315" i="2"/>
  <c r="E10314" i="2"/>
  <c r="D10314" i="2"/>
  <c r="C10314" i="2"/>
  <c r="B10314" i="2"/>
  <c r="A10314" i="2"/>
  <c r="E10313" i="2"/>
  <c r="D10313" i="2"/>
  <c r="C10313" i="2"/>
  <c r="B10313" i="2"/>
  <c r="A10313" i="2"/>
  <c r="E10312" i="2"/>
  <c r="D10312" i="2"/>
  <c r="C10312" i="2"/>
  <c r="B10312" i="2"/>
  <c r="A10312" i="2"/>
  <c r="E10311" i="2"/>
  <c r="D10311" i="2"/>
  <c r="C10311" i="2"/>
  <c r="B10311" i="2"/>
  <c r="A10311" i="2"/>
  <c r="E10310" i="2"/>
  <c r="D10310" i="2"/>
  <c r="C10310" i="2"/>
  <c r="B10310" i="2"/>
  <c r="A10310" i="2"/>
  <c r="E10309" i="2"/>
  <c r="D10309" i="2"/>
  <c r="C10309" i="2"/>
  <c r="B10309" i="2"/>
  <c r="A10309" i="2"/>
  <c r="E10308" i="2"/>
  <c r="D10308" i="2"/>
  <c r="C10308" i="2"/>
  <c r="B10308" i="2"/>
  <c r="A10308" i="2"/>
  <c r="E10307" i="2"/>
  <c r="D10307" i="2"/>
  <c r="C10307" i="2"/>
  <c r="B10307" i="2"/>
  <c r="A10307" i="2"/>
  <c r="E10306" i="2"/>
  <c r="D10306" i="2"/>
  <c r="C10306" i="2"/>
  <c r="B10306" i="2"/>
  <c r="A10306" i="2"/>
  <c r="E10305" i="2"/>
  <c r="D10305" i="2"/>
  <c r="C10305" i="2"/>
  <c r="B10305" i="2"/>
  <c r="A10305" i="2"/>
  <c r="E10304" i="2"/>
  <c r="D10304" i="2"/>
  <c r="C10304" i="2"/>
  <c r="B10304" i="2"/>
  <c r="A10304" i="2"/>
  <c r="E10303" i="2"/>
  <c r="D10303" i="2"/>
  <c r="C10303" i="2"/>
  <c r="B10303" i="2"/>
  <c r="A10303" i="2"/>
  <c r="E10302" i="2"/>
  <c r="D10302" i="2"/>
  <c r="C10302" i="2"/>
  <c r="B10302" i="2"/>
  <c r="A10302" i="2"/>
  <c r="E10301" i="2"/>
  <c r="D10301" i="2"/>
  <c r="C10301" i="2"/>
  <c r="B10301" i="2"/>
  <c r="A10301" i="2"/>
  <c r="E10300" i="2"/>
  <c r="D10300" i="2"/>
  <c r="C10300" i="2"/>
  <c r="B10300" i="2"/>
  <c r="A10300" i="2"/>
  <c r="E10299" i="2"/>
  <c r="D10299" i="2"/>
  <c r="C10299" i="2"/>
  <c r="B10299" i="2"/>
  <c r="A10299" i="2"/>
  <c r="E10298" i="2"/>
  <c r="D10298" i="2"/>
  <c r="C10298" i="2"/>
  <c r="B10298" i="2"/>
  <c r="A10298" i="2"/>
  <c r="E10297" i="2"/>
  <c r="D10297" i="2"/>
  <c r="C10297" i="2"/>
  <c r="B10297" i="2"/>
  <c r="A10297" i="2"/>
  <c r="E10296" i="2"/>
  <c r="D10296" i="2"/>
  <c r="C10296" i="2"/>
  <c r="B10296" i="2"/>
  <c r="A10296" i="2"/>
  <c r="E10295" i="2"/>
  <c r="D10295" i="2"/>
  <c r="C10295" i="2"/>
  <c r="B10295" i="2"/>
  <c r="A10295" i="2"/>
  <c r="E10294" i="2"/>
  <c r="D10294" i="2"/>
  <c r="C10294" i="2"/>
  <c r="B10294" i="2"/>
  <c r="A10294" i="2"/>
  <c r="E10293" i="2"/>
  <c r="D10293" i="2"/>
  <c r="C10293" i="2"/>
  <c r="B10293" i="2"/>
  <c r="A10293" i="2"/>
  <c r="E10292" i="2"/>
  <c r="D10292" i="2"/>
  <c r="C10292" i="2"/>
  <c r="B10292" i="2"/>
  <c r="A10292" i="2"/>
  <c r="E10291" i="2"/>
  <c r="D10291" i="2"/>
  <c r="C10291" i="2"/>
  <c r="B10291" i="2"/>
  <c r="A10291" i="2"/>
  <c r="E10290" i="2"/>
  <c r="D10290" i="2"/>
  <c r="C10290" i="2"/>
  <c r="B10290" i="2"/>
  <c r="A10290" i="2"/>
  <c r="E10289" i="2"/>
  <c r="D10289" i="2"/>
  <c r="C10289" i="2"/>
  <c r="B10289" i="2"/>
  <c r="A10289" i="2"/>
  <c r="E10288" i="2"/>
  <c r="D10288" i="2"/>
  <c r="C10288" i="2"/>
  <c r="B10288" i="2"/>
  <c r="A10288" i="2"/>
  <c r="E10287" i="2"/>
  <c r="D10287" i="2"/>
  <c r="C10287" i="2"/>
  <c r="B10287" i="2"/>
  <c r="A10287" i="2"/>
  <c r="E10286" i="2"/>
  <c r="D10286" i="2"/>
  <c r="C10286" i="2"/>
  <c r="B10286" i="2"/>
  <c r="A10286" i="2"/>
  <c r="E10285" i="2"/>
  <c r="D10285" i="2"/>
  <c r="C10285" i="2"/>
  <c r="B10285" i="2"/>
  <c r="A10285" i="2"/>
  <c r="E10284" i="2"/>
  <c r="D10284" i="2"/>
  <c r="C10284" i="2"/>
  <c r="B10284" i="2"/>
  <c r="A10284" i="2"/>
  <c r="E10283" i="2"/>
  <c r="D10283" i="2"/>
  <c r="C10283" i="2"/>
  <c r="B10283" i="2"/>
  <c r="A10283" i="2"/>
  <c r="E10282" i="2"/>
  <c r="D10282" i="2"/>
  <c r="C10282" i="2"/>
  <c r="B10282" i="2"/>
  <c r="A10282" i="2"/>
  <c r="E10281" i="2"/>
  <c r="D10281" i="2"/>
  <c r="C10281" i="2"/>
  <c r="B10281" i="2"/>
  <c r="A10281" i="2"/>
  <c r="E10280" i="2"/>
  <c r="D10280" i="2"/>
  <c r="C10280" i="2"/>
  <c r="B10280" i="2"/>
  <c r="A10280" i="2"/>
  <c r="E10279" i="2"/>
  <c r="D10279" i="2"/>
  <c r="C10279" i="2"/>
  <c r="B10279" i="2"/>
  <c r="A10279" i="2"/>
  <c r="E10278" i="2"/>
  <c r="D10278" i="2"/>
  <c r="C10278" i="2"/>
  <c r="B10278" i="2"/>
  <c r="A10278" i="2"/>
  <c r="E10277" i="2"/>
  <c r="D10277" i="2"/>
  <c r="C10277" i="2"/>
  <c r="B10277" i="2"/>
  <c r="A10277" i="2"/>
  <c r="E10276" i="2"/>
  <c r="D10276" i="2"/>
  <c r="C10276" i="2"/>
  <c r="B10276" i="2"/>
  <c r="A10276" i="2"/>
  <c r="E10275" i="2"/>
  <c r="D10275" i="2"/>
  <c r="C10275" i="2"/>
  <c r="B10275" i="2"/>
  <c r="A10275" i="2"/>
  <c r="E10274" i="2"/>
  <c r="D10274" i="2"/>
  <c r="C10274" i="2"/>
  <c r="B10274" i="2"/>
  <c r="A10274" i="2"/>
  <c r="E10273" i="2"/>
  <c r="D10273" i="2"/>
  <c r="C10273" i="2"/>
  <c r="B10273" i="2"/>
  <c r="A10273" i="2"/>
  <c r="E10272" i="2"/>
  <c r="D10272" i="2"/>
  <c r="C10272" i="2"/>
  <c r="B10272" i="2"/>
  <c r="A10272" i="2"/>
  <c r="E10271" i="2"/>
  <c r="D10271" i="2"/>
  <c r="C10271" i="2"/>
  <c r="B10271" i="2"/>
  <c r="A10271" i="2"/>
  <c r="E10270" i="2"/>
  <c r="D10270" i="2"/>
  <c r="C10270" i="2"/>
  <c r="B10270" i="2"/>
  <c r="A10270" i="2"/>
  <c r="E10269" i="2"/>
  <c r="D10269" i="2"/>
  <c r="C10269" i="2"/>
  <c r="B10269" i="2"/>
  <c r="A10269" i="2"/>
  <c r="E10268" i="2"/>
  <c r="D10268" i="2"/>
  <c r="C10268" i="2"/>
  <c r="B10268" i="2"/>
  <c r="A10268" i="2"/>
  <c r="E10267" i="2"/>
  <c r="D10267" i="2"/>
  <c r="C10267" i="2"/>
  <c r="B10267" i="2"/>
  <c r="A10267" i="2"/>
  <c r="E10266" i="2"/>
  <c r="D10266" i="2"/>
  <c r="C10266" i="2"/>
  <c r="B10266" i="2"/>
  <c r="A10266" i="2"/>
  <c r="E10265" i="2"/>
  <c r="D10265" i="2"/>
  <c r="C10265" i="2"/>
  <c r="B10265" i="2"/>
  <c r="A10265" i="2"/>
  <c r="E10264" i="2"/>
  <c r="D10264" i="2"/>
  <c r="C10264" i="2"/>
  <c r="B10264" i="2"/>
  <c r="A10264" i="2"/>
  <c r="E10263" i="2"/>
  <c r="D10263" i="2"/>
  <c r="C10263" i="2"/>
  <c r="B10263" i="2"/>
  <c r="A10263" i="2"/>
  <c r="E10262" i="2"/>
  <c r="D10262" i="2"/>
  <c r="C10262" i="2"/>
  <c r="B10262" i="2"/>
  <c r="A10262" i="2"/>
  <c r="E10261" i="2"/>
  <c r="D10261" i="2"/>
  <c r="C10261" i="2"/>
  <c r="B10261" i="2"/>
  <c r="A10261" i="2"/>
  <c r="E10260" i="2"/>
  <c r="D10260" i="2"/>
  <c r="C10260" i="2"/>
  <c r="B10260" i="2"/>
  <c r="A10260" i="2"/>
  <c r="E10259" i="2"/>
  <c r="D10259" i="2"/>
  <c r="C10259" i="2"/>
  <c r="B10259" i="2"/>
  <c r="A10259" i="2"/>
  <c r="E10258" i="2"/>
  <c r="D10258" i="2"/>
  <c r="C10258" i="2"/>
  <c r="B10258" i="2"/>
  <c r="A10258" i="2"/>
  <c r="E10257" i="2"/>
  <c r="D10257" i="2"/>
  <c r="C10257" i="2"/>
  <c r="B10257" i="2"/>
  <c r="A10257" i="2"/>
  <c r="E10256" i="2"/>
  <c r="D10256" i="2"/>
  <c r="C10256" i="2"/>
  <c r="B10256" i="2"/>
  <c r="A10256" i="2"/>
  <c r="E10255" i="2"/>
  <c r="D10255" i="2"/>
  <c r="C10255" i="2"/>
  <c r="B10255" i="2"/>
  <c r="A10255" i="2"/>
  <c r="E10254" i="2"/>
  <c r="D10254" i="2"/>
  <c r="C10254" i="2"/>
  <c r="B10254" i="2"/>
  <c r="A10254" i="2"/>
  <c r="E10253" i="2"/>
  <c r="D10253" i="2"/>
  <c r="C10253" i="2"/>
  <c r="B10253" i="2"/>
  <c r="A10253" i="2"/>
  <c r="E10252" i="2"/>
  <c r="D10252" i="2"/>
  <c r="C10252" i="2"/>
  <c r="B10252" i="2"/>
  <c r="A10252" i="2"/>
  <c r="E10251" i="2"/>
  <c r="D10251" i="2"/>
  <c r="C10251" i="2"/>
  <c r="B10251" i="2"/>
  <c r="A10251" i="2"/>
  <c r="E10250" i="2"/>
  <c r="D10250" i="2"/>
  <c r="C10250" i="2"/>
  <c r="B10250" i="2"/>
  <c r="A10250" i="2"/>
  <c r="E10249" i="2"/>
  <c r="D10249" i="2"/>
  <c r="C10249" i="2"/>
  <c r="B10249" i="2"/>
  <c r="A10249" i="2"/>
  <c r="E10248" i="2"/>
  <c r="D10248" i="2"/>
  <c r="C10248" i="2"/>
  <c r="B10248" i="2"/>
  <c r="A10248" i="2"/>
  <c r="E10247" i="2"/>
  <c r="D10247" i="2"/>
  <c r="C10247" i="2"/>
  <c r="B10247" i="2"/>
  <c r="A10247" i="2"/>
  <c r="E10246" i="2"/>
  <c r="D10246" i="2"/>
  <c r="C10246" i="2"/>
  <c r="B10246" i="2"/>
  <c r="A10246" i="2"/>
  <c r="E10245" i="2"/>
  <c r="D10245" i="2"/>
  <c r="C10245" i="2"/>
  <c r="B10245" i="2"/>
  <c r="A10245" i="2"/>
  <c r="E10244" i="2"/>
  <c r="D10244" i="2"/>
  <c r="C10244" i="2"/>
  <c r="B10244" i="2"/>
  <c r="A10244" i="2"/>
  <c r="E10243" i="2"/>
  <c r="D10243" i="2"/>
  <c r="C10243" i="2"/>
  <c r="B10243" i="2"/>
  <c r="A10243" i="2"/>
  <c r="E10242" i="2"/>
  <c r="D10242" i="2"/>
  <c r="C10242" i="2"/>
  <c r="B10242" i="2"/>
  <c r="A10242" i="2"/>
  <c r="E10241" i="2"/>
  <c r="D10241" i="2"/>
  <c r="C10241" i="2"/>
  <c r="B10241" i="2"/>
  <c r="A10241" i="2"/>
  <c r="E10240" i="2"/>
  <c r="D10240" i="2"/>
  <c r="C10240" i="2"/>
  <c r="B10240" i="2"/>
  <c r="A10240" i="2"/>
  <c r="E10239" i="2"/>
  <c r="D10239" i="2"/>
  <c r="C10239" i="2"/>
  <c r="B10239" i="2"/>
  <c r="A10239" i="2"/>
  <c r="E10238" i="2"/>
  <c r="D10238" i="2"/>
  <c r="C10238" i="2"/>
  <c r="B10238" i="2"/>
  <c r="A10238" i="2"/>
  <c r="E10237" i="2"/>
  <c r="D10237" i="2"/>
  <c r="C10237" i="2"/>
  <c r="B10237" i="2"/>
  <c r="A10237" i="2"/>
  <c r="E10236" i="2"/>
  <c r="D10236" i="2"/>
  <c r="C10236" i="2"/>
  <c r="B10236" i="2"/>
  <c r="A10236" i="2"/>
  <c r="E10235" i="2"/>
  <c r="D10235" i="2"/>
  <c r="C10235" i="2"/>
  <c r="B10235" i="2"/>
  <c r="A10235" i="2"/>
  <c r="E10234" i="2"/>
  <c r="D10234" i="2"/>
  <c r="C10234" i="2"/>
  <c r="B10234" i="2"/>
  <c r="A10234" i="2"/>
  <c r="E10233" i="2"/>
  <c r="D10233" i="2"/>
  <c r="C10233" i="2"/>
  <c r="B10233" i="2"/>
  <c r="A10233" i="2"/>
  <c r="E10232" i="2"/>
  <c r="D10232" i="2"/>
  <c r="C10232" i="2"/>
  <c r="B10232" i="2"/>
  <c r="A10232" i="2"/>
  <c r="E10231" i="2"/>
  <c r="D10231" i="2"/>
  <c r="C10231" i="2"/>
  <c r="B10231" i="2"/>
  <c r="A10231" i="2"/>
  <c r="E10230" i="2"/>
  <c r="D10230" i="2"/>
  <c r="C10230" i="2"/>
  <c r="B10230" i="2"/>
  <c r="A10230" i="2"/>
  <c r="E10229" i="2"/>
  <c r="D10229" i="2"/>
  <c r="C10229" i="2"/>
  <c r="B10229" i="2"/>
  <c r="A10229" i="2"/>
  <c r="E10228" i="2"/>
  <c r="D10228" i="2"/>
  <c r="C10228" i="2"/>
  <c r="B10228" i="2"/>
  <c r="A10228" i="2"/>
  <c r="E10227" i="2"/>
  <c r="D10227" i="2"/>
  <c r="C10227" i="2"/>
  <c r="B10227" i="2"/>
  <c r="A10227" i="2"/>
  <c r="E10226" i="2"/>
  <c r="D10226" i="2"/>
  <c r="C10226" i="2"/>
  <c r="B10226" i="2"/>
  <c r="A10226" i="2"/>
  <c r="E10225" i="2"/>
  <c r="D10225" i="2"/>
  <c r="C10225" i="2"/>
  <c r="B10225" i="2"/>
  <c r="A10225" i="2"/>
  <c r="E10224" i="2"/>
  <c r="D10224" i="2"/>
  <c r="C10224" i="2"/>
  <c r="B10224" i="2"/>
  <c r="A10224" i="2"/>
  <c r="E10223" i="2"/>
  <c r="D10223" i="2"/>
  <c r="C10223" i="2"/>
  <c r="B10223" i="2"/>
  <c r="A10223" i="2"/>
  <c r="E10222" i="2"/>
  <c r="D10222" i="2"/>
  <c r="C10222" i="2"/>
  <c r="B10222" i="2"/>
  <c r="A10222" i="2"/>
  <c r="E10221" i="2"/>
  <c r="D10221" i="2"/>
  <c r="C10221" i="2"/>
  <c r="B10221" i="2"/>
  <c r="A10221" i="2"/>
  <c r="E10220" i="2"/>
  <c r="D10220" i="2"/>
  <c r="C10220" i="2"/>
  <c r="B10220" i="2"/>
  <c r="A10220" i="2"/>
  <c r="E10219" i="2"/>
  <c r="D10219" i="2"/>
  <c r="C10219" i="2"/>
  <c r="B10219" i="2"/>
  <c r="A10219" i="2"/>
  <c r="E10218" i="2"/>
  <c r="D10218" i="2"/>
  <c r="C10218" i="2"/>
  <c r="B10218" i="2"/>
  <c r="A10218" i="2"/>
  <c r="E10217" i="2"/>
  <c r="D10217" i="2"/>
  <c r="C10217" i="2"/>
  <c r="B10217" i="2"/>
  <c r="A10217" i="2"/>
  <c r="E10216" i="2"/>
  <c r="D10216" i="2"/>
  <c r="C10216" i="2"/>
  <c r="B10216" i="2"/>
  <c r="A10216" i="2"/>
  <c r="E10215" i="2"/>
  <c r="D10215" i="2"/>
  <c r="C10215" i="2"/>
  <c r="B10215" i="2"/>
  <c r="A10215" i="2"/>
  <c r="E10214" i="2"/>
  <c r="D10214" i="2"/>
  <c r="C10214" i="2"/>
  <c r="B10214" i="2"/>
  <c r="A10214" i="2"/>
  <c r="E10213" i="2"/>
  <c r="D10213" i="2"/>
  <c r="C10213" i="2"/>
  <c r="B10213" i="2"/>
  <c r="A10213" i="2"/>
  <c r="E10212" i="2"/>
  <c r="D10212" i="2"/>
  <c r="C10212" i="2"/>
  <c r="B10212" i="2"/>
  <c r="A10212" i="2"/>
  <c r="E10211" i="2"/>
  <c r="D10211" i="2"/>
  <c r="C10211" i="2"/>
  <c r="B10211" i="2"/>
  <c r="A10211" i="2"/>
  <c r="E10210" i="2"/>
  <c r="D10210" i="2"/>
  <c r="C10210" i="2"/>
  <c r="B10210" i="2"/>
  <c r="A10210" i="2"/>
  <c r="E10209" i="2"/>
  <c r="D10209" i="2"/>
  <c r="C10209" i="2"/>
  <c r="B10209" i="2"/>
  <c r="A10209" i="2"/>
  <c r="E10208" i="2"/>
  <c r="D10208" i="2"/>
  <c r="C10208" i="2"/>
  <c r="B10208" i="2"/>
  <c r="A10208" i="2"/>
  <c r="E10207" i="2"/>
  <c r="D10207" i="2"/>
  <c r="C10207" i="2"/>
  <c r="B10207" i="2"/>
  <c r="A10207" i="2"/>
  <c r="E10206" i="2"/>
  <c r="D10206" i="2"/>
  <c r="C10206" i="2"/>
  <c r="B10206" i="2"/>
  <c r="A10206" i="2"/>
  <c r="E10205" i="2"/>
  <c r="D10205" i="2"/>
  <c r="C10205" i="2"/>
  <c r="B10205" i="2"/>
  <c r="A10205" i="2"/>
  <c r="E10204" i="2"/>
  <c r="D10204" i="2"/>
  <c r="C10204" i="2"/>
  <c r="B10204" i="2"/>
  <c r="A10204" i="2"/>
  <c r="E10203" i="2"/>
  <c r="D10203" i="2"/>
  <c r="C10203" i="2"/>
  <c r="B10203" i="2"/>
  <c r="A10203" i="2"/>
  <c r="E10202" i="2"/>
  <c r="D10202" i="2"/>
  <c r="C10202" i="2"/>
  <c r="B10202" i="2"/>
  <c r="A10202" i="2"/>
  <c r="E10201" i="2"/>
  <c r="D10201" i="2"/>
  <c r="C10201" i="2"/>
  <c r="B10201" i="2"/>
  <c r="A10201" i="2"/>
  <c r="E10200" i="2"/>
  <c r="D10200" i="2"/>
  <c r="C10200" i="2"/>
  <c r="B10200" i="2"/>
  <c r="A10200" i="2"/>
  <c r="E10199" i="2"/>
  <c r="D10199" i="2"/>
  <c r="C10199" i="2"/>
  <c r="B10199" i="2"/>
  <c r="A10199" i="2"/>
  <c r="E10198" i="2"/>
  <c r="D10198" i="2"/>
  <c r="C10198" i="2"/>
  <c r="B10198" i="2"/>
  <c r="A10198" i="2"/>
  <c r="E10197" i="2"/>
  <c r="D10197" i="2"/>
  <c r="C10197" i="2"/>
  <c r="B10197" i="2"/>
  <c r="A10197" i="2"/>
  <c r="E10196" i="2"/>
  <c r="D10196" i="2"/>
  <c r="C10196" i="2"/>
  <c r="B10196" i="2"/>
  <c r="A10196" i="2"/>
  <c r="E10195" i="2"/>
  <c r="D10195" i="2"/>
  <c r="C10195" i="2"/>
  <c r="B10195" i="2"/>
  <c r="A10195" i="2"/>
  <c r="E10194" i="2"/>
  <c r="D10194" i="2"/>
  <c r="C10194" i="2"/>
  <c r="B10194" i="2"/>
  <c r="A10194" i="2"/>
  <c r="E10193" i="2"/>
  <c r="D10193" i="2"/>
  <c r="C10193" i="2"/>
  <c r="B10193" i="2"/>
  <c r="A10193" i="2"/>
  <c r="E10192" i="2"/>
  <c r="D10192" i="2"/>
  <c r="C10192" i="2"/>
  <c r="B10192" i="2"/>
  <c r="A10192" i="2"/>
  <c r="E10191" i="2"/>
  <c r="D10191" i="2"/>
  <c r="C10191" i="2"/>
  <c r="B10191" i="2"/>
  <c r="A10191" i="2"/>
  <c r="E10190" i="2"/>
  <c r="D10190" i="2"/>
  <c r="C10190" i="2"/>
  <c r="B10190" i="2"/>
  <c r="A10190" i="2"/>
  <c r="E10189" i="2"/>
  <c r="D10189" i="2"/>
  <c r="C10189" i="2"/>
  <c r="B10189" i="2"/>
  <c r="A10189" i="2"/>
  <c r="E10188" i="2"/>
  <c r="D10188" i="2"/>
  <c r="C10188" i="2"/>
  <c r="B10188" i="2"/>
  <c r="A10188" i="2"/>
  <c r="E10187" i="2"/>
  <c r="D10187" i="2"/>
  <c r="C10187" i="2"/>
  <c r="B10187" i="2"/>
  <c r="A10187" i="2"/>
  <c r="E10186" i="2"/>
  <c r="D10186" i="2"/>
  <c r="C10186" i="2"/>
  <c r="B10186" i="2"/>
  <c r="A10186" i="2"/>
  <c r="E10185" i="2"/>
  <c r="D10185" i="2"/>
  <c r="C10185" i="2"/>
  <c r="B10185" i="2"/>
  <c r="A10185" i="2"/>
  <c r="E10184" i="2"/>
  <c r="D10184" i="2"/>
  <c r="C10184" i="2"/>
  <c r="B10184" i="2"/>
  <c r="A10184" i="2"/>
  <c r="E10183" i="2"/>
  <c r="D10183" i="2"/>
  <c r="C10183" i="2"/>
  <c r="B10183" i="2"/>
  <c r="A10183" i="2"/>
  <c r="E10182" i="2"/>
  <c r="D10182" i="2"/>
  <c r="C10182" i="2"/>
  <c r="B10182" i="2"/>
  <c r="A10182" i="2"/>
  <c r="E10181" i="2"/>
  <c r="D10181" i="2"/>
  <c r="C10181" i="2"/>
  <c r="B10181" i="2"/>
  <c r="A10181" i="2"/>
  <c r="E10180" i="2"/>
  <c r="D10180" i="2"/>
  <c r="C10180" i="2"/>
  <c r="B10180" i="2"/>
  <c r="A10180" i="2"/>
  <c r="E10179" i="2"/>
  <c r="D10179" i="2"/>
  <c r="C10179" i="2"/>
  <c r="B10179" i="2"/>
  <c r="A10179" i="2"/>
  <c r="E10178" i="2"/>
  <c r="D10178" i="2"/>
  <c r="C10178" i="2"/>
  <c r="B10178" i="2"/>
  <c r="A10178" i="2"/>
  <c r="E10177" i="2"/>
  <c r="D10177" i="2"/>
  <c r="C10177" i="2"/>
  <c r="B10177" i="2"/>
  <c r="A10177" i="2"/>
  <c r="E10176" i="2"/>
  <c r="D10176" i="2"/>
  <c r="C10176" i="2"/>
  <c r="B10176" i="2"/>
  <c r="A10176" i="2"/>
  <c r="E10175" i="2"/>
  <c r="D10175" i="2"/>
  <c r="C10175" i="2"/>
  <c r="B10175" i="2"/>
  <c r="A10175" i="2"/>
  <c r="E10174" i="2"/>
  <c r="D10174" i="2"/>
  <c r="C10174" i="2"/>
  <c r="B10174" i="2"/>
  <c r="A10174" i="2"/>
  <c r="E10173" i="2"/>
  <c r="D10173" i="2"/>
  <c r="C10173" i="2"/>
  <c r="B10173" i="2"/>
  <c r="A10173" i="2"/>
  <c r="E10172" i="2"/>
  <c r="D10172" i="2"/>
  <c r="C10172" i="2"/>
  <c r="B10172" i="2"/>
  <c r="A10172" i="2"/>
  <c r="E10171" i="2"/>
  <c r="D10171" i="2"/>
  <c r="C10171" i="2"/>
  <c r="B10171" i="2"/>
  <c r="A10171" i="2"/>
  <c r="E10170" i="2"/>
  <c r="D10170" i="2"/>
  <c r="C10170" i="2"/>
  <c r="B10170" i="2"/>
  <c r="A10170" i="2"/>
  <c r="E10169" i="2"/>
  <c r="D10169" i="2"/>
  <c r="C10169" i="2"/>
  <c r="B10169" i="2"/>
  <c r="A10169" i="2"/>
  <c r="E10168" i="2"/>
  <c r="D10168" i="2"/>
  <c r="C10168" i="2"/>
  <c r="B10168" i="2"/>
  <c r="A10168" i="2"/>
  <c r="E10167" i="2"/>
  <c r="D10167" i="2"/>
  <c r="C10167" i="2"/>
  <c r="B10167" i="2"/>
  <c r="A10167" i="2"/>
  <c r="E10166" i="2"/>
  <c r="D10166" i="2"/>
  <c r="C10166" i="2"/>
  <c r="B10166" i="2"/>
  <c r="A10166" i="2"/>
  <c r="E10165" i="2"/>
  <c r="D10165" i="2"/>
  <c r="C10165" i="2"/>
  <c r="B10165" i="2"/>
  <c r="A10165" i="2"/>
  <c r="E10164" i="2"/>
  <c r="D10164" i="2"/>
  <c r="C10164" i="2"/>
  <c r="B10164" i="2"/>
  <c r="A10164" i="2"/>
  <c r="E10163" i="2"/>
  <c r="D10163" i="2"/>
  <c r="C10163" i="2"/>
  <c r="B10163" i="2"/>
  <c r="A10163" i="2"/>
  <c r="E10162" i="2"/>
  <c r="D10162" i="2"/>
  <c r="C10162" i="2"/>
  <c r="B10162" i="2"/>
  <c r="A10162" i="2"/>
  <c r="E10161" i="2"/>
  <c r="D10161" i="2"/>
  <c r="C10161" i="2"/>
  <c r="B10161" i="2"/>
  <c r="A10161" i="2"/>
  <c r="E10160" i="2"/>
  <c r="D10160" i="2"/>
  <c r="C10160" i="2"/>
  <c r="B10160" i="2"/>
  <c r="A10160" i="2"/>
  <c r="E10159" i="2"/>
  <c r="D10159" i="2"/>
  <c r="C10159" i="2"/>
  <c r="B10159" i="2"/>
  <c r="A10159" i="2"/>
  <c r="E10158" i="2"/>
  <c r="D10158" i="2"/>
  <c r="C10158" i="2"/>
  <c r="B10158" i="2"/>
  <c r="A10158" i="2"/>
  <c r="E10157" i="2"/>
  <c r="D10157" i="2"/>
  <c r="C10157" i="2"/>
  <c r="B10157" i="2"/>
  <c r="A10157" i="2"/>
  <c r="E10156" i="2"/>
  <c r="D10156" i="2"/>
  <c r="C10156" i="2"/>
  <c r="B10156" i="2"/>
  <c r="A10156" i="2"/>
  <c r="E10155" i="2"/>
  <c r="D10155" i="2"/>
  <c r="C10155" i="2"/>
  <c r="B10155" i="2"/>
  <c r="A10155" i="2"/>
  <c r="E10154" i="2"/>
  <c r="D10154" i="2"/>
  <c r="C10154" i="2"/>
  <c r="B10154" i="2"/>
  <c r="A10154" i="2"/>
  <c r="E10153" i="2"/>
  <c r="D10153" i="2"/>
  <c r="C10153" i="2"/>
  <c r="B10153" i="2"/>
  <c r="A10153" i="2"/>
  <c r="E10152" i="2"/>
  <c r="D10152" i="2"/>
  <c r="C10152" i="2"/>
  <c r="B10152" i="2"/>
  <c r="A10152" i="2"/>
  <c r="E10151" i="2"/>
  <c r="D10151" i="2"/>
  <c r="C10151" i="2"/>
  <c r="B10151" i="2"/>
  <c r="A10151" i="2"/>
  <c r="E10150" i="2"/>
  <c r="D10150" i="2"/>
  <c r="C10150" i="2"/>
  <c r="B10150" i="2"/>
  <c r="A10150" i="2"/>
  <c r="E10149" i="2"/>
  <c r="D10149" i="2"/>
  <c r="C10149" i="2"/>
  <c r="B10149" i="2"/>
  <c r="A10149" i="2"/>
  <c r="E10148" i="2"/>
  <c r="D10148" i="2"/>
  <c r="C10148" i="2"/>
  <c r="B10148" i="2"/>
  <c r="A10148" i="2"/>
  <c r="E10147" i="2"/>
  <c r="D10147" i="2"/>
  <c r="C10147" i="2"/>
  <c r="B10147" i="2"/>
  <c r="A10147" i="2"/>
  <c r="E10146" i="2"/>
  <c r="D10146" i="2"/>
  <c r="C10146" i="2"/>
  <c r="B10146" i="2"/>
  <c r="A10146" i="2"/>
  <c r="E10145" i="2"/>
  <c r="D10145" i="2"/>
  <c r="C10145" i="2"/>
  <c r="B10145" i="2"/>
  <c r="A10145" i="2"/>
  <c r="E10144" i="2"/>
  <c r="D10144" i="2"/>
  <c r="C10144" i="2"/>
  <c r="B10144" i="2"/>
  <c r="A10144" i="2"/>
  <c r="E10143" i="2"/>
  <c r="D10143" i="2"/>
  <c r="C10143" i="2"/>
  <c r="B10143" i="2"/>
  <c r="A10143" i="2"/>
  <c r="E10142" i="2"/>
  <c r="D10142" i="2"/>
  <c r="C10142" i="2"/>
  <c r="B10142" i="2"/>
  <c r="A10142" i="2"/>
  <c r="E10141" i="2"/>
  <c r="D10141" i="2"/>
  <c r="C10141" i="2"/>
  <c r="B10141" i="2"/>
  <c r="A10141" i="2"/>
  <c r="E10140" i="2"/>
  <c r="D10140" i="2"/>
  <c r="C10140" i="2"/>
  <c r="B10140" i="2"/>
  <c r="A10140" i="2"/>
  <c r="E10139" i="2"/>
  <c r="D10139" i="2"/>
  <c r="C10139" i="2"/>
  <c r="B10139" i="2"/>
  <c r="A10139" i="2"/>
  <c r="E10138" i="2"/>
  <c r="D10138" i="2"/>
  <c r="C10138" i="2"/>
  <c r="B10138" i="2"/>
  <c r="A10138" i="2"/>
  <c r="E10137" i="2"/>
  <c r="D10137" i="2"/>
  <c r="C10137" i="2"/>
  <c r="B10137" i="2"/>
  <c r="A10137" i="2"/>
  <c r="E10136" i="2"/>
  <c r="D10136" i="2"/>
  <c r="C10136" i="2"/>
  <c r="B10136" i="2"/>
  <c r="A10136" i="2"/>
  <c r="E10135" i="2"/>
  <c r="D10135" i="2"/>
  <c r="C10135" i="2"/>
  <c r="B10135" i="2"/>
  <c r="A10135" i="2"/>
  <c r="E10134" i="2"/>
  <c r="D10134" i="2"/>
  <c r="C10134" i="2"/>
  <c r="B10134" i="2"/>
  <c r="A10134" i="2"/>
  <c r="E10133" i="2"/>
  <c r="D10133" i="2"/>
  <c r="C10133" i="2"/>
  <c r="B10133" i="2"/>
  <c r="A10133" i="2"/>
  <c r="E10132" i="2"/>
  <c r="D10132" i="2"/>
  <c r="C10132" i="2"/>
  <c r="B10132" i="2"/>
  <c r="A10132" i="2"/>
  <c r="E10131" i="2"/>
  <c r="D10131" i="2"/>
  <c r="C10131" i="2"/>
  <c r="B10131" i="2"/>
  <c r="A10131" i="2"/>
  <c r="E10130" i="2"/>
  <c r="D10130" i="2"/>
  <c r="C10130" i="2"/>
  <c r="B10130" i="2"/>
  <c r="A10130" i="2"/>
  <c r="E10129" i="2"/>
  <c r="D10129" i="2"/>
  <c r="C10129" i="2"/>
  <c r="B10129" i="2"/>
  <c r="A10129" i="2"/>
  <c r="E10128" i="2"/>
  <c r="D10128" i="2"/>
  <c r="C10128" i="2"/>
  <c r="B10128" i="2"/>
  <c r="A10128" i="2"/>
  <c r="E10127" i="2"/>
  <c r="D10127" i="2"/>
  <c r="C10127" i="2"/>
  <c r="B10127" i="2"/>
  <c r="A10127" i="2"/>
  <c r="E10126" i="2"/>
  <c r="D10126" i="2"/>
  <c r="C10126" i="2"/>
  <c r="B10126" i="2"/>
  <c r="A10126" i="2"/>
  <c r="E10125" i="2"/>
  <c r="D10125" i="2"/>
  <c r="C10125" i="2"/>
  <c r="B10125" i="2"/>
  <c r="A10125" i="2"/>
  <c r="E10124" i="2"/>
  <c r="D10124" i="2"/>
  <c r="C10124" i="2"/>
  <c r="B10124" i="2"/>
  <c r="A10124" i="2"/>
  <c r="E10123" i="2"/>
  <c r="D10123" i="2"/>
  <c r="C10123" i="2"/>
  <c r="B10123" i="2"/>
  <c r="A10123" i="2"/>
  <c r="E10122" i="2"/>
  <c r="D10122" i="2"/>
  <c r="C10122" i="2"/>
  <c r="B10122" i="2"/>
  <c r="A10122" i="2"/>
  <c r="E10121" i="2"/>
  <c r="D10121" i="2"/>
  <c r="C10121" i="2"/>
  <c r="B10121" i="2"/>
  <c r="A10121" i="2"/>
  <c r="E10120" i="2"/>
  <c r="D10120" i="2"/>
  <c r="C10120" i="2"/>
  <c r="B10120" i="2"/>
  <c r="A10120" i="2"/>
  <c r="E10119" i="2"/>
  <c r="D10119" i="2"/>
  <c r="C10119" i="2"/>
  <c r="B10119" i="2"/>
  <c r="A10119" i="2"/>
  <c r="E10118" i="2"/>
  <c r="D10118" i="2"/>
  <c r="C10118" i="2"/>
  <c r="B10118" i="2"/>
  <c r="A10118" i="2"/>
  <c r="E10117" i="2"/>
  <c r="D10117" i="2"/>
  <c r="C10117" i="2"/>
  <c r="B10117" i="2"/>
  <c r="A10117" i="2"/>
  <c r="E10116" i="2"/>
  <c r="D10116" i="2"/>
  <c r="C10116" i="2"/>
  <c r="B10116" i="2"/>
  <c r="A10116" i="2"/>
  <c r="E10115" i="2"/>
  <c r="D10115" i="2"/>
  <c r="C10115" i="2"/>
  <c r="B10115" i="2"/>
  <c r="A10115" i="2"/>
  <c r="E10114" i="2"/>
  <c r="D10114" i="2"/>
  <c r="C10114" i="2"/>
  <c r="B10114" i="2"/>
  <c r="A10114" i="2"/>
  <c r="E10113" i="2"/>
  <c r="D10113" i="2"/>
  <c r="C10113" i="2"/>
  <c r="B10113" i="2"/>
  <c r="A10113" i="2"/>
  <c r="E10112" i="2"/>
  <c r="D10112" i="2"/>
  <c r="C10112" i="2"/>
  <c r="B10112" i="2"/>
  <c r="A10112" i="2"/>
  <c r="E10111" i="2"/>
  <c r="D10111" i="2"/>
  <c r="C10111" i="2"/>
  <c r="B10111" i="2"/>
  <c r="A10111" i="2"/>
  <c r="E10110" i="2"/>
  <c r="D10110" i="2"/>
  <c r="C10110" i="2"/>
  <c r="B10110" i="2"/>
  <c r="A10110" i="2"/>
  <c r="E10109" i="2"/>
  <c r="D10109" i="2"/>
  <c r="C10109" i="2"/>
  <c r="B10109" i="2"/>
  <c r="A10109" i="2"/>
  <c r="E10108" i="2"/>
  <c r="D10108" i="2"/>
  <c r="C10108" i="2"/>
  <c r="B10108" i="2"/>
  <c r="A10108" i="2"/>
  <c r="E10107" i="2"/>
  <c r="D10107" i="2"/>
  <c r="C10107" i="2"/>
  <c r="B10107" i="2"/>
  <c r="A10107" i="2"/>
  <c r="E10106" i="2"/>
  <c r="D10106" i="2"/>
  <c r="C10106" i="2"/>
  <c r="B10106" i="2"/>
  <c r="A10106" i="2"/>
  <c r="E10105" i="2"/>
  <c r="D10105" i="2"/>
  <c r="C10105" i="2"/>
  <c r="B10105" i="2"/>
  <c r="A10105" i="2"/>
  <c r="E10104" i="2"/>
  <c r="D10104" i="2"/>
  <c r="C10104" i="2"/>
  <c r="B10104" i="2"/>
  <c r="A10104" i="2"/>
  <c r="E10103" i="2"/>
  <c r="D10103" i="2"/>
  <c r="C10103" i="2"/>
  <c r="B10103" i="2"/>
  <c r="A10103" i="2"/>
  <c r="E10102" i="2"/>
  <c r="D10102" i="2"/>
  <c r="C10102" i="2"/>
  <c r="B10102" i="2"/>
  <c r="A10102" i="2"/>
  <c r="E10101" i="2"/>
  <c r="D10101" i="2"/>
  <c r="C10101" i="2"/>
  <c r="B10101" i="2"/>
  <c r="A10101" i="2"/>
  <c r="E10100" i="2"/>
  <c r="D10100" i="2"/>
  <c r="C10100" i="2"/>
  <c r="B10100" i="2"/>
  <c r="A10100" i="2"/>
  <c r="E10099" i="2"/>
  <c r="D10099" i="2"/>
  <c r="C10099" i="2"/>
  <c r="B10099" i="2"/>
  <c r="A10099" i="2"/>
  <c r="E10098" i="2"/>
  <c r="D10098" i="2"/>
  <c r="C10098" i="2"/>
  <c r="B10098" i="2"/>
  <c r="A10098" i="2"/>
  <c r="E10097" i="2"/>
  <c r="D10097" i="2"/>
  <c r="C10097" i="2"/>
  <c r="B10097" i="2"/>
  <c r="A10097" i="2"/>
  <c r="E10096" i="2"/>
  <c r="D10096" i="2"/>
  <c r="C10096" i="2"/>
  <c r="B10096" i="2"/>
  <c r="A10096" i="2"/>
  <c r="E10095" i="2"/>
  <c r="D10095" i="2"/>
  <c r="C10095" i="2"/>
  <c r="B10095" i="2"/>
  <c r="A10095" i="2"/>
  <c r="E10094" i="2"/>
  <c r="D10094" i="2"/>
  <c r="C10094" i="2"/>
  <c r="B10094" i="2"/>
  <c r="A10094" i="2"/>
  <c r="E10093" i="2"/>
  <c r="D10093" i="2"/>
  <c r="C10093" i="2"/>
  <c r="B10093" i="2"/>
  <c r="A10093" i="2"/>
  <c r="E10092" i="2"/>
  <c r="D10092" i="2"/>
  <c r="C10092" i="2"/>
  <c r="B10092" i="2"/>
  <c r="A10092" i="2"/>
  <c r="E10091" i="2"/>
  <c r="D10091" i="2"/>
  <c r="C10091" i="2"/>
  <c r="B10091" i="2"/>
  <c r="A10091" i="2"/>
  <c r="E10090" i="2"/>
  <c r="D10090" i="2"/>
  <c r="C10090" i="2"/>
  <c r="B10090" i="2"/>
  <c r="A10090" i="2"/>
  <c r="E10089" i="2"/>
  <c r="D10089" i="2"/>
  <c r="C10089" i="2"/>
  <c r="B10089" i="2"/>
  <c r="A10089" i="2"/>
  <c r="E10088" i="2"/>
  <c r="D10088" i="2"/>
  <c r="C10088" i="2"/>
  <c r="B10088" i="2"/>
  <c r="A10088" i="2"/>
  <c r="E10087" i="2"/>
  <c r="D10087" i="2"/>
  <c r="C10087" i="2"/>
  <c r="B10087" i="2"/>
  <c r="A10087" i="2"/>
  <c r="E10086" i="2"/>
  <c r="D10086" i="2"/>
  <c r="C10086" i="2"/>
  <c r="B10086" i="2"/>
  <c r="A10086" i="2"/>
  <c r="E10085" i="2"/>
  <c r="D10085" i="2"/>
  <c r="C10085" i="2"/>
  <c r="B10085" i="2"/>
  <c r="A10085" i="2"/>
  <c r="E10084" i="2"/>
  <c r="D10084" i="2"/>
  <c r="C10084" i="2"/>
  <c r="B10084" i="2"/>
  <c r="A10084" i="2"/>
  <c r="E10083" i="2"/>
  <c r="D10083" i="2"/>
  <c r="C10083" i="2"/>
  <c r="B10083" i="2"/>
  <c r="A10083" i="2"/>
  <c r="E10082" i="2"/>
  <c r="D10082" i="2"/>
  <c r="C10082" i="2"/>
  <c r="B10082" i="2"/>
  <c r="A10082" i="2"/>
  <c r="E10081" i="2"/>
  <c r="D10081" i="2"/>
  <c r="C10081" i="2"/>
  <c r="B10081" i="2"/>
  <c r="A10081" i="2"/>
  <c r="E10080" i="2"/>
  <c r="D10080" i="2"/>
  <c r="C10080" i="2"/>
  <c r="B10080" i="2"/>
  <c r="A10080" i="2"/>
  <c r="E10079" i="2"/>
  <c r="D10079" i="2"/>
  <c r="C10079" i="2"/>
  <c r="B10079" i="2"/>
  <c r="A10079" i="2"/>
  <c r="E10078" i="2"/>
  <c r="D10078" i="2"/>
  <c r="C10078" i="2"/>
  <c r="B10078" i="2"/>
  <c r="A10078" i="2"/>
  <c r="E10077" i="2"/>
  <c r="D10077" i="2"/>
  <c r="C10077" i="2"/>
  <c r="B10077" i="2"/>
  <c r="A10077" i="2"/>
  <c r="E10076" i="2"/>
  <c r="D10076" i="2"/>
  <c r="C10076" i="2"/>
  <c r="B10076" i="2"/>
  <c r="A10076" i="2"/>
  <c r="E10075" i="2"/>
  <c r="D10075" i="2"/>
  <c r="C10075" i="2"/>
  <c r="B10075" i="2"/>
  <c r="A10075" i="2"/>
  <c r="E10074" i="2"/>
  <c r="D10074" i="2"/>
  <c r="C10074" i="2"/>
  <c r="B10074" i="2"/>
  <c r="A10074" i="2"/>
  <c r="E10073" i="2"/>
  <c r="D10073" i="2"/>
  <c r="C10073" i="2"/>
  <c r="B10073" i="2"/>
  <c r="A10073" i="2"/>
  <c r="E10072" i="2"/>
  <c r="D10072" i="2"/>
  <c r="C10072" i="2"/>
  <c r="B10072" i="2"/>
  <c r="A10072" i="2"/>
  <c r="E10071" i="2"/>
  <c r="D10071" i="2"/>
  <c r="C10071" i="2"/>
  <c r="B10071" i="2"/>
  <c r="A10071" i="2"/>
  <c r="E10070" i="2"/>
  <c r="D10070" i="2"/>
  <c r="C10070" i="2"/>
  <c r="B10070" i="2"/>
  <c r="A10070" i="2"/>
  <c r="E10069" i="2"/>
  <c r="D10069" i="2"/>
  <c r="C10069" i="2"/>
  <c r="B10069" i="2"/>
  <c r="A10069" i="2"/>
  <c r="E10068" i="2"/>
  <c r="D10068" i="2"/>
  <c r="C10068" i="2"/>
  <c r="B10068" i="2"/>
  <c r="A10068" i="2"/>
  <c r="E10067" i="2"/>
  <c r="D10067" i="2"/>
  <c r="C10067" i="2"/>
  <c r="B10067" i="2"/>
  <c r="A10067" i="2"/>
  <c r="E10066" i="2"/>
  <c r="D10066" i="2"/>
  <c r="C10066" i="2"/>
  <c r="B10066" i="2"/>
  <c r="A10066" i="2"/>
  <c r="E10065" i="2"/>
  <c r="D10065" i="2"/>
  <c r="C10065" i="2"/>
  <c r="B10065" i="2"/>
  <c r="A10065" i="2"/>
  <c r="E10064" i="2"/>
  <c r="D10064" i="2"/>
  <c r="C10064" i="2"/>
  <c r="B10064" i="2"/>
  <c r="A10064" i="2"/>
  <c r="E10063" i="2"/>
  <c r="D10063" i="2"/>
  <c r="C10063" i="2"/>
  <c r="B10063" i="2"/>
  <c r="A10063" i="2"/>
  <c r="E10062" i="2"/>
  <c r="D10062" i="2"/>
  <c r="C10062" i="2"/>
  <c r="B10062" i="2"/>
  <c r="A10062" i="2"/>
  <c r="E10061" i="2"/>
  <c r="D10061" i="2"/>
  <c r="C10061" i="2"/>
  <c r="B10061" i="2"/>
  <c r="A10061" i="2"/>
  <c r="E10060" i="2"/>
  <c r="D10060" i="2"/>
  <c r="C10060" i="2"/>
  <c r="B10060" i="2"/>
  <c r="A10060" i="2"/>
  <c r="E10059" i="2"/>
  <c r="D10059" i="2"/>
  <c r="C10059" i="2"/>
  <c r="B10059" i="2"/>
  <c r="A10059" i="2"/>
  <c r="E10058" i="2"/>
  <c r="D10058" i="2"/>
  <c r="C10058" i="2"/>
  <c r="B10058" i="2"/>
  <c r="A10058" i="2"/>
  <c r="E10057" i="2"/>
  <c r="D10057" i="2"/>
  <c r="C10057" i="2"/>
  <c r="B10057" i="2"/>
  <c r="A10057" i="2"/>
  <c r="E10056" i="2"/>
  <c r="D10056" i="2"/>
  <c r="C10056" i="2"/>
  <c r="B10056" i="2"/>
  <c r="A10056" i="2"/>
  <c r="E10055" i="2"/>
  <c r="D10055" i="2"/>
  <c r="C10055" i="2"/>
  <c r="B10055" i="2"/>
  <c r="A10055" i="2"/>
  <c r="E10054" i="2"/>
  <c r="D10054" i="2"/>
  <c r="C10054" i="2"/>
  <c r="B10054" i="2"/>
  <c r="A10054" i="2"/>
  <c r="E10053" i="2"/>
  <c r="D10053" i="2"/>
  <c r="C10053" i="2"/>
  <c r="B10053" i="2"/>
  <c r="A10053" i="2"/>
  <c r="E10052" i="2"/>
  <c r="D10052" i="2"/>
  <c r="C10052" i="2"/>
  <c r="B10052" i="2"/>
  <c r="A10052" i="2"/>
  <c r="E10051" i="2"/>
  <c r="D10051" i="2"/>
  <c r="C10051" i="2"/>
  <c r="B10051" i="2"/>
  <c r="A10051" i="2"/>
  <c r="E10050" i="2"/>
  <c r="D10050" i="2"/>
  <c r="C10050" i="2"/>
  <c r="B10050" i="2"/>
  <c r="A10050" i="2"/>
  <c r="E10049" i="2"/>
  <c r="D10049" i="2"/>
  <c r="C10049" i="2"/>
  <c r="B10049" i="2"/>
  <c r="A10049" i="2"/>
  <c r="E10048" i="2"/>
  <c r="D10048" i="2"/>
  <c r="C10048" i="2"/>
  <c r="B10048" i="2"/>
  <c r="A10048" i="2"/>
  <c r="E10047" i="2"/>
  <c r="D10047" i="2"/>
  <c r="C10047" i="2"/>
  <c r="B10047" i="2"/>
  <c r="A10047" i="2"/>
  <c r="E10046" i="2"/>
  <c r="D10046" i="2"/>
  <c r="C10046" i="2"/>
  <c r="B10046" i="2"/>
  <c r="A10046" i="2"/>
  <c r="E10045" i="2"/>
  <c r="D10045" i="2"/>
  <c r="C10045" i="2"/>
  <c r="B10045" i="2"/>
  <c r="A10045" i="2"/>
  <c r="E10044" i="2"/>
  <c r="D10044" i="2"/>
  <c r="C10044" i="2"/>
  <c r="B10044" i="2"/>
  <c r="A10044" i="2"/>
  <c r="E10043" i="2"/>
  <c r="D10043" i="2"/>
  <c r="C10043" i="2"/>
  <c r="B10043" i="2"/>
  <c r="A10043" i="2"/>
  <c r="E10042" i="2"/>
  <c r="D10042" i="2"/>
  <c r="C10042" i="2"/>
  <c r="B10042" i="2"/>
  <c r="A10042" i="2"/>
  <c r="E10041" i="2"/>
  <c r="D10041" i="2"/>
  <c r="C10041" i="2"/>
  <c r="B10041" i="2"/>
  <c r="A10041" i="2"/>
  <c r="E10040" i="2"/>
  <c r="D10040" i="2"/>
  <c r="C10040" i="2"/>
  <c r="B10040" i="2"/>
  <c r="A10040" i="2"/>
  <c r="E10039" i="2"/>
  <c r="D10039" i="2"/>
  <c r="C10039" i="2"/>
  <c r="B10039" i="2"/>
  <c r="A10039" i="2"/>
  <c r="E10038" i="2"/>
  <c r="D10038" i="2"/>
  <c r="C10038" i="2"/>
  <c r="B10038" i="2"/>
  <c r="A10038" i="2"/>
  <c r="E10037" i="2"/>
  <c r="D10037" i="2"/>
  <c r="C10037" i="2"/>
  <c r="B10037" i="2"/>
  <c r="A10037" i="2"/>
  <c r="E10036" i="2"/>
  <c r="D10036" i="2"/>
  <c r="C10036" i="2"/>
  <c r="B10036" i="2"/>
  <c r="A10036" i="2"/>
  <c r="E10035" i="2"/>
  <c r="D10035" i="2"/>
  <c r="C10035" i="2"/>
  <c r="B10035" i="2"/>
  <c r="A10035" i="2"/>
  <c r="E10034" i="2"/>
  <c r="D10034" i="2"/>
  <c r="C10034" i="2"/>
  <c r="B10034" i="2"/>
  <c r="A10034" i="2"/>
  <c r="E10033" i="2"/>
  <c r="D10033" i="2"/>
  <c r="C10033" i="2"/>
  <c r="B10033" i="2"/>
  <c r="A10033" i="2"/>
  <c r="E10032" i="2"/>
  <c r="D10032" i="2"/>
  <c r="C10032" i="2"/>
  <c r="B10032" i="2"/>
  <c r="A10032" i="2"/>
  <c r="E10031" i="2"/>
  <c r="D10031" i="2"/>
  <c r="C10031" i="2"/>
  <c r="B10031" i="2"/>
  <c r="A10031" i="2"/>
  <c r="E10030" i="2"/>
  <c r="D10030" i="2"/>
  <c r="C10030" i="2"/>
  <c r="B10030" i="2"/>
  <c r="A10030" i="2"/>
  <c r="E10029" i="2"/>
  <c r="D10029" i="2"/>
  <c r="C10029" i="2"/>
  <c r="B10029" i="2"/>
  <c r="A10029" i="2"/>
  <c r="E10028" i="2"/>
  <c r="D10028" i="2"/>
  <c r="C10028" i="2"/>
  <c r="B10028" i="2"/>
  <c r="A10028" i="2"/>
  <c r="E10027" i="2"/>
  <c r="D10027" i="2"/>
  <c r="C10027" i="2"/>
  <c r="B10027" i="2"/>
  <c r="A10027" i="2"/>
  <c r="E10026" i="2"/>
  <c r="D10026" i="2"/>
  <c r="C10026" i="2"/>
  <c r="B10026" i="2"/>
  <c r="A10026" i="2"/>
  <c r="E10025" i="2"/>
  <c r="D10025" i="2"/>
  <c r="C10025" i="2"/>
  <c r="B10025" i="2"/>
  <c r="A10025" i="2"/>
  <c r="E10024" i="2"/>
  <c r="D10024" i="2"/>
  <c r="C10024" i="2"/>
  <c r="B10024" i="2"/>
  <c r="A10024" i="2"/>
  <c r="E10023" i="2"/>
  <c r="D10023" i="2"/>
  <c r="C10023" i="2"/>
  <c r="B10023" i="2"/>
  <c r="A10023" i="2"/>
  <c r="E10022" i="2"/>
  <c r="D10022" i="2"/>
  <c r="C10022" i="2"/>
  <c r="B10022" i="2"/>
  <c r="A10022" i="2"/>
  <c r="E10021" i="2"/>
  <c r="D10021" i="2"/>
  <c r="C10021" i="2"/>
  <c r="B10021" i="2"/>
  <c r="A10021" i="2"/>
  <c r="E10020" i="2"/>
  <c r="D10020" i="2"/>
  <c r="C10020" i="2"/>
  <c r="B10020" i="2"/>
  <c r="A10020" i="2"/>
  <c r="E10019" i="2"/>
  <c r="D10019" i="2"/>
  <c r="C10019" i="2"/>
  <c r="B10019" i="2"/>
  <c r="A10019" i="2"/>
  <c r="E10018" i="2"/>
  <c r="D10018" i="2"/>
  <c r="C10018" i="2"/>
  <c r="B10018" i="2"/>
  <c r="A10018" i="2"/>
  <c r="E10017" i="2"/>
  <c r="D10017" i="2"/>
  <c r="C10017" i="2"/>
  <c r="B10017" i="2"/>
  <c r="A10017" i="2"/>
  <c r="E10016" i="2"/>
  <c r="D10016" i="2"/>
  <c r="C10016" i="2"/>
  <c r="B10016" i="2"/>
  <c r="A10016" i="2"/>
  <c r="E10015" i="2"/>
  <c r="D10015" i="2"/>
  <c r="C10015" i="2"/>
  <c r="B10015" i="2"/>
  <c r="A10015" i="2"/>
  <c r="E10014" i="2"/>
  <c r="D10014" i="2"/>
  <c r="C10014" i="2"/>
  <c r="B10014" i="2"/>
  <c r="A10014" i="2"/>
  <c r="E10013" i="2"/>
  <c r="D10013" i="2"/>
  <c r="C10013" i="2"/>
  <c r="B10013" i="2"/>
  <c r="A10013" i="2"/>
  <c r="E10012" i="2"/>
  <c r="D10012" i="2"/>
  <c r="C10012" i="2"/>
  <c r="B10012" i="2"/>
  <c r="A10012" i="2"/>
  <c r="E10011" i="2"/>
  <c r="D10011" i="2"/>
  <c r="C10011" i="2"/>
  <c r="B10011" i="2"/>
  <c r="A10011" i="2"/>
  <c r="E10010" i="2"/>
  <c r="D10010" i="2"/>
  <c r="C10010" i="2"/>
  <c r="B10010" i="2"/>
  <c r="A10010" i="2"/>
  <c r="E10009" i="2"/>
  <c r="D10009" i="2"/>
  <c r="C10009" i="2"/>
  <c r="B10009" i="2"/>
  <c r="A10009" i="2"/>
  <c r="E10008" i="2"/>
  <c r="D10008" i="2"/>
  <c r="C10008" i="2"/>
  <c r="B10008" i="2"/>
  <c r="A10008" i="2"/>
  <c r="E10007" i="2"/>
  <c r="D10007" i="2"/>
  <c r="C10007" i="2"/>
  <c r="B10007" i="2"/>
  <c r="A10007" i="2"/>
  <c r="E10006" i="2"/>
  <c r="D10006" i="2"/>
  <c r="C10006" i="2"/>
  <c r="B10006" i="2"/>
  <c r="A10006" i="2"/>
  <c r="E10005" i="2"/>
  <c r="D10005" i="2"/>
  <c r="C10005" i="2"/>
  <c r="B10005" i="2"/>
  <c r="A10005" i="2"/>
  <c r="E10004" i="2"/>
  <c r="D10004" i="2"/>
  <c r="C10004" i="2"/>
  <c r="B10004" i="2"/>
  <c r="A10004" i="2"/>
  <c r="E10003" i="2"/>
  <c r="D10003" i="2"/>
  <c r="C10003" i="2"/>
  <c r="B10003" i="2"/>
  <c r="A10003" i="2"/>
  <c r="E10002" i="2"/>
  <c r="D10002" i="2"/>
  <c r="C10002" i="2"/>
  <c r="B10002" i="2"/>
  <c r="A10002" i="2"/>
  <c r="E10001" i="2"/>
  <c r="D10001" i="2"/>
  <c r="C10001" i="2"/>
  <c r="B10001" i="2"/>
  <c r="A10001" i="2"/>
  <c r="E10000" i="2"/>
  <c r="D10000" i="2"/>
  <c r="C10000" i="2"/>
  <c r="B10000" i="2"/>
  <c r="A10000" i="2"/>
  <c r="E9999" i="2"/>
  <c r="D9999" i="2"/>
  <c r="C9999" i="2"/>
  <c r="B9999" i="2"/>
  <c r="A9999" i="2"/>
  <c r="E9998" i="2"/>
  <c r="D9998" i="2"/>
  <c r="C9998" i="2"/>
  <c r="B9998" i="2"/>
  <c r="A9998" i="2"/>
  <c r="E9997" i="2"/>
  <c r="D9997" i="2"/>
  <c r="C9997" i="2"/>
  <c r="B9997" i="2"/>
  <c r="A9997" i="2"/>
  <c r="E9996" i="2"/>
  <c r="D9996" i="2"/>
  <c r="C9996" i="2"/>
  <c r="B9996" i="2"/>
  <c r="A9996" i="2"/>
  <c r="E9995" i="2"/>
  <c r="D9995" i="2"/>
  <c r="C9995" i="2"/>
  <c r="B9995" i="2"/>
  <c r="A9995" i="2"/>
  <c r="E9994" i="2"/>
  <c r="D9994" i="2"/>
  <c r="C9994" i="2"/>
  <c r="B9994" i="2"/>
  <c r="A9994" i="2"/>
  <c r="E9993" i="2"/>
  <c r="D9993" i="2"/>
  <c r="C9993" i="2"/>
  <c r="B9993" i="2"/>
  <c r="A9993" i="2"/>
  <c r="E9992" i="2"/>
  <c r="D9992" i="2"/>
  <c r="C9992" i="2"/>
  <c r="B9992" i="2"/>
  <c r="A9992" i="2"/>
  <c r="E9991" i="2"/>
  <c r="D9991" i="2"/>
  <c r="C9991" i="2"/>
  <c r="B9991" i="2"/>
  <c r="A9991" i="2"/>
  <c r="E9990" i="2"/>
  <c r="D9990" i="2"/>
  <c r="C9990" i="2"/>
  <c r="B9990" i="2"/>
  <c r="A9990" i="2"/>
  <c r="E9989" i="2"/>
  <c r="D9989" i="2"/>
  <c r="C9989" i="2"/>
  <c r="B9989" i="2"/>
  <c r="A9989" i="2"/>
  <c r="E9988" i="2"/>
  <c r="D9988" i="2"/>
  <c r="C9988" i="2"/>
  <c r="B9988" i="2"/>
  <c r="A9988" i="2"/>
  <c r="E9987" i="2"/>
  <c r="D9987" i="2"/>
  <c r="C9987" i="2"/>
  <c r="B9987" i="2"/>
  <c r="A9987" i="2"/>
  <c r="E9986" i="2"/>
  <c r="D9986" i="2"/>
  <c r="C9986" i="2"/>
  <c r="B9986" i="2"/>
  <c r="A9986" i="2"/>
  <c r="E9985" i="2"/>
  <c r="D9985" i="2"/>
  <c r="C9985" i="2"/>
  <c r="B9985" i="2"/>
  <c r="A9985" i="2"/>
  <c r="E9984" i="2"/>
  <c r="D9984" i="2"/>
  <c r="C9984" i="2"/>
  <c r="B9984" i="2"/>
  <c r="A9984" i="2"/>
  <c r="E9983" i="2"/>
  <c r="D9983" i="2"/>
  <c r="C9983" i="2"/>
  <c r="B9983" i="2"/>
  <c r="A9983" i="2"/>
  <c r="E9982" i="2"/>
  <c r="D9982" i="2"/>
  <c r="C9982" i="2"/>
  <c r="B9982" i="2"/>
  <c r="A9982" i="2"/>
  <c r="E9981" i="2"/>
  <c r="D9981" i="2"/>
  <c r="C9981" i="2"/>
  <c r="B9981" i="2"/>
  <c r="A9981" i="2"/>
  <c r="E9980" i="2"/>
  <c r="D9980" i="2"/>
  <c r="C9980" i="2"/>
  <c r="B9980" i="2"/>
  <c r="A9980" i="2"/>
  <c r="E9979" i="2"/>
  <c r="D9979" i="2"/>
  <c r="C9979" i="2"/>
  <c r="B9979" i="2"/>
  <c r="A9979" i="2"/>
  <c r="E9978" i="2"/>
  <c r="D9978" i="2"/>
  <c r="C9978" i="2"/>
  <c r="B9978" i="2"/>
  <c r="A9978" i="2"/>
  <c r="E9977" i="2"/>
  <c r="D9977" i="2"/>
  <c r="C9977" i="2"/>
  <c r="B9977" i="2"/>
  <c r="A9977" i="2"/>
  <c r="E9976" i="2"/>
  <c r="D9976" i="2"/>
  <c r="C9976" i="2"/>
  <c r="B9976" i="2"/>
  <c r="A9976" i="2"/>
  <c r="E9975" i="2"/>
  <c r="D9975" i="2"/>
  <c r="C9975" i="2"/>
  <c r="B9975" i="2"/>
  <c r="A9975" i="2"/>
  <c r="E9974" i="2"/>
  <c r="D9974" i="2"/>
  <c r="C9974" i="2"/>
  <c r="B9974" i="2"/>
  <c r="A9974" i="2"/>
  <c r="E9973" i="2"/>
  <c r="D9973" i="2"/>
  <c r="C9973" i="2"/>
  <c r="B9973" i="2"/>
  <c r="A9973" i="2"/>
  <c r="E9972" i="2"/>
  <c r="D9972" i="2"/>
  <c r="C9972" i="2"/>
  <c r="B9972" i="2"/>
  <c r="A9972" i="2"/>
  <c r="E9971" i="2"/>
  <c r="D9971" i="2"/>
  <c r="C9971" i="2"/>
  <c r="B9971" i="2"/>
  <c r="A9971" i="2"/>
  <c r="E9970" i="2"/>
  <c r="D9970" i="2"/>
  <c r="C9970" i="2"/>
  <c r="B9970" i="2"/>
  <c r="A9970" i="2"/>
  <c r="E9969" i="2"/>
  <c r="D9969" i="2"/>
  <c r="C9969" i="2"/>
  <c r="B9969" i="2"/>
  <c r="A9969" i="2"/>
  <c r="E9968" i="2"/>
  <c r="D9968" i="2"/>
  <c r="C9968" i="2"/>
  <c r="B9968" i="2"/>
  <c r="A9968" i="2"/>
  <c r="E9967" i="2"/>
  <c r="D9967" i="2"/>
  <c r="C9967" i="2"/>
  <c r="B9967" i="2"/>
  <c r="A9967" i="2"/>
  <c r="E9966" i="2"/>
  <c r="D9966" i="2"/>
  <c r="C9966" i="2"/>
  <c r="B9966" i="2"/>
  <c r="A9966" i="2"/>
  <c r="E9965" i="2"/>
  <c r="D9965" i="2"/>
  <c r="C9965" i="2"/>
  <c r="B9965" i="2"/>
  <c r="A9965" i="2"/>
  <c r="E9964" i="2"/>
  <c r="D9964" i="2"/>
  <c r="C9964" i="2"/>
  <c r="B9964" i="2"/>
  <c r="A9964" i="2"/>
  <c r="E9963" i="2"/>
  <c r="D9963" i="2"/>
  <c r="C9963" i="2"/>
  <c r="B9963" i="2"/>
  <c r="A9963" i="2"/>
  <c r="E9962" i="2"/>
  <c r="D9962" i="2"/>
  <c r="C9962" i="2"/>
  <c r="B9962" i="2"/>
  <c r="A9962" i="2"/>
  <c r="E9961" i="2"/>
  <c r="D9961" i="2"/>
  <c r="C9961" i="2"/>
  <c r="B9961" i="2"/>
  <c r="A9961" i="2"/>
  <c r="E9960" i="2"/>
  <c r="D9960" i="2"/>
  <c r="C9960" i="2"/>
  <c r="B9960" i="2"/>
  <c r="A9960" i="2"/>
  <c r="E9959" i="2"/>
  <c r="D9959" i="2"/>
  <c r="C9959" i="2"/>
  <c r="B9959" i="2"/>
  <c r="A9959" i="2"/>
  <c r="E9958" i="2"/>
  <c r="D9958" i="2"/>
  <c r="C9958" i="2"/>
  <c r="B9958" i="2"/>
  <c r="A9958" i="2"/>
  <c r="E9957" i="2"/>
  <c r="D9957" i="2"/>
  <c r="C9957" i="2"/>
  <c r="B9957" i="2"/>
  <c r="A9957" i="2"/>
  <c r="E9956" i="2"/>
  <c r="D9956" i="2"/>
  <c r="C9956" i="2"/>
  <c r="B9956" i="2"/>
  <c r="A9956" i="2"/>
  <c r="E9955" i="2"/>
  <c r="D9955" i="2"/>
  <c r="C9955" i="2"/>
  <c r="B9955" i="2"/>
  <c r="A9955" i="2"/>
  <c r="E9954" i="2"/>
  <c r="D9954" i="2"/>
  <c r="C9954" i="2"/>
  <c r="B9954" i="2"/>
  <c r="A9954" i="2"/>
  <c r="E9953" i="2"/>
  <c r="D9953" i="2"/>
  <c r="C9953" i="2"/>
  <c r="B9953" i="2"/>
  <c r="A9953" i="2"/>
  <c r="E9952" i="2"/>
  <c r="D9952" i="2"/>
  <c r="C9952" i="2"/>
  <c r="B9952" i="2"/>
  <c r="A9952" i="2"/>
  <c r="E9951" i="2"/>
  <c r="D9951" i="2"/>
  <c r="C9951" i="2"/>
  <c r="B9951" i="2"/>
  <c r="A9951" i="2"/>
  <c r="E9950" i="2"/>
  <c r="D9950" i="2"/>
  <c r="C9950" i="2"/>
  <c r="B9950" i="2"/>
  <c r="A9950" i="2"/>
  <c r="E9949" i="2"/>
  <c r="D9949" i="2"/>
  <c r="C9949" i="2"/>
  <c r="B9949" i="2"/>
  <c r="A9949" i="2"/>
  <c r="E9948" i="2"/>
  <c r="D9948" i="2"/>
  <c r="C9948" i="2"/>
  <c r="B9948" i="2"/>
  <c r="A9948" i="2"/>
  <c r="E9947" i="2"/>
  <c r="D9947" i="2"/>
  <c r="C9947" i="2"/>
  <c r="B9947" i="2"/>
  <c r="A9947" i="2"/>
  <c r="E9946" i="2"/>
  <c r="D9946" i="2"/>
  <c r="C9946" i="2"/>
  <c r="B9946" i="2"/>
  <c r="A9946" i="2"/>
  <c r="E9945" i="2"/>
  <c r="D9945" i="2"/>
  <c r="C9945" i="2"/>
  <c r="B9945" i="2"/>
  <c r="A9945" i="2"/>
  <c r="E9944" i="2"/>
  <c r="D9944" i="2"/>
  <c r="C9944" i="2"/>
  <c r="B9944" i="2"/>
  <c r="A9944" i="2"/>
  <c r="E9943" i="2"/>
  <c r="D9943" i="2"/>
  <c r="C9943" i="2"/>
  <c r="B9943" i="2"/>
  <c r="A9943" i="2"/>
  <c r="E9942" i="2"/>
  <c r="D9942" i="2"/>
  <c r="C9942" i="2"/>
  <c r="B9942" i="2"/>
  <c r="A9942" i="2"/>
  <c r="E9941" i="2"/>
  <c r="D9941" i="2"/>
  <c r="C9941" i="2"/>
  <c r="B9941" i="2"/>
  <c r="A9941" i="2"/>
  <c r="E9940" i="2"/>
  <c r="D9940" i="2"/>
  <c r="C9940" i="2"/>
  <c r="B9940" i="2"/>
  <c r="A9940" i="2"/>
  <c r="E9939" i="2"/>
  <c r="D9939" i="2"/>
  <c r="C9939" i="2"/>
  <c r="B9939" i="2"/>
  <c r="A9939" i="2"/>
  <c r="E9938" i="2"/>
  <c r="D9938" i="2"/>
  <c r="C9938" i="2"/>
  <c r="B9938" i="2"/>
  <c r="A9938" i="2"/>
  <c r="E9937" i="2"/>
  <c r="D9937" i="2"/>
  <c r="C9937" i="2"/>
  <c r="B9937" i="2"/>
  <c r="A9937" i="2"/>
  <c r="E9936" i="2"/>
  <c r="D9936" i="2"/>
  <c r="C9936" i="2"/>
  <c r="B9936" i="2"/>
  <c r="A9936" i="2"/>
  <c r="E9935" i="2"/>
  <c r="D9935" i="2"/>
  <c r="C9935" i="2"/>
  <c r="B9935" i="2"/>
  <c r="A9935" i="2"/>
  <c r="E9934" i="2"/>
  <c r="D9934" i="2"/>
  <c r="C9934" i="2"/>
  <c r="B9934" i="2"/>
  <c r="A9934" i="2"/>
  <c r="E9933" i="2"/>
  <c r="D9933" i="2"/>
  <c r="C9933" i="2"/>
  <c r="B9933" i="2"/>
  <c r="A9933" i="2"/>
  <c r="E9932" i="2"/>
  <c r="D9932" i="2"/>
  <c r="C9932" i="2"/>
  <c r="B9932" i="2"/>
  <c r="A9932" i="2"/>
  <c r="E9931" i="2"/>
  <c r="D9931" i="2"/>
  <c r="C9931" i="2"/>
  <c r="B9931" i="2"/>
  <c r="A9931" i="2"/>
  <c r="E9930" i="2"/>
  <c r="D9930" i="2"/>
  <c r="C9930" i="2"/>
  <c r="B9930" i="2"/>
  <c r="A9930" i="2"/>
  <c r="E9929" i="2"/>
  <c r="D9929" i="2"/>
  <c r="C9929" i="2"/>
  <c r="B9929" i="2"/>
  <c r="A9929" i="2"/>
  <c r="E9928" i="2"/>
  <c r="D9928" i="2"/>
  <c r="C9928" i="2"/>
  <c r="B9928" i="2"/>
  <c r="A9928" i="2"/>
  <c r="E9927" i="2"/>
  <c r="D9927" i="2"/>
  <c r="C9927" i="2"/>
  <c r="B9927" i="2"/>
  <c r="A9927" i="2"/>
  <c r="E9926" i="2"/>
  <c r="D9926" i="2"/>
  <c r="C9926" i="2"/>
  <c r="B9926" i="2"/>
  <c r="A9926" i="2"/>
  <c r="E9925" i="2"/>
  <c r="D9925" i="2"/>
  <c r="C9925" i="2"/>
  <c r="B9925" i="2"/>
  <c r="A9925" i="2"/>
  <c r="E9924" i="2"/>
  <c r="D9924" i="2"/>
  <c r="C9924" i="2"/>
  <c r="B9924" i="2"/>
  <c r="A9924" i="2"/>
  <c r="E9923" i="2"/>
  <c r="D9923" i="2"/>
  <c r="C9923" i="2"/>
  <c r="B9923" i="2"/>
  <c r="A9923" i="2"/>
  <c r="E9922" i="2"/>
  <c r="D9922" i="2"/>
  <c r="C9922" i="2"/>
  <c r="B9922" i="2"/>
  <c r="A9922" i="2"/>
  <c r="E9921" i="2"/>
  <c r="D9921" i="2"/>
  <c r="C9921" i="2"/>
  <c r="B9921" i="2"/>
  <c r="A9921" i="2"/>
  <c r="E9920" i="2"/>
  <c r="D9920" i="2"/>
  <c r="C9920" i="2"/>
  <c r="B9920" i="2"/>
  <c r="A9920" i="2"/>
  <c r="E9919" i="2"/>
  <c r="D9919" i="2"/>
  <c r="C9919" i="2"/>
  <c r="B9919" i="2"/>
  <c r="A9919" i="2"/>
  <c r="E9918" i="2"/>
  <c r="D9918" i="2"/>
  <c r="C9918" i="2"/>
  <c r="B9918" i="2"/>
  <c r="A9918" i="2"/>
  <c r="E9917" i="2"/>
  <c r="D9917" i="2"/>
  <c r="C9917" i="2"/>
  <c r="B9917" i="2"/>
  <c r="A9917" i="2"/>
  <c r="E9916" i="2"/>
  <c r="D9916" i="2"/>
  <c r="C9916" i="2"/>
  <c r="B9916" i="2"/>
  <c r="A9916" i="2"/>
  <c r="E9915" i="2"/>
  <c r="D9915" i="2"/>
  <c r="C9915" i="2"/>
  <c r="B9915" i="2"/>
  <c r="A9915" i="2"/>
  <c r="E9914" i="2"/>
  <c r="D9914" i="2"/>
  <c r="C9914" i="2"/>
  <c r="B9914" i="2"/>
  <c r="A9914" i="2"/>
  <c r="E9913" i="2"/>
  <c r="D9913" i="2"/>
  <c r="C9913" i="2"/>
  <c r="B9913" i="2"/>
  <c r="A9913" i="2"/>
  <c r="E9912" i="2"/>
  <c r="D9912" i="2"/>
  <c r="C9912" i="2"/>
  <c r="B9912" i="2"/>
  <c r="A9912" i="2"/>
  <c r="E9911" i="2"/>
  <c r="D9911" i="2"/>
  <c r="C9911" i="2"/>
  <c r="B9911" i="2"/>
  <c r="A9911" i="2"/>
  <c r="E9910" i="2"/>
  <c r="D9910" i="2"/>
  <c r="C9910" i="2"/>
  <c r="B9910" i="2"/>
  <c r="A9910" i="2"/>
  <c r="E9909" i="2"/>
  <c r="D9909" i="2"/>
  <c r="C9909" i="2"/>
  <c r="B9909" i="2"/>
  <c r="A9909" i="2"/>
  <c r="E9908" i="2"/>
  <c r="D9908" i="2"/>
  <c r="C9908" i="2"/>
  <c r="B9908" i="2"/>
  <c r="A9908" i="2"/>
  <c r="E9907" i="2"/>
  <c r="D9907" i="2"/>
  <c r="C9907" i="2"/>
  <c r="B9907" i="2"/>
  <c r="A9907" i="2"/>
  <c r="E9906" i="2"/>
  <c r="D9906" i="2"/>
  <c r="C9906" i="2"/>
  <c r="B9906" i="2"/>
  <c r="A9906" i="2"/>
  <c r="E9905" i="2"/>
  <c r="D9905" i="2"/>
  <c r="C9905" i="2"/>
  <c r="B9905" i="2"/>
  <c r="A9905" i="2"/>
  <c r="E9904" i="2"/>
  <c r="D9904" i="2"/>
  <c r="C9904" i="2"/>
  <c r="B9904" i="2"/>
  <c r="A9904" i="2"/>
  <c r="E9903" i="2"/>
  <c r="D9903" i="2"/>
  <c r="C9903" i="2"/>
  <c r="B9903" i="2"/>
  <c r="A9903" i="2"/>
  <c r="E9902" i="2"/>
  <c r="D9902" i="2"/>
  <c r="C9902" i="2"/>
  <c r="B9902" i="2"/>
  <c r="A9902" i="2"/>
  <c r="E9901" i="2"/>
  <c r="D9901" i="2"/>
  <c r="C9901" i="2"/>
  <c r="B9901" i="2"/>
  <c r="A9901" i="2"/>
  <c r="E9900" i="2"/>
  <c r="D9900" i="2"/>
  <c r="C9900" i="2"/>
  <c r="B9900" i="2"/>
  <c r="A9900" i="2"/>
  <c r="E9899" i="2"/>
  <c r="D9899" i="2"/>
  <c r="C9899" i="2"/>
  <c r="B9899" i="2"/>
  <c r="A9899" i="2"/>
  <c r="E9898" i="2"/>
  <c r="D9898" i="2"/>
  <c r="C9898" i="2"/>
  <c r="B9898" i="2"/>
  <c r="A9898" i="2"/>
  <c r="E9897" i="2"/>
  <c r="D9897" i="2"/>
  <c r="C9897" i="2"/>
  <c r="B9897" i="2"/>
  <c r="A9897" i="2"/>
  <c r="E9896" i="2"/>
  <c r="D9896" i="2"/>
  <c r="C9896" i="2"/>
  <c r="B9896" i="2"/>
  <c r="A9896" i="2"/>
  <c r="E9895" i="2"/>
  <c r="D9895" i="2"/>
  <c r="C9895" i="2"/>
  <c r="B9895" i="2"/>
  <c r="A9895" i="2"/>
  <c r="E9894" i="2"/>
  <c r="D9894" i="2"/>
  <c r="C9894" i="2"/>
  <c r="B9894" i="2"/>
  <c r="A9894" i="2"/>
  <c r="E9893" i="2"/>
  <c r="D9893" i="2"/>
  <c r="C9893" i="2"/>
  <c r="B9893" i="2"/>
  <c r="A9893" i="2"/>
  <c r="E9892" i="2"/>
  <c r="D9892" i="2"/>
  <c r="C9892" i="2"/>
  <c r="B9892" i="2"/>
  <c r="A9892" i="2"/>
  <c r="E9891" i="2"/>
  <c r="D9891" i="2"/>
  <c r="C9891" i="2"/>
  <c r="B9891" i="2"/>
  <c r="A9891" i="2"/>
  <c r="E9890" i="2"/>
  <c r="D9890" i="2"/>
  <c r="C9890" i="2"/>
  <c r="B9890" i="2"/>
  <c r="A9890" i="2"/>
  <c r="E9889" i="2"/>
  <c r="D9889" i="2"/>
  <c r="C9889" i="2"/>
  <c r="B9889" i="2"/>
  <c r="A9889" i="2"/>
  <c r="E9888" i="2"/>
  <c r="D9888" i="2"/>
  <c r="C9888" i="2"/>
  <c r="B9888" i="2"/>
  <c r="A9888" i="2"/>
  <c r="E9887" i="2"/>
  <c r="D9887" i="2"/>
  <c r="C9887" i="2"/>
  <c r="B9887" i="2"/>
  <c r="A9887" i="2"/>
  <c r="E9886" i="2"/>
  <c r="D9886" i="2"/>
  <c r="C9886" i="2"/>
  <c r="B9886" i="2"/>
  <c r="A9886" i="2"/>
  <c r="E9885" i="2"/>
  <c r="D9885" i="2"/>
  <c r="C9885" i="2"/>
  <c r="B9885" i="2"/>
  <c r="A9885" i="2"/>
  <c r="E9884" i="2"/>
  <c r="D9884" i="2"/>
  <c r="C9884" i="2"/>
  <c r="B9884" i="2"/>
  <c r="A9884" i="2"/>
  <c r="E9883" i="2"/>
  <c r="D9883" i="2"/>
  <c r="C9883" i="2"/>
  <c r="B9883" i="2"/>
  <c r="A9883" i="2"/>
  <c r="E9882" i="2"/>
  <c r="D9882" i="2"/>
  <c r="C9882" i="2"/>
  <c r="B9882" i="2"/>
  <c r="A9882" i="2"/>
  <c r="E9881" i="2"/>
  <c r="D9881" i="2"/>
  <c r="C9881" i="2"/>
  <c r="B9881" i="2"/>
  <c r="A9881" i="2"/>
  <c r="E9880" i="2"/>
  <c r="D9880" i="2"/>
  <c r="C9880" i="2"/>
  <c r="B9880" i="2"/>
  <c r="A9880" i="2"/>
  <c r="E9879" i="2"/>
  <c r="D9879" i="2"/>
  <c r="C9879" i="2"/>
  <c r="B9879" i="2"/>
  <c r="A9879" i="2"/>
  <c r="E9878" i="2"/>
  <c r="D9878" i="2"/>
  <c r="C9878" i="2"/>
  <c r="B9878" i="2"/>
  <c r="A9878" i="2"/>
  <c r="E9877" i="2"/>
  <c r="D9877" i="2"/>
  <c r="C9877" i="2"/>
  <c r="B9877" i="2"/>
  <c r="A9877" i="2"/>
  <c r="E9876" i="2"/>
  <c r="D9876" i="2"/>
  <c r="C9876" i="2"/>
  <c r="B9876" i="2"/>
  <c r="A9876" i="2"/>
  <c r="E9875" i="2"/>
  <c r="D9875" i="2"/>
  <c r="C9875" i="2"/>
  <c r="B9875" i="2"/>
  <c r="A9875" i="2"/>
  <c r="E9874" i="2"/>
  <c r="D9874" i="2"/>
  <c r="C9874" i="2"/>
  <c r="B9874" i="2"/>
  <c r="A9874" i="2"/>
  <c r="E9873" i="2"/>
  <c r="D9873" i="2"/>
  <c r="C9873" i="2"/>
  <c r="B9873" i="2"/>
  <c r="A9873" i="2"/>
  <c r="E9872" i="2"/>
  <c r="D9872" i="2"/>
  <c r="C9872" i="2"/>
  <c r="B9872" i="2"/>
  <c r="A9872" i="2"/>
  <c r="E9871" i="2"/>
  <c r="D9871" i="2"/>
  <c r="C9871" i="2"/>
  <c r="B9871" i="2"/>
  <c r="A9871" i="2"/>
  <c r="E9870" i="2"/>
  <c r="D9870" i="2"/>
  <c r="C9870" i="2"/>
  <c r="B9870" i="2"/>
  <c r="A9870" i="2"/>
  <c r="E9869" i="2"/>
  <c r="D9869" i="2"/>
  <c r="C9869" i="2"/>
  <c r="B9869" i="2"/>
  <c r="A9869" i="2"/>
  <c r="E9868" i="2"/>
  <c r="D9868" i="2"/>
  <c r="C9868" i="2"/>
  <c r="B9868" i="2"/>
  <c r="A9868" i="2"/>
  <c r="E9867" i="2"/>
  <c r="D9867" i="2"/>
  <c r="C9867" i="2"/>
  <c r="B9867" i="2"/>
  <c r="A9867" i="2"/>
  <c r="E9866" i="2"/>
  <c r="D9866" i="2"/>
  <c r="C9866" i="2"/>
  <c r="B9866" i="2"/>
  <c r="A9866" i="2"/>
  <c r="E9865" i="2"/>
  <c r="D9865" i="2"/>
  <c r="C9865" i="2"/>
  <c r="B9865" i="2"/>
  <c r="A9865" i="2"/>
  <c r="E9864" i="2"/>
  <c r="D9864" i="2"/>
  <c r="C9864" i="2"/>
  <c r="B9864" i="2"/>
  <c r="A9864" i="2"/>
  <c r="E9863" i="2"/>
  <c r="D9863" i="2"/>
  <c r="C9863" i="2"/>
  <c r="B9863" i="2"/>
  <c r="A9863" i="2"/>
  <c r="E9862" i="2"/>
  <c r="D9862" i="2"/>
  <c r="C9862" i="2"/>
  <c r="B9862" i="2"/>
  <c r="A9862" i="2"/>
  <c r="E9861" i="2"/>
  <c r="D9861" i="2"/>
  <c r="C9861" i="2"/>
  <c r="B9861" i="2"/>
  <c r="A9861" i="2"/>
  <c r="E9860" i="2"/>
  <c r="D9860" i="2"/>
  <c r="C9860" i="2"/>
  <c r="B9860" i="2"/>
  <c r="A9860" i="2"/>
  <c r="E9859" i="2"/>
  <c r="D9859" i="2"/>
  <c r="C9859" i="2"/>
  <c r="B9859" i="2"/>
  <c r="A9859" i="2"/>
  <c r="E9858" i="2"/>
  <c r="D9858" i="2"/>
  <c r="C9858" i="2"/>
  <c r="B9858" i="2"/>
  <c r="A9858" i="2"/>
  <c r="E9857" i="2"/>
  <c r="D9857" i="2"/>
  <c r="C9857" i="2"/>
  <c r="B9857" i="2"/>
  <c r="A9857" i="2"/>
  <c r="E9856" i="2"/>
  <c r="D9856" i="2"/>
  <c r="C9856" i="2"/>
  <c r="B9856" i="2"/>
  <c r="A9856" i="2"/>
  <c r="E9855" i="2"/>
  <c r="D9855" i="2"/>
  <c r="C9855" i="2"/>
  <c r="B9855" i="2"/>
  <c r="A9855" i="2"/>
  <c r="E9854" i="2"/>
  <c r="D9854" i="2"/>
  <c r="C9854" i="2"/>
  <c r="B9854" i="2"/>
  <c r="A9854" i="2"/>
  <c r="E9853" i="2"/>
  <c r="D9853" i="2"/>
  <c r="C9853" i="2"/>
  <c r="B9853" i="2"/>
  <c r="A9853" i="2"/>
  <c r="E9852" i="2"/>
  <c r="D9852" i="2"/>
  <c r="C9852" i="2"/>
  <c r="B9852" i="2"/>
  <c r="A9852" i="2"/>
  <c r="E9851" i="2"/>
  <c r="D9851" i="2"/>
  <c r="C9851" i="2"/>
  <c r="B9851" i="2"/>
  <c r="A9851" i="2"/>
  <c r="E9850" i="2"/>
  <c r="D9850" i="2"/>
  <c r="C9850" i="2"/>
  <c r="B9850" i="2"/>
  <c r="A9850" i="2"/>
  <c r="E9849" i="2"/>
  <c r="D9849" i="2"/>
  <c r="C9849" i="2"/>
  <c r="B9849" i="2"/>
  <c r="A9849" i="2"/>
  <c r="E9848" i="2"/>
  <c r="D9848" i="2"/>
  <c r="C9848" i="2"/>
  <c r="B9848" i="2"/>
  <c r="A9848" i="2"/>
  <c r="E9847" i="2"/>
  <c r="D9847" i="2"/>
  <c r="C9847" i="2"/>
  <c r="B9847" i="2"/>
  <c r="A9847" i="2"/>
  <c r="E9846" i="2"/>
  <c r="D9846" i="2"/>
  <c r="C9846" i="2"/>
  <c r="B9846" i="2"/>
  <c r="A9846" i="2"/>
  <c r="E9845" i="2"/>
  <c r="D9845" i="2"/>
  <c r="C9845" i="2"/>
  <c r="B9845" i="2"/>
  <c r="A9845" i="2"/>
  <c r="E9844" i="2"/>
  <c r="D9844" i="2"/>
  <c r="C9844" i="2"/>
  <c r="B9844" i="2"/>
  <c r="A9844" i="2"/>
  <c r="E9843" i="2"/>
  <c r="D9843" i="2"/>
  <c r="C9843" i="2"/>
  <c r="B9843" i="2"/>
  <c r="A9843" i="2"/>
  <c r="E9842" i="2"/>
  <c r="D9842" i="2"/>
  <c r="C9842" i="2"/>
  <c r="B9842" i="2"/>
  <c r="A9842" i="2"/>
  <c r="E9841" i="2"/>
  <c r="D9841" i="2"/>
  <c r="C9841" i="2"/>
  <c r="B9841" i="2"/>
  <c r="A9841" i="2"/>
  <c r="E9840" i="2"/>
  <c r="D9840" i="2"/>
  <c r="C9840" i="2"/>
  <c r="B9840" i="2"/>
  <c r="A9840" i="2"/>
  <c r="E9839" i="2"/>
  <c r="D9839" i="2"/>
  <c r="C9839" i="2"/>
  <c r="B9839" i="2"/>
  <c r="A9839" i="2"/>
  <c r="E9838" i="2"/>
  <c r="D9838" i="2"/>
  <c r="C9838" i="2"/>
  <c r="B9838" i="2"/>
  <c r="A9838" i="2"/>
  <c r="E9837" i="2"/>
  <c r="D9837" i="2"/>
  <c r="C9837" i="2"/>
  <c r="B9837" i="2"/>
  <c r="A9837" i="2"/>
  <c r="E9836" i="2"/>
  <c r="D9836" i="2"/>
  <c r="C9836" i="2"/>
  <c r="B9836" i="2"/>
  <c r="A9836" i="2"/>
  <c r="E9835" i="2"/>
  <c r="D9835" i="2"/>
  <c r="C9835" i="2"/>
  <c r="B9835" i="2"/>
  <c r="A9835" i="2"/>
  <c r="E9834" i="2"/>
  <c r="D9834" i="2"/>
  <c r="C9834" i="2"/>
  <c r="B9834" i="2"/>
  <c r="A9834" i="2"/>
  <c r="E9833" i="2"/>
  <c r="D9833" i="2"/>
  <c r="C9833" i="2"/>
  <c r="B9833" i="2"/>
  <c r="A9833" i="2"/>
  <c r="E9832" i="2"/>
  <c r="D9832" i="2"/>
  <c r="C9832" i="2"/>
  <c r="B9832" i="2"/>
  <c r="A9832" i="2"/>
  <c r="E9831" i="2"/>
  <c r="D9831" i="2"/>
  <c r="C9831" i="2"/>
  <c r="B9831" i="2"/>
  <c r="A9831" i="2"/>
  <c r="E9830" i="2"/>
  <c r="D9830" i="2"/>
  <c r="C9830" i="2"/>
  <c r="B9830" i="2"/>
  <c r="A9830" i="2"/>
  <c r="E9829" i="2"/>
  <c r="D9829" i="2"/>
  <c r="C9829" i="2"/>
  <c r="B9829" i="2"/>
  <c r="A9829" i="2"/>
  <c r="E9828" i="2"/>
  <c r="D9828" i="2"/>
  <c r="C9828" i="2"/>
  <c r="B9828" i="2"/>
  <c r="A9828" i="2"/>
  <c r="E9827" i="2"/>
  <c r="D9827" i="2"/>
  <c r="C9827" i="2"/>
  <c r="B9827" i="2"/>
  <c r="A9827" i="2"/>
  <c r="E9826" i="2"/>
  <c r="D9826" i="2"/>
  <c r="C9826" i="2"/>
  <c r="B9826" i="2"/>
  <c r="A9826" i="2"/>
  <c r="E9825" i="2"/>
  <c r="D9825" i="2"/>
  <c r="C9825" i="2"/>
  <c r="B9825" i="2"/>
  <c r="A9825" i="2"/>
  <c r="E9824" i="2"/>
  <c r="D9824" i="2"/>
  <c r="C9824" i="2"/>
  <c r="B9824" i="2"/>
  <c r="A9824" i="2"/>
  <c r="E9823" i="2"/>
  <c r="D9823" i="2"/>
  <c r="C9823" i="2"/>
  <c r="B9823" i="2"/>
  <c r="A9823" i="2"/>
  <c r="E9822" i="2"/>
  <c r="D9822" i="2"/>
  <c r="C9822" i="2"/>
  <c r="B9822" i="2"/>
  <c r="A9822" i="2"/>
  <c r="E9821" i="2"/>
  <c r="D9821" i="2"/>
  <c r="C9821" i="2"/>
  <c r="B9821" i="2"/>
  <c r="A9821" i="2"/>
  <c r="E9820" i="2"/>
  <c r="D9820" i="2"/>
  <c r="C9820" i="2"/>
  <c r="B9820" i="2"/>
  <c r="A9820" i="2"/>
  <c r="E9819" i="2"/>
  <c r="D9819" i="2"/>
  <c r="C9819" i="2"/>
  <c r="B9819" i="2"/>
  <c r="A9819" i="2"/>
  <c r="E9818" i="2"/>
  <c r="D9818" i="2"/>
  <c r="C9818" i="2"/>
  <c r="B9818" i="2"/>
  <c r="A9818" i="2"/>
  <c r="E9817" i="2"/>
  <c r="D9817" i="2"/>
  <c r="C9817" i="2"/>
  <c r="B9817" i="2"/>
  <c r="A9817" i="2"/>
  <c r="E9816" i="2"/>
  <c r="D9816" i="2"/>
  <c r="C9816" i="2"/>
  <c r="B9816" i="2"/>
  <c r="A9816" i="2"/>
  <c r="E9815" i="2"/>
  <c r="D9815" i="2"/>
  <c r="C9815" i="2"/>
  <c r="B9815" i="2"/>
  <c r="A9815" i="2"/>
  <c r="E9814" i="2"/>
  <c r="D9814" i="2"/>
  <c r="C9814" i="2"/>
  <c r="B9814" i="2"/>
  <c r="A9814" i="2"/>
  <c r="E9813" i="2"/>
  <c r="D9813" i="2"/>
  <c r="C9813" i="2"/>
  <c r="B9813" i="2"/>
  <c r="A9813" i="2"/>
  <c r="E9812" i="2"/>
  <c r="D9812" i="2"/>
  <c r="C9812" i="2"/>
  <c r="B9812" i="2"/>
  <c r="A9812" i="2"/>
  <c r="E9811" i="2"/>
  <c r="D9811" i="2"/>
  <c r="C9811" i="2"/>
  <c r="B9811" i="2"/>
  <c r="A9811" i="2"/>
  <c r="E9810" i="2"/>
  <c r="D9810" i="2"/>
  <c r="C9810" i="2"/>
  <c r="B9810" i="2"/>
  <c r="A9810" i="2"/>
  <c r="E9809" i="2"/>
  <c r="D9809" i="2"/>
  <c r="C9809" i="2"/>
  <c r="B9809" i="2"/>
  <c r="A9809" i="2"/>
  <c r="E9808" i="2"/>
  <c r="D9808" i="2"/>
  <c r="C9808" i="2"/>
  <c r="B9808" i="2"/>
  <c r="A9808" i="2"/>
  <c r="E9807" i="2"/>
  <c r="D9807" i="2"/>
  <c r="C9807" i="2"/>
  <c r="B9807" i="2"/>
  <c r="A9807" i="2"/>
  <c r="E9806" i="2"/>
  <c r="D9806" i="2"/>
  <c r="C9806" i="2"/>
  <c r="B9806" i="2"/>
  <c r="A9806" i="2"/>
  <c r="E9805" i="2"/>
  <c r="D9805" i="2"/>
  <c r="C9805" i="2"/>
  <c r="B9805" i="2"/>
  <c r="A9805" i="2"/>
  <c r="E9804" i="2"/>
  <c r="D9804" i="2"/>
  <c r="C9804" i="2"/>
  <c r="B9804" i="2"/>
  <c r="A9804" i="2"/>
  <c r="E9803" i="2"/>
  <c r="D9803" i="2"/>
  <c r="C9803" i="2"/>
  <c r="B9803" i="2"/>
  <c r="A9803" i="2"/>
  <c r="E9802" i="2"/>
  <c r="D9802" i="2"/>
  <c r="C9802" i="2"/>
  <c r="B9802" i="2"/>
  <c r="A9802" i="2"/>
  <c r="E9801" i="2"/>
  <c r="D9801" i="2"/>
  <c r="C9801" i="2"/>
  <c r="B9801" i="2"/>
  <c r="A9801" i="2"/>
  <c r="E9800" i="2"/>
  <c r="D9800" i="2"/>
  <c r="C9800" i="2"/>
  <c r="B9800" i="2"/>
  <c r="A9800" i="2"/>
  <c r="E9799" i="2"/>
  <c r="D9799" i="2"/>
  <c r="C9799" i="2"/>
  <c r="B9799" i="2"/>
  <c r="A9799" i="2"/>
  <c r="E9798" i="2"/>
  <c r="D9798" i="2"/>
  <c r="C9798" i="2"/>
  <c r="B9798" i="2"/>
  <c r="A9798" i="2"/>
  <c r="E9797" i="2"/>
  <c r="D9797" i="2"/>
  <c r="C9797" i="2"/>
  <c r="B9797" i="2"/>
  <c r="A9797" i="2"/>
  <c r="E9796" i="2"/>
  <c r="D9796" i="2"/>
  <c r="C9796" i="2"/>
  <c r="B9796" i="2"/>
  <c r="A9796" i="2"/>
  <c r="E9795" i="2"/>
  <c r="D9795" i="2"/>
  <c r="C9795" i="2"/>
  <c r="B9795" i="2"/>
  <c r="A9795" i="2"/>
  <c r="E9794" i="2"/>
  <c r="D9794" i="2"/>
  <c r="C9794" i="2"/>
  <c r="B9794" i="2"/>
  <c r="A9794" i="2"/>
  <c r="E9793" i="2"/>
  <c r="D9793" i="2"/>
  <c r="C9793" i="2"/>
  <c r="B9793" i="2"/>
  <c r="A9793" i="2"/>
  <c r="E9792" i="2"/>
  <c r="D9792" i="2"/>
  <c r="C9792" i="2"/>
  <c r="B9792" i="2"/>
  <c r="A9792" i="2"/>
  <c r="E9791" i="2"/>
  <c r="D9791" i="2"/>
  <c r="C9791" i="2"/>
  <c r="B9791" i="2"/>
  <c r="A9791" i="2"/>
  <c r="E9790" i="2"/>
  <c r="D9790" i="2"/>
  <c r="C9790" i="2"/>
  <c r="B9790" i="2"/>
  <c r="A9790" i="2"/>
  <c r="E9789" i="2"/>
  <c r="D9789" i="2"/>
  <c r="C9789" i="2"/>
  <c r="B9789" i="2"/>
  <c r="A9789" i="2"/>
  <c r="E9788" i="2"/>
  <c r="D9788" i="2"/>
  <c r="C9788" i="2"/>
  <c r="B9788" i="2"/>
  <c r="A9788" i="2"/>
  <c r="E9787" i="2"/>
  <c r="D9787" i="2"/>
  <c r="C9787" i="2"/>
  <c r="B9787" i="2"/>
  <c r="A9787" i="2"/>
  <c r="E9786" i="2"/>
  <c r="D9786" i="2"/>
  <c r="C9786" i="2"/>
  <c r="B9786" i="2"/>
  <c r="A9786" i="2"/>
  <c r="E9785" i="2"/>
  <c r="D9785" i="2"/>
  <c r="C9785" i="2"/>
  <c r="B9785" i="2"/>
  <c r="A9785" i="2"/>
  <c r="E9784" i="2"/>
  <c r="D9784" i="2"/>
  <c r="C9784" i="2"/>
  <c r="B9784" i="2"/>
  <c r="A9784" i="2"/>
  <c r="E9783" i="2"/>
  <c r="D9783" i="2"/>
  <c r="C9783" i="2"/>
  <c r="B9783" i="2"/>
  <c r="A9783" i="2"/>
  <c r="E9782" i="2"/>
  <c r="D9782" i="2"/>
  <c r="C9782" i="2"/>
  <c r="B9782" i="2"/>
  <c r="A9782" i="2"/>
  <c r="E9781" i="2"/>
  <c r="D9781" i="2"/>
  <c r="C9781" i="2"/>
  <c r="B9781" i="2"/>
  <c r="A9781" i="2"/>
  <c r="E9780" i="2"/>
  <c r="D9780" i="2"/>
  <c r="C9780" i="2"/>
  <c r="B9780" i="2"/>
  <c r="A9780" i="2"/>
  <c r="E9779" i="2"/>
  <c r="D9779" i="2"/>
  <c r="C9779" i="2"/>
  <c r="B9779" i="2"/>
  <c r="A9779" i="2"/>
  <c r="E9778" i="2"/>
  <c r="D9778" i="2"/>
  <c r="C9778" i="2"/>
  <c r="B9778" i="2"/>
  <c r="A9778" i="2"/>
  <c r="E9777" i="2"/>
  <c r="D9777" i="2"/>
  <c r="C9777" i="2"/>
  <c r="B9777" i="2"/>
  <c r="A9777" i="2"/>
  <c r="E9776" i="2"/>
  <c r="D9776" i="2"/>
  <c r="C9776" i="2"/>
  <c r="B9776" i="2"/>
  <c r="A9776" i="2"/>
  <c r="E9775" i="2"/>
  <c r="D9775" i="2"/>
  <c r="C9775" i="2"/>
  <c r="B9775" i="2"/>
  <c r="A9775" i="2"/>
  <c r="E9774" i="2"/>
  <c r="D9774" i="2"/>
  <c r="C9774" i="2"/>
  <c r="B9774" i="2"/>
  <c r="A9774" i="2"/>
  <c r="E9773" i="2"/>
  <c r="D9773" i="2"/>
  <c r="C9773" i="2"/>
  <c r="B9773" i="2"/>
  <c r="A9773" i="2"/>
  <c r="E9772" i="2"/>
  <c r="D9772" i="2"/>
  <c r="C9772" i="2"/>
  <c r="B9772" i="2"/>
  <c r="A9772" i="2"/>
  <c r="E9771" i="2"/>
  <c r="D9771" i="2"/>
  <c r="C9771" i="2"/>
  <c r="B9771" i="2"/>
  <c r="A9771" i="2"/>
  <c r="E9770" i="2"/>
  <c r="D9770" i="2"/>
  <c r="C9770" i="2"/>
  <c r="B9770" i="2"/>
  <c r="A9770" i="2"/>
  <c r="E9769" i="2"/>
  <c r="D9769" i="2"/>
  <c r="C9769" i="2"/>
  <c r="B9769" i="2"/>
  <c r="A9769" i="2"/>
  <c r="E9768" i="2"/>
  <c r="D9768" i="2"/>
  <c r="C9768" i="2"/>
  <c r="B9768" i="2"/>
  <c r="A9768" i="2"/>
  <c r="E9767" i="2"/>
  <c r="D9767" i="2"/>
  <c r="C9767" i="2"/>
  <c r="B9767" i="2"/>
  <c r="A9767" i="2"/>
  <c r="E9766" i="2"/>
  <c r="D9766" i="2"/>
  <c r="C9766" i="2"/>
  <c r="B9766" i="2"/>
  <c r="A9766" i="2"/>
  <c r="E9765" i="2"/>
  <c r="D9765" i="2"/>
  <c r="C9765" i="2"/>
  <c r="B9765" i="2"/>
  <c r="A9765" i="2"/>
  <c r="E9764" i="2"/>
  <c r="D9764" i="2"/>
  <c r="C9764" i="2"/>
  <c r="B9764" i="2"/>
  <c r="A9764" i="2"/>
  <c r="E9763" i="2"/>
  <c r="D9763" i="2"/>
  <c r="C9763" i="2"/>
  <c r="B9763" i="2"/>
  <c r="A9763" i="2"/>
  <c r="E9762" i="2"/>
  <c r="D9762" i="2"/>
  <c r="C9762" i="2"/>
  <c r="B9762" i="2"/>
  <c r="A9762" i="2"/>
  <c r="E9761" i="2"/>
  <c r="D9761" i="2"/>
  <c r="C9761" i="2"/>
  <c r="B9761" i="2"/>
  <c r="A9761" i="2"/>
  <c r="E9760" i="2"/>
  <c r="D9760" i="2"/>
  <c r="C9760" i="2"/>
  <c r="B9760" i="2"/>
  <c r="A9760" i="2"/>
  <c r="E9759" i="2"/>
  <c r="D9759" i="2"/>
  <c r="C9759" i="2"/>
  <c r="B9759" i="2"/>
  <c r="A9759" i="2"/>
  <c r="E9758" i="2"/>
  <c r="D9758" i="2"/>
  <c r="C9758" i="2"/>
  <c r="B9758" i="2"/>
  <c r="A9758" i="2"/>
  <c r="E9757" i="2"/>
  <c r="D9757" i="2"/>
  <c r="C9757" i="2"/>
  <c r="B9757" i="2"/>
  <c r="A9757" i="2"/>
  <c r="E9756" i="2"/>
  <c r="D9756" i="2"/>
  <c r="C9756" i="2"/>
  <c r="B9756" i="2"/>
  <c r="A9756" i="2"/>
  <c r="E9755" i="2"/>
  <c r="D9755" i="2"/>
  <c r="C9755" i="2"/>
  <c r="B9755" i="2"/>
  <c r="A9755" i="2"/>
  <c r="E9754" i="2"/>
  <c r="D9754" i="2"/>
  <c r="C9754" i="2"/>
  <c r="B9754" i="2"/>
  <c r="A9754" i="2"/>
  <c r="E9753" i="2"/>
  <c r="D9753" i="2"/>
  <c r="C9753" i="2"/>
  <c r="B9753" i="2"/>
  <c r="A9753" i="2"/>
  <c r="E9752" i="2"/>
  <c r="D9752" i="2"/>
  <c r="C9752" i="2"/>
  <c r="B9752" i="2"/>
  <c r="A9752" i="2"/>
  <c r="E9751" i="2"/>
  <c r="D9751" i="2"/>
  <c r="C9751" i="2"/>
  <c r="B9751" i="2"/>
  <c r="A9751" i="2"/>
  <c r="E9750" i="2"/>
  <c r="D9750" i="2"/>
  <c r="C9750" i="2"/>
  <c r="B9750" i="2"/>
  <c r="A9750" i="2"/>
  <c r="E9749" i="2"/>
  <c r="D9749" i="2"/>
  <c r="C9749" i="2"/>
  <c r="B9749" i="2"/>
  <c r="A9749" i="2"/>
  <c r="E9748" i="2"/>
  <c r="D9748" i="2"/>
  <c r="C9748" i="2"/>
  <c r="B9748" i="2"/>
  <c r="A9748" i="2"/>
  <c r="E9747" i="2"/>
  <c r="D9747" i="2"/>
  <c r="C9747" i="2"/>
  <c r="B9747" i="2"/>
  <c r="A9747" i="2"/>
  <c r="E9746" i="2"/>
  <c r="D9746" i="2"/>
  <c r="C9746" i="2"/>
  <c r="B9746" i="2"/>
  <c r="A9746" i="2"/>
  <c r="E9745" i="2"/>
  <c r="D9745" i="2"/>
  <c r="C9745" i="2"/>
  <c r="B9745" i="2"/>
  <c r="A9745" i="2"/>
  <c r="E9744" i="2"/>
  <c r="D9744" i="2"/>
  <c r="C9744" i="2"/>
  <c r="B9744" i="2"/>
  <c r="A9744" i="2"/>
  <c r="E9743" i="2"/>
  <c r="D9743" i="2"/>
  <c r="C9743" i="2"/>
  <c r="B9743" i="2"/>
  <c r="A9743" i="2"/>
  <c r="E9742" i="2"/>
  <c r="D9742" i="2"/>
  <c r="C9742" i="2"/>
  <c r="B9742" i="2"/>
  <c r="A9742" i="2"/>
  <c r="E9741" i="2"/>
  <c r="D9741" i="2"/>
  <c r="C9741" i="2"/>
  <c r="B9741" i="2"/>
  <c r="A9741" i="2"/>
  <c r="E9740" i="2"/>
  <c r="D9740" i="2"/>
  <c r="C9740" i="2"/>
  <c r="B9740" i="2"/>
  <c r="A9740" i="2"/>
  <c r="E9739" i="2"/>
  <c r="D9739" i="2"/>
  <c r="C9739" i="2"/>
  <c r="B9739" i="2"/>
  <c r="A9739" i="2"/>
  <c r="E9738" i="2"/>
  <c r="D9738" i="2"/>
  <c r="C9738" i="2"/>
  <c r="B9738" i="2"/>
  <c r="A9738" i="2"/>
  <c r="E9737" i="2"/>
  <c r="D9737" i="2"/>
  <c r="C9737" i="2"/>
  <c r="B9737" i="2"/>
  <c r="A9737" i="2"/>
  <c r="E9736" i="2"/>
  <c r="D9736" i="2"/>
  <c r="C9736" i="2"/>
  <c r="B9736" i="2"/>
  <c r="A9736" i="2"/>
  <c r="E9735" i="2"/>
  <c r="D9735" i="2"/>
  <c r="C9735" i="2"/>
  <c r="B9735" i="2"/>
  <c r="A9735" i="2"/>
  <c r="E9734" i="2"/>
  <c r="D9734" i="2"/>
  <c r="C9734" i="2"/>
  <c r="B9734" i="2"/>
  <c r="A9734" i="2"/>
  <c r="E9733" i="2"/>
  <c r="D9733" i="2"/>
  <c r="C9733" i="2"/>
  <c r="B9733" i="2"/>
  <c r="A9733" i="2"/>
  <c r="E9732" i="2"/>
  <c r="D9732" i="2"/>
  <c r="C9732" i="2"/>
  <c r="B9732" i="2"/>
  <c r="A9732" i="2"/>
  <c r="E9731" i="2"/>
  <c r="D9731" i="2"/>
  <c r="C9731" i="2"/>
  <c r="B9731" i="2"/>
  <c r="A9731" i="2"/>
  <c r="E9730" i="2"/>
  <c r="D9730" i="2"/>
  <c r="C9730" i="2"/>
  <c r="B9730" i="2"/>
  <c r="A9730" i="2"/>
  <c r="E9729" i="2"/>
  <c r="D9729" i="2"/>
  <c r="C9729" i="2"/>
  <c r="B9729" i="2"/>
  <c r="A9729" i="2"/>
  <c r="E9728" i="2"/>
  <c r="D9728" i="2"/>
  <c r="C9728" i="2"/>
  <c r="B9728" i="2"/>
  <c r="A9728" i="2"/>
  <c r="E9727" i="2"/>
  <c r="D9727" i="2"/>
  <c r="C9727" i="2"/>
  <c r="B9727" i="2"/>
  <c r="A9727" i="2"/>
  <c r="E9726" i="2"/>
  <c r="D9726" i="2"/>
  <c r="C9726" i="2"/>
  <c r="B9726" i="2"/>
  <c r="A9726" i="2"/>
  <c r="E9725" i="2"/>
  <c r="D9725" i="2"/>
  <c r="C9725" i="2"/>
  <c r="B9725" i="2"/>
  <c r="A9725" i="2"/>
  <c r="E9724" i="2"/>
  <c r="D9724" i="2"/>
  <c r="C9724" i="2"/>
  <c r="B9724" i="2"/>
  <c r="A9724" i="2"/>
  <c r="E9723" i="2"/>
  <c r="D9723" i="2"/>
  <c r="C9723" i="2"/>
  <c r="B9723" i="2"/>
  <c r="A9723" i="2"/>
  <c r="E9722" i="2"/>
  <c r="D9722" i="2"/>
  <c r="C9722" i="2"/>
  <c r="B9722" i="2"/>
  <c r="A9722" i="2"/>
  <c r="E9721" i="2"/>
  <c r="D9721" i="2"/>
  <c r="C9721" i="2"/>
  <c r="B9721" i="2"/>
  <c r="A9721" i="2"/>
  <c r="E9720" i="2"/>
  <c r="D9720" i="2"/>
  <c r="C9720" i="2"/>
  <c r="B9720" i="2"/>
  <c r="A9720" i="2"/>
  <c r="E9719" i="2"/>
  <c r="D9719" i="2"/>
  <c r="C9719" i="2"/>
  <c r="B9719" i="2"/>
  <c r="A9719" i="2"/>
  <c r="E9718" i="2"/>
  <c r="D9718" i="2"/>
  <c r="C9718" i="2"/>
  <c r="B9718" i="2"/>
  <c r="A9718" i="2"/>
  <c r="E9717" i="2"/>
  <c r="D9717" i="2"/>
  <c r="C9717" i="2"/>
  <c r="B9717" i="2"/>
  <c r="A9717" i="2"/>
  <c r="E9716" i="2"/>
  <c r="D9716" i="2"/>
  <c r="C9716" i="2"/>
  <c r="B9716" i="2"/>
  <c r="A9716" i="2"/>
  <c r="E9715" i="2"/>
  <c r="D9715" i="2"/>
  <c r="C9715" i="2"/>
  <c r="B9715" i="2"/>
  <c r="A9715" i="2"/>
  <c r="E9714" i="2"/>
  <c r="D9714" i="2"/>
  <c r="C9714" i="2"/>
  <c r="B9714" i="2"/>
  <c r="A9714" i="2"/>
  <c r="E9713" i="2"/>
  <c r="D9713" i="2"/>
  <c r="C9713" i="2"/>
  <c r="B9713" i="2"/>
  <c r="A9713" i="2"/>
  <c r="E9712" i="2"/>
  <c r="D9712" i="2"/>
  <c r="C9712" i="2"/>
  <c r="B9712" i="2"/>
  <c r="A9712" i="2"/>
  <c r="E9711" i="2"/>
  <c r="D9711" i="2"/>
  <c r="C9711" i="2"/>
  <c r="B9711" i="2"/>
  <c r="A9711" i="2"/>
  <c r="E9710" i="2"/>
  <c r="D9710" i="2"/>
  <c r="C9710" i="2"/>
  <c r="B9710" i="2"/>
  <c r="A9710" i="2"/>
  <c r="E9709" i="2"/>
  <c r="D9709" i="2"/>
  <c r="C9709" i="2"/>
  <c r="B9709" i="2"/>
  <c r="A9709" i="2"/>
  <c r="E9708" i="2"/>
  <c r="D9708" i="2"/>
  <c r="C9708" i="2"/>
  <c r="B9708" i="2"/>
  <c r="A9708" i="2"/>
  <c r="E9707" i="2"/>
  <c r="D9707" i="2"/>
  <c r="C9707" i="2"/>
  <c r="B9707" i="2"/>
  <c r="A9707" i="2"/>
  <c r="E9706" i="2"/>
  <c r="D9706" i="2"/>
  <c r="C9706" i="2"/>
  <c r="B9706" i="2"/>
  <c r="A9706" i="2"/>
  <c r="E9705" i="2"/>
  <c r="D9705" i="2"/>
  <c r="C9705" i="2"/>
  <c r="B9705" i="2"/>
  <c r="A9705" i="2"/>
  <c r="E9704" i="2"/>
  <c r="D9704" i="2"/>
  <c r="C9704" i="2"/>
  <c r="B9704" i="2"/>
  <c r="A9704" i="2"/>
  <c r="E9703" i="2"/>
  <c r="D9703" i="2"/>
  <c r="C9703" i="2"/>
  <c r="B9703" i="2"/>
  <c r="A9703" i="2"/>
  <c r="E9702" i="2"/>
  <c r="D9702" i="2"/>
  <c r="C9702" i="2"/>
  <c r="B9702" i="2"/>
  <c r="A9702" i="2"/>
  <c r="E9701" i="2"/>
  <c r="D9701" i="2"/>
  <c r="C9701" i="2"/>
  <c r="B9701" i="2"/>
  <c r="A9701" i="2"/>
  <c r="E9700" i="2"/>
  <c r="D9700" i="2"/>
  <c r="C9700" i="2"/>
  <c r="B9700" i="2"/>
  <c r="A9700" i="2"/>
  <c r="E9699" i="2"/>
  <c r="D9699" i="2"/>
  <c r="C9699" i="2"/>
  <c r="B9699" i="2"/>
  <c r="A9699" i="2"/>
  <c r="E9698" i="2"/>
  <c r="D9698" i="2"/>
  <c r="C9698" i="2"/>
  <c r="B9698" i="2"/>
  <c r="A9698" i="2"/>
  <c r="E9697" i="2"/>
  <c r="D9697" i="2"/>
  <c r="C9697" i="2"/>
  <c r="B9697" i="2"/>
  <c r="A9697" i="2"/>
  <c r="E9696" i="2"/>
  <c r="D9696" i="2"/>
  <c r="C9696" i="2"/>
  <c r="B9696" i="2"/>
  <c r="A9696" i="2"/>
  <c r="E9695" i="2"/>
  <c r="D9695" i="2"/>
  <c r="C9695" i="2"/>
  <c r="B9695" i="2"/>
  <c r="A9695" i="2"/>
  <c r="E9694" i="2"/>
  <c r="D9694" i="2"/>
  <c r="C9694" i="2"/>
  <c r="B9694" i="2"/>
  <c r="A9694" i="2"/>
  <c r="E9693" i="2"/>
  <c r="D9693" i="2"/>
  <c r="C9693" i="2"/>
  <c r="B9693" i="2"/>
  <c r="A9693" i="2"/>
  <c r="E9692" i="2"/>
  <c r="D9692" i="2"/>
  <c r="C9692" i="2"/>
  <c r="B9692" i="2"/>
  <c r="A9692" i="2"/>
  <c r="E9691" i="2"/>
  <c r="D9691" i="2"/>
  <c r="C9691" i="2"/>
  <c r="B9691" i="2"/>
  <c r="A9691" i="2"/>
  <c r="E9690" i="2"/>
  <c r="D9690" i="2"/>
  <c r="C9690" i="2"/>
  <c r="B9690" i="2"/>
  <c r="A9690" i="2"/>
  <c r="E9689" i="2"/>
  <c r="D9689" i="2"/>
  <c r="C9689" i="2"/>
  <c r="B9689" i="2"/>
  <c r="A9689" i="2"/>
  <c r="E9688" i="2"/>
  <c r="D9688" i="2"/>
  <c r="C9688" i="2"/>
  <c r="B9688" i="2"/>
  <c r="A9688" i="2"/>
  <c r="E9687" i="2"/>
  <c r="D9687" i="2"/>
  <c r="C9687" i="2"/>
  <c r="B9687" i="2"/>
  <c r="A9687" i="2"/>
  <c r="E9686" i="2"/>
  <c r="D9686" i="2"/>
  <c r="C9686" i="2"/>
  <c r="B9686" i="2"/>
  <c r="A9686" i="2"/>
  <c r="E9685" i="2"/>
  <c r="D9685" i="2"/>
  <c r="C9685" i="2"/>
  <c r="B9685" i="2"/>
  <c r="A9685" i="2"/>
  <c r="E9684" i="2"/>
  <c r="D9684" i="2"/>
  <c r="C9684" i="2"/>
  <c r="B9684" i="2"/>
  <c r="A9684" i="2"/>
  <c r="E9683" i="2"/>
  <c r="D9683" i="2"/>
  <c r="C9683" i="2"/>
  <c r="B9683" i="2"/>
  <c r="A9683" i="2"/>
  <c r="E9682" i="2"/>
  <c r="D9682" i="2"/>
  <c r="C9682" i="2"/>
  <c r="B9682" i="2"/>
  <c r="A9682" i="2"/>
  <c r="E9681" i="2"/>
  <c r="D9681" i="2"/>
  <c r="C9681" i="2"/>
  <c r="B9681" i="2"/>
  <c r="A9681" i="2"/>
  <c r="E9680" i="2"/>
  <c r="D9680" i="2"/>
  <c r="C9680" i="2"/>
  <c r="B9680" i="2"/>
  <c r="A9680" i="2"/>
  <c r="E9679" i="2"/>
  <c r="D9679" i="2"/>
  <c r="C9679" i="2"/>
  <c r="B9679" i="2"/>
  <c r="A9679" i="2"/>
  <c r="E9678" i="2"/>
  <c r="D9678" i="2"/>
  <c r="C9678" i="2"/>
  <c r="B9678" i="2"/>
  <c r="A9678" i="2"/>
  <c r="E9677" i="2"/>
  <c r="D9677" i="2"/>
  <c r="C9677" i="2"/>
  <c r="B9677" i="2"/>
  <c r="A9677" i="2"/>
  <c r="E9676" i="2"/>
  <c r="D9676" i="2"/>
  <c r="C9676" i="2"/>
  <c r="B9676" i="2"/>
  <c r="A9676" i="2"/>
  <c r="E9675" i="2"/>
  <c r="D9675" i="2"/>
  <c r="C9675" i="2"/>
  <c r="B9675" i="2"/>
  <c r="A9675" i="2"/>
  <c r="E9674" i="2"/>
  <c r="D9674" i="2"/>
  <c r="C9674" i="2"/>
  <c r="B9674" i="2"/>
  <c r="A9674" i="2"/>
  <c r="E9673" i="2"/>
  <c r="D9673" i="2"/>
  <c r="C9673" i="2"/>
  <c r="B9673" i="2"/>
  <c r="A9673" i="2"/>
  <c r="E9672" i="2"/>
  <c r="D9672" i="2"/>
  <c r="C9672" i="2"/>
  <c r="B9672" i="2"/>
  <c r="A9672" i="2"/>
  <c r="E9671" i="2"/>
  <c r="D9671" i="2"/>
  <c r="C9671" i="2"/>
  <c r="B9671" i="2"/>
  <c r="A9671" i="2"/>
  <c r="E9670" i="2"/>
  <c r="D9670" i="2"/>
  <c r="C9670" i="2"/>
  <c r="B9670" i="2"/>
  <c r="A9670" i="2"/>
  <c r="E9669" i="2"/>
  <c r="D9669" i="2"/>
  <c r="C9669" i="2"/>
  <c r="B9669" i="2"/>
  <c r="A9669" i="2"/>
  <c r="E9668" i="2"/>
  <c r="D9668" i="2"/>
  <c r="C9668" i="2"/>
  <c r="B9668" i="2"/>
  <c r="A9668" i="2"/>
  <c r="E9667" i="2"/>
  <c r="D9667" i="2"/>
  <c r="C9667" i="2"/>
  <c r="B9667" i="2"/>
  <c r="A9667" i="2"/>
  <c r="E9666" i="2"/>
  <c r="D9666" i="2"/>
  <c r="C9666" i="2"/>
  <c r="B9666" i="2"/>
  <c r="A9666" i="2"/>
  <c r="E9665" i="2"/>
  <c r="D9665" i="2"/>
  <c r="C9665" i="2"/>
  <c r="B9665" i="2"/>
  <c r="A9665" i="2"/>
  <c r="E9664" i="2"/>
  <c r="D9664" i="2"/>
  <c r="C9664" i="2"/>
  <c r="B9664" i="2"/>
  <c r="A9664" i="2"/>
  <c r="E9663" i="2"/>
  <c r="D9663" i="2"/>
  <c r="C9663" i="2"/>
  <c r="B9663" i="2"/>
  <c r="A9663" i="2"/>
  <c r="E9662" i="2"/>
  <c r="D9662" i="2"/>
  <c r="C9662" i="2"/>
  <c r="B9662" i="2"/>
  <c r="A9662" i="2"/>
  <c r="E9661" i="2"/>
  <c r="D9661" i="2"/>
  <c r="C9661" i="2"/>
  <c r="B9661" i="2"/>
  <c r="A9661" i="2"/>
  <c r="E9660" i="2"/>
  <c r="D9660" i="2"/>
  <c r="C9660" i="2"/>
  <c r="B9660" i="2"/>
  <c r="A9660" i="2"/>
  <c r="E9659" i="2"/>
  <c r="D9659" i="2"/>
  <c r="C9659" i="2"/>
  <c r="B9659" i="2"/>
  <c r="A9659" i="2"/>
  <c r="E9658" i="2"/>
  <c r="D9658" i="2"/>
  <c r="C9658" i="2"/>
  <c r="B9658" i="2"/>
  <c r="A9658" i="2"/>
  <c r="E9657" i="2"/>
  <c r="D9657" i="2"/>
  <c r="C9657" i="2"/>
  <c r="B9657" i="2"/>
  <c r="A9657" i="2"/>
  <c r="E9656" i="2"/>
  <c r="D9656" i="2"/>
  <c r="C9656" i="2"/>
  <c r="B9656" i="2"/>
  <c r="A9656" i="2"/>
  <c r="E9655" i="2"/>
  <c r="D9655" i="2"/>
  <c r="C9655" i="2"/>
  <c r="B9655" i="2"/>
  <c r="A9655" i="2"/>
  <c r="E9654" i="2"/>
  <c r="D9654" i="2"/>
  <c r="C9654" i="2"/>
  <c r="B9654" i="2"/>
  <c r="A9654" i="2"/>
  <c r="E9653" i="2"/>
  <c r="D9653" i="2"/>
  <c r="C9653" i="2"/>
  <c r="B9653" i="2"/>
  <c r="A9653" i="2"/>
  <c r="E9652" i="2"/>
  <c r="D9652" i="2"/>
  <c r="C9652" i="2"/>
  <c r="B9652" i="2"/>
  <c r="A9652" i="2"/>
  <c r="E9651" i="2"/>
  <c r="D9651" i="2"/>
  <c r="C9651" i="2"/>
  <c r="B9651" i="2"/>
  <c r="A9651" i="2"/>
  <c r="E9650" i="2"/>
  <c r="D9650" i="2"/>
  <c r="C9650" i="2"/>
  <c r="B9650" i="2"/>
  <c r="A9650" i="2"/>
  <c r="E9649" i="2"/>
  <c r="D9649" i="2"/>
  <c r="C9649" i="2"/>
  <c r="B9649" i="2"/>
  <c r="A9649" i="2"/>
  <c r="E9648" i="2"/>
  <c r="D9648" i="2"/>
  <c r="C9648" i="2"/>
  <c r="B9648" i="2"/>
  <c r="A9648" i="2"/>
  <c r="E9647" i="2"/>
  <c r="D9647" i="2"/>
  <c r="C9647" i="2"/>
  <c r="B9647" i="2"/>
  <c r="A9647" i="2"/>
  <c r="E9646" i="2"/>
  <c r="D9646" i="2"/>
  <c r="C9646" i="2"/>
  <c r="B9646" i="2"/>
  <c r="A9646" i="2"/>
  <c r="E9645" i="2"/>
  <c r="D9645" i="2"/>
  <c r="C9645" i="2"/>
  <c r="B9645" i="2"/>
  <c r="A9645" i="2"/>
  <c r="E9644" i="2"/>
  <c r="D9644" i="2"/>
  <c r="C9644" i="2"/>
  <c r="B9644" i="2"/>
  <c r="A9644" i="2"/>
  <c r="E9643" i="2"/>
  <c r="D9643" i="2"/>
  <c r="C9643" i="2"/>
  <c r="B9643" i="2"/>
  <c r="A9643" i="2"/>
  <c r="E9642" i="2"/>
  <c r="D9642" i="2"/>
  <c r="C9642" i="2"/>
  <c r="B9642" i="2"/>
  <c r="A9642" i="2"/>
  <c r="E9641" i="2"/>
  <c r="D9641" i="2"/>
  <c r="C9641" i="2"/>
  <c r="B9641" i="2"/>
  <c r="A9641" i="2"/>
  <c r="E9640" i="2"/>
  <c r="D9640" i="2"/>
  <c r="C9640" i="2"/>
  <c r="B9640" i="2"/>
  <c r="A9640" i="2"/>
  <c r="E9639" i="2"/>
  <c r="D9639" i="2"/>
  <c r="C9639" i="2"/>
  <c r="B9639" i="2"/>
  <c r="A9639" i="2"/>
  <c r="E9638" i="2"/>
  <c r="D9638" i="2"/>
  <c r="C9638" i="2"/>
  <c r="B9638" i="2"/>
  <c r="A9638" i="2"/>
  <c r="E9637" i="2"/>
  <c r="D9637" i="2"/>
  <c r="C9637" i="2"/>
  <c r="B9637" i="2"/>
  <c r="A9637" i="2"/>
  <c r="E9636" i="2"/>
  <c r="D9636" i="2"/>
  <c r="C9636" i="2"/>
  <c r="B9636" i="2"/>
  <c r="A9636" i="2"/>
  <c r="E9635" i="2"/>
  <c r="D9635" i="2"/>
  <c r="C9635" i="2"/>
  <c r="B9635" i="2"/>
  <c r="A9635" i="2"/>
  <c r="E9634" i="2"/>
  <c r="D9634" i="2"/>
  <c r="C9634" i="2"/>
  <c r="B9634" i="2"/>
  <c r="A9634" i="2"/>
  <c r="E9633" i="2"/>
  <c r="D9633" i="2"/>
  <c r="C9633" i="2"/>
  <c r="B9633" i="2"/>
  <c r="A9633" i="2"/>
  <c r="E9632" i="2"/>
  <c r="D9632" i="2"/>
  <c r="C9632" i="2"/>
  <c r="B9632" i="2"/>
  <c r="A9632" i="2"/>
  <c r="E9631" i="2"/>
  <c r="D9631" i="2"/>
  <c r="C9631" i="2"/>
  <c r="B9631" i="2"/>
  <c r="A9631" i="2"/>
  <c r="E9630" i="2"/>
  <c r="D9630" i="2"/>
  <c r="C9630" i="2"/>
  <c r="B9630" i="2"/>
  <c r="A9630" i="2"/>
  <c r="E9629" i="2"/>
  <c r="D9629" i="2"/>
  <c r="C9629" i="2"/>
  <c r="B9629" i="2"/>
  <c r="A9629" i="2"/>
  <c r="E9628" i="2"/>
  <c r="D9628" i="2"/>
  <c r="C9628" i="2"/>
  <c r="B9628" i="2"/>
  <c r="A9628" i="2"/>
  <c r="E9627" i="2"/>
  <c r="D9627" i="2"/>
  <c r="C9627" i="2"/>
  <c r="B9627" i="2"/>
  <c r="A9627" i="2"/>
  <c r="E9626" i="2"/>
  <c r="D9626" i="2"/>
  <c r="C9626" i="2"/>
  <c r="B9626" i="2"/>
  <c r="A9626" i="2"/>
  <c r="E9625" i="2"/>
  <c r="D9625" i="2"/>
  <c r="C9625" i="2"/>
  <c r="B9625" i="2"/>
  <c r="A9625" i="2"/>
  <c r="E9624" i="2"/>
  <c r="D9624" i="2"/>
  <c r="C9624" i="2"/>
  <c r="B9624" i="2"/>
  <c r="A9624" i="2"/>
  <c r="E9623" i="2"/>
  <c r="D9623" i="2"/>
  <c r="C9623" i="2"/>
  <c r="B9623" i="2"/>
  <c r="A9623" i="2"/>
  <c r="E9622" i="2"/>
  <c r="D9622" i="2"/>
  <c r="C9622" i="2"/>
  <c r="B9622" i="2"/>
  <c r="A9622" i="2"/>
  <c r="E9621" i="2"/>
  <c r="D9621" i="2"/>
  <c r="C9621" i="2"/>
  <c r="B9621" i="2"/>
  <c r="A9621" i="2"/>
  <c r="E9620" i="2"/>
  <c r="D9620" i="2"/>
  <c r="C9620" i="2"/>
  <c r="B9620" i="2"/>
  <c r="A9620" i="2"/>
  <c r="E9619" i="2"/>
  <c r="D9619" i="2"/>
  <c r="C9619" i="2"/>
  <c r="B9619" i="2"/>
  <c r="A9619" i="2"/>
  <c r="E9618" i="2"/>
  <c r="D9618" i="2"/>
  <c r="C9618" i="2"/>
  <c r="B9618" i="2"/>
  <c r="A9618" i="2"/>
  <c r="E9617" i="2"/>
  <c r="D9617" i="2"/>
  <c r="C9617" i="2"/>
  <c r="B9617" i="2"/>
  <c r="A9617" i="2"/>
  <c r="E9616" i="2"/>
  <c r="D9616" i="2"/>
  <c r="C9616" i="2"/>
  <c r="B9616" i="2"/>
  <c r="A9616" i="2"/>
  <c r="E9615" i="2"/>
  <c r="D9615" i="2"/>
  <c r="C9615" i="2"/>
  <c r="B9615" i="2"/>
  <c r="A9615" i="2"/>
  <c r="E9614" i="2"/>
  <c r="D9614" i="2"/>
  <c r="C9614" i="2"/>
  <c r="B9614" i="2"/>
  <c r="A9614" i="2"/>
  <c r="E9613" i="2"/>
  <c r="D9613" i="2"/>
  <c r="C9613" i="2"/>
  <c r="B9613" i="2"/>
  <c r="A9613" i="2"/>
  <c r="E9612" i="2"/>
  <c r="D9612" i="2"/>
  <c r="C9612" i="2"/>
  <c r="B9612" i="2"/>
  <c r="A9612" i="2"/>
  <c r="E9611" i="2"/>
  <c r="D9611" i="2"/>
  <c r="C9611" i="2"/>
  <c r="B9611" i="2"/>
  <c r="A9611" i="2"/>
  <c r="E9610" i="2"/>
  <c r="D9610" i="2"/>
  <c r="C9610" i="2"/>
  <c r="B9610" i="2"/>
  <c r="A9610" i="2"/>
  <c r="E9609" i="2"/>
  <c r="D9609" i="2"/>
  <c r="C9609" i="2"/>
  <c r="B9609" i="2"/>
  <c r="A9609" i="2"/>
  <c r="E9608" i="2"/>
  <c r="D9608" i="2"/>
  <c r="C9608" i="2"/>
  <c r="B9608" i="2"/>
  <c r="A9608" i="2"/>
  <c r="E9607" i="2"/>
  <c r="D9607" i="2"/>
  <c r="C9607" i="2"/>
  <c r="B9607" i="2"/>
  <c r="A9607" i="2"/>
  <c r="E9606" i="2"/>
  <c r="D9606" i="2"/>
  <c r="C9606" i="2"/>
  <c r="B9606" i="2"/>
  <c r="A9606" i="2"/>
  <c r="E9605" i="2"/>
  <c r="D9605" i="2"/>
  <c r="C9605" i="2"/>
  <c r="B9605" i="2"/>
  <c r="A9605" i="2"/>
  <c r="E9604" i="2"/>
  <c r="D9604" i="2"/>
  <c r="C9604" i="2"/>
  <c r="B9604" i="2"/>
  <c r="A9604" i="2"/>
  <c r="E9603" i="2"/>
  <c r="D9603" i="2"/>
  <c r="C9603" i="2"/>
  <c r="B9603" i="2"/>
  <c r="A9603" i="2"/>
  <c r="E9602" i="2"/>
  <c r="D9602" i="2"/>
  <c r="C9602" i="2"/>
  <c r="B9602" i="2"/>
  <c r="A9602" i="2"/>
  <c r="E9601" i="2"/>
  <c r="D9601" i="2"/>
  <c r="C9601" i="2"/>
  <c r="B9601" i="2"/>
  <c r="A9601" i="2"/>
  <c r="E9600" i="2"/>
  <c r="D9600" i="2"/>
  <c r="C9600" i="2"/>
  <c r="B9600" i="2"/>
  <c r="A9600" i="2"/>
  <c r="E9599" i="2"/>
  <c r="D9599" i="2"/>
  <c r="C9599" i="2"/>
  <c r="B9599" i="2"/>
  <c r="A9599" i="2"/>
  <c r="E9598" i="2"/>
  <c r="D9598" i="2"/>
  <c r="C9598" i="2"/>
  <c r="B9598" i="2"/>
  <c r="A9598" i="2"/>
  <c r="E9597" i="2"/>
  <c r="D9597" i="2"/>
  <c r="C9597" i="2"/>
  <c r="B9597" i="2"/>
  <c r="A9597" i="2"/>
  <c r="E9596" i="2"/>
  <c r="D9596" i="2"/>
  <c r="C9596" i="2"/>
  <c r="B9596" i="2"/>
  <c r="A9596" i="2"/>
  <c r="E9595" i="2"/>
  <c r="D9595" i="2"/>
  <c r="C9595" i="2"/>
  <c r="B9595" i="2"/>
  <c r="A9595" i="2"/>
  <c r="E9594" i="2"/>
  <c r="D9594" i="2"/>
  <c r="C9594" i="2"/>
  <c r="B9594" i="2"/>
  <c r="A9594" i="2"/>
  <c r="E9593" i="2"/>
  <c r="D9593" i="2"/>
  <c r="C9593" i="2"/>
  <c r="B9593" i="2"/>
  <c r="A9593" i="2"/>
  <c r="E9592" i="2"/>
  <c r="D9592" i="2"/>
  <c r="C9592" i="2"/>
  <c r="B9592" i="2"/>
  <c r="A9592" i="2"/>
  <c r="E9591" i="2"/>
  <c r="D9591" i="2"/>
  <c r="C9591" i="2"/>
  <c r="B9591" i="2"/>
  <c r="A9591" i="2"/>
  <c r="E9590" i="2"/>
  <c r="D9590" i="2"/>
  <c r="C9590" i="2"/>
  <c r="B9590" i="2"/>
  <c r="A9590" i="2"/>
  <c r="E9589" i="2"/>
  <c r="D9589" i="2"/>
  <c r="C9589" i="2"/>
  <c r="B9589" i="2"/>
  <c r="A9589" i="2"/>
  <c r="E9588" i="2"/>
  <c r="D9588" i="2"/>
  <c r="C9588" i="2"/>
  <c r="B9588" i="2"/>
  <c r="A9588" i="2"/>
  <c r="E9587" i="2"/>
  <c r="D9587" i="2"/>
  <c r="C9587" i="2"/>
  <c r="B9587" i="2"/>
  <c r="A9587" i="2"/>
  <c r="E9586" i="2"/>
  <c r="D9586" i="2"/>
  <c r="C9586" i="2"/>
  <c r="B9586" i="2"/>
  <c r="A9586" i="2"/>
  <c r="E9585" i="2"/>
  <c r="D9585" i="2"/>
  <c r="C9585" i="2"/>
  <c r="B9585" i="2"/>
  <c r="A9585" i="2"/>
  <c r="E9584" i="2"/>
  <c r="D9584" i="2"/>
  <c r="C9584" i="2"/>
  <c r="B9584" i="2"/>
  <c r="A9584" i="2"/>
  <c r="E9583" i="2"/>
  <c r="D9583" i="2"/>
  <c r="C9583" i="2"/>
  <c r="B9583" i="2"/>
  <c r="A9583" i="2"/>
  <c r="E9582" i="2"/>
  <c r="D9582" i="2"/>
  <c r="C9582" i="2"/>
  <c r="B9582" i="2"/>
  <c r="A9582" i="2"/>
  <c r="E9581" i="2"/>
  <c r="D9581" i="2"/>
  <c r="C9581" i="2"/>
  <c r="B9581" i="2"/>
  <c r="A9581" i="2"/>
  <c r="E9580" i="2"/>
  <c r="D9580" i="2"/>
  <c r="C9580" i="2"/>
  <c r="B9580" i="2"/>
  <c r="A9580" i="2"/>
  <c r="E9579" i="2"/>
  <c r="D9579" i="2"/>
  <c r="C9579" i="2"/>
  <c r="B9579" i="2"/>
  <c r="A9579" i="2"/>
  <c r="E9578" i="2"/>
  <c r="D9578" i="2"/>
  <c r="C9578" i="2"/>
  <c r="B9578" i="2"/>
  <c r="A9578" i="2"/>
  <c r="E9577" i="2"/>
  <c r="D9577" i="2"/>
  <c r="C9577" i="2"/>
  <c r="B9577" i="2"/>
  <c r="A9577" i="2"/>
  <c r="E9576" i="2"/>
  <c r="D9576" i="2"/>
  <c r="C9576" i="2"/>
  <c r="B9576" i="2"/>
  <c r="A9576" i="2"/>
  <c r="E9575" i="2"/>
  <c r="D9575" i="2"/>
  <c r="C9575" i="2"/>
  <c r="B9575" i="2"/>
  <c r="A9575" i="2"/>
  <c r="E9574" i="2"/>
  <c r="D9574" i="2"/>
  <c r="C9574" i="2"/>
  <c r="B9574" i="2"/>
  <c r="A9574" i="2"/>
  <c r="E9573" i="2"/>
  <c r="D9573" i="2"/>
  <c r="C9573" i="2"/>
  <c r="B9573" i="2"/>
  <c r="A9573" i="2"/>
  <c r="E9572" i="2"/>
  <c r="D9572" i="2"/>
  <c r="C9572" i="2"/>
  <c r="B9572" i="2"/>
  <c r="A9572" i="2"/>
  <c r="E9571" i="2"/>
  <c r="D9571" i="2"/>
  <c r="C9571" i="2"/>
  <c r="B9571" i="2"/>
  <c r="A9571" i="2"/>
  <c r="E9570" i="2"/>
  <c r="D9570" i="2"/>
  <c r="C9570" i="2"/>
  <c r="B9570" i="2"/>
  <c r="A9570" i="2"/>
  <c r="E9569" i="2"/>
  <c r="D9569" i="2"/>
  <c r="C9569" i="2"/>
  <c r="B9569" i="2"/>
  <c r="A9569" i="2"/>
  <c r="E9568" i="2"/>
  <c r="D9568" i="2"/>
  <c r="C9568" i="2"/>
  <c r="B9568" i="2"/>
  <c r="A9568" i="2"/>
  <c r="E9567" i="2"/>
  <c r="D9567" i="2"/>
  <c r="C9567" i="2"/>
  <c r="B9567" i="2"/>
  <c r="A9567" i="2"/>
  <c r="E9566" i="2"/>
  <c r="D9566" i="2"/>
  <c r="C9566" i="2"/>
  <c r="B9566" i="2"/>
  <c r="A9566" i="2"/>
  <c r="E9565" i="2"/>
  <c r="D9565" i="2"/>
  <c r="C9565" i="2"/>
  <c r="B9565" i="2"/>
  <c r="A9565" i="2"/>
  <c r="E9564" i="2"/>
  <c r="D9564" i="2"/>
  <c r="C9564" i="2"/>
  <c r="B9564" i="2"/>
  <c r="A9564" i="2"/>
  <c r="E9563" i="2"/>
  <c r="D9563" i="2"/>
  <c r="C9563" i="2"/>
  <c r="B9563" i="2"/>
  <c r="A9563" i="2"/>
  <c r="E9562" i="2"/>
  <c r="D9562" i="2"/>
  <c r="C9562" i="2"/>
  <c r="B9562" i="2"/>
  <c r="A9562" i="2"/>
  <c r="E9561" i="2"/>
  <c r="D9561" i="2"/>
  <c r="C9561" i="2"/>
  <c r="B9561" i="2"/>
  <c r="A9561" i="2"/>
  <c r="E9560" i="2"/>
  <c r="D9560" i="2"/>
  <c r="C9560" i="2"/>
  <c r="B9560" i="2"/>
  <c r="A9560" i="2"/>
  <c r="E9559" i="2"/>
  <c r="D9559" i="2"/>
  <c r="C9559" i="2"/>
  <c r="B9559" i="2"/>
  <c r="A9559" i="2"/>
  <c r="E9558" i="2"/>
  <c r="D9558" i="2"/>
  <c r="C9558" i="2"/>
  <c r="B9558" i="2"/>
  <c r="A9558" i="2"/>
  <c r="E9557" i="2"/>
  <c r="D9557" i="2"/>
  <c r="C9557" i="2"/>
  <c r="B9557" i="2"/>
  <c r="A9557" i="2"/>
  <c r="E9556" i="2"/>
  <c r="D9556" i="2"/>
  <c r="C9556" i="2"/>
  <c r="B9556" i="2"/>
  <c r="A9556" i="2"/>
  <c r="E9555" i="2"/>
  <c r="D9555" i="2"/>
  <c r="C9555" i="2"/>
  <c r="B9555" i="2"/>
  <c r="A9555" i="2"/>
  <c r="E9554" i="2"/>
  <c r="D9554" i="2"/>
  <c r="C9554" i="2"/>
  <c r="B9554" i="2"/>
  <c r="A9554" i="2"/>
  <c r="E9553" i="2"/>
  <c r="D9553" i="2"/>
  <c r="C9553" i="2"/>
  <c r="B9553" i="2"/>
  <c r="A9553" i="2"/>
  <c r="E9552" i="2"/>
  <c r="D9552" i="2"/>
  <c r="C9552" i="2"/>
  <c r="B9552" i="2"/>
  <c r="A9552" i="2"/>
  <c r="E9551" i="2"/>
  <c r="D9551" i="2"/>
  <c r="C9551" i="2"/>
  <c r="B9551" i="2"/>
  <c r="A9551" i="2"/>
  <c r="E9550" i="2"/>
  <c r="D9550" i="2"/>
  <c r="C9550" i="2"/>
  <c r="B9550" i="2"/>
  <c r="A9550" i="2"/>
  <c r="E9549" i="2"/>
  <c r="D9549" i="2"/>
  <c r="C9549" i="2"/>
  <c r="B9549" i="2"/>
  <c r="A9549" i="2"/>
  <c r="E9548" i="2"/>
  <c r="D9548" i="2"/>
  <c r="C9548" i="2"/>
  <c r="B9548" i="2"/>
  <c r="A9548" i="2"/>
  <c r="E9547" i="2"/>
  <c r="D9547" i="2"/>
  <c r="C9547" i="2"/>
  <c r="B9547" i="2"/>
  <c r="A9547" i="2"/>
  <c r="E9546" i="2"/>
  <c r="D9546" i="2"/>
  <c r="C9546" i="2"/>
  <c r="B9546" i="2"/>
  <c r="A9546" i="2"/>
  <c r="E9545" i="2"/>
  <c r="D9545" i="2"/>
  <c r="C9545" i="2"/>
  <c r="B9545" i="2"/>
  <c r="A9545" i="2"/>
  <c r="E9544" i="2"/>
  <c r="D9544" i="2"/>
  <c r="C9544" i="2"/>
  <c r="B9544" i="2"/>
  <c r="A9544" i="2"/>
  <c r="E9543" i="2"/>
  <c r="D9543" i="2"/>
  <c r="C9543" i="2"/>
  <c r="B9543" i="2"/>
  <c r="A9543" i="2"/>
  <c r="E9542" i="2"/>
  <c r="D9542" i="2"/>
  <c r="C9542" i="2"/>
  <c r="B9542" i="2"/>
  <c r="A9542" i="2"/>
  <c r="E9541" i="2"/>
  <c r="D9541" i="2"/>
  <c r="C9541" i="2"/>
  <c r="B9541" i="2"/>
  <c r="A9541" i="2"/>
  <c r="E9540" i="2"/>
  <c r="D9540" i="2"/>
  <c r="C9540" i="2"/>
  <c r="B9540" i="2"/>
  <c r="A9540" i="2"/>
  <c r="E9539" i="2"/>
  <c r="D9539" i="2"/>
  <c r="C9539" i="2"/>
  <c r="B9539" i="2"/>
  <c r="A9539" i="2"/>
  <c r="E9538" i="2"/>
  <c r="D9538" i="2"/>
  <c r="C9538" i="2"/>
  <c r="B9538" i="2"/>
  <c r="A9538" i="2"/>
  <c r="E9537" i="2"/>
  <c r="D9537" i="2"/>
  <c r="C9537" i="2"/>
  <c r="B9537" i="2"/>
  <c r="A9537" i="2"/>
  <c r="E9536" i="2"/>
  <c r="D9536" i="2"/>
  <c r="C9536" i="2"/>
  <c r="B9536" i="2"/>
  <c r="A9536" i="2"/>
  <c r="E9535" i="2"/>
  <c r="D9535" i="2"/>
  <c r="C9535" i="2"/>
  <c r="B9535" i="2"/>
  <c r="A9535" i="2"/>
  <c r="E9534" i="2"/>
  <c r="D9534" i="2"/>
  <c r="C9534" i="2"/>
  <c r="B9534" i="2"/>
  <c r="A9534" i="2"/>
  <c r="E9533" i="2"/>
  <c r="D9533" i="2"/>
  <c r="C9533" i="2"/>
  <c r="B9533" i="2"/>
  <c r="A9533" i="2"/>
  <c r="E9532" i="2"/>
  <c r="D9532" i="2"/>
  <c r="C9532" i="2"/>
  <c r="B9532" i="2"/>
  <c r="A9532" i="2"/>
  <c r="E9531" i="2"/>
  <c r="D9531" i="2"/>
  <c r="C9531" i="2"/>
  <c r="B9531" i="2"/>
  <c r="A9531" i="2"/>
  <c r="E9530" i="2"/>
  <c r="D9530" i="2"/>
  <c r="C9530" i="2"/>
  <c r="B9530" i="2"/>
  <c r="A9530" i="2"/>
  <c r="E9529" i="2"/>
  <c r="D9529" i="2"/>
  <c r="C9529" i="2"/>
  <c r="B9529" i="2"/>
  <c r="A9529" i="2"/>
  <c r="E9528" i="2"/>
  <c r="D9528" i="2"/>
  <c r="C9528" i="2"/>
  <c r="B9528" i="2"/>
  <c r="A9528" i="2"/>
  <c r="E9527" i="2"/>
  <c r="D9527" i="2"/>
  <c r="C9527" i="2"/>
  <c r="B9527" i="2"/>
  <c r="A9527" i="2"/>
  <c r="E9526" i="2"/>
  <c r="D9526" i="2"/>
  <c r="C9526" i="2"/>
  <c r="B9526" i="2"/>
  <c r="A9526" i="2"/>
  <c r="E9525" i="2"/>
  <c r="D9525" i="2"/>
  <c r="C9525" i="2"/>
  <c r="B9525" i="2"/>
  <c r="A9525" i="2"/>
  <c r="E9524" i="2"/>
  <c r="D9524" i="2"/>
  <c r="C9524" i="2"/>
  <c r="B9524" i="2"/>
  <c r="A9524" i="2"/>
  <c r="E9523" i="2"/>
  <c r="D9523" i="2"/>
  <c r="C9523" i="2"/>
  <c r="B9523" i="2"/>
  <c r="A9523" i="2"/>
  <c r="E9522" i="2"/>
  <c r="D9522" i="2"/>
  <c r="C9522" i="2"/>
  <c r="B9522" i="2"/>
  <c r="A9522" i="2"/>
  <c r="E9521" i="2"/>
  <c r="D9521" i="2"/>
  <c r="C9521" i="2"/>
  <c r="B9521" i="2"/>
  <c r="A9521" i="2"/>
  <c r="E9520" i="2"/>
  <c r="D9520" i="2"/>
  <c r="C9520" i="2"/>
  <c r="B9520" i="2"/>
  <c r="A9520" i="2"/>
  <c r="E9519" i="2"/>
  <c r="D9519" i="2"/>
  <c r="C9519" i="2"/>
  <c r="B9519" i="2"/>
  <c r="A9519" i="2"/>
  <c r="E9518" i="2"/>
  <c r="D9518" i="2"/>
  <c r="C9518" i="2"/>
  <c r="B9518" i="2"/>
  <c r="A9518" i="2"/>
  <c r="E9517" i="2"/>
  <c r="D9517" i="2"/>
  <c r="C9517" i="2"/>
  <c r="B9517" i="2"/>
  <c r="A9517" i="2"/>
  <c r="E9516" i="2"/>
  <c r="D9516" i="2"/>
  <c r="C9516" i="2"/>
  <c r="B9516" i="2"/>
  <c r="A9516" i="2"/>
  <c r="E9515" i="2"/>
  <c r="D9515" i="2"/>
  <c r="C9515" i="2"/>
  <c r="B9515" i="2"/>
  <c r="A9515" i="2"/>
  <c r="E9514" i="2"/>
  <c r="D9514" i="2"/>
  <c r="C9514" i="2"/>
  <c r="B9514" i="2"/>
  <c r="A9514" i="2"/>
  <c r="E9513" i="2"/>
  <c r="D9513" i="2"/>
  <c r="C9513" i="2"/>
  <c r="B9513" i="2"/>
  <c r="A9513" i="2"/>
  <c r="E9512" i="2"/>
  <c r="D9512" i="2"/>
  <c r="C9512" i="2"/>
  <c r="B9512" i="2"/>
  <c r="A9512" i="2"/>
  <c r="E9511" i="2"/>
  <c r="D9511" i="2"/>
  <c r="C9511" i="2"/>
  <c r="B9511" i="2"/>
  <c r="A9511" i="2"/>
  <c r="E9510" i="2"/>
  <c r="D9510" i="2"/>
  <c r="C9510" i="2"/>
  <c r="B9510" i="2"/>
  <c r="A9510" i="2"/>
  <c r="E9509" i="2"/>
  <c r="D9509" i="2"/>
  <c r="C9509" i="2"/>
  <c r="B9509" i="2"/>
  <c r="A9509" i="2"/>
  <c r="E9508" i="2"/>
  <c r="D9508" i="2"/>
  <c r="C9508" i="2"/>
  <c r="B9508" i="2"/>
  <c r="A9508" i="2"/>
  <c r="E9507" i="2"/>
  <c r="D9507" i="2"/>
  <c r="C9507" i="2"/>
  <c r="B9507" i="2"/>
  <c r="A9507" i="2"/>
  <c r="E9506" i="2"/>
  <c r="D9506" i="2"/>
  <c r="C9506" i="2"/>
  <c r="B9506" i="2"/>
  <c r="A9506" i="2"/>
  <c r="E9505" i="2"/>
  <c r="D9505" i="2"/>
  <c r="C9505" i="2"/>
  <c r="B9505" i="2"/>
  <c r="A9505" i="2"/>
  <c r="E9504" i="2"/>
  <c r="D9504" i="2"/>
  <c r="C9504" i="2"/>
  <c r="B9504" i="2"/>
  <c r="A9504" i="2"/>
  <c r="E9503" i="2"/>
  <c r="D9503" i="2"/>
  <c r="C9503" i="2"/>
  <c r="B9503" i="2"/>
  <c r="A9503" i="2"/>
  <c r="E9502" i="2"/>
  <c r="D9502" i="2"/>
  <c r="C9502" i="2"/>
  <c r="B9502" i="2"/>
  <c r="A9502" i="2"/>
  <c r="E9501" i="2"/>
  <c r="D9501" i="2"/>
  <c r="C9501" i="2"/>
  <c r="B9501" i="2"/>
  <c r="A9501" i="2"/>
  <c r="E9500" i="2"/>
  <c r="D9500" i="2"/>
  <c r="C9500" i="2"/>
  <c r="B9500" i="2"/>
  <c r="A9500" i="2"/>
  <c r="E9499" i="2"/>
  <c r="D9499" i="2"/>
  <c r="C9499" i="2"/>
  <c r="B9499" i="2"/>
  <c r="A9499" i="2"/>
  <c r="E9498" i="2"/>
  <c r="D9498" i="2"/>
  <c r="C9498" i="2"/>
  <c r="B9498" i="2"/>
  <c r="A9498" i="2"/>
  <c r="E9497" i="2"/>
  <c r="D9497" i="2"/>
  <c r="C9497" i="2"/>
  <c r="B9497" i="2"/>
  <c r="A9497" i="2"/>
  <c r="E9496" i="2"/>
  <c r="D9496" i="2"/>
  <c r="C9496" i="2"/>
  <c r="B9496" i="2"/>
  <c r="A9496" i="2"/>
  <c r="E9495" i="2"/>
  <c r="D9495" i="2"/>
  <c r="C9495" i="2"/>
  <c r="B9495" i="2"/>
  <c r="A9495" i="2"/>
  <c r="E9494" i="2"/>
  <c r="D9494" i="2"/>
  <c r="C9494" i="2"/>
  <c r="B9494" i="2"/>
  <c r="A9494" i="2"/>
  <c r="E9493" i="2"/>
  <c r="D9493" i="2"/>
  <c r="C9493" i="2"/>
  <c r="B9493" i="2"/>
  <c r="A9493" i="2"/>
  <c r="E9492" i="2"/>
  <c r="D9492" i="2"/>
  <c r="C9492" i="2"/>
  <c r="B9492" i="2"/>
  <c r="A9492" i="2"/>
  <c r="E9491" i="2"/>
  <c r="D9491" i="2"/>
  <c r="C9491" i="2"/>
  <c r="B9491" i="2"/>
  <c r="A9491" i="2"/>
  <c r="E9490" i="2"/>
  <c r="D9490" i="2"/>
  <c r="C9490" i="2"/>
  <c r="B9490" i="2"/>
  <c r="A9490" i="2"/>
  <c r="E9489" i="2"/>
  <c r="D9489" i="2"/>
  <c r="C9489" i="2"/>
  <c r="B9489" i="2"/>
  <c r="A9489" i="2"/>
  <c r="E9488" i="2"/>
  <c r="D9488" i="2"/>
  <c r="C9488" i="2"/>
  <c r="B9488" i="2"/>
  <c r="A9488" i="2"/>
  <c r="E9487" i="2"/>
  <c r="D9487" i="2"/>
  <c r="C9487" i="2"/>
  <c r="B9487" i="2"/>
  <c r="A9487" i="2"/>
  <c r="E9486" i="2"/>
  <c r="D9486" i="2"/>
  <c r="C9486" i="2"/>
  <c r="B9486" i="2"/>
  <c r="A9486" i="2"/>
  <c r="E9485" i="2"/>
  <c r="D9485" i="2"/>
  <c r="C9485" i="2"/>
  <c r="B9485" i="2"/>
  <c r="A9485" i="2"/>
  <c r="E9484" i="2"/>
  <c r="D9484" i="2"/>
  <c r="C9484" i="2"/>
  <c r="B9484" i="2"/>
  <c r="A9484" i="2"/>
  <c r="E9483" i="2"/>
  <c r="D9483" i="2"/>
  <c r="C9483" i="2"/>
  <c r="B9483" i="2"/>
  <c r="A9483" i="2"/>
  <c r="E9482" i="2"/>
  <c r="D9482" i="2"/>
  <c r="C9482" i="2"/>
  <c r="B9482" i="2"/>
  <c r="A9482" i="2"/>
  <c r="E9481" i="2"/>
  <c r="D9481" i="2"/>
  <c r="C9481" i="2"/>
  <c r="B9481" i="2"/>
  <c r="A9481" i="2"/>
  <c r="E9480" i="2"/>
  <c r="D9480" i="2"/>
  <c r="C9480" i="2"/>
  <c r="B9480" i="2"/>
  <c r="A9480" i="2"/>
  <c r="E9479" i="2"/>
  <c r="D9479" i="2"/>
  <c r="C9479" i="2"/>
  <c r="B9479" i="2"/>
  <c r="A9479" i="2"/>
  <c r="E9478" i="2"/>
  <c r="D9478" i="2"/>
  <c r="C9478" i="2"/>
  <c r="B9478" i="2"/>
  <c r="A9478" i="2"/>
  <c r="E9477" i="2"/>
  <c r="D9477" i="2"/>
  <c r="C9477" i="2"/>
  <c r="B9477" i="2"/>
  <c r="A9477" i="2"/>
  <c r="E9476" i="2"/>
  <c r="D9476" i="2"/>
  <c r="C9476" i="2"/>
  <c r="B9476" i="2"/>
  <c r="A9476" i="2"/>
  <c r="E9475" i="2"/>
  <c r="D9475" i="2"/>
  <c r="C9475" i="2"/>
  <c r="B9475" i="2"/>
  <c r="A9475" i="2"/>
  <c r="E9474" i="2"/>
  <c r="D9474" i="2"/>
  <c r="C9474" i="2"/>
  <c r="B9474" i="2"/>
  <c r="A9474" i="2"/>
  <c r="E9473" i="2"/>
  <c r="D9473" i="2"/>
  <c r="C9473" i="2"/>
  <c r="B9473" i="2"/>
  <c r="A9473" i="2"/>
  <c r="E9472" i="2"/>
  <c r="D9472" i="2"/>
  <c r="C9472" i="2"/>
  <c r="B9472" i="2"/>
  <c r="A9472" i="2"/>
  <c r="E9471" i="2"/>
  <c r="D9471" i="2"/>
  <c r="C9471" i="2"/>
  <c r="B9471" i="2"/>
  <c r="A9471" i="2"/>
  <c r="E9470" i="2"/>
  <c r="D9470" i="2"/>
  <c r="C9470" i="2"/>
  <c r="B9470" i="2"/>
  <c r="A9470" i="2"/>
  <c r="E9469" i="2"/>
  <c r="D9469" i="2"/>
  <c r="C9469" i="2"/>
  <c r="B9469" i="2"/>
  <c r="A9469" i="2"/>
  <c r="E9468" i="2"/>
  <c r="D9468" i="2"/>
  <c r="C9468" i="2"/>
  <c r="B9468" i="2"/>
  <c r="A9468" i="2"/>
  <c r="E9467" i="2"/>
  <c r="D9467" i="2"/>
  <c r="C9467" i="2"/>
  <c r="B9467" i="2"/>
  <c r="A9467" i="2"/>
  <c r="E9466" i="2"/>
  <c r="D9466" i="2"/>
  <c r="C9466" i="2"/>
  <c r="B9466" i="2"/>
  <c r="A9466" i="2"/>
  <c r="E9465" i="2"/>
  <c r="D9465" i="2"/>
  <c r="C9465" i="2"/>
  <c r="B9465" i="2"/>
  <c r="A9465" i="2"/>
  <c r="E9464" i="2"/>
  <c r="D9464" i="2"/>
  <c r="C9464" i="2"/>
  <c r="B9464" i="2"/>
  <c r="A9464" i="2"/>
  <c r="E9463" i="2"/>
  <c r="D9463" i="2"/>
  <c r="C9463" i="2"/>
  <c r="B9463" i="2"/>
  <c r="A9463" i="2"/>
  <c r="E9462" i="2"/>
  <c r="D9462" i="2"/>
  <c r="C9462" i="2"/>
  <c r="B9462" i="2"/>
  <c r="A9462" i="2"/>
  <c r="E9461" i="2"/>
  <c r="D9461" i="2"/>
  <c r="C9461" i="2"/>
  <c r="B9461" i="2"/>
  <c r="A9461" i="2"/>
  <c r="E9460" i="2"/>
  <c r="D9460" i="2"/>
  <c r="C9460" i="2"/>
  <c r="B9460" i="2"/>
  <c r="A9460" i="2"/>
  <c r="E9459" i="2"/>
  <c r="D9459" i="2"/>
  <c r="C9459" i="2"/>
  <c r="B9459" i="2"/>
  <c r="A9459" i="2"/>
  <c r="E9458" i="2"/>
  <c r="D9458" i="2"/>
  <c r="C9458" i="2"/>
  <c r="B9458" i="2"/>
  <c r="A9458" i="2"/>
  <c r="E9457" i="2"/>
  <c r="D9457" i="2"/>
  <c r="C9457" i="2"/>
  <c r="B9457" i="2"/>
  <c r="A9457" i="2"/>
  <c r="E9456" i="2"/>
  <c r="D9456" i="2"/>
  <c r="C9456" i="2"/>
  <c r="B9456" i="2"/>
  <c r="A9456" i="2"/>
  <c r="E9455" i="2"/>
  <c r="D9455" i="2"/>
  <c r="C9455" i="2"/>
  <c r="B9455" i="2"/>
  <c r="A9455" i="2"/>
  <c r="E9454" i="2"/>
  <c r="D9454" i="2"/>
  <c r="C9454" i="2"/>
  <c r="B9454" i="2"/>
  <c r="A9454" i="2"/>
  <c r="E9453" i="2"/>
  <c r="D9453" i="2"/>
  <c r="C9453" i="2"/>
  <c r="B9453" i="2"/>
  <c r="A9453" i="2"/>
  <c r="E9452" i="2"/>
  <c r="D9452" i="2"/>
  <c r="C9452" i="2"/>
  <c r="B9452" i="2"/>
  <c r="A9452" i="2"/>
  <c r="E9451" i="2"/>
  <c r="D9451" i="2"/>
  <c r="C9451" i="2"/>
  <c r="B9451" i="2"/>
  <c r="A9451" i="2"/>
  <c r="E9450" i="2"/>
  <c r="D9450" i="2"/>
  <c r="C9450" i="2"/>
  <c r="B9450" i="2"/>
  <c r="A9450" i="2"/>
  <c r="E9449" i="2"/>
  <c r="D9449" i="2"/>
  <c r="C9449" i="2"/>
  <c r="B9449" i="2"/>
  <c r="A9449" i="2"/>
  <c r="E9448" i="2"/>
  <c r="D9448" i="2"/>
  <c r="C9448" i="2"/>
  <c r="B9448" i="2"/>
  <c r="A9448" i="2"/>
  <c r="E9447" i="2"/>
  <c r="D9447" i="2"/>
  <c r="C9447" i="2"/>
  <c r="B9447" i="2"/>
  <c r="A9447" i="2"/>
  <c r="E9446" i="2"/>
  <c r="D9446" i="2"/>
  <c r="C9446" i="2"/>
  <c r="B9446" i="2"/>
  <c r="A9446" i="2"/>
  <c r="E9445" i="2"/>
  <c r="D9445" i="2"/>
  <c r="C9445" i="2"/>
  <c r="B9445" i="2"/>
  <c r="A9445" i="2"/>
  <c r="E9444" i="2"/>
  <c r="D9444" i="2"/>
  <c r="C9444" i="2"/>
  <c r="B9444" i="2"/>
  <c r="A9444" i="2"/>
  <c r="E9443" i="2"/>
  <c r="D9443" i="2"/>
  <c r="C9443" i="2"/>
  <c r="B9443" i="2"/>
  <c r="A9443" i="2"/>
  <c r="E9442" i="2"/>
  <c r="D9442" i="2"/>
  <c r="C9442" i="2"/>
  <c r="B9442" i="2"/>
  <c r="A9442" i="2"/>
  <c r="E9441" i="2"/>
  <c r="D9441" i="2"/>
  <c r="C9441" i="2"/>
  <c r="B9441" i="2"/>
  <c r="A9441" i="2"/>
  <c r="E9440" i="2"/>
  <c r="D9440" i="2"/>
  <c r="C9440" i="2"/>
  <c r="B9440" i="2"/>
  <c r="A9440" i="2"/>
  <c r="E9439" i="2"/>
  <c r="D9439" i="2"/>
  <c r="C9439" i="2"/>
  <c r="B9439" i="2"/>
  <c r="A9439" i="2"/>
  <c r="E9438" i="2"/>
  <c r="D9438" i="2"/>
  <c r="C9438" i="2"/>
  <c r="B9438" i="2"/>
  <c r="A9438" i="2"/>
  <c r="E9437" i="2"/>
  <c r="D9437" i="2"/>
  <c r="C9437" i="2"/>
  <c r="B9437" i="2"/>
  <c r="A9437" i="2"/>
  <c r="E9436" i="2"/>
  <c r="D9436" i="2"/>
  <c r="C9436" i="2"/>
  <c r="B9436" i="2"/>
  <c r="A9436" i="2"/>
  <c r="E9435" i="2"/>
  <c r="D9435" i="2"/>
  <c r="C9435" i="2"/>
  <c r="B9435" i="2"/>
  <c r="A9435" i="2"/>
  <c r="E9434" i="2"/>
  <c r="D9434" i="2"/>
  <c r="C9434" i="2"/>
  <c r="B9434" i="2"/>
  <c r="A9434" i="2"/>
  <c r="E9433" i="2"/>
  <c r="D9433" i="2"/>
  <c r="C9433" i="2"/>
  <c r="B9433" i="2"/>
  <c r="A9433" i="2"/>
  <c r="E9432" i="2"/>
  <c r="D9432" i="2"/>
  <c r="C9432" i="2"/>
  <c r="B9432" i="2"/>
  <c r="A9432" i="2"/>
  <c r="E9431" i="2"/>
  <c r="D9431" i="2"/>
  <c r="C9431" i="2"/>
  <c r="B9431" i="2"/>
  <c r="A9431" i="2"/>
  <c r="E9430" i="2"/>
  <c r="D9430" i="2"/>
  <c r="C9430" i="2"/>
  <c r="B9430" i="2"/>
  <c r="A9430" i="2"/>
  <c r="E9429" i="2"/>
  <c r="D9429" i="2"/>
  <c r="C9429" i="2"/>
  <c r="B9429" i="2"/>
  <c r="A9429" i="2"/>
  <c r="E9428" i="2"/>
  <c r="D9428" i="2"/>
  <c r="C9428" i="2"/>
  <c r="B9428" i="2"/>
  <c r="A9428" i="2"/>
  <c r="E9427" i="2"/>
  <c r="D9427" i="2"/>
  <c r="C9427" i="2"/>
  <c r="B9427" i="2"/>
  <c r="A9427" i="2"/>
  <c r="E9426" i="2"/>
  <c r="D9426" i="2"/>
  <c r="C9426" i="2"/>
  <c r="B9426" i="2"/>
  <c r="A9426" i="2"/>
  <c r="E9425" i="2"/>
  <c r="D9425" i="2"/>
  <c r="C9425" i="2"/>
  <c r="B9425" i="2"/>
  <c r="A9425" i="2"/>
  <c r="E9424" i="2"/>
  <c r="D9424" i="2"/>
  <c r="C9424" i="2"/>
  <c r="B9424" i="2"/>
  <c r="A9424" i="2"/>
  <c r="E9423" i="2"/>
  <c r="D9423" i="2"/>
  <c r="C9423" i="2"/>
  <c r="B9423" i="2"/>
  <c r="A9423" i="2"/>
  <c r="E9422" i="2"/>
  <c r="D9422" i="2"/>
  <c r="C9422" i="2"/>
  <c r="B9422" i="2"/>
  <c r="A9422" i="2"/>
  <c r="E9421" i="2"/>
  <c r="D9421" i="2"/>
  <c r="C9421" i="2"/>
  <c r="B9421" i="2"/>
  <c r="A9421" i="2"/>
  <c r="E9420" i="2"/>
  <c r="D9420" i="2"/>
  <c r="C9420" i="2"/>
  <c r="B9420" i="2"/>
  <c r="A9420" i="2"/>
  <c r="E9419" i="2"/>
  <c r="D9419" i="2"/>
  <c r="C9419" i="2"/>
  <c r="B9419" i="2"/>
  <c r="A9419" i="2"/>
  <c r="E9418" i="2"/>
  <c r="D9418" i="2"/>
  <c r="C9418" i="2"/>
  <c r="B9418" i="2"/>
  <c r="A9418" i="2"/>
  <c r="E9417" i="2"/>
  <c r="D9417" i="2"/>
  <c r="C9417" i="2"/>
  <c r="B9417" i="2"/>
  <c r="A9417" i="2"/>
  <c r="E9416" i="2"/>
  <c r="D9416" i="2"/>
  <c r="C9416" i="2"/>
  <c r="B9416" i="2"/>
  <c r="A9416" i="2"/>
  <c r="E9415" i="2"/>
  <c r="D9415" i="2"/>
  <c r="C9415" i="2"/>
  <c r="B9415" i="2"/>
  <c r="A9415" i="2"/>
  <c r="E9414" i="2"/>
  <c r="D9414" i="2"/>
  <c r="C9414" i="2"/>
  <c r="B9414" i="2"/>
  <c r="A9414" i="2"/>
  <c r="E9413" i="2"/>
  <c r="D9413" i="2"/>
  <c r="C9413" i="2"/>
  <c r="B9413" i="2"/>
  <c r="A9413" i="2"/>
  <c r="E9412" i="2"/>
  <c r="D9412" i="2"/>
  <c r="C9412" i="2"/>
  <c r="B9412" i="2"/>
  <c r="A9412" i="2"/>
  <c r="E9411" i="2"/>
  <c r="D9411" i="2"/>
  <c r="C9411" i="2"/>
  <c r="B9411" i="2"/>
  <c r="A9411" i="2"/>
  <c r="E9410" i="2"/>
  <c r="D9410" i="2"/>
  <c r="C9410" i="2"/>
  <c r="B9410" i="2"/>
  <c r="A9410" i="2"/>
  <c r="E9409" i="2"/>
  <c r="D9409" i="2"/>
  <c r="C9409" i="2"/>
  <c r="B9409" i="2"/>
  <c r="A9409" i="2"/>
  <c r="E9408" i="2"/>
  <c r="D9408" i="2"/>
  <c r="C9408" i="2"/>
  <c r="B9408" i="2"/>
  <c r="A9408" i="2"/>
  <c r="E9407" i="2"/>
  <c r="D9407" i="2"/>
  <c r="C9407" i="2"/>
  <c r="B9407" i="2"/>
  <c r="A9407" i="2"/>
  <c r="E9406" i="2"/>
  <c r="D9406" i="2"/>
  <c r="C9406" i="2"/>
  <c r="B9406" i="2"/>
  <c r="A9406" i="2"/>
  <c r="E9405" i="2"/>
  <c r="D9405" i="2"/>
  <c r="C9405" i="2"/>
  <c r="B9405" i="2"/>
  <c r="A9405" i="2"/>
  <c r="E9404" i="2"/>
  <c r="D9404" i="2"/>
  <c r="C9404" i="2"/>
  <c r="B9404" i="2"/>
  <c r="A9404" i="2"/>
  <c r="E9403" i="2"/>
  <c r="D9403" i="2"/>
  <c r="C9403" i="2"/>
  <c r="B9403" i="2"/>
  <c r="A9403" i="2"/>
  <c r="E9402" i="2"/>
  <c r="D9402" i="2"/>
  <c r="C9402" i="2"/>
  <c r="B9402" i="2"/>
  <c r="A9402" i="2"/>
  <c r="E9401" i="2"/>
  <c r="D9401" i="2"/>
  <c r="C9401" i="2"/>
  <c r="B9401" i="2"/>
  <c r="A9401" i="2"/>
  <c r="E9400" i="2"/>
  <c r="D9400" i="2"/>
  <c r="C9400" i="2"/>
  <c r="B9400" i="2"/>
  <c r="A9400" i="2"/>
  <c r="E9399" i="2"/>
  <c r="D9399" i="2"/>
  <c r="C9399" i="2"/>
  <c r="B9399" i="2"/>
  <c r="A9399" i="2"/>
  <c r="E9398" i="2"/>
  <c r="D9398" i="2"/>
  <c r="C9398" i="2"/>
  <c r="B9398" i="2"/>
  <c r="A9398" i="2"/>
  <c r="E9397" i="2"/>
  <c r="D9397" i="2"/>
  <c r="C9397" i="2"/>
  <c r="B9397" i="2"/>
  <c r="A9397" i="2"/>
  <c r="E9396" i="2"/>
  <c r="D9396" i="2"/>
  <c r="C9396" i="2"/>
  <c r="B9396" i="2"/>
  <c r="A9396" i="2"/>
  <c r="E9395" i="2"/>
  <c r="D9395" i="2"/>
  <c r="C9395" i="2"/>
  <c r="B9395" i="2"/>
  <c r="A9395" i="2"/>
  <c r="E9394" i="2"/>
  <c r="D9394" i="2"/>
  <c r="C9394" i="2"/>
  <c r="B9394" i="2"/>
  <c r="A9394" i="2"/>
  <c r="E9393" i="2"/>
  <c r="D9393" i="2"/>
  <c r="C9393" i="2"/>
  <c r="B9393" i="2"/>
  <c r="A9393" i="2"/>
  <c r="E9392" i="2"/>
  <c r="D9392" i="2"/>
  <c r="C9392" i="2"/>
  <c r="B9392" i="2"/>
  <c r="A9392" i="2"/>
  <c r="E9391" i="2"/>
  <c r="D9391" i="2"/>
  <c r="C9391" i="2"/>
  <c r="B9391" i="2"/>
  <c r="A9391" i="2"/>
  <c r="E9390" i="2"/>
  <c r="D9390" i="2"/>
  <c r="C9390" i="2"/>
  <c r="B9390" i="2"/>
  <c r="A9390" i="2"/>
  <c r="E9389" i="2"/>
  <c r="D9389" i="2"/>
  <c r="C9389" i="2"/>
  <c r="B9389" i="2"/>
  <c r="A9389" i="2"/>
  <c r="E9388" i="2"/>
  <c r="D9388" i="2"/>
  <c r="C9388" i="2"/>
  <c r="B9388" i="2"/>
  <c r="A9388" i="2"/>
  <c r="E9387" i="2"/>
  <c r="D9387" i="2"/>
  <c r="C9387" i="2"/>
  <c r="B9387" i="2"/>
  <c r="A9387" i="2"/>
  <c r="E9386" i="2"/>
  <c r="D9386" i="2"/>
  <c r="C9386" i="2"/>
  <c r="B9386" i="2"/>
  <c r="A9386" i="2"/>
  <c r="E9385" i="2"/>
  <c r="D9385" i="2"/>
  <c r="C9385" i="2"/>
  <c r="B9385" i="2"/>
  <c r="A9385" i="2"/>
  <c r="E9384" i="2"/>
  <c r="D9384" i="2"/>
  <c r="C9384" i="2"/>
  <c r="B9384" i="2"/>
  <c r="A9384" i="2"/>
  <c r="E9383" i="2"/>
  <c r="D9383" i="2"/>
  <c r="C9383" i="2"/>
  <c r="B9383" i="2"/>
  <c r="A9383" i="2"/>
  <c r="E9382" i="2"/>
  <c r="D9382" i="2"/>
  <c r="C9382" i="2"/>
  <c r="B9382" i="2"/>
  <c r="A9382" i="2"/>
  <c r="E9381" i="2"/>
  <c r="D9381" i="2"/>
  <c r="C9381" i="2"/>
  <c r="B9381" i="2"/>
  <c r="A9381" i="2"/>
  <c r="E9380" i="2"/>
  <c r="D9380" i="2"/>
  <c r="C9380" i="2"/>
  <c r="B9380" i="2"/>
  <c r="A9380" i="2"/>
  <c r="E9379" i="2"/>
  <c r="D9379" i="2"/>
  <c r="C9379" i="2"/>
  <c r="B9379" i="2"/>
  <c r="A9379" i="2"/>
  <c r="E9378" i="2"/>
  <c r="D9378" i="2"/>
  <c r="C9378" i="2"/>
  <c r="B9378" i="2"/>
  <c r="A9378" i="2"/>
  <c r="E9377" i="2"/>
  <c r="D9377" i="2"/>
  <c r="C9377" i="2"/>
  <c r="B9377" i="2"/>
  <c r="A9377" i="2"/>
  <c r="E9376" i="2"/>
  <c r="D9376" i="2"/>
  <c r="C9376" i="2"/>
  <c r="B9376" i="2"/>
  <c r="A9376" i="2"/>
  <c r="E9375" i="2"/>
  <c r="D9375" i="2"/>
  <c r="C9375" i="2"/>
  <c r="B9375" i="2"/>
  <c r="A9375" i="2"/>
  <c r="E9374" i="2"/>
  <c r="D9374" i="2"/>
  <c r="C9374" i="2"/>
  <c r="B9374" i="2"/>
  <c r="A9374" i="2"/>
  <c r="E9373" i="2"/>
  <c r="D9373" i="2"/>
  <c r="C9373" i="2"/>
  <c r="B9373" i="2"/>
  <c r="A9373" i="2"/>
  <c r="E9372" i="2"/>
  <c r="D9372" i="2"/>
  <c r="C9372" i="2"/>
  <c r="B9372" i="2"/>
  <c r="A9372" i="2"/>
  <c r="E9371" i="2"/>
  <c r="D9371" i="2"/>
  <c r="C9371" i="2"/>
  <c r="B9371" i="2"/>
  <c r="A9371" i="2"/>
  <c r="E9370" i="2"/>
  <c r="D9370" i="2"/>
  <c r="C9370" i="2"/>
  <c r="B9370" i="2"/>
  <c r="A9370" i="2"/>
  <c r="E9369" i="2"/>
  <c r="D9369" i="2"/>
  <c r="C9369" i="2"/>
  <c r="B9369" i="2"/>
  <c r="A9369" i="2"/>
  <c r="E9368" i="2"/>
  <c r="D9368" i="2"/>
  <c r="C9368" i="2"/>
  <c r="B9368" i="2"/>
  <c r="A9368" i="2"/>
  <c r="E9367" i="2"/>
  <c r="D9367" i="2"/>
  <c r="C9367" i="2"/>
  <c r="B9367" i="2"/>
  <c r="A9367" i="2"/>
  <c r="E9366" i="2"/>
  <c r="D9366" i="2"/>
  <c r="C9366" i="2"/>
  <c r="B9366" i="2"/>
  <c r="A9366" i="2"/>
  <c r="E9365" i="2"/>
  <c r="D9365" i="2"/>
  <c r="C9365" i="2"/>
  <c r="B9365" i="2"/>
  <c r="A9365" i="2"/>
  <c r="E9364" i="2"/>
  <c r="D9364" i="2"/>
  <c r="C9364" i="2"/>
  <c r="B9364" i="2"/>
  <c r="A9364" i="2"/>
  <c r="E9363" i="2"/>
  <c r="D9363" i="2"/>
  <c r="C9363" i="2"/>
  <c r="B9363" i="2"/>
  <c r="A9363" i="2"/>
  <c r="E9362" i="2"/>
  <c r="D9362" i="2"/>
  <c r="C9362" i="2"/>
  <c r="B9362" i="2"/>
  <c r="A9362" i="2"/>
  <c r="E9361" i="2"/>
  <c r="D9361" i="2"/>
  <c r="C9361" i="2"/>
  <c r="B9361" i="2"/>
  <c r="A9361" i="2"/>
  <c r="E9360" i="2"/>
  <c r="D9360" i="2"/>
  <c r="C9360" i="2"/>
  <c r="B9360" i="2"/>
  <c r="A9360" i="2"/>
  <c r="E9359" i="2"/>
  <c r="D9359" i="2"/>
  <c r="C9359" i="2"/>
  <c r="B9359" i="2"/>
  <c r="A9359" i="2"/>
  <c r="E9358" i="2"/>
  <c r="D9358" i="2"/>
  <c r="C9358" i="2"/>
  <c r="B9358" i="2"/>
  <c r="A9358" i="2"/>
  <c r="E9357" i="2"/>
  <c r="D9357" i="2"/>
  <c r="C9357" i="2"/>
  <c r="B9357" i="2"/>
  <c r="A9357" i="2"/>
  <c r="E9356" i="2"/>
  <c r="D9356" i="2"/>
  <c r="C9356" i="2"/>
  <c r="B9356" i="2"/>
  <c r="A9356" i="2"/>
  <c r="E9355" i="2"/>
  <c r="D9355" i="2"/>
  <c r="C9355" i="2"/>
  <c r="B9355" i="2"/>
  <c r="A9355" i="2"/>
  <c r="E9354" i="2"/>
  <c r="D9354" i="2"/>
  <c r="C9354" i="2"/>
  <c r="B9354" i="2"/>
  <c r="A9354" i="2"/>
  <c r="E9353" i="2"/>
  <c r="D9353" i="2"/>
  <c r="C9353" i="2"/>
  <c r="B9353" i="2"/>
  <c r="A9353" i="2"/>
  <c r="E9352" i="2"/>
  <c r="D9352" i="2"/>
  <c r="C9352" i="2"/>
  <c r="B9352" i="2"/>
  <c r="A9352" i="2"/>
  <c r="E9351" i="2"/>
  <c r="D9351" i="2"/>
  <c r="C9351" i="2"/>
  <c r="B9351" i="2"/>
  <c r="A9351" i="2"/>
  <c r="E9350" i="2"/>
  <c r="D9350" i="2"/>
  <c r="C9350" i="2"/>
  <c r="B9350" i="2"/>
  <c r="A9350" i="2"/>
  <c r="E9349" i="2"/>
  <c r="D9349" i="2"/>
  <c r="C9349" i="2"/>
  <c r="B9349" i="2"/>
  <c r="A9349" i="2"/>
  <c r="E9348" i="2"/>
  <c r="D9348" i="2"/>
  <c r="C9348" i="2"/>
  <c r="B9348" i="2"/>
  <c r="A9348" i="2"/>
  <c r="E9347" i="2"/>
  <c r="D9347" i="2"/>
  <c r="C9347" i="2"/>
  <c r="B9347" i="2"/>
  <c r="A9347" i="2"/>
  <c r="E9346" i="2"/>
  <c r="D9346" i="2"/>
  <c r="C9346" i="2"/>
  <c r="B9346" i="2"/>
  <c r="A9346" i="2"/>
  <c r="E9345" i="2"/>
  <c r="D9345" i="2"/>
  <c r="C9345" i="2"/>
  <c r="B9345" i="2"/>
  <c r="A9345" i="2"/>
  <c r="E9344" i="2"/>
  <c r="D9344" i="2"/>
  <c r="C9344" i="2"/>
  <c r="B9344" i="2"/>
  <c r="A9344" i="2"/>
  <c r="E9343" i="2"/>
  <c r="D9343" i="2"/>
  <c r="C9343" i="2"/>
  <c r="B9343" i="2"/>
  <c r="A9343" i="2"/>
  <c r="E9342" i="2"/>
  <c r="D9342" i="2"/>
  <c r="C9342" i="2"/>
  <c r="B9342" i="2"/>
  <c r="A9342" i="2"/>
  <c r="E9341" i="2"/>
  <c r="D9341" i="2"/>
  <c r="C9341" i="2"/>
  <c r="B9341" i="2"/>
  <c r="A9341" i="2"/>
  <c r="E9340" i="2"/>
  <c r="D9340" i="2"/>
  <c r="C9340" i="2"/>
  <c r="B9340" i="2"/>
  <c r="A9340" i="2"/>
  <c r="E9339" i="2"/>
  <c r="D9339" i="2"/>
  <c r="C9339" i="2"/>
  <c r="B9339" i="2"/>
  <c r="A9339" i="2"/>
  <c r="E9338" i="2"/>
  <c r="D9338" i="2"/>
  <c r="C9338" i="2"/>
  <c r="B9338" i="2"/>
  <c r="A9338" i="2"/>
  <c r="E9337" i="2"/>
  <c r="D9337" i="2"/>
  <c r="C9337" i="2"/>
  <c r="B9337" i="2"/>
  <c r="A9337" i="2"/>
  <c r="E9336" i="2"/>
  <c r="D9336" i="2"/>
  <c r="C9336" i="2"/>
  <c r="B9336" i="2"/>
  <c r="A9336" i="2"/>
  <c r="E9335" i="2"/>
  <c r="D9335" i="2"/>
  <c r="C9335" i="2"/>
  <c r="B9335" i="2"/>
  <c r="A9335" i="2"/>
  <c r="E9334" i="2"/>
  <c r="D9334" i="2"/>
  <c r="C9334" i="2"/>
  <c r="B9334" i="2"/>
  <c r="A9334" i="2"/>
  <c r="E9333" i="2"/>
  <c r="D9333" i="2"/>
  <c r="C9333" i="2"/>
  <c r="B9333" i="2"/>
  <c r="A9333" i="2"/>
  <c r="E9332" i="2"/>
  <c r="D9332" i="2"/>
  <c r="C9332" i="2"/>
  <c r="B9332" i="2"/>
  <c r="A9332" i="2"/>
  <c r="E9331" i="2"/>
  <c r="D9331" i="2"/>
  <c r="C9331" i="2"/>
  <c r="B9331" i="2"/>
  <c r="A9331" i="2"/>
  <c r="E9330" i="2"/>
  <c r="D9330" i="2"/>
  <c r="C9330" i="2"/>
  <c r="B9330" i="2"/>
  <c r="A9330" i="2"/>
  <c r="E9329" i="2"/>
  <c r="D9329" i="2"/>
  <c r="C9329" i="2"/>
  <c r="B9329" i="2"/>
  <c r="A9329" i="2"/>
  <c r="E9328" i="2"/>
  <c r="D9328" i="2"/>
  <c r="C9328" i="2"/>
  <c r="B9328" i="2"/>
  <c r="A9328" i="2"/>
  <c r="E9327" i="2"/>
  <c r="D9327" i="2"/>
  <c r="C9327" i="2"/>
  <c r="B9327" i="2"/>
  <c r="A9327" i="2"/>
  <c r="E9326" i="2"/>
  <c r="D9326" i="2"/>
  <c r="C9326" i="2"/>
  <c r="B9326" i="2"/>
  <c r="A9326" i="2"/>
  <c r="E9325" i="2"/>
  <c r="D9325" i="2"/>
  <c r="C9325" i="2"/>
  <c r="B9325" i="2"/>
  <c r="A9325" i="2"/>
  <c r="E9324" i="2"/>
  <c r="D9324" i="2"/>
  <c r="C9324" i="2"/>
  <c r="B9324" i="2"/>
  <c r="A9324" i="2"/>
  <c r="E9323" i="2"/>
  <c r="D9323" i="2"/>
  <c r="C9323" i="2"/>
  <c r="B9323" i="2"/>
  <c r="A9323" i="2"/>
  <c r="E9322" i="2"/>
  <c r="D9322" i="2"/>
  <c r="C9322" i="2"/>
  <c r="B9322" i="2"/>
  <c r="A9322" i="2"/>
  <c r="E9321" i="2"/>
  <c r="D9321" i="2"/>
  <c r="C9321" i="2"/>
  <c r="B9321" i="2"/>
  <c r="A9321" i="2"/>
  <c r="E9320" i="2"/>
  <c r="D9320" i="2"/>
  <c r="C9320" i="2"/>
  <c r="B9320" i="2"/>
  <c r="A9320" i="2"/>
  <c r="E9319" i="2"/>
  <c r="D9319" i="2"/>
  <c r="C9319" i="2"/>
  <c r="B9319" i="2"/>
  <c r="A9319" i="2"/>
  <c r="E9318" i="2"/>
  <c r="D9318" i="2"/>
  <c r="C9318" i="2"/>
  <c r="B9318" i="2"/>
  <c r="A9318" i="2"/>
  <c r="E9317" i="2"/>
  <c r="D9317" i="2"/>
  <c r="C9317" i="2"/>
  <c r="B9317" i="2"/>
  <c r="A9317" i="2"/>
  <c r="E9316" i="2"/>
  <c r="D9316" i="2"/>
  <c r="C9316" i="2"/>
  <c r="B9316" i="2"/>
  <c r="A9316" i="2"/>
  <c r="E9315" i="2"/>
  <c r="D9315" i="2"/>
  <c r="C9315" i="2"/>
  <c r="B9315" i="2"/>
  <c r="A9315" i="2"/>
  <c r="E9314" i="2"/>
  <c r="D9314" i="2"/>
  <c r="C9314" i="2"/>
  <c r="B9314" i="2"/>
  <c r="A9314" i="2"/>
  <c r="E9313" i="2"/>
  <c r="D9313" i="2"/>
  <c r="C9313" i="2"/>
  <c r="B9313" i="2"/>
  <c r="A9313" i="2"/>
  <c r="E9312" i="2"/>
  <c r="D9312" i="2"/>
  <c r="C9312" i="2"/>
  <c r="B9312" i="2"/>
  <c r="A9312" i="2"/>
  <c r="E9311" i="2"/>
  <c r="D9311" i="2"/>
  <c r="C9311" i="2"/>
  <c r="B9311" i="2"/>
  <c r="A9311" i="2"/>
  <c r="E9310" i="2"/>
  <c r="D9310" i="2"/>
  <c r="C9310" i="2"/>
  <c r="B9310" i="2"/>
  <c r="A9310" i="2"/>
  <c r="E9309" i="2"/>
  <c r="D9309" i="2"/>
  <c r="C9309" i="2"/>
  <c r="B9309" i="2"/>
  <c r="A9309" i="2"/>
  <c r="E9308" i="2"/>
  <c r="D9308" i="2"/>
  <c r="C9308" i="2"/>
  <c r="B9308" i="2"/>
  <c r="A9308" i="2"/>
  <c r="E9307" i="2"/>
  <c r="D9307" i="2"/>
  <c r="C9307" i="2"/>
  <c r="B9307" i="2"/>
  <c r="A9307" i="2"/>
  <c r="E9306" i="2"/>
  <c r="D9306" i="2"/>
  <c r="C9306" i="2"/>
  <c r="B9306" i="2"/>
  <c r="A9306" i="2"/>
  <c r="E9305" i="2"/>
  <c r="D9305" i="2"/>
  <c r="C9305" i="2"/>
  <c r="B9305" i="2"/>
  <c r="A9305" i="2"/>
  <c r="E9304" i="2"/>
  <c r="D9304" i="2"/>
  <c r="C9304" i="2"/>
  <c r="B9304" i="2"/>
  <c r="A9304" i="2"/>
  <c r="E9303" i="2"/>
  <c r="D9303" i="2"/>
  <c r="C9303" i="2"/>
  <c r="B9303" i="2"/>
  <c r="A9303" i="2"/>
  <c r="E9302" i="2"/>
  <c r="D9302" i="2"/>
  <c r="C9302" i="2"/>
  <c r="B9302" i="2"/>
  <c r="A9302" i="2"/>
  <c r="E9301" i="2"/>
  <c r="D9301" i="2"/>
  <c r="C9301" i="2"/>
  <c r="B9301" i="2"/>
  <c r="A9301" i="2"/>
  <c r="E9300" i="2"/>
  <c r="D9300" i="2"/>
  <c r="C9300" i="2"/>
  <c r="B9300" i="2"/>
  <c r="A9300" i="2"/>
  <c r="E9299" i="2"/>
  <c r="D9299" i="2"/>
  <c r="C9299" i="2"/>
  <c r="B9299" i="2"/>
  <c r="A9299" i="2"/>
  <c r="E9298" i="2"/>
  <c r="D9298" i="2"/>
  <c r="C9298" i="2"/>
  <c r="B9298" i="2"/>
  <c r="A9298" i="2"/>
  <c r="E9297" i="2"/>
  <c r="D9297" i="2"/>
  <c r="C9297" i="2"/>
  <c r="B9297" i="2"/>
  <c r="A9297" i="2"/>
  <c r="E9296" i="2"/>
  <c r="D9296" i="2"/>
  <c r="C9296" i="2"/>
  <c r="B9296" i="2"/>
  <c r="A9296" i="2"/>
  <c r="E9295" i="2"/>
  <c r="D9295" i="2"/>
  <c r="C9295" i="2"/>
  <c r="B9295" i="2"/>
  <c r="A9295" i="2"/>
  <c r="E9294" i="2"/>
  <c r="D9294" i="2"/>
  <c r="C9294" i="2"/>
  <c r="B9294" i="2"/>
  <c r="A9294" i="2"/>
  <c r="E9293" i="2"/>
  <c r="D9293" i="2"/>
  <c r="C9293" i="2"/>
  <c r="B9293" i="2"/>
  <c r="A9293" i="2"/>
  <c r="E9292" i="2"/>
  <c r="D9292" i="2"/>
  <c r="C9292" i="2"/>
  <c r="B9292" i="2"/>
  <c r="A9292" i="2"/>
  <c r="E9291" i="2"/>
  <c r="D9291" i="2"/>
  <c r="C9291" i="2"/>
  <c r="B9291" i="2"/>
  <c r="A9291" i="2"/>
  <c r="E9290" i="2"/>
  <c r="D9290" i="2"/>
  <c r="C9290" i="2"/>
  <c r="B9290" i="2"/>
  <c r="A9290" i="2"/>
  <c r="E9289" i="2"/>
  <c r="D9289" i="2"/>
  <c r="C9289" i="2"/>
  <c r="B9289" i="2"/>
  <c r="A9289" i="2"/>
  <c r="E9288" i="2"/>
  <c r="D9288" i="2"/>
  <c r="C9288" i="2"/>
  <c r="B9288" i="2"/>
  <c r="A9288" i="2"/>
  <c r="E9287" i="2"/>
  <c r="D9287" i="2"/>
  <c r="C9287" i="2"/>
  <c r="B9287" i="2"/>
  <c r="A9287" i="2"/>
  <c r="E9286" i="2"/>
  <c r="D9286" i="2"/>
  <c r="C9286" i="2"/>
  <c r="B9286" i="2"/>
  <c r="A9286" i="2"/>
  <c r="E9285" i="2"/>
  <c r="D9285" i="2"/>
  <c r="C9285" i="2"/>
  <c r="B9285" i="2"/>
  <c r="A9285" i="2"/>
  <c r="E9284" i="2"/>
  <c r="D9284" i="2"/>
  <c r="C9284" i="2"/>
  <c r="B9284" i="2"/>
  <c r="A9284" i="2"/>
  <c r="E9283" i="2"/>
  <c r="D9283" i="2"/>
  <c r="C9283" i="2"/>
  <c r="B9283" i="2"/>
  <c r="A9283" i="2"/>
  <c r="E9282" i="2"/>
  <c r="D9282" i="2"/>
  <c r="C9282" i="2"/>
  <c r="B9282" i="2"/>
  <c r="A9282" i="2"/>
  <c r="E9281" i="2"/>
  <c r="D9281" i="2"/>
  <c r="C9281" i="2"/>
  <c r="B9281" i="2"/>
  <c r="A9281" i="2"/>
  <c r="E9280" i="2"/>
  <c r="D9280" i="2"/>
  <c r="C9280" i="2"/>
  <c r="B9280" i="2"/>
  <c r="A9280" i="2"/>
  <c r="E9279" i="2"/>
  <c r="D9279" i="2"/>
  <c r="C9279" i="2"/>
  <c r="B9279" i="2"/>
  <c r="A9279" i="2"/>
  <c r="E9278" i="2"/>
  <c r="D9278" i="2"/>
  <c r="C9278" i="2"/>
  <c r="B9278" i="2"/>
  <c r="A9278" i="2"/>
  <c r="E9277" i="2"/>
  <c r="D9277" i="2"/>
  <c r="C9277" i="2"/>
  <c r="B9277" i="2"/>
  <c r="A9277" i="2"/>
  <c r="E9276" i="2"/>
  <c r="D9276" i="2"/>
  <c r="C9276" i="2"/>
  <c r="B9276" i="2"/>
  <c r="A9276" i="2"/>
  <c r="E9275" i="2"/>
  <c r="D9275" i="2"/>
  <c r="C9275" i="2"/>
  <c r="B9275" i="2"/>
  <c r="A9275" i="2"/>
  <c r="E9274" i="2"/>
  <c r="D9274" i="2"/>
  <c r="C9274" i="2"/>
  <c r="B9274" i="2"/>
  <c r="A9274" i="2"/>
  <c r="E9273" i="2"/>
  <c r="D9273" i="2"/>
  <c r="C9273" i="2"/>
  <c r="B9273" i="2"/>
  <c r="A9273" i="2"/>
  <c r="E9272" i="2"/>
  <c r="D9272" i="2"/>
  <c r="C9272" i="2"/>
  <c r="B9272" i="2"/>
  <c r="A9272" i="2"/>
  <c r="E9271" i="2"/>
  <c r="D9271" i="2"/>
  <c r="C9271" i="2"/>
  <c r="B9271" i="2"/>
  <c r="A9271" i="2"/>
  <c r="E9270" i="2"/>
  <c r="D9270" i="2"/>
  <c r="C9270" i="2"/>
  <c r="B9270" i="2"/>
  <c r="A9270" i="2"/>
  <c r="E9269" i="2"/>
  <c r="D9269" i="2"/>
  <c r="C9269" i="2"/>
  <c r="B9269" i="2"/>
  <c r="A9269" i="2"/>
  <c r="E9268" i="2"/>
  <c r="D9268" i="2"/>
  <c r="C9268" i="2"/>
  <c r="B9268" i="2"/>
  <c r="A9268" i="2"/>
  <c r="E9267" i="2"/>
  <c r="D9267" i="2"/>
  <c r="C9267" i="2"/>
  <c r="B9267" i="2"/>
  <c r="A9267" i="2"/>
  <c r="E9266" i="2"/>
  <c r="D9266" i="2"/>
  <c r="C9266" i="2"/>
  <c r="B9266" i="2"/>
  <c r="A9266" i="2"/>
  <c r="E9265" i="2"/>
  <c r="D9265" i="2"/>
  <c r="C9265" i="2"/>
  <c r="B9265" i="2"/>
  <c r="A9265" i="2"/>
  <c r="E9264" i="2"/>
  <c r="D9264" i="2"/>
  <c r="C9264" i="2"/>
  <c r="B9264" i="2"/>
  <c r="A9264" i="2"/>
  <c r="E9263" i="2"/>
  <c r="D9263" i="2"/>
  <c r="C9263" i="2"/>
  <c r="B9263" i="2"/>
  <c r="A9263" i="2"/>
  <c r="E9262" i="2"/>
  <c r="D9262" i="2"/>
  <c r="C9262" i="2"/>
  <c r="B9262" i="2"/>
  <c r="A9262" i="2"/>
  <c r="E9261" i="2"/>
  <c r="D9261" i="2"/>
  <c r="C9261" i="2"/>
  <c r="B9261" i="2"/>
  <c r="A9261" i="2"/>
  <c r="E9260" i="2"/>
  <c r="D9260" i="2"/>
  <c r="C9260" i="2"/>
  <c r="B9260" i="2"/>
  <c r="A9260" i="2"/>
  <c r="E9259" i="2"/>
  <c r="D9259" i="2"/>
  <c r="C9259" i="2"/>
  <c r="B9259" i="2"/>
  <c r="A9259" i="2"/>
  <c r="E9258" i="2"/>
  <c r="D9258" i="2"/>
  <c r="C9258" i="2"/>
  <c r="B9258" i="2"/>
  <c r="A9258" i="2"/>
  <c r="E9257" i="2"/>
  <c r="D9257" i="2"/>
  <c r="C9257" i="2"/>
  <c r="B9257" i="2"/>
  <c r="A9257" i="2"/>
  <c r="E9256" i="2"/>
  <c r="D9256" i="2"/>
  <c r="C9256" i="2"/>
  <c r="B9256" i="2"/>
  <c r="A9256" i="2"/>
  <c r="E9255" i="2"/>
  <c r="D9255" i="2"/>
  <c r="C9255" i="2"/>
  <c r="B9255" i="2"/>
  <c r="A9255" i="2"/>
  <c r="E9254" i="2"/>
  <c r="D9254" i="2"/>
  <c r="C9254" i="2"/>
  <c r="B9254" i="2"/>
  <c r="A9254" i="2"/>
  <c r="E9253" i="2"/>
  <c r="D9253" i="2"/>
  <c r="C9253" i="2"/>
  <c r="B9253" i="2"/>
  <c r="A9253" i="2"/>
  <c r="E9252" i="2"/>
  <c r="D9252" i="2"/>
  <c r="C9252" i="2"/>
  <c r="B9252" i="2"/>
  <c r="A9252" i="2"/>
  <c r="E9251" i="2"/>
  <c r="D9251" i="2"/>
  <c r="C9251" i="2"/>
  <c r="B9251" i="2"/>
  <c r="A9251" i="2"/>
  <c r="E9250" i="2"/>
  <c r="D9250" i="2"/>
  <c r="C9250" i="2"/>
  <c r="B9250" i="2"/>
  <c r="A9250" i="2"/>
  <c r="E9249" i="2"/>
  <c r="D9249" i="2"/>
  <c r="C9249" i="2"/>
  <c r="B9249" i="2"/>
  <c r="A9249" i="2"/>
  <c r="E9248" i="2"/>
  <c r="D9248" i="2"/>
  <c r="C9248" i="2"/>
  <c r="B9248" i="2"/>
  <c r="A9248" i="2"/>
  <c r="E9247" i="2"/>
  <c r="D9247" i="2"/>
  <c r="C9247" i="2"/>
  <c r="B9247" i="2"/>
  <c r="A9247" i="2"/>
  <c r="E9246" i="2"/>
  <c r="D9246" i="2"/>
  <c r="C9246" i="2"/>
  <c r="B9246" i="2"/>
  <c r="A9246" i="2"/>
  <c r="E9245" i="2"/>
  <c r="D9245" i="2"/>
  <c r="C9245" i="2"/>
  <c r="B9245" i="2"/>
  <c r="A9245" i="2"/>
  <c r="E9244" i="2"/>
  <c r="D9244" i="2"/>
  <c r="C9244" i="2"/>
  <c r="B9244" i="2"/>
  <c r="A9244" i="2"/>
  <c r="E9243" i="2"/>
  <c r="D9243" i="2"/>
  <c r="C9243" i="2"/>
  <c r="B9243" i="2"/>
  <c r="A9243" i="2"/>
  <c r="E9242" i="2"/>
  <c r="D9242" i="2"/>
  <c r="C9242" i="2"/>
  <c r="B9242" i="2"/>
  <c r="A9242" i="2"/>
  <c r="E9241" i="2"/>
  <c r="D9241" i="2"/>
  <c r="C9241" i="2"/>
  <c r="B9241" i="2"/>
  <c r="A9241" i="2"/>
  <c r="E9240" i="2"/>
  <c r="D9240" i="2"/>
  <c r="C9240" i="2"/>
  <c r="B9240" i="2"/>
  <c r="A9240" i="2"/>
  <c r="E9239" i="2"/>
  <c r="D9239" i="2"/>
  <c r="C9239" i="2"/>
  <c r="B9239" i="2"/>
  <c r="A9239" i="2"/>
  <c r="E9238" i="2"/>
  <c r="D9238" i="2"/>
  <c r="C9238" i="2"/>
  <c r="B9238" i="2"/>
  <c r="A9238" i="2"/>
  <c r="E9237" i="2"/>
  <c r="D9237" i="2"/>
  <c r="C9237" i="2"/>
  <c r="B9237" i="2"/>
  <c r="A9237" i="2"/>
  <c r="E9236" i="2"/>
  <c r="D9236" i="2"/>
  <c r="C9236" i="2"/>
  <c r="B9236" i="2"/>
  <c r="A9236" i="2"/>
  <c r="E9235" i="2"/>
  <c r="D9235" i="2"/>
  <c r="C9235" i="2"/>
  <c r="B9235" i="2"/>
  <c r="A9235" i="2"/>
  <c r="E9234" i="2"/>
  <c r="D9234" i="2"/>
  <c r="C9234" i="2"/>
  <c r="B9234" i="2"/>
  <c r="A9234" i="2"/>
  <c r="E9233" i="2"/>
  <c r="D9233" i="2"/>
  <c r="C9233" i="2"/>
  <c r="B9233" i="2"/>
  <c r="A9233" i="2"/>
  <c r="E9232" i="2"/>
  <c r="D9232" i="2"/>
  <c r="C9232" i="2"/>
  <c r="B9232" i="2"/>
  <c r="A9232" i="2"/>
  <c r="E9231" i="2"/>
  <c r="D9231" i="2"/>
  <c r="C9231" i="2"/>
  <c r="B9231" i="2"/>
  <c r="A9231" i="2"/>
  <c r="E9230" i="2"/>
  <c r="D9230" i="2"/>
  <c r="C9230" i="2"/>
  <c r="B9230" i="2"/>
  <c r="A9230" i="2"/>
  <c r="E9229" i="2"/>
  <c r="D9229" i="2"/>
  <c r="C9229" i="2"/>
  <c r="B9229" i="2"/>
  <c r="A9229" i="2"/>
  <c r="E9228" i="2"/>
  <c r="D9228" i="2"/>
  <c r="C9228" i="2"/>
  <c r="B9228" i="2"/>
  <c r="A9228" i="2"/>
  <c r="E9227" i="2"/>
  <c r="D9227" i="2"/>
  <c r="C9227" i="2"/>
  <c r="B9227" i="2"/>
  <c r="A9227" i="2"/>
  <c r="E9226" i="2"/>
  <c r="D9226" i="2"/>
  <c r="C9226" i="2"/>
  <c r="B9226" i="2"/>
  <c r="A9226" i="2"/>
  <c r="E9225" i="2"/>
  <c r="D9225" i="2"/>
  <c r="C9225" i="2"/>
  <c r="B9225" i="2"/>
  <c r="A9225" i="2"/>
  <c r="E9224" i="2"/>
  <c r="D9224" i="2"/>
  <c r="C9224" i="2"/>
  <c r="B9224" i="2"/>
  <c r="A9224" i="2"/>
  <c r="E9223" i="2"/>
  <c r="D9223" i="2"/>
  <c r="C9223" i="2"/>
  <c r="B9223" i="2"/>
  <c r="A9223" i="2"/>
  <c r="E9222" i="2"/>
  <c r="D9222" i="2"/>
  <c r="C9222" i="2"/>
  <c r="B9222" i="2"/>
  <c r="A9222" i="2"/>
  <c r="E9221" i="2"/>
  <c r="D9221" i="2"/>
  <c r="C9221" i="2"/>
  <c r="B9221" i="2"/>
  <c r="A9221" i="2"/>
  <c r="E9220" i="2"/>
  <c r="D9220" i="2"/>
  <c r="C9220" i="2"/>
  <c r="B9220" i="2"/>
  <c r="A9220" i="2"/>
  <c r="E9219" i="2"/>
  <c r="D9219" i="2"/>
  <c r="C9219" i="2"/>
  <c r="B9219" i="2"/>
  <c r="A9219" i="2"/>
  <c r="E9218" i="2"/>
  <c r="D9218" i="2"/>
  <c r="C9218" i="2"/>
  <c r="B9218" i="2"/>
  <c r="A9218" i="2"/>
  <c r="E9217" i="2"/>
  <c r="D9217" i="2"/>
  <c r="C9217" i="2"/>
  <c r="B9217" i="2"/>
  <c r="A9217" i="2"/>
  <c r="E9216" i="2"/>
  <c r="D9216" i="2"/>
  <c r="C9216" i="2"/>
  <c r="B9216" i="2"/>
  <c r="A9216" i="2"/>
  <c r="E9215" i="2"/>
  <c r="D9215" i="2"/>
  <c r="C9215" i="2"/>
  <c r="B9215" i="2"/>
  <c r="A9215" i="2"/>
  <c r="E9214" i="2"/>
  <c r="D9214" i="2"/>
  <c r="C9214" i="2"/>
  <c r="B9214" i="2"/>
  <c r="A9214" i="2"/>
  <c r="E9213" i="2"/>
  <c r="D9213" i="2"/>
  <c r="C9213" i="2"/>
  <c r="B9213" i="2"/>
  <c r="A9213" i="2"/>
  <c r="E9212" i="2"/>
  <c r="D9212" i="2"/>
  <c r="C9212" i="2"/>
  <c r="B9212" i="2"/>
  <c r="A9212" i="2"/>
  <c r="E9211" i="2"/>
  <c r="D9211" i="2"/>
  <c r="C9211" i="2"/>
  <c r="B9211" i="2"/>
  <c r="A9211" i="2"/>
  <c r="E9210" i="2"/>
  <c r="D9210" i="2"/>
  <c r="C9210" i="2"/>
  <c r="B9210" i="2"/>
  <c r="A9210" i="2"/>
  <c r="E9209" i="2"/>
  <c r="D9209" i="2"/>
  <c r="C9209" i="2"/>
  <c r="B9209" i="2"/>
  <c r="A9209" i="2"/>
  <c r="E9208" i="2"/>
  <c r="D9208" i="2"/>
  <c r="C9208" i="2"/>
  <c r="B9208" i="2"/>
  <c r="A9208" i="2"/>
  <c r="E9207" i="2"/>
  <c r="D9207" i="2"/>
  <c r="C9207" i="2"/>
  <c r="B9207" i="2"/>
  <c r="A9207" i="2"/>
  <c r="E9206" i="2"/>
  <c r="D9206" i="2"/>
  <c r="C9206" i="2"/>
  <c r="B9206" i="2"/>
  <c r="A9206" i="2"/>
  <c r="E9205" i="2"/>
  <c r="D9205" i="2"/>
  <c r="C9205" i="2"/>
  <c r="B9205" i="2"/>
  <c r="A9205" i="2"/>
  <c r="E9204" i="2"/>
  <c r="D9204" i="2"/>
  <c r="C9204" i="2"/>
  <c r="B9204" i="2"/>
  <c r="A9204" i="2"/>
  <c r="E9203" i="2"/>
  <c r="D9203" i="2"/>
  <c r="C9203" i="2"/>
  <c r="B9203" i="2"/>
  <c r="A9203" i="2"/>
  <c r="E9202" i="2"/>
  <c r="D9202" i="2"/>
  <c r="C9202" i="2"/>
  <c r="B9202" i="2"/>
  <c r="A9202" i="2"/>
  <c r="E9201" i="2"/>
  <c r="D9201" i="2"/>
  <c r="C9201" i="2"/>
  <c r="B9201" i="2"/>
  <c r="A9201" i="2"/>
  <c r="E9200" i="2"/>
  <c r="D9200" i="2"/>
  <c r="C9200" i="2"/>
  <c r="B9200" i="2"/>
  <c r="A9200" i="2"/>
  <c r="E9199" i="2"/>
  <c r="D9199" i="2"/>
  <c r="C9199" i="2"/>
  <c r="B9199" i="2"/>
  <c r="A9199" i="2"/>
  <c r="E9198" i="2"/>
  <c r="D9198" i="2"/>
  <c r="C9198" i="2"/>
  <c r="B9198" i="2"/>
  <c r="A9198" i="2"/>
  <c r="E9197" i="2"/>
  <c r="D9197" i="2"/>
  <c r="C9197" i="2"/>
  <c r="B9197" i="2"/>
  <c r="A9197" i="2"/>
  <c r="E9196" i="2"/>
  <c r="D9196" i="2"/>
  <c r="C9196" i="2"/>
  <c r="B9196" i="2"/>
  <c r="A9196" i="2"/>
  <c r="E9195" i="2"/>
  <c r="D9195" i="2"/>
  <c r="C9195" i="2"/>
  <c r="B9195" i="2"/>
  <c r="A9195" i="2"/>
  <c r="E9194" i="2"/>
  <c r="D9194" i="2"/>
  <c r="C9194" i="2"/>
  <c r="B9194" i="2"/>
  <c r="A9194" i="2"/>
  <c r="E9193" i="2"/>
  <c r="D9193" i="2"/>
  <c r="C9193" i="2"/>
  <c r="B9193" i="2"/>
  <c r="A9193" i="2"/>
  <c r="E9192" i="2"/>
  <c r="D9192" i="2"/>
  <c r="C9192" i="2"/>
  <c r="B9192" i="2"/>
  <c r="A9192" i="2"/>
  <c r="E9191" i="2"/>
  <c r="D9191" i="2"/>
  <c r="C9191" i="2"/>
  <c r="B9191" i="2"/>
  <c r="A9191" i="2"/>
  <c r="E9190" i="2"/>
  <c r="D9190" i="2"/>
  <c r="C9190" i="2"/>
  <c r="B9190" i="2"/>
  <c r="A9190" i="2"/>
  <c r="E9189" i="2"/>
  <c r="D9189" i="2"/>
  <c r="C9189" i="2"/>
  <c r="B9189" i="2"/>
  <c r="A9189" i="2"/>
  <c r="E9188" i="2"/>
  <c r="D9188" i="2"/>
  <c r="C9188" i="2"/>
  <c r="B9188" i="2"/>
  <c r="A9188" i="2"/>
  <c r="E9187" i="2"/>
  <c r="D9187" i="2"/>
  <c r="C9187" i="2"/>
  <c r="B9187" i="2"/>
  <c r="A9187" i="2"/>
  <c r="E9186" i="2"/>
  <c r="D9186" i="2"/>
  <c r="C9186" i="2"/>
  <c r="B9186" i="2"/>
  <c r="A9186" i="2"/>
  <c r="E9185" i="2"/>
  <c r="D9185" i="2"/>
  <c r="C9185" i="2"/>
  <c r="B9185" i="2"/>
  <c r="A9185" i="2"/>
  <c r="E9184" i="2"/>
  <c r="D9184" i="2"/>
  <c r="C9184" i="2"/>
  <c r="B9184" i="2"/>
  <c r="A9184" i="2"/>
  <c r="E9183" i="2"/>
  <c r="D9183" i="2"/>
  <c r="C9183" i="2"/>
  <c r="B9183" i="2"/>
  <c r="A9183" i="2"/>
  <c r="E9182" i="2"/>
  <c r="D9182" i="2"/>
  <c r="C9182" i="2"/>
  <c r="B9182" i="2"/>
  <c r="A9182" i="2"/>
  <c r="E9181" i="2"/>
  <c r="D9181" i="2"/>
  <c r="C9181" i="2"/>
  <c r="B9181" i="2"/>
  <c r="A9181" i="2"/>
  <c r="E9180" i="2"/>
  <c r="D9180" i="2"/>
  <c r="C9180" i="2"/>
  <c r="B9180" i="2"/>
  <c r="A9180" i="2"/>
  <c r="E9179" i="2"/>
  <c r="D9179" i="2"/>
  <c r="C9179" i="2"/>
  <c r="B9179" i="2"/>
  <c r="A9179" i="2"/>
  <c r="E9178" i="2"/>
  <c r="D9178" i="2"/>
  <c r="C9178" i="2"/>
  <c r="B9178" i="2"/>
  <c r="A9178" i="2"/>
  <c r="E9177" i="2"/>
  <c r="D9177" i="2"/>
  <c r="C9177" i="2"/>
  <c r="B9177" i="2"/>
  <c r="A9177" i="2"/>
  <c r="E9176" i="2"/>
  <c r="D9176" i="2"/>
  <c r="C9176" i="2"/>
  <c r="B9176" i="2"/>
  <c r="A9176" i="2"/>
  <c r="E9175" i="2"/>
  <c r="D9175" i="2"/>
  <c r="C9175" i="2"/>
  <c r="B9175" i="2"/>
  <c r="A9175" i="2"/>
  <c r="E9174" i="2"/>
  <c r="D9174" i="2"/>
  <c r="C9174" i="2"/>
  <c r="B9174" i="2"/>
  <c r="A9174" i="2"/>
  <c r="E9173" i="2"/>
  <c r="D9173" i="2"/>
  <c r="C9173" i="2"/>
  <c r="B9173" i="2"/>
  <c r="A9173" i="2"/>
  <c r="E9172" i="2"/>
  <c r="D9172" i="2"/>
  <c r="C9172" i="2"/>
  <c r="B9172" i="2"/>
  <c r="A9172" i="2"/>
  <c r="E9171" i="2"/>
  <c r="D9171" i="2"/>
  <c r="C9171" i="2"/>
  <c r="B9171" i="2"/>
  <c r="A9171" i="2"/>
  <c r="E9170" i="2"/>
  <c r="D9170" i="2"/>
  <c r="C9170" i="2"/>
  <c r="B9170" i="2"/>
  <c r="A9170" i="2"/>
  <c r="E9169" i="2"/>
  <c r="D9169" i="2"/>
  <c r="C9169" i="2"/>
  <c r="B9169" i="2"/>
  <c r="A9169" i="2"/>
  <c r="E9168" i="2"/>
  <c r="D9168" i="2"/>
  <c r="C9168" i="2"/>
  <c r="B9168" i="2"/>
  <c r="A9168" i="2"/>
  <c r="E9167" i="2"/>
  <c r="D9167" i="2"/>
  <c r="C9167" i="2"/>
  <c r="B9167" i="2"/>
  <c r="A9167" i="2"/>
  <c r="E9166" i="2"/>
  <c r="D9166" i="2"/>
  <c r="C9166" i="2"/>
  <c r="B9166" i="2"/>
  <c r="A9166" i="2"/>
  <c r="E9165" i="2"/>
  <c r="D9165" i="2"/>
  <c r="C9165" i="2"/>
  <c r="B9165" i="2"/>
  <c r="A9165" i="2"/>
  <c r="E9164" i="2"/>
  <c r="D9164" i="2"/>
  <c r="C9164" i="2"/>
  <c r="B9164" i="2"/>
  <c r="A9164" i="2"/>
  <c r="E9163" i="2"/>
  <c r="D9163" i="2"/>
  <c r="C9163" i="2"/>
  <c r="B9163" i="2"/>
  <c r="A9163" i="2"/>
  <c r="E9162" i="2"/>
  <c r="D9162" i="2"/>
  <c r="C9162" i="2"/>
  <c r="B9162" i="2"/>
  <c r="A9162" i="2"/>
  <c r="E9161" i="2"/>
  <c r="D9161" i="2"/>
  <c r="C9161" i="2"/>
  <c r="B9161" i="2"/>
  <c r="A9161" i="2"/>
  <c r="E9160" i="2"/>
  <c r="D9160" i="2"/>
  <c r="C9160" i="2"/>
  <c r="B9160" i="2"/>
  <c r="A9160" i="2"/>
  <c r="E9159" i="2"/>
  <c r="D9159" i="2"/>
  <c r="C9159" i="2"/>
  <c r="B9159" i="2"/>
  <c r="A9159" i="2"/>
  <c r="E9158" i="2"/>
  <c r="D9158" i="2"/>
  <c r="C9158" i="2"/>
  <c r="B9158" i="2"/>
  <c r="A9158" i="2"/>
  <c r="E9157" i="2"/>
  <c r="D9157" i="2"/>
  <c r="C9157" i="2"/>
  <c r="B9157" i="2"/>
  <c r="A9157" i="2"/>
  <c r="E9156" i="2"/>
  <c r="D9156" i="2"/>
  <c r="C9156" i="2"/>
  <c r="B9156" i="2"/>
  <c r="A9156" i="2"/>
  <c r="E9155" i="2"/>
  <c r="D9155" i="2"/>
  <c r="C9155" i="2"/>
  <c r="B9155" i="2"/>
  <c r="A9155" i="2"/>
  <c r="E9154" i="2"/>
  <c r="D9154" i="2"/>
  <c r="C9154" i="2"/>
  <c r="B9154" i="2"/>
  <c r="A9154" i="2"/>
  <c r="E9153" i="2"/>
  <c r="D9153" i="2"/>
  <c r="C9153" i="2"/>
  <c r="B9153" i="2"/>
  <c r="A9153" i="2"/>
  <c r="E9152" i="2"/>
  <c r="D9152" i="2"/>
  <c r="C9152" i="2"/>
  <c r="B9152" i="2"/>
  <c r="A9152" i="2"/>
  <c r="E9151" i="2"/>
  <c r="D9151" i="2"/>
  <c r="C9151" i="2"/>
  <c r="B9151" i="2"/>
  <c r="A9151" i="2"/>
  <c r="E9150" i="2"/>
  <c r="D9150" i="2"/>
  <c r="C9150" i="2"/>
  <c r="B9150" i="2"/>
  <c r="A9150" i="2"/>
  <c r="E9149" i="2"/>
  <c r="D9149" i="2"/>
  <c r="C9149" i="2"/>
  <c r="B9149" i="2"/>
  <c r="A9149" i="2"/>
  <c r="E9148" i="2"/>
  <c r="D9148" i="2"/>
  <c r="C9148" i="2"/>
  <c r="B9148" i="2"/>
  <c r="A9148" i="2"/>
  <c r="E9147" i="2"/>
  <c r="D9147" i="2"/>
  <c r="C9147" i="2"/>
  <c r="B9147" i="2"/>
  <c r="A9147" i="2"/>
  <c r="E9146" i="2"/>
  <c r="D9146" i="2"/>
  <c r="C9146" i="2"/>
  <c r="B9146" i="2"/>
  <c r="A9146" i="2"/>
  <c r="E9145" i="2"/>
  <c r="D9145" i="2"/>
  <c r="C9145" i="2"/>
  <c r="B9145" i="2"/>
  <c r="A9145" i="2"/>
  <c r="E9144" i="2"/>
  <c r="D9144" i="2"/>
  <c r="C9144" i="2"/>
  <c r="B9144" i="2"/>
  <c r="A9144" i="2"/>
  <c r="E9143" i="2"/>
  <c r="D9143" i="2"/>
  <c r="C9143" i="2"/>
  <c r="B9143" i="2"/>
  <c r="A9143" i="2"/>
  <c r="E9142" i="2"/>
  <c r="D9142" i="2"/>
  <c r="C9142" i="2"/>
  <c r="B9142" i="2"/>
  <c r="A9142" i="2"/>
  <c r="E9141" i="2"/>
  <c r="D9141" i="2"/>
  <c r="C9141" i="2"/>
  <c r="B9141" i="2"/>
  <c r="A9141" i="2"/>
  <c r="E9140" i="2"/>
  <c r="D9140" i="2"/>
  <c r="C9140" i="2"/>
  <c r="B9140" i="2"/>
  <c r="A9140" i="2"/>
  <c r="E9139" i="2"/>
  <c r="D9139" i="2"/>
  <c r="C9139" i="2"/>
  <c r="B9139" i="2"/>
  <c r="A9139" i="2"/>
  <c r="E9138" i="2"/>
  <c r="D9138" i="2"/>
  <c r="C9138" i="2"/>
  <c r="B9138" i="2"/>
  <c r="A9138" i="2"/>
  <c r="E9137" i="2"/>
  <c r="D9137" i="2"/>
  <c r="C9137" i="2"/>
  <c r="B9137" i="2"/>
  <c r="A9137" i="2"/>
  <c r="E9136" i="2"/>
  <c r="D9136" i="2"/>
  <c r="C9136" i="2"/>
  <c r="B9136" i="2"/>
  <c r="A9136" i="2"/>
  <c r="E9135" i="2"/>
  <c r="D9135" i="2"/>
  <c r="C9135" i="2"/>
  <c r="B9135" i="2"/>
  <c r="A9135" i="2"/>
  <c r="E9134" i="2"/>
  <c r="D9134" i="2"/>
  <c r="C9134" i="2"/>
  <c r="B9134" i="2"/>
  <c r="A9134" i="2"/>
  <c r="E9133" i="2"/>
  <c r="D9133" i="2"/>
  <c r="C9133" i="2"/>
  <c r="B9133" i="2"/>
  <c r="A9133" i="2"/>
  <c r="E9132" i="2"/>
  <c r="D9132" i="2"/>
  <c r="C9132" i="2"/>
  <c r="B9132" i="2"/>
  <c r="A9132" i="2"/>
  <c r="E9131" i="2"/>
  <c r="D9131" i="2"/>
  <c r="C9131" i="2"/>
  <c r="B9131" i="2"/>
  <c r="A9131" i="2"/>
  <c r="E9130" i="2"/>
  <c r="D9130" i="2"/>
  <c r="C9130" i="2"/>
  <c r="B9130" i="2"/>
  <c r="A9130" i="2"/>
  <c r="E9129" i="2"/>
  <c r="D9129" i="2"/>
  <c r="C9129" i="2"/>
  <c r="B9129" i="2"/>
  <c r="A9129" i="2"/>
  <c r="E9128" i="2"/>
  <c r="D9128" i="2"/>
  <c r="C9128" i="2"/>
  <c r="B9128" i="2"/>
  <c r="A9128" i="2"/>
  <c r="E9127" i="2"/>
  <c r="D9127" i="2"/>
  <c r="C9127" i="2"/>
  <c r="B9127" i="2"/>
  <c r="A9127" i="2"/>
  <c r="E9126" i="2"/>
  <c r="D9126" i="2"/>
  <c r="C9126" i="2"/>
  <c r="B9126" i="2"/>
  <c r="A9126" i="2"/>
  <c r="E9125" i="2"/>
  <c r="D9125" i="2"/>
  <c r="C9125" i="2"/>
  <c r="B9125" i="2"/>
  <c r="A9125" i="2"/>
  <c r="E9124" i="2"/>
  <c r="D9124" i="2"/>
  <c r="C9124" i="2"/>
  <c r="B9124" i="2"/>
  <c r="A9124" i="2"/>
  <c r="E9123" i="2"/>
  <c r="D9123" i="2"/>
  <c r="C9123" i="2"/>
  <c r="B9123" i="2"/>
  <c r="A9123" i="2"/>
  <c r="E9122" i="2"/>
  <c r="D9122" i="2"/>
  <c r="C9122" i="2"/>
  <c r="B9122" i="2"/>
  <c r="A9122" i="2"/>
  <c r="E9121" i="2"/>
  <c r="D9121" i="2"/>
  <c r="C9121" i="2"/>
  <c r="B9121" i="2"/>
  <c r="A9121" i="2"/>
  <c r="E9120" i="2"/>
  <c r="D9120" i="2"/>
  <c r="C9120" i="2"/>
  <c r="B9120" i="2"/>
  <c r="A9120" i="2"/>
  <c r="E9119" i="2"/>
  <c r="D9119" i="2"/>
  <c r="C9119" i="2"/>
  <c r="B9119" i="2"/>
  <c r="A9119" i="2"/>
  <c r="E9118" i="2"/>
  <c r="D9118" i="2"/>
  <c r="C9118" i="2"/>
  <c r="B9118" i="2"/>
  <c r="A9118" i="2"/>
  <c r="E9117" i="2"/>
  <c r="D9117" i="2"/>
  <c r="C9117" i="2"/>
  <c r="B9117" i="2"/>
  <c r="A9117" i="2"/>
  <c r="E9116" i="2"/>
  <c r="D9116" i="2"/>
  <c r="C9116" i="2"/>
  <c r="B9116" i="2"/>
  <c r="A9116" i="2"/>
  <c r="E9115" i="2"/>
  <c r="D9115" i="2"/>
  <c r="C9115" i="2"/>
  <c r="B9115" i="2"/>
  <c r="A9115" i="2"/>
  <c r="E9114" i="2"/>
  <c r="D9114" i="2"/>
  <c r="C9114" i="2"/>
  <c r="B9114" i="2"/>
  <c r="A9114" i="2"/>
  <c r="E9113" i="2"/>
  <c r="D9113" i="2"/>
  <c r="C9113" i="2"/>
  <c r="B9113" i="2"/>
  <c r="A9113" i="2"/>
  <c r="E9112" i="2"/>
  <c r="D9112" i="2"/>
  <c r="C9112" i="2"/>
  <c r="B9112" i="2"/>
  <c r="A9112" i="2"/>
  <c r="E9111" i="2"/>
  <c r="D9111" i="2"/>
  <c r="C9111" i="2"/>
  <c r="B9111" i="2"/>
  <c r="A9111" i="2"/>
  <c r="E9110" i="2"/>
  <c r="D9110" i="2"/>
  <c r="C9110" i="2"/>
  <c r="B9110" i="2"/>
  <c r="A9110" i="2"/>
  <c r="E9109" i="2"/>
  <c r="D9109" i="2"/>
  <c r="C9109" i="2"/>
  <c r="B9109" i="2"/>
  <c r="A9109" i="2"/>
  <c r="E9108" i="2"/>
  <c r="D9108" i="2"/>
  <c r="C9108" i="2"/>
  <c r="B9108" i="2"/>
  <c r="A9108" i="2"/>
  <c r="E9107" i="2"/>
  <c r="D9107" i="2"/>
  <c r="C9107" i="2"/>
  <c r="B9107" i="2"/>
  <c r="A9107" i="2"/>
  <c r="E9106" i="2"/>
  <c r="D9106" i="2"/>
  <c r="C9106" i="2"/>
  <c r="B9106" i="2"/>
  <c r="A9106" i="2"/>
  <c r="E9105" i="2"/>
  <c r="D9105" i="2"/>
  <c r="C9105" i="2"/>
  <c r="B9105" i="2"/>
  <c r="A9105" i="2"/>
  <c r="E9104" i="2"/>
  <c r="D9104" i="2"/>
  <c r="C9104" i="2"/>
  <c r="B9104" i="2"/>
  <c r="A9104" i="2"/>
  <c r="E9103" i="2"/>
  <c r="D9103" i="2"/>
  <c r="C9103" i="2"/>
  <c r="B9103" i="2"/>
  <c r="A9103" i="2"/>
  <c r="E9102" i="2"/>
  <c r="D9102" i="2"/>
  <c r="C9102" i="2"/>
  <c r="B9102" i="2"/>
  <c r="A9102" i="2"/>
  <c r="E9101" i="2"/>
  <c r="D9101" i="2"/>
  <c r="C9101" i="2"/>
  <c r="B9101" i="2"/>
  <c r="A9101" i="2"/>
  <c r="E9100" i="2"/>
  <c r="D9100" i="2"/>
  <c r="C9100" i="2"/>
  <c r="B9100" i="2"/>
  <c r="A9100" i="2"/>
  <c r="E9099" i="2"/>
  <c r="D9099" i="2"/>
  <c r="C9099" i="2"/>
  <c r="B9099" i="2"/>
  <c r="A9099" i="2"/>
  <c r="E9098" i="2"/>
  <c r="D9098" i="2"/>
  <c r="C9098" i="2"/>
  <c r="B9098" i="2"/>
  <c r="A9098" i="2"/>
  <c r="E9097" i="2"/>
  <c r="D9097" i="2"/>
  <c r="C9097" i="2"/>
  <c r="B9097" i="2"/>
  <c r="A9097" i="2"/>
  <c r="E9096" i="2"/>
  <c r="D9096" i="2"/>
  <c r="C9096" i="2"/>
  <c r="B9096" i="2"/>
  <c r="A9096" i="2"/>
  <c r="E9095" i="2"/>
  <c r="D9095" i="2"/>
  <c r="C9095" i="2"/>
  <c r="B9095" i="2"/>
  <c r="A9095" i="2"/>
  <c r="E9094" i="2"/>
  <c r="D9094" i="2"/>
  <c r="C9094" i="2"/>
  <c r="B9094" i="2"/>
  <c r="A9094" i="2"/>
  <c r="E9093" i="2"/>
  <c r="D9093" i="2"/>
  <c r="C9093" i="2"/>
  <c r="B9093" i="2"/>
  <c r="A9093" i="2"/>
  <c r="E9092" i="2"/>
  <c r="D9092" i="2"/>
  <c r="C9092" i="2"/>
  <c r="B9092" i="2"/>
  <c r="A9092" i="2"/>
  <c r="E9091" i="2"/>
  <c r="D9091" i="2"/>
  <c r="C9091" i="2"/>
  <c r="B9091" i="2"/>
  <c r="A9091" i="2"/>
  <c r="E9090" i="2"/>
  <c r="D9090" i="2"/>
  <c r="C9090" i="2"/>
  <c r="B9090" i="2"/>
  <c r="A9090" i="2"/>
  <c r="E9089" i="2"/>
  <c r="D9089" i="2"/>
  <c r="C9089" i="2"/>
  <c r="B9089" i="2"/>
  <c r="A9089" i="2"/>
  <c r="E9088" i="2"/>
  <c r="D9088" i="2"/>
  <c r="C9088" i="2"/>
  <c r="B9088" i="2"/>
  <c r="A9088" i="2"/>
  <c r="E9087" i="2"/>
  <c r="D9087" i="2"/>
  <c r="C9087" i="2"/>
  <c r="B9087" i="2"/>
  <c r="A9087" i="2"/>
  <c r="E9086" i="2"/>
  <c r="D9086" i="2"/>
  <c r="C9086" i="2"/>
  <c r="B9086" i="2"/>
  <c r="A9086" i="2"/>
  <c r="E9085" i="2"/>
  <c r="D9085" i="2"/>
  <c r="C9085" i="2"/>
  <c r="B9085" i="2"/>
  <c r="A9085" i="2"/>
  <c r="E9084" i="2"/>
  <c r="D9084" i="2"/>
  <c r="C9084" i="2"/>
  <c r="B9084" i="2"/>
  <c r="A9084" i="2"/>
  <c r="E9083" i="2"/>
  <c r="D9083" i="2"/>
  <c r="C9083" i="2"/>
  <c r="B9083" i="2"/>
  <c r="A9083" i="2"/>
  <c r="E9082" i="2"/>
  <c r="D9082" i="2"/>
  <c r="C9082" i="2"/>
  <c r="B9082" i="2"/>
  <c r="A9082" i="2"/>
  <c r="E9081" i="2"/>
  <c r="D9081" i="2"/>
  <c r="C9081" i="2"/>
  <c r="B9081" i="2"/>
  <c r="A9081" i="2"/>
  <c r="E9080" i="2"/>
  <c r="D9080" i="2"/>
  <c r="C9080" i="2"/>
  <c r="B9080" i="2"/>
  <c r="A9080" i="2"/>
  <c r="E9079" i="2"/>
  <c r="D9079" i="2"/>
  <c r="C9079" i="2"/>
  <c r="B9079" i="2"/>
  <c r="A9079" i="2"/>
  <c r="E9078" i="2"/>
  <c r="D9078" i="2"/>
  <c r="C9078" i="2"/>
  <c r="B9078" i="2"/>
  <c r="A9078" i="2"/>
  <c r="E9077" i="2"/>
  <c r="D9077" i="2"/>
  <c r="C9077" i="2"/>
  <c r="B9077" i="2"/>
  <c r="A9077" i="2"/>
  <c r="E9076" i="2"/>
  <c r="D9076" i="2"/>
  <c r="C9076" i="2"/>
  <c r="B9076" i="2"/>
  <c r="A9076" i="2"/>
  <c r="E9075" i="2"/>
  <c r="D9075" i="2"/>
  <c r="C9075" i="2"/>
  <c r="B9075" i="2"/>
  <c r="A9075" i="2"/>
  <c r="E9074" i="2"/>
  <c r="D9074" i="2"/>
  <c r="C9074" i="2"/>
  <c r="B9074" i="2"/>
  <c r="A9074" i="2"/>
  <c r="E9073" i="2"/>
  <c r="D9073" i="2"/>
  <c r="C9073" i="2"/>
  <c r="B9073" i="2"/>
  <c r="A9073" i="2"/>
  <c r="E9072" i="2"/>
  <c r="D9072" i="2"/>
  <c r="C9072" i="2"/>
  <c r="B9072" i="2"/>
  <c r="A9072" i="2"/>
  <c r="E9071" i="2"/>
  <c r="D9071" i="2"/>
  <c r="C9071" i="2"/>
  <c r="B9071" i="2"/>
  <c r="A9071" i="2"/>
  <c r="E9070" i="2"/>
  <c r="D9070" i="2"/>
  <c r="C9070" i="2"/>
  <c r="B9070" i="2"/>
  <c r="A9070" i="2"/>
  <c r="E9069" i="2"/>
  <c r="D9069" i="2"/>
  <c r="C9069" i="2"/>
  <c r="B9069" i="2"/>
  <c r="A9069" i="2"/>
  <c r="E9068" i="2"/>
  <c r="D9068" i="2"/>
  <c r="C9068" i="2"/>
  <c r="B9068" i="2"/>
  <c r="A9068" i="2"/>
  <c r="E9067" i="2"/>
  <c r="D9067" i="2"/>
  <c r="C9067" i="2"/>
  <c r="B9067" i="2"/>
  <c r="A9067" i="2"/>
  <c r="E9066" i="2"/>
  <c r="D9066" i="2"/>
  <c r="C9066" i="2"/>
  <c r="B9066" i="2"/>
  <c r="A9066" i="2"/>
  <c r="E9065" i="2"/>
  <c r="D9065" i="2"/>
  <c r="C9065" i="2"/>
  <c r="B9065" i="2"/>
  <c r="A9065" i="2"/>
  <c r="E9064" i="2"/>
  <c r="D9064" i="2"/>
  <c r="C9064" i="2"/>
  <c r="B9064" i="2"/>
  <c r="A9064" i="2"/>
  <c r="E9063" i="2"/>
  <c r="D9063" i="2"/>
  <c r="C9063" i="2"/>
  <c r="B9063" i="2"/>
  <c r="A9063" i="2"/>
  <c r="E9062" i="2"/>
  <c r="D9062" i="2"/>
  <c r="C9062" i="2"/>
  <c r="B9062" i="2"/>
  <c r="A9062" i="2"/>
  <c r="E9061" i="2"/>
  <c r="D9061" i="2"/>
  <c r="C9061" i="2"/>
  <c r="B9061" i="2"/>
  <c r="A9061" i="2"/>
  <c r="E9060" i="2"/>
  <c r="D9060" i="2"/>
  <c r="C9060" i="2"/>
  <c r="B9060" i="2"/>
  <c r="A9060" i="2"/>
  <c r="E9059" i="2"/>
  <c r="D9059" i="2"/>
  <c r="C9059" i="2"/>
  <c r="B9059" i="2"/>
  <c r="A9059" i="2"/>
  <c r="E9058" i="2"/>
  <c r="D9058" i="2"/>
  <c r="C9058" i="2"/>
  <c r="B9058" i="2"/>
  <c r="A9058" i="2"/>
  <c r="E9057" i="2"/>
  <c r="D9057" i="2"/>
  <c r="C9057" i="2"/>
  <c r="B9057" i="2"/>
  <c r="A9057" i="2"/>
  <c r="E9056" i="2"/>
  <c r="D9056" i="2"/>
  <c r="C9056" i="2"/>
  <c r="B9056" i="2"/>
  <c r="A9056" i="2"/>
  <c r="E9055" i="2"/>
  <c r="D9055" i="2"/>
  <c r="C9055" i="2"/>
  <c r="B9055" i="2"/>
  <c r="A9055" i="2"/>
  <c r="E9054" i="2"/>
  <c r="D9054" i="2"/>
  <c r="C9054" i="2"/>
  <c r="B9054" i="2"/>
  <c r="A9054" i="2"/>
  <c r="E9053" i="2"/>
  <c r="D9053" i="2"/>
  <c r="C9053" i="2"/>
  <c r="B9053" i="2"/>
  <c r="A9053" i="2"/>
  <c r="E9052" i="2"/>
  <c r="D9052" i="2"/>
  <c r="C9052" i="2"/>
  <c r="B9052" i="2"/>
  <c r="A9052" i="2"/>
  <c r="E9051" i="2"/>
  <c r="D9051" i="2"/>
  <c r="C9051" i="2"/>
  <c r="B9051" i="2"/>
  <c r="A9051" i="2"/>
  <c r="E9050" i="2"/>
  <c r="D9050" i="2"/>
  <c r="C9050" i="2"/>
  <c r="B9050" i="2"/>
  <c r="A9050" i="2"/>
  <c r="E9049" i="2"/>
  <c r="D9049" i="2"/>
  <c r="C9049" i="2"/>
  <c r="B9049" i="2"/>
  <c r="A9049" i="2"/>
  <c r="E9048" i="2"/>
  <c r="D9048" i="2"/>
  <c r="C9048" i="2"/>
  <c r="B9048" i="2"/>
  <c r="A9048" i="2"/>
  <c r="E9047" i="2"/>
  <c r="D9047" i="2"/>
  <c r="C9047" i="2"/>
  <c r="B9047" i="2"/>
  <c r="A9047" i="2"/>
  <c r="E9046" i="2"/>
  <c r="D9046" i="2"/>
  <c r="C9046" i="2"/>
  <c r="B9046" i="2"/>
  <c r="A9046" i="2"/>
  <c r="E9045" i="2"/>
  <c r="D9045" i="2"/>
  <c r="C9045" i="2"/>
  <c r="B9045" i="2"/>
  <c r="A9045" i="2"/>
  <c r="E9044" i="2"/>
  <c r="D9044" i="2"/>
  <c r="C9044" i="2"/>
  <c r="B9044" i="2"/>
  <c r="A9044" i="2"/>
  <c r="E9043" i="2"/>
  <c r="D9043" i="2"/>
  <c r="C9043" i="2"/>
  <c r="B9043" i="2"/>
  <c r="A9043" i="2"/>
  <c r="E9042" i="2"/>
  <c r="D9042" i="2"/>
  <c r="C9042" i="2"/>
  <c r="B9042" i="2"/>
  <c r="A9042" i="2"/>
  <c r="E9041" i="2"/>
  <c r="D9041" i="2"/>
  <c r="C9041" i="2"/>
  <c r="B9041" i="2"/>
  <c r="A9041" i="2"/>
  <c r="E9040" i="2"/>
  <c r="D9040" i="2"/>
  <c r="C9040" i="2"/>
  <c r="B9040" i="2"/>
  <c r="A9040" i="2"/>
  <c r="E9039" i="2"/>
  <c r="D9039" i="2"/>
  <c r="C9039" i="2"/>
  <c r="B9039" i="2"/>
  <c r="A9039" i="2"/>
  <c r="E9038" i="2"/>
  <c r="D9038" i="2"/>
  <c r="C9038" i="2"/>
  <c r="B9038" i="2"/>
  <c r="A9038" i="2"/>
  <c r="E9037" i="2"/>
  <c r="D9037" i="2"/>
  <c r="C9037" i="2"/>
  <c r="B9037" i="2"/>
  <c r="A9037" i="2"/>
  <c r="E9036" i="2"/>
  <c r="D9036" i="2"/>
  <c r="C9036" i="2"/>
  <c r="B9036" i="2"/>
  <c r="A9036" i="2"/>
  <c r="E9035" i="2"/>
  <c r="D9035" i="2"/>
  <c r="C9035" i="2"/>
  <c r="B9035" i="2"/>
  <c r="A9035" i="2"/>
  <c r="E9034" i="2"/>
  <c r="D9034" i="2"/>
  <c r="C9034" i="2"/>
  <c r="B9034" i="2"/>
  <c r="A9034" i="2"/>
  <c r="E9033" i="2"/>
  <c r="D9033" i="2"/>
  <c r="C9033" i="2"/>
  <c r="B9033" i="2"/>
  <c r="A9033" i="2"/>
  <c r="E9032" i="2"/>
  <c r="D9032" i="2"/>
  <c r="C9032" i="2"/>
  <c r="B9032" i="2"/>
  <c r="A9032" i="2"/>
  <c r="E9031" i="2"/>
  <c r="D9031" i="2"/>
  <c r="C9031" i="2"/>
  <c r="B9031" i="2"/>
  <c r="A9031" i="2"/>
  <c r="E9030" i="2"/>
  <c r="D9030" i="2"/>
  <c r="C9030" i="2"/>
  <c r="B9030" i="2"/>
  <c r="A9030" i="2"/>
  <c r="E9029" i="2"/>
  <c r="D9029" i="2"/>
  <c r="C9029" i="2"/>
  <c r="B9029" i="2"/>
  <c r="A9029" i="2"/>
  <c r="E9028" i="2"/>
  <c r="D9028" i="2"/>
  <c r="C9028" i="2"/>
  <c r="B9028" i="2"/>
  <c r="A9028" i="2"/>
  <c r="E9027" i="2"/>
  <c r="D9027" i="2"/>
  <c r="C9027" i="2"/>
  <c r="B9027" i="2"/>
  <c r="A9027" i="2"/>
  <c r="E9026" i="2"/>
  <c r="D9026" i="2"/>
  <c r="C9026" i="2"/>
  <c r="B9026" i="2"/>
  <c r="A9026" i="2"/>
  <c r="E9025" i="2"/>
  <c r="D9025" i="2"/>
  <c r="C9025" i="2"/>
  <c r="B9025" i="2"/>
  <c r="A9025" i="2"/>
  <c r="E9024" i="2"/>
  <c r="D9024" i="2"/>
  <c r="C9024" i="2"/>
  <c r="B9024" i="2"/>
  <c r="A9024" i="2"/>
  <c r="E9023" i="2"/>
  <c r="D9023" i="2"/>
  <c r="C9023" i="2"/>
  <c r="B9023" i="2"/>
  <c r="A9023" i="2"/>
  <c r="E9022" i="2"/>
  <c r="D9022" i="2"/>
  <c r="C9022" i="2"/>
  <c r="B9022" i="2"/>
  <c r="A9022" i="2"/>
  <c r="E9021" i="2"/>
  <c r="D9021" i="2"/>
  <c r="C9021" i="2"/>
  <c r="B9021" i="2"/>
  <c r="A9021" i="2"/>
  <c r="E9020" i="2"/>
  <c r="D9020" i="2"/>
  <c r="C9020" i="2"/>
  <c r="B9020" i="2"/>
  <c r="A9020" i="2"/>
  <c r="E9019" i="2"/>
  <c r="D9019" i="2"/>
  <c r="C9019" i="2"/>
  <c r="B9019" i="2"/>
  <c r="A9019" i="2"/>
  <c r="E9018" i="2"/>
  <c r="D9018" i="2"/>
  <c r="C9018" i="2"/>
  <c r="B9018" i="2"/>
  <c r="A9018" i="2"/>
  <c r="E9017" i="2"/>
  <c r="D9017" i="2"/>
  <c r="C9017" i="2"/>
  <c r="B9017" i="2"/>
  <c r="A9017" i="2"/>
  <c r="E9016" i="2"/>
  <c r="D9016" i="2"/>
  <c r="C9016" i="2"/>
  <c r="B9016" i="2"/>
  <c r="A9016" i="2"/>
  <c r="E9015" i="2"/>
  <c r="D9015" i="2"/>
  <c r="C9015" i="2"/>
  <c r="B9015" i="2"/>
  <c r="A9015" i="2"/>
  <c r="E9014" i="2"/>
  <c r="D9014" i="2"/>
  <c r="C9014" i="2"/>
  <c r="B9014" i="2"/>
  <c r="A9014" i="2"/>
  <c r="E9013" i="2"/>
  <c r="D9013" i="2"/>
  <c r="C9013" i="2"/>
  <c r="B9013" i="2"/>
  <c r="A9013" i="2"/>
  <c r="E9012" i="2"/>
  <c r="D9012" i="2"/>
  <c r="C9012" i="2"/>
  <c r="B9012" i="2"/>
  <c r="A9012" i="2"/>
  <c r="E9011" i="2"/>
  <c r="D9011" i="2"/>
  <c r="C9011" i="2"/>
  <c r="B9011" i="2"/>
  <c r="A9011" i="2"/>
  <c r="E9010" i="2"/>
  <c r="D9010" i="2"/>
  <c r="C9010" i="2"/>
  <c r="B9010" i="2"/>
  <c r="A9010" i="2"/>
  <c r="E9009" i="2"/>
  <c r="D9009" i="2"/>
  <c r="C9009" i="2"/>
  <c r="B9009" i="2"/>
  <c r="A9009" i="2"/>
  <c r="E9008" i="2"/>
  <c r="D9008" i="2"/>
  <c r="C9008" i="2"/>
  <c r="B9008" i="2"/>
  <c r="A9008" i="2"/>
  <c r="E9007" i="2"/>
  <c r="D9007" i="2"/>
  <c r="C9007" i="2"/>
  <c r="B9007" i="2"/>
  <c r="A9007" i="2"/>
  <c r="E9006" i="2"/>
  <c r="D9006" i="2"/>
  <c r="C9006" i="2"/>
  <c r="B9006" i="2"/>
  <c r="A9006" i="2"/>
  <c r="E9005" i="2"/>
  <c r="D9005" i="2"/>
  <c r="C9005" i="2"/>
  <c r="B9005" i="2"/>
  <c r="A9005" i="2"/>
  <c r="E9004" i="2"/>
  <c r="D9004" i="2"/>
  <c r="C9004" i="2"/>
  <c r="B9004" i="2"/>
  <c r="A9004" i="2"/>
  <c r="E9003" i="2"/>
  <c r="D9003" i="2"/>
  <c r="C9003" i="2"/>
  <c r="B9003" i="2"/>
  <c r="A9003" i="2"/>
  <c r="E9002" i="2"/>
  <c r="D9002" i="2"/>
  <c r="C9002" i="2"/>
  <c r="B9002" i="2"/>
  <c r="A9002" i="2"/>
  <c r="E9001" i="2"/>
  <c r="D9001" i="2"/>
  <c r="C9001" i="2"/>
  <c r="B9001" i="2"/>
  <c r="A9001" i="2"/>
  <c r="E9000" i="2"/>
  <c r="D9000" i="2"/>
  <c r="C9000" i="2"/>
  <c r="B9000" i="2"/>
  <c r="A9000" i="2"/>
  <c r="E8999" i="2"/>
  <c r="D8999" i="2"/>
  <c r="C8999" i="2"/>
  <c r="B8999" i="2"/>
  <c r="A8999" i="2"/>
  <c r="E8998" i="2"/>
  <c r="D8998" i="2"/>
  <c r="C8998" i="2"/>
  <c r="B8998" i="2"/>
  <c r="A8998" i="2"/>
  <c r="E8997" i="2"/>
  <c r="D8997" i="2"/>
  <c r="C8997" i="2"/>
  <c r="B8997" i="2"/>
  <c r="A8997" i="2"/>
  <c r="E8996" i="2"/>
  <c r="D8996" i="2"/>
  <c r="C8996" i="2"/>
  <c r="B8996" i="2"/>
  <c r="A8996" i="2"/>
  <c r="E8995" i="2"/>
  <c r="D8995" i="2"/>
  <c r="C8995" i="2"/>
  <c r="B8995" i="2"/>
  <c r="A8995" i="2"/>
  <c r="E8994" i="2"/>
  <c r="D8994" i="2"/>
  <c r="C8994" i="2"/>
  <c r="B8994" i="2"/>
  <c r="A8994" i="2"/>
  <c r="E8993" i="2"/>
  <c r="D8993" i="2"/>
  <c r="C8993" i="2"/>
  <c r="B8993" i="2"/>
  <c r="A8993" i="2"/>
  <c r="E8992" i="2"/>
  <c r="D8992" i="2"/>
  <c r="C8992" i="2"/>
  <c r="B8992" i="2"/>
  <c r="A8992" i="2"/>
  <c r="E8991" i="2"/>
  <c r="D8991" i="2"/>
  <c r="C8991" i="2"/>
  <c r="B8991" i="2"/>
  <c r="A8991" i="2"/>
  <c r="E8990" i="2"/>
  <c r="D8990" i="2"/>
  <c r="C8990" i="2"/>
  <c r="B8990" i="2"/>
  <c r="A8990" i="2"/>
  <c r="E8989" i="2"/>
  <c r="D8989" i="2"/>
  <c r="C8989" i="2"/>
  <c r="B8989" i="2"/>
  <c r="A8989" i="2"/>
  <c r="E8988" i="2"/>
  <c r="D8988" i="2"/>
  <c r="C8988" i="2"/>
  <c r="B8988" i="2"/>
  <c r="A8988" i="2"/>
  <c r="E8987" i="2"/>
  <c r="D8987" i="2"/>
  <c r="C8987" i="2"/>
  <c r="B8987" i="2"/>
  <c r="A8987" i="2"/>
  <c r="E8986" i="2"/>
  <c r="D8986" i="2"/>
  <c r="C8986" i="2"/>
  <c r="B8986" i="2"/>
  <c r="A8986" i="2"/>
  <c r="E8985" i="2"/>
  <c r="D8985" i="2"/>
  <c r="C8985" i="2"/>
  <c r="B8985" i="2"/>
  <c r="A8985" i="2"/>
  <c r="E8984" i="2"/>
  <c r="D8984" i="2"/>
  <c r="C8984" i="2"/>
  <c r="B8984" i="2"/>
  <c r="A8984" i="2"/>
  <c r="E8983" i="2"/>
  <c r="D8983" i="2"/>
  <c r="C8983" i="2"/>
  <c r="B8983" i="2"/>
  <c r="A8983" i="2"/>
  <c r="E8982" i="2"/>
  <c r="D8982" i="2"/>
  <c r="C8982" i="2"/>
  <c r="B8982" i="2"/>
  <c r="A8982" i="2"/>
  <c r="E8981" i="2"/>
  <c r="D8981" i="2"/>
  <c r="C8981" i="2"/>
  <c r="B8981" i="2"/>
  <c r="A8981" i="2"/>
  <c r="E8980" i="2"/>
  <c r="D8980" i="2"/>
  <c r="C8980" i="2"/>
  <c r="B8980" i="2"/>
  <c r="A8980" i="2"/>
  <c r="E8979" i="2"/>
  <c r="D8979" i="2"/>
  <c r="C8979" i="2"/>
  <c r="B8979" i="2"/>
  <c r="A8979" i="2"/>
  <c r="E8978" i="2"/>
  <c r="D8978" i="2"/>
  <c r="C8978" i="2"/>
  <c r="B8978" i="2"/>
  <c r="A8978" i="2"/>
  <c r="E8977" i="2"/>
  <c r="D8977" i="2"/>
  <c r="C8977" i="2"/>
  <c r="B8977" i="2"/>
  <c r="A8977" i="2"/>
  <c r="E8976" i="2"/>
  <c r="D8976" i="2"/>
  <c r="C8976" i="2"/>
  <c r="B8976" i="2"/>
  <c r="A8976" i="2"/>
  <c r="E8975" i="2"/>
  <c r="D8975" i="2"/>
  <c r="C8975" i="2"/>
  <c r="B8975" i="2"/>
  <c r="A8975" i="2"/>
  <c r="E8974" i="2"/>
  <c r="D8974" i="2"/>
  <c r="C8974" i="2"/>
  <c r="B8974" i="2"/>
  <c r="A8974" i="2"/>
  <c r="E8973" i="2"/>
  <c r="D8973" i="2"/>
  <c r="C8973" i="2"/>
  <c r="B8973" i="2"/>
  <c r="A8973" i="2"/>
  <c r="E8972" i="2"/>
  <c r="D8972" i="2"/>
  <c r="C8972" i="2"/>
  <c r="B8972" i="2"/>
  <c r="A8972" i="2"/>
  <c r="E8971" i="2"/>
  <c r="D8971" i="2"/>
  <c r="C8971" i="2"/>
  <c r="B8971" i="2"/>
  <c r="A8971" i="2"/>
  <c r="E8970" i="2"/>
  <c r="D8970" i="2"/>
  <c r="C8970" i="2"/>
  <c r="B8970" i="2"/>
  <c r="A8970" i="2"/>
  <c r="E8969" i="2"/>
  <c r="D8969" i="2"/>
  <c r="C8969" i="2"/>
  <c r="B8969" i="2"/>
  <c r="A8969" i="2"/>
  <c r="E8968" i="2"/>
  <c r="D8968" i="2"/>
  <c r="C8968" i="2"/>
  <c r="B8968" i="2"/>
  <c r="A8968" i="2"/>
  <c r="E8967" i="2"/>
  <c r="D8967" i="2"/>
  <c r="C8967" i="2"/>
  <c r="B8967" i="2"/>
  <c r="A8967" i="2"/>
  <c r="E8966" i="2"/>
  <c r="D8966" i="2"/>
  <c r="C8966" i="2"/>
  <c r="B8966" i="2"/>
  <c r="A8966" i="2"/>
  <c r="E8965" i="2"/>
  <c r="D8965" i="2"/>
  <c r="C8965" i="2"/>
  <c r="B8965" i="2"/>
  <c r="A8965" i="2"/>
  <c r="E8964" i="2"/>
  <c r="D8964" i="2"/>
  <c r="C8964" i="2"/>
  <c r="B8964" i="2"/>
  <c r="A8964" i="2"/>
  <c r="E8963" i="2"/>
  <c r="D8963" i="2"/>
  <c r="C8963" i="2"/>
  <c r="B8963" i="2"/>
  <c r="A8963" i="2"/>
  <c r="E8962" i="2"/>
  <c r="D8962" i="2"/>
  <c r="C8962" i="2"/>
  <c r="B8962" i="2"/>
  <c r="A8962" i="2"/>
  <c r="E8961" i="2"/>
  <c r="D8961" i="2"/>
  <c r="C8961" i="2"/>
  <c r="B8961" i="2"/>
  <c r="A8961" i="2"/>
  <c r="E8960" i="2"/>
  <c r="D8960" i="2"/>
  <c r="C8960" i="2"/>
  <c r="B8960" i="2"/>
  <c r="A8960" i="2"/>
  <c r="E8959" i="2"/>
  <c r="D8959" i="2"/>
  <c r="C8959" i="2"/>
  <c r="B8959" i="2"/>
  <c r="A8959" i="2"/>
  <c r="E8958" i="2"/>
  <c r="D8958" i="2"/>
  <c r="C8958" i="2"/>
  <c r="B8958" i="2"/>
  <c r="A8958" i="2"/>
  <c r="E8957" i="2"/>
  <c r="D8957" i="2"/>
  <c r="C8957" i="2"/>
  <c r="B8957" i="2"/>
  <c r="A8957" i="2"/>
  <c r="E8956" i="2"/>
  <c r="D8956" i="2"/>
  <c r="C8956" i="2"/>
  <c r="B8956" i="2"/>
  <c r="A8956" i="2"/>
  <c r="E8955" i="2"/>
  <c r="D8955" i="2"/>
  <c r="C8955" i="2"/>
  <c r="B8955" i="2"/>
  <c r="A8955" i="2"/>
  <c r="E8954" i="2"/>
  <c r="D8954" i="2"/>
  <c r="C8954" i="2"/>
  <c r="B8954" i="2"/>
  <c r="A8954" i="2"/>
  <c r="E8953" i="2"/>
  <c r="D8953" i="2"/>
  <c r="C8953" i="2"/>
  <c r="B8953" i="2"/>
  <c r="A8953" i="2"/>
  <c r="E8952" i="2"/>
  <c r="D8952" i="2"/>
  <c r="C8952" i="2"/>
  <c r="B8952" i="2"/>
  <c r="A8952" i="2"/>
  <c r="E8951" i="2"/>
  <c r="D8951" i="2"/>
  <c r="C8951" i="2"/>
  <c r="B8951" i="2"/>
  <c r="A8951" i="2"/>
  <c r="E8950" i="2"/>
  <c r="D8950" i="2"/>
  <c r="C8950" i="2"/>
  <c r="B8950" i="2"/>
  <c r="A8950" i="2"/>
  <c r="E8949" i="2"/>
  <c r="D8949" i="2"/>
  <c r="C8949" i="2"/>
  <c r="B8949" i="2"/>
  <c r="A8949" i="2"/>
  <c r="E8948" i="2"/>
  <c r="D8948" i="2"/>
  <c r="C8948" i="2"/>
  <c r="B8948" i="2"/>
  <c r="A8948" i="2"/>
  <c r="E8947" i="2"/>
  <c r="D8947" i="2"/>
  <c r="C8947" i="2"/>
  <c r="B8947" i="2"/>
  <c r="A8947" i="2"/>
  <c r="E8946" i="2"/>
  <c r="D8946" i="2"/>
  <c r="C8946" i="2"/>
  <c r="B8946" i="2"/>
  <c r="A8946" i="2"/>
  <c r="E8945" i="2"/>
  <c r="D8945" i="2"/>
  <c r="C8945" i="2"/>
  <c r="B8945" i="2"/>
  <c r="A8945" i="2"/>
  <c r="E8944" i="2"/>
  <c r="D8944" i="2"/>
  <c r="C8944" i="2"/>
  <c r="B8944" i="2"/>
  <c r="A8944" i="2"/>
  <c r="E8943" i="2"/>
  <c r="D8943" i="2"/>
  <c r="C8943" i="2"/>
  <c r="B8943" i="2"/>
  <c r="A8943" i="2"/>
  <c r="E8942" i="2"/>
  <c r="D8942" i="2"/>
  <c r="C8942" i="2"/>
  <c r="B8942" i="2"/>
  <c r="A8942" i="2"/>
  <c r="E8941" i="2"/>
  <c r="D8941" i="2"/>
  <c r="C8941" i="2"/>
  <c r="B8941" i="2"/>
  <c r="A8941" i="2"/>
  <c r="E8940" i="2"/>
  <c r="D8940" i="2"/>
  <c r="C8940" i="2"/>
  <c r="B8940" i="2"/>
  <c r="A8940" i="2"/>
  <c r="E8939" i="2"/>
  <c r="D8939" i="2"/>
  <c r="C8939" i="2"/>
  <c r="B8939" i="2"/>
  <c r="A8939" i="2"/>
  <c r="E8938" i="2"/>
  <c r="D8938" i="2"/>
  <c r="C8938" i="2"/>
  <c r="B8938" i="2"/>
  <c r="A8938" i="2"/>
  <c r="E8937" i="2"/>
  <c r="D8937" i="2"/>
  <c r="C8937" i="2"/>
  <c r="B8937" i="2"/>
  <c r="A8937" i="2"/>
  <c r="E8936" i="2"/>
  <c r="D8936" i="2"/>
  <c r="C8936" i="2"/>
  <c r="B8936" i="2"/>
  <c r="A8936" i="2"/>
  <c r="E8935" i="2"/>
  <c r="D8935" i="2"/>
  <c r="C8935" i="2"/>
  <c r="B8935" i="2"/>
  <c r="A8935" i="2"/>
  <c r="E8934" i="2"/>
  <c r="D8934" i="2"/>
  <c r="C8934" i="2"/>
  <c r="B8934" i="2"/>
  <c r="A8934" i="2"/>
  <c r="E8933" i="2"/>
  <c r="D8933" i="2"/>
  <c r="C8933" i="2"/>
  <c r="B8933" i="2"/>
  <c r="A8933" i="2"/>
  <c r="E8932" i="2"/>
  <c r="D8932" i="2"/>
  <c r="C8932" i="2"/>
  <c r="B8932" i="2"/>
  <c r="A8932" i="2"/>
  <c r="E8931" i="2"/>
  <c r="D8931" i="2"/>
  <c r="C8931" i="2"/>
  <c r="B8931" i="2"/>
  <c r="A8931" i="2"/>
  <c r="E8930" i="2"/>
  <c r="D8930" i="2"/>
  <c r="C8930" i="2"/>
  <c r="B8930" i="2"/>
  <c r="A8930" i="2"/>
  <c r="E8929" i="2"/>
  <c r="D8929" i="2"/>
  <c r="C8929" i="2"/>
  <c r="B8929" i="2"/>
  <c r="A8929" i="2"/>
  <c r="E8928" i="2"/>
  <c r="D8928" i="2"/>
  <c r="C8928" i="2"/>
  <c r="B8928" i="2"/>
  <c r="A8928" i="2"/>
  <c r="E8927" i="2"/>
  <c r="D8927" i="2"/>
  <c r="C8927" i="2"/>
  <c r="B8927" i="2"/>
  <c r="A8927" i="2"/>
  <c r="E8926" i="2"/>
  <c r="D8926" i="2"/>
  <c r="C8926" i="2"/>
  <c r="B8926" i="2"/>
  <c r="A8926" i="2"/>
  <c r="E8925" i="2"/>
  <c r="D8925" i="2"/>
  <c r="C8925" i="2"/>
  <c r="B8925" i="2"/>
  <c r="A8925" i="2"/>
  <c r="E8924" i="2"/>
  <c r="D8924" i="2"/>
  <c r="C8924" i="2"/>
  <c r="B8924" i="2"/>
  <c r="A8924" i="2"/>
  <c r="E8923" i="2"/>
  <c r="D8923" i="2"/>
  <c r="C8923" i="2"/>
  <c r="B8923" i="2"/>
  <c r="A8923" i="2"/>
  <c r="E8922" i="2"/>
  <c r="D8922" i="2"/>
  <c r="C8922" i="2"/>
  <c r="B8922" i="2"/>
  <c r="A8922" i="2"/>
  <c r="E8921" i="2"/>
  <c r="D8921" i="2"/>
  <c r="C8921" i="2"/>
  <c r="B8921" i="2"/>
  <c r="A8921" i="2"/>
  <c r="E8920" i="2"/>
  <c r="D8920" i="2"/>
  <c r="C8920" i="2"/>
  <c r="B8920" i="2"/>
  <c r="A8920" i="2"/>
  <c r="E8919" i="2"/>
  <c r="D8919" i="2"/>
  <c r="C8919" i="2"/>
  <c r="B8919" i="2"/>
  <c r="A8919" i="2"/>
  <c r="E8918" i="2"/>
  <c r="D8918" i="2"/>
  <c r="C8918" i="2"/>
  <c r="B8918" i="2"/>
  <c r="A8918" i="2"/>
  <c r="E8917" i="2"/>
  <c r="D8917" i="2"/>
  <c r="C8917" i="2"/>
  <c r="B8917" i="2"/>
  <c r="A8917" i="2"/>
  <c r="E8916" i="2"/>
  <c r="D8916" i="2"/>
  <c r="C8916" i="2"/>
  <c r="B8916" i="2"/>
  <c r="A8916" i="2"/>
  <c r="E8915" i="2"/>
  <c r="D8915" i="2"/>
  <c r="C8915" i="2"/>
  <c r="B8915" i="2"/>
  <c r="A8915" i="2"/>
  <c r="E8914" i="2"/>
  <c r="D8914" i="2"/>
  <c r="C8914" i="2"/>
  <c r="B8914" i="2"/>
  <c r="A8914" i="2"/>
  <c r="E8913" i="2"/>
  <c r="D8913" i="2"/>
  <c r="C8913" i="2"/>
  <c r="B8913" i="2"/>
  <c r="A8913" i="2"/>
  <c r="E8912" i="2"/>
  <c r="D8912" i="2"/>
  <c r="C8912" i="2"/>
  <c r="B8912" i="2"/>
  <c r="A8912" i="2"/>
  <c r="E8911" i="2"/>
  <c r="D8911" i="2"/>
  <c r="C8911" i="2"/>
  <c r="B8911" i="2"/>
  <c r="A8911" i="2"/>
  <c r="E8910" i="2"/>
  <c r="D8910" i="2"/>
  <c r="C8910" i="2"/>
  <c r="B8910" i="2"/>
  <c r="A8910" i="2"/>
  <c r="E8909" i="2"/>
  <c r="D8909" i="2"/>
  <c r="C8909" i="2"/>
  <c r="B8909" i="2"/>
  <c r="A8909" i="2"/>
  <c r="E8908" i="2"/>
  <c r="D8908" i="2"/>
  <c r="C8908" i="2"/>
  <c r="B8908" i="2"/>
  <c r="A8908" i="2"/>
  <c r="E8907" i="2"/>
  <c r="D8907" i="2"/>
  <c r="C8907" i="2"/>
  <c r="B8907" i="2"/>
  <c r="A8907" i="2"/>
  <c r="E8906" i="2"/>
  <c r="D8906" i="2"/>
  <c r="C8906" i="2"/>
  <c r="B8906" i="2"/>
  <c r="A8906" i="2"/>
  <c r="E8905" i="2"/>
  <c r="D8905" i="2"/>
  <c r="C8905" i="2"/>
  <c r="B8905" i="2"/>
  <c r="A8905" i="2"/>
  <c r="E8904" i="2"/>
  <c r="D8904" i="2"/>
  <c r="C8904" i="2"/>
  <c r="B8904" i="2"/>
  <c r="A8904" i="2"/>
  <c r="E8903" i="2"/>
  <c r="D8903" i="2"/>
  <c r="C8903" i="2"/>
  <c r="B8903" i="2"/>
  <c r="A8903" i="2"/>
  <c r="E8902" i="2"/>
  <c r="D8902" i="2"/>
  <c r="C8902" i="2"/>
  <c r="B8902" i="2"/>
  <c r="A8902" i="2"/>
  <c r="E8901" i="2"/>
  <c r="D8901" i="2"/>
  <c r="C8901" i="2"/>
  <c r="B8901" i="2"/>
  <c r="A8901" i="2"/>
  <c r="E8900" i="2"/>
  <c r="D8900" i="2"/>
  <c r="C8900" i="2"/>
  <c r="B8900" i="2"/>
  <c r="A8900" i="2"/>
  <c r="E8899" i="2"/>
  <c r="D8899" i="2"/>
  <c r="C8899" i="2"/>
  <c r="B8899" i="2"/>
  <c r="A8899" i="2"/>
  <c r="E8898" i="2"/>
  <c r="D8898" i="2"/>
  <c r="C8898" i="2"/>
  <c r="B8898" i="2"/>
  <c r="A8898" i="2"/>
  <c r="E8897" i="2"/>
  <c r="D8897" i="2"/>
  <c r="C8897" i="2"/>
  <c r="B8897" i="2"/>
  <c r="A8897" i="2"/>
  <c r="E8896" i="2"/>
  <c r="D8896" i="2"/>
  <c r="C8896" i="2"/>
  <c r="B8896" i="2"/>
  <c r="A8896" i="2"/>
  <c r="E8895" i="2"/>
  <c r="D8895" i="2"/>
  <c r="C8895" i="2"/>
  <c r="B8895" i="2"/>
  <c r="A8895" i="2"/>
  <c r="E8894" i="2"/>
  <c r="D8894" i="2"/>
  <c r="C8894" i="2"/>
  <c r="B8894" i="2"/>
  <c r="A8894" i="2"/>
  <c r="E8893" i="2"/>
  <c r="D8893" i="2"/>
  <c r="C8893" i="2"/>
  <c r="B8893" i="2"/>
  <c r="A8893" i="2"/>
  <c r="E8892" i="2"/>
  <c r="D8892" i="2"/>
  <c r="C8892" i="2"/>
  <c r="B8892" i="2"/>
  <c r="A8892" i="2"/>
  <c r="E8891" i="2"/>
  <c r="D8891" i="2"/>
  <c r="C8891" i="2"/>
  <c r="B8891" i="2"/>
  <c r="A8891" i="2"/>
  <c r="E8890" i="2"/>
  <c r="D8890" i="2"/>
  <c r="C8890" i="2"/>
  <c r="B8890" i="2"/>
  <c r="A8890" i="2"/>
  <c r="E8889" i="2"/>
  <c r="D8889" i="2"/>
  <c r="C8889" i="2"/>
  <c r="B8889" i="2"/>
  <c r="A8889" i="2"/>
  <c r="E8888" i="2"/>
  <c r="D8888" i="2"/>
  <c r="C8888" i="2"/>
  <c r="B8888" i="2"/>
  <c r="A8888" i="2"/>
  <c r="E8887" i="2"/>
  <c r="D8887" i="2"/>
  <c r="C8887" i="2"/>
  <c r="B8887" i="2"/>
  <c r="A8887" i="2"/>
  <c r="E8886" i="2"/>
  <c r="D8886" i="2"/>
  <c r="C8886" i="2"/>
  <c r="B8886" i="2"/>
  <c r="A8886" i="2"/>
  <c r="E8885" i="2"/>
  <c r="D8885" i="2"/>
  <c r="C8885" i="2"/>
  <c r="B8885" i="2"/>
  <c r="A8885" i="2"/>
  <c r="E8884" i="2"/>
  <c r="D8884" i="2"/>
  <c r="C8884" i="2"/>
  <c r="B8884" i="2"/>
  <c r="A8884" i="2"/>
  <c r="E8883" i="2"/>
  <c r="D8883" i="2"/>
  <c r="C8883" i="2"/>
  <c r="B8883" i="2"/>
  <c r="A8883" i="2"/>
  <c r="E8882" i="2"/>
  <c r="D8882" i="2"/>
  <c r="C8882" i="2"/>
  <c r="B8882" i="2"/>
  <c r="A8882" i="2"/>
  <c r="E8881" i="2"/>
  <c r="D8881" i="2"/>
  <c r="C8881" i="2"/>
  <c r="B8881" i="2"/>
  <c r="A8881" i="2"/>
  <c r="E8880" i="2"/>
  <c r="D8880" i="2"/>
  <c r="C8880" i="2"/>
  <c r="B8880" i="2"/>
  <c r="A8880" i="2"/>
  <c r="E8879" i="2"/>
  <c r="D8879" i="2"/>
  <c r="C8879" i="2"/>
  <c r="B8879" i="2"/>
  <c r="A8879" i="2"/>
  <c r="E8878" i="2"/>
  <c r="D8878" i="2"/>
  <c r="C8878" i="2"/>
  <c r="B8878" i="2"/>
  <c r="A8878" i="2"/>
  <c r="E8877" i="2"/>
  <c r="D8877" i="2"/>
  <c r="C8877" i="2"/>
  <c r="B8877" i="2"/>
  <c r="A8877" i="2"/>
  <c r="E8876" i="2"/>
  <c r="D8876" i="2"/>
  <c r="C8876" i="2"/>
  <c r="B8876" i="2"/>
  <c r="A8876" i="2"/>
  <c r="E8875" i="2"/>
  <c r="D8875" i="2"/>
  <c r="C8875" i="2"/>
  <c r="B8875" i="2"/>
  <c r="A8875" i="2"/>
  <c r="E8874" i="2"/>
  <c r="D8874" i="2"/>
  <c r="C8874" i="2"/>
  <c r="B8874" i="2"/>
  <c r="A8874" i="2"/>
  <c r="E8873" i="2"/>
  <c r="D8873" i="2"/>
  <c r="C8873" i="2"/>
  <c r="B8873" i="2"/>
  <c r="A8873" i="2"/>
  <c r="E8872" i="2"/>
  <c r="D8872" i="2"/>
  <c r="C8872" i="2"/>
  <c r="B8872" i="2"/>
  <c r="A8872" i="2"/>
  <c r="E8871" i="2"/>
  <c r="D8871" i="2"/>
  <c r="C8871" i="2"/>
  <c r="B8871" i="2"/>
  <c r="A8871" i="2"/>
  <c r="E8870" i="2"/>
  <c r="D8870" i="2"/>
  <c r="C8870" i="2"/>
  <c r="B8870" i="2"/>
  <c r="A8870" i="2"/>
  <c r="E8869" i="2"/>
  <c r="D8869" i="2"/>
  <c r="C8869" i="2"/>
  <c r="B8869" i="2"/>
  <c r="A8869" i="2"/>
  <c r="E8868" i="2"/>
  <c r="D8868" i="2"/>
  <c r="C8868" i="2"/>
  <c r="B8868" i="2"/>
  <c r="A8868" i="2"/>
  <c r="E8867" i="2"/>
  <c r="D8867" i="2"/>
  <c r="C8867" i="2"/>
  <c r="B8867" i="2"/>
  <c r="A8867" i="2"/>
  <c r="E8866" i="2"/>
  <c r="D8866" i="2"/>
  <c r="C8866" i="2"/>
  <c r="B8866" i="2"/>
  <c r="A8866" i="2"/>
  <c r="E8865" i="2"/>
  <c r="D8865" i="2"/>
  <c r="C8865" i="2"/>
  <c r="B8865" i="2"/>
  <c r="A8865" i="2"/>
  <c r="E8864" i="2"/>
  <c r="D8864" i="2"/>
  <c r="C8864" i="2"/>
  <c r="B8864" i="2"/>
  <c r="A8864" i="2"/>
  <c r="E8863" i="2"/>
  <c r="D8863" i="2"/>
  <c r="C8863" i="2"/>
  <c r="B8863" i="2"/>
  <c r="A8863" i="2"/>
  <c r="E8862" i="2"/>
  <c r="D8862" i="2"/>
  <c r="C8862" i="2"/>
  <c r="B8862" i="2"/>
  <c r="A8862" i="2"/>
  <c r="E8861" i="2"/>
  <c r="D8861" i="2"/>
  <c r="C8861" i="2"/>
  <c r="B8861" i="2"/>
  <c r="A8861" i="2"/>
  <c r="E8860" i="2"/>
  <c r="D8860" i="2"/>
  <c r="C8860" i="2"/>
  <c r="B8860" i="2"/>
  <c r="A8860" i="2"/>
  <c r="E8859" i="2"/>
  <c r="D8859" i="2"/>
  <c r="C8859" i="2"/>
  <c r="B8859" i="2"/>
  <c r="A8859" i="2"/>
  <c r="E8858" i="2"/>
  <c r="D8858" i="2"/>
  <c r="C8858" i="2"/>
  <c r="B8858" i="2"/>
  <c r="A8858" i="2"/>
  <c r="E8857" i="2"/>
  <c r="D8857" i="2"/>
  <c r="C8857" i="2"/>
  <c r="B8857" i="2"/>
  <c r="A8857" i="2"/>
  <c r="E8856" i="2"/>
  <c r="D8856" i="2"/>
  <c r="C8856" i="2"/>
  <c r="B8856" i="2"/>
  <c r="A8856" i="2"/>
  <c r="E8855" i="2"/>
  <c r="D8855" i="2"/>
  <c r="C8855" i="2"/>
  <c r="B8855" i="2"/>
  <c r="A8855" i="2"/>
  <c r="E8854" i="2"/>
  <c r="D8854" i="2"/>
  <c r="C8854" i="2"/>
  <c r="B8854" i="2"/>
  <c r="A8854" i="2"/>
  <c r="E8853" i="2"/>
  <c r="D8853" i="2"/>
  <c r="C8853" i="2"/>
  <c r="B8853" i="2"/>
  <c r="A8853" i="2"/>
  <c r="E8852" i="2"/>
  <c r="D8852" i="2"/>
  <c r="C8852" i="2"/>
  <c r="B8852" i="2"/>
  <c r="A8852" i="2"/>
  <c r="E8851" i="2"/>
  <c r="D8851" i="2"/>
  <c r="C8851" i="2"/>
  <c r="B8851" i="2"/>
  <c r="A8851" i="2"/>
  <c r="E8850" i="2"/>
  <c r="D8850" i="2"/>
  <c r="C8850" i="2"/>
  <c r="B8850" i="2"/>
  <c r="A8850" i="2"/>
  <c r="E8849" i="2"/>
  <c r="D8849" i="2"/>
  <c r="C8849" i="2"/>
  <c r="B8849" i="2"/>
  <c r="A8849" i="2"/>
  <c r="E8848" i="2"/>
  <c r="D8848" i="2"/>
  <c r="C8848" i="2"/>
  <c r="B8848" i="2"/>
  <c r="A8848" i="2"/>
  <c r="E8847" i="2"/>
  <c r="D8847" i="2"/>
  <c r="C8847" i="2"/>
  <c r="B8847" i="2"/>
  <c r="A8847" i="2"/>
  <c r="E8846" i="2"/>
  <c r="D8846" i="2"/>
  <c r="C8846" i="2"/>
  <c r="B8846" i="2"/>
  <c r="A8846" i="2"/>
  <c r="E8845" i="2"/>
  <c r="D8845" i="2"/>
  <c r="C8845" i="2"/>
  <c r="B8845" i="2"/>
  <c r="A8845" i="2"/>
  <c r="E8844" i="2"/>
  <c r="D8844" i="2"/>
  <c r="C8844" i="2"/>
  <c r="B8844" i="2"/>
  <c r="A8844" i="2"/>
  <c r="E8843" i="2"/>
  <c r="D8843" i="2"/>
  <c r="C8843" i="2"/>
  <c r="B8843" i="2"/>
  <c r="A8843" i="2"/>
  <c r="E8842" i="2"/>
  <c r="D8842" i="2"/>
  <c r="C8842" i="2"/>
  <c r="B8842" i="2"/>
  <c r="A8842" i="2"/>
  <c r="E8841" i="2"/>
  <c r="D8841" i="2"/>
  <c r="C8841" i="2"/>
  <c r="B8841" i="2"/>
  <c r="A8841" i="2"/>
  <c r="E8840" i="2"/>
  <c r="D8840" i="2"/>
  <c r="C8840" i="2"/>
  <c r="B8840" i="2"/>
  <c r="A8840" i="2"/>
  <c r="E8839" i="2"/>
  <c r="D8839" i="2"/>
  <c r="C8839" i="2"/>
  <c r="B8839" i="2"/>
  <c r="A8839" i="2"/>
  <c r="E8838" i="2"/>
  <c r="D8838" i="2"/>
  <c r="C8838" i="2"/>
  <c r="B8838" i="2"/>
  <c r="A8838" i="2"/>
  <c r="E8837" i="2"/>
  <c r="D8837" i="2"/>
  <c r="C8837" i="2"/>
  <c r="B8837" i="2"/>
  <c r="A8837" i="2"/>
  <c r="E8836" i="2"/>
  <c r="D8836" i="2"/>
  <c r="C8836" i="2"/>
  <c r="B8836" i="2"/>
  <c r="A8836" i="2"/>
  <c r="E8835" i="2"/>
  <c r="D8835" i="2"/>
  <c r="C8835" i="2"/>
  <c r="B8835" i="2"/>
  <c r="A8835" i="2"/>
  <c r="E8834" i="2"/>
  <c r="D8834" i="2"/>
  <c r="C8834" i="2"/>
  <c r="B8834" i="2"/>
  <c r="A8834" i="2"/>
  <c r="E8833" i="2"/>
  <c r="D8833" i="2"/>
  <c r="C8833" i="2"/>
  <c r="B8833" i="2"/>
  <c r="A8833" i="2"/>
  <c r="E8832" i="2"/>
  <c r="D8832" i="2"/>
  <c r="C8832" i="2"/>
  <c r="B8832" i="2"/>
  <c r="A8832" i="2"/>
  <c r="E8831" i="2"/>
  <c r="D8831" i="2"/>
  <c r="C8831" i="2"/>
  <c r="B8831" i="2"/>
  <c r="A8831" i="2"/>
  <c r="E8830" i="2"/>
  <c r="D8830" i="2"/>
  <c r="C8830" i="2"/>
  <c r="B8830" i="2"/>
  <c r="A8830" i="2"/>
  <c r="E8829" i="2"/>
  <c r="D8829" i="2"/>
  <c r="C8829" i="2"/>
  <c r="B8829" i="2"/>
  <c r="A8829" i="2"/>
  <c r="E8828" i="2"/>
  <c r="D8828" i="2"/>
  <c r="C8828" i="2"/>
  <c r="B8828" i="2"/>
  <c r="A8828" i="2"/>
  <c r="E8827" i="2"/>
  <c r="D8827" i="2"/>
  <c r="C8827" i="2"/>
  <c r="B8827" i="2"/>
  <c r="A8827" i="2"/>
  <c r="E8826" i="2"/>
  <c r="D8826" i="2"/>
  <c r="C8826" i="2"/>
  <c r="B8826" i="2"/>
  <c r="A8826" i="2"/>
  <c r="E8825" i="2"/>
  <c r="D8825" i="2"/>
  <c r="C8825" i="2"/>
  <c r="B8825" i="2"/>
  <c r="A8825" i="2"/>
  <c r="E8824" i="2"/>
  <c r="D8824" i="2"/>
  <c r="C8824" i="2"/>
  <c r="B8824" i="2"/>
  <c r="A8824" i="2"/>
  <c r="E8823" i="2"/>
  <c r="D8823" i="2"/>
  <c r="C8823" i="2"/>
  <c r="B8823" i="2"/>
  <c r="A8823" i="2"/>
  <c r="E8822" i="2"/>
  <c r="D8822" i="2"/>
  <c r="C8822" i="2"/>
  <c r="B8822" i="2"/>
  <c r="A8822" i="2"/>
  <c r="E8821" i="2"/>
  <c r="D8821" i="2"/>
  <c r="C8821" i="2"/>
  <c r="B8821" i="2"/>
  <c r="A8821" i="2"/>
  <c r="E8820" i="2"/>
  <c r="D8820" i="2"/>
  <c r="C8820" i="2"/>
  <c r="B8820" i="2"/>
  <c r="A8820" i="2"/>
  <c r="E8819" i="2"/>
  <c r="D8819" i="2"/>
  <c r="C8819" i="2"/>
  <c r="B8819" i="2"/>
  <c r="A8819" i="2"/>
  <c r="E8818" i="2"/>
  <c r="D8818" i="2"/>
  <c r="C8818" i="2"/>
  <c r="B8818" i="2"/>
  <c r="A8818" i="2"/>
  <c r="E8817" i="2"/>
  <c r="D8817" i="2"/>
  <c r="C8817" i="2"/>
  <c r="B8817" i="2"/>
  <c r="A8817" i="2"/>
  <c r="E8816" i="2"/>
  <c r="D8816" i="2"/>
  <c r="C8816" i="2"/>
  <c r="B8816" i="2"/>
  <c r="A8816" i="2"/>
  <c r="E8815" i="2"/>
  <c r="D8815" i="2"/>
  <c r="C8815" i="2"/>
  <c r="B8815" i="2"/>
  <c r="A8815" i="2"/>
  <c r="E8814" i="2"/>
  <c r="D8814" i="2"/>
  <c r="C8814" i="2"/>
  <c r="B8814" i="2"/>
  <c r="A8814" i="2"/>
  <c r="E8813" i="2"/>
  <c r="D8813" i="2"/>
  <c r="C8813" i="2"/>
  <c r="B8813" i="2"/>
  <c r="A8813" i="2"/>
  <c r="E8812" i="2"/>
  <c r="D8812" i="2"/>
  <c r="C8812" i="2"/>
  <c r="B8812" i="2"/>
  <c r="A8812" i="2"/>
  <c r="E8811" i="2"/>
  <c r="D8811" i="2"/>
  <c r="C8811" i="2"/>
  <c r="B8811" i="2"/>
  <c r="A8811" i="2"/>
  <c r="E8810" i="2"/>
  <c r="D8810" i="2"/>
  <c r="C8810" i="2"/>
  <c r="B8810" i="2"/>
  <c r="A8810" i="2"/>
  <c r="E8809" i="2"/>
  <c r="D8809" i="2"/>
  <c r="C8809" i="2"/>
  <c r="B8809" i="2"/>
  <c r="A8809" i="2"/>
  <c r="E8808" i="2"/>
  <c r="D8808" i="2"/>
  <c r="C8808" i="2"/>
  <c r="B8808" i="2"/>
  <c r="A8808" i="2"/>
  <c r="E8807" i="2"/>
  <c r="D8807" i="2"/>
  <c r="C8807" i="2"/>
  <c r="B8807" i="2"/>
  <c r="A8807" i="2"/>
  <c r="E8806" i="2"/>
  <c r="D8806" i="2"/>
  <c r="C8806" i="2"/>
  <c r="B8806" i="2"/>
  <c r="A8806" i="2"/>
  <c r="E8805" i="2"/>
  <c r="D8805" i="2"/>
  <c r="C8805" i="2"/>
  <c r="B8805" i="2"/>
  <c r="A8805" i="2"/>
  <c r="E8804" i="2"/>
  <c r="D8804" i="2"/>
  <c r="C8804" i="2"/>
  <c r="B8804" i="2"/>
  <c r="A8804" i="2"/>
  <c r="E8803" i="2"/>
  <c r="D8803" i="2"/>
  <c r="C8803" i="2"/>
  <c r="B8803" i="2"/>
  <c r="A8803" i="2"/>
  <c r="E8802" i="2"/>
  <c r="D8802" i="2"/>
  <c r="C8802" i="2"/>
  <c r="B8802" i="2"/>
  <c r="A8802" i="2"/>
  <c r="E8801" i="2"/>
  <c r="D8801" i="2"/>
  <c r="C8801" i="2"/>
  <c r="B8801" i="2"/>
  <c r="A8801" i="2"/>
  <c r="E8800" i="2"/>
  <c r="D8800" i="2"/>
  <c r="C8800" i="2"/>
  <c r="B8800" i="2"/>
  <c r="A8800" i="2"/>
  <c r="E8799" i="2"/>
  <c r="D8799" i="2"/>
  <c r="C8799" i="2"/>
  <c r="B8799" i="2"/>
  <c r="A8799" i="2"/>
  <c r="E8798" i="2"/>
  <c r="D8798" i="2"/>
  <c r="C8798" i="2"/>
  <c r="B8798" i="2"/>
  <c r="A8798" i="2"/>
  <c r="E8797" i="2"/>
  <c r="D8797" i="2"/>
  <c r="C8797" i="2"/>
  <c r="B8797" i="2"/>
  <c r="A8797" i="2"/>
  <c r="E8796" i="2"/>
  <c r="D8796" i="2"/>
  <c r="C8796" i="2"/>
  <c r="B8796" i="2"/>
  <c r="A8796" i="2"/>
  <c r="E8795" i="2"/>
  <c r="D8795" i="2"/>
  <c r="C8795" i="2"/>
  <c r="B8795" i="2"/>
  <c r="A8795" i="2"/>
  <c r="E8794" i="2"/>
  <c r="D8794" i="2"/>
  <c r="C8794" i="2"/>
  <c r="B8794" i="2"/>
  <c r="A8794" i="2"/>
  <c r="E8793" i="2"/>
  <c r="D8793" i="2"/>
  <c r="C8793" i="2"/>
  <c r="B8793" i="2"/>
  <c r="A8793" i="2"/>
  <c r="E8792" i="2"/>
  <c r="D8792" i="2"/>
  <c r="C8792" i="2"/>
  <c r="B8792" i="2"/>
  <c r="A8792" i="2"/>
  <c r="E8791" i="2"/>
  <c r="D8791" i="2"/>
  <c r="C8791" i="2"/>
  <c r="B8791" i="2"/>
  <c r="A8791" i="2"/>
  <c r="E8790" i="2"/>
  <c r="D8790" i="2"/>
  <c r="C8790" i="2"/>
  <c r="B8790" i="2"/>
  <c r="A8790" i="2"/>
  <c r="E8789" i="2"/>
  <c r="D8789" i="2"/>
  <c r="C8789" i="2"/>
  <c r="B8789" i="2"/>
  <c r="A8789" i="2"/>
  <c r="E8788" i="2"/>
  <c r="D8788" i="2"/>
  <c r="C8788" i="2"/>
  <c r="B8788" i="2"/>
  <c r="A8788" i="2"/>
  <c r="E8787" i="2"/>
  <c r="D8787" i="2"/>
  <c r="C8787" i="2"/>
  <c r="B8787" i="2"/>
  <c r="A8787" i="2"/>
  <c r="E8786" i="2"/>
  <c r="D8786" i="2"/>
  <c r="C8786" i="2"/>
  <c r="B8786" i="2"/>
  <c r="A8786" i="2"/>
  <c r="E8785" i="2"/>
  <c r="D8785" i="2"/>
  <c r="C8785" i="2"/>
  <c r="B8785" i="2"/>
  <c r="A8785" i="2"/>
  <c r="E8784" i="2"/>
  <c r="D8784" i="2"/>
  <c r="C8784" i="2"/>
  <c r="B8784" i="2"/>
  <c r="A8784" i="2"/>
  <c r="E8783" i="2"/>
  <c r="D8783" i="2"/>
  <c r="C8783" i="2"/>
  <c r="B8783" i="2"/>
  <c r="A8783" i="2"/>
  <c r="E8782" i="2"/>
  <c r="D8782" i="2"/>
  <c r="C8782" i="2"/>
  <c r="B8782" i="2"/>
  <c r="A8782" i="2"/>
  <c r="E8781" i="2"/>
  <c r="D8781" i="2"/>
  <c r="C8781" i="2"/>
  <c r="B8781" i="2"/>
  <c r="A8781" i="2"/>
  <c r="E8780" i="2"/>
  <c r="D8780" i="2"/>
  <c r="C8780" i="2"/>
  <c r="B8780" i="2"/>
  <c r="A8780" i="2"/>
  <c r="E8779" i="2"/>
  <c r="D8779" i="2"/>
  <c r="C8779" i="2"/>
  <c r="B8779" i="2"/>
  <c r="A8779" i="2"/>
  <c r="E8778" i="2"/>
  <c r="D8778" i="2"/>
  <c r="C8778" i="2"/>
  <c r="B8778" i="2"/>
  <c r="A8778" i="2"/>
  <c r="E8777" i="2"/>
  <c r="D8777" i="2"/>
  <c r="C8777" i="2"/>
  <c r="B8777" i="2"/>
  <c r="A8777" i="2"/>
  <c r="E8776" i="2"/>
  <c r="D8776" i="2"/>
  <c r="C8776" i="2"/>
  <c r="B8776" i="2"/>
  <c r="A8776" i="2"/>
  <c r="E8775" i="2"/>
  <c r="D8775" i="2"/>
  <c r="C8775" i="2"/>
  <c r="B8775" i="2"/>
  <c r="A8775" i="2"/>
  <c r="E8774" i="2"/>
  <c r="D8774" i="2"/>
  <c r="C8774" i="2"/>
  <c r="B8774" i="2"/>
  <c r="A8774" i="2"/>
  <c r="E8773" i="2"/>
  <c r="D8773" i="2"/>
  <c r="C8773" i="2"/>
  <c r="B8773" i="2"/>
  <c r="A8773" i="2"/>
  <c r="E8772" i="2"/>
  <c r="D8772" i="2"/>
  <c r="C8772" i="2"/>
  <c r="B8772" i="2"/>
  <c r="A8772" i="2"/>
  <c r="E8771" i="2"/>
  <c r="D8771" i="2"/>
  <c r="C8771" i="2"/>
  <c r="B8771" i="2"/>
  <c r="A8771" i="2"/>
  <c r="E8770" i="2"/>
  <c r="D8770" i="2"/>
  <c r="C8770" i="2"/>
  <c r="B8770" i="2"/>
  <c r="A8770" i="2"/>
  <c r="E8769" i="2"/>
  <c r="D8769" i="2"/>
  <c r="C8769" i="2"/>
  <c r="B8769" i="2"/>
  <c r="A8769" i="2"/>
  <c r="E8768" i="2"/>
  <c r="D8768" i="2"/>
  <c r="C8768" i="2"/>
  <c r="B8768" i="2"/>
  <c r="A8768" i="2"/>
  <c r="E8767" i="2"/>
  <c r="D8767" i="2"/>
  <c r="C8767" i="2"/>
  <c r="B8767" i="2"/>
  <c r="A8767" i="2"/>
  <c r="E8766" i="2"/>
  <c r="D8766" i="2"/>
  <c r="C8766" i="2"/>
  <c r="B8766" i="2"/>
  <c r="A8766" i="2"/>
  <c r="E8765" i="2"/>
  <c r="D8765" i="2"/>
  <c r="C8765" i="2"/>
  <c r="B8765" i="2"/>
  <c r="A8765" i="2"/>
  <c r="E8764" i="2"/>
  <c r="D8764" i="2"/>
  <c r="C8764" i="2"/>
  <c r="B8764" i="2"/>
  <c r="A8764" i="2"/>
  <c r="E8763" i="2"/>
  <c r="D8763" i="2"/>
  <c r="C8763" i="2"/>
  <c r="B8763" i="2"/>
  <c r="A8763" i="2"/>
  <c r="E8762" i="2"/>
  <c r="D8762" i="2"/>
  <c r="C8762" i="2"/>
  <c r="B8762" i="2"/>
  <c r="A8762" i="2"/>
  <c r="E8761" i="2"/>
  <c r="D8761" i="2"/>
  <c r="C8761" i="2"/>
  <c r="B8761" i="2"/>
  <c r="A8761" i="2"/>
  <c r="E8760" i="2"/>
  <c r="D8760" i="2"/>
  <c r="C8760" i="2"/>
  <c r="B8760" i="2"/>
  <c r="A8760" i="2"/>
  <c r="E8759" i="2"/>
  <c r="D8759" i="2"/>
  <c r="C8759" i="2"/>
  <c r="B8759" i="2"/>
  <c r="A8759" i="2"/>
  <c r="E8758" i="2"/>
  <c r="D8758" i="2"/>
  <c r="C8758" i="2"/>
  <c r="B8758" i="2"/>
  <c r="A8758" i="2"/>
  <c r="E8757" i="2"/>
  <c r="D8757" i="2"/>
  <c r="C8757" i="2"/>
  <c r="B8757" i="2"/>
  <c r="A8757" i="2"/>
  <c r="E8756" i="2"/>
  <c r="D8756" i="2"/>
  <c r="C8756" i="2"/>
  <c r="B8756" i="2"/>
  <c r="A8756" i="2"/>
  <c r="E8755" i="2"/>
  <c r="D8755" i="2"/>
  <c r="C8755" i="2"/>
  <c r="B8755" i="2"/>
  <c r="A8755" i="2"/>
  <c r="E8754" i="2"/>
  <c r="D8754" i="2"/>
  <c r="C8754" i="2"/>
  <c r="B8754" i="2"/>
  <c r="A8754" i="2"/>
  <c r="E8753" i="2"/>
  <c r="D8753" i="2"/>
  <c r="C8753" i="2"/>
  <c r="B8753" i="2"/>
  <c r="A8753" i="2"/>
  <c r="E8752" i="2"/>
  <c r="D8752" i="2"/>
  <c r="C8752" i="2"/>
  <c r="B8752" i="2"/>
  <c r="A8752" i="2"/>
  <c r="E8751" i="2"/>
  <c r="D8751" i="2"/>
  <c r="C8751" i="2"/>
  <c r="B8751" i="2"/>
  <c r="A8751" i="2"/>
  <c r="E8750" i="2"/>
  <c r="D8750" i="2"/>
  <c r="C8750" i="2"/>
  <c r="B8750" i="2"/>
  <c r="A8750" i="2"/>
  <c r="E8749" i="2"/>
  <c r="D8749" i="2"/>
  <c r="C8749" i="2"/>
  <c r="B8749" i="2"/>
  <c r="A8749" i="2"/>
  <c r="E8748" i="2"/>
  <c r="D8748" i="2"/>
  <c r="C8748" i="2"/>
  <c r="B8748" i="2"/>
  <c r="A8748" i="2"/>
  <c r="E8747" i="2"/>
  <c r="D8747" i="2"/>
  <c r="C8747" i="2"/>
  <c r="B8747" i="2"/>
  <c r="A8747" i="2"/>
  <c r="E8746" i="2"/>
  <c r="D8746" i="2"/>
  <c r="C8746" i="2"/>
  <c r="B8746" i="2"/>
  <c r="A8746" i="2"/>
  <c r="E8745" i="2"/>
  <c r="D8745" i="2"/>
  <c r="C8745" i="2"/>
  <c r="B8745" i="2"/>
  <c r="A8745" i="2"/>
  <c r="E8744" i="2"/>
  <c r="D8744" i="2"/>
  <c r="C8744" i="2"/>
  <c r="B8744" i="2"/>
  <c r="A8744" i="2"/>
  <c r="E8743" i="2"/>
  <c r="D8743" i="2"/>
  <c r="C8743" i="2"/>
  <c r="B8743" i="2"/>
  <c r="A8743" i="2"/>
  <c r="E8742" i="2"/>
  <c r="D8742" i="2"/>
  <c r="C8742" i="2"/>
  <c r="B8742" i="2"/>
  <c r="A8742" i="2"/>
  <c r="E8741" i="2"/>
  <c r="D8741" i="2"/>
  <c r="C8741" i="2"/>
  <c r="B8741" i="2"/>
  <c r="A8741" i="2"/>
  <c r="E8740" i="2"/>
  <c r="D8740" i="2"/>
  <c r="C8740" i="2"/>
  <c r="B8740" i="2"/>
  <c r="A8740" i="2"/>
  <c r="E8739" i="2"/>
  <c r="D8739" i="2"/>
  <c r="C8739" i="2"/>
  <c r="B8739" i="2"/>
  <c r="A8739" i="2"/>
  <c r="E8738" i="2"/>
  <c r="D8738" i="2"/>
  <c r="C8738" i="2"/>
  <c r="B8738" i="2"/>
  <c r="A8738" i="2"/>
  <c r="E8737" i="2"/>
  <c r="D8737" i="2"/>
  <c r="C8737" i="2"/>
  <c r="B8737" i="2"/>
  <c r="A8737" i="2"/>
  <c r="E8736" i="2"/>
  <c r="D8736" i="2"/>
  <c r="C8736" i="2"/>
  <c r="B8736" i="2"/>
  <c r="A8736" i="2"/>
  <c r="E8735" i="2"/>
  <c r="D8735" i="2"/>
  <c r="C8735" i="2"/>
  <c r="B8735" i="2"/>
  <c r="A8735" i="2"/>
  <c r="E8734" i="2"/>
  <c r="D8734" i="2"/>
  <c r="C8734" i="2"/>
  <c r="B8734" i="2"/>
  <c r="A8734" i="2"/>
  <c r="E8733" i="2"/>
  <c r="D8733" i="2"/>
  <c r="C8733" i="2"/>
  <c r="B8733" i="2"/>
  <c r="A8733" i="2"/>
  <c r="E8732" i="2"/>
  <c r="D8732" i="2"/>
  <c r="C8732" i="2"/>
  <c r="B8732" i="2"/>
  <c r="A8732" i="2"/>
  <c r="E8731" i="2"/>
  <c r="D8731" i="2"/>
  <c r="C8731" i="2"/>
  <c r="B8731" i="2"/>
  <c r="A8731" i="2"/>
  <c r="E8730" i="2"/>
  <c r="D8730" i="2"/>
  <c r="C8730" i="2"/>
  <c r="B8730" i="2"/>
  <c r="A8730" i="2"/>
  <c r="E8729" i="2"/>
  <c r="D8729" i="2"/>
  <c r="C8729" i="2"/>
  <c r="B8729" i="2"/>
  <c r="A8729" i="2"/>
  <c r="E8728" i="2"/>
  <c r="D8728" i="2"/>
  <c r="C8728" i="2"/>
  <c r="B8728" i="2"/>
  <c r="A8728" i="2"/>
  <c r="E8727" i="2"/>
  <c r="D8727" i="2"/>
  <c r="C8727" i="2"/>
  <c r="B8727" i="2"/>
  <c r="A8727" i="2"/>
  <c r="E8726" i="2"/>
  <c r="D8726" i="2"/>
  <c r="C8726" i="2"/>
  <c r="B8726" i="2"/>
  <c r="A8726" i="2"/>
  <c r="E8725" i="2"/>
  <c r="D8725" i="2"/>
  <c r="C8725" i="2"/>
  <c r="B8725" i="2"/>
  <c r="A8725" i="2"/>
  <c r="E8724" i="2"/>
  <c r="D8724" i="2"/>
  <c r="C8724" i="2"/>
  <c r="B8724" i="2"/>
  <c r="A8724" i="2"/>
  <c r="E8723" i="2"/>
  <c r="D8723" i="2"/>
  <c r="C8723" i="2"/>
  <c r="B8723" i="2"/>
  <c r="A8723" i="2"/>
  <c r="E8722" i="2"/>
  <c r="D8722" i="2"/>
  <c r="C8722" i="2"/>
  <c r="B8722" i="2"/>
  <c r="A8722" i="2"/>
  <c r="E8721" i="2"/>
  <c r="D8721" i="2"/>
  <c r="C8721" i="2"/>
  <c r="B8721" i="2"/>
  <c r="A8721" i="2"/>
  <c r="E8720" i="2"/>
  <c r="D8720" i="2"/>
  <c r="C8720" i="2"/>
  <c r="B8720" i="2"/>
  <c r="A8720" i="2"/>
  <c r="E8719" i="2"/>
  <c r="D8719" i="2"/>
  <c r="C8719" i="2"/>
  <c r="B8719" i="2"/>
  <c r="A8719" i="2"/>
  <c r="E8718" i="2"/>
  <c r="D8718" i="2"/>
  <c r="C8718" i="2"/>
  <c r="B8718" i="2"/>
  <c r="A8718" i="2"/>
  <c r="E8717" i="2"/>
  <c r="D8717" i="2"/>
  <c r="C8717" i="2"/>
  <c r="B8717" i="2"/>
  <c r="A8717" i="2"/>
  <c r="E8716" i="2"/>
  <c r="D8716" i="2"/>
  <c r="C8716" i="2"/>
  <c r="B8716" i="2"/>
  <c r="A8716" i="2"/>
  <c r="E8715" i="2"/>
  <c r="D8715" i="2"/>
  <c r="C8715" i="2"/>
  <c r="B8715" i="2"/>
  <c r="A8715" i="2"/>
  <c r="E8714" i="2"/>
  <c r="D8714" i="2"/>
  <c r="C8714" i="2"/>
  <c r="B8714" i="2"/>
  <c r="A8714" i="2"/>
  <c r="E8713" i="2"/>
  <c r="D8713" i="2"/>
  <c r="C8713" i="2"/>
  <c r="B8713" i="2"/>
  <c r="A8713" i="2"/>
  <c r="E8712" i="2"/>
  <c r="D8712" i="2"/>
  <c r="C8712" i="2"/>
  <c r="B8712" i="2"/>
  <c r="A8712" i="2"/>
  <c r="E8711" i="2"/>
  <c r="D8711" i="2"/>
  <c r="C8711" i="2"/>
  <c r="B8711" i="2"/>
  <c r="A8711" i="2"/>
  <c r="E8710" i="2"/>
  <c r="D8710" i="2"/>
  <c r="C8710" i="2"/>
  <c r="B8710" i="2"/>
  <c r="A8710" i="2"/>
  <c r="E8709" i="2"/>
  <c r="D8709" i="2"/>
  <c r="C8709" i="2"/>
  <c r="B8709" i="2"/>
  <c r="A8709" i="2"/>
  <c r="E8708" i="2"/>
  <c r="D8708" i="2"/>
  <c r="C8708" i="2"/>
  <c r="B8708" i="2"/>
  <c r="A8708" i="2"/>
  <c r="E8707" i="2"/>
  <c r="D8707" i="2"/>
  <c r="C8707" i="2"/>
  <c r="B8707" i="2"/>
  <c r="A8707" i="2"/>
  <c r="E8706" i="2"/>
  <c r="D8706" i="2"/>
  <c r="C8706" i="2"/>
  <c r="B8706" i="2"/>
  <c r="A8706" i="2"/>
  <c r="E8705" i="2"/>
  <c r="D8705" i="2"/>
  <c r="C8705" i="2"/>
  <c r="B8705" i="2"/>
  <c r="A8705" i="2"/>
  <c r="E8704" i="2"/>
  <c r="D8704" i="2"/>
  <c r="C8704" i="2"/>
  <c r="B8704" i="2"/>
  <c r="A8704" i="2"/>
  <c r="E8703" i="2"/>
  <c r="D8703" i="2"/>
  <c r="C8703" i="2"/>
  <c r="B8703" i="2"/>
  <c r="A8703" i="2"/>
  <c r="E8702" i="2"/>
  <c r="D8702" i="2"/>
  <c r="C8702" i="2"/>
  <c r="B8702" i="2"/>
  <c r="A8702" i="2"/>
  <c r="E8701" i="2"/>
  <c r="D8701" i="2"/>
  <c r="C8701" i="2"/>
  <c r="B8701" i="2"/>
  <c r="A8701" i="2"/>
  <c r="E8700" i="2"/>
  <c r="D8700" i="2"/>
  <c r="C8700" i="2"/>
  <c r="B8700" i="2"/>
  <c r="A8700" i="2"/>
  <c r="E8699" i="2"/>
  <c r="D8699" i="2"/>
  <c r="C8699" i="2"/>
  <c r="B8699" i="2"/>
  <c r="A8699" i="2"/>
  <c r="E8698" i="2"/>
  <c r="D8698" i="2"/>
  <c r="C8698" i="2"/>
  <c r="B8698" i="2"/>
  <c r="A8698" i="2"/>
  <c r="E8697" i="2"/>
  <c r="D8697" i="2"/>
  <c r="C8697" i="2"/>
  <c r="B8697" i="2"/>
  <c r="A8697" i="2"/>
  <c r="E8696" i="2"/>
  <c r="D8696" i="2"/>
  <c r="C8696" i="2"/>
  <c r="B8696" i="2"/>
  <c r="A8696" i="2"/>
  <c r="E8695" i="2"/>
  <c r="D8695" i="2"/>
  <c r="C8695" i="2"/>
  <c r="B8695" i="2"/>
  <c r="A8695" i="2"/>
  <c r="E8694" i="2"/>
  <c r="D8694" i="2"/>
  <c r="C8694" i="2"/>
  <c r="B8694" i="2"/>
  <c r="A8694" i="2"/>
  <c r="E8693" i="2"/>
  <c r="D8693" i="2"/>
  <c r="C8693" i="2"/>
  <c r="B8693" i="2"/>
  <c r="A8693" i="2"/>
  <c r="E8692" i="2"/>
  <c r="D8692" i="2"/>
  <c r="C8692" i="2"/>
  <c r="B8692" i="2"/>
  <c r="A8692" i="2"/>
  <c r="E8691" i="2"/>
  <c r="D8691" i="2"/>
  <c r="C8691" i="2"/>
  <c r="B8691" i="2"/>
  <c r="A8691" i="2"/>
  <c r="E8690" i="2"/>
  <c r="D8690" i="2"/>
  <c r="C8690" i="2"/>
  <c r="B8690" i="2"/>
  <c r="A8690" i="2"/>
  <c r="E8689" i="2"/>
  <c r="D8689" i="2"/>
  <c r="C8689" i="2"/>
  <c r="B8689" i="2"/>
  <c r="A8689" i="2"/>
  <c r="E8688" i="2"/>
  <c r="D8688" i="2"/>
  <c r="C8688" i="2"/>
  <c r="B8688" i="2"/>
  <c r="A8688" i="2"/>
  <c r="E8687" i="2"/>
  <c r="D8687" i="2"/>
  <c r="C8687" i="2"/>
  <c r="B8687" i="2"/>
  <c r="A8687" i="2"/>
  <c r="E8686" i="2"/>
  <c r="D8686" i="2"/>
  <c r="C8686" i="2"/>
  <c r="B8686" i="2"/>
  <c r="A8686" i="2"/>
  <c r="E8685" i="2"/>
  <c r="D8685" i="2"/>
  <c r="C8685" i="2"/>
  <c r="B8685" i="2"/>
  <c r="A8685" i="2"/>
  <c r="E8684" i="2"/>
  <c r="D8684" i="2"/>
  <c r="C8684" i="2"/>
  <c r="B8684" i="2"/>
  <c r="A8684" i="2"/>
  <c r="E8683" i="2"/>
  <c r="D8683" i="2"/>
  <c r="C8683" i="2"/>
  <c r="B8683" i="2"/>
  <c r="A8683" i="2"/>
  <c r="E8682" i="2"/>
  <c r="D8682" i="2"/>
  <c r="C8682" i="2"/>
  <c r="B8682" i="2"/>
  <c r="A8682" i="2"/>
  <c r="E8681" i="2"/>
  <c r="D8681" i="2"/>
  <c r="C8681" i="2"/>
  <c r="B8681" i="2"/>
  <c r="A8681" i="2"/>
  <c r="E8680" i="2"/>
  <c r="D8680" i="2"/>
  <c r="C8680" i="2"/>
  <c r="B8680" i="2"/>
  <c r="A8680" i="2"/>
  <c r="E8679" i="2"/>
  <c r="D8679" i="2"/>
  <c r="C8679" i="2"/>
  <c r="B8679" i="2"/>
  <c r="A8679" i="2"/>
  <c r="E8678" i="2"/>
  <c r="D8678" i="2"/>
  <c r="C8678" i="2"/>
  <c r="B8678" i="2"/>
  <c r="A8678" i="2"/>
  <c r="E8677" i="2"/>
  <c r="D8677" i="2"/>
  <c r="C8677" i="2"/>
  <c r="B8677" i="2"/>
  <c r="A8677" i="2"/>
  <c r="E8676" i="2"/>
  <c r="D8676" i="2"/>
  <c r="C8676" i="2"/>
  <c r="B8676" i="2"/>
  <c r="A8676" i="2"/>
  <c r="E8675" i="2"/>
  <c r="D8675" i="2"/>
  <c r="C8675" i="2"/>
  <c r="B8675" i="2"/>
  <c r="A8675" i="2"/>
  <c r="E8674" i="2"/>
  <c r="D8674" i="2"/>
  <c r="C8674" i="2"/>
  <c r="B8674" i="2"/>
  <c r="A8674" i="2"/>
  <c r="E8673" i="2"/>
  <c r="D8673" i="2"/>
  <c r="C8673" i="2"/>
  <c r="B8673" i="2"/>
  <c r="A8673" i="2"/>
  <c r="E8672" i="2"/>
  <c r="D8672" i="2"/>
  <c r="C8672" i="2"/>
  <c r="B8672" i="2"/>
  <c r="A8672" i="2"/>
  <c r="E8671" i="2"/>
  <c r="D8671" i="2"/>
  <c r="C8671" i="2"/>
  <c r="B8671" i="2"/>
  <c r="A8671" i="2"/>
  <c r="E8670" i="2"/>
  <c r="D8670" i="2"/>
  <c r="C8670" i="2"/>
  <c r="B8670" i="2"/>
  <c r="A8670" i="2"/>
  <c r="E8669" i="2"/>
  <c r="D8669" i="2"/>
  <c r="C8669" i="2"/>
  <c r="B8669" i="2"/>
  <c r="A8669" i="2"/>
  <c r="E8668" i="2"/>
  <c r="D8668" i="2"/>
  <c r="C8668" i="2"/>
  <c r="B8668" i="2"/>
  <c r="A8668" i="2"/>
  <c r="E8667" i="2"/>
  <c r="D8667" i="2"/>
  <c r="C8667" i="2"/>
  <c r="B8667" i="2"/>
  <c r="A8667" i="2"/>
  <c r="E8666" i="2"/>
  <c r="D8666" i="2"/>
  <c r="C8666" i="2"/>
  <c r="B8666" i="2"/>
  <c r="A8666" i="2"/>
  <c r="E8665" i="2"/>
  <c r="D8665" i="2"/>
  <c r="C8665" i="2"/>
  <c r="B8665" i="2"/>
  <c r="A8665" i="2"/>
  <c r="E8664" i="2"/>
  <c r="D8664" i="2"/>
  <c r="C8664" i="2"/>
  <c r="B8664" i="2"/>
  <c r="A8664" i="2"/>
  <c r="E8663" i="2"/>
  <c r="D8663" i="2"/>
  <c r="C8663" i="2"/>
  <c r="B8663" i="2"/>
  <c r="A8663" i="2"/>
  <c r="E8662" i="2"/>
  <c r="D8662" i="2"/>
  <c r="C8662" i="2"/>
  <c r="B8662" i="2"/>
  <c r="A8662" i="2"/>
  <c r="E8661" i="2"/>
  <c r="D8661" i="2"/>
  <c r="C8661" i="2"/>
  <c r="B8661" i="2"/>
  <c r="A8661" i="2"/>
  <c r="E8660" i="2"/>
  <c r="D8660" i="2"/>
  <c r="C8660" i="2"/>
  <c r="B8660" i="2"/>
  <c r="A8660" i="2"/>
  <c r="E8659" i="2"/>
  <c r="D8659" i="2"/>
  <c r="C8659" i="2"/>
  <c r="B8659" i="2"/>
  <c r="A8659" i="2"/>
  <c r="E8658" i="2"/>
  <c r="D8658" i="2"/>
  <c r="C8658" i="2"/>
  <c r="B8658" i="2"/>
  <c r="A8658" i="2"/>
  <c r="E8657" i="2"/>
  <c r="D8657" i="2"/>
  <c r="C8657" i="2"/>
  <c r="B8657" i="2"/>
  <c r="A8657" i="2"/>
  <c r="E8656" i="2"/>
  <c r="D8656" i="2"/>
  <c r="C8656" i="2"/>
  <c r="B8656" i="2"/>
  <c r="A8656" i="2"/>
  <c r="E8655" i="2"/>
  <c r="D8655" i="2"/>
  <c r="C8655" i="2"/>
  <c r="B8655" i="2"/>
  <c r="A8655" i="2"/>
  <c r="E8654" i="2"/>
  <c r="D8654" i="2"/>
  <c r="C8654" i="2"/>
  <c r="B8654" i="2"/>
  <c r="A8654" i="2"/>
  <c r="E8653" i="2"/>
  <c r="D8653" i="2"/>
  <c r="C8653" i="2"/>
  <c r="B8653" i="2"/>
  <c r="A8653" i="2"/>
  <c r="E8652" i="2"/>
  <c r="D8652" i="2"/>
  <c r="C8652" i="2"/>
  <c r="B8652" i="2"/>
  <c r="A8652" i="2"/>
  <c r="E8651" i="2"/>
  <c r="D8651" i="2"/>
  <c r="C8651" i="2"/>
  <c r="B8651" i="2"/>
  <c r="A8651" i="2"/>
  <c r="E8650" i="2"/>
  <c r="D8650" i="2"/>
  <c r="C8650" i="2"/>
  <c r="B8650" i="2"/>
  <c r="A8650" i="2"/>
  <c r="E8649" i="2"/>
  <c r="D8649" i="2"/>
  <c r="C8649" i="2"/>
  <c r="B8649" i="2"/>
  <c r="A8649" i="2"/>
  <c r="E8648" i="2"/>
  <c r="D8648" i="2"/>
  <c r="C8648" i="2"/>
  <c r="B8648" i="2"/>
  <c r="A8648" i="2"/>
  <c r="E8647" i="2"/>
  <c r="D8647" i="2"/>
  <c r="C8647" i="2"/>
  <c r="B8647" i="2"/>
  <c r="A8647" i="2"/>
  <c r="E8646" i="2"/>
  <c r="D8646" i="2"/>
  <c r="C8646" i="2"/>
  <c r="B8646" i="2"/>
  <c r="A8646" i="2"/>
  <c r="E8645" i="2"/>
  <c r="D8645" i="2"/>
  <c r="C8645" i="2"/>
  <c r="B8645" i="2"/>
  <c r="A8645" i="2"/>
  <c r="E8644" i="2"/>
  <c r="D8644" i="2"/>
  <c r="C8644" i="2"/>
  <c r="B8644" i="2"/>
  <c r="A8644" i="2"/>
  <c r="E8643" i="2"/>
  <c r="D8643" i="2"/>
  <c r="C8643" i="2"/>
  <c r="B8643" i="2"/>
  <c r="A8643" i="2"/>
  <c r="E8642" i="2"/>
  <c r="D8642" i="2"/>
  <c r="C8642" i="2"/>
  <c r="B8642" i="2"/>
  <c r="A8642" i="2"/>
  <c r="E8641" i="2"/>
  <c r="D8641" i="2"/>
  <c r="C8641" i="2"/>
  <c r="B8641" i="2"/>
  <c r="A8641" i="2"/>
  <c r="E8640" i="2"/>
  <c r="D8640" i="2"/>
  <c r="C8640" i="2"/>
  <c r="B8640" i="2"/>
  <c r="A8640" i="2"/>
  <c r="E8639" i="2"/>
  <c r="D8639" i="2"/>
  <c r="C8639" i="2"/>
  <c r="B8639" i="2"/>
  <c r="A8639" i="2"/>
  <c r="E8638" i="2"/>
  <c r="D8638" i="2"/>
  <c r="C8638" i="2"/>
  <c r="B8638" i="2"/>
  <c r="A8638" i="2"/>
  <c r="E8637" i="2"/>
  <c r="D8637" i="2"/>
  <c r="C8637" i="2"/>
  <c r="B8637" i="2"/>
  <c r="A8637" i="2"/>
  <c r="E8636" i="2"/>
  <c r="D8636" i="2"/>
  <c r="C8636" i="2"/>
  <c r="B8636" i="2"/>
  <c r="A8636" i="2"/>
  <c r="E8635" i="2"/>
  <c r="D8635" i="2"/>
  <c r="C8635" i="2"/>
  <c r="B8635" i="2"/>
  <c r="A8635" i="2"/>
  <c r="E8634" i="2"/>
  <c r="D8634" i="2"/>
  <c r="C8634" i="2"/>
  <c r="B8634" i="2"/>
  <c r="A8634" i="2"/>
  <c r="E8633" i="2"/>
  <c r="D8633" i="2"/>
  <c r="C8633" i="2"/>
  <c r="B8633" i="2"/>
  <c r="A8633" i="2"/>
  <c r="E8632" i="2"/>
  <c r="D8632" i="2"/>
  <c r="C8632" i="2"/>
  <c r="B8632" i="2"/>
  <c r="A8632" i="2"/>
  <c r="E8631" i="2"/>
  <c r="D8631" i="2"/>
  <c r="C8631" i="2"/>
  <c r="B8631" i="2"/>
  <c r="A8631" i="2"/>
  <c r="E8630" i="2"/>
  <c r="D8630" i="2"/>
  <c r="C8630" i="2"/>
  <c r="B8630" i="2"/>
  <c r="A8630" i="2"/>
  <c r="E8629" i="2"/>
  <c r="D8629" i="2"/>
  <c r="C8629" i="2"/>
  <c r="B8629" i="2"/>
  <c r="A8629" i="2"/>
  <c r="E8628" i="2"/>
  <c r="D8628" i="2"/>
  <c r="C8628" i="2"/>
  <c r="B8628" i="2"/>
  <c r="A8628" i="2"/>
  <c r="E8627" i="2"/>
  <c r="D8627" i="2"/>
  <c r="C8627" i="2"/>
  <c r="B8627" i="2"/>
  <c r="A8627" i="2"/>
  <c r="E8626" i="2"/>
  <c r="D8626" i="2"/>
  <c r="C8626" i="2"/>
  <c r="B8626" i="2"/>
  <c r="A8626" i="2"/>
  <c r="E8625" i="2"/>
  <c r="D8625" i="2"/>
  <c r="C8625" i="2"/>
  <c r="B8625" i="2"/>
  <c r="A8625" i="2"/>
  <c r="E8624" i="2"/>
  <c r="D8624" i="2"/>
  <c r="C8624" i="2"/>
  <c r="B8624" i="2"/>
  <c r="A8624" i="2"/>
  <c r="E8623" i="2"/>
  <c r="D8623" i="2"/>
  <c r="C8623" i="2"/>
  <c r="B8623" i="2"/>
  <c r="A8623" i="2"/>
  <c r="E8622" i="2"/>
  <c r="D8622" i="2"/>
  <c r="C8622" i="2"/>
  <c r="B8622" i="2"/>
  <c r="A8622" i="2"/>
  <c r="E8621" i="2"/>
  <c r="D8621" i="2"/>
  <c r="C8621" i="2"/>
  <c r="B8621" i="2"/>
  <c r="A8621" i="2"/>
  <c r="E8620" i="2"/>
  <c r="D8620" i="2"/>
  <c r="C8620" i="2"/>
  <c r="B8620" i="2"/>
  <c r="A8620" i="2"/>
  <c r="E8619" i="2"/>
  <c r="D8619" i="2"/>
  <c r="C8619" i="2"/>
  <c r="B8619" i="2"/>
  <c r="A8619" i="2"/>
  <c r="E8618" i="2"/>
  <c r="D8618" i="2"/>
  <c r="C8618" i="2"/>
  <c r="B8618" i="2"/>
  <c r="A8618" i="2"/>
  <c r="E8617" i="2"/>
  <c r="D8617" i="2"/>
  <c r="C8617" i="2"/>
  <c r="B8617" i="2"/>
  <c r="A8617" i="2"/>
  <c r="E8616" i="2"/>
  <c r="D8616" i="2"/>
  <c r="C8616" i="2"/>
  <c r="B8616" i="2"/>
  <c r="A8616" i="2"/>
  <c r="E8615" i="2"/>
  <c r="D8615" i="2"/>
  <c r="C8615" i="2"/>
  <c r="B8615" i="2"/>
  <c r="A8615" i="2"/>
  <c r="E8614" i="2"/>
  <c r="D8614" i="2"/>
  <c r="C8614" i="2"/>
  <c r="B8614" i="2"/>
  <c r="A8614" i="2"/>
  <c r="E8613" i="2"/>
  <c r="D8613" i="2"/>
  <c r="C8613" i="2"/>
  <c r="B8613" i="2"/>
  <c r="A8613" i="2"/>
  <c r="E8612" i="2"/>
  <c r="D8612" i="2"/>
  <c r="C8612" i="2"/>
  <c r="B8612" i="2"/>
  <c r="A8612" i="2"/>
  <c r="E8611" i="2"/>
  <c r="D8611" i="2"/>
  <c r="C8611" i="2"/>
  <c r="B8611" i="2"/>
  <c r="A8611" i="2"/>
  <c r="E8610" i="2"/>
  <c r="D8610" i="2"/>
  <c r="C8610" i="2"/>
  <c r="B8610" i="2"/>
  <c r="A8610" i="2"/>
  <c r="E8609" i="2"/>
  <c r="D8609" i="2"/>
  <c r="C8609" i="2"/>
  <c r="B8609" i="2"/>
  <c r="A8609" i="2"/>
  <c r="E8608" i="2"/>
  <c r="D8608" i="2"/>
  <c r="C8608" i="2"/>
  <c r="B8608" i="2"/>
  <c r="A8608" i="2"/>
  <c r="E8607" i="2"/>
  <c r="D8607" i="2"/>
  <c r="C8607" i="2"/>
  <c r="B8607" i="2"/>
  <c r="A8607" i="2"/>
  <c r="E8606" i="2"/>
  <c r="D8606" i="2"/>
  <c r="C8606" i="2"/>
  <c r="B8606" i="2"/>
  <c r="A8606" i="2"/>
  <c r="E8605" i="2"/>
  <c r="D8605" i="2"/>
  <c r="C8605" i="2"/>
  <c r="B8605" i="2"/>
  <c r="A8605" i="2"/>
  <c r="E8604" i="2"/>
  <c r="D8604" i="2"/>
  <c r="C8604" i="2"/>
  <c r="B8604" i="2"/>
  <c r="A8604" i="2"/>
  <c r="E8603" i="2"/>
  <c r="D8603" i="2"/>
  <c r="C8603" i="2"/>
  <c r="B8603" i="2"/>
  <c r="A8603" i="2"/>
  <c r="E8602" i="2"/>
  <c r="D8602" i="2"/>
  <c r="C8602" i="2"/>
  <c r="B8602" i="2"/>
  <c r="A8602" i="2"/>
  <c r="E8601" i="2"/>
  <c r="D8601" i="2"/>
  <c r="C8601" i="2"/>
  <c r="B8601" i="2"/>
  <c r="A8601" i="2"/>
  <c r="E8600" i="2"/>
  <c r="D8600" i="2"/>
  <c r="C8600" i="2"/>
  <c r="B8600" i="2"/>
  <c r="A8600" i="2"/>
  <c r="E8599" i="2"/>
  <c r="D8599" i="2"/>
  <c r="C8599" i="2"/>
  <c r="B8599" i="2"/>
  <c r="A8599" i="2"/>
  <c r="E8598" i="2"/>
  <c r="D8598" i="2"/>
  <c r="C8598" i="2"/>
  <c r="B8598" i="2"/>
  <c r="A8598" i="2"/>
  <c r="E8597" i="2"/>
  <c r="D8597" i="2"/>
  <c r="C8597" i="2"/>
  <c r="B8597" i="2"/>
  <c r="A8597" i="2"/>
  <c r="E8596" i="2"/>
  <c r="D8596" i="2"/>
  <c r="C8596" i="2"/>
  <c r="B8596" i="2"/>
  <c r="A8596" i="2"/>
  <c r="E8595" i="2"/>
  <c r="D8595" i="2"/>
  <c r="C8595" i="2"/>
  <c r="B8595" i="2"/>
  <c r="A8595" i="2"/>
  <c r="E8594" i="2"/>
  <c r="D8594" i="2"/>
  <c r="C8594" i="2"/>
  <c r="B8594" i="2"/>
  <c r="A8594" i="2"/>
  <c r="E8593" i="2"/>
  <c r="D8593" i="2"/>
  <c r="C8593" i="2"/>
  <c r="B8593" i="2"/>
  <c r="A8593" i="2"/>
  <c r="E8592" i="2"/>
  <c r="D8592" i="2"/>
  <c r="C8592" i="2"/>
  <c r="B8592" i="2"/>
  <c r="A8592" i="2"/>
  <c r="E8591" i="2"/>
  <c r="D8591" i="2"/>
  <c r="C8591" i="2"/>
  <c r="B8591" i="2"/>
  <c r="A8591" i="2"/>
  <c r="E8590" i="2"/>
  <c r="D8590" i="2"/>
  <c r="C8590" i="2"/>
  <c r="B8590" i="2"/>
  <c r="A8590" i="2"/>
  <c r="E8589" i="2"/>
  <c r="D8589" i="2"/>
  <c r="C8589" i="2"/>
  <c r="B8589" i="2"/>
  <c r="A8589" i="2"/>
  <c r="E8588" i="2"/>
  <c r="D8588" i="2"/>
  <c r="C8588" i="2"/>
  <c r="B8588" i="2"/>
  <c r="A8588" i="2"/>
  <c r="E8587" i="2"/>
  <c r="D8587" i="2"/>
  <c r="C8587" i="2"/>
  <c r="B8587" i="2"/>
  <c r="A8587" i="2"/>
  <c r="E8586" i="2"/>
  <c r="D8586" i="2"/>
  <c r="C8586" i="2"/>
  <c r="B8586" i="2"/>
  <c r="A8586" i="2"/>
  <c r="E8585" i="2"/>
  <c r="D8585" i="2"/>
  <c r="C8585" i="2"/>
  <c r="B8585" i="2"/>
  <c r="A8585" i="2"/>
  <c r="E8584" i="2"/>
  <c r="D8584" i="2"/>
  <c r="C8584" i="2"/>
  <c r="B8584" i="2"/>
  <c r="A8584" i="2"/>
  <c r="E8583" i="2"/>
  <c r="D8583" i="2"/>
  <c r="C8583" i="2"/>
  <c r="B8583" i="2"/>
  <c r="A8583" i="2"/>
  <c r="E8582" i="2"/>
  <c r="D8582" i="2"/>
  <c r="C8582" i="2"/>
  <c r="B8582" i="2"/>
  <c r="A8582" i="2"/>
  <c r="E8581" i="2"/>
  <c r="D8581" i="2"/>
  <c r="C8581" i="2"/>
  <c r="B8581" i="2"/>
  <c r="A8581" i="2"/>
  <c r="E8580" i="2"/>
  <c r="D8580" i="2"/>
  <c r="C8580" i="2"/>
  <c r="B8580" i="2"/>
  <c r="A8580" i="2"/>
  <c r="E8579" i="2"/>
  <c r="D8579" i="2"/>
  <c r="C8579" i="2"/>
  <c r="B8579" i="2"/>
  <c r="A8579" i="2"/>
  <c r="E8578" i="2"/>
  <c r="D8578" i="2"/>
  <c r="C8578" i="2"/>
  <c r="B8578" i="2"/>
  <c r="A8578" i="2"/>
  <c r="E8577" i="2"/>
  <c r="D8577" i="2"/>
  <c r="C8577" i="2"/>
  <c r="B8577" i="2"/>
  <c r="A8577" i="2"/>
  <c r="E8576" i="2"/>
  <c r="D8576" i="2"/>
  <c r="C8576" i="2"/>
  <c r="B8576" i="2"/>
  <c r="A8576" i="2"/>
  <c r="E8575" i="2"/>
  <c r="D8575" i="2"/>
  <c r="C8575" i="2"/>
  <c r="B8575" i="2"/>
  <c r="A8575" i="2"/>
  <c r="E8574" i="2"/>
  <c r="D8574" i="2"/>
  <c r="C8574" i="2"/>
  <c r="B8574" i="2"/>
  <c r="A8574" i="2"/>
  <c r="E8573" i="2"/>
  <c r="D8573" i="2"/>
  <c r="C8573" i="2"/>
  <c r="B8573" i="2"/>
  <c r="A8573" i="2"/>
  <c r="E8572" i="2"/>
  <c r="D8572" i="2"/>
  <c r="C8572" i="2"/>
  <c r="B8572" i="2"/>
  <c r="A8572" i="2"/>
  <c r="E8571" i="2"/>
  <c r="D8571" i="2"/>
  <c r="C8571" i="2"/>
  <c r="B8571" i="2"/>
  <c r="A8571" i="2"/>
  <c r="E8570" i="2"/>
  <c r="D8570" i="2"/>
  <c r="C8570" i="2"/>
  <c r="B8570" i="2"/>
  <c r="A8570" i="2"/>
  <c r="E8569" i="2"/>
  <c r="D8569" i="2"/>
  <c r="C8569" i="2"/>
  <c r="B8569" i="2"/>
  <c r="A8569" i="2"/>
  <c r="E8568" i="2"/>
  <c r="D8568" i="2"/>
  <c r="C8568" i="2"/>
  <c r="B8568" i="2"/>
  <c r="A8568" i="2"/>
  <c r="E8567" i="2"/>
  <c r="D8567" i="2"/>
  <c r="C8567" i="2"/>
  <c r="B8567" i="2"/>
  <c r="A8567" i="2"/>
  <c r="E8566" i="2"/>
  <c r="D8566" i="2"/>
  <c r="C8566" i="2"/>
  <c r="B8566" i="2"/>
  <c r="A8566" i="2"/>
  <c r="E8565" i="2"/>
  <c r="D8565" i="2"/>
  <c r="C8565" i="2"/>
  <c r="B8565" i="2"/>
  <c r="A8565" i="2"/>
  <c r="E8564" i="2"/>
  <c r="D8564" i="2"/>
  <c r="C8564" i="2"/>
  <c r="B8564" i="2"/>
  <c r="A8564" i="2"/>
  <c r="E8563" i="2"/>
  <c r="D8563" i="2"/>
  <c r="C8563" i="2"/>
  <c r="B8563" i="2"/>
  <c r="A8563" i="2"/>
  <c r="E8562" i="2"/>
  <c r="D8562" i="2"/>
  <c r="C8562" i="2"/>
  <c r="B8562" i="2"/>
  <c r="A8562" i="2"/>
  <c r="E8561" i="2"/>
  <c r="D8561" i="2"/>
  <c r="C8561" i="2"/>
  <c r="B8561" i="2"/>
  <c r="A8561" i="2"/>
  <c r="E8560" i="2"/>
  <c r="D8560" i="2"/>
  <c r="C8560" i="2"/>
  <c r="B8560" i="2"/>
  <c r="A8560" i="2"/>
  <c r="E8559" i="2"/>
  <c r="D8559" i="2"/>
  <c r="C8559" i="2"/>
  <c r="B8559" i="2"/>
  <c r="A8559" i="2"/>
  <c r="E8558" i="2"/>
  <c r="D8558" i="2"/>
  <c r="C8558" i="2"/>
  <c r="B8558" i="2"/>
  <c r="A8558" i="2"/>
  <c r="E8557" i="2"/>
  <c r="D8557" i="2"/>
  <c r="C8557" i="2"/>
  <c r="B8557" i="2"/>
  <c r="A8557" i="2"/>
  <c r="E8556" i="2"/>
  <c r="D8556" i="2"/>
  <c r="C8556" i="2"/>
  <c r="B8556" i="2"/>
  <c r="A8556" i="2"/>
  <c r="E8555" i="2"/>
  <c r="D8555" i="2"/>
  <c r="C8555" i="2"/>
  <c r="B8555" i="2"/>
  <c r="A8555" i="2"/>
  <c r="E8554" i="2"/>
  <c r="D8554" i="2"/>
  <c r="C8554" i="2"/>
  <c r="B8554" i="2"/>
  <c r="A8554" i="2"/>
  <c r="E8553" i="2"/>
  <c r="D8553" i="2"/>
  <c r="C8553" i="2"/>
  <c r="B8553" i="2"/>
  <c r="A8553" i="2"/>
  <c r="E8552" i="2"/>
  <c r="D8552" i="2"/>
  <c r="C8552" i="2"/>
  <c r="B8552" i="2"/>
  <c r="A8552" i="2"/>
  <c r="E8551" i="2"/>
  <c r="D8551" i="2"/>
  <c r="C8551" i="2"/>
  <c r="B8551" i="2"/>
  <c r="A8551" i="2"/>
  <c r="E8550" i="2"/>
  <c r="D8550" i="2"/>
  <c r="C8550" i="2"/>
  <c r="B8550" i="2"/>
  <c r="A8550" i="2"/>
  <c r="E8549" i="2"/>
  <c r="D8549" i="2"/>
  <c r="C8549" i="2"/>
  <c r="B8549" i="2"/>
  <c r="A8549" i="2"/>
  <c r="E8548" i="2"/>
  <c r="D8548" i="2"/>
  <c r="C8548" i="2"/>
  <c r="B8548" i="2"/>
  <c r="A8548" i="2"/>
  <c r="E8547" i="2"/>
  <c r="D8547" i="2"/>
  <c r="C8547" i="2"/>
  <c r="B8547" i="2"/>
  <c r="A8547" i="2"/>
  <c r="E8546" i="2"/>
  <c r="D8546" i="2"/>
  <c r="C8546" i="2"/>
  <c r="B8546" i="2"/>
  <c r="A8546" i="2"/>
  <c r="E8545" i="2"/>
  <c r="D8545" i="2"/>
  <c r="C8545" i="2"/>
  <c r="B8545" i="2"/>
  <c r="A8545" i="2"/>
  <c r="E8544" i="2"/>
  <c r="D8544" i="2"/>
  <c r="C8544" i="2"/>
  <c r="B8544" i="2"/>
  <c r="A8544" i="2"/>
  <c r="E8543" i="2"/>
  <c r="D8543" i="2"/>
  <c r="C8543" i="2"/>
  <c r="B8543" i="2"/>
  <c r="A8543" i="2"/>
  <c r="E8542" i="2"/>
  <c r="D8542" i="2"/>
  <c r="C8542" i="2"/>
  <c r="B8542" i="2"/>
  <c r="A8542" i="2"/>
  <c r="E8541" i="2"/>
  <c r="D8541" i="2"/>
  <c r="C8541" i="2"/>
  <c r="B8541" i="2"/>
  <c r="A8541" i="2"/>
  <c r="E8540" i="2"/>
  <c r="D8540" i="2"/>
  <c r="C8540" i="2"/>
  <c r="B8540" i="2"/>
  <c r="A8540" i="2"/>
  <c r="E8539" i="2"/>
  <c r="D8539" i="2"/>
  <c r="C8539" i="2"/>
  <c r="B8539" i="2"/>
  <c r="A8539" i="2"/>
  <c r="E8538" i="2"/>
  <c r="D8538" i="2"/>
  <c r="C8538" i="2"/>
  <c r="B8538" i="2"/>
  <c r="A8538" i="2"/>
  <c r="E8537" i="2"/>
  <c r="D8537" i="2"/>
  <c r="C8537" i="2"/>
  <c r="B8537" i="2"/>
  <c r="A8537" i="2"/>
  <c r="E8536" i="2"/>
  <c r="D8536" i="2"/>
  <c r="C8536" i="2"/>
  <c r="B8536" i="2"/>
  <c r="A8536" i="2"/>
  <c r="E8535" i="2"/>
  <c r="D8535" i="2"/>
  <c r="C8535" i="2"/>
  <c r="B8535" i="2"/>
  <c r="A8535" i="2"/>
  <c r="E8534" i="2"/>
  <c r="D8534" i="2"/>
  <c r="C8534" i="2"/>
  <c r="B8534" i="2"/>
  <c r="A8534" i="2"/>
  <c r="E8533" i="2"/>
  <c r="D8533" i="2"/>
  <c r="C8533" i="2"/>
  <c r="B8533" i="2"/>
  <c r="A8533" i="2"/>
  <c r="E8532" i="2"/>
  <c r="D8532" i="2"/>
  <c r="C8532" i="2"/>
  <c r="B8532" i="2"/>
  <c r="A8532" i="2"/>
  <c r="E8531" i="2"/>
  <c r="D8531" i="2"/>
  <c r="C8531" i="2"/>
  <c r="B8531" i="2"/>
  <c r="A8531" i="2"/>
  <c r="E8530" i="2"/>
  <c r="D8530" i="2"/>
  <c r="C8530" i="2"/>
  <c r="B8530" i="2"/>
  <c r="A8530" i="2"/>
  <c r="E8529" i="2"/>
  <c r="D8529" i="2"/>
  <c r="C8529" i="2"/>
  <c r="B8529" i="2"/>
  <c r="A8529" i="2"/>
  <c r="E8528" i="2"/>
  <c r="D8528" i="2"/>
  <c r="C8528" i="2"/>
  <c r="B8528" i="2"/>
  <c r="A8528" i="2"/>
  <c r="E8527" i="2"/>
  <c r="D8527" i="2"/>
  <c r="C8527" i="2"/>
  <c r="B8527" i="2"/>
  <c r="A8527" i="2"/>
  <c r="E8526" i="2"/>
  <c r="D8526" i="2"/>
  <c r="C8526" i="2"/>
  <c r="B8526" i="2"/>
  <c r="A8526" i="2"/>
  <c r="E8525" i="2"/>
  <c r="D8525" i="2"/>
  <c r="C8525" i="2"/>
  <c r="B8525" i="2"/>
  <c r="A8525" i="2"/>
  <c r="E8524" i="2"/>
  <c r="D8524" i="2"/>
  <c r="C8524" i="2"/>
  <c r="B8524" i="2"/>
  <c r="A8524" i="2"/>
  <c r="E8523" i="2"/>
  <c r="D8523" i="2"/>
  <c r="C8523" i="2"/>
  <c r="B8523" i="2"/>
  <c r="A8523" i="2"/>
  <c r="E8522" i="2"/>
  <c r="D8522" i="2"/>
  <c r="C8522" i="2"/>
  <c r="B8522" i="2"/>
  <c r="A8522" i="2"/>
  <c r="E8521" i="2"/>
  <c r="D8521" i="2"/>
  <c r="C8521" i="2"/>
  <c r="B8521" i="2"/>
  <c r="A8521" i="2"/>
  <c r="E8520" i="2"/>
  <c r="D8520" i="2"/>
  <c r="C8520" i="2"/>
  <c r="B8520" i="2"/>
  <c r="A8520" i="2"/>
  <c r="E8519" i="2"/>
  <c r="D8519" i="2"/>
  <c r="C8519" i="2"/>
  <c r="B8519" i="2"/>
  <c r="A8519" i="2"/>
  <c r="E8518" i="2"/>
  <c r="D8518" i="2"/>
  <c r="C8518" i="2"/>
  <c r="B8518" i="2"/>
  <c r="A8518" i="2"/>
  <c r="E8517" i="2"/>
  <c r="D8517" i="2"/>
  <c r="C8517" i="2"/>
  <c r="B8517" i="2"/>
  <c r="A8517" i="2"/>
  <c r="E8516" i="2"/>
  <c r="D8516" i="2"/>
  <c r="C8516" i="2"/>
  <c r="B8516" i="2"/>
  <c r="A8516" i="2"/>
  <c r="E8515" i="2"/>
  <c r="D8515" i="2"/>
  <c r="C8515" i="2"/>
  <c r="B8515" i="2"/>
  <c r="A8515" i="2"/>
  <c r="E8514" i="2"/>
  <c r="D8514" i="2"/>
  <c r="C8514" i="2"/>
  <c r="B8514" i="2"/>
  <c r="A8514" i="2"/>
  <c r="E8513" i="2"/>
  <c r="D8513" i="2"/>
  <c r="C8513" i="2"/>
  <c r="B8513" i="2"/>
  <c r="A8513" i="2"/>
  <c r="E8512" i="2"/>
  <c r="D8512" i="2"/>
  <c r="C8512" i="2"/>
  <c r="B8512" i="2"/>
  <c r="A8512" i="2"/>
  <c r="E8511" i="2"/>
  <c r="D8511" i="2"/>
  <c r="C8511" i="2"/>
  <c r="B8511" i="2"/>
  <c r="A8511" i="2"/>
  <c r="E8510" i="2"/>
  <c r="D8510" i="2"/>
  <c r="C8510" i="2"/>
  <c r="B8510" i="2"/>
  <c r="A8510" i="2"/>
  <c r="E8509" i="2"/>
  <c r="D8509" i="2"/>
  <c r="C8509" i="2"/>
  <c r="B8509" i="2"/>
  <c r="A8509" i="2"/>
  <c r="E8508" i="2"/>
  <c r="D8508" i="2"/>
  <c r="C8508" i="2"/>
  <c r="B8508" i="2"/>
  <c r="A8508" i="2"/>
  <c r="E8507" i="2"/>
  <c r="D8507" i="2"/>
  <c r="C8507" i="2"/>
  <c r="B8507" i="2"/>
  <c r="A8507" i="2"/>
  <c r="E8506" i="2"/>
  <c r="D8506" i="2"/>
  <c r="C8506" i="2"/>
  <c r="B8506" i="2"/>
  <c r="A8506" i="2"/>
  <c r="E8505" i="2"/>
  <c r="D8505" i="2"/>
  <c r="C8505" i="2"/>
  <c r="B8505" i="2"/>
  <c r="A8505" i="2"/>
  <c r="E8504" i="2"/>
  <c r="D8504" i="2"/>
  <c r="C8504" i="2"/>
  <c r="B8504" i="2"/>
  <c r="A8504" i="2"/>
  <c r="E8503" i="2"/>
  <c r="D8503" i="2"/>
  <c r="C8503" i="2"/>
  <c r="B8503" i="2"/>
  <c r="A8503" i="2"/>
  <c r="E8502" i="2"/>
  <c r="D8502" i="2"/>
  <c r="C8502" i="2"/>
  <c r="B8502" i="2"/>
  <c r="A8502" i="2"/>
  <c r="E8501" i="2"/>
  <c r="D8501" i="2"/>
  <c r="C8501" i="2"/>
  <c r="B8501" i="2"/>
  <c r="A8501" i="2"/>
  <c r="E8500" i="2"/>
  <c r="D8500" i="2"/>
  <c r="C8500" i="2"/>
  <c r="B8500" i="2"/>
  <c r="A8500" i="2"/>
  <c r="E8499" i="2"/>
  <c r="D8499" i="2"/>
  <c r="C8499" i="2"/>
  <c r="B8499" i="2"/>
  <c r="A8499" i="2"/>
  <c r="E8498" i="2"/>
  <c r="D8498" i="2"/>
  <c r="C8498" i="2"/>
  <c r="B8498" i="2"/>
  <c r="A8498" i="2"/>
  <c r="E8497" i="2"/>
  <c r="D8497" i="2"/>
  <c r="C8497" i="2"/>
  <c r="B8497" i="2"/>
  <c r="A8497" i="2"/>
  <c r="E8496" i="2"/>
  <c r="D8496" i="2"/>
  <c r="C8496" i="2"/>
  <c r="B8496" i="2"/>
  <c r="A8496" i="2"/>
  <c r="E8495" i="2"/>
  <c r="D8495" i="2"/>
  <c r="C8495" i="2"/>
  <c r="B8495" i="2"/>
  <c r="A8495" i="2"/>
  <c r="E8494" i="2"/>
  <c r="D8494" i="2"/>
  <c r="C8494" i="2"/>
  <c r="B8494" i="2"/>
  <c r="A8494" i="2"/>
  <c r="E8493" i="2"/>
  <c r="D8493" i="2"/>
  <c r="C8493" i="2"/>
  <c r="B8493" i="2"/>
  <c r="A8493" i="2"/>
  <c r="E8492" i="2"/>
  <c r="D8492" i="2"/>
  <c r="C8492" i="2"/>
  <c r="B8492" i="2"/>
  <c r="A8492" i="2"/>
  <c r="E8491" i="2"/>
  <c r="D8491" i="2"/>
  <c r="C8491" i="2"/>
  <c r="B8491" i="2"/>
  <c r="A8491" i="2"/>
  <c r="E8490" i="2"/>
  <c r="D8490" i="2"/>
  <c r="C8490" i="2"/>
  <c r="B8490" i="2"/>
  <c r="A8490" i="2"/>
  <c r="E8489" i="2"/>
  <c r="D8489" i="2"/>
  <c r="C8489" i="2"/>
  <c r="B8489" i="2"/>
  <c r="A8489" i="2"/>
  <c r="E8488" i="2"/>
  <c r="D8488" i="2"/>
  <c r="C8488" i="2"/>
  <c r="B8488" i="2"/>
  <c r="A8488" i="2"/>
  <c r="E8487" i="2"/>
  <c r="D8487" i="2"/>
  <c r="C8487" i="2"/>
  <c r="B8487" i="2"/>
  <c r="A8487" i="2"/>
  <c r="E8486" i="2"/>
  <c r="D8486" i="2"/>
  <c r="C8486" i="2"/>
  <c r="B8486" i="2"/>
  <c r="A8486" i="2"/>
  <c r="E8485" i="2"/>
  <c r="D8485" i="2"/>
  <c r="C8485" i="2"/>
  <c r="B8485" i="2"/>
  <c r="A8485" i="2"/>
  <c r="E8484" i="2"/>
  <c r="D8484" i="2"/>
  <c r="C8484" i="2"/>
  <c r="B8484" i="2"/>
  <c r="A8484" i="2"/>
  <c r="E8483" i="2"/>
  <c r="D8483" i="2"/>
  <c r="C8483" i="2"/>
  <c r="B8483" i="2"/>
  <c r="A8483" i="2"/>
  <c r="E8482" i="2"/>
  <c r="D8482" i="2"/>
  <c r="C8482" i="2"/>
  <c r="B8482" i="2"/>
  <c r="A8482" i="2"/>
  <c r="E8481" i="2"/>
  <c r="D8481" i="2"/>
  <c r="C8481" i="2"/>
  <c r="B8481" i="2"/>
  <c r="A8481" i="2"/>
  <c r="E8480" i="2"/>
  <c r="D8480" i="2"/>
  <c r="C8480" i="2"/>
  <c r="B8480" i="2"/>
  <c r="A8480" i="2"/>
  <c r="E8479" i="2"/>
  <c r="D8479" i="2"/>
  <c r="C8479" i="2"/>
  <c r="B8479" i="2"/>
  <c r="A8479" i="2"/>
  <c r="E8478" i="2"/>
  <c r="D8478" i="2"/>
  <c r="C8478" i="2"/>
  <c r="B8478" i="2"/>
  <c r="A8478" i="2"/>
  <c r="E8477" i="2"/>
  <c r="D8477" i="2"/>
  <c r="C8477" i="2"/>
  <c r="B8477" i="2"/>
  <c r="A8477" i="2"/>
  <c r="E8476" i="2"/>
  <c r="D8476" i="2"/>
  <c r="C8476" i="2"/>
  <c r="B8476" i="2"/>
  <c r="A8476" i="2"/>
  <c r="E8475" i="2"/>
  <c r="D8475" i="2"/>
  <c r="C8475" i="2"/>
  <c r="B8475" i="2"/>
  <c r="A8475" i="2"/>
  <c r="E8474" i="2"/>
  <c r="D8474" i="2"/>
  <c r="C8474" i="2"/>
  <c r="B8474" i="2"/>
  <c r="A8474" i="2"/>
  <c r="E8473" i="2"/>
  <c r="D8473" i="2"/>
  <c r="C8473" i="2"/>
  <c r="B8473" i="2"/>
  <c r="A8473" i="2"/>
  <c r="E8472" i="2"/>
  <c r="D8472" i="2"/>
  <c r="C8472" i="2"/>
  <c r="B8472" i="2"/>
  <c r="A8472" i="2"/>
  <c r="E8471" i="2"/>
  <c r="D8471" i="2"/>
  <c r="C8471" i="2"/>
  <c r="B8471" i="2"/>
  <c r="A8471" i="2"/>
  <c r="E8470" i="2"/>
  <c r="D8470" i="2"/>
  <c r="C8470" i="2"/>
  <c r="B8470" i="2"/>
  <c r="A8470" i="2"/>
  <c r="E8469" i="2"/>
  <c r="D8469" i="2"/>
  <c r="C8469" i="2"/>
  <c r="B8469" i="2"/>
  <c r="A8469" i="2"/>
  <c r="E8468" i="2"/>
  <c r="D8468" i="2"/>
  <c r="C8468" i="2"/>
  <c r="B8468" i="2"/>
  <c r="A8468" i="2"/>
  <c r="E8467" i="2"/>
  <c r="D8467" i="2"/>
  <c r="C8467" i="2"/>
  <c r="B8467" i="2"/>
  <c r="A8467" i="2"/>
  <c r="E8466" i="2"/>
  <c r="D8466" i="2"/>
  <c r="C8466" i="2"/>
  <c r="B8466" i="2"/>
  <c r="A8466" i="2"/>
  <c r="E8465" i="2"/>
  <c r="D8465" i="2"/>
  <c r="C8465" i="2"/>
  <c r="B8465" i="2"/>
  <c r="A8465" i="2"/>
  <c r="E8464" i="2"/>
  <c r="D8464" i="2"/>
  <c r="C8464" i="2"/>
  <c r="B8464" i="2"/>
  <c r="A8464" i="2"/>
  <c r="E8463" i="2"/>
  <c r="D8463" i="2"/>
  <c r="C8463" i="2"/>
  <c r="B8463" i="2"/>
  <c r="A8463" i="2"/>
  <c r="E8462" i="2"/>
  <c r="D8462" i="2"/>
  <c r="C8462" i="2"/>
  <c r="B8462" i="2"/>
  <c r="A8462" i="2"/>
  <c r="E8461" i="2"/>
  <c r="D8461" i="2"/>
  <c r="C8461" i="2"/>
  <c r="B8461" i="2"/>
  <c r="A8461" i="2"/>
  <c r="E8460" i="2"/>
  <c r="D8460" i="2"/>
  <c r="C8460" i="2"/>
  <c r="B8460" i="2"/>
  <c r="A8460" i="2"/>
  <c r="E8459" i="2"/>
  <c r="D8459" i="2"/>
  <c r="C8459" i="2"/>
  <c r="B8459" i="2"/>
  <c r="A8459" i="2"/>
  <c r="E8458" i="2"/>
  <c r="D8458" i="2"/>
  <c r="C8458" i="2"/>
  <c r="B8458" i="2"/>
  <c r="A8458" i="2"/>
  <c r="E8457" i="2"/>
  <c r="D8457" i="2"/>
  <c r="C8457" i="2"/>
  <c r="B8457" i="2"/>
  <c r="A8457" i="2"/>
  <c r="E8456" i="2"/>
  <c r="D8456" i="2"/>
  <c r="C8456" i="2"/>
  <c r="B8456" i="2"/>
  <c r="A8456" i="2"/>
  <c r="E8455" i="2"/>
  <c r="D8455" i="2"/>
  <c r="C8455" i="2"/>
  <c r="B8455" i="2"/>
  <c r="A8455" i="2"/>
  <c r="E8454" i="2"/>
  <c r="D8454" i="2"/>
  <c r="C8454" i="2"/>
  <c r="B8454" i="2"/>
  <c r="A8454" i="2"/>
  <c r="E8453" i="2"/>
  <c r="D8453" i="2"/>
  <c r="C8453" i="2"/>
  <c r="B8453" i="2"/>
  <c r="A8453" i="2"/>
  <c r="E8452" i="2"/>
  <c r="D8452" i="2"/>
  <c r="C8452" i="2"/>
  <c r="B8452" i="2"/>
  <c r="A8452" i="2"/>
  <c r="E8451" i="2"/>
  <c r="D8451" i="2"/>
  <c r="C8451" i="2"/>
  <c r="B8451" i="2"/>
  <c r="A8451" i="2"/>
  <c r="E8450" i="2"/>
  <c r="D8450" i="2"/>
  <c r="C8450" i="2"/>
  <c r="B8450" i="2"/>
  <c r="A8450" i="2"/>
  <c r="E8449" i="2"/>
  <c r="D8449" i="2"/>
  <c r="C8449" i="2"/>
  <c r="B8449" i="2"/>
  <c r="A8449" i="2"/>
  <c r="E8448" i="2"/>
  <c r="D8448" i="2"/>
  <c r="C8448" i="2"/>
  <c r="B8448" i="2"/>
  <c r="A8448" i="2"/>
  <c r="E8447" i="2"/>
  <c r="D8447" i="2"/>
  <c r="C8447" i="2"/>
  <c r="B8447" i="2"/>
  <c r="A8447" i="2"/>
  <c r="E8446" i="2"/>
  <c r="D8446" i="2"/>
  <c r="C8446" i="2"/>
  <c r="B8446" i="2"/>
  <c r="A8446" i="2"/>
  <c r="E8445" i="2"/>
  <c r="D8445" i="2"/>
  <c r="C8445" i="2"/>
  <c r="B8445" i="2"/>
  <c r="A8445" i="2"/>
  <c r="E8444" i="2"/>
  <c r="D8444" i="2"/>
  <c r="C8444" i="2"/>
  <c r="B8444" i="2"/>
  <c r="A8444" i="2"/>
  <c r="E8443" i="2"/>
  <c r="D8443" i="2"/>
  <c r="C8443" i="2"/>
  <c r="B8443" i="2"/>
  <c r="A8443" i="2"/>
  <c r="E8442" i="2"/>
  <c r="D8442" i="2"/>
  <c r="C8442" i="2"/>
  <c r="B8442" i="2"/>
  <c r="A8442" i="2"/>
  <c r="E8441" i="2"/>
  <c r="D8441" i="2"/>
  <c r="C8441" i="2"/>
  <c r="B8441" i="2"/>
  <c r="A8441" i="2"/>
  <c r="E8440" i="2"/>
  <c r="D8440" i="2"/>
  <c r="C8440" i="2"/>
  <c r="B8440" i="2"/>
  <c r="A8440" i="2"/>
  <c r="E8439" i="2"/>
  <c r="D8439" i="2"/>
  <c r="C8439" i="2"/>
  <c r="B8439" i="2"/>
  <c r="A8439" i="2"/>
  <c r="E8438" i="2"/>
  <c r="D8438" i="2"/>
  <c r="C8438" i="2"/>
  <c r="B8438" i="2"/>
  <c r="A8438" i="2"/>
  <c r="E8437" i="2"/>
  <c r="D8437" i="2"/>
  <c r="C8437" i="2"/>
  <c r="B8437" i="2"/>
  <c r="A8437" i="2"/>
  <c r="E8436" i="2"/>
  <c r="D8436" i="2"/>
  <c r="C8436" i="2"/>
  <c r="B8436" i="2"/>
  <c r="A8436" i="2"/>
  <c r="E8435" i="2"/>
  <c r="D8435" i="2"/>
  <c r="C8435" i="2"/>
  <c r="B8435" i="2"/>
  <c r="A8435" i="2"/>
  <c r="E8434" i="2"/>
  <c r="D8434" i="2"/>
  <c r="C8434" i="2"/>
  <c r="B8434" i="2"/>
  <c r="A8434" i="2"/>
  <c r="E8433" i="2"/>
  <c r="D8433" i="2"/>
  <c r="C8433" i="2"/>
  <c r="B8433" i="2"/>
  <c r="A8433" i="2"/>
  <c r="E8432" i="2"/>
  <c r="D8432" i="2"/>
  <c r="C8432" i="2"/>
  <c r="B8432" i="2"/>
  <c r="A8432" i="2"/>
  <c r="E8431" i="2"/>
  <c r="D8431" i="2"/>
  <c r="C8431" i="2"/>
  <c r="B8431" i="2"/>
  <c r="A8431" i="2"/>
  <c r="E8430" i="2"/>
  <c r="D8430" i="2"/>
  <c r="C8430" i="2"/>
  <c r="B8430" i="2"/>
  <c r="A8430" i="2"/>
  <c r="E8429" i="2"/>
  <c r="D8429" i="2"/>
  <c r="C8429" i="2"/>
  <c r="B8429" i="2"/>
  <c r="A8429" i="2"/>
  <c r="E8428" i="2"/>
  <c r="D8428" i="2"/>
  <c r="C8428" i="2"/>
  <c r="B8428" i="2"/>
  <c r="A8428" i="2"/>
  <c r="E8427" i="2"/>
  <c r="D8427" i="2"/>
  <c r="C8427" i="2"/>
  <c r="B8427" i="2"/>
  <c r="A8427" i="2"/>
  <c r="E8426" i="2"/>
  <c r="D8426" i="2"/>
  <c r="C8426" i="2"/>
  <c r="B8426" i="2"/>
  <c r="A8426" i="2"/>
  <c r="E8425" i="2"/>
  <c r="D8425" i="2"/>
  <c r="C8425" i="2"/>
  <c r="B8425" i="2"/>
  <c r="A8425" i="2"/>
  <c r="E8424" i="2"/>
  <c r="D8424" i="2"/>
  <c r="C8424" i="2"/>
  <c r="B8424" i="2"/>
  <c r="A8424" i="2"/>
  <c r="E8423" i="2"/>
  <c r="D8423" i="2"/>
  <c r="C8423" i="2"/>
  <c r="B8423" i="2"/>
  <c r="A8423" i="2"/>
  <c r="E8422" i="2"/>
  <c r="D8422" i="2"/>
  <c r="C8422" i="2"/>
  <c r="B8422" i="2"/>
  <c r="A8422" i="2"/>
  <c r="E8421" i="2"/>
  <c r="D8421" i="2"/>
  <c r="C8421" i="2"/>
  <c r="B8421" i="2"/>
  <c r="A8421" i="2"/>
  <c r="E8420" i="2"/>
  <c r="D8420" i="2"/>
  <c r="C8420" i="2"/>
  <c r="B8420" i="2"/>
  <c r="A8420" i="2"/>
  <c r="E8419" i="2"/>
  <c r="D8419" i="2"/>
  <c r="C8419" i="2"/>
  <c r="B8419" i="2"/>
  <c r="A8419" i="2"/>
  <c r="E8418" i="2"/>
  <c r="D8418" i="2"/>
  <c r="C8418" i="2"/>
  <c r="B8418" i="2"/>
  <c r="A8418" i="2"/>
  <c r="E8417" i="2"/>
  <c r="D8417" i="2"/>
  <c r="C8417" i="2"/>
  <c r="B8417" i="2"/>
  <c r="A8417" i="2"/>
  <c r="E8416" i="2"/>
  <c r="D8416" i="2"/>
  <c r="C8416" i="2"/>
  <c r="B8416" i="2"/>
  <c r="A8416" i="2"/>
  <c r="E8415" i="2"/>
  <c r="D8415" i="2"/>
  <c r="C8415" i="2"/>
  <c r="B8415" i="2"/>
  <c r="A8415" i="2"/>
  <c r="E8414" i="2"/>
  <c r="D8414" i="2"/>
  <c r="C8414" i="2"/>
  <c r="B8414" i="2"/>
  <c r="A8414" i="2"/>
  <c r="E8413" i="2"/>
  <c r="D8413" i="2"/>
  <c r="C8413" i="2"/>
  <c r="B8413" i="2"/>
  <c r="A8413" i="2"/>
  <c r="E8412" i="2"/>
  <c r="D8412" i="2"/>
  <c r="C8412" i="2"/>
  <c r="B8412" i="2"/>
  <c r="A8412" i="2"/>
  <c r="E8411" i="2"/>
  <c r="D8411" i="2"/>
  <c r="C8411" i="2"/>
  <c r="B8411" i="2"/>
  <c r="A8411" i="2"/>
  <c r="E8410" i="2"/>
  <c r="D8410" i="2"/>
  <c r="C8410" i="2"/>
  <c r="B8410" i="2"/>
  <c r="A8410" i="2"/>
  <c r="E8409" i="2"/>
  <c r="D8409" i="2"/>
  <c r="C8409" i="2"/>
  <c r="B8409" i="2"/>
  <c r="A8409" i="2"/>
  <c r="E8408" i="2"/>
  <c r="D8408" i="2"/>
  <c r="C8408" i="2"/>
  <c r="B8408" i="2"/>
  <c r="A8408" i="2"/>
  <c r="E8407" i="2"/>
  <c r="D8407" i="2"/>
  <c r="C8407" i="2"/>
  <c r="B8407" i="2"/>
  <c r="A8407" i="2"/>
  <c r="E8406" i="2"/>
  <c r="D8406" i="2"/>
  <c r="C8406" i="2"/>
  <c r="B8406" i="2"/>
  <c r="A8406" i="2"/>
  <c r="E8405" i="2"/>
  <c r="D8405" i="2"/>
  <c r="C8405" i="2"/>
  <c r="B8405" i="2"/>
  <c r="A8405" i="2"/>
  <c r="E8404" i="2"/>
  <c r="D8404" i="2"/>
  <c r="C8404" i="2"/>
  <c r="B8404" i="2"/>
  <c r="A8404" i="2"/>
  <c r="E8403" i="2"/>
  <c r="D8403" i="2"/>
  <c r="C8403" i="2"/>
  <c r="B8403" i="2"/>
  <c r="A8403" i="2"/>
  <c r="E8402" i="2"/>
  <c r="D8402" i="2"/>
  <c r="C8402" i="2"/>
  <c r="B8402" i="2"/>
  <c r="A8402" i="2"/>
  <c r="E8401" i="2"/>
  <c r="D8401" i="2"/>
  <c r="C8401" i="2"/>
  <c r="B8401" i="2"/>
  <c r="A8401" i="2"/>
  <c r="E8400" i="2"/>
  <c r="D8400" i="2"/>
  <c r="C8400" i="2"/>
  <c r="B8400" i="2"/>
  <c r="A8400" i="2"/>
  <c r="E8399" i="2"/>
  <c r="D8399" i="2"/>
  <c r="C8399" i="2"/>
  <c r="B8399" i="2"/>
  <c r="A8399" i="2"/>
  <c r="E8398" i="2"/>
  <c r="D8398" i="2"/>
  <c r="C8398" i="2"/>
  <c r="B8398" i="2"/>
  <c r="A8398" i="2"/>
  <c r="E8397" i="2"/>
  <c r="D8397" i="2"/>
  <c r="C8397" i="2"/>
  <c r="B8397" i="2"/>
  <c r="A8397" i="2"/>
  <c r="E8396" i="2"/>
  <c r="D8396" i="2"/>
  <c r="C8396" i="2"/>
  <c r="B8396" i="2"/>
  <c r="A8396" i="2"/>
  <c r="E8395" i="2"/>
  <c r="D8395" i="2"/>
  <c r="C8395" i="2"/>
  <c r="B8395" i="2"/>
  <c r="A8395" i="2"/>
  <c r="E8394" i="2"/>
  <c r="D8394" i="2"/>
  <c r="C8394" i="2"/>
  <c r="B8394" i="2"/>
  <c r="A8394" i="2"/>
  <c r="E8393" i="2"/>
  <c r="D8393" i="2"/>
  <c r="C8393" i="2"/>
  <c r="B8393" i="2"/>
  <c r="A8393" i="2"/>
  <c r="E8392" i="2"/>
  <c r="D8392" i="2"/>
  <c r="C8392" i="2"/>
  <c r="B8392" i="2"/>
  <c r="A8392" i="2"/>
  <c r="E8391" i="2"/>
  <c r="D8391" i="2"/>
  <c r="C8391" i="2"/>
  <c r="B8391" i="2"/>
  <c r="A8391" i="2"/>
  <c r="E8390" i="2"/>
  <c r="D8390" i="2"/>
  <c r="C8390" i="2"/>
  <c r="B8390" i="2"/>
  <c r="A8390" i="2"/>
  <c r="E8389" i="2"/>
  <c r="D8389" i="2"/>
  <c r="C8389" i="2"/>
  <c r="B8389" i="2"/>
  <c r="A8389" i="2"/>
  <c r="E8388" i="2"/>
  <c r="D8388" i="2"/>
  <c r="C8388" i="2"/>
  <c r="B8388" i="2"/>
  <c r="A8388" i="2"/>
  <c r="E8387" i="2"/>
  <c r="D8387" i="2"/>
  <c r="C8387" i="2"/>
  <c r="B8387" i="2"/>
  <c r="A8387" i="2"/>
  <c r="E8386" i="2"/>
  <c r="D8386" i="2"/>
  <c r="C8386" i="2"/>
  <c r="B8386" i="2"/>
  <c r="A8386" i="2"/>
  <c r="E8385" i="2"/>
  <c r="D8385" i="2"/>
  <c r="C8385" i="2"/>
  <c r="B8385" i="2"/>
  <c r="A8385" i="2"/>
  <c r="E8384" i="2"/>
  <c r="D8384" i="2"/>
  <c r="C8384" i="2"/>
  <c r="B8384" i="2"/>
  <c r="A8384" i="2"/>
  <c r="E8383" i="2"/>
  <c r="D8383" i="2"/>
  <c r="C8383" i="2"/>
  <c r="B8383" i="2"/>
  <c r="A8383" i="2"/>
  <c r="E8382" i="2"/>
  <c r="D8382" i="2"/>
  <c r="C8382" i="2"/>
  <c r="B8382" i="2"/>
  <c r="A8382" i="2"/>
  <c r="E8381" i="2"/>
  <c r="D8381" i="2"/>
  <c r="C8381" i="2"/>
  <c r="B8381" i="2"/>
  <c r="A8381" i="2"/>
  <c r="E8380" i="2"/>
  <c r="D8380" i="2"/>
  <c r="C8380" i="2"/>
  <c r="B8380" i="2"/>
  <c r="A8380" i="2"/>
  <c r="E8379" i="2"/>
  <c r="D8379" i="2"/>
  <c r="C8379" i="2"/>
  <c r="B8379" i="2"/>
  <c r="A8379" i="2"/>
  <c r="E8378" i="2"/>
  <c r="D8378" i="2"/>
  <c r="C8378" i="2"/>
  <c r="B8378" i="2"/>
  <c r="A8378" i="2"/>
  <c r="E8377" i="2"/>
  <c r="D8377" i="2"/>
  <c r="C8377" i="2"/>
  <c r="B8377" i="2"/>
  <c r="A8377" i="2"/>
  <c r="E8376" i="2"/>
  <c r="D8376" i="2"/>
  <c r="C8376" i="2"/>
  <c r="B8376" i="2"/>
  <c r="A8376" i="2"/>
  <c r="E8375" i="2"/>
  <c r="D8375" i="2"/>
  <c r="C8375" i="2"/>
  <c r="B8375" i="2"/>
  <c r="A8375" i="2"/>
  <c r="E8374" i="2"/>
  <c r="D8374" i="2"/>
  <c r="C8374" i="2"/>
  <c r="B8374" i="2"/>
  <c r="A8374" i="2"/>
  <c r="E8373" i="2"/>
  <c r="D8373" i="2"/>
  <c r="C8373" i="2"/>
  <c r="B8373" i="2"/>
  <c r="A8373" i="2"/>
  <c r="E8372" i="2"/>
  <c r="D8372" i="2"/>
  <c r="C8372" i="2"/>
  <c r="B8372" i="2"/>
  <c r="A8372" i="2"/>
  <c r="E8371" i="2"/>
  <c r="D8371" i="2"/>
  <c r="C8371" i="2"/>
  <c r="B8371" i="2"/>
  <c r="A8371" i="2"/>
  <c r="E8370" i="2"/>
  <c r="D8370" i="2"/>
  <c r="C8370" i="2"/>
  <c r="B8370" i="2"/>
  <c r="A8370" i="2"/>
  <c r="E8369" i="2"/>
  <c r="D8369" i="2"/>
  <c r="C8369" i="2"/>
  <c r="B8369" i="2"/>
  <c r="A8369" i="2"/>
  <c r="E8368" i="2"/>
  <c r="D8368" i="2"/>
  <c r="C8368" i="2"/>
  <c r="B8368" i="2"/>
  <c r="A8368" i="2"/>
  <c r="E8367" i="2"/>
  <c r="D8367" i="2"/>
  <c r="C8367" i="2"/>
  <c r="B8367" i="2"/>
  <c r="A8367" i="2"/>
  <c r="E8366" i="2"/>
  <c r="D8366" i="2"/>
  <c r="C8366" i="2"/>
  <c r="B8366" i="2"/>
  <c r="A8366" i="2"/>
  <c r="E8365" i="2"/>
  <c r="D8365" i="2"/>
  <c r="C8365" i="2"/>
  <c r="B8365" i="2"/>
  <c r="A8365" i="2"/>
  <c r="E8364" i="2"/>
  <c r="D8364" i="2"/>
  <c r="C8364" i="2"/>
  <c r="B8364" i="2"/>
  <c r="A8364" i="2"/>
  <c r="E8363" i="2"/>
  <c r="D8363" i="2"/>
  <c r="C8363" i="2"/>
  <c r="B8363" i="2"/>
  <c r="A8363" i="2"/>
  <c r="E8362" i="2"/>
  <c r="D8362" i="2"/>
  <c r="C8362" i="2"/>
  <c r="B8362" i="2"/>
  <c r="A8362" i="2"/>
  <c r="E8361" i="2"/>
  <c r="D8361" i="2"/>
  <c r="C8361" i="2"/>
  <c r="B8361" i="2"/>
  <c r="A8361" i="2"/>
  <c r="E8360" i="2"/>
  <c r="D8360" i="2"/>
  <c r="C8360" i="2"/>
  <c r="B8360" i="2"/>
  <c r="A8360" i="2"/>
  <c r="E8359" i="2"/>
  <c r="D8359" i="2"/>
  <c r="C8359" i="2"/>
  <c r="B8359" i="2"/>
  <c r="A8359" i="2"/>
  <c r="E8358" i="2"/>
  <c r="D8358" i="2"/>
  <c r="C8358" i="2"/>
  <c r="B8358" i="2"/>
  <c r="A8358" i="2"/>
  <c r="E8357" i="2"/>
  <c r="D8357" i="2"/>
  <c r="C8357" i="2"/>
  <c r="B8357" i="2"/>
  <c r="A8357" i="2"/>
  <c r="E8356" i="2"/>
  <c r="D8356" i="2"/>
  <c r="C8356" i="2"/>
  <c r="B8356" i="2"/>
  <c r="A8356" i="2"/>
  <c r="E8355" i="2"/>
  <c r="D8355" i="2"/>
  <c r="C8355" i="2"/>
  <c r="B8355" i="2"/>
  <c r="A8355" i="2"/>
  <c r="E8354" i="2"/>
  <c r="D8354" i="2"/>
  <c r="C8354" i="2"/>
  <c r="B8354" i="2"/>
  <c r="A8354" i="2"/>
  <c r="E8353" i="2"/>
  <c r="D8353" i="2"/>
  <c r="C8353" i="2"/>
  <c r="B8353" i="2"/>
  <c r="A8353" i="2"/>
  <c r="E8352" i="2"/>
  <c r="D8352" i="2"/>
  <c r="C8352" i="2"/>
  <c r="B8352" i="2"/>
  <c r="A8352" i="2"/>
  <c r="E8351" i="2"/>
  <c r="D8351" i="2"/>
  <c r="C8351" i="2"/>
  <c r="B8351" i="2"/>
  <c r="A8351" i="2"/>
  <c r="E8350" i="2"/>
  <c r="D8350" i="2"/>
  <c r="C8350" i="2"/>
  <c r="B8350" i="2"/>
  <c r="A8350" i="2"/>
  <c r="E8349" i="2"/>
  <c r="D8349" i="2"/>
  <c r="C8349" i="2"/>
  <c r="B8349" i="2"/>
  <c r="A8349" i="2"/>
  <c r="E8348" i="2"/>
  <c r="D8348" i="2"/>
  <c r="C8348" i="2"/>
  <c r="B8348" i="2"/>
  <c r="A8348" i="2"/>
  <c r="E8347" i="2"/>
  <c r="D8347" i="2"/>
  <c r="C8347" i="2"/>
  <c r="B8347" i="2"/>
  <c r="A8347" i="2"/>
  <c r="E8346" i="2"/>
  <c r="D8346" i="2"/>
  <c r="C8346" i="2"/>
  <c r="B8346" i="2"/>
  <c r="A8346" i="2"/>
  <c r="E8345" i="2"/>
  <c r="D8345" i="2"/>
  <c r="C8345" i="2"/>
  <c r="B8345" i="2"/>
  <c r="A8345" i="2"/>
  <c r="E8344" i="2"/>
  <c r="D8344" i="2"/>
  <c r="C8344" i="2"/>
  <c r="B8344" i="2"/>
  <c r="A8344" i="2"/>
  <c r="E8343" i="2"/>
  <c r="D8343" i="2"/>
  <c r="C8343" i="2"/>
  <c r="B8343" i="2"/>
  <c r="A8343" i="2"/>
  <c r="E8342" i="2"/>
  <c r="D8342" i="2"/>
  <c r="C8342" i="2"/>
  <c r="B8342" i="2"/>
  <c r="A8342" i="2"/>
  <c r="E8341" i="2"/>
  <c r="D8341" i="2"/>
  <c r="C8341" i="2"/>
  <c r="B8341" i="2"/>
  <c r="A8341" i="2"/>
  <c r="E8340" i="2"/>
  <c r="D8340" i="2"/>
  <c r="C8340" i="2"/>
  <c r="B8340" i="2"/>
  <c r="A8340" i="2"/>
  <c r="E8339" i="2"/>
  <c r="D8339" i="2"/>
  <c r="C8339" i="2"/>
  <c r="B8339" i="2"/>
  <c r="A8339" i="2"/>
  <c r="E8338" i="2"/>
  <c r="D8338" i="2"/>
  <c r="C8338" i="2"/>
  <c r="B8338" i="2"/>
  <c r="A8338" i="2"/>
  <c r="E8337" i="2"/>
  <c r="D8337" i="2"/>
  <c r="C8337" i="2"/>
  <c r="B8337" i="2"/>
  <c r="A8337" i="2"/>
  <c r="E8336" i="2"/>
  <c r="D8336" i="2"/>
  <c r="C8336" i="2"/>
  <c r="B8336" i="2"/>
  <c r="A8336" i="2"/>
  <c r="E8335" i="2"/>
  <c r="D8335" i="2"/>
  <c r="C8335" i="2"/>
  <c r="B8335" i="2"/>
  <c r="A8335" i="2"/>
  <c r="E8334" i="2"/>
  <c r="D8334" i="2"/>
  <c r="C8334" i="2"/>
  <c r="B8334" i="2"/>
  <c r="A8334" i="2"/>
  <c r="E8333" i="2"/>
  <c r="D8333" i="2"/>
  <c r="C8333" i="2"/>
  <c r="B8333" i="2"/>
  <c r="A8333" i="2"/>
  <c r="E8332" i="2"/>
  <c r="D8332" i="2"/>
  <c r="C8332" i="2"/>
  <c r="B8332" i="2"/>
  <c r="A8332" i="2"/>
  <c r="E8331" i="2"/>
  <c r="D8331" i="2"/>
  <c r="C8331" i="2"/>
  <c r="B8331" i="2"/>
  <c r="A8331" i="2"/>
  <c r="E8330" i="2"/>
  <c r="D8330" i="2"/>
  <c r="C8330" i="2"/>
  <c r="B8330" i="2"/>
  <c r="A8330" i="2"/>
  <c r="E8329" i="2"/>
  <c r="D8329" i="2"/>
  <c r="C8329" i="2"/>
  <c r="B8329" i="2"/>
  <c r="A8329" i="2"/>
  <c r="E8328" i="2"/>
  <c r="D8328" i="2"/>
  <c r="C8328" i="2"/>
  <c r="B8328" i="2"/>
  <c r="A8328" i="2"/>
  <c r="E8327" i="2"/>
  <c r="D8327" i="2"/>
  <c r="C8327" i="2"/>
  <c r="B8327" i="2"/>
  <c r="A8327" i="2"/>
  <c r="E8326" i="2"/>
  <c r="D8326" i="2"/>
  <c r="C8326" i="2"/>
  <c r="B8326" i="2"/>
  <c r="A8326" i="2"/>
  <c r="E8325" i="2"/>
  <c r="D8325" i="2"/>
  <c r="C8325" i="2"/>
  <c r="B8325" i="2"/>
  <c r="A8325" i="2"/>
  <c r="E8324" i="2"/>
  <c r="D8324" i="2"/>
  <c r="C8324" i="2"/>
  <c r="B8324" i="2"/>
  <c r="A8324" i="2"/>
  <c r="E8323" i="2"/>
  <c r="D8323" i="2"/>
  <c r="C8323" i="2"/>
  <c r="B8323" i="2"/>
  <c r="A8323" i="2"/>
  <c r="E8322" i="2"/>
  <c r="D8322" i="2"/>
  <c r="C8322" i="2"/>
  <c r="B8322" i="2"/>
  <c r="A8322" i="2"/>
  <c r="E8321" i="2"/>
  <c r="D8321" i="2"/>
  <c r="C8321" i="2"/>
  <c r="B8321" i="2"/>
  <c r="A8321" i="2"/>
  <c r="E8320" i="2"/>
  <c r="D8320" i="2"/>
  <c r="C8320" i="2"/>
  <c r="B8320" i="2"/>
  <c r="A8320" i="2"/>
  <c r="E8319" i="2"/>
  <c r="D8319" i="2"/>
  <c r="C8319" i="2"/>
  <c r="B8319" i="2"/>
  <c r="A8319" i="2"/>
  <c r="E8318" i="2"/>
  <c r="D8318" i="2"/>
  <c r="C8318" i="2"/>
  <c r="B8318" i="2"/>
  <c r="A8318" i="2"/>
  <c r="E8317" i="2"/>
  <c r="D8317" i="2"/>
  <c r="C8317" i="2"/>
  <c r="B8317" i="2"/>
  <c r="A8317" i="2"/>
  <c r="E8316" i="2"/>
  <c r="D8316" i="2"/>
  <c r="C8316" i="2"/>
  <c r="B8316" i="2"/>
  <c r="A8316" i="2"/>
  <c r="E8315" i="2"/>
  <c r="D8315" i="2"/>
  <c r="C8315" i="2"/>
  <c r="B8315" i="2"/>
  <c r="A8315" i="2"/>
  <c r="E8314" i="2"/>
  <c r="D8314" i="2"/>
  <c r="C8314" i="2"/>
  <c r="B8314" i="2"/>
  <c r="A8314" i="2"/>
  <c r="E8313" i="2"/>
  <c r="D8313" i="2"/>
  <c r="C8313" i="2"/>
  <c r="B8313" i="2"/>
  <c r="A8313" i="2"/>
  <c r="E8312" i="2"/>
  <c r="D8312" i="2"/>
  <c r="C8312" i="2"/>
  <c r="B8312" i="2"/>
  <c r="A8312" i="2"/>
  <c r="E8311" i="2"/>
  <c r="D8311" i="2"/>
  <c r="C8311" i="2"/>
  <c r="B8311" i="2"/>
  <c r="A8311" i="2"/>
  <c r="E8310" i="2"/>
  <c r="D8310" i="2"/>
  <c r="C8310" i="2"/>
  <c r="B8310" i="2"/>
  <c r="A8310" i="2"/>
  <c r="E8309" i="2"/>
  <c r="D8309" i="2"/>
  <c r="C8309" i="2"/>
  <c r="B8309" i="2"/>
  <c r="A8309" i="2"/>
  <c r="E8308" i="2"/>
  <c r="D8308" i="2"/>
  <c r="C8308" i="2"/>
  <c r="B8308" i="2"/>
  <c r="A8308" i="2"/>
  <c r="E8307" i="2"/>
  <c r="D8307" i="2"/>
  <c r="C8307" i="2"/>
  <c r="B8307" i="2"/>
  <c r="A8307" i="2"/>
  <c r="E8306" i="2"/>
  <c r="D8306" i="2"/>
  <c r="C8306" i="2"/>
  <c r="B8306" i="2"/>
  <c r="A8306" i="2"/>
  <c r="E8305" i="2"/>
  <c r="D8305" i="2"/>
  <c r="C8305" i="2"/>
  <c r="B8305" i="2"/>
  <c r="A8305" i="2"/>
  <c r="E8304" i="2"/>
  <c r="D8304" i="2"/>
  <c r="C8304" i="2"/>
  <c r="B8304" i="2"/>
  <c r="A8304" i="2"/>
  <c r="E8303" i="2"/>
  <c r="D8303" i="2"/>
  <c r="C8303" i="2"/>
  <c r="B8303" i="2"/>
  <c r="A8303" i="2"/>
  <c r="E8302" i="2"/>
  <c r="D8302" i="2"/>
  <c r="C8302" i="2"/>
  <c r="B8302" i="2"/>
  <c r="A8302" i="2"/>
  <c r="E8301" i="2"/>
  <c r="D8301" i="2"/>
  <c r="C8301" i="2"/>
  <c r="B8301" i="2"/>
  <c r="A8301" i="2"/>
  <c r="E8300" i="2"/>
  <c r="D8300" i="2"/>
  <c r="C8300" i="2"/>
  <c r="B8300" i="2"/>
  <c r="A8300" i="2"/>
  <c r="E8299" i="2"/>
  <c r="D8299" i="2"/>
  <c r="C8299" i="2"/>
  <c r="B8299" i="2"/>
  <c r="A8299" i="2"/>
  <c r="E8298" i="2"/>
  <c r="D8298" i="2"/>
  <c r="C8298" i="2"/>
  <c r="B8298" i="2"/>
  <c r="A8298" i="2"/>
  <c r="E8297" i="2"/>
  <c r="D8297" i="2"/>
  <c r="C8297" i="2"/>
  <c r="B8297" i="2"/>
  <c r="A8297" i="2"/>
  <c r="E8296" i="2"/>
  <c r="D8296" i="2"/>
  <c r="C8296" i="2"/>
  <c r="B8296" i="2"/>
  <c r="A8296" i="2"/>
  <c r="E8295" i="2"/>
  <c r="D8295" i="2"/>
  <c r="C8295" i="2"/>
  <c r="B8295" i="2"/>
  <c r="A8295" i="2"/>
  <c r="E8294" i="2"/>
  <c r="D8294" i="2"/>
  <c r="C8294" i="2"/>
  <c r="B8294" i="2"/>
  <c r="A8294" i="2"/>
  <c r="E8293" i="2"/>
  <c r="D8293" i="2"/>
  <c r="C8293" i="2"/>
  <c r="B8293" i="2"/>
  <c r="A8293" i="2"/>
  <c r="E8292" i="2"/>
  <c r="D8292" i="2"/>
  <c r="C8292" i="2"/>
  <c r="B8292" i="2"/>
  <c r="A8292" i="2"/>
  <c r="E8291" i="2"/>
  <c r="D8291" i="2"/>
  <c r="C8291" i="2"/>
  <c r="B8291" i="2"/>
  <c r="A8291" i="2"/>
  <c r="E8290" i="2"/>
  <c r="D8290" i="2"/>
  <c r="C8290" i="2"/>
  <c r="B8290" i="2"/>
  <c r="A8290" i="2"/>
  <c r="E8289" i="2"/>
  <c r="D8289" i="2"/>
  <c r="C8289" i="2"/>
  <c r="B8289" i="2"/>
  <c r="A8289" i="2"/>
  <c r="E8288" i="2"/>
  <c r="D8288" i="2"/>
  <c r="C8288" i="2"/>
  <c r="B8288" i="2"/>
  <c r="A8288" i="2"/>
  <c r="E8287" i="2"/>
  <c r="D8287" i="2"/>
  <c r="C8287" i="2"/>
  <c r="B8287" i="2"/>
  <c r="A8287" i="2"/>
  <c r="E8286" i="2"/>
  <c r="D8286" i="2"/>
  <c r="C8286" i="2"/>
  <c r="B8286" i="2"/>
  <c r="A8286" i="2"/>
  <c r="E8285" i="2"/>
  <c r="D8285" i="2"/>
  <c r="C8285" i="2"/>
  <c r="B8285" i="2"/>
  <c r="A8285" i="2"/>
  <c r="E8284" i="2"/>
  <c r="D8284" i="2"/>
  <c r="C8284" i="2"/>
  <c r="B8284" i="2"/>
  <c r="A8284" i="2"/>
  <c r="E8283" i="2"/>
  <c r="D8283" i="2"/>
  <c r="C8283" i="2"/>
  <c r="B8283" i="2"/>
  <c r="A8283" i="2"/>
  <c r="E8282" i="2"/>
  <c r="D8282" i="2"/>
  <c r="C8282" i="2"/>
  <c r="B8282" i="2"/>
  <c r="A8282" i="2"/>
  <c r="E8281" i="2"/>
  <c r="D8281" i="2"/>
  <c r="C8281" i="2"/>
  <c r="B8281" i="2"/>
  <c r="A8281" i="2"/>
  <c r="E8280" i="2"/>
  <c r="D8280" i="2"/>
  <c r="C8280" i="2"/>
  <c r="B8280" i="2"/>
  <c r="A8280" i="2"/>
  <c r="E8279" i="2"/>
  <c r="D8279" i="2"/>
  <c r="C8279" i="2"/>
  <c r="B8279" i="2"/>
  <c r="A8279" i="2"/>
  <c r="E8278" i="2"/>
  <c r="D8278" i="2"/>
  <c r="C8278" i="2"/>
  <c r="B8278" i="2"/>
  <c r="A8278" i="2"/>
  <c r="E8277" i="2"/>
  <c r="D8277" i="2"/>
  <c r="C8277" i="2"/>
  <c r="B8277" i="2"/>
  <c r="A8277" i="2"/>
  <c r="E8276" i="2"/>
  <c r="D8276" i="2"/>
  <c r="C8276" i="2"/>
  <c r="B8276" i="2"/>
  <c r="A8276" i="2"/>
  <c r="E8275" i="2"/>
  <c r="D8275" i="2"/>
  <c r="C8275" i="2"/>
  <c r="B8275" i="2"/>
  <c r="A8275" i="2"/>
  <c r="E8274" i="2"/>
  <c r="D8274" i="2"/>
  <c r="C8274" i="2"/>
  <c r="B8274" i="2"/>
  <c r="A8274" i="2"/>
  <c r="E8273" i="2"/>
  <c r="D8273" i="2"/>
  <c r="C8273" i="2"/>
  <c r="B8273" i="2"/>
  <c r="A8273" i="2"/>
  <c r="E8272" i="2"/>
  <c r="D8272" i="2"/>
  <c r="C8272" i="2"/>
  <c r="B8272" i="2"/>
  <c r="A8272" i="2"/>
  <c r="E8271" i="2"/>
  <c r="D8271" i="2"/>
  <c r="C8271" i="2"/>
  <c r="B8271" i="2"/>
  <c r="A8271" i="2"/>
  <c r="E8270" i="2"/>
  <c r="D8270" i="2"/>
  <c r="C8270" i="2"/>
  <c r="B8270" i="2"/>
  <c r="A8270" i="2"/>
  <c r="E8269" i="2"/>
  <c r="D8269" i="2"/>
  <c r="C8269" i="2"/>
  <c r="B8269" i="2"/>
  <c r="A8269" i="2"/>
  <c r="E8268" i="2"/>
  <c r="D8268" i="2"/>
  <c r="C8268" i="2"/>
  <c r="B8268" i="2"/>
  <c r="A8268" i="2"/>
  <c r="E8267" i="2"/>
  <c r="D8267" i="2"/>
  <c r="C8267" i="2"/>
  <c r="B8267" i="2"/>
  <c r="A8267" i="2"/>
  <c r="E8266" i="2"/>
  <c r="D8266" i="2"/>
  <c r="C8266" i="2"/>
  <c r="B8266" i="2"/>
  <c r="A8266" i="2"/>
  <c r="E8265" i="2"/>
  <c r="D8265" i="2"/>
  <c r="C8265" i="2"/>
  <c r="B8265" i="2"/>
  <c r="A8265" i="2"/>
  <c r="E8264" i="2"/>
  <c r="D8264" i="2"/>
  <c r="C8264" i="2"/>
  <c r="B8264" i="2"/>
  <c r="A8264" i="2"/>
  <c r="E8263" i="2"/>
  <c r="D8263" i="2"/>
  <c r="C8263" i="2"/>
  <c r="B8263" i="2"/>
  <c r="A8263" i="2"/>
  <c r="E8262" i="2"/>
  <c r="D8262" i="2"/>
  <c r="C8262" i="2"/>
  <c r="B8262" i="2"/>
  <c r="A8262" i="2"/>
  <c r="E8261" i="2"/>
  <c r="D8261" i="2"/>
  <c r="C8261" i="2"/>
  <c r="B8261" i="2"/>
  <c r="A8261" i="2"/>
  <c r="E8260" i="2"/>
  <c r="D8260" i="2"/>
  <c r="C8260" i="2"/>
  <c r="B8260" i="2"/>
  <c r="A8260" i="2"/>
  <c r="E8259" i="2"/>
  <c r="D8259" i="2"/>
  <c r="C8259" i="2"/>
  <c r="B8259" i="2"/>
  <c r="A8259" i="2"/>
  <c r="E8258" i="2"/>
  <c r="D8258" i="2"/>
  <c r="C8258" i="2"/>
  <c r="B8258" i="2"/>
  <c r="A8258" i="2"/>
  <c r="E8257" i="2"/>
  <c r="D8257" i="2"/>
  <c r="C8257" i="2"/>
  <c r="B8257" i="2"/>
  <c r="A8257" i="2"/>
  <c r="E8256" i="2"/>
  <c r="D8256" i="2"/>
  <c r="C8256" i="2"/>
  <c r="B8256" i="2"/>
  <c r="A8256" i="2"/>
  <c r="E8255" i="2"/>
  <c r="D8255" i="2"/>
  <c r="C8255" i="2"/>
  <c r="B8255" i="2"/>
  <c r="A8255" i="2"/>
  <c r="E8254" i="2"/>
  <c r="D8254" i="2"/>
  <c r="C8254" i="2"/>
  <c r="B8254" i="2"/>
  <c r="A8254" i="2"/>
  <c r="E8253" i="2"/>
  <c r="D8253" i="2"/>
  <c r="C8253" i="2"/>
  <c r="B8253" i="2"/>
  <c r="A8253" i="2"/>
  <c r="E8252" i="2"/>
  <c r="D8252" i="2"/>
  <c r="C8252" i="2"/>
  <c r="B8252" i="2"/>
  <c r="A8252" i="2"/>
  <c r="E8251" i="2"/>
  <c r="D8251" i="2"/>
  <c r="C8251" i="2"/>
  <c r="B8251" i="2"/>
  <c r="A8251" i="2"/>
  <c r="E8250" i="2"/>
  <c r="D8250" i="2"/>
  <c r="C8250" i="2"/>
  <c r="B8250" i="2"/>
  <c r="A8250" i="2"/>
  <c r="E8249" i="2"/>
  <c r="D8249" i="2"/>
  <c r="C8249" i="2"/>
  <c r="B8249" i="2"/>
  <c r="A8249" i="2"/>
  <c r="E8248" i="2"/>
  <c r="D8248" i="2"/>
  <c r="C8248" i="2"/>
  <c r="B8248" i="2"/>
  <c r="A8248" i="2"/>
  <c r="E8247" i="2"/>
  <c r="D8247" i="2"/>
  <c r="C8247" i="2"/>
  <c r="B8247" i="2"/>
  <c r="A8247" i="2"/>
  <c r="E8246" i="2"/>
  <c r="D8246" i="2"/>
  <c r="C8246" i="2"/>
  <c r="B8246" i="2"/>
  <c r="A8246" i="2"/>
  <c r="E8245" i="2"/>
  <c r="D8245" i="2"/>
  <c r="C8245" i="2"/>
  <c r="B8245" i="2"/>
  <c r="A8245" i="2"/>
  <c r="E8244" i="2"/>
  <c r="D8244" i="2"/>
  <c r="C8244" i="2"/>
  <c r="B8244" i="2"/>
  <c r="A8244" i="2"/>
  <c r="E8243" i="2"/>
  <c r="D8243" i="2"/>
  <c r="C8243" i="2"/>
  <c r="B8243" i="2"/>
  <c r="A8243" i="2"/>
  <c r="E8242" i="2"/>
  <c r="D8242" i="2"/>
  <c r="C8242" i="2"/>
  <c r="B8242" i="2"/>
  <c r="A8242" i="2"/>
  <c r="E8241" i="2"/>
  <c r="D8241" i="2"/>
  <c r="C8241" i="2"/>
  <c r="B8241" i="2"/>
  <c r="A8241" i="2"/>
  <c r="E8240" i="2"/>
  <c r="D8240" i="2"/>
  <c r="C8240" i="2"/>
  <c r="B8240" i="2"/>
  <c r="A8240" i="2"/>
  <c r="E8239" i="2"/>
  <c r="D8239" i="2"/>
  <c r="C8239" i="2"/>
  <c r="B8239" i="2"/>
  <c r="A8239" i="2"/>
  <c r="E8238" i="2"/>
  <c r="D8238" i="2"/>
  <c r="C8238" i="2"/>
  <c r="B8238" i="2"/>
  <c r="A8238" i="2"/>
  <c r="E8237" i="2"/>
  <c r="D8237" i="2"/>
  <c r="C8237" i="2"/>
  <c r="B8237" i="2"/>
  <c r="A8237" i="2"/>
  <c r="E8236" i="2"/>
  <c r="D8236" i="2"/>
  <c r="C8236" i="2"/>
  <c r="B8236" i="2"/>
  <c r="A8236" i="2"/>
  <c r="E8235" i="2"/>
  <c r="D8235" i="2"/>
  <c r="C8235" i="2"/>
  <c r="B8235" i="2"/>
  <c r="A8235" i="2"/>
  <c r="E8234" i="2"/>
  <c r="D8234" i="2"/>
  <c r="C8234" i="2"/>
  <c r="B8234" i="2"/>
  <c r="A8234" i="2"/>
  <c r="E8233" i="2"/>
  <c r="D8233" i="2"/>
  <c r="C8233" i="2"/>
  <c r="B8233" i="2"/>
  <c r="A8233" i="2"/>
  <c r="E8232" i="2"/>
  <c r="D8232" i="2"/>
  <c r="C8232" i="2"/>
  <c r="B8232" i="2"/>
  <c r="A8232" i="2"/>
  <c r="E8231" i="2"/>
  <c r="D8231" i="2"/>
  <c r="C8231" i="2"/>
  <c r="B8231" i="2"/>
  <c r="A8231" i="2"/>
  <c r="E8230" i="2"/>
  <c r="D8230" i="2"/>
  <c r="C8230" i="2"/>
  <c r="B8230" i="2"/>
  <c r="A8230" i="2"/>
  <c r="E8229" i="2"/>
  <c r="D8229" i="2"/>
  <c r="C8229" i="2"/>
  <c r="B8229" i="2"/>
  <c r="A8229" i="2"/>
  <c r="E8228" i="2"/>
  <c r="D8228" i="2"/>
  <c r="C8228" i="2"/>
  <c r="B8228" i="2"/>
  <c r="A8228" i="2"/>
  <c r="E8227" i="2"/>
  <c r="D8227" i="2"/>
  <c r="C8227" i="2"/>
  <c r="B8227" i="2"/>
  <c r="A8227" i="2"/>
  <c r="E8226" i="2"/>
  <c r="D8226" i="2"/>
  <c r="C8226" i="2"/>
  <c r="B8226" i="2"/>
  <c r="A8226" i="2"/>
  <c r="E8225" i="2"/>
  <c r="D8225" i="2"/>
  <c r="C8225" i="2"/>
  <c r="B8225" i="2"/>
  <c r="A8225" i="2"/>
  <c r="E8224" i="2"/>
  <c r="D8224" i="2"/>
  <c r="C8224" i="2"/>
  <c r="B8224" i="2"/>
  <c r="A8224" i="2"/>
  <c r="E8223" i="2"/>
  <c r="D8223" i="2"/>
  <c r="C8223" i="2"/>
  <c r="B8223" i="2"/>
  <c r="A8223" i="2"/>
  <c r="E8222" i="2"/>
  <c r="D8222" i="2"/>
  <c r="C8222" i="2"/>
  <c r="B8222" i="2"/>
  <c r="A8222" i="2"/>
  <c r="E8221" i="2"/>
  <c r="D8221" i="2"/>
  <c r="C8221" i="2"/>
  <c r="B8221" i="2"/>
  <c r="A8221" i="2"/>
  <c r="E8220" i="2"/>
  <c r="D8220" i="2"/>
  <c r="C8220" i="2"/>
  <c r="B8220" i="2"/>
  <c r="A8220" i="2"/>
  <c r="E8219" i="2"/>
  <c r="D8219" i="2"/>
  <c r="C8219" i="2"/>
  <c r="B8219" i="2"/>
  <c r="A8219" i="2"/>
  <c r="E8218" i="2"/>
  <c r="D8218" i="2"/>
  <c r="C8218" i="2"/>
  <c r="B8218" i="2"/>
  <c r="A8218" i="2"/>
  <c r="E8217" i="2"/>
  <c r="D8217" i="2"/>
  <c r="C8217" i="2"/>
  <c r="B8217" i="2"/>
  <c r="A8217" i="2"/>
  <c r="E8216" i="2"/>
  <c r="D8216" i="2"/>
  <c r="C8216" i="2"/>
  <c r="B8216" i="2"/>
  <c r="A8216" i="2"/>
  <c r="E8215" i="2"/>
  <c r="D8215" i="2"/>
  <c r="C8215" i="2"/>
  <c r="B8215" i="2"/>
  <c r="A8215" i="2"/>
  <c r="E8214" i="2"/>
  <c r="D8214" i="2"/>
  <c r="C8214" i="2"/>
  <c r="B8214" i="2"/>
  <c r="A8214" i="2"/>
  <c r="E8213" i="2"/>
  <c r="D8213" i="2"/>
  <c r="C8213" i="2"/>
  <c r="B8213" i="2"/>
  <c r="A8213" i="2"/>
  <c r="E8212" i="2"/>
  <c r="D8212" i="2"/>
  <c r="C8212" i="2"/>
  <c r="B8212" i="2"/>
  <c r="A8212" i="2"/>
  <c r="E8211" i="2"/>
  <c r="D8211" i="2"/>
  <c r="C8211" i="2"/>
  <c r="B8211" i="2"/>
  <c r="A8211" i="2"/>
  <c r="E8210" i="2"/>
  <c r="D8210" i="2"/>
  <c r="C8210" i="2"/>
  <c r="B8210" i="2"/>
  <c r="A8210" i="2"/>
  <c r="E8209" i="2"/>
  <c r="D8209" i="2"/>
  <c r="C8209" i="2"/>
  <c r="B8209" i="2"/>
  <c r="A8209" i="2"/>
  <c r="E8208" i="2"/>
  <c r="D8208" i="2"/>
  <c r="C8208" i="2"/>
  <c r="B8208" i="2"/>
  <c r="A8208" i="2"/>
  <c r="E8207" i="2"/>
  <c r="D8207" i="2"/>
  <c r="C8207" i="2"/>
  <c r="B8207" i="2"/>
  <c r="A8207" i="2"/>
  <c r="E8206" i="2"/>
  <c r="D8206" i="2"/>
  <c r="C8206" i="2"/>
  <c r="B8206" i="2"/>
  <c r="A8206" i="2"/>
  <c r="E8205" i="2"/>
  <c r="D8205" i="2"/>
  <c r="C8205" i="2"/>
  <c r="B8205" i="2"/>
  <c r="A8205" i="2"/>
  <c r="E8204" i="2"/>
  <c r="D8204" i="2"/>
  <c r="C8204" i="2"/>
  <c r="B8204" i="2"/>
  <c r="A8204" i="2"/>
  <c r="E8203" i="2"/>
  <c r="D8203" i="2"/>
  <c r="C8203" i="2"/>
  <c r="B8203" i="2"/>
  <c r="A8203" i="2"/>
  <c r="E8202" i="2"/>
  <c r="D8202" i="2"/>
  <c r="C8202" i="2"/>
  <c r="B8202" i="2"/>
  <c r="A8202" i="2"/>
  <c r="E8201" i="2"/>
  <c r="D8201" i="2"/>
  <c r="C8201" i="2"/>
  <c r="B8201" i="2"/>
  <c r="A8201" i="2"/>
  <c r="E8200" i="2"/>
  <c r="D8200" i="2"/>
  <c r="C8200" i="2"/>
  <c r="B8200" i="2"/>
  <c r="A8200" i="2"/>
  <c r="E8199" i="2"/>
  <c r="D8199" i="2"/>
  <c r="C8199" i="2"/>
  <c r="B8199" i="2"/>
  <c r="A8199" i="2"/>
  <c r="E8198" i="2"/>
  <c r="D8198" i="2"/>
  <c r="C8198" i="2"/>
  <c r="B8198" i="2"/>
  <c r="A8198" i="2"/>
  <c r="E8197" i="2"/>
  <c r="D8197" i="2"/>
  <c r="C8197" i="2"/>
  <c r="B8197" i="2"/>
  <c r="A8197" i="2"/>
  <c r="E8196" i="2"/>
  <c r="D8196" i="2"/>
  <c r="C8196" i="2"/>
  <c r="B8196" i="2"/>
  <c r="A8196" i="2"/>
  <c r="E8195" i="2"/>
  <c r="D8195" i="2"/>
  <c r="C8195" i="2"/>
  <c r="B8195" i="2"/>
  <c r="A8195" i="2"/>
  <c r="E8194" i="2"/>
  <c r="D8194" i="2"/>
  <c r="C8194" i="2"/>
  <c r="B8194" i="2"/>
  <c r="A8194" i="2"/>
  <c r="E8193" i="2"/>
  <c r="D8193" i="2"/>
  <c r="C8193" i="2"/>
  <c r="B8193" i="2"/>
  <c r="A8193" i="2"/>
  <c r="E8192" i="2"/>
  <c r="D8192" i="2"/>
  <c r="C8192" i="2"/>
  <c r="B8192" i="2"/>
  <c r="A8192" i="2"/>
  <c r="E8191" i="2"/>
  <c r="D8191" i="2"/>
  <c r="C8191" i="2"/>
  <c r="B8191" i="2"/>
  <c r="A8191" i="2"/>
  <c r="E8190" i="2"/>
  <c r="D8190" i="2"/>
  <c r="C8190" i="2"/>
  <c r="B8190" i="2"/>
  <c r="A8190" i="2"/>
  <c r="E8189" i="2"/>
  <c r="D8189" i="2"/>
  <c r="C8189" i="2"/>
  <c r="B8189" i="2"/>
  <c r="A8189" i="2"/>
  <c r="E8188" i="2"/>
  <c r="D8188" i="2"/>
  <c r="C8188" i="2"/>
  <c r="B8188" i="2"/>
  <c r="A8188" i="2"/>
  <c r="E8187" i="2"/>
  <c r="D8187" i="2"/>
  <c r="C8187" i="2"/>
  <c r="B8187" i="2"/>
  <c r="A8187" i="2"/>
  <c r="E8186" i="2"/>
  <c r="D8186" i="2"/>
  <c r="C8186" i="2"/>
  <c r="B8186" i="2"/>
  <c r="A8186" i="2"/>
  <c r="E8185" i="2"/>
  <c r="D8185" i="2"/>
  <c r="C8185" i="2"/>
  <c r="B8185" i="2"/>
  <c r="A8185" i="2"/>
  <c r="E8184" i="2"/>
  <c r="D8184" i="2"/>
  <c r="C8184" i="2"/>
  <c r="B8184" i="2"/>
  <c r="A8184" i="2"/>
  <c r="E8183" i="2"/>
  <c r="D8183" i="2"/>
  <c r="C8183" i="2"/>
  <c r="B8183" i="2"/>
  <c r="A8183" i="2"/>
  <c r="E8182" i="2"/>
  <c r="D8182" i="2"/>
  <c r="C8182" i="2"/>
  <c r="B8182" i="2"/>
  <c r="A8182" i="2"/>
  <c r="E8181" i="2"/>
  <c r="D8181" i="2"/>
  <c r="C8181" i="2"/>
  <c r="B8181" i="2"/>
  <c r="A8181" i="2"/>
  <c r="E8180" i="2"/>
  <c r="D8180" i="2"/>
  <c r="C8180" i="2"/>
  <c r="B8180" i="2"/>
  <c r="A8180" i="2"/>
  <c r="E8179" i="2"/>
  <c r="D8179" i="2"/>
  <c r="C8179" i="2"/>
  <c r="B8179" i="2"/>
  <c r="A8179" i="2"/>
  <c r="E8178" i="2"/>
  <c r="D8178" i="2"/>
  <c r="C8178" i="2"/>
  <c r="B8178" i="2"/>
  <c r="A8178" i="2"/>
  <c r="E8177" i="2"/>
  <c r="D8177" i="2"/>
  <c r="C8177" i="2"/>
  <c r="B8177" i="2"/>
  <c r="A8177" i="2"/>
  <c r="E8176" i="2"/>
  <c r="D8176" i="2"/>
  <c r="C8176" i="2"/>
  <c r="B8176" i="2"/>
  <c r="A8176" i="2"/>
  <c r="E8175" i="2"/>
  <c r="D8175" i="2"/>
  <c r="C8175" i="2"/>
  <c r="B8175" i="2"/>
  <c r="A8175" i="2"/>
  <c r="E8174" i="2"/>
  <c r="D8174" i="2"/>
  <c r="C8174" i="2"/>
  <c r="B8174" i="2"/>
  <c r="A8174" i="2"/>
  <c r="E8173" i="2"/>
  <c r="D8173" i="2"/>
  <c r="C8173" i="2"/>
  <c r="B8173" i="2"/>
  <c r="A8173" i="2"/>
  <c r="E8172" i="2"/>
  <c r="D8172" i="2"/>
  <c r="C8172" i="2"/>
  <c r="B8172" i="2"/>
  <c r="A8172" i="2"/>
  <c r="E8171" i="2"/>
  <c r="D8171" i="2"/>
  <c r="C8171" i="2"/>
  <c r="B8171" i="2"/>
  <c r="A8171" i="2"/>
  <c r="E8170" i="2"/>
  <c r="D8170" i="2"/>
  <c r="C8170" i="2"/>
  <c r="B8170" i="2"/>
  <c r="A8170" i="2"/>
  <c r="E8169" i="2"/>
  <c r="D8169" i="2"/>
  <c r="C8169" i="2"/>
  <c r="B8169" i="2"/>
  <c r="A8169" i="2"/>
  <c r="E8168" i="2"/>
  <c r="D8168" i="2"/>
  <c r="C8168" i="2"/>
  <c r="B8168" i="2"/>
  <c r="A8168" i="2"/>
  <c r="E8167" i="2"/>
  <c r="D8167" i="2"/>
  <c r="C8167" i="2"/>
  <c r="B8167" i="2"/>
  <c r="A8167" i="2"/>
  <c r="E8166" i="2"/>
  <c r="D8166" i="2"/>
  <c r="C8166" i="2"/>
  <c r="B8166" i="2"/>
  <c r="A8166" i="2"/>
  <c r="E8165" i="2"/>
  <c r="D8165" i="2"/>
  <c r="C8165" i="2"/>
  <c r="B8165" i="2"/>
  <c r="A8165" i="2"/>
  <c r="E8164" i="2"/>
  <c r="D8164" i="2"/>
  <c r="C8164" i="2"/>
  <c r="B8164" i="2"/>
  <c r="A8164" i="2"/>
  <c r="E8163" i="2"/>
  <c r="D8163" i="2"/>
  <c r="C8163" i="2"/>
  <c r="B8163" i="2"/>
  <c r="A8163" i="2"/>
  <c r="E8162" i="2"/>
  <c r="D8162" i="2"/>
  <c r="C8162" i="2"/>
  <c r="B8162" i="2"/>
  <c r="A8162" i="2"/>
  <c r="E8161" i="2"/>
  <c r="D8161" i="2"/>
  <c r="C8161" i="2"/>
  <c r="B8161" i="2"/>
  <c r="A8161" i="2"/>
  <c r="E8160" i="2"/>
  <c r="D8160" i="2"/>
  <c r="C8160" i="2"/>
  <c r="B8160" i="2"/>
  <c r="A8160" i="2"/>
  <c r="E8159" i="2"/>
  <c r="D8159" i="2"/>
  <c r="C8159" i="2"/>
  <c r="B8159" i="2"/>
  <c r="A8159" i="2"/>
  <c r="E8158" i="2"/>
  <c r="D8158" i="2"/>
  <c r="C8158" i="2"/>
  <c r="B8158" i="2"/>
  <c r="A8158" i="2"/>
  <c r="E8157" i="2"/>
  <c r="D8157" i="2"/>
  <c r="C8157" i="2"/>
  <c r="B8157" i="2"/>
  <c r="A8157" i="2"/>
  <c r="E8156" i="2"/>
  <c r="D8156" i="2"/>
  <c r="C8156" i="2"/>
  <c r="B8156" i="2"/>
  <c r="A8156" i="2"/>
  <c r="E8155" i="2"/>
  <c r="D8155" i="2"/>
  <c r="C8155" i="2"/>
  <c r="B8155" i="2"/>
  <c r="A8155" i="2"/>
  <c r="E8154" i="2"/>
  <c r="D8154" i="2"/>
  <c r="C8154" i="2"/>
  <c r="B8154" i="2"/>
  <c r="A8154" i="2"/>
  <c r="E8153" i="2"/>
  <c r="D8153" i="2"/>
  <c r="C8153" i="2"/>
  <c r="B8153" i="2"/>
  <c r="A8153" i="2"/>
  <c r="E8152" i="2"/>
  <c r="D8152" i="2"/>
  <c r="C8152" i="2"/>
  <c r="B8152" i="2"/>
  <c r="A8152" i="2"/>
  <c r="E8151" i="2"/>
  <c r="D8151" i="2"/>
  <c r="C8151" i="2"/>
  <c r="B8151" i="2"/>
  <c r="A8151" i="2"/>
  <c r="E8150" i="2"/>
  <c r="D8150" i="2"/>
  <c r="C8150" i="2"/>
  <c r="B8150" i="2"/>
  <c r="A8150" i="2"/>
  <c r="E8149" i="2"/>
  <c r="D8149" i="2"/>
  <c r="C8149" i="2"/>
  <c r="B8149" i="2"/>
  <c r="A8149" i="2"/>
  <c r="E8148" i="2"/>
  <c r="D8148" i="2"/>
  <c r="C8148" i="2"/>
  <c r="B8148" i="2"/>
  <c r="A8148" i="2"/>
  <c r="E8147" i="2"/>
  <c r="D8147" i="2"/>
  <c r="C8147" i="2"/>
  <c r="B8147" i="2"/>
  <c r="A8147" i="2"/>
  <c r="E8146" i="2"/>
  <c r="D8146" i="2"/>
  <c r="C8146" i="2"/>
  <c r="B8146" i="2"/>
  <c r="A8146" i="2"/>
  <c r="E8145" i="2"/>
  <c r="D8145" i="2"/>
  <c r="C8145" i="2"/>
  <c r="B8145" i="2"/>
  <c r="A8145" i="2"/>
  <c r="E8144" i="2"/>
  <c r="D8144" i="2"/>
  <c r="C8144" i="2"/>
  <c r="B8144" i="2"/>
  <c r="A8144" i="2"/>
  <c r="E8143" i="2"/>
  <c r="D8143" i="2"/>
  <c r="C8143" i="2"/>
  <c r="B8143" i="2"/>
  <c r="A8143" i="2"/>
  <c r="E8142" i="2"/>
  <c r="D8142" i="2"/>
  <c r="C8142" i="2"/>
  <c r="B8142" i="2"/>
  <c r="A8142" i="2"/>
  <c r="E8141" i="2"/>
  <c r="D8141" i="2"/>
  <c r="C8141" i="2"/>
  <c r="B8141" i="2"/>
  <c r="A8141" i="2"/>
  <c r="E8140" i="2"/>
  <c r="D8140" i="2"/>
  <c r="C8140" i="2"/>
  <c r="B8140" i="2"/>
  <c r="A8140" i="2"/>
  <c r="E8139" i="2"/>
  <c r="D8139" i="2"/>
  <c r="C8139" i="2"/>
  <c r="B8139" i="2"/>
  <c r="A8139" i="2"/>
  <c r="E8138" i="2"/>
  <c r="D8138" i="2"/>
  <c r="C8138" i="2"/>
  <c r="B8138" i="2"/>
  <c r="A8138" i="2"/>
  <c r="E8137" i="2"/>
  <c r="D8137" i="2"/>
  <c r="C8137" i="2"/>
  <c r="B8137" i="2"/>
  <c r="A8137" i="2"/>
  <c r="E8136" i="2"/>
  <c r="D8136" i="2"/>
  <c r="C8136" i="2"/>
  <c r="B8136" i="2"/>
  <c r="A8136" i="2"/>
  <c r="E8135" i="2"/>
  <c r="D8135" i="2"/>
  <c r="C8135" i="2"/>
  <c r="B8135" i="2"/>
  <c r="A8135" i="2"/>
  <c r="E8134" i="2"/>
  <c r="D8134" i="2"/>
  <c r="C8134" i="2"/>
  <c r="B8134" i="2"/>
  <c r="A8134" i="2"/>
  <c r="E8133" i="2"/>
  <c r="D8133" i="2"/>
  <c r="C8133" i="2"/>
  <c r="B8133" i="2"/>
  <c r="A8133" i="2"/>
  <c r="E8132" i="2"/>
  <c r="D8132" i="2"/>
  <c r="C8132" i="2"/>
  <c r="B8132" i="2"/>
  <c r="A8132" i="2"/>
  <c r="E8131" i="2"/>
  <c r="D8131" i="2"/>
  <c r="C8131" i="2"/>
  <c r="B8131" i="2"/>
  <c r="A8131" i="2"/>
  <c r="E8130" i="2"/>
  <c r="D8130" i="2"/>
  <c r="C8130" i="2"/>
  <c r="B8130" i="2"/>
  <c r="A8130" i="2"/>
  <c r="E8129" i="2"/>
  <c r="D8129" i="2"/>
  <c r="C8129" i="2"/>
  <c r="B8129" i="2"/>
  <c r="A8129" i="2"/>
  <c r="E8128" i="2"/>
  <c r="D8128" i="2"/>
  <c r="C8128" i="2"/>
  <c r="B8128" i="2"/>
  <c r="A8128" i="2"/>
  <c r="E8127" i="2"/>
  <c r="D8127" i="2"/>
  <c r="C8127" i="2"/>
  <c r="B8127" i="2"/>
  <c r="A8127" i="2"/>
  <c r="E8126" i="2"/>
  <c r="D8126" i="2"/>
  <c r="C8126" i="2"/>
  <c r="B8126" i="2"/>
  <c r="A8126" i="2"/>
  <c r="E8125" i="2"/>
  <c r="D8125" i="2"/>
  <c r="C8125" i="2"/>
  <c r="B8125" i="2"/>
  <c r="A8125" i="2"/>
  <c r="E8124" i="2"/>
  <c r="D8124" i="2"/>
  <c r="C8124" i="2"/>
  <c r="B8124" i="2"/>
  <c r="A8124" i="2"/>
  <c r="E8123" i="2"/>
  <c r="D8123" i="2"/>
  <c r="C8123" i="2"/>
  <c r="B8123" i="2"/>
  <c r="A8123" i="2"/>
  <c r="E8122" i="2"/>
  <c r="D8122" i="2"/>
  <c r="C8122" i="2"/>
  <c r="B8122" i="2"/>
  <c r="A8122" i="2"/>
  <c r="E8121" i="2"/>
  <c r="D8121" i="2"/>
  <c r="C8121" i="2"/>
  <c r="B8121" i="2"/>
  <c r="A8121" i="2"/>
  <c r="E8120" i="2"/>
  <c r="D8120" i="2"/>
  <c r="C8120" i="2"/>
  <c r="B8120" i="2"/>
  <c r="A8120" i="2"/>
  <c r="E8119" i="2"/>
  <c r="D8119" i="2"/>
  <c r="C8119" i="2"/>
  <c r="B8119" i="2"/>
  <c r="A8119" i="2"/>
  <c r="E8118" i="2"/>
  <c r="D8118" i="2"/>
  <c r="C8118" i="2"/>
  <c r="B8118" i="2"/>
  <c r="A8118" i="2"/>
  <c r="E8117" i="2"/>
  <c r="D8117" i="2"/>
  <c r="C8117" i="2"/>
  <c r="B8117" i="2"/>
  <c r="A8117" i="2"/>
  <c r="E8116" i="2"/>
  <c r="D8116" i="2"/>
  <c r="C8116" i="2"/>
  <c r="B8116" i="2"/>
  <c r="A8116" i="2"/>
  <c r="E8115" i="2"/>
  <c r="D8115" i="2"/>
  <c r="C8115" i="2"/>
  <c r="B8115" i="2"/>
  <c r="A8115" i="2"/>
  <c r="E8114" i="2"/>
  <c r="D8114" i="2"/>
  <c r="C8114" i="2"/>
  <c r="B8114" i="2"/>
  <c r="A8114" i="2"/>
  <c r="E8113" i="2"/>
  <c r="D8113" i="2"/>
  <c r="C8113" i="2"/>
  <c r="B8113" i="2"/>
  <c r="A8113" i="2"/>
  <c r="E8112" i="2"/>
  <c r="D8112" i="2"/>
  <c r="C8112" i="2"/>
  <c r="B8112" i="2"/>
  <c r="A8112" i="2"/>
  <c r="E8111" i="2"/>
  <c r="D8111" i="2"/>
  <c r="C8111" i="2"/>
  <c r="B8111" i="2"/>
  <c r="A8111" i="2"/>
  <c r="E8110" i="2"/>
  <c r="D8110" i="2"/>
  <c r="C8110" i="2"/>
  <c r="B8110" i="2"/>
  <c r="A8110" i="2"/>
  <c r="E8109" i="2"/>
  <c r="D8109" i="2"/>
  <c r="C8109" i="2"/>
  <c r="B8109" i="2"/>
  <c r="A8109" i="2"/>
  <c r="E8108" i="2"/>
  <c r="D8108" i="2"/>
  <c r="C8108" i="2"/>
  <c r="B8108" i="2"/>
  <c r="A8108" i="2"/>
  <c r="E8107" i="2"/>
  <c r="D8107" i="2"/>
  <c r="C8107" i="2"/>
  <c r="B8107" i="2"/>
  <c r="A8107" i="2"/>
  <c r="E8106" i="2"/>
  <c r="D8106" i="2"/>
  <c r="C8106" i="2"/>
  <c r="B8106" i="2"/>
  <c r="A8106" i="2"/>
  <c r="E8105" i="2"/>
  <c r="D8105" i="2"/>
  <c r="C8105" i="2"/>
  <c r="B8105" i="2"/>
  <c r="A8105" i="2"/>
  <c r="E8104" i="2"/>
  <c r="D8104" i="2"/>
  <c r="C8104" i="2"/>
  <c r="B8104" i="2"/>
  <c r="A8104" i="2"/>
  <c r="E8103" i="2"/>
  <c r="D8103" i="2"/>
  <c r="C8103" i="2"/>
  <c r="B8103" i="2"/>
  <c r="A8103" i="2"/>
  <c r="E8102" i="2"/>
  <c r="D8102" i="2"/>
  <c r="C8102" i="2"/>
  <c r="B8102" i="2"/>
  <c r="A8102" i="2"/>
  <c r="E8101" i="2"/>
  <c r="D8101" i="2"/>
  <c r="C8101" i="2"/>
  <c r="B8101" i="2"/>
  <c r="A8101" i="2"/>
  <c r="E8100" i="2"/>
  <c r="D8100" i="2"/>
  <c r="C8100" i="2"/>
  <c r="B8100" i="2"/>
  <c r="A8100" i="2"/>
  <c r="E8099" i="2"/>
  <c r="D8099" i="2"/>
  <c r="C8099" i="2"/>
  <c r="B8099" i="2"/>
  <c r="A8099" i="2"/>
  <c r="E8098" i="2"/>
  <c r="D8098" i="2"/>
  <c r="C8098" i="2"/>
  <c r="B8098" i="2"/>
  <c r="A8098" i="2"/>
  <c r="E8097" i="2"/>
  <c r="D8097" i="2"/>
  <c r="C8097" i="2"/>
  <c r="B8097" i="2"/>
  <c r="A8097" i="2"/>
  <c r="E8096" i="2"/>
  <c r="D8096" i="2"/>
  <c r="C8096" i="2"/>
  <c r="B8096" i="2"/>
  <c r="A8096" i="2"/>
  <c r="E8095" i="2"/>
  <c r="D8095" i="2"/>
  <c r="C8095" i="2"/>
  <c r="B8095" i="2"/>
  <c r="A8095" i="2"/>
  <c r="E8094" i="2"/>
  <c r="D8094" i="2"/>
  <c r="C8094" i="2"/>
  <c r="B8094" i="2"/>
  <c r="A8094" i="2"/>
  <c r="E8093" i="2"/>
  <c r="D8093" i="2"/>
  <c r="C8093" i="2"/>
  <c r="B8093" i="2"/>
  <c r="A8093" i="2"/>
  <c r="E8092" i="2"/>
  <c r="D8092" i="2"/>
  <c r="C8092" i="2"/>
  <c r="B8092" i="2"/>
  <c r="A8092" i="2"/>
  <c r="E8091" i="2"/>
  <c r="D8091" i="2"/>
  <c r="C8091" i="2"/>
  <c r="B8091" i="2"/>
  <c r="A8091" i="2"/>
  <c r="E8090" i="2"/>
  <c r="D8090" i="2"/>
  <c r="C8090" i="2"/>
  <c r="B8090" i="2"/>
  <c r="A8090" i="2"/>
  <c r="E8089" i="2"/>
  <c r="D8089" i="2"/>
  <c r="C8089" i="2"/>
  <c r="B8089" i="2"/>
  <c r="A8089" i="2"/>
  <c r="E8088" i="2"/>
  <c r="D8088" i="2"/>
  <c r="C8088" i="2"/>
  <c r="B8088" i="2"/>
  <c r="A8088" i="2"/>
  <c r="E8087" i="2"/>
  <c r="D8087" i="2"/>
  <c r="C8087" i="2"/>
  <c r="B8087" i="2"/>
  <c r="A8087" i="2"/>
  <c r="E8086" i="2"/>
  <c r="D8086" i="2"/>
  <c r="C8086" i="2"/>
  <c r="B8086" i="2"/>
  <c r="A8086" i="2"/>
  <c r="E8085" i="2"/>
  <c r="D8085" i="2"/>
  <c r="C8085" i="2"/>
  <c r="B8085" i="2"/>
  <c r="A8085" i="2"/>
  <c r="E8084" i="2"/>
  <c r="D8084" i="2"/>
  <c r="C8084" i="2"/>
  <c r="B8084" i="2"/>
  <c r="A8084" i="2"/>
  <c r="E8083" i="2"/>
  <c r="D8083" i="2"/>
  <c r="C8083" i="2"/>
  <c r="B8083" i="2"/>
  <c r="A8083" i="2"/>
  <c r="E8082" i="2"/>
  <c r="D8082" i="2"/>
  <c r="C8082" i="2"/>
  <c r="B8082" i="2"/>
  <c r="A8082" i="2"/>
  <c r="E8081" i="2"/>
  <c r="D8081" i="2"/>
  <c r="C8081" i="2"/>
  <c r="B8081" i="2"/>
  <c r="A8081" i="2"/>
  <c r="E8080" i="2"/>
  <c r="D8080" i="2"/>
  <c r="C8080" i="2"/>
  <c r="B8080" i="2"/>
  <c r="A8080" i="2"/>
  <c r="E8079" i="2"/>
  <c r="D8079" i="2"/>
  <c r="C8079" i="2"/>
  <c r="B8079" i="2"/>
  <c r="A8079" i="2"/>
  <c r="E8078" i="2"/>
  <c r="D8078" i="2"/>
  <c r="C8078" i="2"/>
  <c r="B8078" i="2"/>
  <c r="A8078" i="2"/>
  <c r="E8077" i="2"/>
  <c r="D8077" i="2"/>
  <c r="C8077" i="2"/>
  <c r="B8077" i="2"/>
  <c r="A8077" i="2"/>
  <c r="E8076" i="2"/>
  <c r="D8076" i="2"/>
  <c r="C8076" i="2"/>
  <c r="B8076" i="2"/>
  <c r="A8076" i="2"/>
  <c r="E8075" i="2"/>
  <c r="D8075" i="2"/>
  <c r="C8075" i="2"/>
  <c r="B8075" i="2"/>
  <c r="A8075" i="2"/>
  <c r="E8074" i="2"/>
  <c r="D8074" i="2"/>
  <c r="C8074" i="2"/>
  <c r="B8074" i="2"/>
  <c r="A8074" i="2"/>
  <c r="E8073" i="2"/>
  <c r="D8073" i="2"/>
  <c r="C8073" i="2"/>
  <c r="B8073" i="2"/>
  <c r="A8073" i="2"/>
  <c r="E8072" i="2"/>
  <c r="D8072" i="2"/>
  <c r="C8072" i="2"/>
  <c r="B8072" i="2"/>
  <c r="A8072" i="2"/>
  <c r="E8071" i="2"/>
  <c r="D8071" i="2"/>
  <c r="C8071" i="2"/>
  <c r="B8071" i="2"/>
  <c r="A8071" i="2"/>
  <c r="E8070" i="2"/>
  <c r="D8070" i="2"/>
  <c r="C8070" i="2"/>
  <c r="B8070" i="2"/>
  <c r="A8070" i="2"/>
  <c r="E8069" i="2"/>
  <c r="D8069" i="2"/>
  <c r="C8069" i="2"/>
  <c r="B8069" i="2"/>
  <c r="A8069" i="2"/>
  <c r="E8068" i="2"/>
  <c r="D8068" i="2"/>
  <c r="C8068" i="2"/>
  <c r="B8068" i="2"/>
  <c r="A8068" i="2"/>
  <c r="E8067" i="2"/>
  <c r="D8067" i="2"/>
  <c r="C8067" i="2"/>
  <c r="B8067" i="2"/>
  <c r="A8067" i="2"/>
  <c r="E8066" i="2"/>
  <c r="D8066" i="2"/>
  <c r="C8066" i="2"/>
  <c r="B8066" i="2"/>
  <c r="A8066" i="2"/>
  <c r="E8065" i="2"/>
  <c r="D8065" i="2"/>
  <c r="C8065" i="2"/>
  <c r="B8065" i="2"/>
  <c r="A8065" i="2"/>
  <c r="E8064" i="2"/>
  <c r="D8064" i="2"/>
  <c r="C8064" i="2"/>
  <c r="B8064" i="2"/>
  <c r="A8064" i="2"/>
  <c r="E8063" i="2"/>
  <c r="D8063" i="2"/>
  <c r="C8063" i="2"/>
  <c r="B8063" i="2"/>
  <c r="A8063" i="2"/>
  <c r="E8062" i="2"/>
  <c r="D8062" i="2"/>
  <c r="C8062" i="2"/>
  <c r="B8062" i="2"/>
  <c r="A8062" i="2"/>
  <c r="E8061" i="2"/>
  <c r="D8061" i="2"/>
  <c r="C8061" i="2"/>
  <c r="B8061" i="2"/>
  <c r="A8061" i="2"/>
  <c r="E8060" i="2"/>
  <c r="D8060" i="2"/>
  <c r="C8060" i="2"/>
  <c r="B8060" i="2"/>
  <c r="A8060" i="2"/>
  <c r="E8059" i="2"/>
  <c r="D8059" i="2"/>
  <c r="C8059" i="2"/>
  <c r="B8059" i="2"/>
  <c r="A8059" i="2"/>
  <c r="E8058" i="2"/>
  <c r="D8058" i="2"/>
  <c r="C8058" i="2"/>
  <c r="B8058" i="2"/>
  <c r="A8058" i="2"/>
  <c r="E8057" i="2"/>
  <c r="D8057" i="2"/>
  <c r="C8057" i="2"/>
  <c r="B8057" i="2"/>
  <c r="A8057" i="2"/>
  <c r="E8056" i="2"/>
  <c r="D8056" i="2"/>
  <c r="C8056" i="2"/>
  <c r="B8056" i="2"/>
  <c r="A8056" i="2"/>
  <c r="E8055" i="2"/>
  <c r="D8055" i="2"/>
  <c r="C8055" i="2"/>
  <c r="B8055" i="2"/>
  <c r="A8055" i="2"/>
  <c r="E8054" i="2"/>
  <c r="D8054" i="2"/>
  <c r="C8054" i="2"/>
  <c r="B8054" i="2"/>
  <c r="A8054" i="2"/>
  <c r="E8053" i="2"/>
  <c r="D8053" i="2"/>
  <c r="C8053" i="2"/>
  <c r="B8053" i="2"/>
  <c r="A8053" i="2"/>
  <c r="E8052" i="2"/>
  <c r="D8052" i="2"/>
  <c r="C8052" i="2"/>
  <c r="B8052" i="2"/>
  <c r="A8052" i="2"/>
  <c r="E8051" i="2"/>
  <c r="D8051" i="2"/>
  <c r="C8051" i="2"/>
  <c r="B8051" i="2"/>
  <c r="A8051" i="2"/>
  <c r="E8050" i="2"/>
  <c r="D8050" i="2"/>
  <c r="C8050" i="2"/>
  <c r="B8050" i="2"/>
  <c r="A8050" i="2"/>
  <c r="E8049" i="2"/>
  <c r="D8049" i="2"/>
  <c r="C8049" i="2"/>
  <c r="B8049" i="2"/>
  <c r="A8049" i="2"/>
  <c r="E8048" i="2"/>
  <c r="D8048" i="2"/>
  <c r="C8048" i="2"/>
  <c r="B8048" i="2"/>
  <c r="A8048" i="2"/>
  <c r="E8047" i="2"/>
  <c r="D8047" i="2"/>
  <c r="C8047" i="2"/>
  <c r="B8047" i="2"/>
  <c r="A8047" i="2"/>
  <c r="E8046" i="2"/>
  <c r="D8046" i="2"/>
  <c r="C8046" i="2"/>
  <c r="B8046" i="2"/>
  <c r="A8046" i="2"/>
  <c r="E8045" i="2"/>
  <c r="D8045" i="2"/>
  <c r="C8045" i="2"/>
  <c r="B8045" i="2"/>
  <c r="A8045" i="2"/>
  <c r="E8044" i="2"/>
  <c r="D8044" i="2"/>
  <c r="C8044" i="2"/>
  <c r="B8044" i="2"/>
  <c r="A8044" i="2"/>
  <c r="E8043" i="2"/>
  <c r="D8043" i="2"/>
  <c r="C8043" i="2"/>
  <c r="B8043" i="2"/>
  <c r="A8043" i="2"/>
  <c r="E8042" i="2"/>
  <c r="D8042" i="2"/>
  <c r="C8042" i="2"/>
  <c r="B8042" i="2"/>
  <c r="A8042" i="2"/>
  <c r="E8041" i="2"/>
  <c r="D8041" i="2"/>
  <c r="C8041" i="2"/>
  <c r="B8041" i="2"/>
  <c r="A8041" i="2"/>
  <c r="E8040" i="2"/>
  <c r="D8040" i="2"/>
  <c r="C8040" i="2"/>
  <c r="B8040" i="2"/>
  <c r="A8040" i="2"/>
  <c r="E8039" i="2"/>
  <c r="D8039" i="2"/>
  <c r="C8039" i="2"/>
  <c r="B8039" i="2"/>
  <c r="A8039" i="2"/>
  <c r="E8038" i="2"/>
  <c r="D8038" i="2"/>
  <c r="C8038" i="2"/>
  <c r="B8038" i="2"/>
  <c r="A8038" i="2"/>
  <c r="E8037" i="2"/>
  <c r="D8037" i="2"/>
  <c r="C8037" i="2"/>
  <c r="B8037" i="2"/>
  <c r="A8037" i="2"/>
  <c r="E8036" i="2"/>
  <c r="D8036" i="2"/>
  <c r="C8036" i="2"/>
  <c r="B8036" i="2"/>
  <c r="A8036" i="2"/>
  <c r="E8035" i="2"/>
  <c r="D8035" i="2"/>
  <c r="C8035" i="2"/>
  <c r="B8035" i="2"/>
  <c r="A8035" i="2"/>
  <c r="E8034" i="2"/>
  <c r="D8034" i="2"/>
  <c r="C8034" i="2"/>
  <c r="B8034" i="2"/>
  <c r="A8034" i="2"/>
  <c r="E8033" i="2"/>
  <c r="D8033" i="2"/>
  <c r="C8033" i="2"/>
  <c r="B8033" i="2"/>
  <c r="A8033" i="2"/>
  <c r="E8032" i="2"/>
  <c r="D8032" i="2"/>
  <c r="C8032" i="2"/>
  <c r="B8032" i="2"/>
  <c r="A8032" i="2"/>
  <c r="E8031" i="2"/>
  <c r="D8031" i="2"/>
  <c r="C8031" i="2"/>
  <c r="B8031" i="2"/>
  <c r="A8031" i="2"/>
  <c r="E8030" i="2"/>
  <c r="D8030" i="2"/>
  <c r="C8030" i="2"/>
  <c r="B8030" i="2"/>
  <c r="A8030" i="2"/>
  <c r="E8029" i="2"/>
  <c r="D8029" i="2"/>
  <c r="C8029" i="2"/>
  <c r="B8029" i="2"/>
  <c r="A8029" i="2"/>
  <c r="E8028" i="2"/>
  <c r="D8028" i="2"/>
  <c r="C8028" i="2"/>
  <c r="B8028" i="2"/>
  <c r="A8028" i="2"/>
  <c r="E8027" i="2"/>
  <c r="D8027" i="2"/>
  <c r="C8027" i="2"/>
  <c r="B8027" i="2"/>
  <c r="A8027" i="2"/>
  <c r="E8026" i="2"/>
  <c r="D8026" i="2"/>
  <c r="C8026" i="2"/>
  <c r="B8026" i="2"/>
  <c r="A8026" i="2"/>
  <c r="E8025" i="2"/>
  <c r="D8025" i="2"/>
  <c r="C8025" i="2"/>
  <c r="B8025" i="2"/>
  <c r="A8025" i="2"/>
  <c r="E8024" i="2"/>
  <c r="D8024" i="2"/>
  <c r="C8024" i="2"/>
  <c r="B8024" i="2"/>
  <c r="A8024" i="2"/>
  <c r="E8023" i="2"/>
  <c r="D8023" i="2"/>
  <c r="C8023" i="2"/>
  <c r="B8023" i="2"/>
  <c r="A8023" i="2"/>
  <c r="E8022" i="2"/>
  <c r="D8022" i="2"/>
  <c r="C8022" i="2"/>
  <c r="B8022" i="2"/>
  <c r="A8022" i="2"/>
  <c r="E8021" i="2"/>
  <c r="D8021" i="2"/>
  <c r="C8021" i="2"/>
  <c r="B8021" i="2"/>
  <c r="A8021" i="2"/>
  <c r="E8020" i="2"/>
  <c r="D8020" i="2"/>
  <c r="C8020" i="2"/>
  <c r="B8020" i="2"/>
  <c r="A8020" i="2"/>
  <c r="E8019" i="2"/>
  <c r="D8019" i="2"/>
  <c r="C8019" i="2"/>
  <c r="B8019" i="2"/>
  <c r="A8019" i="2"/>
  <c r="E8018" i="2"/>
  <c r="D8018" i="2"/>
  <c r="C8018" i="2"/>
  <c r="B8018" i="2"/>
  <c r="A8018" i="2"/>
  <c r="E8017" i="2"/>
  <c r="D8017" i="2"/>
  <c r="C8017" i="2"/>
  <c r="B8017" i="2"/>
  <c r="A8017" i="2"/>
  <c r="E8016" i="2"/>
  <c r="D8016" i="2"/>
  <c r="C8016" i="2"/>
  <c r="B8016" i="2"/>
  <c r="A8016" i="2"/>
  <c r="E8015" i="2"/>
  <c r="D8015" i="2"/>
  <c r="C8015" i="2"/>
  <c r="B8015" i="2"/>
  <c r="A8015" i="2"/>
  <c r="E8014" i="2"/>
  <c r="D8014" i="2"/>
  <c r="C8014" i="2"/>
  <c r="B8014" i="2"/>
  <c r="A8014" i="2"/>
  <c r="E8013" i="2"/>
  <c r="D8013" i="2"/>
  <c r="C8013" i="2"/>
  <c r="B8013" i="2"/>
  <c r="A8013" i="2"/>
  <c r="E8012" i="2"/>
  <c r="D8012" i="2"/>
  <c r="C8012" i="2"/>
  <c r="B8012" i="2"/>
  <c r="A8012" i="2"/>
  <c r="E8011" i="2"/>
  <c r="D8011" i="2"/>
  <c r="C8011" i="2"/>
  <c r="B8011" i="2"/>
  <c r="A8011" i="2"/>
  <c r="E8010" i="2"/>
  <c r="D8010" i="2"/>
  <c r="C8010" i="2"/>
  <c r="B8010" i="2"/>
  <c r="A8010" i="2"/>
  <c r="E8009" i="2"/>
  <c r="D8009" i="2"/>
  <c r="C8009" i="2"/>
  <c r="B8009" i="2"/>
  <c r="A8009" i="2"/>
  <c r="E8008" i="2"/>
  <c r="D8008" i="2"/>
  <c r="C8008" i="2"/>
  <c r="B8008" i="2"/>
  <c r="A8008" i="2"/>
  <c r="E8007" i="2"/>
  <c r="D8007" i="2"/>
  <c r="C8007" i="2"/>
  <c r="B8007" i="2"/>
  <c r="A8007" i="2"/>
  <c r="E8006" i="2"/>
  <c r="D8006" i="2"/>
  <c r="C8006" i="2"/>
  <c r="B8006" i="2"/>
  <c r="A8006" i="2"/>
  <c r="E8005" i="2"/>
  <c r="D8005" i="2"/>
  <c r="C8005" i="2"/>
  <c r="B8005" i="2"/>
  <c r="A8005" i="2"/>
  <c r="E8004" i="2"/>
  <c r="D8004" i="2"/>
  <c r="C8004" i="2"/>
  <c r="B8004" i="2"/>
  <c r="A8004" i="2"/>
  <c r="E8003" i="2"/>
  <c r="D8003" i="2"/>
  <c r="C8003" i="2"/>
  <c r="B8003" i="2"/>
  <c r="A8003" i="2"/>
  <c r="E8002" i="2"/>
  <c r="D8002" i="2"/>
  <c r="C8002" i="2"/>
  <c r="B8002" i="2"/>
  <c r="A8002" i="2"/>
  <c r="E8001" i="2"/>
  <c r="D8001" i="2"/>
  <c r="C8001" i="2"/>
  <c r="B8001" i="2"/>
  <c r="A8001" i="2"/>
  <c r="E8000" i="2"/>
  <c r="D8000" i="2"/>
  <c r="C8000" i="2"/>
  <c r="B8000" i="2"/>
  <c r="A8000" i="2"/>
  <c r="E7999" i="2"/>
  <c r="D7999" i="2"/>
  <c r="C7999" i="2"/>
  <c r="B7999" i="2"/>
  <c r="A7999" i="2"/>
  <c r="E7998" i="2"/>
  <c r="D7998" i="2"/>
  <c r="C7998" i="2"/>
  <c r="B7998" i="2"/>
  <c r="A7998" i="2"/>
  <c r="E7997" i="2"/>
  <c r="D7997" i="2"/>
  <c r="C7997" i="2"/>
  <c r="B7997" i="2"/>
  <c r="A7997" i="2"/>
  <c r="E7996" i="2"/>
  <c r="D7996" i="2"/>
  <c r="C7996" i="2"/>
  <c r="B7996" i="2"/>
  <c r="A7996" i="2"/>
  <c r="E7995" i="2"/>
  <c r="D7995" i="2"/>
  <c r="C7995" i="2"/>
  <c r="B7995" i="2"/>
  <c r="A7995" i="2"/>
  <c r="E7994" i="2"/>
  <c r="D7994" i="2"/>
  <c r="C7994" i="2"/>
  <c r="B7994" i="2"/>
  <c r="A7994" i="2"/>
  <c r="E7993" i="2"/>
  <c r="D7993" i="2"/>
  <c r="C7993" i="2"/>
  <c r="B7993" i="2"/>
  <c r="A7993" i="2"/>
  <c r="E7992" i="2"/>
  <c r="D7992" i="2"/>
  <c r="C7992" i="2"/>
  <c r="B7992" i="2"/>
  <c r="A7992" i="2"/>
  <c r="E7991" i="2"/>
  <c r="D7991" i="2"/>
  <c r="C7991" i="2"/>
  <c r="B7991" i="2"/>
  <c r="A7991" i="2"/>
  <c r="E7990" i="2"/>
  <c r="D7990" i="2"/>
  <c r="C7990" i="2"/>
  <c r="B7990" i="2"/>
  <c r="A7990" i="2"/>
  <c r="E7989" i="2"/>
  <c r="D7989" i="2"/>
  <c r="C7989" i="2"/>
  <c r="B7989" i="2"/>
  <c r="A7989" i="2"/>
  <c r="E7988" i="2"/>
  <c r="D7988" i="2"/>
  <c r="C7988" i="2"/>
  <c r="B7988" i="2"/>
  <c r="A7988" i="2"/>
  <c r="E7987" i="2"/>
  <c r="D7987" i="2"/>
  <c r="C7987" i="2"/>
  <c r="B7987" i="2"/>
  <c r="A7987" i="2"/>
  <c r="E7986" i="2"/>
  <c r="D7986" i="2"/>
  <c r="C7986" i="2"/>
  <c r="B7986" i="2"/>
  <c r="A7986" i="2"/>
  <c r="E7985" i="2"/>
  <c r="D7985" i="2"/>
  <c r="C7985" i="2"/>
  <c r="B7985" i="2"/>
  <c r="A7985" i="2"/>
  <c r="E7984" i="2"/>
  <c r="D7984" i="2"/>
  <c r="C7984" i="2"/>
  <c r="B7984" i="2"/>
  <c r="A7984" i="2"/>
  <c r="E7983" i="2"/>
  <c r="D7983" i="2"/>
  <c r="C7983" i="2"/>
  <c r="B7983" i="2"/>
  <c r="A7983" i="2"/>
  <c r="E7982" i="2"/>
  <c r="D7982" i="2"/>
  <c r="C7982" i="2"/>
  <c r="B7982" i="2"/>
  <c r="A7982" i="2"/>
  <c r="E7981" i="2"/>
  <c r="D7981" i="2"/>
  <c r="C7981" i="2"/>
  <c r="B7981" i="2"/>
  <c r="A7981" i="2"/>
  <c r="E7980" i="2"/>
  <c r="D7980" i="2"/>
  <c r="C7980" i="2"/>
  <c r="B7980" i="2"/>
  <c r="A7980" i="2"/>
  <c r="E7979" i="2"/>
  <c r="D7979" i="2"/>
  <c r="C7979" i="2"/>
  <c r="B7979" i="2"/>
  <c r="A7979" i="2"/>
  <c r="E7978" i="2"/>
  <c r="D7978" i="2"/>
  <c r="C7978" i="2"/>
  <c r="B7978" i="2"/>
  <c r="A7978" i="2"/>
  <c r="E7977" i="2"/>
  <c r="D7977" i="2"/>
  <c r="C7977" i="2"/>
  <c r="B7977" i="2"/>
  <c r="A7977" i="2"/>
  <c r="E7976" i="2"/>
  <c r="D7976" i="2"/>
  <c r="C7976" i="2"/>
  <c r="B7976" i="2"/>
  <c r="A7976" i="2"/>
  <c r="E7975" i="2"/>
  <c r="D7975" i="2"/>
  <c r="C7975" i="2"/>
  <c r="B7975" i="2"/>
  <c r="A7975" i="2"/>
  <c r="E7974" i="2"/>
  <c r="D7974" i="2"/>
  <c r="C7974" i="2"/>
  <c r="B7974" i="2"/>
  <c r="A7974" i="2"/>
  <c r="E7973" i="2"/>
  <c r="D7973" i="2"/>
  <c r="C7973" i="2"/>
  <c r="B7973" i="2"/>
  <c r="A7973" i="2"/>
  <c r="E7972" i="2"/>
  <c r="D7972" i="2"/>
  <c r="C7972" i="2"/>
  <c r="B7972" i="2"/>
  <c r="A7972" i="2"/>
  <c r="E7971" i="2"/>
  <c r="D7971" i="2"/>
  <c r="C7971" i="2"/>
  <c r="B7971" i="2"/>
  <c r="A7971" i="2"/>
  <c r="E7970" i="2"/>
  <c r="D7970" i="2"/>
  <c r="C7970" i="2"/>
  <c r="B7970" i="2"/>
  <c r="A7970" i="2"/>
  <c r="E7969" i="2"/>
  <c r="D7969" i="2"/>
  <c r="C7969" i="2"/>
  <c r="B7969" i="2"/>
  <c r="A7969" i="2"/>
  <c r="E7968" i="2"/>
  <c r="D7968" i="2"/>
  <c r="C7968" i="2"/>
  <c r="B7968" i="2"/>
  <c r="A7968" i="2"/>
  <c r="E7967" i="2"/>
  <c r="D7967" i="2"/>
  <c r="C7967" i="2"/>
  <c r="B7967" i="2"/>
  <c r="A7967" i="2"/>
  <c r="E7966" i="2"/>
  <c r="D7966" i="2"/>
  <c r="C7966" i="2"/>
  <c r="B7966" i="2"/>
  <c r="A7966" i="2"/>
  <c r="E7965" i="2"/>
  <c r="D7965" i="2"/>
  <c r="C7965" i="2"/>
  <c r="B7965" i="2"/>
  <c r="A7965" i="2"/>
  <c r="E7964" i="2"/>
  <c r="D7964" i="2"/>
  <c r="C7964" i="2"/>
  <c r="B7964" i="2"/>
  <c r="A7964" i="2"/>
  <c r="E7963" i="2"/>
  <c r="D7963" i="2"/>
  <c r="C7963" i="2"/>
  <c r="B7963" i="2"/>
  <c r="A7963" i="2"/>
  <c r="E7962" i="2"/>
  <c r="D7962" i="2"/>
  <c r="C7962" i="2"/>
  <c r="B7962" i="2"/>
  <c r="A7962" i="2"/>
  <c r="E7961" i="2"/>
  <c r="D7961" i="2"/>
  <c r="C7961" i="2"/>
  <c r="B7961" i="2"/>
  <c r="A7961" i="2"/>
  <c r="E7960" i="2"/>
  <c r="D7960" i="2"/>
  <c r="C7960" i="2"/>
  <c r="B7960" i="2"/>
  <c r="A7960" i="2"/>
  <c r="E7959" i="2"/>
  <c r="D7959" i="2"/>
  <c r="C7959" i="2"/>
  <c r="B7959" i="2"/>
  <c r="A7959" i="2"/>
  <c r="E7958" i="2"/>
  <c r="D7958" i="2"/>
  <c r="C7958" i="2"/>
  <c r="B7958" i="2"/>
  <c r="A7958" i="2"/>
  <c r="E7957" i="2"/>
  <c r="D7957" i="2"/>
  <c r="C7957" i="2"/>
  <c r="B7957" i="2"/>
  <c r="A7957" i="2"/>
  <c r="E7956" i="2"/>
  <c r="D7956" i="2"/>
  <c r="C7956" i="2"/>
  <c r="B7956" i="2"/>
  <c r="A7956" i="2"/>
  <c r="E7955" i="2"/>
  <c r="D7955" i="2"/>
  <c r="C7955" i="2"/>
  <c r="B7955" i="2"/>
  <c r="A7955" i="2"/>
  <c r="E7954" i="2"/>
  <c r="D7954" i="2"/>
  <c r="C7954" i="2"/>
  <c r="B7954" i="2"/>
  <c r="A7954" i="2"/>
  <c r="E7953" i="2"/>
  <c r="D7953" i="2"/>
  <c r="C7953" i="2"/>
  <c r="B7953" i="2"/>
  <c r="A7953" i="2"/>
  <c r="E7952" i="2"/>
  <c r="D7952" i="2"/>
  <c r="C7952" i="2"/>
  <c r="B7952" i="2"/>
  <c r="A7952" i="2"/>
  <c r="E7951" i="2"/>
  <c r="D7951" i="2"/>
  <c r="C7951" i="2"/>
  <c r="B7951" i="2"/>
  <c r="A7951" i="2"/>
  <c r="E7950" i="2"/>
  <c r="D7950" i="2"/>
  <c r="C7950" i="2"/>
  <c r="B7950" i="2"/>
  <c r="A7950" i="2"/>
  <c r="E7949" i="2"/>
  <c r="D7949" i="2"/>
  <c r="C7949" i="2"/>
  <c r="B7949" i="2"/>
  <c r="A7949" i="2"/>
  <c r="E7948" i="2"/>
  <c r="D7948" i="2"/>
  <c r="C7948" i="2"/>
  <c r="B7948" i="2"/>
  <c r="A7948" i="2"/>
  <c r="E7947" i="2"/>
  <c r="D7947" i="2"/>
  <c r="C7947" i="2"/>
  <c r="B7947" i="2"/>
  <c r="A7947" i="2"/>
  <c r="E7946" i="2"/>
  <c r="D7946" i="2"/>
  <c r="C7946" i="2"/>
  <c r="B7946" i="2"/>
  <c r="A7946" i="2"/>
  <c r="E7945" i="2"/>
  <c r="D7945" i="2"/>
  <c r="C7945" i="2"/>
  <c r="B7945" i="2"/>
  <c r="A7945" i="2"/>
  <c r="E7944" i="2"/>
  <c r="D7944" i="2"/>
  <c r="C7944" i="2"/>
  <c r="B7944" i="2"/>
  <c r="A7944" i="2"/>
  <c r="E7943" i="2"/>
  <c r="D7943" i="2"/>
  <c r="C7943" i="2"/>
  <c r="B7943" i="2"/>
  <c r="A7943" i="2"/>
  <c r="E7942" i="2"/>
  <c r="D7942" i="2"/>
  <c r="C7942" i="2"/>
  <c r="B7942" i="2"/>
  <c r="A7942" i="2"/>
  <c r="E7941" i="2"/>
  <c r="D7941" i="2"/>
  <c r="C7941" i="2"/>
  <c r="B7941" i="2"/>
  <c r="A7941" i="2"/>
  <c r="E7940" i="2"/>
  <c r="D7940" i="2"/>
  <c r="C7940" i="2"/>
  <c r="B7940" i="2"/>
  <c r="A7940" i="2"/>
  <c r="E7939" i="2"/>
  <c r="D7939" i="2"/>
  <c r="C7939" i="2"/>
  <c r="B7939" i="2"/>
  <c r="A7939" i="2"/>
  <c r="E7938" i="2"/>
  <c r="D7938" i="2"/>
  <c r="C7938" i="2"/>
  <c r="B7938" i="2"/>
  <c r="A7938" i="2"/>
  <c r="E7937" i="2"/>
  <c r="D7937" i="2"/>
  <c r="C7937" i="2"/>
  <c r="B7937" i="2"/>
  <c r="A7937" i="2"/>
  <c r="E7936" i="2"/>
  <c r="D7936" i="2"/>
  <c r="C7936" i="2"/>
  <c r="B7936" i="2"/>
  <c r="A7936" i="2"/>
  <c r="E7935" i="2"/>
  <c r="D7935" i="2"/>
  <c r="C7935" i="2"/>
  <c r="B7935" i="2"/>
  <c r="A7935" i="2"/>
  <c r="E7934" i="2"/>
  <c r="D7934" i="2"/>
  <c r="C7934" i="2"/>
  <c r="B7934" i="2"/>
  <c r="A7934" i="2"/>
  <c r="E7933" i="2"/>
  <c r="D7933" i="2"/>
  <c r="C7933" i="2"/>
  <c r="B7933" i="2"/>
  <c r="A7933" i="2"/>
  <c r="E7932" i="2"/>
  <c r="D7932" i="2"/>
  <c r="C7932" i="2"/>
  <c r="B7932" i="2"/>
  <c r="A7932" i="2"/>
  <c r="E7931" i="2"/>
  <c r="D7931" i="2"/>
  <c r="C7931" i="2"/>
  <c r="B7931" i="2"/>
  <c r="A7931" i="2"/>
  <c r="E7930" i="2"/>
  <c r="D7930" i="2"/>
  <c r="C7930" i="2"/>
  <c r="B7930" i="2"/>
  <c r="A7930" i="2"/>
  <c r="E7929" i="2"/>
  <c r="D7929" i="2"/>
  <c r="C7929" i="2"/>
  <c r="B7929" i="2"/>
  <c r="A7929" i="2"/>
  <c r="E7928" i="2"/>
  <c r="D7928" i="2"/>
  <c r="C7928" i="2"/>
  <c r="B7928" i="2"/>
  <c r="A7928" i="2"/>
  <c r="E7927" i="2"/>
  <c r="D7927" i="2"/>
  <c r="C7927" i="2"/>
  <c r="B7927" i="2"/>
  <c r="A7927" i="2"/>
  <c r="E7926" i="2"/>
  <c r="D7926" i="2"/>
  <c r="C7926" i="2"/>
  <c r="B7926" i="2"/>
  <c r="A7926" i="2"/>
  <c r="E7925" i="2"/>
  <c r="D7925" i="2"/>
  <c r="C7925" i="2"/>
  <c r="B7925" i="2"/>
  <c r="A7925" i="2"/>
  <c r="E7924" i="2"/>
  <c r="D7924" i="2"/>
  <c r="C7924" i="2"/>
  <c r="B7924" i="2"/>
  <c r="A7924" i="2"/>
  <c r="E7923" i="2"/>
  <c r="D7923" i="2"/>
  <c r="C7923" i="2"/>
  <c r="B7923" i="2"/>
  <c r="A7923" i="2"/>
  <c r="E7922" i="2"/>
  <c r="D7922" i="2"/>
  <c r="C7922" i="2"/>
  <c r="B7922" i="2"/>
  <c r="A7922" i="2"/>
  <c r="E7921" i="2"/>
  <c r="D7921" i="2"/>
  <c r="C7921" i="2"/>
  <c r="B7921" i="2"/>
  <c r="A7921" i="2"/>
  <c r="E7920" i="2"/>
  <c r="D7920" i="2"/>
  <c r="C7920" i="2"/>
  <c r="B7920" i="2"/>
  <c r="A7920" i="2"/>
  <c r="E7919" i="2"/>
  <c r="D7919" i="2"/>
  <c r="C7919" i="2"/>
  <c r="B7919" i="2"/>
  <c r="A7919" i="2"/>
  <c r="E7918" i="2"/>
  <c r="D7918" i="2"/>
  <c r="C7918" i="2"/>
  <c r="B7918" i="2"/>
  <c r="A7918" i="2"/>
  <c r="E7917" i="2"/>
  <c r="D7917" i="2"/>
  <c r="C7917" i="2"/>
  <c r="B7917" i="2"/>
  <c r="A7917" i="2"/>
  <c r="E7916" i="2"/>
  <c r="D7916" i="2"/>
  <c r="C7916" i="2"/>
  <c r="B7916" i="2"/>
  <c r="A7916" i="2"/>
  <c r="E7915" i="2"/>
  <c r="D7915" i="2"/>
  <c r="C7915" i="2"/>
  <c r="B7915" i="2"/>
  <c r="A7915" i="2"/>
  <c r="E7914" i="2"/>
  <c r="D7914" i="2"/>
  <c r="C7914" i="2"/>
  <c r="B7914" i="2"/>
  <c r="A7914" i="2"/>
  <c r="E7913" i="2"/>
  <c r="D7913" i="2"/>
  <c r="C7913" i="2"/>
  <c r="B7913" i="2"/>
  <c r="A7913" i="2"/>
  <c r="E7912" i="2"/>
  <c r="D7912" i="2"/>
  <c r="C7912" i="2"/>
  <c r="B7912" i="2"/>
  <c r="A7912" i="2"/>
  <c r="E7911" i="2"/>
  <c r="D7911" i="2"/>
  <c r="C7911" i="2"/>
  <c r="B7911" i="2"/>
  <c r="A7911" i="2"/>
  <c r="E7910" i="2"/>
  <c r="D7910" i="2"/>
  <c r="C7910" i="2"/>
  <c r="B7910" i="2"/>
  <c r="A7910" i="2"/>
  <c r="E7909" i="2"/>
  <c r="D7909" i="2"/>
  <c r="C7909" i="2"/>
  <c r="B7909" i="2"/>
  <c r="A7909" i="2"/>
  <c r="E7908" i="2"/>
  <c r="D7908" i="2"/>
  <c r="C7908" i="2"/>
  <c r="B7908" i="2"/>
  <c r="A7908" i="2"/>
  <c r="E7907" i="2"/>
  <c r="D7907" i="2"/>
  <c r="C7907" i="2"/>
  <c r="B7907" i="2"/>
  <c r="A7907" i="2"/>
  <c r="E7906" i="2"/>
  <c r="D7906" i="2"/>
  <c r="C7906" i="2"/>
  <c r="B7906" i="2"/>
  <c r="A7906" i="2"/>
  <c r="E7905" i="2"/>
  <c r="D7905" i="2"/>
  <c r="C7905" i="2"/>
  <c r="B7905" i="2"/>
  <c r="A7905" i="2"/>
  <c r="E7904" i="2"/>
  <c r="D7904" i="2"/>
  <c r="C7904" i="2"/>
  <c r="B7904" i="2"/>
  <c r="A7904" i="2"/>
  <c r="E7903" i="2"/>
  <c r="D7903" i="2"/>
  <c r="C7903" i="2"/>
  <c r="B7903" i="2"/>
  <c r="A7903" i="2"/>
  <c r="E7902" i="2"/>
  <c r="D7902" i="2"/>
  <c r="C7902" i="2"/>
  <c r="B7902" i="2"/>
  <c r="A7902" i="2"/>
  <c r="E7901" i="2"/>
  <c r="D7901" i="2"/>
  <c r="C7901" i="2"/>
  <c r="B7901" i="2"/>
  <c r="A7901" i="2"/>
  <c r="E7900" i="2"/>
  <c r="D7900" i="2"/>
  <c r="C7900" i="2"/>
  <c r="B7900" i="2"/>
  <c r="A7900" i="2"/>
  <c r="E7899" i="2"/>
  <c r="D7899" i="2"/>
  <c r="C7899" i="2"/>
  <c r="B7899" i="2"/>
  <c r="A7899" i="2"/>
  <c r="E7898" i="2"/>
  <c r="D7898" i="2"/>
  <c r="C7898" i="2"/>
  <c r="B7898" i="2"/>
  <c r="A7898" i="2"/>
  <c r="E7897" i="2"/>
  <c r="D7897" i="2"/>
  <c r="C7897" i="2"/>
  <c r="B7897" i="2"/>
  <c r="A7897" i="2"/>
  <c r="E7896" i="2"/>
  <c r="D7896" i="2"/>
  <c r="C7896" i="2"/>
  <c r="B7896" i="2"/>
  <c r="A7896" i="2"/>
  <c r="E7895" i="2"/>
  <c r="D7895" i="2"/>
  <c r="C7895" i="2"/>
  <c r="B7895" i="2"/>
  <c r="A7895" i="2"/>
  <c r="E7894" i="2"/>
  <c r="D7894" i="2"/>
  <c r="C7894" i="2"/>
  <c r="B7894" i="2"/>
  <c r="A7894" i="2"/>
  <c r="E7893" i="2"/>
  <c r="D7893" i="2"/>
  <c r="C7893" i="2"/>
  <c r="B7893" i="2"/>
  <c r="A7893" i="2"/>
  <c r="E7892" i="2"/>
  <c r="D7892" i="2"/>
  <c r="C7892" i="2"/>
  <c r="B7892" i="2"/>
  <c r="A7892" i="2"/>
  <c r="E7891" i="2"/>
  <c r="D7891" i="2"/>
  <c r="C7891" i="2"/>
  <c r="B7891" i="2"/>
  <c r="A7891" i="2"/>
  <c r="E7890" i="2"/>
  <c r="D7890" i="2"/>
  <c r="C7890" i="2"/>
  <c r="B7890" i="2"/>
  <c r="A7890" i="2"/>
  <c r="E7889" i="2"/>
  <c r="D7889" i="2"/>
  <c r="C7889" i="2"/>
  <c r="B7889" i="2"/>
  <c r="A7889" i="2"/>
  <c r="E7888" i="2"/>
  <c r="D7888" i="2"/>
  <c r="C7888" i="2"/>
  <c r="B7888" i="2"/>
  <c r="A7888" i="2"/>
  <c r="E7887" i="2"/>
  <c r="D7887" i="2"/>
  <c r="C7887" i="2"/>
  <c r="B7887" i="2"/>
  <c r="A7887" i="2"/>
  <c r="E7886" i="2"/>
  <c r="D7886" i="2"/>
  <c r="C7886" i="2"/>
  <c r="B7886" i="2"/>
  <c r="A7886" i="2"/>
  <c r="E7885" i="2"/>
  <c r="D7885" i="2"/>
  <c r="C7885" i="2"/>
  <c r="B7885" i="2"/>
  <c r="A7885" i="2"/>
  <c r="E7884" i="2"/>
  <c r="D7884" i="2"/>
  <c r="C7884" i="2"/>
  <c r="B7884" i="2"/>
  <c r="A7884" i="2"/>
  <c r="E7883" i="2"/>
  <c r="D7883" i="2"/>
  <c r="C7883" i="2"/>
  <c r="B7883" i="2"/>
  <c r="A7883" i="2"/>
  <c r="E7882" i="2"/>
  <c r="D7882" i="2"/>
  <c r="C7882" i="2"/>
  <c r="B7882" i="2"/>
  <c r="A7882" i="2"/>
  <c r="E7881" i="2"/>
  <c r="D7881" i="2"/>
  <c r="C7881" i="2"/>
  <c r="B7881" i="2"/>
  <c r="A7881" i="2"/>
  <c r="E7880" i="2"/>
  <c r="D7880" i="2"/>
  <c r="C7880" i="2"/>
  <c r="B7880" i="2"/>
  <c r="A7880" i="2"/>
  <c r="E7879" i="2"/>
  <c r="D7879" i="2"/>
  <c r="C7879" i="2"/>
  <c r="B7879" i="2"/>
  <c r="A7879" i="2"/>
  <c r="E7878" i="2"/>
  <c r="D7878" i="2"/>
  <c r="C7878" i="2"/>
  <c r="B7878" i="2"/>
  <c r="A7878" i="2"/>
  <c r="E7877" i="2"/>
  <c r="D7877" i="2"/>
  <c r="C7877" i="2"/>
  <c r="B7877" i="2"/>
  <c r="A7877" i="2"/>
  <c r="E7876" i="2"/>
  <c r="D7876" i="2"/>
  <c r="C7876" i="2"/>
  <c r="B7876" i="2"/>
  <c r="A7876" i="2"/>
  <c r="E7875" i="2"/>
  <c r="D7875" i="2"/>
  <c r="C7875" i="2"/>
  <c r="B7875" i="2"/>
  <c r="A7875" i="2"/>
  <c r="E7874" i="2"/>
  <c r="D7874" i="2"/>
  <c r="C7874" i="2"/>
  <c r="B7874" i="2"/>
  <c r="A7874" i="2"/>
  <c r="E7873" i="2"/>
  <c r="D7873" i="2"/>
  <c r="C7873" i="2"/>
  <c r="B7873" i="2"/>
  <c r="A7873" i="2"/>
  <c r="E7872" i="2"/>
  <c r="D7872" i="2"/>
  <c r="C7872" i="2"/>
  <c r="B7872" i="2"/>
  <c r="A7872" i="2"/>
  <c r="E7871" i="2"/>
  <c r="D7871" i="2"/>
  <c r="C7871" i="2"/>
  <c r="B7871" i="2"/>
  <c r="A7871" i="2"/>
  <c r="E7870" i="2"/>
  <c r="D7870" i="2"/>
  <c r="C7870" i="2"/>
  <c r="B7870" i="2"/>
  <c r="A7870" i="2"/>
  <c r="E7869" i="2"/>
  <c r="D7869" i="2"/>
  <c r="C7869" i="2"/>
  <c r="B7869" i="2"/>
  <c r="A7869" i="2"/>
  <c r="E7868" i="2"/>
  <c r="D7868" i="2"/>
  <c r="C7868" i="2"/>
  <c r="B7868" i="2"/>
  <c r="A7868" i="2"/>
  <c r="E7867" i="2"/>
  <c r="D7867" i="2"/>
  <c r="C7867" i="2"/>
  <c r="B7867" i="2"/>
  <c r="A7867" i="2"/>
  <c r="E7866" i="2"/>
  <c r="D7866" i="2"/>
  <c r="C7866" i="2"/>
  <c r="B7866" i="2"/>
  <c r="A7866" i="2"/>
  <c r="E7865" i="2"/>
  <c r="D7865" i="2"/>
  <c r="C7865" i="2"/>
  <c r="B7865" i="2"/>
  <c r="A7865" i="2"/>
  <c r="E7864" i="2"/>
  <c r="D7864" i="2"/>
  <c r="C7864" i="2"/>
  <c r="B7864" i="2"/>
  <c r="A7864" i="2"/>
  <c r="E7863" i="2"/>
  <c r="D7863" i="2"/>
  <c r="C7863" i="2"/>
  <c r="B7863" i="2"/>
  <c r="A7863" i="2"/>
  <c r="E7862" i="2"/>
  <c r="D7862" i="2"/>
  <c r="C7862" i="2"/>
  <c r="B7862" i="2"/>
  <c r="A7862" i="2"/>
  <c r="E7861" i="2"/>
  <c r="D7861" i="2"/>
  <c r="C7861" i="2"/>
  <c r="B7861" i="2"/>
  <c r="A7861" i="2"/>
  <c r="E7860" i="2"/>
  <c r="D7860" i="2"/>
  <c r="C7860" i="2"/>
  <c r="B7860" i="2"/>
  <c r="A7860" i="2"/>
  <c r="E7859" i="2"/>
  <c r="D7859" i="2"/>
  <c r="C7859" i="2"/>
  <c r="B7859" i="2"/>
  <c r="A7859" i="2"/>
  <c r="E7858" i="2"/>
  <c r="D7858" i="2"/>
  <c r="C7858" i="2"/>
  <c r="B7858" i="2"/>
  <c r="A7858" i="2"/>
  <c r="E7857" i="2"/>
  <c r="D7857" i="2"/>
  <c r="C7857" i="2"/>
  <c r="B7857" i="2"/>
  <c r="A7857" i="2"/>
  <c r="E7856" i="2"/>
  <c r="D7856" i="2"/>
  <c r="C7856" i="2"/>
  <c r="B7856" i="2"/>
  <c r="A7856" i="2"/>
  <c r="E7855" i="2"/>
  <c r="D7855" i="2"/>
  <c r="C7855" i="2"/>
  <c r="B7855" i="2"/>
  <c r="A7855" i="2"/>
  <c r="E7854" i="2"/>
  <c r="D7854" i="2"/>
  <c r="C7854" i="2"/>
  <c r="B7854" i="2"/>
  <c r="A7854" i="2"/>
  <c r="E7853" i="2"/>
  <c r="D7853" i="2"/>
  <c r="C7853" i="2"/>
  <c r="B7853" i="2"/>
  <c r="A7853" i="2"/>
  <c r="E7852" i="2"/>
  <c r="D7852" i="2"/>
  <c r="C7852" i="2"/>
  <c r="B7852" i="2"/>
  <c r="A7852" i="2"/>
  <c r="E7851" i="2"/>
  <c r="D7851" i="2"/>
  <c r="C7851" i="2"/>
  <c r="B7851" i="2"/>
  <c r="A7851" i="2"/>
  <c r="E7850" i="2"/>
  <c r="D7850" i="2"/>
  <c r="C7850" i="2"/>
  <c r="B7850" i="2"/>
  <c r="A7850" i="2"/>
  <c r="E7849" i="2"/>
  <c r="D7849" i="2"/>
  <c r="C7849" i="2"/>
  <c r="B7849" i="2"/>
  <c r="A7849" i="2"/>
  <c r="E7848" i="2"/>
  <c r="D7848" i="2"/>
  <c r="C7848" i="2"/>
  <c r="B7848" i="2"/>
  <c r="A7848" i="2"/>
  <c r="E7847" i="2"/>
  <c r="D7847" i="2"/>
  <c r="C7847" i="2"/>
  <c r="B7847" i="2"/>
  <c r="A7847" i="2"/>
  <c r="E7846" i="2"/>
  <c r="D7846" i="2"/>
  <c r="C7846" i="2"/>
  <c r="B7846" i="2"/>
  <c r="A7846" i="2"/>
  <c r="E7845" i="2"/>
  <c r="D7845" i="2"/>
  <c r="C7845" i="2"/>
  <c r="B7845" i="2"/>
  <c r="A7845" i="2"/>
  <c r="E7844" i="2"/>
  <c r="D7844" i="2"/>
  <c r="C7844" i="2"/>
  <c r="B7844" i="2"/>
  <c r="A7844" i="2"/>
  <c r="E7843" i="2"/>
  <c r="D7843" i="2"/>
  <c r="C7843" i="2"/>
  <c r="B7843" i="2"/>
  <c r="A7843" i="2"/>
  <c r="E7842" i="2"/>
  <c r="D7842" i="2"/>
  <c r="C7842" i="2"/>
  <c r="B7842" i="2"/>
  <c r="A7842" i="2"/>
  <c r="E7841" i="2"/>
  <c r="D7841" i="2"/>
  <c r="C7841" i="2"/>
  <c r="B7841" i="2"/>
  <c r="A7841" i="2"/>
  <c r="E7840" i="2"/>
  <c r="D7840" i="2"/>
  <c r="C7840" i="2"/>
  <c r="B7840" i="2"/>
  <c r="A7840" i="2"/>
  <c r="E7839" i="2"/>
  <c r="D7839" i="2"/>
  <c r="C7839" i="2"/>
  <c r="B7839" i="2"/>
  <c r="A7839" i="2"/>
  <c r="E7838" i="2"/>
  <c r="D7838" i="2"/>
  <c r="C7838" i="2"/>
  <c r="B7838" i="2"/>
  <c r="A7838" i="2"/>
  <c r="E7837" i="2"/>
  <c r="D7837" i="2"/>
  <c r="C7837" i="2"/>
  <c r="B7837" i="2"/>
  <c r="A7837" i="2"/>
  <c r="E7836" i="2"/>
  <c r="D7836" i="2"/>
  <c r="C7836" i="2"/>
  <c r="B7836" i="2"/>
  <c r="A7836" i="2"/>
  <c r="E7835" i="2"/>
  <c r="D7835" i="2"/>
  <c r="C7835" i="2"/>
  <c r="B7835" i="2"/>
  <c r="A7835" i="2"/>
  <c r="E7834" i="2"/>
  <c r="D7834" i="2"/>
  <c r="C7834" i="2"/>
  <c r="B7834" i="2"/>
  <c r="A7834" i="2"/>
  <c r="E7833" i="2"/>
  <c r="D7833" i="2"/>
  <c r="C7833" i="2"/>
  <c r="B7833" i="2"/>
  <c r="A7833" i="2"/>
  <c r="E7832" i="2"/>
  <c r="D7832" i="2"/>
  <c r="C7832" i="2"/>
  <c r="B7832" i="2"/>
  <c r="A7832" i="2"/>
  <c r="E7831" i="2"/>
  <c r="D7831" i="2"/>
  <c r="C7831" i="2"/>
  <c r="B7831" i="2"/>
  <c r="A7831" i="2"/>
  <c r="E7830" i="2"/>
  <c r="D7830" i="2"/>
  <c r="C7830" i="2"/>
  <c r="B7830" i="2"/>
  <c r="A7830" i="2"/>
  <c r="E7829" i="2"/>
  <c r="D7829" i="2"/>
  <c r="C7829" i="2"/>
  <c r="B7829" i="2"/>
  <c r="A7829" i="2"/>
  <c r="E7828" i="2"/>
  <c r="D7828" i="2"/>
  <c r="C7828" i="2"/>
  <c r="B7828" i="2"/>
  <c r="A7828" i="2"/>
  <c r="E7827" i="2"/>
  <c r="D7827" i="2"/>
  <c r="C7827" i="2"/>
  <c r="B7827" i="2"/>
  <c r="A7827" i="2"/>
  <c r="E7826" i="2"/>
  <c r="D7826" i="2"/>
  <c r="C7826" i="2"/>
  <c r="B7826" i="2"/>
  <c r="A7826" i="2"/>
  <c r="E7825" i="2"/>
  <c r="D7825" i="2"/>
  <c r="C7825" i="2"/>
  <c r="B7825" i="2"/>
  <c r="A7825" i="2"/>
  <c r="E7824" i="2"/>
  <c r="D7824" i="2"/>
  <c r="C7824" i="2"/>
  <c r="B7824" i="2"/>
  <c r="A7824" i="2"/>
  <c r="E7823" i="2"/>
  <c r="D7823" i="2"/>
  <c r="C7823" i="2"/>
  <c r="B7823" i="2"/>
  <c r="A7823" i="2"/>
  <c r="E7822" i="2"/>
  <c r="D7822" i="2"/>
  <c r="C7822" i="2"/>
  <c r="B7822" i="2"/>
  <c r="A7822" i="2"/>
  <c r="E7821" i="2"/>
  <c r="D7821" i="2"/>
  <c r="C7821" i="2"/>
  <c r="B7821" i="2"/>
  <c r="A7821" i="2"/>
  <c r="E7820" i="2"/>
  <c r="D7820" i="2"/>
  <c r="C7820" i="2"/>
  <c r="B7820" i="2"/>
  <c r="A7820" i="2"/>
  <c r="E7819" i="2"/>
  <c r="D7819" i="2"/>
  <c r="C7819" i="2"/>
  <c r="B7819" i="2"/>
  <c r="A7819" i="2"/>
  <c r="E7818" i="2"/>
  <c r="D7818" i="2"/>
  <c r="C7818" i="2"/>
  <c r="B7818" i="2"/>
  <c r="A7818" i="2"/>
  <c r="E7817" i="2"/>
  <c r="D7817" i="2"/>
  <c r="C7817" i="2"/>
  <c r="B7817" i="2"/>
  <c r="A7817" i="2"/>
  <c r="E7816" i="2"/>
  <c r="D7816" i="2"/>
  <c r="C7816" i="2"/>
  <c r="B7816" i="2"/>
  <c r="A7816" i="2"/>
  <c r="E7815" i="2"/>
  <c r="D7815" i="2"/>
  <c r="C7815" i="2"/>
  <c r="B7815" i="2"/>
  <c r="A7815" i="2"/>
  <c r="E7814" i="2"/>
  <c r="D7814" i="2"/>
  <c r="C7814" i="2"/>
  <c r="B7814" i="2"/>
  <c r="A7814" i="2"/>
  <c r="E7813" i="2"/>
  <c r="D7813" i="2"/>
  <c r="C7813" i="2"/>
  <c r="B7813" i="2"/>
  <c r="A7813" i="2"/>
  <c r="E7812" i="2"/>
  <c r="D7812" i="2"/>
  <c r="C7812" i="2"/>
  <c r="B7812" i="2"/>
  <c r="A7812" i="2"/>
  <c r="E7811" i="2"/>
  <c r="D7811" i="2"/>
  <c r="C7811" i="2"/>
  <c r="B7811" i="2"/>
  <c r="A7811" i="2"/>
  <c r="E7810" i="2"/>
  <c r="D7810" i="2"/>
  <c r="C7810" i="2"/>
  <c r="B7810" i="2"/>
  <c r="A7810" i="2"/>
  <c r="E7809" i="2"/>
  <c r="D7809" i="2"/>
  <c r="C7809" i="2"/>
  <c r="B7809" i="2"/>
  <c r="A7809" i="2"/>
  <c r="E7808" i="2"/>
  <c r="D7808" i="2"/>
  <c r="C7808" i="2"/>
  <c r="B7808" i="2"/>
  <c r="A7808" i="2"/>
  <c r="E7807" i="2"/>
  <c r="D7807" i="2"/>
  <c r="C7807" i="2"/>
  <c r="B7807" i="2"/>
  <c r="A7807" i="2"/>
  <c r="E7806" i="2"/>
  <c r="D7806" i="2"/>
  <c r="C7806" i="2"/>
  <c r="B7806" i="2"/>
  <c r="A7806" i="2"/>
  <c r="E7805" i="2"/>
  <c r="D7805" i="2"/>
  <c r="C7805" i="2"/>
  <c r="B7805" i="2"/>
  <c r="A7805" i="2"/>
  <c r="E7804" i="2"/>
  <c r="D7804" i="2"/>
  <c r="C7804" i="2"/>
  <c r="B7804" i="2"/>
  <c r="A7804" i="2"/>
  <c r="E7803" i="2"/>
  <c r="D7803" i="2"/>
  <c r="C7803" i="2"/>
  <c r="B7803" i="2"/>
  <c r="A7803" i="2"/>
  <c r="E7802" i="2"/>
  <c r="D7802" i="2"/>
  <c r="C7802" i="2"/>
  <c r="B7802" i="2"/>
  <c r="A7802" i="2"/>
  <c r="E7801" i="2"/>
  <c r="D7801" i="2"/>
  <c r="C7801" i="2"/>
  <c r="B7801" i="2"/>
  <c r="A7801" i="2"/>
  <c r="E7800" i="2"/>
  <c r="D7800" i="2"/>
  <c r="C7800" i="2"/>
  <c r="B7800" i="2"/>
  <c r="A7800" i="2"/>
  <c r="E7799" i="2"/>
  <c r="D7799" i="2"/>
  <c r="C7799" i="2"/>
  <c r="B7799" i="2"/>
  <c r="A7799" i="2"/>
  <c r="E7798" i="2"/>
  <c r="D7798" i="2"/>
  <c r="C7798" i="2"/>
  <c r="B7798" i="2"/>
  <c r="A7798" i="2"/>
  <c r="E7797" i="2"/>
  <c r="D7797" i="2"/>
  <c r="C7797" i="2"/>
  <c r="B7797" i="2"/>
  <c r="A7797" i="2"/>
  <c r="E7796" i="2"/>
  <c r="D7796" i="2"/>
  <c r="C7796" i="2"/>
  <c r="B7796" i="2"/>
  <c r="A7796" i="2"/>
  <c r="E7795" i="2"/>
  <c r="D7795" i="2"/>
  <c r="C7795" i="2"/>
  <c r="B7795" i="2"/>
  <c r="A7795" i="2"/>
  <c r="E7794" i="2"/>
  <c r="D7794" i="2"/>
  <c r="C7794" i="2"/>
  <c r="B7794" i="2"/>
  <c r="A7794" i="2"/>
  <c r="E7793" i="2"/>
  <c r="D7793" i="2"/>
  <c r="C7793" i="2"/>
  <c r="B7793" i="2"/>
  <c r="A7793" i="2"/>
  <c r="E7792" i="2"/>
  <c r="D7792" i="2"/>
  <c r="C7792" i="2"/>
  <c r="B7792" i="2"/>
  <c r="A7792" i="2"/>
  <c r="E7791" i="2"/>
  <c r="D7791" i="2"/>
  <c r="C7791" i="2"/>
  <c r="B7791" i="2"/>
  <c r="A7791" i="2"/>
  <c r="E7790" i="2"/>
  <c r="D7790" i="2"/>
  <c r="C7790" i="2"/>
  <c r="B7790" i="2"/>
  <c r="A7790" i="2"/>
  <c r="E7789" i="2"/>
  <c r="D7789" i="2"/>
  <c r="C7789" i="2"/>
  <c r="B7789" i="2"/>
  <c r="A7789" i="2"/>
  <c r="E7788" i="2"/>
  <c r="D7788" i="2"/>
  <c r="C7788" i="2"/>
  <c r="B7788" i="2"/>
  <c r="A7788" i="2"/>
  <c r="E7787" i="2"/>
  <c r="D7787" i="2"/>
  <c r="C7787" i="2"/>
  <c r="B7787" i="2"/>
  <c r="A7787" i="2"/>
  <c r="E7786" i="2"/>
  <c r="D7786" i="2"/>
  <c r="C7786" i="2"/>
  <c r="B7786" i="2"/>
  <c r="A7786" i="2"/>
  <c r="E7785" i="2"/>
  <c r="D7785" i="2"/>
  <c r="C7785" i="2"/>
  <c r="B7785" i="2"/>
  <c r="A7785" i="2"/>
  <c r="E7784" i="2"/>
  <c r="D7784" i="2"/>
  <c r="C7784" i="2"/>
  <c r="B7784" i="2"/>
  <c r="A7784" i="2"/>
  <c r="E7783" i="2"/>
  <c r="D7783" i="2"/>
  <c r="C7783" i="2"/>
  <c r="B7783" i="2"/>
  <c r="A7783" i="2"/>
  <c r="E7782" i="2"/>
  <c r="D7782" i="2"/>
  <c r="C7782" i="2"/>
  <c r="B7782" i="2"/>
  <c r="A7782" i="2"/>
  <c r="E7781" i="2"/>
  <c r="D7781" i="2"/>
  <c r="C7781" i="2"/>
  <c r="B7781" i="2"/>
  <c r="A7781" i="2"/>
  <c r="E7780" i="2"/>
  <c r="D7780" i="2"/>
  <c r="C7780" i="2"/>
  <c r="B7780" i="2"/>
  <c r="A7780" i="2"/>
  <c r="E7779" i="2"/>
  <c r="D7779" i="2"/>
  <c r="C7779" i="2"/>
  <c r="B7779" i="2"/>
  <c r="A7779" i="2"/>
  <c r="E7778" i="2"/>
  <c r="D7778" i="2"/>
  <c r="C7778" i="2"/>
  <c r="B7778" i="2"/>
  <c r="A7778" i="2"/>
  <c r="E7777" i="2"/>
  <c r="D7777" i="2"/>
  <c r="C7777" i="2"/>
  <c r="B7777" i="2"/>
  <c r="A7777" i="2"/>
  <c r="E7776" i="2"/>
  <c r="D7776" i="2"/>
  <c r="C7776" i="2"/>
  <c r="B7776" i="2"/>
  <c r="A7776" i="2"/>
  <c r="E7775" i="2"/>
  <c r="D7775" i="2"/>
  <c r="C7775" i="2"/>
  <c r="B7775" i="2"/>
  <c r="A7775" i="2"/>
  <c r="E7774" i="2"/>
  <c r="D7774" i="2"/>
  <c r="C7774" i="2"/>
  <c r="B7774" i="2"/>
  <c r="A7774" i="2"/>
  <c r="E7773" i="2"/>
  <c r="D7773" i="2"/>
  <c r="C7773" i="2"/>
  <c r="B7773" i="2"/>
  <c r="A7773" i="2"/>
  <c r="E7772" i="2"/>
  <c r="D7772" i="2"/>
  <c r="C7772" i="2"/>
  <c r="B7772" i="2"/>
  <c r="A7772" i="2"/>
  <c r="E7771" i="2"/>
  <c r="D7771" i="2"/>
  <c r="C7771" i="2"/>
  <c r="B7771" i="2"/>
  <c r="A7771" i="2"/>
  <c r="E7770" i="2"/>
  <c r="D7770" i="2"/>
  <c r="C7770" i="2"/>
  <c r="B7770" i="2"/>
  <c r="A7770" i="2"/>
  <c r="E7769" i="2"/>
  <c r="D7769" i="2"/>
  <c r="C7769" i="2"/>
  <c r="B7769" i="2"/>
  <c r="A7769" i="2"/>
  <c r="E7768" i="2"/>
  <c r="D7768" i="2"/>
  <c r="C7768" i="2"/>
  <c r="B7768" i="2"/>
  <c r="A7768" i="2"/>
  <c r="E7767" i="2"/>
  <c r="D7767" i="2"/>
  <c r="C7767" i="2"/>
  <c r="B7767" i="2"/>
  <c r="A7767" i="2"/>
  <c r="E7766" i="2"/>
  <c r="D7766" i="2"/>
  <c r="C7766" i="2"/>
  <c r="B7766" i="2"/>
  <c r="A7766" i="2"/>
  <c r="E7765" i="2"/>
  <c r="D7765" i="2"/>
  <c r="C7765" i="2"/>
  <c r="B7765" i="2"/>
  <c r="A7765" i="2"/>
  <c r="E7764" i="2"/>
  <c r="D7764" i="2"/>
  <c r="C7764" i="2"/>
  <c r="B7764" i="2"/>
  <c r="A7764" i="2"/>
  <c r="E7763" i="2"/>
  <c r="D7763" i="2"/>
  <c r="C7763" i="2"/>
  <c r="B7763" i="2"/>
  <c r="A7763" i="2"/>
  <c r="E7762" i="2"/>
  <c r="D7762" i="2"/>
  <c r="C7762" i="2"/>
  <c r="B7762" i="2"/>
  <c r="A7762" i="2"/>
  <c r="E7761" i="2"/>
  <c r="D7761" i="2"/>
  <c r="C7761" i="2"/>
  <c r="B7761" i="2"/>
  <c r="A7761" i="2"/>
  <c r="E7760" i="2"/>
  <c r="D7760" i="2"/>
  <c r="C7760" i="2"/>
  <c r="B7760" i="2"/>
  <c r="A7760" i="2"/>
  <c r="E7759" i="2"/>
  <c r="D7759" i="2"/>
  <c r="C7759" i="2"/>
  <c r="B7759" i="2"/>
  <c r="A7759" i="2"/>
  <c r="E7758" i="2"/>
  <c r="D7758" i="2"/>
  <c r="C7758" i="2"/>
  <c r="B7758" i="2"/>
  <c r="A7758" i="2"/>
  <c r="E7757" i="2"/>
  <c r="D7757" i="2"/>
  <c r="C7757" i="2"/>
  <c r="B7757" i="2"/>
  <c r="A7757" i="2"/>
  <c r="E7756" i="2"/>
  <c r="D7756" i="2"/>
  <c r="C7756" i="2"/>
  <c r="B7756" i="2"/>
  <c r="A7756" i="2"/>
  <c r="E7755" i="2"/>
  <c r="D7755" i="2"/>
  <c r="C7755" i="2"/>
  <c r="B7755" i="2"/>
  <c r="A7755" i="2"/>
  <c r="E7754" i="2"/>
  <c r="D7754" i="2"/>
  <c r="C7754" i="2"/>
  <c r="B7754" i="2"/>
  <c r="A7754" i="2"/>
  <c r="E7753" i="2"/>
  <c r="D7753" i="2"/>
  <c r="C7753" i="2"/>
  <c r="B7753" i="2"/>
  <c r="A7753" i="2"/>
  <c r="E7752" i="2"/>
  <c r="D7752" i="2"/>
  <c r="C7752" i="2"/>
  <c r="B7752" i="2"/>
  <c r="A7752" i="2"/>
  <c r="E7751" i="2"/>
  <c r="D7751" i="2"/>
  <c r="C7751" i="2"/>
  <c r="B7751" i="2"/>
  <c r="A7751" i="2"/>
  <c r="E7750" i="2"/>
  <c r="D7750" i="2"/>
  <c r="C7750" i="2"/>
  <c r="B7750" i="2"/>
  <c r="A7750" i="2"/>
  <c r="E7749" i="2"/>
  <c r="D7749" i="2"/>
  <c r="C7749" i="2"/>
  <c r="B7749" i="2"/>
  <c r="A7749" i="2"/>
  <c r="E7748" i="2"/>
  <c r="D7748" i="2"/>
  <c r="C7748" i="2"/>
  <c r="B7748" i="2"/>
  <c r="A7748" i="2"/>
  <c r="E7747" i="2"/>
  <c r="D7747" i="2"/>
  <c r="C7747" i="2"/>
  <c r="B7747" i="2"/>
  <c r="A7747" i="2"/>
  <c r="E7746" i="2"/>
  <c r="D7746" i="2"/>
  <c r="C7746" i="2"/>
  <c r="B7746" i="2"/>
  <c r="A7746" i="2"/>
  <c r="E7745" i="2"/>
  <c r="D7745" i="2"/>
  <c r="C7745" i="2"/>
  <c r="B7745" i="2"/>
  <c r="A7745" i="2"/>
  <c r="E7744" i="2"/>
  <c r="D7744" i="2"/>
  <c r="C7744" i="2"/>
  <c r="B7744" i="2"/>
  <c r="A7744" i="2"/>
  <c r="E7743" i="2"/>
  <c r="D7743" i="2"/>
  <c r="C7743" i="2"/>
  <c r="B7743" i="2"/>
  <c r="A7743" i="2"/>
  <c r="E7742" i="2"/>
  <c r="D7742" i="2"/>
  <c r="C7742" i="2"/>
  <c r="B7742" i="2"/>
  <c r="A7742" i="2"/>
  <c r="E7741" i="2"/>
  <c r="D7741" i="2"/>
  <c r="C7741" i="2"/>
  <c r="B7741" i="2"/>
  <c r="A7741" i="2"/>
  <c r="E7740" i="2"/>
  <c r="D7740" i="2"/>
  <c r="C7740" i="2"/>
  <c r="B7740" i="2"/>
  <c r="A7740" i="2"/>
  <c r="E7739" i="2"/>
  <c r="D7739" i="2"/>
  <c r="C7739" i="2"/>
  <c r="B7739" i="2"/>
  <c r="A7739" i="2"/>
  <c r="E7738" i="2"/>
  <c r="D7738" i="2"/>
  <c r="C7738" i="2"/>
  <c r="B7738" i="2"/>
  <c r="A7738" i="2"/>
  <c r="E7737" i="2"/>
  <c r="D7737" i="2"/>
  <c r="C7737" i="2"/>
  <c r="B7737" i="2"/>
  <c r="A7737" i="2"/>
  <c r="E7736" i="2"/>
  <c r="D7736" i="2"/>
  <c r="C7736" i="2"/>
  <c r="B7736" i="2"/>
  <c r="A7736" i="2"/>
  <c r="E7735" i="2"/>
  <c r="D7735" i="2"/>
  <c r="C7735" i="2"/>
  <c r="B7735" i="2"/>
  <c r="A7735" i="2"/>
  <c r="E7734" i="2"/>
  <c r="D7734" i="2"/>
  <c r="C7734" i="2"/>
  <c r="B7734" i="2"/>
  <c r="A7734" i="2"/>
  <c r="E7733" i="2"/>
  <c r="D7733" i="2"/>
  <c r="C7733" i="2"/>
  <c r="B7733" i="2"/>
  <c r="A7733" i="2"/>
  <c r="E7732" i="2"/>
  <c r="D7732" i="2"/>
  <c r="C7732" i="2"/>
  <c r="B7732" i="2"/>
  <c r="A7732" i="2"/>
  <c r="E7731" i="2"/>
  <c r="D7731" i="2"/>
  <c r="C7731" i="2"/>
  <c r="B7731" i="2"/>
  <c r="A7731" i="2"/>
  <c r="E7730" i="2"/>
  <c r="D7730" i="2"/>
  <c r="C7730" i="2"/>
  <c r="B7730" i="2"/>
  <c r="A7730" i="2"/>
  <c r="E7729" i="2"/>
  <c r="D7729" i="2"/>
  <c r="C7729" i="2"/>
  <c r="B7729" i="2"/>
  <c r="A7729" i="2"/>
  <c r="E7728" i="2"/>
  <c r="D7728" i="2"/>
  <c r="C7728" i="2"/>
  <c r="B7728" i="2"/>
  <c r="A7728" i="2"/>
  <c r="E7727" i="2"/>
  <c r="D7727" i="2"/>
  <c r="C7727" i="2"/>
  <c r="B7727" i="2"/>
  <c r="A7727" i="2"/>
  <c r="E7726" i="2"/>
  <c r="D7726" i="2"/>
  <c r="C7726" i="2"/>
  <c r="B7726" i="2"/>
  <c r="A7726" i="2"/>
  <c r="E7725" i="2"/>
  <c r="D7725" i="2"/>
  <c r="C7725" i="2"/>
  <c r="B7725" i="2"/>
  <c r="A7725" i="2"/>
  <c r="E7724" i="2"/>
  <c r="D7724" i="2"/>
  <c r="C7724" i="2"/>
  <c r="B7724" i="2"/>
  <c r="A7724" i="2"/>
  <c r="E7723" i="2"/>
  <c r="D7723" i="2"/>
  <c r="C7723" i="2"/>
  <c r="B7723" i="2"/>
  <c r="A7723" i="2"/>
  <c r="E7722" i="2"/>
  <c r="D7722" i="2"/>
  <c r="C7722" i="2"/>
  <c r="B7722" i="2"/>
  <c r="A7722" i="2"/>
  <c r="E7721" i="2"/>
  <c r="D7721" i="2"/>
  <c r="C7721" i="2"/>
  <c r="B7721" i="2"/>
  <c r="A7721" i="2"/>
  <c r="E7720" i="2"/>
  <c r="D7720" i="2"/>
  <c r="C7720" i="2"/>
  <c r="B7720" i="2"/>
  <c r="A7720" i="2"/>
  <c r="E7719" i="2"/>
  <c r="D7719" i="2"/>
  <c r="C7719" i="2"/>
  <c r="B7719" i="2"/>
  <c r="A7719" i="2"/>
  <c r="E7718" i="2"/>
  <c r="D7718" i="2"/>
  <c r="C7718" i="2"/>
  <c r="B7718" i="2"/>
  <c r="A7718" i="2"/>
  <c r="E7717" i="2"/>
  <c r="D7717" i="2"/>
  <c r="C7717" i="2"/>
  <c r="B7717" i="2"/>
  <c r="A7717" i="2"/>
  <c r="E7716" i="2"/>
  <c r="D7716" i="2"/>
  <c r="C7716" i="2"/>
  <c r="B7716" i="2"/>
  <c r="A7716" i="2"/>
  <c r="E7715" i="2"/>
  <c r="D7715" i="2"/>
  <c r="C7715" i="2"/>
  <c r="B7715" i="2"/>
  <c r="A7715" i="2"/>
  <c r="E7714" i="2"/>
  <c r="D7714" i="2"/>
  <c r="C7714" i="2"/>
  <c r="B7714" i="2"/>
  <c r="A7714" i="2"/>
  <c r="E7713" i="2"/>
  <c r="D7713" i="2"/>
  <c r="C7713" i="2"/>
  <c r="B7713" i="2"/>
  <c r="A7713" i="2"/>
  <c r="E7712" i="2"/>
  <c r="D7712" i="2"/>
  <c r="C7712" i="2"/>
  <c r="B7712" i="2"/>
  <c r="A7712" i="2"/>
  <c r="E7711" i="2"/>
  <c r="D7711" i="2"/>
  <c r="C7711" i="2"/>
  <c r="B7711" i="2"/>
  <c r="A7711" i="2"/>
  <c r="E7710" i="2"/>
  <c r="D7710" i="2"/>
  <c r="C7710" i="2"/>
  <c r="B7710" i="2"/>
  <c r="A7710" i="2"/>
  <c r="E7709" i="2"/>
  <c r="D7709" i="2"/>
  <c r="C7709" i="2"/>
  <c r="B7709" i="2"/>
  <c r="A7709" i="2"/>
  <c r="E7708" i="2"/>
  <c r="D7708" i="2"/>
  <c r="C7708" i="2"/>
  <c r="B7708" i="2"/>
  <c r="A7708" i="2"/>
  <c r="E7707" i="2"/>
  <c r="D7707" i="2"/>
  <c r="C7707" i="2"/>
  <c r="B7707" i="2"/>
  <c r="A7707" i="2"/>
  <c r="E7706" i="2"/>
  <c r="D7706" i="2"/>
  <c r="C7706" i="2"/>
  <c r="B7706" i="2"/>
  <c r="A7706" i="2"/>
  <c r="E7705" i="2"/>
  <c r="D7705" i="2"/>
  <c r="C7705" i="2"/>
  <c r="B7705" i="2"/>
  <c r="A7705" i="2"/>
  <c r="E7704" i="2"/>
  <c r="D7704" i="2"/>
  <c r="C7704" i="2"/>
  <c r="B7704" i="2"/>
  <c r="A7704" i="2"/>
  <c r="E7703" i="2"/>
  <c r="D7703" i="2"/>
  <c r="C7703" i="2"/>
  <c r="B7703" i="2"/>
  <c r="A7703" i="2"/>
  <c r="E7702" i="2"/>
  <c r="D7702" i="2"/>
  <c r="C7702" i="2"/>
  <c r="B7702" i="2"/>
  <c r="A7702" i="2"/>
  <c r="E7701" i="2"/>
  <c r="D7701" i="2"/>
  <c r="C7701" i="2"/>
  <c r="B7701" i="2"/>
  <c r="A7701" i="2"/>
  <c r="E7700" i="2"/>
  <c r="D7700" i="2"/>
  <c r="C7700" i="2"/>
  <c r="B7700" i="2"/>
  <c r="A7700" i="2"/>
  <c r="E7699" i="2"/>
  <c r="D7699" i="2"/>
  <c r="C7699" i="2"/>
  <c r="B7699" i="2"/>
  <c r="A7699" i="2"/>
  <c r="E7698" i="2"/>
  <c r="D7698" i="2"/>
  <c r="C7698" i="2"/>
  <c r="B7698" i="2"/>
  <c r="A7698" i="2"/>
  <c r="E7697" i="2"/>
  <c r="D7697" i="2"/>
  <c r="C7697" i="2"/>
  <c r="B7697" i="2"/>
  <c r="A7697" i="2"/>
  <c r="E7696" i="2"/>
  <c r="D7696" i="2"/>
  <c r="C7696" i="2"/>
  <c r="B7696" i="2"/>
  <c r="A7696" i="2"/>
  <c r="E7695" i="2"/>
  <c r="D7695" i="2"/>
  <c r="C7695" i="2"/>
  <c r="B7695" i="2"/>
  <c r="A7695" i="2"/>
  <c r="E7694" i="2"/>
  <c r="D7694" i="2"/>
  <c r="C7694" i="2"/>
  <c r="B7694" i="2"/>
  <c r="A7694" i="2"/>
  <c r="E7693" i="2"/>
  <c r="D7693" i="2"/>
  <c r="C7693" i="2"/>
  <c r="B7693" i="2"/>
  <c r="A7693" i="2"/>
  <c r="E7692" i="2"/>
  <c r="D7692" i="2"/>
  <c r="C7692" i="2"/>
  <c r="B7692" i="2"/>
  <c r="A7692" i="2"/>
  <c r="E7691" i="2"/>
  <c r="D7691" i="2"/>
  <c r="C7691" i="2"/>
  <c r="B7691" i="2"/>
  <c r="A7691" i="2"/>
  <c r="E7690" i="2"/>
  <c r="D7690" i="2"/>
  <c r="C7690" i="2"/>
  <c r="B7690" i="2"/>
  <c r="A7690" i="2"/>
  <c r="E7689" i="2"/>
  <c r="D7689" i="2"/>
  <c r="C7689" i="2"/>
  <c r="B7689" i="2"/>
  <c r="A7689" i="2"/>
  <c r="E7688" i="2"/>
  <c r="D7688" i="2"/>
  <c r="C7688" i="2"/>
  <c r="B7688" i="2"/>
  <c r="A7688" i="2"/>
  <c r="E7687" i="2"/>
  <c r="D7687" i="2"/>
  <c r="C7687" i="2"/>
  <c r="B7687" i="2"/>
  <c r="A7687" i="2"/>
  <c r="E7686" i="2"/>
  <c r="D7686" i="2"/>
  <c r="C7686" i="2"/>
  <c r="B7686" i="2"/>
  <c r="A7686" i="2"/>
  <c r="E7685" i="2"/>
  <c r="D7685" i="2"/>
  <c r="C7685" i="2"/>
  <c r="B7685" i="2"/>
  <c r="A7685" i="2"/>
  <c r="E7684" i="2"/>
  <c r="D7684" i="2"/>
  <c r="C7684" i="2"/>
  <c r="B7684" i="2"/>
  <c r="A7684" i="2"/>
  <c r="E7683" i="2"/>
  <c r="D7683" i="2"/>
  <c r="C7683" i="2"/>
  <c r="B7683" i="2"/>
  <c r="A7683" i="2"/>
  <c r="E7682" i="2"/>
  <c r="D7682" i="2"/>
  <c r="C7682" i="2"/>
  <c r="B7682" i="2"/>
  <c r="A7682" i="2"/>
  <c r="E7681" i="2"/>
  <c r="D7681" i="2"/>
  <c r="C7681" i="2"/>
  <c r="B7681" i="2"/>
  <c r="A7681" i="2"/>
  <c r="E7680" i="2"/>
  <c r="D7680" i="2"/>
  <c r="C7680" i="2"/>
  <c r="B7680" i="2"/>
  <c r="A7680" i="2"/>
  <c r="E7679" i="2"/>
  <c r="D7679" i="2"/>
  <c r="C7679" i="2"/>
  <c r="B7679" i="2"/>
  <c r="A7679" i="2"/>
  <c r="E7678" i="2"/>
  <c r="D7678" i="2"/>
  <c r="C7678" i="2"/>
  <c r="B7678" i="2"/>
  <c r="A7678" i="2"/>
  <c r="E7677" i="2"/>
  <c r="D7677" i="2"/>
  <c r="C7677" i="2"/>
  <c r="B7677" i="2"/>
  <c r="A7677" i="2"/>
  <c r="E7676" i="2"/>
  <c r="D7676" i="2"/>
  <c r="C7676" i="2"/>
  <c r="B7676" i="2"/>
  <c r="A7676" i="2"/>
  <c r="E7675" i="2"/>
  <c r="D7675" i="2"/>
  <c r="C7675" i="2"/>
  <c r="B7675" i="2"/>
  <c r="A7675" i="2"/>
  <c r="E7674" i="2"/>
  <c r="D7674" i="2"/>
  <c r="C7674" i="2"/>
  <c r="B7674" i="2"/>
  <c r="A7674" i="2"/>
  <c r="E7673" i="2"/>
  <c r="D7673" i="2"/>
  <c r="C7673" i="2"/>
  <c r="B7673" i="2"/>
  <c r="A7673" i="2"/>
  <c r="E7672" i="2"/>
  <c r="D7672" i="2"/>
  <c r="C7672" i="2"/>
  <c r="B7672" i="2"/>
  <c r="A7672" i="2"/>
  <c r="E7671" i="2"/>
  <c r="D7671" i="2"/>
  <c r="C7671" i="2"/>
  <c r="B7671" i="2"/>
  <c r="A7671" i="2"/>
  <c r="E7670" i="2"/>
  <c r="D7670" i="2"/>
  <c r="C7670" i="2"/>
  <c r="B7670" i="2"/>
  <c r="A7670" i="2"/>
  <c r="E7669" i="2"/>
  <c r="D7669" i="2"/>
  <c r="C7669" i="2"/>
  <c r="B7669" i="2"/>
  <c r="A7669" i="2"/>
  <c r="E7668" i="2"/>
  <c r="D7668" i="2"/>
  <c r="C7668" i="2"/>
  <c r="B7668" i="2"/>
  <c r="A7668" i="2"/>
  <c r="E7667" i="2"/>
  <c r="D7667" i="2"/>
  <c r="C7667" i="2"/>
  <c r="B7667" i="2"/>
  <c r="A7667" i="2"/>
  <c r="E7666" i="2"/>
  <c r="D7666" i="2"/>
  <c r="C7666" i="2"/>
  <c r="B7666" i="2"/>
  <c r="A7666" i="2"/>
  <c r="E7665" i="2"/>
  <c r="D7665" i="2"/>
  <c r="C7665" i="2"/>
  <c r="B7665" i="2"/>
  <c r="A7665" i="2"/>
  <c r="E7664" i="2"/>
  <c r="D7664" i="2"/>
  <c r="C7664" i="2"/>
  <c r="B7664" i="2"/>
  <c r="A7664" i="2"/>
  <c r="E7663" i="2"/>
  <c r="D7663" i="2"/>
  <c r="C7663" i="2"/>
  <c r="B7663" i="2"/>
  <c r="A7663" i="2"/>
  <c r="E7662" i="2"/>
  <c r="D7662" i="2"/>
  <c r="C7662" i="2"/>
  <c r="B7662" i="2"/>
  <c r="A7662" i="2"/>
  <c r="E7661" i="2"/>
  <c r="D7661" i="2"/>
  <c r="C7661" i="2"/>
  <c r="B7661" i="2"/>
  <c r="A7661" i="2"/>
  <c r="E7660" i="2"/>
  <c r="D7660" i="2"/>
  <c r="C7660" i="2"/>
  <c r="B7660" i="2"/>
  <c r="A7660" i="2"/>
  <c r="E7659" i="2"/>
  <c r="D7659" i="2"/>
  <c r="C7659" i="2"/>
  <c r="B7659" i="2"/>
  <c r="A7659" i="2"/>
  <c r="E7658" i="2"/>
  <c r="D7658" i="2"/>
  <c r="C7658" i="2"/>
  <c r="B7658" i="2"/>
  <c r="A7658" i="2"/>
  <c r="E7657" i="2"/>
  <c r="D7657" i="2"/>
  <c r="C7657" i="2"/>
  <c r="B7657" i="2"/>
  <c r="A7657" i="2"/>
  <c r="E7656" i="2"/>
  <c r="D7656" i="2"/>
  <c r="C7656" i="2"/>
  <c r="B7656" i="2"/>
  <c r="A7656" i="2"/>
  <c r="E7655" i="2"/>
  <c r="D7655" i="2"/>
  <c r="C7655" i="2"/>
  <c r="B7655" i="2"/>
  <c r="A7655" i="2"/>
  <c r="E7654" i="2"/>
  <c r="D7654" i="2"/>
  <c r="C7654" i="2"/>
  <c r="B7654" i="2"/>
  <c r="A7654" i="2"/>
  <c r="E7653" i="2"/>
  <c r="D7653" i="2"/>
  <c r="C7653" i="2"/>
  <c r="B7653" i="2"/>
  <c r="A7653" i="2"/>
  <c r="E7652" i="2"/>
  <c r="D7652" i="2"/>
  <c r="C7652" i="2"/>
  <c r="B7652" i="2"/>
  <c r="A7652" i="2"/>
  <c r="E7651" i="2"/>
  <c r="D7651" i="2"/>
  <c r="C7651" i="2"/>
  <c r="B7651" i="2"/>
  <c r="A7651" i="2"/>
  <c r="E7650" i="2"/>
  <c r="D7650" i="2"/>
  <c r="C7650" i="2"/>
  <c r="B7650" i="2"/>
  <c r="A7650" i="2"/>
  <c r="E7649" i="2"/>
  <c r="D7649" i="2"/>
  <c r="C7649" i="2"/>
  <c r="B7649" i="2"/>
  <c r="A7649" i="2"/>
  <c r="E7648" i="2"/>
  <c r="D7648" i="2"/>
  <c r="C7648" i="2"/>
  <c r="B7648" i="2"/>
  <c r="A7648" i="2"/>
  <c r="E7647" i="2"/>
  <c r="D7647" i="2"/>
  <c r="C7647" i="2"/>
  <c r="B7647" i="2"/>
  <c r="A7647" i="2"/>
  <c r="E7646" i="2"/>
  <c r="D7646" i="2"/>
  <c r="C7646" i="2"/>
  <c r="B7646" i="2"/>
  <c r="A7646" i="2"/>
  <c r="E7645" i="2"/>
  <c r="D7645" i="2"/>
  <c r="C7645" i="2"/>
  <c r="B7645" i="2"/>
  <c r="A7645" i="2"/>
  <c r="E7644" i="2"/>
  <c r="D7644" i="2"/>
  <c r="C7644" i="2"/>
  <c r="B7644" i="2"/>
  <c r="A7644" i="2"/>
  <c r="E7643" i="2"/>
  <c r="D7643" i="2"/>
  <c r="C7643" i="2"/>
  <c r="B7643" i="2"/>
  <c r="A7643" i="2"/>
  <c r="E7642" i="2"/>
  <c r="D7642" i="2"/>
  <c r="C7642" i="2"/>
  <c r="B7642" i="2"/>
  <c r="A7642" i="2"/>
  <c r="E7641" i="2"/>
  <c r="D7641" i="2"/>
  <c r="C7641" i="2"/>
  <c r="B7641" i="2"/>
  <c r="A7641" i="2"/>
  <c r="E7640" i="2"/>
  <c r="D7640" i="2"/>
  <c r="C7640" i="2"/>
  <c r="B7640" i="2"/>
  <c r="A7640" i="2"/>
  <c r="E7639" i="2"/>
  <c r="D7639" i="2"/>
  <c r="C7639" i="2"/>
  <c r="B7639" i="2"/>
  <c r="A7639" i="2"/>
  <c r="E7638" i="2"/>
  <c r="D7638" i="2"/>
  <c r="C7638" i="2"/>
  <c r="B7638" i="2"/>
  <c r="A7638" i="2"/>
  <c r="E7637" i="2"/>
  <c r="D7637" i="2"/>
  <c r="C7637" i="2"/>
  <c r="B7637" i="2"/>
  <c r="A7637" i="2"/>
  <c r="E7636" i="2"/>
  <c r="D7636" i="2"/>
  <c r="C7636" i="2"/>
  <c r="B7636" i="2"/>
  <c r="A7636" i="2"/>
  <c r="E7635" i="2"/>
  <c r="D7635" i="2"/>
  <c r="C7635" i="2"/>
  <c r="B7635" i="2"/>
  <c r="A7635" i="2"/>
  <c r="E7634" i="2"/>
  <c r="D7634" i="2"/>
  <c r="C7634" i="2"/>
  <c r="B7634" i="2"/>
  <c r="A7634" i="2"/>
  <c r="E7633" i="2"/>
  <c r="D7633" i="2"/>
  <c r="C7633" i="2"/>
  <c r="B7633" i="2"/>
  <c r="A7633" i="2"/>
  <c r="E7632" i="2"/>
  <c r="D7632" i="2"/>
  <c r="C7632" i="2"/>
  <c r="B7632" i="2"/>
  <c r="A7632" i="2"/>
  <c r="E7631" i="2"/>
  <c r="D7631" i="2"/>
  <c r="C7631" i="2"/>
  <c r="B7631" i="2"/>
  <c r="A7631" i="2"/>
  <c r="E7630" i="2"/>
  <c r="D7630" i="2"/>
  <c r="C7630" i="2"/>
  <c r="B7630" i="2"/>
  <c r="A7630" i="2"/>
  <c r="E7629" i="2"/>
  <c r="D7629" i="2"/>
  <c r="C7629" i="2"/>
  <c r="B7629" i="2"/>
  <c r="A7629" i="2"/>
  <c r="E7628" i="2"/>
  <c r="D7628" i="2"/>
  <c r="C7628" i="2"/>
  <c r="B7628" i="2"/>
  <c r="A7628" i="2"/>
  <c r="E7627" i="2"/>
  <c r="D7627" i="2"/>
  <c r="C7627" i="2"/>
  <c r="B7627" i="2"/>
  <c r="A7627" i="2"/>
  <c r="E7626" i="2"/>
  <c r="D7626" i="2"/>
  <c r="C7626" i="2"/>
  <c r="B7626" i="2"/>
  <c r="A7626" i="2"/>
  <c r="E7625" i="2"/>
  <c r="D7625" i="2"/>
  <c r="C7625" i="2"/>
  <c r="B7625" i="2"/>
  <c r="A7625" i="2"/>
  <c r="E7624" i="2"/>
  <c r="D7624" i="2"/>
  <c r="C7624" i="2"/>
  <c r="B7624" i="2"/>
  <c r="A7624" i="2"/>
  <c r="E7623" i="2"/>
  <c r="D7623" i="2"/>
  <c r="C7623" i="2"/>
  <c r="B7623" i="2"/>
  <c r="A7623" i="2"/>
  <c r="E7622" i="2"/>
  <c r="D7622" i="2"/>
  <c r="C7622" i="2"/>
  <c r="B7622" i="2"/>
  <c r="A7622" i="2"/>
  <c r="E7621" i="2"/>
  <c r="D7621" i="2"/>
  <c r="C7621" i="2"/>
  <c r="B7621" i="2"/>
  <c r="A7621" i="2"/>
  <c r="E7620" i="2"/>
  <c r="D7620" i="2"/>
  <c r="C7620" i="2"/>
  <c r="B7620" i="2"/>
  <c r="A7620" i="2"/>
  <c r="E7619" i="2"/>
  <c r="D7619" i="2"/>
  <c r="C7619" i="2"/>
  <c r="B7619" i="2"/>
  <c r="A7619" i="2"/>
  <c r="E7618" i="2"/>
  <c r="D7618" i="2"/>
  <c r="C7618" i="2"/>
  <c r="B7618" i="2"/>
  <c r="A7618" i="2"/>
  <c r="E7617" i="2"/>
  <c r="D7617" i="2"/>
  <c r="C7617" i="2"/>
  <c r="B7617" i="2"/>
  <c r="A7617" i="2"/>
  <c r="E7616" i="2"/>
  <c r="D7616" i="2"/>
  <c r="C7616" i="2"/>
  <c r="B7616" i="2"/>
  <c r="A7616" i="2"/>
  <c r="E7615" i="2"/>
  <c r="D7615" i="2"/>
  <c r="C7615" i="2"/>
  <c r="B7615" i="2"/>
  <c r="A7615" i="2"/>
  <c r="E7614" i="2"/>
  <c r="D7614" i="2"/>
  <c r="C7614" i="2"/>
  <c r="B7614" i="2"/>
  <c r="A7614" i="2"/>
  <c r="E7613" i="2"/>
  <c r="D7613" i="2"/>
  <c r="C7613" i="2"/>
  <c r="B7613" i="2"/>
  <c r="A7613" i="2"/>
  <c r="E7612" i="2"/>
  <c r="D7612" i="2"/>
  <c r="C7612" i="2"/>
  <c r="B7612" i="2"/>
  <c r="A7612" i="2"/>
  <c r="E7611" i="2"/>
  <c r="D7611" i="2"/>
  <c r="C7611" i="2"/>
  <c r="B7611" i="2"/>
  <c r="A7611" i="2"/>
  <c r="E7610" i="2"/>
  <c r="D7610" i="2"/>
  <c r="C7610" i="2"/>
  <c r="B7610" i="2"/>
  <c r="A7610" i="2"/>
  <c r="E7609" i="2"/>
  <c r="D7609" i="2"/>
  <c r="C7609" i="2"/>
  <c r="B7609" i="2"/>
  <c r="A7609" i="2"/>
  <c r="E7608" i="2"/>
  <c r="D7608" i="2"/>
  <c r="C7608" i="2"/>
  <c r="B7608" i="2"/>
  <c r="A7608" i="2"/>
  <c r="E7607" i="2"/>
  <c r="D7607" i="2"/>
  <c r="C7607" i="2"/>
  <c r="B7607" i="2"/>
  <c r="A7607" i="2"/>
  <c r="E7606" i="2"/>
  <c r="D7606" i="2"/>
  <c r="C7606" i="2"/>
  <c r="B7606" i="2"/>
  <c r="A7606" i="2"/>
  <c r="E7605" i="2"/>
  <c r="D7605" i="2"/>
  <c r="C7605" i="2"/>
  <c r="B7605" i="2"/>
  <c r="A7605" i="2"/>
  <c r="E7604" i="2"/>
  <c r="D7604" i="2"/>
  <c r="C7604" i="2"/>
  <c r="B7604" i="2"/>
  <c r="A7604" i="2"/>
  <c r="E7603" i="2"/>
  <c r="D7603" i="2"/>
  <c r="C7603" i="2"/>
  <c r="B7603" i="2"/>
  <c r="A7603" i="2"/>
  <c r="E7602" i="2"/>
  <c r="D7602" i="2"/>
  <c r="C7602" i="2"/>
  <c r="B7602" i="2"/>
  <c r="A7602" i="2"/>
  <c r="E7601" i="2"/>
  <c r="D7601" i="2"/>
  <c r="C7601" i="2"/>
  <c r="B7601" i="2"/>
  <c r="A7601" i="2"/>
  <c r="E7600" i="2"/>
  <c r="D7600" i="2"/>
  <c r="C7600" i="2"/>
  <c r="B7600" i="2"/>
  <c r="A7600" i="2"/>
  <c r="E7599" i="2"/>
  <c r="D7599" i="2"/>
  <c r="C7599" i="2"/>
  <c r="B7599" i="2"/>
  <c r="A7599" i="2"/>
  <c r="E7598" i="2"/>
  <c r="D7598" i="2"/>
  <c r="C7598" i="2"/>
  <c r="B7598" i="2"/>
  <c r="A7598" i="2"/>
  <c r="E7597" i="2"/>
  <c r="D7597" i="2"/>
  <c r="C7597" i="2"/>
  <c r="B7597" i="2"/>
  <c r="A7597" i="2"/>
  <c r="E7596" i="2"/>
  <c r="D7596" i="2"/>
  <c r="C7596" i="2"/>
  <c r="B7596" i="2"/>
  <c r="A7596" i="2"/>
  <c r="E7595" i="2"/>
  <c r="D7595" i="2"/>
  <c r="C7595" i="2"/>
  <c r="B7595" i="2"/>
  <c r="A7595" i="2"/>
  <c r="E7594" i="2"/>
  <c r="D7594" i="2"/>
  <c r="C7594" i="2"/>
  <c r="B7594" i="2"/>
  <c r="A7594" i="2"/>
  <c r="E7593" i="2"/>
  <c r="D7593" i="2"/>
  <c r="C7593" i="2"/>
  <c r="B7593" i="2"/>
  <c r="A7593" i="2"/>
  <c r="E7592" i="2"/>
  <c r="D7592" i="2"/>
  <c r="C7592" i="2"/>
  <c r="B7592" i="2"/>
  <c r="A7592" i="2"/>
  <c r="E7591" i="2"/>
  <c r="D7591" i="2"/>
  <c r="C7591" i="2"/>
  <c r="B7591" i="2"/>
  <c r="A7591" i="2"/>
  <c r="E7590" i="2"/>
  <c r="D7590" i="2"/>
  <c r="C7590" i="2"/>
  <c r="B7590" i="2"/>
  <c r="A7590" i="2"/>
  <c r="E7589" i="2"/>
  <c r="D7589" i="2"/>
  <c r="C7589" i="2"/>
  <c r="B7589" i="2"/>
  <c r="A7589" i="2"/>
  <c r="E7588" i="2"/>
  <c r="D7588" i="2"/>
  <c r="C7588" i="2"/>
  <c r="B7588" i="2"/>
  <c r="A7588" i="2"/>
  <c r="E7587" i="2"/>
  <c r="D7587" i="2"/>
  <c r="C7587" i="2"/>
  <c r="B7587" i="2"/>
  <c r="A7587" i="2"/>
  <c r="E7586" i="2"/>
  <c r="D7586" i="2"/>
  <c r="C7586" i="2"/>
  <c r="B7586" i="2"/>
  <c r="A7586" i="2"/>
  <c r="E7585" i="2"/>
  <c r="D7585" i="2"/>
  <c r="C7585" i="2"/>
  <c r="B7585" i="2"/>
  <c r="A7585" i="2"/>
  <c r="E7584" i="2"/>
  <c r="D7584" i="2"/>
  <c r="C7584" i="2"/>
  <c r="B7584" i="2"/>
  <c r="A7584" i="2"/>
  <c r="E7583" i="2"/>
  <c r="D7583" i="2"/>
  <c r="C7583" i="2"/>
  <c r="B7583" i="2"/>
  <c r="A7583" i="2"/>
  <c r="E7582" i="2"/>
  <c r="D7582" i="2"/>
  <c r="C7582" i="2"/>
  <c r="B7582" i="2"/>
  <c r="A7582" i="2"/>
  <c r="E7581" i="2"/>
  <c r="D7581" i="2"/>
  <c r="C7581" i="2"/>
  <c r="B7581" i="2"/>
  <c r="A7581" i="2"/>
  <c r="E7580" i="2"/>
  <c r="D7580" i="2"/>
  <c r="C7580" i="2"/>
  <c r="B7580" i="2"/>
  <c r="A7580" i="2"/>
  <c r="E7579" i="2"/>
  <c r="D7579" i="2"/>
  <c r="C7579" i="2"/>
  <c r="B7579" i="2"/>
  <c r="A7579" i="2"/>
  <c r="E7578" i="2"/>
  <c r="D7578" i="2"/>
  <c r="C7578" i="2"/>
  <c r="B7578" i="2"/>
  <c r="A7578" i="2"/>
  <c r="E7577" i="2"/>
  <c r="D7577" i="2"/>
  <c r="C7577" i="2"/>
  <c r="B7577" i="2"/>
  <c r="A7577" i="2"/>
  <c r="E7576" i="2"/>
  <c r="D7576" i="2"/>
  <c r="C7576" i="2"/>
  <c r="B7576" i="2"/>
  <c r="A7576" i="2"/>
  <c r="E7575" i="2"/>
  <c r="D7575" i="2"/>
  <c r="C7575" i="2"/>
  <c r="B7575" i="2"/>
  <c r="A7575" i="2"/>
  <c r="E7574" i="2"/>
  <c r="D7574" i="2"/>
  <c r="C7574" i="2"/>
  <c r="B7574" i="2"/>
  <c r="A7574" i="2"/>
  <c r="E7573" i="2"/>
  <c r="D7573" i="2"/>
  <c r="C7573" i="2"/>
  <c r="B7573" i="2"/>
  <c r="A7573" i="2"/>
  <c r="E7572" i="2"/>
  <c r="D7572" i="2"/>
  <c r="C7572" i="2"/>
  <c r="B7572" i="2"/>
  <c r="A7572" i="2"/>
  <c r="E7571" i="2"/>
  <c r="D7571" i="2"/>
  <c r="C7571" i="2"/>
  <c r="B7571" i="2"/>
  <c r="A7571" i="2"/>
  <c r="E7570" i="2"/>
  <c r="D7570" i="2"/>
  <c r="C7570" i="2"/>
  <c r="B7570" i="2"/>
  <c r="A7570" i="2"/>
  <c r="E7569" i="2"/>
  <c r="D7569" i="2"/>
  <c r="C7569" i="2"/>
  <c r="B7569" i="2"/>
  <c r="A7569" i="2"/>
  <c r="E7568" i="2"/>
  <c r="D7568" i="2"/>
  <c r="C7568" i="2"/>
  <c r="B7568" i="2"/>
  <c r="A7568" i="2"/>
  <c r="E7567" i="2"/>
  <c r="D7567" i="2"/>
  <c r="C7567" i="2"/>
  <c r="B7567" i="2"/>
  <c r="A7567" i="2"/>
  <c r="E7566" i="2"/>
  <c r="D7566" i="2"/>
  <c r="C7566" i="2"/>
  <c r="B7566" i="2"/>
  <c r="A7566" i="2"/>
  <c r="E7565" i="2"/>
  <c r="D7565" i="2"/>
  <c r="C7565" i="2"/>
  <c r="B7565" i="2"/>
  <c r="A7565" i="2"/>
  <c r="E7564" i="2"/>
  <c r="D7564" i="2"/>
  <c r="C7564" i="2"/>
  <c r="B7564" i="2"/>
  <c r="A7564" i="2"/>
  <c r="E7563" i="2"/>
  <c r="D7563" i="2"/>
  <c r="C7563" i="2"/>
  <c r="B7563" i="2"/>
  <c r="A7563" i="2"/>
  <c r="E7562" i="2"/>
  <c r="D7562" i="2"/>
  <c r="C7562" i="2"/>
  <c r="B7562" i="2"/>
  <c r="A7562" i="2"/>
  <c r="E7561" i="2"/>
  <c r="D7561" i="2"/>
  <c r="C7561" i="2"/>
  <c r="B7561" i="2"/>
  <c r="A7561" i="2"/>
  <c r="E7560" i="2"/>
  <c r="D7560" i="2"/>
  <c r="C7560" i="2"/>
  <c r="B7560" i="2"/>
  <c r="A7560" i="2"/>
  <c r="E7559" i="2"/>
  <c r="D7559" i="2"/>
  <c r="C7559" i="2"/>
  <c r="B7559" i="2"/>
  <c r="A7559" i="2"/>
  <c r="E7558" i="2"/>
  <c r="D7558" i="2"/>
  <c r="C7558" i="2"/>
  <c r="B7558" i="2"/>
  <c r="A7558" i="2"/>
  <c r="E7557" i="2"/>
  <c r="D7557" i="2"/>
  <c r="C7557" i="2"/>
  <c r="B7557" i="2"/>
  <c r="A7557" i="2"/>
  <c r="E7556" i="2"/>
  <c r="D7556" i="2"/>
  <c r="C7556" i="2"/>
  <c r="B7556" i="2"/>
  <c r="A7556" i="2"/>
  <c r="E7555" i="2"/>
  <c r="D7555" i="2"/>
  <c r="C7555" i="2"/>
  <c r="B7555" i="2"/>
  <c r="A7555" i="2"/>
  <c r="E7554" i="2"/>
  <c r="D7554" i="2"/>
  <c r="C7554" i="2"/>
  <c r="B7554" i="2"/>
  <c r="A7554" i="2"/>
  <c r="E7553" i="2"/>
  <c r="D7553" i="2"/>
  <c r="C7553" i="2"/>
  <c r="B7553" i="2"/>
  <c r="A7553" i="2"/>
  <c r="E7552" i="2"/>
  <c r="D7552" i="2"/>
  <c r="C7552" i="2"/>
  <c r="B7552" i="2"/>
  <c r="A7552" i="2"/>
  <c r="E7551" i="2"/>
  <c r="D7551" i="2"/>
  <c r="C7551" i="2"/>
  <c r="B7551" i="2"/>
  <c r="A7551" i="2"/>
  <c r="E7550" i="2"/>
  <c r="D7550" i="2"/>
  <c r="C7550" i="2"/>
  <c r="B7550" i="2"/>
  <c r="A7550" i="2"/>
  <c r="E7549" i="2"/>
  <c r="D7549" i="2"/>
  <c r="C7549" i="2"/>
  <c r="B7549" i="2"/>
  <c r="A7549" i="2"/>
  <c r="E7548" i="2"/>
  <c r="D7548" i="2"/>
  <c r="C7548" i="2"/>
  <c r="B7548" i="2"/>
  <c r="A7548" i="2"/>
  <c r="E7547" i="2"/>
  <c r="D7547" i="2"/>
  <c r="C7547" i="2"/>
  <c r="B7547" i="2"/>
  <c r="A7547" i="2"/>
  <c r="E7546" i="2"/>
  <c r="D7546" i="2"/>
  <c r="C7546" i="2"/>
  <c r="B7546" i="2"/>
  <c r="A7546" i="2"/>
  <c r="E7545" i="2"/>
  <c r="D7545" i="2"/>
  <c r="C7545" i="2"/>
  <c r="B7545" i="2"/>
  <c r="A7545" i="2"/>
  <c r="E7544" i="2"/>
  <c r="D7544" i="2"/>
  <c r="C7544" i="2"/>
  <c r="B7544" i="2"/>
  <c r="A7544" i="2"/>
  <c r="E7543" i="2"/>
  <c r="D7543" i="2"/>
  <c r="C7543" i="2"/>
  <c r="B7543" i="2"/>
  <c r="A7543" i="2"/>
  <c r="E7542" i="2"/>
  <c r="D7542" i="2"/>
  <c r="C7542" i="2"/>
  <c r="B7542" i="2"/>
  <c r="A7542" i="2"/>
  <c r="E7541" i="2"/>
  <c r="D7541" i="2"/>
  <c r="C7541" i="2"/>
  <c r="B7541" i="2"/>
  <c r="A7541" i="2"/>
  <c r="E7540" i="2"/>
  <c r="D7540" i="2"/>
  <c r="C7540" i="2"/>
  <c r="B7540" i="2"/>
  <c r="A7540" i="2"/>
  <c r="E7539" i="2"/>
  <c r="D7539" i="2"/>
  <c r="C7539" i="2"/>
  <c r="B7539" i="2"/>
  <c r="A7539" i="2"/>
  <c r="E7538" i="2"/>
  <c r="D7538" i="2"/>
  <c r="C7538" i="2"/>
  <c r="B7538" i="2"/>
  <c r="A7538" i="2"/>
  <c r="E7537" i="2"/>
  <c r="D7537" i="2"/>
  <c r="C7537" i="2"/>
  <c r="B7537" i="2"/>
  <c r="A7537" i="2"/>
  <c r="E7536" i="2"/>
  <c r="D7536" i="2"/>
  <c r="C7536" i="2"/>
  <c r="B7536" i="2"/>
  <c r="A7536" i="2"/>
  <c r="E7535" i="2"/>
  <c r="D7535" i="2"/>
  <c r="C7535" i="2"/>
  <c r="B7535" i="2"/>
  <c r="A7535" i="2"/>
  <c r="E7534" i="2"/>
  <c r="D7534" i="2"/>
  <c r="C7534" i="2"/>
  <c r="B7534" i="2"/>
  <c r="A7534" i="2"/>
  <c r="E7533" i="2"/>
  <c r="D7533" i="2"/>
  <c r="C7533" i="2"/>
  <c r="B7533" i="2"/>
  <c r="A7533" i="2"/>
  <c r="E7532" i="2"/>
  <c r="D7532" i="2"/>
  <c r="C7532" i="2"/>
  <c r="B7532" i="2"/>
  <c r="A7532" i="2"/>
  <c r="E7531" i="2"/>
  <c r="D7531" i="2"/>
  <c r="C7531" i="2"/>
  <c r="B7531" i="2"/>
  <c r="A7531" i="2"/>
  <c r="E7530" i="2"/>
  <c r="D7530" i="2"/>
  <c r="C7530" i="2"/>
  <c r="B7530" i="2"/>
  <c r="A7530" i="2"/>
  <c r="E7529" i="2"/>
  <c r="D7529" i="2"/>
  <c r="C7529" i="2"/>
  <c r="B7529" i="2"/>
  <c r="A7529" i="2"/>
  <c r="E7528" i="2"/>
  <c r="D7528" i="2"/>
  <c r="C7528" i="2"/>
  <c r="B7528" i="2"/>
  <c r="A7528" i="2"/>
  <c r="E7527" i="2"/>
  <c r="D7527" i="2"/>
  <c r="C7527" i="2"/>
  <c r="B7527" i="2"/>
  <c r="A7527" i="2"/>
  <c r="E7526" i="2"/>
  <c r="D7526" i="2"/>
  <c r="C7526" i="2"/>
  <c r="B7526" i="2"/>
  <c r="A7526" i="2"/>
  <c r="E7525" i="2"/>
  <c r="D7525" i="2"/>
  <c r="C7525" i="2"/>
  <c r="B7525" i="2"/>
  <c r="A7525" i="2"/>
  <c r="E7524" i="2"/>
  <c r="D7524" i="2"/>
  <c r="C7524" i="2"/>
  <c r="B7524" i="2"/>
  <c r="A7524" i="2"/>
  <c r="E7523" i="2"/>
  <c r="D7523" i="2"/>
  <c r="C7523" i="2"/>
  <c r="B7523" i="2"/>
  <c r="A7523" i="2"/>
  <c r="E7522" i="2"/>
  <c r="D7522" i="2"/>
  <c r="C7522" i="2"/>
  <c r="B7522" i="2"/>
  <c r="A7522" i="2"/>
  <c r="E7521" i="2"/>
  <c r="D7521" i="2"/>
  <c r="C7521" i="2"/>
  <c r="B7521" i="2"/>
  <c r="A7521" i="2"/>
  <c r="E7520" i="2"/>
  <c r="D7520" i="2"/>
  <c r="C7520" i="2"/>
  <c r="B7520" i="2"/>
  <c r="A7520" i="2"/>
  <c r="E7519" i="2"/>
  <c r="D7519" i="2"/>
  <c r="C7519" i="2"/>
  <c r="B7519" i="2"/>
  <c r="A7519" i="2"/>
  <c r="E7518" i="2"/>
  <c r="D7518" i="2"/>
  <c r="C7518" i="2"/>
  <c r="B7518" i="2"/>
  <c r="A7518" i="2"/>
  <c r="E7517" i="2"/>
  <c r="D7517" i="2"/>
  <c r="C7517" i="2"/>
  <c r="B7517" i="2"/>
  <c r="A7517" i="2"/>
  <c r="E7516" i="2"/>
  <c r="D7516" i="2"/>
  <c r="C7516" i="2"/>
  <c r="B7516" i="2"/>
  <c r="A7516" i="2"/>
  <c r="E7515" i="2"/>
  <c r="D7515" i="2"/>
  <c r="C7515" i="2"/>
  <c r="B7515" i="2"/>
  <c r="A7515" i="2"/>
  <c r="E7514" i="2"/>
  <c r="D7514" i="2"/>
  <c r="C7514" i="2"/>
  <c r="B7514" i="2"/>
  <c r="A7514" i="2"/>
  <c r="E7513" i="2"/>
  <c r="D7513" i="2"/>
  <c r="C7513" i="2"/>
  <c r="B7513" i="2"/>
  <c r="A7513" i="2"/>
  <c r="E7512" i="2"/>
  <c r="D7512" i="2"/>
  <c r="C7512" i="2"/>
  <c r="B7512" i="2"/>
  <c r="A7512" i="2"/>
  <c r="E7511" i="2"/>
  <c r="D7511" i="2"/>
  <c r="C7511" i="2"/>
  <c r="B7511" i="2"/>
  <c r="A7511" i="2"/>
  <c r="E7510" i="2"/>
  <c r="D7510" i="2"/>
  <c r="C7510" i="2"/>
  <c r="B7510" i="2"/>
  <c r="A7510" i="2"/>
  <c r="E7509" i="2"/>
  <c r="D7509" i="2"/>
  <c r="C7509" i="2"/>
  <c r="B7509" i="2"/>
  <c r="A7509" i="2"/>
  <c r="E7508" i="2"/>
  <c r="D7508" i="2"/>
  <c r="C7508" i="2"/>
  <c r="B7508" i="2"/>
  <c r="A7508" i="2"/>
  <c r="E7507" i="2"/>
  <c r="D7507" i="2"/>
  <c r="C7507" i="2"/>
  <c r="B7507" i="2"/>
  <c r="A7507" i="2"/>
  <c r="E7506" i="2"/>
  <c r="D7506" i="2"/>
  <c r="C7506" i="2"/>
  <c r="B7506" i="2"/>
  <c r="A7506" i="2"/>
  <c r="E7505" i="2"/>
  <c r="D7505" i="2"/>
  <c r="C7505" i="2"/>
  <c r="B7505" i="2"/>
  <c r="A7505" i="2"/>
  <c r="E7504" i="2"/>
  <c r="D7504" i="2"/>
  <c r="C7504" i="2"/>
  <c r="B7504" i="2"/>
  <c r="A7504" i="2"/>
  <c r="E7503" i="2"/>
  <c r="D7503" i="2"/>
  <c r="C7503" i="2"/>
  <c r="B7503" i="2"/>
  <c r="A7503" i="2"/>
  <c r="E7502" i="2"/>
  <c r="D7502" i="2"/>
  <c r="C7502" i="2"/>
  <c r="B7502" i="2"/>
  <c r="A7502" i="2"/>
  <c r="E7501" i="2"/>
  <c r="D7501" i="2"/>
  <c r="C7501" i="2"/>
  <c r="B7501" i="2"/>
  <c r="A7501" i="2"/>
  <c r="E7500" i="2"/>
  <c r="D7500" i="2"/>
  <c r="C7500" i="2"/>
  <c r="B7500" i="2"/>
  <c r="A7500" i="2"/>
  <c r="E7499" i="2"/>
  <c r="D7499" i="2"/>
  <c r="C7499" i="2"/>
  <c r="B7499" i="2"/>
  <c r="A7499" i="2"/>
  <c r="E7498" i="2"/>
  <c r="D7498" i="2"/>
  <c r="C7498" i="2"/>
  <c r="B7498" i="2"/>
  <c r="A7498" i="2"/>
  <c r="E7497" i="2"/>
  <c r="D7497" i="2"/>
  <c r="C7497" i="2"/>
  <c r="B7497" i="2"/>
  <c r="A7497" i="2"/>
  <c r="E7496" i="2"/>
  <c r="D7496" i="2"/>
  <c r="C7496" i="2"/>
  <c r="B7496" i="2"/>
  <c r="A7496" i="2"/>
  <c r="E7495" i="2"/>
  <c r="D7495" i="2"/>
  <c r="C7495" i="2"/>
  <c r="B7495" i="2"/>
  <c r="A7495" i="2"/>
  <c r="E7494" i="2"/>
  <c r="D7494" i="2"/>
  <c r="C7494" i="2"/>
  <c r="B7494" i="2"/>
  <c r="A7494" i="2"/>
  <c r="E7493" i="2"/>
  <c r="D7493" i="2"/>
  <c r="C7493" i="2"/>
  <c r="B7493" i="2"/>
  <c r="A7493" i="2"/>
  <c r="E7492" i="2"/>
  <c r="D7492" i="2"/>
  <c r="C7492" i="2"/>
  <c r="B7492" i="2"/>
  <c r="A7492" i="2"/>
  <c r="E7491" i="2"/>
  <c r="D7491" i="2"/>
  <c r="C7491" i="2"/>
  <c r="B7491" i="2"/>
  <c r="A7491" i="2"/>
  <c r="E7490" i="2"/>
  <c r="D7490" i="2"/>
  <c r="C7490" i="2"/>
  <c r="B7490" i="2"/>
  <c r="A7490" i="2"/>
  <c r="E7489" i="2"/>
  <c r="D7489" i="2"/>
  <c r="C7489" i="2"/>
  <c r="B7489" i="2"/>
  <c r="A7489" i="2"/>
  <c r="E7488" i="2"/>
  <c r="D7488" i="2"/>
  <c r="C7488" i="2"/>
  <c r="B7488" i="2"/>
  <c r="A7488" i="2"/>
  <c r="E7487" i="2"/>
  <c r="D7487" i="2"/>
  <c r="C7487" i="2"/>
  <c r="B7487" i="2"/>
  <c r="A7487" i="2"/>
  <c r="E7486" i="2"/>
  <c r="D7486" i="2"/>
  <c r="C7486" i="2"/>
  <c r="B7486" i="2"/>
  <c r="A7486" i="2"/>
  <c r="E7485" i="2"/>
  <c r="D7485" i="2"/>
  <c r="C7485" i="2"/>
  <c r="B7485" i="2"/>
  <c r="A7485" i="2"/>
  <c r="E7484" i="2"/>
  <c r="D7484" i="2"/>
  <c r="C7484" i="2"/>
  <c r="B7484" i="2"/>
  <c r="A7484" i="2"/>
  <c r="E7483" i="2"/>
  <c r="D7483" i="2"/>
  <c r="C7483" i="2"/>
  <c r="B7483" i="2"/>
  <c r="A7483" i="2"/>
  <c r="E7482" i="2"/>
  <c r="D7482" i="2"/>
  <c r="C7482" i="2"/>
  <c r="B7482" i="2"/>
  <c r="A7482" i="2"/>
  <c r="E7481" i="2"/>
  <c r="D7481" i="2"/>
  <c r="C7481" i="2"/>
  <c r="B7481" i="2"/>
  <c r="A7481" i="2"/>
  <c r="E7480" i="2"/>
  <c r="D7480" i="2"/>
  <c r="C7480" i="2"/>
  <c r="B7480" i="2"/>
  <c r="A7480" i="2"/>
  <c r="E7479" i="2"/>
  <c r="D7479" i="2"/>
  <c r="C7479" i="2"/>
  <c r="B7479" i="2"/>
  <c r="A7479" i="2"/>
  <c r="E7478" i="2"/>
  <c r="D7478" i="2"/>
  <c r="C7478" i="2"/>
  <c r="B7478" i="2"/>
  <c r="A7478" i="2"/>
  <c r="E7477" i="2"/>
  <c r="D7477" i="2"/>
  <c r="C7477" i="2"/>
  <c r="B7477" i="2"/>
  <c r="A7477" i="2"/>
  <c r="E7476" i="2"/>
  <c r="D7476" i="2"/>
  <c r="C7476" i="2"/>
  <c r="B7476" i="2"/>
  <c r="A7476" i="2"/>
  <c r="E7475" i="2"/>
  <c r="D7475" i="2"/>
  <c r="C7475" i="2"/>
  <c r="B7475" i="2"/>
  <c r="A7475" i="2"/>
  <c r="E7474" i="2"/>
  <c r="D7474" i="2"/>
  <c r="C7474" i="2"/>
  <c r="B7474" i="2"/>
  <c r="A7474" i="2"/>
  <c r="E7473" i="2"/>
  <c r="D7473" i="2"/>
  <c r="C7473" i="2"/>
  <c r="B7473" i="2"/>
  <c r="A7473" i="2"/>
  <c r="E7472" i="2"/>
  <c r="D7472" i="2"/>
  <c r="C7472" i="2"/>
  <c r="B7472" i="2"/>
  <c r="A7472" i="2"/>
  <c r="E7471" i="2"/>
  <c r="D7471" i="2"/>
  <c r="C7471" i="2"/>
  <c r="B7471" i="2"/>
  <c r="A7471" i="2"/>
  <c r="E7470" i="2"/>
  <c r="D7470" i="2"/>
  <c r="C7470" i="2"/>
  <c r="B7470" i="2"/>
  <c r="A7470" i="2"/>
  <c r="E7469" i="2"/>
  <c r="D7469" i="2"/>
  <c r="C7469" i="2"/>
  <c r="B7469" i="2"/>
  <c r="A7469" i="2"/>
  <c r="E7468" i="2"/>
  <c r="D7468" i="2"/>
  <c r="C7468" i="2"/>
  <c r="B7468" i="2"/>
  <c r="A7468" i="2"/>
  <c r="E7467" i="2"/>
  <c r="D7467" i="2"/>
  <c r="C7467" i="2"/>
  <c r="B7467" i="2"/>
  <c r="A7467" i="2"/>
  <c r="E7466" i="2"/>
  <c r="D7466" i="2"/>
  <c r="C7466" i="2"/>
  <c r="B7466" i="2"/>
  <c r="A7466" i="2"/>
  <c r="E7465" i="2"/>
  <c r="D7465" i="2"/>
  <c r="C7465" i="2"/>
  <c r="B7465" i="2"/>
  <c r="A7465" i="2"/>
  <c r="E7464" i="2"/>
  <c r="D7464" i="2"/>
  <c r="C7464" i="2"/>
  <c r="B7464" i="2"/>
  <c r="A7464" i="2"/>
  <c r="E7463" i="2"/>
  <c r="D7463" i="2"/>
  <c r="C7463" i="2"/>
  <c r="B7463" i="2"/>
  <c r="A7463" i="2"/>
  <c r="E7462" i="2"/>
  <c r="D7462" i="2"/>
  <c r="C7462" i="2"/>
  <c r="B7462" i="2"/>
  <c r="A7462" i="2"/>
  <c r="E7461" i="2"/>
  <c r="D7461" i="2"/>
  <c r="C7461" i="2"/>
  <c r="B7461" i="2"/>
  <c r="A7461" i="2"/>
  <c r="E7460" i="2"/>
  <c r="D7460" i="2"/>
  <c r="C7460" i="2"/>
  <c r="B7460" i="2"/>
  <c r="A7460" i="2"/>
  <c r="E7459" i="2"/>
  <c r="D7459" i="2"/>
  <c r="C7459" i="2"/>
  <c r="B7459" i="2"/>
  <c r="A7459" i="2"/>
  <c r="E7458" i="2"/>
  <c r="D7458" i="2"/>
  <c r="C7458" i="2"/>
  <c r="B7458" i="2"/>
  <c r="A7458" i="2"/>
  <c r="E7457" i="2"/>
  <c r="D7457" i="2"/>
  <c r="C7457" i="2"/>
  <c r="B7457" i="2"/>
  <c r="A7457" i="2"/>
  <c r="E7456" i="2"/>
  <c r="D7456" i="2"/>
  <c r="C7456" i="2"/>
  <c r="B7456" i="2"/>
  <c r="A7456" i="2"/>
  <c r="E7455" i="2"/>
  <c r="D7455" i="2"/>
  <c r="C7455" i="2"/>
  <c r="B7455" i="2"/>
  <c r="A7455" i="2"/>
  <c r="E7454" i="2"/>
  <c r="D7454" i="2"/>
  <c r="C7454" i="2"/>
  <c r="B7454" i="2"/>
  <c r="A7454" i="2"/>
  <c r="E7453" i="2"/>
  <c r="D7453" i="2"/>
  <c r="C7453" i="2"/>
  <c r="B7453" i="2"/>
  <c r="A7453" i="2"/>
  <c r="E7452" i="2"/>
  <c r="D7452" i="2"/>
  <c r="C7452" i="2"/>
  <c r="B7452" i="2"/>
  <c r="A7452" i="2"/>
  <c r="E7451" i="2"/>
  <c r="D7451" i="2"/>
  <c r="C7451" i="2"/>
  <c r="B7451" i="2"/>
  <c r="A7451" i="2"/>
  <c r="E7450" i="2"/>
  <c r="D7450" i="2"/>
  <c r="C7450" i="2"/>
  <c r="B7450" i="2"/>
  <c r="A7450" i="2"/>
  <c r="E7449" i="2"/>
  <c r="D7449" i="2"/>
  <c r="C7449" i="2"/>
  <c r="B7449" i="2"/>
  <c r="A7449" i="2"/>
  <c r="E7448" i="2"/>
  <c r="D7448" i="2"/>
  <c r="C7448" i="2"/>
  <c r="B7448" i="2"/>
  <c r="A7448" i="2"/>
  <c r="E7447" i="2"/>
  <c r="D7447" i="2"/>
  <c r="C7447" i="2"/>
  <c r="B7447" i="2"/>
  <c r="A7447" i="2"/>
  <c r="E7446" i="2"/>
  <c r="D7446" i="2"/>
  <c r="C7446" i="2"/>
  <c r="B7446" i="2"/>
  <c r="A7446" i="2"/>
  <c r="E7445" i="2"/>
  <c r="D7445" i="2"/>
  <c r="C7445" i="2"/>
  <c r="B7445" i="2"/>
  <c r="A7445" i="2"/>
  <c r="E7444" i="2"/>
  <c r="D7444" i="2"/>
  <c r="C7444" i="2"/>
  <c r="B7444" i="2"/>
  <c r="A7444" i="2"/>
  <c r="E7443" i="2"/>
  <c r="D7443" i="2"/>
  <c r="C7443" i="2"/>
  <c r="B7443" i="2"/>
  <c r="A7443" i="2"/>
  <c r="E7442" i="2"/>
  <c r="D7442" i="2"/>
  <c r="C7442" i="2"/>
  <c r="B7442" i="2"/>
  <c r="A7442" i="2"/>
  <c r="E7441" i="2"/>
  <c r="D7441" i="2"/>
  <c r="C7441" i="2"/>
  <c r="B7441" i="2"/>
  <c r="A7441" i="2"/>
  <c r="E7440" i="2"/>
  <c r="D7440" i="2"/>
  <c r="C7440" i="2"/>
  <c r="B7440" i="2"/>
  <c r="A7440" i="2"/>
  <c r="E7439" i="2"/>
  <c r="D7439" i="2"/>
  <c r="C7439" i="2"/>
  <c r="B7439" i="2"/>
  <c r="A7439" i="2"/>
  <c r="E7438" i="2"/>
  <c r="D7438" i="2"/>
  <c r="C7438" i="2"/>
  <c r="B7438" i="2"/>
  <c r="A7438" i="2"/>
  <c r="E7437" i="2"/>
  <c r="D7437" i="2"/>
  <c r="C7437" i="2"/>
  <c r="B7437" i="2"/>
  <c r="A7437" i="2"/>
  <c r="E7436" i="2"/>
  <c r="D7436" i="2"/>
  <c r="C7436" i="2"/>
  <c r="B7436" i="2"/>
  <c r="A7436" i="2"/>
  <c r="E7435" i="2"/>
  <c r="D7435" i="2"/>
  <c r="C7435" i="2"/>
  <c r="B7435" i="2"/>
  <c r="A7435" i="2"/>
  <c r="E7434" i="2"/>
  <c r="D7434" i="2"/>
  <c r="C7434" i="2"/>
  <c r="B7434" i="2"/>
  <c r="A7434" i="2"/>
  <c r="E7433" i="2"/>
  <c r="D7433" i="2"/>
  <c r="C7433" i="2"/>
  <c r="B7433" i="2"/>
  <c r="A7433" i="2"/>
  <c r="E7432" i="2"/>
  <c r="D7432" i="2"/>
  <c r="C7432" i="2"/>
  <c r="B7432" i="2"/>
  <c r="A7432" i="2"/>
  <c r="E7431" i="2"/>
  <c r="D7431" i="2"/>
  <c r="C7431" i="2"/>
  <c r="B7431" i="2"/>
  <c r="A7431" i="2"/>
  <c r="E7430" i="2"/>
  <c r="D7430" i="2"/>
  <c r="C7430" i="2"/>
  <c r="B7430" i="2"/>
  <c r="A7430" i="2"/>
  <c r="E7429" i="2"/>
  <c r="D7429" i="2"/>
  <c r="C7429" i="2"/>
  <c r="B7429" i="2"/>
  <c r="A7429" i="2"/>
  <c r="E7428" i="2"/>
  <c r="D7428" i="2"/>
  <c r="C7428" i="2"/>
  <c r="B7428" i="2"/>
  <c r="A7428" i="2"/>
  <c r="E7427" i="2"/>
  <c r="D7427" i="2"/>
  <c r="C7427" i="2"/>
  <c r="B7427" i="2"/>
  <c r="A7427" i="2"/>
  <c r="E7426" i="2"/>
  <c r="D7426" i="2"/>
  <c r="C7426" i="2"/>
  <c r="B7426" i="2"/>
  <c r="A7426" i="2"/>
  <c r="E7425" i="2"/>
  <c r="D7425" i="2"/>
  <c r="C7425" i="2"/>
  <c r="B7425" i="2"/>
  <c r="A7425" i="2"/>
  <c r="E7424" i="2"/>
  <c r="D7424" i="2"/>
  <c r="C7424" i="2"/>
  <c r="B7424" i="2"/>
  <c r="A7424" i="2"/>
  <c r="E7423" i="2"/>
  <c r="D7423" i="2"/>
  <c r="C7423" i="2"/>
  <c r="B7423" i="2"/>
  <c r="A7423" i="2"/>
  <c r="E7422" i="2"/>
  <c r="D7422" i="2"/>
  <c r="C7422" i="2"/>
  <c r="B7422" i="2"/>
  <c r="A7422" i="2"/>
  <c r="E7421" i="2"/>
  <c r="D7421" i="2"/>
  <c r="C7421" i="2"/>
  <c r="B7421" i="2"/>
  <c r="A7421" i="2"/>
  <c r="E7420" i="2"/>
  <c r="D7420" i="2"/>
  <c r="C7420" i="2"/>
  <c r="B7420" i="2"/>
  <c r="A7420" i="2"/>
  <c r="E7419" i="2"/>
  <c r="D7419" i="2"/>
  <c r="C7419" i="2"/>
  <c r="B7419" i="2"/>
  <c r="A7419" i="2"/>
  <c r="E7418" i="2"/>
  <c r="D7418" i="2"/>
  <c r="C7418" i="2"/>
  <c r="B7418" i="2"/>
  <c r="A7418" i="2"/>
  <c r="E7417" i="2"/>
  <c r="D7417" i="2"/>
  <c r="C7417" i="2"/>
  <c r="B7417" i="2"/>
  <c r="A7417" i="2"/>
  <c r="E7416" i="2"/>
  <c r="D7416" i="2"/>
  <c r="C7416" i="2"/>
  <c r="B7416" i="2"/>
  <c r="A7416" i="2"/>
  <c r="E7415" i="2"/>
  <c r="D7415" i="2"/>
  <c r="C7415" i="2"/>
  <c r="B7415" i="2"/>
  <c r="A7415" i="2"/>
  <c r="E7414" i="2"/>
  <c r="D7414" i="2"/>
  <c r="C7414" i="2"/>
  <c r="B7414" i="2"/>
  <c r="A7414" i="2"/>
  <c r="E7413" i="2"/>
  <c r="D7413" i="2"/>
  <c r="C7413" i="2"/>
  <c r="B7413" i="2"/>
  <c r="A7413" i="2"/>
  <c r="E7412" i="2"/>
  <c r="D7412" i="2"/>
  <c r="C7412" i="2"/>
  <c r="B7412" i="2"/>
  <c r="A7412" i="2"/>
  <c r="E7411" i="2"/>
  <c r="D7411" i="2"/>
  <c r="C7411" i="2"/>
  <c r="B7411" i="2"/>
  <c r="A7411" i="2"/>
  <c r="E7410" i="2"/>
  <c r="D7410" i="2"/>
  <c r="C7410" i="2"/>
  <c r="B7410" i="2"/>
  <c r="A7410" i="2"/>
  <c r="E7409" i="2"/>
  <c r="D7409" i="2"/>
  <c r="C7409" i="2"/>
  <c r="B7409" i="2"/>
  <c r="A7409" i="2"/>
  <c r="E7408" i="2"/>
  <c r="D7408" i="2"/>
  <c r="C7408" i="2"/>
  <c r="B7408" i="2"/>
  <c r="A7408" i="2"/>
  <c r="E7407" i="2"/>
  <c r="D7407" i="2"/>
  <c r="C7407" i="2"/>
  <c r="B7407" i="2"/>
  <c r="A7407" i="2"/>
  <c r="E7406" i="2"/>
  <c r="D7406" i="2"/>
  <c r="C7406" i="2"/>
  <c r="B7406" i="2"/>
  <c r="A7406" i="2"/>
  <c r="E7405" i="2"/>
  <c r="D7405" i="2"/>
  <c r="C7405" i="2"/>
  <c r="B7405" i="2"/>
  <c r="A7405" i="2"/>
  <c r="E7404" i="2"/>
  <c r="D7404" i="2"/>
  <c r="C7404" i="2"/>
  <c r="B7404" i="2"/>
  <c r="A7404" i="2"/>
  <c r="E7403" i="2"/>
  <c r="D7403" i="2"/>
  <c r="C7403" i="2"/>
  <c r="B7403" i="2"/>
  <c r="A7403" i="2"/>
  <c r="E7402" i="2"/>
  <c r="D7402" i="2"/>
  <c r="C7402" i="2"/>
  <c r="B7402" i="2"/>
  <c r="A7402" i="2"/>
  <c r="E7401" i="2"/>
  <c r="D7401" i="2"/>
  <c r="C7401" i="2"/>
  <c r="B7401" i="2"/>
  <c r="A7401" i="2"/>
  <c r="E7400" i="2"/>
  <c r="D7400" i="2"/>
  <c r="C7400" i="2"/>
  <c r="B7400" i="2"/>
  <c r="A7400" i="2"/>
  <c r="E7399" i="2"/>
  <c r="D7399" i="2"/>
  <c r="C7399" i="2"/>
  <c r="B7399" i="2"/>
  <c r="A7399" i="2"/>
  <c r="E7398" i="2"/>
  <c r="D7398" i="2"/>
  <c r="C7398" i="2"/>
  <c r="B7398" i="2"/>
  <c r="A7398" i="2"/>
  <c r="E7397" i="2"/>
  <c r="D7397" i="2"/>
  <c r="C7397" i="2"/>
  <c r="B7397" i="2"/>
  <c r="A7397" i="2"/>
  <c r="E7396" i="2"/>
  <c r="D7396" i="2"/>
  <c r="C7396" i="2"/>
  <c r="B7396" i="2"/>
  <c r="A7396" i="2"/>
  <c r="E7395" i="2"/>
  <c r="D7395" i="2"/>
  <c r="C7395" i="2"/>
  <c r="B7395" i="2"/>
  <c r="A7395" i="2"/>
  <c r="E7394" i="2"/>
  <c r="D7394" i="2"/>
  <c r="C7394" i="2"/>
  <c r="B7394" i="2"/>
  <c r="A7394" i="2"/>
  <c r="E7393" i="2"/>
  <c r="D7393" i="2"/>
  <c r="C7393" i="2"/>
  <c r="B7393" i="2"/>
  <c r="A7393" i="2"/>
  <c r="E7392" i="2"/>
  <c r="D7392" i="2"/>
  <c r="C7392" i="2"/>
  <c r="B7392" i="2"/>
  <c r="A7392" i="2"/>
  <c r="E7391" i="2"/>
  <c r="D7391" i="2"/>
  <c r="C7391" i="2"/>
  <c r="B7391" i="2"/>
  <c r="A7391" i="2"/>
  <c r="E7390" i="2"/>
  <c r="D7390" i="2"/>
  <c r="C7390" i="2"/>
  <c r="B7390" i="2"/>
  <c r="A7390" i="2"/>
  <c r="E7389" i="2"/>
  <c r="D7389" i="2"/>
  <c r="C7389" i="2"/>
  <c r="B7389" i="2"/>
  <c r="A7389" i="2"/>
  <c r="E7388" i="2"/>
  <c r="D7388" i="2"/>
  <c r="C7388" i="2"/>
  <c r="B7388" i="2"/>
  <c r="A7388" i="2"/>
  <c r="E7387" i="2"/>
  <c r="D7387" i="2"/>
  <c r="C7387" i="2"/>
  <c r="B7387" i="2"/>
  <c r="A7387" i="2"/>
  <c r="E7386" i="2"/>
  <c r="D7386" i="2"/>
  <c r="C7386" i="2"/>
  <c r="B7386" i="2"/>
  <c r="A7386" i="2"/>
  <c r="E7385" i="2"/>
  <c r="D7385" i="2"/>
  <c r="C7385" i="2"/>
  <c r="B7385" i="2"/>
  <c r="A7385" i="2"/>
  <c r="E7384" i="2"/>
  <c r="D7384" i="2"/>
  <c r="C7384" i="2"/>
  <c r="B7384" i="2"/>
  <c r="A7384" i="2"/>
  <c r="E7383" i="2"/>
  <c r="D7383" i="2"/>
  <c r="C7383" i="2"/>
  <c r="B7383" i="2"/>
  <c r="A7383" i="2"/>
  <c r="E7382" i="2"/>
  <c r="D7382" i="2"/>
  <c r="C7382" i="2"/>
  <c r="B7382" i="2"/>
  <c r="A7382" i="2"/>
  <c r="E7381" i="2"/>
  <c r="D7381" i="2"/>
  <c r="C7381" i="2"/>
  <c r="B7381" i="2"/>
  <c r="A7381" i="2"/>
  <c r="E7380" i="2"/>
  <c r="D7380" i="2"/>
  <c r="C7380" i="2"/>
  <c r="B7380" i="2"/>
  <c r="A7380" i="2"/>
  <c r="E7379" i="2"/>
  <c r="D7379" i="2"/>
  <c r="C7379" i="2"/>
  <c r="B7379" i="2"/>
  <c r="A7379" i="2"/>
  <c r="E7378" i="2"/>
  <c r="D7378" i="2"/>
  <c r="C7378" i="2"/>
  <c r="B7378" i="2"/>
  <c r="A7378" i="2"/>
  <c r="E7377" i="2"/>
  <c r="D7377" i="2"/>
  <c r="C7377" i="2"/>
  <c r="B7377" i="2"/>
  <c r="A7377" i="2"/>
  <c r="E7376" i="2"/>
  <c r="D7376" i="2"/>
  <c r="C7376" i="2"/>
  <c r="B7376" i="2"/>
  <c r="A7376" i="2"/>
  <c r="E7375" i="2"/>
  <c r="D7375" i="2"/>
  <c r="C7375" i="2"/>
  <c r="B7375" i="2"/>
  <c r="A7375" i="2"/>
  <c r="E7374" i="2"/>
  <c r="D7374" i="2"/>
  <c r="C7374" i="2"/>
  <c r="B7374" i="2"/>
  <c r="A7374" i="2"/>
  <c r="E7373" i="2"/>
  <c r="D7373" i="2"/>
  <c r="C7373" i="2"/>
  <c r="B7373" i="2"/>
  <c r="A7373" i="2"/>
  <c r="E7372" i="2"/>
  <c r="D7372" i="2"/>
  <c r="C7372" i="2"/>
  <c r="B7372" i="2"/>
  <c r="A7372" i="2"/>
  <c r="E7371" i="2"/>
  <c r="D7371" i="2"/>
  <c r="C7371" i="2"/>
  <c r="B7371" i="2"/>
  <c r="A7371" i="2"/>
  <c r="E7370" i="2"/>
  <c r="D7370" i="2"/>
  <c r="C7370" i="2"/>
  <c r="B7370" i="2"/>
  <c r="A7370" i="2"/>
  <c r="E7369" i="2"/>
  <c r="D7369" i="2"/>
  <c r="C7369" i="2"/>
  <c r="B7369" i="2"/>
  <c r="A7369" i="2"/>
  <c r="E7368" i="2"/>
  <c r="D7368" i="2"/>
  <c r="C7368" i="2"/>
  <c r="B7368" i="2"/>
  <c r="A7368" i="2"/>
  <c r="E7367" i="2"/>
  <c r="D7367" i="2"/>
  <c r="C7367" i="2"/>
  <c r="B7367" i="2"/>
  <c r="A7367" i="2"/>
  <c r="E7366" i="2"/>
  <c r="D7366" i="2"/>
  <c r="C7366" i="2"/>
  <c r="B7366" i="2"/>
  <c r="A7366" i="2"/>
  <c r="E7365" i="2"/>
  <c r="D7365" i="2"/>
  <c r="C7365" i="2"/>
  <c r="B7365" i="2"/>
  <c r="A7365" i="2"/>
  <c r="E7364" i="2"/>
  <c r="D7364" i="2"/>
  <c r="C7364" i="2"/>
  <c r="B7364" i="2"/>
  <c r="A7364" i="2"/>
  <c r="E7363" i="2"/>
  <c r="D7363" i="2"/>
  <c r="C7363" i="2"/>
  <c r="B7363" i="2"/>
  <c r="A7363" i="2"/>
  <c r="E7362" i="2"/>
  <c r="D7362" i="2"/>
  <c r="C7362" i="2"/>
  <c r="B7362" i="2"/>
  <c r="A7362" i="2"/>
  <c r="E7361" i="2"/>
  <c r="D7361" i="2"/>
  <c r="C7361" i="2"/>
  <c r="B7361" i="2"/>
  <c r="A7361" i="2"/>
  <c r="E7360" i="2"/>
  <c r="D7360" i="2"/>
  <c r="C7360" i="2"/>
  <c r="B7360" i="2"/>
  <c r="A7360" i="2"/>
  <c r="E7359" i="2"/>
  <c r="D7359" i="2"/>
  <c r="C7359" i="2"/>
  <c r="B7359" i="2"/>
  <c r="A7359" i="2"/>
  <c r="E7358" i="2"/>
  <c r="D7358" i="2"/>
  <c r="C7358" i="2"/>
  <c r="B7358" i="2"/>
  <c r="A7358" i="2"/>
  <c r="E7357" i="2"/>
  <c r="D7357" i="2"/>
  <c r="C7357" i="2"/>
  <c r="B7357" i="2"/>
  <c r="A7357" i="2"/>
  <c r="E7356" i="2"/>
  <c r="D7356" i="2"/>
  <c r="C7356" i="2"/>
  <c r="B7356" i="2"/>
  <c r="A7356" i="2"/>
  <c r="E7355" i="2"/>
  <c r="D7355" i="2"/>
  <c r="C7355" i="2"/>
  <c r="B7355" i="2"/>
  <c r="A7355" i="2"/>
  <c r="E7354" i="2"/>
  <c r="D7354" i="2"/>
  <c r="C7354" i="2"/>
  <c r="B7354" i="2"/>
  <c r="A7354" i="2"/>
  <c r="E7353" i="2"/>
  <c r="D7353" i="2"/>
  <c r="C7353" i="2"/>
  <c r="B7353" i="2"/>
  <c r="A7353" i="2"/>
  <c r="E7352" i="2"/>
  <c r="D7352" i="2"/>
  <c r="C7352" i="2"/>
  <c r="B7352" i="2"/>
  <c r="A7352" i="2"/>
  <c r="E7351" i="2"/>
  <c r="D7351" i="2"/>
  <c r="C7351" i="2"/>
  <c r="B7351" i="2"/>
  <c r="A7351" i="2"/>
  <c r="E7350" i="2"/>
  <c r="D7350" i="2"/>
  <c r="C7350" i="2"/>
  <c r="B7350" i="2"/>
  <c r="A7350" i="2"/>
  <c r="E7349" i="2"/>
  <c r="D7349" i="2"/>
  <c r="C7349" i="2"/>
  <c r="B7349" i="2"/>
  <c r="A7349" i="2"/>
  <c r="E7348" i="2"/>
  <c r="D7348" i="2"/>
  <c r="C7348" i="2"/>
  <c r="B7348" i="2"/>
  <c r="A7348" i="2"/>
  <c r="E7347" i="2"/>
  <c r="D7347" i="2"/>
  <c r="C7347" i="2"/>
  <c r="B7347" i="2"/>
  <c r="A7347" i="2"/>
  <c r="E7346" i="2"/>
  <c r="D7346" i="2"/>
  <c r="C7346" i="2"/>
  <c r="B7346" i="2"/>
  <c r="A7346" i="2"/>
  <c r="E7345" i="2"/>
  <c r="D7345" i="2"/>
  <c r="C7345" i="2"/>
  <c r="B7345" i="2"/>
  <c r="A7345" i="2"/>
  <c r="E7344" i="2"/>
  <c r="D7344" i="2"/>
  <c r="C7344" i="2"/>
  <c r="B7344" i="2"/>
  <c r="A7344" i="2"/>
  <c r="E7343" i="2"/>
  <c r="D7343" i="2"/>
  <c r="C7343" i="2"/>
  <c r="B7343" i="2"/>
  <c r="A7343" i="2"/>
  <c r="E7342" i="2"/>
  <c r="D7342" i="2"/>
  <c r="C7342" i="2"/>
  <c r="B7342" i="2"/>
  <c r="A7342" i="2"/>
  <c r="E7341" i="2"/>
  <c r="D7341" i="2"/>
  <c r="C7341" i="2"/>
  <c r="B7341" i="2"/>
  <c r="A7341" i="2"/>
  <c r="E7340" i="2"/>
  <c r="D7340" i="2"/>
  <c r="C7340" i="2"/>
  <c r="B7340" i="2"/>
  <c r="A7340" i="2"/>
  <c r="E7339" i="2"/>
  <c r="D7339" i="2"/>
  <c r="C7339" i="2"/>
  <c r="B7339" i="2"/>
  <c r="A7339" i="2"/>
  <c r="E7338" i="2"/>
  <c r="D7338" i="2"/>
  <c r="C7338" i="2"/>
  <c r="B7338" i="2"/>
  <c r="A7338" i="2"/>
  <c r="E7337" i="2"/>
  <c r="D7337" i="2"/>
  <c r="C7337" i="2"/>
  <c r="B7337" i="2"/>
  <c r="A7337" i="2"/>
  <c r="E7336" i="2"/>
  <c r="D7336" i="2"/>
  <c r="C7336" i="2"/>
  <c r="B7336" i="2"/>
  <c r="A7336" i="2"/>
  <c r="E7335" i="2"/>
  <c r="D7335" i="2"/>
  <c r="C7335" i="2"/>
  <c r="B7335" i="2"/>
  <c r="A7335" i="2"/>
  <c r="E7334" i="2"/>
  <c r="D7334" i="2"/>
  <c r="C7334" i="2"/>
  <c r="B7334" i="2"/>
  <c r="A7334" i="2"/>
  <c r="E7333" i="2"/>
  <c r="D7333" i="2"/>
  <c r="C7333" i="2"/>
  <c r="B7333" i="2"/>
  <c r="A7333" i="2"/>
  <c r="E7332" i="2"/>
  <c r="D7332" i="2"/>
  <c r="C7332" i="2"/>
  <c r="B7332" i="2"/>
  <c r="A7332" i="2"/>
  <c r="E7331" i="2"/>
  <c r="D7331" i="2"/>
  <c r="C7331" i="2"/>
  <c r="B7331" i="2"/>
  <c r="A7331" i="2"/>
  <c r="E7330" i="2"/>
  <c r="D7330" i="2"/>
  <c r="C7330" i="2"/>
  <c r="B7330" i="2"/>
  <c r="A7330" i="2"/>
  <c r="E7329" i="2"/>
  <c r="D7329" i="2"/>
  <c r="C7329" i="2"/>
  <c r="B7329" i="2"/>
  <c r="A7329" i="2"/>
  <c r="E7328" i="2"/>
  <c r="D7328" i="2"/>
  <c r="C7328" i="2"/>
  <c r="B7328" i="2"/>
  <c r="A7328" i="2"/>
  <c r="E7327" i="2"/>
  <c r="D7327" i="2"/>
  <c r="C7327" i="2"/>
  <c r="B7327" i="2"/>
  <c r="A7327" i="2"/>
  <c r="E7326" i="2"/>
  <c r="D7326" i="2"/>
  <c r="C7326" i="2"/>
  <c r="B7326" i="2"/>
  <c r="A7326" i="2"/>
  <c r="E7325" i="2"/>
  <c r="D7325" i="2"/>
  <c r="C7325" i="2"/>
  <c r="B7325" i="2"/>
  <c r="A7325" i="2"/>
  <c r="E7324" i="2"/>
  <c r="D7324" i="2"/>
  <c r="C7324" i="2"/>
  <c r="B7324" i="2"/>
  <c r="A7324" i="2"/>
  <c r="E7323" i="2"/>
  <c r="D7323" i="2"/>
  <c r="C7323" i="2"/>
  <c r="B7323" i="2"/>
  <c r="A7323" i="2"/>
  <c r="E7322" i="2"/>
  <c r="D7322" i="2"/>
  <c r="C7322" i="2"/>
  <c r="B7322" i="2"/>
  <c r="A7322" i="2"/>
  <c r="E7321" i="2"/>
  <c r="D7321" i="2"/>
  <c r="C7321" i="2"/>
  <c r="B7321" i="2"/>
  <c r="A7321" i="2"/>
  <c r="E7320" i="2"/>
  <c r="D7320" i="2"/>
  <c r="C7320" i="2"/>
  <c r="B7320" i="2"/>
  <c r="A7320" i="2"/>
  <c r="E7319" i="2"/>
  <c r="D7319" i="2"/>
  <c r="C7319" i="2"/>
  <c r="B7319" i="2"/>
  <c r="A7319" i="2"/>
  <c r="E7318" i="2"/>
  <c r="D7318" i="2"/>
  <c r="C7318" i="2"/>
  <c r="B7318" i="2"/>
  <c r="A7318" i="2"/>
  <c r="E7317" i="2"/>
  <c r="D7317" i="2"/>
  <c r="C7317" i="2"/>
  <c r="B7317" i="2"/>
  <c r="A7317" i="2"/>
  <c r="E7316" i="2"/>
  <c r="D7316" i="2"/>
  <c r="C7316" i="2"/>
  <c r="B7316" i="2"/>
  <c r="A7316" i="2"/>
  <c r="E7315" i="2"/>
  <c r="D7315" i="2"/>
  <c r="C7315" i="2"/>
  <c r="B7315" i="2"/>
  <c r="A7315" i="2"/>
  <c r="E7314" i="2"/>
  <c r="D7314" i="2"/>
  <c r="C7314" i="2"/>
  <c r="B7314" i="2"/>
  <c r="A7314" i="2"/>
  <c r="E7313" i="2"/>
  <c r="D7313" i="2"/>
  <c r="C7313" i="2"/>
  <c r="B7313" i="2"/>
  <c r="A7313" i="2"/>
  <c r="E7312" i="2"/>
  <c r="D7312" i="2"/>
  <c r="C7312" i="2"/>
  <c r="B7312" i="2"/>
  <c r="A7312" i="2"/>
  <c r="E7311" i="2"/>
  <c r="D7311" i="2"/>
  <c r="C7311" i="2"/>
  <c r="B7311" i="2"/>
  <c r="A7311" i="2"/>
  <c r="E7310" i="2"/>
  <c r="D7310" i="2"/>
  <c r="C7310" i="2"/>
  <c r="B7310" i="2"/>
  <c r="A7310" i="2"/>
  <c r="E7309" i="2"/>
  <c r="D7309" i="2"/>
  <c r="C7309" i="2"/>
  <c r="B7309" i="2"/>
  <c r="A7309" i="2"/>
  <c r="E7308" i="2"/>
  <c r="D7308" i="2"/>
  <c r="C7308" i="2"/>
  <c r="B7308" i="2"/>
  <c r="A7308" i="2"/>
  <c r="E7307" i="2"/>
  <c r="D7307" i="2"/>
  <c r="C7307" i="2"/>
  <c r="B7307" i="2"/>
  <c r="A7307" i="2"/>
  <c r="E7306" i="2"/>
  <c r="D7306" i="2"/>
  <c r="C7306" i="2"/>
  <c r="B7306" i="2"/>
  <c r="A7306" i="2"/>
  <c r="E7305" i="2"/>
  <c r="D7305" i="2"/>
  <c r="C7305" i="2"/>
  <c r="B7305" i="2"/>
  <c r="A7305" i="2"/>
  <c r="E7304" i="2"/>
  <c r="D7304" i="2"/>
  <c r="C7304" i="2"/>
  <c r="B7304" i="2"/>
  <c r="A7304" i="2"/>
  <c r="E7303" i="2"/>
  <c r="D7303" i="2"/>
  <c r="C7303" i="2"/>
  <c r="B7303" i="2"/>
  <c r="A7303" i="2"/>
  <c r="E7302" i="2"/>
  <c r="D7302" i="2"/>
  <c r="C7302" i="2"/>
  <c r="B7302" i="2"/>
  <c r="A7302" i="2"/>
  <c r="E7301" i="2"/>
  <c r="D7301" i="2"/>
  <c r="C7301" i="2"/>
  <c r="B7301" i="2"/>
  <c r="A7301" i="2"/>
  <c r="E7300" i="2"/>
  <c r="D7300" i="2"/>
  <c r="C7300" i="2"/>
  <c r="B7300" i="2"/>
  <c r="A7300" i="2"/>
  <c r="E7299" i="2"/>
  <c r="D7299" i="2"/>
  <c r="C7299" i="2"/>
  <c r="B7299" i="2"/>
  <c r="A7299" i="2"/>
  <c r="E7298" i="2"/>
  <c r="D7298" i="2"/>
  <c r="C7298" i="2"/>
  <c r="B7298" i="2"/>
  <c r="A7298" i="2"/>
  <c r="E7297" i="2"/>
  <c r="D7297" i="2"/>
  <c r="C7297" i="2"/>
  <c r="B7297" i="2"/>
  <c r="A7297" i="2"/>
  <c r="E7296" i="2"/>
  <c r="D7296" i="2"/>
  <c r="C7296" i="2"/>
  <c r="B7296" i="2"/>
  <c r="A7296" i="2"/>
  <c r="E7295" i="2"/>
  <c r="D7295" i="2"/>
  <c r="C7295" i="2"/>
  <c r="B7295" i="2"/>
  <c r="A7295" i="2"/>
  <c r="E7294" i="2"/>
  <c r="D7294" i="2"/>
  <c r="C7294" i="2"/>
  <c r="B7294" i="2"/>
  <c r="A7294" i="2"/>
  <c r="E7293" i="2"/>
  <c r="D7293" i="2"/>
  <c r="C7293" i="2"/>
  <c r="B7293" i="2"/>
  <c r="A7293" i="2"/>
  <c r="E7292" i="2"/>
  <c r="D7292" i="2"/>
  <c r="C7292" i="2"/>
  <c r="B7292" i="2"/>
  <c r="A7292" i="2"/>
  <c r="E7291" i="2"/>
  <c r="D7291" i="2"/>
  <c r="C7291" i="2"/>
  <c r="B7291" i="2"/>
  <c r="A7291" i="2"/>
  <c r="E7290" i="2"/>
  <c r="D7290" i="2"/>
  <c r="C7290" i="2"/>
  <c r="B7290" i="2"/>
  <c r="A7290" i="2"/>
  <c r="E7289" i="2"/>
  <c r="D7289" i="2"/>
  <c r="C7289" i="2"/>
  <c r="B7289" i="2"/>
  <c r="A7289" i="2"/>
  <c r="E7288" i="2"/>
  <c r="D7288" i="2"/>
  <c r="C7288" i="2"/>
  <c r="B7288" i="2"/>
  <c r="A7288" i="2"/>
  <c r="E7287" i="2"/>
  <c r="D7287" i="2"/>
  <c r="C7287" i="2"/>
  <c r="B7287" i="2"/>
  <c r="A7287" i="2"/>
  <c r="E7286" i="2"/>
  <c r="D7286" i="2"/>
  <c r="C7286" i="2"/>
  <c r="B7286" i="2"/>
  <c r="A7286" i="2"/>
  <c r="E7285" i="2"/>
  <c r="D7285" i="2"/>
  <c r="C7285" i="2"/>
  <c r="B7285" i="2"/>
  <c r="A7285" i="2"/>
  <c r="E7284" i="2"/>
  <c r="D7284" i="2"/>
  <c r="C7284" i="2"/>
  <c r="B7284" i="2"/>
  <c r="A7284" i="2"/>
  <c r="E7283" i="2"/>
  <c r="D7283" i="2"/>
  <c r="C7283" i="2"/>
  <c r="B7283" i="2"/>
  <c r="A7283" i="2"/>
  <c r="E7282" i="2"/>
  <c r="D7282" i="2"/>
  <c r="C7282" i="2"/>
  <c r="B7282" i="2"/>
  <c r="A7282" i="2"/>
  <c r="E7281" i="2"/>
  <c r="D7281" i="2"/>
  <c r="C7281" i="2"/>
  <c r="B7281" i="2"/>
  <c r="A7281" i="2"/>
  <c r="E7280" i="2"/>
  <c r="D7280" i="2"/>
  <c r="C7280" i="2"/>
  <c r="B7280" i="2"/>
  <c r="A7280" i="2"/>
  <c r="E7279" i="2"/>
  <c r="D7279" i="2"/>
  <c r="C7279" i="2"/>
  <c r="B7279" i="2"/>
  <c r="A7279" i="2"/>
  <c r="E7278" i="2"/>
  <c r="D7278" i="2"/>
  <c r="C7278" i="2"/>
  <c r="B7278" i="2"/>
  <c r="A7278" i="2"/>
  <c r="E7277" i="2"/>
  <c r="D7277" i="2"/>
  <c r="C7277" i="2"/>
  <c r="B7277" i="2"/>
  <c r="A7277" i="2"/>
  <c r="E7276" i="2"/>
  <c r="D7276" i="2"/>
  <c r="C7276" i="2"/>
  <c r="B7276" i="2"/>
  <c r="A7276" i="2"/>
  <c r="E7275" i="2"/>
  <c r="D7275" i="2"/>
  <c r="C7275" i="2"/>
  <c r="B7275" i="2"/>
  <c r="A7275" i="2"/>
  <c r="E7274" i="2"/>
  <c r="D7274" i="2"/>
  <c r="C7274" i="2"/>
  <c r="B7274" i="2"/>
  <c r="A7274" i="2"/>
  <c r="E7273" i="2"/>
  <c r="D7273" i="2"/>
  <c r="C7273" i="2"/>
  <c r="B7273" i="2"/>
  <c r="A7273" i="2"/>
  <c r="E7272" i="2"/>
  <c r="D7272" i="2"/>
  <c r="C7272" i="2"/>
  <c r="B7272" i="2"/>
  <c r="A7272" i="2"/>
  <c r="E7271" i="2"/>
  <c r="D7271" i="2"/>
  <c r="C7271" i="2"/>
  <c r="B7271" i="2"/>
  <c r="A7271" i="2"/>
  <c r="E7270" i="2"/>
  <c r="D7270" i="2"/>
  <c r="C7270" i="2"/>
  <c r="B7270" i="2"/>
  <c r="A7270" i="2"/>
  <c r="E7269" i="2"/>
  <c r="D7269" i="2"/>
  <c r="C7269" i="2"/>
  <c r="B7269" i="2"/>
  <c r="A7269" i="2"/>
  <c r="E7268" i="2"/>
  <c r="D7268" i="2"/>
  <c r="C7268" i="2"/>
  <c r="B7268" i="2"/>
  <c r="A7268" i="2"/>
  <c r="E7267" i="2"/>
  <c r="D7267" i="2"/>
  <c r="C7267" i="2"/>
  <c r="B7267" i="2"/>
  <c r="A7267" i="2"/>
  <c r="E7266" i="2"/>
  <c r="D7266" i="2"/>
  <c r="C7266" i="2"/>
  <c r="B7266" i="2"/>
  <c r="A7266" i="2"/>
  <c r="E7265" i="2"/>
  <c r="D7265" i="2"/>
  <c r="C7265" i="2"/>
  <c r="B7265" i="2"/>
  <c r="A7265" i="2"/>
  <c r="E7264" i="2"/>
  <c r="D7264" i="2"/>
  <c r="C7264" i="2"/>
  <c r="B7264" i="2"/>
  <c r="A7264" i="2"/>
  <c r="E7263" i="2"/>
  <c r="D7263" i="2"/>
  <c r="C7263" i="2"/>
  <c r="B7263" i="2"/>
  <c r="A7263" i="2"/>
  <c r="E7262" i="2"/>
  <c r="D7262" i="2"/>
  <c r="C7262" i="2"/>
  <c r="B7262" i="2"/>
  <c r="A7262" i="2"/>
  <c r="E7261" i="2"/>
  <c r="D7261" i="2"/>
  <c r="C7261" i="2"/>
  <c r="B7261" i="2"/>
  <c r="A7261" i="2"/>
  <c r="E7260" i="2"/>
  <c r="D7260" i="2"/>
  <c r="C7260" i="2"/>
  <c r="B7260" i="2"/>
  <c r="A7260" i="2"/>
  <c r="E7259" i="2"/>
  <c r="D7259" i="2"/>
  <c r="C7259" i="2"/>
  <c r="B7259" i="2"/>
  <c r="A7259" i="2"/>
  <c r="E7258" i="2"/>
  <c r="D7258" i="2"/>
  <c r="C7258" i="2"/>
  <c r="B7258" i="2"/>
  <c r="A7258" i="2"/>
  <c r="E7257" i="2"/>
  <c r="D7257" i="2"/>
  <c r="C7257" i="2"/>
  <c r="B7257" i="2"/>
  <c r="A7257" i="2"/>
  <c r="E7256" i="2"/>
  <c r="D7256" i="2"/>
  <c r="C7256" i="2"/>
  <c r="B7256" i="2"/>
  <c r="A7256" i="2"/>
  <c r="E7255" i="2"/>
  <c r="D7255" i="2"/>
  <c r="C7255" i="2"/>
  <c r="B7255" i="2"/>
  <c r="A7255" i="2"/>
  <c r="E7254" i="2"/>
  <c r="D7254" i="2"/>
  <c r="C7254" i="2"/>
  <c r="B7254" i="2"/>
  <c r="A7254" i="2"/>
  <c r="E7253" i="2"/>
  <c r="D7253" i="2"/>
  <c r="C7253" i="2"/>
  <c r="B7253" i="2"/>
  <c r="A7253" i="2"/>
  <c r="E7252" i="2"/>
  <c r="D7252" i="2"/>
  <c r="C7252" i="2"/>
  <c r="B7252" i="2"/>
  <c r="A7252" i="2"/>
  <c r="E7251" i="2"/>
  <c r="D7251" i="2"/>
  <c r="C7251" i="2"/>
  <c r="B7251" i="2"/>
  <c r="A7251" i="2"/>
  <c r="E7250" i="2"/>
  <c r="D7250" i="2"/>
  <c r="C7250" i="2"/>
  <c r="B7250" i="2"/>
  <c r="A7250" i="2"/>
  <c r="E7249" i="2"/>
  <c r="D7249" i="2"/>
  <c r="C7249" i="2"/>
  <c r="B7249" i="2"/>
  <c r="A7249" i="2"/>
  <c r="E7248" i="2"/>
  <c r="D7248" i="2"/>
  <c r="C7248" i="2"/>
  <c r="B7248" i="2"/>
  <c r="A7248" i="2"/>
  <c r="E7247" i="2"/>
  <c r="D7247" i="2"/>
  <c r="C7247" i="2"/>
  <c r="B7247" i="2"/>
  <c r="A7247" i="2"/>
  <c r="E7246" i="2"/>
  <c r="D7246" i="2"/>
  <c r="C7246" i="2"/>
  <c r="B7246" i="2"/>
  <c r="A7246" i="2"/>
  <c r="E7245" i="2"/>
  <c r="D7245" i="2"/>
  <c r="C7245" i="2"/>
  <c r="B7245" i="2"/>
  <c r="A7245" i="2"/>
  <c r="E7244" i="2"/>
  <c r="D7244" i="2"/>
  <c r="C7244" i="2"/>
  <c r="B7244" i="2"/>
  <c r="A7244" i="2"/>
  <c r="E7243" i="2"/>
  <c r="D7243" i="2"/>
  <c r="C7243" i="2"/>
  <c r="B7243" i="2"/>
  <c r="A7243" i="2"/>
  <c r="E7242" i="2"/>
  <c r="D7242" i="2"/>
  <c r="C7242" i="2"/>
  <c r="B7242" i="2"/>
  <c r="A7242" i="2"/>
  <c r="E7241" i="2"/>
  <c r="D7241" i="2"/>
  <c r="C7241" i="2"/>
  <c r="B7241" i="2"/>
  <c r="A7241" i="2"/>
  <c r="E7240" i="2"/>
  <c r="D7240" i="2"/>
  <c r="C7240" i="2"/>
  <c r="B7240" i="2"/>
  <c r="A7240" i="2"/>
  <c r="E7239" i="2"/>
  <c r="D7239" i="2"/>
  <c r="C7239" i="2"/>
  <c r="B7239" i="2"/>
  <c r="A7239" i="2"/>
  <c r="E7238" i="2"/>
  <c r="D7238" i="2"/>
  <c r="C7238" i="2"/>
  <c r="B7238" i="2"/>
  <c r="A7238" i="2"/>
  <c r="E7237" i="2"/>
  <c r="D7237" i="2"/>
  <c r="C7237" i="2"/>
  <c r="B7237" i="2"/>
  <c r="A7237" i="2"/>
  <c r="E7236" i="2"/>
  <c r="D7236" i="2"/>
  <c r="C7236" i="2"/>
  <c r="B7236" i="2"/>
  <c r="A7236" i="2"/>
  <c r="E7235" i="2"/>
  <c r="D7235" i="2"/>
  <c r="C7235" i="2"/>
  <c r="B7235" i="2"/>
  <c r="A7235" i="2"/>
  <c r="E7234" i="2"/>
  <c r="D7234" i="2"/>
  <c r="C7234" i="2"/>
  <c r="B7234" i="2"/>
  <c r="A7234" i="2"/>
  <c r="E7233" i="2"/>
  <c r="D7233" i="2"/>
  <c r="C7233" i="2"/>
  <c r="B7233" i="2"/>
  <c r="A7233" i="2"/>
  <c r="E7232" i="2"/>
  <c r="D7232" i="2"/>
  <c r="C7232" i="2"/>
  <c r="B7232" i="2"/>
  <c r="A7232" i="2"/>
  <c r="E7231" i="2"/>
  <c r="D7231" i="2"/>
  <c r="C7231" i="2"/>
  <c r="B7231" i="2"/>
  <c r="A7231" i="2"/>
  <c r="E7230" i="2"/>
  <c r="D7230" i="2"/>
  <c r="C7230" i="2"/>
  <c r="B7230" i="2"/>
  <c r="A7230" i="2"/>
  <c r="E7229" i="2"/>
  <c r="D7229" i="2"/>
  <c r="C7229" i="2"/>
  <c r="B7229" i="2"/>
  <c r="A7229" i="2"/>
  <c r="E7228" i="2"/>
  <c r="D7228" i="2"/>
  <c r="C7228" i="2"/>
  <c r="B7228" i="2"/>
  <c r="A7228" i="2"/>
  <c r="E7227" i="2"/>
  <c r="D7227" i="2"/>
  <c r="C7227" i="2"/>
  <c r="B7227" i="2"/>
  <c r="A7227" i="2"/>
  <c r="E7226" i="2"/>
  <c r="D7226" i="2"/>
  <c r="C7226" i="2"/>
  <c r="B7226" i="2"/>
  <c r="A7226" i="2"/>
  <c r="E7225" i="2"/>
  <c r="D7225" i="2"/>
  <c r="C7225" i="2"/>
  <c r="B7225" i="2"/>
  <c r="A7225" i="2"/>
  <c r="E7224" i="2"/>
  <c r="D7224" i="2"/>
  <c r="C7224" i="2"/>
  <c r="B7224" i="2"/>
  <c r="A7224" i="2"/>
  <c r="E7223" i="2"/>
  <c r="D7223" i="2"/>
  <c r="C7223" i="2"/>
  <c r="B7223" i="2"/>
  <c r="A7223" i="2"/>
  <c r="E7222" i="2"/>
  <c r="D7222" i="2"/>
  <c r="C7222" i="2"/>
  <c r="B7222" i="2"/>
  <c r="A7222" i="2"/>
  <c r="E7221" i="2"/>
  <c r="D7221" i="2"/>
  <c r="C7221" i="2"/>
  <c r="B7221" i="2"/>
  <c r="A7221" i="2"/>
  <c r="E7220" i="2"/>
  <c r="D7220" i="2"/>
  <c r="C7220" i="2"/>
  <c r="B7220" i="2"/>
  <c r="A7220" i="2"/>
  <c r="E7219" i="2"/>
  <c r="D7219" i="2"/>
  <c r="C7219" i="2"/>
  <c r="B7219" i="2"/>
  <c r="A7219" i="2"/>
  <c r="E7218" i="2"/>
  <c r="D7218" i="2"/>
  <c r="C7218" i="2"/>
  <c r="B7218" i="2"/>
  <c r="A7218" i="2"/>
  <c r="E7217" i="2"/>
  <c r="D7217" i="2"/>
  <c r="C7217" i="2"/>
  <c r="B7217" i="2"/>
  <c r="A7217" i="2"/>
  <c r="E7216" i="2"/>
  <c r="D7216" i="2"/>
  <c r="C7216" i="2"/>
  <c r="B7216" i="2"/>
  <c r="A7216" i="2"/>
  <c r="E7215" i="2"/>
  <c r="D7215" i="2"/>
  <c r="C7215" i="2"/>
  <c r="B7215" i="2"/>
  <c r="A7215" i="2"/>
  <c r="E7214" i="2"/>
  <c r="D7214" i="2"/>
  <c r="C7214" i="2"/>
  <c r="B7214" i="2"/>
  <c r="A7214" i="2"/>
  <c r="E7213" i="2"/>
  <c r="D7213" i="2"/>
  <c r="C7213" i="2"/>
  <c r="B7213" i="2"/>
  <c r="A7213" i="2"/>
  <c r="E7212" i="2"/>
  <c r="D7212" i="2"/>
  <c r="C7212" i="2"/>
  <c r="B7212" i="2"/>
  <c r="A7212" i="2"/>
  <c r="E7211" i="2"/>
  <c r="D7211" i="2"/>
  <c r="C7211" i="2"/>
  <c r="B7211" i="2"/>
  <c r="A7211" i="2"/>
  <c r="E7210" i="2"/>
  <c r="D7210" i="2"/>
  <c r="C7210" i="2"/>
  <c r="B7210" i="2"/>
  <c r="A7210" i="2"/>
  <c r="E7209" i="2"/>
  <c r="D7209" i="2"/>
  <c r="C7209" i="2"/>
  <c r="B7209" i="2"/>
  <c r="A7209" i="2"/>
  <c r="E7208" i="2"/>
  <c r="D7208" i="2"/>
  <c r="C7208" i="2"/>
  <c r="B7208" i="2"/>
  <c r="A7208" i="2"/>
  <c r="E7207" i="2"/>
  <c r="D7207" i="2"/>
  <c r="C7207" i="2"/>
  <c r="B7207" i="2"/>
  <c r="A7207" i="2"/>
  <c r="E7206" i="2"/>
  <c r="D7206" i="2"/>
  <c r="C7206" i="2"/>
  <c r="B7206" i="2"/>
  <c r="A7206" i="2"/>
  <c r="E7205" i="2"/>
  <c r="D7205" i="2"/>
  <c r="C7205" i="2"/>
  <c r="B7205" i="2"/>
  <c r="A7205" i="2"/>
  <c r="E7204" i="2"/>
  <c r="D7204" i="2"/>
  <c r="C7204" i="2"/>
  <c r="B7204" i="2"/>
  <c r="A7204" i="2"/>
  <c r="E7203" i="2"/>
  <c r="D7203" i="2"/>
  <c r="C7203" i="2"/>
  <c r="B7203" i="2"/>
  <c r="A7203" i="2"/>
  <c r="E7202" i="2"/>
  <c r="D7202" i="2"/>
  <c r="C7202" i="2"/>
  <c r="B7202" i="2"/>
  <c r="A7202" i="2"/>
  <c r="E7201" i="2"/>
  <c r="D7201" i="2"/>
  <c r="C7201" i="2"/>
  <c r="B7201" i="2"/>
  <c r="A7201" i="2"/>
  <c r="E7200" i="2"/>
  <c r="D7200" i="2"/>
  <c r="C7200" i="2"/>
  <c r="B7200" i="2"/>
  <c r="A7200" i="2"/>
  <c r="E7199" i="2"/>
  <c r="D7199" i="2"/>
  <c r="C7199" i="2"/>
  <c r="B7199" i="2"/>
  <c r="A7199" i="2"/>
  <c r="E7198" i="2"/>
  <c r="D7198" i="2"/>
  <c r="C7198" i="2"/>
  <c r="B7198" i="2"/>
  <c r="A7198" i="2"/>
  <c r="E7197" i="2"/>
  <c r="D7197" i="2"/>
  <c r="C7197" i="2"/>
  <c r="B7197" i="2"/>
  <c r="A7197" i="2"/>
  <c r="E7196" i="2"/>
  <c r="D7196" i="2"/>
  <c r="C7196" i="2"/>
  <c r="B7196" i="2"/>
  <c r="A7196" i="2"/>
  <c r="E7195" i="2"/>
  <c r="D7195" i="2"/>
  <c r="C7195" i="2"/>
  <c r="B7195" i="2"/>
  <c r="A7195" i="2"/>
  <c r="E7194" i="2"/>
  <c r="D7194" i="2"/>
  <c r="C7194" i="2"/>
  <c r="B7194" i="2"/>
  <c r="A7194" i="2"/>
  <c r="E7193" i="2"/>
  <c r="D7193" i="2"/>
  <c r="C7193" i="2"/>
  <c r="B7193" i="2"/>
  <c r="A7193" i="2"/>
  <c r="E7192" i="2"/>
  <c r="D7192" i="2"/>
  <c r="C7192" i="2"/>
  <c r="B7192" i="2"/>
  <c r="A7192" i="2"/>
  <c r="E7191" i="2"/>
  <c r="D7191" i="2"/>
  <c r="C7191" i="2"/>
  <c r="B7191" i="2"/>
  <c r="A7191" i="2"/>
  <c r="E7190" i="2"/>
  <c r="D7190" i="2"/>
  <c r="C7190" i="2"/>
  <c r="B7190" i="2"/>
  <c r="A7190" i="2"/>
  <c r="E7189" i="2"/>
  <c r="D7189" i="2"/>
  <c r="C7189" i="2"/>
  <c r="B7189" i="2"/>
  <c r="A7189" i="2"/>
  <c r="E7188" i="2"/>
  <c r="D7188" i="2"/>
  <c r="C7188" i="2"/>
  <c r="B7188" i="2"/>
  <c r="A7188" i="2"/>
  <c r="E7187" i="2"/>
  <c r="D7187" i="2"/>
  <c r="C7187" i="2"/>
  <c r="B7187" i="2"/>
  <c r="A7187" i="2"/>
  <c r="E7186" i="2"/>
  <c r="D7186" i="2"/>
  <c r="C7186" i="2"/>
  <c r="B7186" i="2"/>
  <c r="A7186" i="2"/>
  <c r="E7185" i="2"/>
  <c r="D7185" i="2"/>
  <c r="C7185" i="2"/>
  <c r="B7185" i="2"/>
  <c r="A7185" i="2"/>
  <c r="E7184" i="2"/>
  <c r="D7184" i="2"/>
  <c r="C7184" i="2"/>
  <c r="B7184" i="2"/>
  <c r="A7184" i="2"/>
  <c r="E7183" i="2"/>
  <c r="D7183" i="2"/>
  <c r="C7183" i="2"/>
  <c r="B7183" i="2"/>
  <c r="A7183" i="2"/>
  <c r="E7182" i="2"/>
  <c r="D7182" i="2"/>
  <c r="C7182" i="2"/>
  <c r="B7182" i="2"/>
  <c r="A7182" i="2"/>
  <c r="E7181" i="2"/>
  <c r="D7181" i="2"/>
  <c r="C7181" i="2"/>
  <c r="B7181" i="2"/>
  <c r="A7181" i="2"/>
  <c r="E7180" i="2"/>
  <c r="D7180" i="2"/>
  <c r="C7180" i="2"/>
  <c r="B7180" i="2"/>
  <c r="A7180" i="2"/>
  <c r="E7179" i="2"/>
  <c r="D7179" i="2"/>
  <c r="C7179" i="2"/>
  <c r="B7179" i="2"/>
  <c r="A7179" i="2"/>
  <c r="E7178" i="2"/>
  <c r="D7178" i="2"/>
  <c r="C7178" i="2"/>
  <c r="B7178" i="2"/>
  <c r="A7178" i="2"/>
  <c r="E7177" i="2"/>
  <c r="D7177" i="2"/>
  <c r="C7177" i="2"/>
  <c r="B7177" i="2"/>
  <c r="A7177" i="2"/>
  <c r="E7176" i="2"/>
  <c r="D7176" i="2"/>
  <c r="C7176" i="2"/>
  <c r="B7176" i="2"/>
  <c r="A7176" i="2"/>
  <c r="E7175" i="2"/>
  <c r="D7175" i="2"/>
  <c r="C7175" i="2"/>
  <c r="B7175" i="2"/>
  <c r="A7175" i="2"/>
  <c r="E7174" i="2"/>
  <c r="D7174" i="2"/>
  <c r="C7174" i="2"/>
  <c r="B7174" i="2"/>
  <c r="A7174" i="2"/>
  <c r="E7173" i="2"/>
  <c r="D7173" i="2"/>
  <c r="C7173" i="2"/>
  <c r="B7173" i="2"/>
  <c r="A7173" i="2"/>
  <c r="E7172" i="2"/>
  <c r="D7172" i="2"/>
  <c r="C7172" i="2"/>
  <c r="B7172" i="2"/>
  <c r="A7172" i="2"/>
  <c r="E7171" i="2"/>
  <c r="D7171" i="2"/>
  <c r="C7171" i="2"/>
  <c r="B7171" i="2"/>
  <c r="A7171" i="2"/>
  <c r="E7170" i="2"/>
  <c r="D7170" i="2"/>
  <c r="C7170" i="2"/>
  <c r="B7170" i="2"/>
  <c r="A7170" i="2"/>
  <c r="E7169" i="2"/>
  <c r="D7169" i="2"/>
  <c r="C7169" i="2"/>
  <c r="B7169" i="2"/>
  <c r="A7169" i="2"/>
  <c r="E7168" i="2"/>
  <c r="D7168" i="2"/>
  <c r="C7168" i="2"/>
  <c r="B7168" i="2"/>
  <c r="A7168" i="2"/>
  <c r="E7167" i="2"/>
  <c r="D7167" i="2"/>
  <c r="C7167" i="2"/>
  <c r="B7167" i="2"/>
  <c r="A7167" i="2"/>
  <c r="E7166" i="2"/>
  <c r="D7166" i="2"/>
  <c r="C7166" i="2"/>
  <c r="B7166" i="2"/>
  <c r="A7166" i="2"/>
  <c r="E7165" i="2"/>
  <c r="D7165" i="2"/>
  <c r="C7165" i="2"/>
  <c r="B7165" i="2"/>
  <c r="A7165" i="2"/>
  <c r="E7164" i="2"/>
  <c r="D7164" i="2"/>
  <c r="C7164" i="2"/>
  <c r="B7164" i="2"/>
  <c r="A7164" i="2"/>
  <c r="E7163" i="2"/>
  <c r="D7163" i="2"/>
  <c r="C7163" i="2"/>
  <c r="B7163" i="2"/>
  <c r="A7163" i="2"/>
  <c r="E7162" i="2"/>
  <c r="D7162" i="2"/>
  <c r="C7162" i="2"/>
  <c r="B7162" i="2"/>
  <c r="A7162" i="2"/>
  <c r="E7161" i="2"/>
  <c r="D7161" i="2"/>
  <c r="C7161" i="2"/>
  <c r="B7161" i="2"/>
  <c r="A7161" i="2"/>
  <c r="E7160" i="2"/>
  <c r="D7160" i="2"/>
  <c r="C7160" i="2"/>
  <c r="B7160" i="2"/>
  <c r="A7160" i="2"/>
  <c r="E7159" i="2"/>
  <c r="D7159" i="2"/>
  <c r="C7159" i="2"/>
  <c r="B7159" i="2"/>
  <c r="A7159" i="2"/>
  <c r="E7158" i="2"/>
  <c r="D7158" i="2"/>
  <c r="C7158" i="2"/>
  <c r="B7158" i="2"/>
  <c r="A7158" i="2"/>
  <c r="E7157" i="2"/>
  <c r="D7157" i="2"/>
  <c r="C7157" i="2"/>
  <c r="B7157" i="2"/>
  <c r="A7157" i="2"/>
  <c r="E7156" i="2"/>
  <c r="D7156" i="2"/>
  <c r="C7156" i="2"/>
  <c r="B7156" i="2"/>
  <c r="A7156" i="2"/>
  <c r="E7155" i="2"/>
  <c r="D7155" i="2"/>
  <c r="C7155" i="2"/>
  <c r="B7155" i="2"/>
  <c r="A7155" i="2"/>
  <c r="E7154" i="2"/>
  <c r="D7154" i="2"/>
  <c r="C7154" i="2"/>
  <c r="B7154" i="2"/>
  <c r="A7154" i="2"/>
  <c r="E7153" i="2"/>
  <c r="D7153" i="2"/>
  <c r="C7153" i="2"/>
  <c r="B7153" i="2"/>
  <c r="A7153" i="2"/>
  <c r="E7152" i="2"/>
  <c r="D7152" i="2"/>
  <c r="C7152" i="2"/>
  <c r="B7152" i="2"/>
  <c r="A7152" i="2"/>
  <c r="E7151" i="2"/>
  <c r="D7151" i="2"/>
  <c r="C7151" i="2"/>
  <c r="B7151" i="2"/>
  <c r="A7151" i="2"/>
  <c r="E7150" i="2"/>
  <c r="D7150" i="2"/>
  <c r="C7150" i="2"/>
  <c r="B7150" i="2"/>
  <c r="A7150" i="2"/>
  <c r="E7149" i="2"/>
  <c r="D7149" i="2"/>
  <c r="C7149" i="2"/>
  <c r="B7149" i="2"/>
  <c r="A7149" i="2"/>
  <c r="E7148" i="2"/>
  <c r="D7148" i="2"/>
  <c r="C7148" i="2"/>
  <c r="B7148" i="2"/>
  <c r="A7148" i="2"/>
  <c r="E7147" i="2"/>
  <c r="D7147" i="2"/>
  <c r="C7147" i="2"/>
  <c r="B7147" i="2"/>
  <c r="A7147" i="2"/>
  <c r="E7146" i="2"/>
  <c r="D7146" i="2"/>
  <c r="C7146" i="2"/>
  <c r="B7146" i="2"/>
  <c r="A7146" i="2"/>
  <c r="E7145" i="2"/>
  <c r="D7145" i="2"/>
  <c r="C7145" i="2"/>
  <c r="B7145" i="2"/>
  <c r="A7145" i="2"/>
  <c r="E7144" i="2"/>
  <c r="D7144" i="2"/>
  <c r="C7144" i="2"/>
  <c r="B7144" i="2"/>
  <c r="A7144" i="2"/>
  <c r="E7143" i="2"/>
  <c r="D7143" i="2"/>
  <c r="C7143" i="2"/>
  <c r="B7143" i="2"/>
  <c r="A7143" i="2"/>
  <c r="E7142" i="2"/>
  <c r="D7142" i="2"/>
  <c r="C7142" i="2"/>
  <c r="B7142" i="2"/>
  <c r="A7142" i="2"/>
  <c r="E7141" i="2"/>
  <c r="D7141" i="2"/>
  <c r="C7141" i="2"/>
  <c r="B7141" i="2"/>
  <c r="A7141" i="2"/>
  <c r="E7140" i="2"/>
  <c r="D7140" i="2"/>
  <c r="C7140" i="2"/>
  <c r="B7140" i="2"/>
  <c r="A7140" i="2"/>
  <c r="E7139" i="2"/>
  <c r="D7139" i="2"/>
  <c r="C7139" i="2"/>
  <c r="B7139" i="2"/>
  <c r="A7139" i="2"/>
  <c r="E7138" i="2"/>
  <c r="D7138" i="2"/>
  <c r="C7138" i="2"/>
  <c r="B7138" i="2"/>
  <c r="A7138" i="2"/>
  <c r="E7137" i="2"/>
  <c r="D7137" i="2"/>
  <c r="C7137" i="2"/>
  <c r="B7137" i="2"/>
  <c r="A7137" i="2"/>
  <c r="E7136" i="2"/>
  <c r="D7136" i="2"/>
  <c r="C7136" i="2"/>
  <c r="B7136" i="2"/>
  <c r="A7136" i="2"/>
  <c r="E7135" i="2"/>
  <c r="D7135" i="2"/>
  <c r="C7135" i="2"/>
  <c r="B7135" i="2"/>
  <c r="A7135" i="2"/>
  <c r="E7134" i="2"/>
  <c r="D7134" i="2"/>
  <c r="C7134" i="2"/>
  <c r="B7134" i="2"/>
  <c r="A7134" i="2"/>
  <c r="E7133" i="2"/>
  <c r="D7133" i="2"/>
  <c r="C7133" i="2"/>
  <c r="B7133" i="2"/>
  <c r="A7133" i="2"/>
  <c r="E7132" i="2"/>
  <c r="D7132" i="2"/>
  <c r="C7132" i="2"/>
  <c r="B7132" i="2"/>
  <c r="A7132" i="2"/>
  <c r="E7131" i="2"/>
  <c r="D7131" i="2"/>
  <c r="C7131" i="2"/>
  <c r="B7131" i="2"/>
  <c r="A7131" i="2"/>
  <c r="E7130" i="2"/>
  <c r="D7130" i="2"/>
  <c r="C7130" i="2"/>
  <c r="B7130" i="2"/>
  <c r="A7130" i="2"/>
  <c r="E7129" i="2"/>
  <c r="D7129" i="2"/>
  <c r="C7129" i="2"/>
  <c r="B7129" i="2"/>
  <c r="A7129" i="2"/>
  <c r="E7128" i="2"/>
  <c r="D7128" i="2"/>
  <c r="C7128" i="2"/>
  <c r="B7128" i="2"/>
  <c r="A7128" i="2"/>
  <c r="E7127" i="2"/>
  <c r="D7127" i="2"/>
  <c r="C7127" i="2"/>
  <c r="B7127" i="2"/>
  <c r="A7127" i="2"/>
  <c r="E7126" i="2"/>
  <c r="D7126" i="2"/>
  <c r="C7126" i="2"/>
  <c r="B7126" i="2"/>
  <c r="A7126" i="2"/>
  <c r="E7125" i="2"/>
  <c r="D7125" i="2"/>
  <c r="C7125" i="2"/>
  <c r="B7125" i="2"/>
  <c r="A7125" i="2"/>
  <c r="E7124" i="2"/>
  <c r="D7124" i="2"/>
  <c r="C7124" i="2"/>
  <c r="B7124" i="2"/>
  <c r="A7124" i="2"/>
  <c r="E7123" i="2"/>
  <c r="D7123" i="2"/>
  <c r="C7123" i="2"/>
  <c r="B7123" i="2"/>
  <c r="A7123" i="2"/>
  <c r="E7122" i="2"/>
  <c r="D7122" i="2"/>
  <c r="C7122" i="2"/>
  <c r="B7122" i="2"/>
  <c r="A7122" i="2"/>
  <c r="E7121" i="2"/>
  <c r="D7121" i="2"/>
  <c r="C7121" i="2"/>
  <c r="B7121" i="2"/>
  <c r="A7121" i="2"/>
  <c r="E7120" i="2"/>
  <c r="D7120" i="2"/>
  <c r="C7120" i="2"/>
  <c r="B7120" i="2"/>
  <c r="A7120" i="2"/>
  <c r="E7119" i="2"/>
  <c r="D7119" i="2"/>
  <c r="C7119" i="2"/>
  <c r="B7119" i="2"/>
  <c r="A7119" i="2"/>
  <c r="E7118" i="2"/>
  <c r="D7118" i="2"/>
  <c r="C7118" i="2"/>
  <c r="B7118" i="2"/>
  <c r="A7118" i="2"/>
  <c r="E7117" i="2"/>
  <c r="D7117" i="2"/>
  <c r="C7117" i="2"/>
  <c r="B7117" i="2"/>
  <c r="A7117" i="2"/>
  <c r="E7116" i="2"/>
  <c r="D7116" i="2"/>
  <c r="C7116" i="2"/>
  <c r="B7116" i="2"/>
  <c r="A7116" i="2"/>
  <c r="E7115" i="2"/>
  <c r="D7115" i="2"/>
  <c r="C7115" i="2"/>
  <c r="B7115" i="2"/>
  <c r="A7115" i="2"/>
  <c r="E7114" i="2"/>
  <c r="D7114" i="2"/>
  <c r="C7114" i="2"/>
  <c r="B7114" i="2"/>
  <c r="A7114" i="2"/>
  <c r="E7113" i="2"/>
  <c r="D7113" i="2"/>
  <c r="C7113" i="2"/>
  <c r="B7113" i="2"/>
  <c r="A7113" i="2"/>
  <c r="E7112" i="2"/>
  <c r="D7112" i="2"/>
  <c r="C7112" i="2"/>
  <c r="B7112" i="2"/>
  <c r="A7112" i="2"/>
  <c r="E7111" i="2"/>
  <c r="D7111" i="2"/>
  <c r="C7111" i="2"/>
  <c r="B7111" i="2"/>
  <c r="A7111" i="2"/>
  <c r="E7110" i="2"/>
  <c r="D7110" i="2"/>
  <c r="C7110" i="2"/>
  <c r="B7110" i="2"/>
  <c r="A7110" i="2"/>
  <c r="E7109" i="2"/>
  <c r="D7109" i="2"/>
  <c r="C7109" i="2"/>
  <c r="B7109" i="2"/>
  <c r="A7109" i="2"/>
  <c r="E7108" i="2"/>
  <c r="D7108" i="2"/>
  <c r="C7108" i="2"/>
  <c r="B7108" i="2"/>
  <c r="A7108" i="2"/>
  <c r="E7107" i="2"/>
  <c r="D7107" i="2"/>
  <c r="C7107" i="2"/>
  <c r="B7107" i="2"/>
  <c r="A7107" i="2"/>
  <c r="E7106" i="2"/>
  <c r="D7106" i="2"/>
  <c r="C7106" i="2"/>
  <c r="B7106" i="2"/>
  <c r="A7106" i="2"/>
  <c r="E7105" i="2"/>
  <c r="D7105" i="2"/>
  <c r="C7105" i="2"/>
  <c r="B7105" i="2"/>
  <c r="A7105" i="2"/>
  <c r="E7104" i="2"/>
  <c r="D7104" i="2"/>
  <c r="C7104" i="2"/>
  <c r="B7104" i="2"/>
  <c r="A7104" i="2"/>
  <c r="E7103" i="2"/>
  <c r="D7103" i="2"/>
  <c r="C7103" i="2"/>
  <c r="B7103" i="2"/>
  <c r="A7103" i="2"/>
  <c r="E7102" i="2"/>
  <c r="D7102" i="2"/>
  <c r="C7102" i="2"/>
  <c r="B7102" i="2"/>
  <c r="A7102" i="2"/>
  <c r="E7101" i="2"/>
  <c r="D7101" i="2"/>
  <c r="C7101" i="2"/>
  <c r="B7101" i="2"/>
  <c r="A7101" i="2"/>
  <c r="E7100" i="2"/>
  <c r="D7100" i="2"/>
  <c r="C7100" i="2"/>
  <c r="B7100" i="2"/>
  <c r="A7100" i="2"/>
  <c r="E7099" i="2"/>
  <c r="D7099" i="2"/>
  <c r="C7099" i="2"/>
  <c r="B7099" i="2"/>
  <c r="A7099" i="2"/>
  <c r="E7098" i="2"/>
  <c r="D7098" i="2"/>
  <c r="C7098" i="2"/>
  <c r="B7098" i="2"/>
  <c r="A7098" i="2"/>
  <c r="E7097" i="2"/>
  <c r="D7097" i="2"/>
  <c r="C7097" i="2"/>
  <c r="B7097" i="2"/>
  <c r="A7097" i="2"/>
  <c r="E7096" i="2"/>
  <c r="D7096" i="2"/>
  <c r="C7096" i="2"/>
  <c r="B7096" i="2"/>
  <c r="A7096" i="2"/>
  <c r="E7095" i="2"/>
  <c r="D7095" i="2"/>
  <c r="C7095" i="2"/>
  <c r="B7095" i="2"/>
  <c r="A7095" i="2"/>
  <c r="E7094" i="2"/>
  <c r="D7094" i="2"/>
  <c r="C7094" i="2"/>
  <c r="B7094" i="2"/>
  <c r="A7094" i="2"/>
  <c r="E7093" i="2"/>
  <c r="D7093" i="2"/>
  <c r="C7093" i="2"/>
  <c r="B7093" i="2"/>
  <c r="A7093" i="2"/>
  <c r="E7092" i="2"/>
  <c r="D7092" i="2"/>
  <c r="C7092" i="2"/>
  <c r="B7092" i="2"/>
  <c r="A7092" i="2"/>
  <c r="E7091" i="2"/>
  <c r="D7091" i="2"/>
  <c r="C7091" i="2"/>
  <c r="B7091" i="2"/>
  <c r="A7091" i="2"/>
  <c r="E7090" i="2"/>
  <c r="D7090" i="2"/>
  <c r="C7090" i="2"/>
  <c r="B7090" i="2"/>
  <c r="A7090" i="2"/>
  <c r="E7089" i="2"/>
  <c r="D7089" i="2"/>
  <c r="C7089" i="2"/>
  <c r="B7089" i="2"/>
  <c r="A7089" i="2"/>
  <c r="E7088" i="2"/>
  <c r="D7088" i="2"/>
  <c r="C7088" i="2"/>
  <c r="B7088" i="2"/>
  <c r="A7088" i="2"/>
  <c r="E7087" i="2"/>
  <c r="D7087" i="2"/>
  <c r="C7087" i="2"/>
  <c r="B7087" i="2"/>
  <c r="A7087" i="2"/>
  <c r="E7086" i="2"/>
  <c r="D7086" i="2"/>
  <c r="C7086" i="2"/>
  <c r="B7086" i="2"/>
  <c r="A7086" i="2"/>
  <c r="E7085" i="2"/>
  <c r="D7085" i="2"/>
  <c r="C7085" i="2"/>
  <c r="B7085" i="2"/>
  <c r="A7085" i="2"/>
  <c r="E7084" i="2"/>
  <c r="D7084" i="2"/>
  <c r="C7084" i="2"/>
  <c r="B7084" i="2"/>
  <c r="A7084" i="2"/>
  <c r="E7083" i="2"/>
  <c r="D7083" i="2"/>
  <c r="C7083" i="2"/>
  <c r="B7083" i="2"/>
  <c r="A7083" i="2"/>
  <c r="E7082" i="2"/>
  <c r="D7082" i="2"/>
  <c r="C7082" i="2"/>
  <c r="B7082" i="2"/>
  <c r="A7082" i="2"/>
  <c r="E7081" i="2"/>
  <c r="D7081" i="2"/>
  <c r="C7081" i="2"/>
  <c r="B7081" i="2"/>
  <c r="A7081" i="2"/>
  <c r="E7080" i="2"/>
  <c r="D7080" i="2"/>
  <c r="C7080" i="2"/>
  <c r="B7080" i="2"/>
  <c r="A7080" i="2"/>
  <c r="E7079" i="2"/>
  <c r="D7079" i="2"/>
  <c r="C7079" i="2"/>
  <c r="B7079" i="2"/>
  <c r="A7079" i="2"/>
  <c r="E7078" i="2"/>
  <c r="D7078" i="2"/>
  <c r="C7078" i="2"/>
  <c r="B7078" i="2"/>
  <c r="A7078" i="2"/>
  <c r="E7077" i="2"/>
  <c r="D7077" i="2"/>
  <c r="C7077" i="2"/>
  <c r="B7077" i="2"/>
  <c r="A7077" i="2"/>
  <c r="E7076" i="2"/>
  <c r="D7076" i="2"/>
  <c r="C7076" i="2"/>
  <c r="B7076" i="2"/>
  <c r="A7076" i="2"/>
  <c r="E7075" i="2"/>
  <c r="D7075" i="2"/>
  <c r="C7075" i="2"/>
  <c r="B7075" i="2"/>
  <c r="A7075" i="2"/>
  <c r="E7074" i="2"/>
  <c r="D7074" i="2"/>
  <c r="C7074" i="2"/>
  <c r="B7074" i="2"/>
  <c r="A7074" i="2"/>
  <c r="E7073" i="2"/>
  <c r="D7073" i="2"/>
  <c r="C7073" i="2"/>
  <c r="B7073" i="2"/>
  <c r="A7073" i="2"/>
  <c r="E7072" i="2"/>
  <c r="D7072" i="2"/>
  <c r="C7072" i="2"/>
  <c r="B7072" i="2"/>
  <c r="A7072" i="2"/>
  <c r="E7071" i="2"/>
  <c r="D7071" i="2"/>
  <c r="C7071" i="2"/>
  <c r="B7071" i="2"/>
  <c r="A7071" i="2"/>
  <c r="E7070" i="2"/>
  <c r="D7070" i="2"/>
  <c r="C7070" i="2"/>
  <c r="B7070" i="2"/>
  <c r="A7070" i="2"/>
  <c r="E7069" i="2"/>
  <c r="D7069" i="2"/>
  <c r="C7069" i="2"/>
  <c r="B7069" i="2"/>
  <c r="A7069" i="2"/>
  <c r="E7068" i="2"/>
  <c r="D7068" i="2"/>
  <c r="C7068" i="2"/>
  <c r="B7068" i="2"/>
  <c r="A7068" i="2"/>
  <c r="E7067" i="2"/>
  <c r="D7067" i="2"/>
  <c r="C7067" i="2"/>
  <c r="B7067" i="2"/>
  <c r="A7067" i="2"/>
  <c r="E7066" i="2"/>
  <c r="D7066" i="2"/>
  <c r="C7066" i="2"/>
  <c r="B7066" i="2"/>
  <c r="A7066" i="2"/>
  <c r="E7065" i="2"/>
  <c r="D7065" i="2"/>
  <c r="C7065" i="2"/>
  <c r="B7065" i="2"/>
  <c r="A7065" i="2"/>
  <c r="E7064" i="2"/>
  <c r="D7064" i="2"/>
  <c r="C7064" i="2"/>
  <c r="B7064" i="2"/>
  <c r="A7064" i="2"/>
  <c r="E7063" i="2"/>
  <c r="D7063" i="2"/>
  <c r="C7063" i="2"/>
  <c r="B7063" i="2"/>
  <c r="A7063" i="2"/>
  <c r="E7062" i="2"/>
  <c r="D7062" i="2"/>
  <c r="C7062" i="2"/>
  <c r="B7062" i="2"/>
  <c r="A7062" i="2"/>
  <c r="E7061" i="2"/>
  <c r="D7061" i="2"/>
  <c r="C7061" i="2"/>
  <c r="B7061" i="2"/>
  <c r="A7061" i="2"/>
  <c r="E7060" i="2"/>
  <c r="D7060" i="2"/>
  <c r="C7060" i="2"/>
  <c r="B7060" i="2"/>
  <c r="A7060" i="2"/>
  <c r="E7059" i="2"/>
  <c r="D7059" i="2"/>
  <c r="C7059" i="2"/>
  <c r="B7059" i="2"/>
  <c r="A7059" i="2"/>
  <c r="E7058" i="2"/>
  <c r="D7058" i="2"/>
  <c r="C7058" i="2"/>
  <c r="B7058" i="2"/>
  <c r="A7058" i="2"/>
  <c r="E7057" i="2"/>
  <c r="D7057" i="2"/>
  <c r="C7057" i="2"/>
  <c r="B7057" i="2"/>
  <c r="A7057" i="2"/>
  <c r="E7056" i="2"/>
  <c r="D7056" i="2"/>
  <c r="C7056" i="2"/>
  <c r="B7056" i="2"/>
  <c r="A7056" i="2"/>
  <c r="E7055" i="2"/>
  <c r="D7055" i="2"/>
  <c r="C7055" i="2"/>
  <c r="B7055" i="2"/>
  <c r="A7055" i="2"/>
  <c r="E7054" i="2"/>
  <c r="D7054" i="2"/>
  <c r="C7054" i="2"/>
  <c r="B7054" i="2"/>
  <c r="A7054" i="2"/>
  <c r="E7053" i="2"/>
  <c r="D7053" i="2"/>
  <c r="C7053" i="2"/>
  <c r="B7053" i="2"/>
  <c r="A7053" i="2"/>
  <c r="E7052" i="2"/>
  <c r="D7052" i="2"/>
  <c r="C7052" i="2"/>
  <c r="B7052" i="2"/>
  <c r="A7052" i="2"/>
  <c r="E7051" i="2"/>
  <c r="D7051" i="2"/>
  <c r="C7051" i="2"/>
  <c r="B7051" i="2"/>
  <c r="A7051" i="2"/>
  <c r="E7050" i="2"/>
  <c r="D7050" i="2"/>
  <c r="C7050" i="2"/>
  <c r="B7050" i="2"/>
  <c r="A7050" i="2"/>
  <c r="E7049" i="2"/>
  <c r="D7049" i="2"/>
  <c r="C7049" i="2"/>
  <c r="B7049" i="2"/>
  <c r="A7049" i="2"/>
  <c r="E7048" i="2"/>
  <c r="D7048" i="2"/>
  <c r="C7048" i="2"/>
  <c r="B7048" i="2"/>
  <c r="A7048" i="2"/>
  <c r="E7047" i="2"/>
  <c r="D7047" i="2"/>
  <c r="C7047" i="2"/>
  <c r="B7047" i="2"/>
  <c r="A7047" i="2"/>
  <c r="E7046" i="2"/>
  <c r="D7046" i="2"/>
  <c r="C7046" i="2"/>
  <c r="B7046" i="2"/>
  <c r="A7046" i="2"/>
  <c r="E7045" i="2"/>
  <c r="D7045" i="2"/>
  <c r="C7045" i="2"/>
  <c r="B7045" i="2"/>
  <c r="A7045" i="2"/>
  <c r="E7044" i="2"/>
  <c r="D7044" i="2"/>
  <c r="C7044" i="2"/>
  <c r="B7044" i="2"/>
  <c r="A7044" i="2"/>
  <c r="E7043" i="2"/>
  <c r="D7043" i="2"/>
  <c r="C7043" i="2"/>
  <c r="B7043" i="2"/>
  <c r="A7043" i="2"/>
  <c r="E7042" i="2"/>
  <c r="D7042" i="2"/>
  <c r="C7042" i="2"/>
  <c r="B7042" i="2"/>
  <c r="A7042" i="2"/>
  <c r="E7041" i="2"/>
  <c r="D7041" i="2"/>
  <c r="C7041" i="2"/>
  <c r="B7041" i="2"/>
  <c r="A7041" i="2"/>
  <c r="E7040" i="2"/>
  <c r="D7040" i="2"/>
  <c r="C7040" i="2"/>
  <c r="B7040" i="2"/>
  <c r="A7040" i="2"/>
  <c r="E7039" i="2"/>
  <c r="D7039" i="2"/>
  <c r="C7039" i="2"/>
  <c r="B7039" i="2"/>
  <c r="A7039" i="2"/>
  <c r="E7038" i="2"/>
  <c r="D7038" i="2"/>
  <c r="C7038" i="2"/>
  <c r="B7038" i="2"/>
  <c r="A7038" i="2"/>
  <c r="E7037" i="2"/>
  <c r="D7037" i="2"/>
  <c r="C7037" i="2"/>
  <c r="B7037" i="2"/>
  <c r="A7037" i="2"/>
  <c r="E7036" i="2"/>
  <c r="D7036" i="2"/>
  <c r="C7036" i="2"/>
  <c r="B7036" i="2"/>
  <c r="A7036" i="2"/>
  <c r="E7035" i="2"/>
  <c r="D7035" i="2"/>
  <c r="C7035" i="2"/>
  <c r="B7035" i="2"/>
  <c r="A7035" i="2"/>
  <c r="E7034" i="2"/>
  <c r="D7034" i="2"/>
  <c r="C7034" i="2"/>
  <c r="B7034" i="2"/>
  <c r="A7034" i="2"/>
  <c r="E7033" i="2"/>
  <c r="D7033" i="2"/>
  <c r="C7033" i="2"/>
  <c r="B7033" i="2"/>
  <c r="A7033" i="2"/>
  <c r="E7032" i="2"/>
  <c r="D7032" i="2"/>
  <c r="C7032" i="2"/>
  <c r="B7032" i="2"/>
  <c r="A7032" i="2"/>
  <c r="E7031" i="2"/>
  <c r="D7031" i="2"/>
  <c r="C7031" i="2"/>
  <c r="B7031" i="2"/>
  <c r="A7031" i="2"/>
  <c r="E7030" i="2"/>
  <c r="D7030" i="2"/>
  <c r="C7030" i="2"/>
  <c r="B7030" i="2"/>
  <c r="A7030" i="2"/>
  <c r="E7029" i="2"/>
  <c r="D7029" i="2"/>
  <c r="C7029" i="2"/>
  <c r="B7029" i="2"/>
  <c r="A7029" i="2"/>
  <c r="E7028" i="2"/>
  <c r="D7028" i="2"/>
  <c r="C7028" i="2"/>
  <c r="B7028" i="2"/>
  <c r="A7028" i="2"/>
  <c r="E7027" i="2"/>
  <c r="D7027" i="2"/>
  <c r="C7027" i="2"/>
  <c r="B7027" i="2"/>
  <c r="A7027" i="2"/>
  <c r="E7026" i="2"/>
  <c r="D7026" i="2"/>
  <c r="C7026" i="2"/>
  <c r="B7026" i="2"/>
  <c r="A7026" i="2"/>
  <c r="E7025" i="2"/>
  <c r="D7025" i="2"/>
  <c r="C7025" i="2"/>
  <c r="B7025" i="2"/>
  <c r="A7025" i="2"/>
  <c r="E7024" i="2"/>
  <c r="D7024" i="2"/>
  <c r="C7024" i="2"/>
  <c r="B7024" i="2"/>
  <c r="A7024" i="2"/>
  <c r="E7023" i="2"/>
  <c r="D7023" i="2"/>
  <c r="C7023" i="2"/>
  <c r="B7023" i="2"/>
  <c r="A7023" i="2"/>
  <c r="E7022" i="2"/>
  <c r="D7022" i="2"/>
  <c r="C7022" i="2"/>
  <c r="B7022" i="2"/>
  <c r="A7022" i="2"/>
  <c r="E7021" i="2"/>
  <c r="D7021" i="2"/>
  <c r="C7021" i="2"/>
  <c r="B7021" i="2"/>
  <c r="A7021" i="2"/>
  <c r="E7020" i="2"/>
  <c r="D7020" i="2"/>
  <c r="C7020" i="2"/>
  <c r="B7020" i="2"/>
  <c r="A7020" i="2"/>
  <c r="E7019" i="2"/>
  <c r="D7019" i="2"/>
  <c r="C7019" i="2"/>
  <c r="B7019" i="2"/>
  <c r="A7019" i="2"/>
  <c r="E7018" i="2"/>
  <c r="D7018" i="2"/>
  <c r="C7018" i="2"/>
  <c r="B7018" i="2"/>
  <c r="A7018" i="2"/>
  <c r="E7017" i="2"/>
  <c r="D7017" i="2"/>
  <c r="C7017" i="2"/>
  <c r="B7017" i="2"/>
  <c r="A7017" i="2"/>
  <c r="E7016" i="2"/>
  <c r="D7016" i="2"/>
  <c r="C7016" i="2"/>
  <c r="B7016" i="2"/>
  <c r="A7016" i="2"/>
  <c r="E7015" i="2"/>
  <c r="D7015" i="2"/>
  <c r="C7015" i="2"/>
  <c r="B7015" i="2"/>
  <c r="A7015" i="2"/>
  <c r="E7014" i="2"/>
  <c r="D7014" i="2"/>
  <c r="C7014" i="2"/>
  <c r="B7014" i="2"/>
  <c r="A7014" i="2"/>
  <c r="E7013" i="2"/>
  <c r="D7013" i="2"/>
  <c r="C7013" i="2"/>
  <c r="B7013" i="2"/>
  <c r="A7013" i="2"/>
  <c r="E7012" i="2"/>
  <c r="D7012" i="2"/>
  <c r="C7012" i="2"/>
  <c r="B7012" i="2"/>
  <c r="A7012" i="2"/>
  <c r="E7011" i="2"/>
  <c r="D7011" i="2"/>
  <c r="C7011" i="2"/>
  <c r="B7011" i="2"/>
  <c r="A7011" i="2"/>
  <c r="E7010" i="2"/>
  <c r="D7010" i="2"/>
  <c r="C7010" i="2"/>
  <c r="B7010" i="2"/>
  <c r="A7010" i="2"/>
  <c r="E7009" i="2"/>
  <c r="D7009" i="2"/>
  <c r="C7009" i="2"/>
  <c r="B7009" i="2"/>
  <c r="A7009" i="2"/>
  <c r="E7008" i="2"/>
  <c r="D7008" i="2"/>
  <c r="C7008" i="2"/>
  <c r="B7008" i="2"/>
  <c r="A7008" i="2"/>
  <c r="E7007" i="2"/>
  <c r="D7007" i="2"/>
  <c r="C7007" i="2"/>
  <c r="B7007" i="2"/>
  <c r="A7007" i="2"/>
  <c r="E7006" i="2"/>
  <c r="D7006" i="2"/>
  <c r="C7006" i="2"/>
  <c r="B7006" i="2"/>
  <c r="A7006" i="2"/>
  <c r="E7005" i="2"/>
  <c r="D7005" i="2"/>
  <c r="C7005" i="2"/>
  <c r="B7005" i="2"/>
  <c r="A7005" i="2"/>
  <c r="E7004" i="2"/>
  <c r="D7004" i="2"/>
  <c r="C7004" i="2"/>
  <c r="B7004" i="2"/>
  <c r="A7004" i="2"/>
  <c r="E7003" i="2"/>
  <c r="D7003" i="2"/>
  <c r="C7003" i="2"/>
  <c r="B7003" i="2"/>
  <c r="A7003" i="2"/>
  <c r="E7002" i="2"/>
  <c r="D7002" i="2"/>
  <c r="C7002" i="2"/>
  <c r="B7002" i="2"/>
  <c r="A7002" i="2"/>
  <c r="E7001" i="2"/>
  <c r="D7001" i="2"/>
  <c r="C7001" i="2"/>
  <c r="B7001" i="2"/>
  <c r="A7001" i="2"/>
  <c r="E7000" i="2"/>
  <c r="D7000" i="2"/>
  <c r="C7000" i="2"/>
  <c r="B7000" i="2"/>
  <c r="A7000" i="2"/>
  <c r="E6999" i="2"/>
  <c r="D6999" i="2"/>
  <c r="C6999" i="2"/>
  <c r="B6999" i="2"/>
  <c r="A6999" i="2"/>
  <c r="E6998" i="2"/>
  <c r="D6998" i="2"/>
  <c r="C6998" i="2"/>
  <c r="B6998" i="2"/>
  <c r="A6998" i="2"/>
  <c r="E6997" i="2"/>
  <c r="D6997" i="2"/>
  <c r="C6997" i="2"/>
  <c r="B6997" i="2"/>
  <c r="A6997" i="2"/>
  <c r="E6996" i="2"/>
  <c r="D6996" i="2"/>
  <c r="C6996" i="2"/>
  <c r="B6996" i="2"/>
  <c r="A6996" i="2"/>
  <c r="E6995" i="2"/>
  <c r="D6995" i="2"/>
  <c r="C6995" i="2"/>
  <c r="B6995" i="2"/>
  <c r="A6995" i="2"/>
  <c r="E6994" i="2"/>
  <c r="D6994" i="2"/>
  <c r="C6994" i="2"/>
  <c r="B6994" i="2"/>
  <c r="A6994" i="2"/>
  <c r="E6993" i="2"/>
  <c r="D6993" i="2"/>
  <c r="C6993" i="2"/>
  <c r="B6993" i="2"/>
  <c r="A6993" i="2"/>
  <c r="E6992" i="2"/>
  <c r="D6992" i="2"/>
  <c r="C6992" i="2"/>
  <c r="B6992" i="2"/>
  <c r="A6992" i="2"/>
  <c r="E6991" i="2"/>
  <c r="D6991" i="2"/>
  <c r="C6991" i="2"/>
  <c r="B6991" i="2"/>
  <c r="A6991" i="2"/>
  <c r="E6990" i="2"/>
  <c r="D6990" i="2"/>
  <c r="C6990" i="2"/>
  <c r="B6990" i="2"/>
  <c r="A6990" i="2"/>
  <c r="E6989" i="2"/>
  <c r="D6989" i="2"/>
  <c r="C6989" i="2"/>
  <c r="B6989" i="2"/>
  <c r="A6989" i="2"/>
  <c r="E6988" i="2"/>
  <c r="D6988" i="2"/>
  <c r="C6988" i="2"/>
  <c r="B6988" i="2"/>
  <c r="A6988" i="2"/>
  <c r="E6987" i="2"/>
  <c r="D6987" i="2"/>
  <c r="C6987" i="2"/>
  <c r="B6987" i="2"/>
  <c r="A6987" i="2"/>
  <c r="E6986" i="2"/>
  <c r="D6986" i="2"/>
  <c r="C6986" i="2"/>
  <c r="B6986" i="2"/>
  <c r="A6986" i="2"/>
  <c r="E6985" i="2"/>
  <c r="D6985" i="2"/>
  <c r="C6985" i="2"/>
  <c r="B6985" i="2"/>
  <c r="A6985" i="2"/>
  <c r="E6984" i="2"/>
  <c r="D6984" i="2"/>
  <c r="C6984" i="2"/>
  <c r="B6984" i="2"/>
  <c r="A6984" i="2"/>
  <c r="E6983" i="2"/>
  <c r="D6983" i="2"/>
  <c r="C6983" i="2"/>
  <c r="B6983" i="2"/>
  <c r="A6983" i="2"/>
  <c r="E6982" i="2"/>
  <c r="D6982" i="2"/>
  <c r="C6982" i="2"/>
  <c r="B6982" i="2"/>
  <c r="A6982" i="2"/>
  <c r="E6981" i="2"/>
  <c r="D6981" i="2"/>
  <c r="C6981" i="2"/>
  <c r="B6981" i="2"/>
  <c r="A6981" i="2"/>
  <c r="E6980" i="2"/>
  <c r="D6980" i="2"/>
  <c r="C6980" i="2"/>
  <c r="B6980" i="2"/>
  <c r="A6980" i="2"/>
  <c r="E6979" i="2"/>
  <c r="D6979" i="2"/>
  <c r="C6979" i="2"/>
  <c r="B6979" i="2"/>
  <c r="A6979" i="2"/>
  <c r="E6978" i="2"/>
  <c r="D6978" i="2"/>
  <c r="C6978" i="2"/>
  <c r="B6978" i="2"/>
  <c r="A6978" i="2"/>
  <c r="E6977" i="2"/>
  <c r="D6977" i="2"/>
  <c r="C6977" i="2"/>
  <c r="B6977" i="2"/>
  <c r="A6977" i="2"/>
  <c r="E6976" i="2"/>
  <c r="D6976" i="2"/>
  <c r="C6976" i="2"/>
  <c r="B6976" i="2"/>
  <c r="A6976" i="2"/>
  <c r="E6975" i="2"/>
  <c r="D6975" i="2"/>
  <c r="C6975" i="2"/>
  <c r="B6975" i="2"/>
  <c r="A6975" i="2"/>
  <c r="E6974" i="2"/>
  <c r="D6974" i="2"/>
  <c r="C6974" i="2"/>
  <c r="B6974" i="2"/>
  <c r="A6974" i="2"/>
  <c r="E6973" i="2"/>
  <c r="D6973" i="2"/>
  <c r="C6973" i="2"/>
  <c r="B6973" i="2"/>
  <c r="A6973" i="2"/>
  <c r="E6972" i="2"/>
  <c r="D6972" i="2"/>
  <c r="C6972" i="2"/>
  <c r="B6972" i="2"/>
  <c r="A6972" i="2"/>
  <c r="E6971" i="2"/>
  <c r="D6971" i="2"/>
  <c r="C6971" i="2"/>
  <c r="B6971" i="2"/>
  <c r="A6971" i="2"/>
  <c r="E6970" i="2"/>
  <c r="D6970" i="2"/>
  <c r="C6970" i="2"/>
  <c r="B6970" i="2"/>
  <c r="A6970" i="2"/>
  <c r="E6969" i="2"/>
  <c r="D6969" i="2"/>
  <c r="C6969" i="2"/>
  <c r="B6969" i="2"/>
  <c r="A6969" i="2"/>
  <c r="E6968" i="2"/>
  <c r="D6968" i="2"/>
  <c r="C6968" i="2"/>
  <c r="B6968" i="2"/>
  <c r="A6968" i="2"/>
  <c r="E6967" i="2"/>
  <c r="D6967" i="2"/>
  <c r="C6967" i="2"/>
  <c r="B6967" i="2"/>
  <c r="A6967" i="2"/>
  <c r="E6966" i="2"/>
  <c r="D6966" i="2"/>
  <c r="C6966" i="2"/>
  <c r="B6966" i="2"/>
  <c r="A6966" i="2"/>
  <c r="E6965" i="2"/>
  <c r="D6965" i="2"/>
  <c r="C6965" i="2"/>
  <c r="B6965" i="2"/>
  <c r="A6965" i="2"/>
  <c r="E6964" i="2"/>
  <c r="D6964" i="2"/>
  <c r="C6964" i="2"/>
  <c r="B6964" i="2"/>
  <c r="A6964" i="2"/>
  <c r="E6963" i="2"/>
  <c r="D6963" i="2"/>
  <c r="C6963" i="2"/>
  <c r="B6963" i="2"/>
  <c r="A6963" i="2"/>
  <c r="E6962" i="2"/>
  <c r="D6962" i="2"/>
  <c r="C6962" i="2"/>
  <c r="B6962" i="2"/>
  <c r="A6962" i="2"/>
  <c r="E6961" i="2"/>
  <c r="D6961" i="2"/>
  <c r="C6961" i="2"/>
  <c r="B6961" i="2"/>
  <c r="A6961" i="2"/>
  <c r="E6960" i="2"/>
  <c r="D6960" i="2"/>
  <c r="C6960" i="2"/>
  <c r="B6960" i="2"/>
  <c r="A6960" i="2"/>
  <c r="E6959" i="2"/>
  <c r="D6959" i="2"/>
  <c r="C6959" i="2"/>
  <c r="B6959" i="2"/>
  <c r="A6959" i="2"/>
  <c r="E6958" i="2"/>
  <c r="D6958" i="2"/>
  <c r="C6958" i="2"/>
  <c r="B6958" i="2"/>
  <c r="A6958" i="2"/>
  <c r="E6957" i="2"/>
  <c r="D6957" i="2"/>
  <c r="C6957" i="2"/>
  <c r="B6957" i="2"/>
  <c r="A6957" i="2"/>
  <c r="E6956" i="2"/>
  <c r="D6956" i="2"/>
  <c r="C6956" i="2"/>
  <c r="B6956" i="2"/>
  <c r="A6956" i="2"/>
  <c r="E6955" i="2"/>
  <c r="D6955" i="2"/>
  <c r="C6955" i="2"/>
  <c r="B6955" i="2"/>
  <c r="A6955" i="2"/>
  <c r="E6954" i="2"/>
  <c r="D6954" i="2"/>
  <c r="C6954" i="2"/>
  <c r="B6954" i="2"/>
  <c r="A6954" i="2"/>
  <c r="E6953" i="2"/>
  <c r="D6953" i="2"/>
  <c r="C6953" i="2"/>
  <c r="B6953" i="2"/>
  <c r="A6953" i="2"/>
  <c r="E6952" i="2"/>
  <c r="D6952" i="2"/>
  <c r="C6952" i="2"/>
  <c r="B6952" i="2"/>
  <c r="A6952" i="2"/>
  <c r="E6951" i="2"/>
  <c r="D6951" i="2"/>
  <c r="C6951" i="2"/>
  <c r="B6951" i="2"/>
  <c r="A6951" i="2"/>
  <c r="E6950" i="2"/>
  <c r="D6950" i="2"/>
  <c r="C6950" i="2"/>
  <c r="B6950" i="2"/>
  <c r="A6950" i="2"/>
  <c r="E6949" i="2"/>
  <c r="D6949" i="2"/>
  <c r="C6949" i="2"/>
  <c r="B6949" i="2"/>
  <c r="A6949" i="2"/>
  <c r="E6948" i="2"/>
  <c r="D6948" i="2"/>
  <c r="C6948" i="2"/>
  <c r="B6948" i="2"/>
  <c r="A6948" i="2"/>
  <c r="E6947" i="2"/>
  <c r="D6947" i="2"/>
  <c r="C6947" i="2"/>
  <c r="B6947" i="2"/>
  <c r="A6947" i="2"/>
  <c r="E6946" i="2"/>
  <c r="D6946" i="2"/>
  <c r="C6946" i="2"/>
  <c r="B6946" i="2"/>
  <c r="A6946" i="2"/>
  <c r="E6945" i="2"/>
  <c r="D6945" i="2"/>
  <c r="C6945" i="2"/>
  <c r="B6945" i="2"/>
  <c r="A6945" i="2"/>
  <c r="E6944" i="2"/>
  <c r="D6944" i="2"/>
  <c r="C6944" i="2"/>
  <c r="B6944" i="2"/>
  <c r="A6944" i="2"/>
  <c r="E6943" i="2"/>
  <c r="D6943" i="2"/>
  <c r="C6943" i="2"/>
  <c r="B6943" i="2"/>
  <c r="A6943" i="2"/>
  <c r="E6942" i="2"/>
  <c r="D6942" i="2"/>
  <c r="C6942" i="2"/>
  <c r="B6942" i="2"/>
  <c r="A6942" i="2"/>
  <c r="E6941" i="2"/>
  <c r="D6941" i="2"/>
  <c r="C6941" i="2"/>
  <c r="B6941" i="2"/>
  <c r="A6941" i="2"/>
  <c r="E6940" i="2"/>
  <c r="D6940" i="2"/>
  <c r="C6940" i="2"/>
  <c r="B6940" i="2"/>
  <c r="A6940" i="2"/>
  <c r="E6939" i="2"/>
  <c r="D6939" i="2"/>
  <c r="C6939" i="2"/>
  <c r="B6939" i="2"/>
  <c r="A6939" i="2"/>
  <c r="E6938" i="2"/>
  <c r="D6938" i="2"/>
  <c r="C6938" i="2"/>
  <c r="B6938" i="2"/>
  <c r="A6938" i="2"/>
  <c r="E6937" i="2"/>
  <c r="D6937" i="2"/>
  <c r="C6937" i="2"/>
  <c r="B6937" i="2"/>
  <c r="A6937" i="2"/>
  <c r="E6936" i="2"/>
  <c r="D6936" i="2"/>
  <c r="C6936" i="2"/>
  <c r="B6936" i="2"/>
  <c r="A6936" i="2"/>
  <c r="E6935" i="2"/>
  <c r="D6935" i="2"/>
  <c r="C6935" i="2"/>
  <c r="B6935" i="2"/>
  <c r="A6935" i="2"/>
  <c r="E6934" i="2"/>
  <c r="D6934" i="2"/>
  <c r="C6934" i="2"/>
  <c r="B6934" i="2"/>
  <c r="A6934" i="2"/>
  <c r="E6933" i="2"/>
  <c r="D6933" i="2"/>
  <c r="C6933" i="2"/>
  <c r="B6933" i="2"/>
  <c r="A6933" i="2"/>
  <c r="E6932" i="2"/>
  <c r="D6932" i="2"/>
  <c r="C6932" i="2"/>
  <c r="B6932" i="2"/>
  <c r="A6932" i="2"/>
  <c r="E6931" i="2"/>
  <c r="D6931" i="2"/>
  <c r="C6931" i="2"/>
  <c r="B6931" i="2"/>
  <c r="A6931" i="2"/>
  <c r="E6930" i="2"/>
  <c r="D6930" i="2"/>
  <c r="C6930" i="2"/>
  <c r="B6930" i="2"/>
  <c r="A6930" i="2"/>
  <c r="E6929" i="2"/>
  <c r="D6929" i="2"/>
  <c r="C6929" i="2"/>
  <c r="B6929" i="2"/>
  <c r="A6929" i="2"/>
  <c r="E6928" i="2"/>
  <c r="D6928" i="2"/>
  <c r="C6928" i="2"/>
  <c r="B6928" i="2"/>
  <c r="A6928" i="2"/>
  <c r="E6927" i="2"/>
  <c r="D6927" i="2"/>
  <c r="C6927" i="2"/>
  <c r="B6927" i="2"/>
  <c r="A6927" i="2"/>
  <c r="E6926" i="2"/>
  <c r="D6926" i="2"/>
  <c r="C6926" i="2"/>
  <c r="B6926" i="2"/>
  <c r="A6926" i="2"/>
  <c r="E6925" i="2"/>
  <c r="D6925" i="2"/>
  <c r="C6925" i="2"/>
  <c r="B6925" i="2"/>
  <c r="A6925" i="2"/>
  <c r="E6924" i="2"/>
  <c r="D6924" i="2"/>
  <c r="C6924" i="2"/>
  <c r="B6924" i="2"/>
  <c r="A6924" i="2"/>
  <c r="E6923" i="2"/>
  <c r="D6923" i="2"/>
  <c r="C6923" i="2"/>
  <c r="B6923" i="2"/>
  <c r="A6923" i="2"/>
  <c r="E6922" i="2"/>
  <c r="D6922" i="2"/>
  <c r="C6922" i="2"/>
  <c r="B6922" i="2"/>
  <c r="A6922" i="2"/>
  <c r="E6921" i="2"/>
  <c r="D6921" i="2"/>
  <c r="C6921" i="2"/>
  <c r="B6921" i="2"/>
  <c r="A6921" i="2"/>
  <c r="E6920" i="2"/>
  <c r="D6920" i="2"/>
  <c r="C6920" i="2"/>
  <c r="B6920" i="2"/>
  <c r="A6920" i="2"/>
  <c r="E6919" i="2"/>
  <c r="D6919" i="2"/>
  <c r="C6919" i="2"/>
  <c r="B6919" i="2"/>
  <c r="A6919" i="2"/>
  <c r="E6918" i="2"/>
  <c r="D6918" i="2"/>
  <c r="C6918" i="2"/>
  <c r="B6918" i="2"/>
  <c r="A6918" i="2"/>
  <c r="E6917" i="2"/>
  <c r="D6917" i="2"/>
  <c r="C6917" i="2"/>
  <c r="B6917" i="2"/>
  <c r="A6917" i="2"/>
  <c r="E6916" i="2"/>
  <c r="D6916" i="2"/>
  <c r="C6916" i="2"/>
  <c r="B6916" i="2"/>
  <c r="A6916" i="2"/>
  <c r="E6915" i="2"/>
  <c r="D6915" i="2"/>
  <c r="C6915" i="2"/>
  <c r="B6915" i="2"/>
  <c r="A6915" i="2"/>
  <c r="E6914" i="2"/>
  <c r="D6914" i="2"/>
  <c r="C6914" i="2"/>
  <c r="B6914" i="2"/>
  <c r="A6914" i="2"/>
  <c r="E6913" i="2"/>
  <c r="D6913" i="2"/>
  <c r="C6913" i="2"/>
  <c r="B6913" i="2"/>
  <c r="A6913" i="2"/>
  <c r="E6912" i="2"/>
  <c r="D6912" i="2"/>
  <c r="C6912" i="2"/>
  <c r="B6912" i="2"/>
  <c r="A6912" i="2"/>
  <c r="E6911" i="2"/>
  <c r="D6911" i="2"/>
  <c r="C6911" i="2"/>
  <c r="B6911" i="2"/>
  <c r="A6911" i="2"/>
  <c r="E6910" i="2"/>
  <c r="D6910" i="2"/>
  <c r="C6910" i="2"/>
  <c r="B6910" i="2"/>
  <c r="A6910" i="2"/>
  <c r="E6909" i="2"/>
  <c r="D6909" i="2"/>
  <c r="C6909" i="2"/>
  <c r="B6909" i="2"/>
  <c r="A6909" i="2"/>
  <c r="E6908" i="2"/>
  <c r="D6908" i="2"/>
  <c r="C6908" i="2"/>
  <c r="B6908" i="2"/>
  <c r="A6908" i="2"/>
  <c r="E6907" i="2"/>
  <c r="D6907" i="2"/>
  <c r="C6907" i="2"/>
  <c r="B6907" i="2"/>
  <c r="A6907" i="2"/>
  <c r="E6906" i="2"/>
  <c r="D6906" i="2"/>
  <c r="C6906" i="2"/>
  <c r="B6906" i="2"/>
  <c r="A6906" i="2"/>
  <c r="E6905" i="2"/>
  <c r="D6905" i="2"/>
  <c r="C6905" i="2"/>
  <c r="B6905" i="2"/>
  <c r="A6905" i="2"/>
  <c r="E6904" i="2"/>
  <c r="D6904" i="2"/>
  <c r="C6904" i="2"/>
  <c r="B6904" i="2"/>
  <c r="A6904" i="2"/>
  <c r="E6903" i="2"/>
  <c r="D6903" i="2"/>
  <c r="C6903" i="2"/>
  <c r="B6903" i="2"/>
  <c r="A6903" i="2"/>
  <c r="E6902" i="2"/>
  <c r="D6902" i="2"/>
  <c r="C6902" i="2"/>
  <c r="B6902" i="2"/>
  <c r="A6902" i="2"/>
  <c r="E6901" i="2"/>
  <c r="D6901" i="2"/>
  <c r="C6901" i="2"/>
  <c r="B6901" i="2"/>
  <c r="A6901" i="2"/>
  <c r="E6900" i="2"/>
  <c r="D6900" i="2"/>
  <c r="C6900" i="2"/>
  <c r="B6900" i="2"/>
  <c r="A6900" i="2"/>
  <c r="E6899" i="2"/>
  <c r="D6899" i="2"/>
  <c r="C6899" i="2"/>
  <c r="B6899" i="2"/>
  <c r="A6899" i="2"/>
  <c r="E6898" i="2"/>
  <c r="D6898" i="2"/>
  <c r="C6898" i="2"/>
  <c r="B6898" i="2"/>
  <c r="A6898" i="2"/>
  <c r="E6897" i="2"/>
  <c r="D6897" i="2"/>
  <c r="C6897" i="2"/>
  <c r="B6897" i="2"/>
  <c r="A6897" i="2"/>
  <c r="E6896" i="2"/>
  <c r="D6896" i="2"/>
  <c r="C6896" i="2"/>
  <c r="B6896" i="2"/>
  <c r="A6896" i="2"/>
  <c r="E6895" i="2"/>
  <c r="D6895" i="2"/>
  <c r="C6895" i="2"/>
  <c r="B6895" i="2"/>
  <c r="A6895" i="2"/>
  <c r="E6894" i="2"/>
  <c r="D6894" i="2"/>
  <c r="C6894" i="2"/>
  <c r="B6894" i="2"/>
  <c r="A6894" i="2"/>
  <c r="E6893" i="2"/>
  <c r="D6893" i="2"/>
  <c r="C6893" i="2"/>
  <c r="B6893" i="2"/>
  <c r="A6893" i="2"/>
  <c r="E6892" i="2"/>
  <c r="D6892" i="2"/>
  <c r="C6892" i="2"/>
  <c r="B6892" i="2"/>
  <c r="A6892" i="2"/>
  <c r="E6891" i="2"/>
  <c r="D6891" i="2"/>
  <c r="C6891" i="2"/>
  <c r="B6891" i="2"/>
  <c r="A6891" i="2"/>
  <c r="E6890" i="2"/>
  <c r="D6890" i="2"/>
  <c r="C6890" i="2"/>
  <c r="B6890" i="2"/>
  <c r="A6890" i="2"/>
  <c r="E6889" i="2"/>
  <c r="D6889" i="2"/>
  <c r="C6889" i="2"/>
  <c r="B6889" i="2"/>
  <c r="A6889" i="2"/>
  <c r="E6888" i="2"/>
  <c r="D6888" i="2"/>
  <c r="C6888" i="2"/>
  <c r="B6888" i="2"/>
  <c r="A6888" i="2"/>
  <c r="E6887" i="2"/>
  <c r="D6887" i="2"/>
  <c r="C6887" i="2"/>
  <c r="B6887" i="2"/>
  <c r="A6887" i="2"/>
  <c r="E6886" i="2"/>
  <c r="D6886" i="2"/>
  <c r="C6886" i="2"/>
  <c r="B6886" i="2"/>
  <c r="A6886" i="2"/>
  <c r="E6885" i="2"/>
  <c r="D6885" i="2"/>
  <c r="C6885" i="2"/>
  <c r="B6885" i="2"/>
  <c r="A6885" i="2"/>
  <c r="E6884" i="2"/>
  <c r="D6884" i="2"/>
  <c r="C6884" i="2"/>
  <c r="B6884" i="2"/>
  <c r="A6884" i="2"/>
  <c r="E6883" i="2"/>
  <c r="D6883" i="2"/>
  <c r="C6883" i="2"/>
  <c r="B6883" i="2"/>
  <c r="A6883" i="2"/>
  <c r="E6882" i="2"/>
  <c r="D6882" i="2"/>
  <c r="C6882" i="2"/>
  <c r="B6882" i="2"/>
  <c r="A6882" i="2"/>
  <c r="E6881" i="2"/>
  <c r="D6881" i="2"/>
  <c r="C6881" i="2"/>
  <c r="B6881" i="2"/>
  <c r="A6881" i="2"/>
  <c r="E6880" i="2"/>
  <c r="D6880" i="2"/>
  <c r="C6880" i="2"/>
  <c r="B6880" i="2"/>
  <c r="A6880" i="2"/>
  <c r="E6879" i="2"/>
  <c r="D6879" i="2"/>
  <c r="C6879" i="2"/>
  <c r="B6879" i="2"/>
  <c r="A6879" i="2"/>
  <c r="E6878" i="2"/>
  <c r="D6878" i="2"/>
  <c r="C6878" i="2"/>
  <c r="B6878" i="2"/>
  <c r="A6878" i="2"/>
  <c r="E6877" i="2"/>
  <c r="D6877" i="2"/>
  <c r="C6877" i="2"/>
  <c r="B6877" i="2"/>
  <c r="A6877" i="2"/>
  <c r="E6876" i="2"/>
  <c r="D6876" i="2"/>
  <c r="C6876" i="2"/>
  <c r="B6876" i="2"/>
  <c r="A6876" i="2"/>
  <c r="E6875" i="2"/>
  <c r="D6875" i="2"/>
  <c r="C6875" i="2"/>
  <c r="B6875" i="2"/>
  <c r="A6875" i="2"/>
  <c r="E6874" i="2"/>
  <c r="D6874" i="2"/>
  <c r="C6874" i="2"/>
  <c r="B6874" i="2"/>
  <c r="A6874" i="2"/>
  <c r="E6873" i="2"/>
  <c r="D6873" i="2"/>
  <c r="C6873" i="2"/>
  <c r="B6873" i="2"/>
  <c r="A6873" i="2"/>
  <c r="E6872" i="2"/>
  <c r="D6872" i="2"/>
  <c r="C6872" i="2"/>
  <c r="B6872" i="2"/>
  <c r="A6872" i="2"/>
  <c r="E6871" i="2"/>
  <c r="D6871" i="2"/>
  <c r="C6871" i="2"/>
  <c r="B6871" i="2"/>
  <c r="A6871" i="2"/>
  <c r="E6870" i="2"/>
  <c r="D6870" i="2"/>
  <c r="C6870" i="2"/>
  <c r="B6870" i="2"/>
  <c r="A6870" i="2"/>
  <c r="E6869" i="2"/>
  <c r="D6869" i="2"/>
  <c r="C6869" i="2"/>
  <c r="B6869" i="2"/>
  <c r="A6869" i="2"/>
  <c r="E6868" i="2"/>
  <c r="D6868" i="2"/>
  <c r="C6868" i="2"/>
  <c r="B6868" i="2"/>
  <c r="A6868" i="2"/>
  <c r="E6867" i="2"/>
  <c r="D6867" i="2"/>
  <c r="C6867" i="2"/>
  <c r="B6867" i="2"/>
  <c r="A6867" i="2"/>
  <c r="E6866" i="2"/>
  <c r="D6866" i="2"/>
  <c r="C6866" i="2"/>
  <c r="B6866" i="2"/>
  <c r="A6866" i="2"/>
  <c r="E6865" i="2"/>
  <c r="D6865" i="2"/>
  <c r="C6865" i="2"/>
  <c r="B6865" i="2"/>
  <c r="A6865" i="2"/>
  <c r="E6864" i="2"/>
  <c r="D6864" i="2"/>
  <c r="C6864" i="2"/>
  <c r="B6864" i="2"/>
  <c r="A6864" i="2"/>
  <c r="E6863" i="2"/>
  <c r="D6863" i="2"/>
  <c r="C6863" i="2"/>
  <c r="B6863" i="2"/>
  <c r="A6863" i="2"/>
  <c r="E6862" i="2"/>
  <c r="D6862" i="2"/>
  <c r="C6862" i="2"/>
  <c r="B6862" i="2"/>
  <c r="A6862" i="2"/>
  <c r="E6861" i="2"/>
  <c r="D6861" i="2"/>
  <c r="C6861" i="2"/>
  <c r="B6861" i="2"/>
  <c r="A6861" i="2"/>
  <c r="E6860" i="2"/>
  <c r="D6860" i="2"/>
  <c r="C6860" i="2"/>
  <c r="B6860" i="2"/>
  <c r="A6860" i="2"/>
  <c r="E6859" i="2"/>
  <c r="D6859" i="2"/>
  <c r="C6859" i="2"/>
  <c r="B6859" i="2"/>
  <c r="A6859" i="2"/>
  <c r="E6858" i="2"/>
  <c r="D6858" i="2"/>
  <c r="C6858" i="2"/>
  <c r="B6858" i="2"/>
  <c r="A6858" i="2"/>
  <c r="E6857" i="2"/>
  <c r="D6857" i="2"/>
  <c r="C6857" i="2"/>
  <c r="B6857" i="2"/>
  <c r="A6857" i="2"/>
  <c r="E6856" i="2"/>
  <c r="D6856" i="2"/>
  <c r="C6856" i="2"/>
  <c r="B6856" i="2"/>
  <c r="A6856" i="2"/>
  <c r="E6855" i="2"/>
  <c r="D6855" i="2"/>
  <c r="C6855" i="2"/>
  <c r="B6855" i="2"/>
  <c r="A6855" i="2"/>
  <c r="E6854" i="2"/>
  <c r="D6854" i="2"/>
  <c r="C6854" i="2"/>
  <c r="B6854" i="2"/>
  <c r="A6854" i="2"/>
  <c r="E6853" i="2"/>
  <c r="D6853" i="2"/>
  <c r="C6853" i="2"/>
  <c r="B6853" i="2"/>
  <c r="A6853" i="2"/>
  <c r="E6852" i="2"/>
  <c r="D6852" i="2"/>
  <c r="C6852" i="2"/>
  <c r="B6852" i="2"/>
  <c r="A6852" i="2"/>
  <c r="E6851" i="2"/>
  <c r="D6851" i="2"/>
  <c r="C6851" i="2"/>
  <c r="B6851" i="2"/>
  <c r="A6851" i="2"/>
  <c r="E6850" i="2"/>
  <c r="D6850" i="2"/>
  <c r="C6850" i="2"/>
  <c r="B6850" i="2"/>
  <c r="A6850" i="2"/>
  <c r="E6849" i="2"/>
  <c r="D6849" i="2"/>
  <c r="C6849" i="2"/>
  <c r="B6849" i="2"/>
  <c r="A6849" i="2"/>
  <c r="E6848" i="2"/>
  <c r="D6848" i="2"/>
  <c r="C6848" i="2"/>
  <c r="B6848" i="2"/>
  <c r="A6848" i="2"/>
  <c r="E6847" i="2"/>
  <c r="D6847" i="2"/>
  <c r="C6847" i="2"/>
  <c r="B6847" i="2"/>
  <c r="A6847" i="2"/>
  <c r="E6846" i="2"/>
  <c r="D6846" i="2"/>
  <c r="C6846" i="2"/>
  <c r="B6846" i="2"/>
  <c r="A6846" i="2"/>
  <c r="E6845" i="2"/>
  <c r="D6845" i="2"/>
  <c r="C6845" i="2"/>
  <c r="B6845" i="2"/>
  <c r="A6845" i="2"/>
  <c r="E6844" i="2"/>
  <c r="D6844" i="2"/>
  <c r="C6844" i="2"/>
  <c r="B6844" i="2"/>
  <c r="A6844" i="2"/>
  <c r="E6843" i="2"/>
  <c r="D6843" i="2"/>
  <c r="C6843" i="2"/>
  <c r="B6843" i="2"/>
  <c r="A6843" i="2"/>
  <c r="E6842" i="2"/>
  <c r="D6842" i="2"/>
  <c r="C6842" i="2"/>
  <c r="B6842" i="2"/>
  <c r="A6842" i="2"/>
  <c r="E6841" i="2"/>
  <c r="D6841" i="2"/>
  <c r="C6841" i="2"/>
  <c r="B6841" i="2"/>
  <c r="A6841" i="2"/>
  <c r="E6840" i="2"/>
  <c r="D6840" i="2"/>
  <c r="C6840" i="2"/>
  <c r="B6840" i="2"/>
  <c r="A6840" i="2"/>
  <c r="E6839" i="2"/>
  <c r="D6839" i="2"/>
  <c r="C6839" i="2"/>
  <c r="B6839" i="2"/>
  <c r="A6839" i="2"/>
  <c r="E6838" i="2"/>
  <c r="D6838" i="2"/>
  <c r="C6838" i="2"/>
  <c r="B6838" i="2"/>
  <c r="A6838" i="2"/>
  <c r="E6837" i="2"/>
  <c r="D6837" i="2"/>
  <c r="C6837" i="2"/>
  <c r="B6837" i="2"/>
  <c r="A6837" i="2"/>
  <c r="E6836" i="2"/>
  <c r="D6836" i="2"/>
  <c r="C6836" i="2"/>
  <c r="B6836" i="2"/>
  <c r="A6836" i="2"/>
  <c r="E6835" i="2"/>
  <c r="D6835" i="2"/>
  <c r="C6835" i="2"/>
  <c r="B6835" i="2"/>
  <c r="A6835" i="2"/>
  <c r="E6834" i="2"/>
  <c r="D6834" i="2"/>
  <c r="C6834" i="2"/>
  <c r="B6834" i="2"/>
  <c r="A6834" i="2"/>
  <c r="E6833" i="2"/>
  <c r="D6833" i="2"/>
  <c r="C6833" i="2"/>
  <c r="B6833" i="2"/>
  <c r="A6833" i="2"/>
  <c r="E6832" i="2"/>
  <c r="D6832" i="2"/>
  <c r="C6832" i="2"/>
  <c r="B6832" i="2"/>
  <c r="A6832" i="2"/>
  <c r="E6831" i="2"/>
  <c r="D6831" i="2"/>
  <c r="C6831" i="2"/>
  <c r="B6831" i="2"/>
  <c r="A6831" i="2"/>
  <c r="E6830" i="2"/>
  <c r="D6830" i="2"/>
  <c r="C6830" i="2"/>
  <c r="B6830" i="2"/>
  <c r="A6830" i="2"/>
  <c r="E6829" i="2"/>
  <c r="D6829" i="2"/>
  <c r="C6829" i="2"/>
  <c r="B6829" i="2"/>
  <c r="A6829" i="2"/>
  <c r="E6828" i="2"/>
  <c r="D6828" i="2"/>
  <c r="C6828" i="2"/>
  <c r="B6828" i="2"/>
  <c r="A6828" i="2"/>
  <c r="E6827" i="2"/>
  <c r="D6827" i="2"/>
  <c r="C6827" i="2"/>
  <c r="B6827" i="2"/>
  <c r="A6827" i="2"/>
  <c r="E6826" i="2"/>
  <c r="D6826" i="2"/>
  <c r="C6826" i="2"/>
  <c r="B6826" i="2"/>
  <c r="A6826" i="2"/>
  <c r="E6825" i="2"/>
  <c r="D6825" i="2"/>
  <c r="C6825" i="2"/>
  <c r="B6825" i="2"/>
  <c r="A6825" i="2"/>
  <c r="E6824" i="2"/>
  <c r="D6824" i="2"/>
  <c r="C6824" i="2"/>
  <c r="B6824" i="2"/>
  <c r="A6824" i="2"/>
  <c r="E6823" i="2"/>
  <c r="D6823" i="2"/>
  <c r="C6823" i="2"/>
  <c r="B6823" i="2"/>
  <c r="A6823" i="2"/>
  <c r="E6822" i="2"/>
  <c r="D6822" i="2"/>
  <c r="C6822" i="2"/>
  <c r="B6822" i="2"/>
  <c r="A6822" i="2"/>
  <c r="E6821" i="2"/>
  <c r="D6821" i="2"/>
  <c r="C6821" i="2"/>
  <c r="B6821" i="2"/>
  <c r="A6821" i="2"/>
  <c r="E6820" i="2"/>
  <c r="D6820" i="2"/>
  <c r="C6820" i="2"/>
  <c r="B6820" i="2"/>
  <c r="A6820" i="2"/>
  <c r="E6819" i="2"/>
  <c r="D6819" i="2"/>
  <c r="C6819" i="2"/>
  <c r="B6819" i="2"/>
  <c r="A6819" i="2"/>
  <c r="E6818" i="2"/>
  <c r="D6818" i="2"/>
  <c r="C6818" i="2"/>
  <c r="B6818" i="2"/>
  <c r="A6818" i="2"/>
  <c r="E6817" i="2"/>
  <c r="D6817" i="2"/>
  <c r="C6817" i="2"/>
  <c r="B6817" i="2"/>
  <c r="A6817" i="2"/>
  <c r="E6816" i="2"/>
  <c r="D6816" i="2"/>
  <c r="C6816" i="2"/>
  <c r="B6816" i="2"/>
  <c r="A6816" i="2"/>
  <c r="E6815" i="2"/>
  <c r="D6815" i="2"/>
  <c r="C6815" i="2"/>
  <c r="B6815" i="2"/>
  <c r="A6815" i="2"/>
  <c r="E6814" i="2"/>
  <c r="D6814" i="2"/>
  <c r="C6814" i="2"/>
  <c r="B6814" i="2"/>
  <c r="A6814" i="2"/>
  <c r="E6813" i="2"/>
  <c r="D6813" i="2"/>
  <c r="C6813" i="2"/>
  <c r="B6813" i="2"/>
  <c r="A6813" i="2"/>
  <c r="E6812" i="2"/>
  <c r="D6812" i="2"/>
  <c r="C6812" i="2"/>
  <c r="B6812" i="2"/>
  <c r="A6812" i="2"/>
  <c r="E6811" i="2"/>
  <c r="D6811" i="2"/>
  <c r="C6811" i="2"/>
  <c r="B6811" i="2"/>
  <c r="A6811" i="2"/>
  <c r="E6810" i="2"/>
  <c r="D6810" i="2"/>
  <c r="C6810" i="2"/>
  <c r="B6810" i="2"/>
  <c r="A6810" i="2"/>
  <c r="E6809" i="2"/>
  <c r="D6809" i="2"/>
  <c r="C6809" i="2"/>
  <c r="B6809" i="2"/>
  <c r="A6809" i="2"/>
  <c r="E6808" i="2"/>
  <c r="D6808" i="2"/>
  <c r="C6808" i="2"/>
  <c r="B6808" i="2"/>
  <c r="A6808" i="2"/>
  <c r="E6807" i="2"/>
  <c r="D6807" i="2"/>
  <c r="C6807" i="2"/>
  <c r="B6807" i="2"/>
  <c r="A6807" i="2"/>
  <c r="E6806" i="2"/>
  <c r="D6806" i="2"/>
  <c r="C6806" i="2"/>
  <c r="B6806" i="2"/>
  <c r="A6806" i="2"/>
  <c r="E6805" i="2"/>
  <c r="D6805" i="2"/>
  <c r="C6805" i="2"/>
  <c r="B6805" i="2"/>
  <c r="A6805" i="2"/>
  <c r="E6804" i="2"/>
  <c r="D6804" i="2"/>
  <c r="C6804" i="2"/>
  <c r="B6804" i="2"/>
  <c r="A6804" i="2"/>
  <c r="E6803" i="2"/>
  <c r="D6803" i="2"/>
  <c r="C6803" i="2"/>
  <c r="B6803" i="2"/>
  <c r="A6803" i="2"/>
  <c r="E6802" i="2"/>
  <c r="D6802" i="2"/>
  <c r="C6802" i="2"/>
  <c r="B6802" i="2"/>
  <c r="A6802" i="2"/>
  <c r="E6801" i="2"/>
  <c r="D6801" i="2"/>
  <c r="C6801" i="2"/>
  <c r="B6801" i="2"/>
  <c r="A6801" i="2"/>
  <c r="E6800" i="2"/>
  <c r="D6800" i="2"/>
  <c r="C6800" i="2"/>
  <c r="B6800" i="2"/>
  <c r="A6800" i="2"/>
  <c r="E6799" i="2"/>
  <c r="D6799" i="2"/>
  <c r="C6799" i="2"/>
  <c r="B6799" i="2"/>
  <c r="A6799" i="2"/>
  <c r="E6798" i="2"/>
  <c r="D6798" i="2"/>
  <c r="C6798" i="2"/>
  <c r="B6798" i="2"/>
  <c r="A6798" i="2"/>
  <c r="E6797" i="2"/>
  <c r="D6797" i="2"/>
  <c r="C6797" i="2"/>
  <c r="B6797" i="2"/>
  <c r="A6797" i="2"/>
  <c r="E6796" i="2"/>
  <c r="D6796" i="2"/>
  <c r="C6796" i="2"/>
  <c r="B6796" i="2"/>
  <c r="A6796" i="2"/>
  <c r="E6795" i="2"/>
  <c r="D6795" i="2"/>
  <c r="C6795" i="2"/>
  <c r="B6795" i="2"/>
  <c r="A6795" i="2"/>
  <c r="E6794" i="2"/>
  <c r="D6794" i="2"/>
  <c r="C6794" i="2"/>
  <c r="B6794" i="2"/>
  <c r="A6794" i="2"/>
  <c r="E6793" i="2"/>
  <c r="D6793" i="2"/>
  <c r="C6793" i="2"/>
  <c r="B6793" i="2"/>
  <c r="A6793" i="2"/>
  <c r="E6792" i="2"/>
  <c r="D6792" i="2"/>
  <c r="C6792" i="2"/>
  <c r="B6792" i="2"/>
  <c r="A6792" i="2"/>
  <c r="E6791" i="2"/>
  <c r="D6791" i="2"/>
  <c r="C6791" i="2"/>
  <c r="B6791" i="2"/>
  <c r="A6791" i="2"/>
  <c r="E6790" i="2"/>
  <c r="D6790" i="2"/>
  <c r="C6790" i="2"/>
  <c r="B6790" i="2"/>
  <c r="A6790" i="2"/>
  <c r="E6789" i="2"/>
  <c r="D6789" i="2"/>
  <c r="C6789" i="2"/>
  <c r="B6789" i="2"/>
  <c r="A6789" i="2"/>
  <c r="E6788" i="2"/>
  <c r="D6788" i="2"/>
  <c r="C6788" i="2"/>
  <c r="B6788" i="2"/>
  <c r="A6788" i="2"/>
  <c r="E6787" i="2"/>
  <c r="D6787" i="2"/>
  <c r="C6787" i="2"/>
  <c r="B6787" i="2"/>
  <c r="A6787" i="2"/>
  <c r="E6786" i="2"/>
  <c r="D6786" i="2"/>
  <c r="C6786" i="2"/>
  <c r="B6786" i="2"/>
  <c r="A6786" i="2"/>
  <c r="E6785" i="2"/>
  <c r="D6785" i="2"/>
  <c r="C6785" i="2"/>
  <c r="B6785" i="2"/>
  <c r="A6785" i="2"/>
  <c r="E6784" i="2"/>
  <c r="D6784" i="2"/>
  <c r="C6784" i="2"/>
  <c r="B6784" i="2"/>
  <c r="A6784" i="2"/>
  <c r="E6783" i="2"/>
  <c r="D6783" i="2"/>
  <c r="C6783" i="2"/>
  <c r="B6783" i="2"/>
  <c r="A6783" i="2"/>
  <c r="E6782" i="2"/>
  <c r="D6782" i="2"/>
  <c r="C6782" i="2"/>
  <c r="B6782" i="2"/>
  <c r="A6782" i="2"/>
  <c r="E6781" i="2"/>
  <c r="D6781" i="2"/>
  <c r="C6781" i="2"/>
  <c r="B6781" i="2"/>
  <c r="A6781" i="2"/>
  <c r="E6780" i="2"/>
  <c r="D6780" i="2"/>
  <c r="C6780" i="2"/>
  <c r="B6780" i="2"/>
  <c r="A6780" i="2"/>
  <c r="E6779" i="2"/>
  <c r="D6779" i="2"/>
  <c r="C6779" i="2"/>
  <c r="B6779" i="2"/>
  <c r="A6779" i="2"/>
  <c r="E6778" i="2"/>
  <c r="D6778" i="2"/>
  <c r="C6778" i="2"/>
  <c r="B6778" i="2"/>
  <c r="A6778" i="2"/>
  <c r="E6777" i="2"/>
  <c r="D6777" i="2"/>
  <c r="C6777" i="2"/>
  <c r="B6777" i="2"/>
  <c r="A6777" i="2"/>
  <c r="E6776" i="2"/>
  <c r="D6776" i="2"/>
  <c r="C6776" i="2"/>
  <c r="B6776" i="2"/>
  <c r="A6776" i="2"/>
  <c r="E6775" i="2"/>
  <c r="D6775" i="2"/>
  <c r="C6775" i="2"/>
  <c r="B6775" i="2"/>
  <c r="A6775" i="2"/>
  <c r="E6774" i="2"/>
  <c r="D6774" i="2"/>
  <c r="C6774" i="2"/>
  <c r="B6774" i="2"/>
  <c r="A6774" i="2"/>
  <c r="E6773" i="2"/>
  <c r="D6773" i="2"/>
  <c r="C6773" i="2"/>
  <c r="B6773" i="2"/>
  <c r="A6773" i="2"/>
  <c r="E6772" i="2"/>
  <c r="D6772" i="2"/>
  <c r="C6772" i="2"/>
  <c r="B6772" i="2"/>
  <c r="A6772" i="2"/>
  <c r="E6771" i="2"/>
  <c r="D6771" i="2"/>
  <c r="C6771" i="2"/>
  <c r="B6771" i="2"/>
  <c r="A6771" i="2"/>
  <c r="E6770" i="2"/>
  <c r="D6770" i="2"/>
  <c r="C6770" i="2"/>
  <c r="B6770" i="2"/>
  <c r="A6770" i="2"/>
  <c r="E6769" i="2"/>
  <c r="D6769" i="2"/>
  <c r="C6769" i="2"/>
  <c r="B6769" i="2"/>
  <c r="A6769" i="2"/>
  <c r="E6768" i="2"/>
  <c r="D6768" i="2"/>
  <c r="C6768" i="2"/>
  <c r="B6768" i="2"/>
  <c r="A6768" i="2"/>
  <c r="E6767" i="2"/>
  <c r="D6767" i="2"/>
  <c r="C6767" i="2"/>
  <c r="B6767" i="2"/>
  <c r="A6767" i="2"/>
  <c r="E6766" i="2"/>
  <c r="D6766" i="2"/>
  <c r="C6766" i="2"/>
  <c r="B6766" i="2"/>
  <c r="A6766" i="2"/>
  <c r="E6765" i="2"/>
  <c r="D6765" i="2"/>
  <c r="C6765" i="2"/>
  <c r="B6765" i="2"/>
  <c r="A6765" i="2"/>
  <c r="E6764" i="2"/>
  <c r="D6764" i="2"/>
  <c r="C6764" i="2"/>
  <c r="B6764" i="2"/>
  <c r="A6764" i="2"/>
  <c r="E6763" i="2"/>
  <c r="D6763" i="2"/>
  <c r="C6763" i="2"/>
  <c r="B6763" i="2"/>
  <c r="A6763" i="2"/>
  <c r="E6762" i="2"/>
  <c r="D6762" i="2"/>
  <c r="C6762" i="2"/>
  <c r="B6762" i="2"/>
  <c r="A6762" i="2"/>
  <c r="E6761" i="2"/>
  <c r="D6761" i="2"/>
  <c r="C6761" i="2"/>
  <c r="B6761" i="2"/>
  <c r="A6761" i="2"/>
  <c r="E6760" i="2"/>
  <c r="D6760" i="2"/>
  <c r="C6760" i="2"/>
  <c r="B6760" i="2"/>
  <c r="A6760" i="2"/>
  <c r="E6759" i="2"/>
  <c r="D6759" i="2"/>
  <c r="C6759" i="2"/>
  <c r="B6759" i="2"/>
  <c r="A6759" i="2"/>
  <c r="E6758" i="2"/>
  <c r="D6758" i="2"/>
  <c r="C6758" i="2"/>
  <c r="B6758" i="2"/>
  <c r="A6758" i="2"/>
  <c r="E6757" i="2"/>
  <c r="D6757" i="2"/>
  <c r="C6757" i="2"/>
  <c r="B6757" i="2"/>
  <c r="A6757" i="2"/>
  <c r="E6756" i="2"/>
  <c r="D6756" i="2"/>
  <c r="C6756" i="2"/>
  <c r="B6756" i="2"/>
  <c r="A6756" i="2"/>
  <c r="E6755" i="2"/>
  <c r="D6755" i="2"/>
  <c r="C6755" i="2"/>
  <c r="B6755" i="2"/>
  <c r="A6755" i="2"/>
  <c r="E6754" i="2"/>
  <c r="D6754" i="2"/>
  <c r="C6754" i="2"/>
  <c r="B6754" i="2"/>
  <c r="A6754" i="2"/>
  <c r="E6753" i="2"/>
  <c r="D6753" i="2"/>
  <c r="C6753" i="2"/>
  <c r="B6753" i="2"/>
  <c r="A6753" i="2"/>
  <c r="E6752" i="2"/>
  <c r="D6752" i="2"/>
  <c r="C6752" i="2"/>
  <c r="B6752" i="2"/>
  <c r="A6752" i="2"/>
  <c r="E6751" i="2"/>
  <c r="D6751" i="2"/>
  <c r="C6751" i="2"/>
  <c r="B6751" i="2"/>
  <c r="A6751" i="2"/>
  <c r="E6750" i="2"/>
  <c r="D6750" i="2"/>
  <c r="C6750" i="2"/>
  <c r="B6750" i="2"/>
  <c r="A6750" i="2"/>
  <c r="E6749" i="2"/>
  <c r="D6749" i="2"/>
  <c r="C6749" i="2"/>
  <c r="B6749" i="2"/>
  <c r="A6749" i="2"/>
  <c r="E6748" i="2"/>
  <c r="D6748" i="2"/>
  <c r="C6748" i="2"/>
  <c r="B6748" i="2"/>
  <c r="A6748" i="2"/>
  <c r="E6747" i="2"/>
  <c r="D6747" i="2"/>
  <c r="C6747" i="2"/>
  <c r="B6747" i="2"/>
  <c r="A6747" i="2"/>
  <c r="E6746" i="2"/>
  <c r="D6746" i="2"/>
  <c r="C6746" i="2"/>
  <c r="B6746" i="2"/>
  <c r="A6746" i="2"/>
  <c r="E6745" i="2"/>
  <c r="D6745" i="2"/>
  <c r="C6745" i="2"/>
  <c r="B6745" i="2"/>
  <c r="A6745" i="2"/>
  <c r="E6744" i="2"/>
  <c r="D6744" i="2"/>
  <c r="C6744" i="2"/>
  <c r="B6744" i="2"/>
  <c r="A6744" i="2"/>
  <c r="E6743" i="2"/>
  <c r="D6743" i="2"/>
  <c r="C6743" i="2"/>
  <c r="B6743" i="2"/>
  <c r="A6743" i="2"/>
  <c r="E6742" i="2"/>
  <c r="D6742" i="2"/>
  <c r="C6742" i="2"/>
  <c r="B6742" i="2"/>
  <c r="A6742" i="2"/>
  <c r="E6741" i="2"/>
  <c r="D6741" i="2"/>
  <c r="C6741" i="2"/>
  <c r="B6741" i="2"/>
  <c r="A6741" i="2"/>
  <c r="E6740" i="2"/>
  <c r="D6740" i="2"/>
  <c r="C6740" i="2"/>
  <c r="B6740" i="2"/>
  <c r="A6740" i="2"/>
  <c r="E6739" i="2"/>
  <c r="D6739" i="2"/>
  <c r="C6739" i="2"/>
  <c r="B6739" i="2"/>
  <c r="A6739" i="2"/>
  <c r="E6738" i="2"/>
  <c r="D6738" i="2"/>
  <c r="C6738" i="2"/>
  <c r="B6738" i="2"/>
  <c r="A6738" i="2"/>
  <c r="E6737" i="2"/>
  <c r="D6737" i="2"/>
  <c r="C6737" i="2"/>
  <c r="B6737" i="2"/>
  <c r="A6737" i="2"/>
  <c r="E6736" i="2"/>
  <c r="D6736" i="2"/>
  <c r="C6736" i="2"/>
  <c r="B6736" i="2"/>
  <c r="A6736" i="2"/>
  <c r="E6735" i="2"/>
  <c r="D6735" i="2"/>
  <c r="C6735" i="2"/>
  <c r="B6735" i="2"/>
  <c r="A6735" i="2"/>
  <c r="E6734" i="2"/>
  <c r="D6734" i="2"/>
  <c r="C6734" i="2"/>
  <c r="B6734" i="2"/>
  <c r="A6734" i="2"/>
  <c r="E6733" i="2"/>
  <c r="D6733" i="2"/>
  <c r="C6733" i="2"/>
  <c r="B6733" i="2"/>
  <c r="A6733" i="2"/>
  <c r="E6732" i="2"/>
  <c r="D6732" i="2"/>
  <c r="C6732" i="2"/>
  <c r="B6732" i="2"/>
  <c r="A6732" i="2"/>
  <c r="E6731" i="2"/>
  <c r="D6731" i="2"/>
  <c r="C6731" i="2"/>
  <c r="B6731" i="2"/>
  <c r="A6731" i="2"/>
  <c r="E6730" i="2"/>
  <c r="D6730" i="2"/>
  <c r="C6730" i="2"/>
  <c r="B6730" i="2"/>
  <c r="A6730" i="2"/>
  <c r="E6729" i="2"/>
  <c r="D6729" i="2"/>
  <c r="C6729" i="2"/>
  <c r="B6729" i="2"/>
  <c r="A6729" i="2"/>
  <c r="E6728" i="2"/>
  <c r="D6728" i="2"/>
  <c r="C6728" i="2"/>
  <c r="B6728" i="2"/>
  <c r="A6728" i="2"/>
  <c r="E6727" i="2"/>
  <c r="D6727" i="2"/>
  <c r="C6727" i="2"/>
  <c r="B6727" i="2"/>
  <c r="A6727" i="2"/>
  <c r="E6726" i="2"/>
  <c r="D6726" i="2"/>
  <c r="C6726" i="2"/>
  <c r="B6726" i="2"/>
  <c r="A6726" i="2"/>
  <c r="E6725" i="2"/>
  <c r="D6725" i="2"/>
  <c r="C6725" i="2"/>
  <c r="B6725" i="2"/>
  <c r="A6725" i="2"/>
  <c r="E6724" i="2"/>
  <c r="D6724" i="2"/>
  <c r="C6724" i="2"/>
  <c r="B6724" i="2"/>
  <c r="A6724" i="2"/>
  <c r="E6723" i="2"/>
  <c r="D6723" i="2"/>
  <c r="C6723" i="2"/>
  <c r="B6723" i="2"/>
  <c r="A6723" i="2"/>
  <c r="E6722" i="2"/>
  <c r="D6722" i="2"/>
  <c r="C6722" i="2"/>
  <c r="B6722" i="2"/>
  <c r="A6722" i="2"/>
  <c r="E6721" i="2"/>
  <c r="D6721" i="2"/>
  <c r="C6721" i="2"/>
  <c r="B6721" i="2"/>
  <c r="A6721" i="2"/>
  <c r="E6720" i="2"/>
  <c r="D6720" i="2"/>
  <c r="C6720" i="2"/>
  <c r="B6720" i="2"/>
  <c r="A6720" i="2"/>
  <c r="E6719" i="2"/>
  <c r="D6719" i="2"/>
  <c r="C6719" i="2"/>
  <c r="B6719" i="2"/>
  <c r="A6719" i="2"/>
  <c r="E6718" i="2"/>
  <c r="D6718" i="2"/>
  <c r="C6718" i="2"/>
  <c r="B6718" i="2"/>
  <c r="A6718" i="2"/>
  <c r="E6717" i="2"/>
  <c r="D6717" i="2"/>
  <c r="C6717" i="2"/>
  <c r="B6717" i="2"/>
  <c r="A6717" i="2"/>
  <c r="E6716" i="2"/>
  <c r="D6716" i="2"/>
  <c r="C6716" i="2"/>
  <c r="B6716" i="2"/>
  <c r="A6716" i="2"/>
  <c r="E6715" i="2"/>
  <c r="D6715" i="2"/>
  <c r="C6715" i="2"/>
  <c r="B6715" i="2"/>
  <c r="A6715" i="2"/>
  <c r="E6714" i="2"/>
  <c r="D6714" i="2"/>
  <c r="C6714" i="2"/>
  <c r="B6714" i="2"/>
  <c r="A6714" i="2"/>
  <c r="E6713" i="2"/>
  <c r="D6713" i="2"/>
  <c r="C6713" i="2"/>
  <c r="B6713" i="2"/>
  <c r="A6713" i="2"/>
  <c r="E6712" i="2"/>
  <c r="D6712" i="2"/>
  <c r="C6712" i="2"/>
  <c r="B6712" i="2"/>
  <c r="A6712" i="2"/>
  <c r="E6711" i="2"/>
  <c r="D6711" i="2"/>
  <c r="C6711" i="2"/>
  <c r="B6711" i="2"/>
  <c r="A6711" i="2"/>
  <c r="E6710" i="2"/>
  <c r="D6710" i="2"/>
  <c r="C6710" i="2"/>
  <c r="B6710" i="2"/>
  <c r="A6710" i="2"/>
  <c r="E6709" i="2"/>
  <c r="D6709" i="2"/>
  <c r="C6709" i="2"/>
  <c r="B6709" i="2"/>
  <c r="A6709" i="2"/>
  <c r="E6708" i="2"/>
  <c r="D6708" i="2"/>
  <c r="C6708" i="2"/>
  <c r="B6708" i="2"/>
  <c r="A6708" i="2"/>
  <c r="E6707" i="2"/>
  <c r="D6707" i="2"/>
  <c r="C6707" i="2"/>
  <c r="B6707" i="2"/>
  <c r="A6707" i="2"/>
  <c r="E6706" i="2"/>
  <c r="D6706" i="2"/>
  <c r="C6706" i="2"/>
  <c r="B6706" i="2"/>
  <c r="A6706" i="2"/>
  <c r="E6705" i="2"/>
  <c r="D6705" i="2"/>
  <c r="C6705" i="2"/>
  <c r="B6705" i="2"/>
  <c r="A6705" i="2"/>
  <c r="E6704" i="2"/>
  <c r="D6704" i="2"/>
  <c r="C6704" i="2"/>
  <c r="B6704" i="2"/>
  <c r="A6704" i="2"/>
  <c r="E6703" i="2"/>
  <c r="D6703" i="2"/>
  <c r="C6703" i="2"/>
  <c r="B6703" i="2"/>
  <c r="A6703" i="2"/>
  <c r="E6702" i="2"/>
  <c r="D6702" i="2"/>
  <c r="C6702" i="2"/>
  <c r="B6702" i="2"/>
  <c r="A6702" i="2"/>
  <c r="E6701" i="2"/>
  <c r="D6701" i="2"/>
  <c r="C6701" i="2"/>
  <c r="B6701" i="2"/>
  <c r="A6701" i="2"/>
  <c r="E6700" i="2"/>
  <c r="D6700" i="2"/>
  <c r="C6700" i="2"/>
  <c r="B6700" i="2"/>
  <c r="A6700" i="2"/>
  <c r="E6699" i="2"/>
  <c r="D6699" i="2"/>
  <c r="C6699" i="2"/>
  <c r="B6699" i="2"/>
  <c r="A6699" i="2"/>
  <c r="E6698" i="2"/>
  <c r="D6698" i="2"/>
  <c r="C6698" i="2"/>
  <c r="B6698" i="2"/>
  <c r="A6698" i="2"/>
  <c r="E6697" i="2"/>
  <c r="D6697" i="2"/>
  <c r="C6697" i="2"/>
  <c r="B6697" i="2"/>
  <c r="A6697" i="2"/>
  <c r="E6696" i="2"/>
  <c r="D6696" i="2"/>
  <c r="C6696" i="2"/>
  <c r="B6696" i="2"/>
  <c r="A6696" i="2"/>
  <c r="E6695" i="2"/>
  <c r="D6695" i="2"/>
  <c r="C6695" i="2"/>
  <c r="B6695" i="2"/>
  <c r="A6695" i="2"/>
  <c r="E6694" i="2"/>
  <c r="D6694" i="2"/>
  <c r="C6694" i="2"/>
  <c r="B6694" i="2"/>
  <c r="A6694" i="2"/>
  <c r="E6693" i="2"/>
  <c r="D6693" i="2"/>
  <c r="C6693" i="2"/>
  <c r="B6693" i="2"/>
  <c r="A6693" i="2"/>
  <c r="E6692" i="2"/>
  <c r="D6692" i="2"/>
  <c r="C6692" i="2"/>
  <c r="B6692" i="2"/>
  <c r="A6692" i="2"/>
  <c r="E6691" i="2"/>
  <c r="D6691" i="2"/>
  <c r="C6691" i="2"/>
  <c r="B6691" i="2"/>
  <c r="A6691" i="2"/>
  <c r="E6690" i="2"/>
  <c r="D6690" i="2"/>
  <c r="C6690" i="2"/>
  <c r="B6690" i="2"/>
  <c r="A6690" i="2"/>
  <c r="E6689" i="2"/>
  <c r="D6689" i="2"/>
  <c r="C6689" i="2"/>
  <c r="B6689" i="2"/>
  <c r="A6689" i="2"/>
  <c r="E6688" i="2"/>
  <c r="D6688" i="2"/>
  <c r="C6688" i="2"/>
  <c r="B6688" i="2"/>
  <c r="A6688" i="2"/>
  <c r="E6687" i="2"/>
  <c r="D6687" i="2"/>
  <c r="C6687" i="2"/>
  <c r="B6687" i="2"/>
  <c r="A6687" i="2"/>
  <c r="E6686" i="2"/>
  <c r="D6686" i="2"/>
  <c r="C6686" i="2"/>
  <c r="B6686" i="2"/>
  <c r="A6686" i="2"/>
  <c r="E6685" i="2"/>
  <c r="D6685" i="2"/>
  <c r="C6685" i="2"/>
  <c r="B6685" i="2"/>
  <c r="A6685" i="2"/>
  <c r="E6684" i="2"/>
  <c r="D6684" i="2"/>
  <c r="C6684" i="2"/>
  <c r="B6684" i="2"/>
  <c r="A6684" i="2"/>
  <c r="E6683" i="2"/>
  <c r="D6683" i="2"/>
  <c r="C6683" i="2"/>
  <c r="B6683" i="2"/>
  <c r="A6683" i="2"/>
  <c r="E6682" i="2"/>
  <c r="D6682" i="2"/>
  <c r="C6682" i="2"/>
  <c r="B6682" i="2"/>
  <c r="A6682" i="2"/>
  <c r="E6681" i="2"/>
  <c r="D6681" i="2"/>
  <c r="C6681" i="2"/>
  <c r="B6681" i="2"/>
  <c r="A6681" i="2"/>
  <c r="E6680" i="2"/>
  <c r="D6680" i="2"/>
  <c r="C6680" i="2"/>
  <c r="B6680" i="2"/>
  <c r="A6680" i="2"/>
  <c r="E6679" i="2"/>
  <c r="D6679" i="2"/>
  <c r="C6679" i="2"/>
  <c r="B6679" i="2"/>
  <c r="A6679" i="2"/>
  <c r="E6678" i="2"/>
  <c r="D6678" i="2"/>
  <c r="C6678" i="2"/>
  <c r="B6678" i="2"/>
  <c r="A6678" i="2"/>
  <c r="E6677" i="2"/>
  <c r="D6677" i="2"/>
  <c r="C6677" i="2"/>
  <c r="B6677" i="2"/>
  <c r="A6677" i="2"/>
  <c r="E6676" i="2"/>
  <c r="D6676" i="2"/>
  <c r="C6676" i="2"/>
  <c r="B6676" i="2"/>
  <c r="A6676" i="2"/>
  <c r="E6675" i="2"/>
  <c r="D6675" i="2"/>
  <c r="C6675" i="2"/>
  <c r="B6675" i="2"/>
  <c r="A6675" i="2"/>
  <c r="E6674" i="2"/>
  <c r="D6674" i="2"/>
  <c r="C6674" i="2"/>
  <c r="B6674" i="2"/>
  <c r="A6674" i="2"/>
  <c r="E6673" i="2"/>
  <c r="D6673" i="2"/>
  <c r="C6673" i="2"/>
  <c r="B6673" i="2"/>
  <c r="A6673" i="2"/>
  <c r="E6672" i="2"/>
  <c r="D6672" i="2"/>
  <c r="C6672" i="2"/>
  <c r="B6672" i="2"/>
  <c r="A6672" i="2"/>
  <c r="E6671" i="2"/>
  <c r="D6671" i="2"/>
  <c r="C6671" i="2"/>
  <c r="B6671" i="2"/>
  <c r="A6671" i="2"/>
  <c r="E6670" i="2"/>
  <c r="D6670" i="2"/>
  <c r="C6670" i="2"/>
  <c r="B6670" i="2"/>
  <c r="A6670" i="2"/>
  <c r="E6669" i="2"/>
  <c r="D6669" i="2"/>
  <c r="C6669" i="2"/>
  <c r="B6669" i="2"/>
  <c r="A6669" i="2"/>
  <c r="E6668" i="2"/>
  <c r="D6668" i="2"/>
  <c r="C6668" i="2"/>
  <c r="B6668" i="2"/>
  <c r="A6668" i="2"/>
  <c r="E6667" i="2"/>
  <c r="D6667" i="2"/>
  <c r="C6667" i="2"/>
  <c r="B6667" i="2"/>
  <c r="A6667" i="2"/>
  <c r="E6666" i="2"/>
  <c r="D6666" i="2"/>
  <c r="C6666" i="2"/>
  <c r="B6666" i="2"/>
  <c r="A6666" i="2"/>
  <c r="E6665" i="2"/>
  <c r="D6665" i="2"/>
  <c r="C6665" i="2"/>
  <c r="B6665" i="2"/>
  <c r="A6665" i="2"/>
  <c r="E6664" i="2"/>
  <c r="D6664" i="2"/>
  <c r="C6664" i="2"/>
  <c r="B6664" i="2"/>
  <c r="A6664" i="2"/>
  <c r="E6663" i="2"/>
  <c r="D6663" i="2"/>
  <c r="C6663" i="2"/>
  <c r="B6663" i="2"/>
  <c r="A6663" i="2"/>
  <c r="E6662" i="2"/>
  <c r="D6662" i="2"/>
  <c r="C6662" i="2"/>
  <c r="B6662" i="2"/>
  <c r="A6662" i="2"/>
  <c r="E6661" i="2"/>
  <c r="D6661" i="2"/>
  <c r="C6661" i="2"/>
  <c r="B6661" i="2"/>
  <c r="A6661" i="2"/>
  <c r="E6660" i="2"/>
  <c r="D6660" i="2"/>
  <c r="C6660" i="2"/>
  <c r="B6660" i="2"/>
  <c r="A6660" i="2"/>
  <c r="E6659" i="2"/>
  <c r="D6659" i="2"/>
  <c r="C6659" i="2"/>
  <c r="B6659" i="2"/>
  <c r="A6659" i="2"/>
  <c r="E6658" i="2"/>
  <c r="D6658" i="2"/>
  <c r="C6658" i="2"/>
  <c r="B6658" i="2"/>
  <c r="A6658" i="2"/>
  <c r="E6657" i="2"/>
  <c r="D6657" i="2"/>
  <c r="C6657" i="2"/>
  <c r="B6657" i="2"/>
  <c r="A6657" i="2"/>
  <c r="E6656" i="2"/>
  <c r="D6656" i="2"/>
  <c r="C6656" i="2"/>
  <c r="B6656" i="2"/>
  <c r="A6656" i="2"/>
  <c r="E6655" i="2"/>
  <c r="D6655" i="2"/>
  <c r="C6655" i="2"/>
  <c r="B6655" i="2"/>
  <c r="A6655" i="2"/>
  <c r="E6654" i="2"/>
  <c r="D6654" i="2"/>
  <c r="C6654" i="2"/>
  <c r="B6654" i="2"/>
  <c r="A6654" i="2"/>
  <c r="E6653" i="2"/>
  <c r="D6653" i="2"/>
  <c r="C6653" i="2"/>
  <c r="B6653" i="2"/>
  <c r="A6653" i="2"/>
  <c r="E6652" i="2"/>
  <c r="D6652" i="2"/>
  <c r="C6652" i="2"/>
  <c r="B6652" i="2"/>
  <c r="A6652" i="2"/>
  <c r="E6651" i="2"/>
  <c r="D6651" i="2"/>
  <c r="C6651" i="2"/>
  <c r="B6651" i="2"/>
  <c r="A6651" i="2"/>
  <c r="E6650" i="2"/>
  <c r="D6650" i="2"/>
  <c r="C6650" i="2"/>
  <c r="B6650" i="2"/>
  <c r="A6650" i="2"/>
  <c r="E6649" i="2"/>
  <c r="D6649" i="2"/>
  <c r="C6649" i="2"/>
  <c r="B6649" i="2"/>
  <c r="A6649" i="2"/>
  <c r="E6648" i="2"/>
  <c r="D6648" i="2"/>
  <c r="C6648" i="2"/>
  <c r="B6648" i="2"/>
  <c r="A6648" i="2"/>
  <c r="E6647" i="2"/>
  <c r="D6647" i="2"/>
  <c r="C6647" i="2"/>
  <c r="B6647" i="2"/>
  <c r="A6647" i="2"/>
  <c r="E6646" i="2"/>
  <c r="D6646" i="2"/>
  <c r="C6646" i="2"/>
  <c r="B6646" i="2"/>
  <c r="A6646" i="2"/>
  <c r="E6645" i="2"/>
  <c r="D6645" i="2"/>
  <c r="C6645" i="2"/>
  <c r="B6645" i="2"/>
  <c r="A6645" i="2"/>
  <c r="E6644" i="2"/>
  <c r="D6644" i="2"/>
  <c r="C6644" i="2"/>
  <c r="B6644" i="2"/>
  <c r="A6644" i="2"/>
  <c r="E6643" i="2"/>
  <c r="D6643" i="2"/>
  <c r="C6643" i="2"/>
  <c r="B6643" i="2"/>
  <c r="A6643" i="2"/>
  <c r="E6642" i="2"/>
  <c r="D6642" i="2"/>
  <c r="C6642" i="2"/>
  <c r="B6642" i="2"/>
  <c r="A6642" i="2"/>
  <c r="E6641" i="2"/>
  <c r="D6641" i="2"/>
  <c r="C6641" i="2"/>
  <c r="B6641" i="2"/>
  <c r="A6641" i="2"/>
  <c r="E6640" i="2"/>
  <c r="D6640" i="2"/>
  <c r="C6640" i="2"/>
  <c r="B6640" i="2"/>
  <c r="A6640" i="2"/>
  <c r="E6639" i="2"/>
  <c r="D6639" i="2"/>
  <c r="C6639" i="2"/>
  <c r="B6639" i="2"/>
  <c r="A6639" i="2"/>
  <c r="E6638" i="2"/>
  <c r="D6638" i="2"/>
  <c r="C6638" i="2"/>
  <c r="B6638" i="2"/>
  <c r="A6638" i="2"/>
  <c r="E6637" i="2"/>
  <c r="D6637" i="2"/>
  <c r="C6637" i="2"/>
  <c r="B6637" i="2"/>
  <c r="A6637" i="2"/>
  <c r="E6636" i="2"/>
  <c r="D6636" i="2"/>
  <c r="C6636" i="2"/>
  <c r="B6636" i="2"/>
  <c r="A6636" i="2"/>
  <c r="E6635" i="2"/>
  <c r="D6635" i="2"/>
  <c r="C6635" i="2"/>
  <c r="B6635" i="2"/>
  <c r="A6635" i="2"/>
  <c r="E6634" i="2"/>
  <c r="D6634" i="2"/>
  <c r="C6634" i="2"/>
  <c r="B6634" i="2"/>
  <c r="A6634" i="2"/>
  <c r="E6633" i="2"/>
  <c r="D6633" i="2"/>
  <c r="C6633" i="2"/>
  <c r="B6633" i="2"/>
  <c r="A6633" i="2"/>
  <c r="E6632" i="2"/>
  <c r="D6632" i="2"/>
  <c r="C6632" i="2"/>
  <c r="B6632" i="2"/>
  <c r="A6632" i="2"/>
  <c r="E6631" i="2"/>
  <c r="D6631" i="2"/>
  <c r="C6631" i="2"/>
  <c r="B6631" i="2"/>
  <c r="A6631" i="2"/>
  <c r="E6630" i="2"/>
  <c r="D6630" i="2"/>
  <c r="C6630" i="2"/>
  <c r="B6630" i="2"/>
  <c r="A6630" i="2"/>
  <c r="E6629" i="2"/>
  <c r="D6629" i="2"/>
  <c r="C6629" i="2"/>
  <c r="B6629" i="2"/>
  <c r="A6629" i="2"/>
  <c r="E6628" i="2"/>
  <c r="D6628" i="2"/>
  <c r="C6628" i="2"/>
  <c r="B6628" i="2"/>
  <c r="A6628" i="2"/>
  <c r="E6627" i="2"/>
  <c r="D6627" i="2"/>
  <c r="C6627" i="2"/>
  <c r="B6627" i="2"/>
  <c r="A6627" i="2"/>
  <c r="E6626" i="2"/>
  <c r="D6626" i="2"/>
  <c r="C6626" i="2"/>
  <c r="B6626" i="2"/>
  <c r="A6626" i="2"/>
  <c r="E6625" i="2"/>
  <c r="D6625" i="2"/>
  <c r="C6625" i="2"/>
  <c r="B6625" i="2"/>
  <c r="A6625" i="2"/>
  <c r="E6624" i="2"/>
  <c r="D6624" i="2"/>
  <c r="C6624" i="2"/>
  <c r="B6624" i="2"/>
  <c r="A6624" i="2"/>
  <c r="E6623" i="2"/>
  <c r="D6623" i="2"/>
  <c r="C6623" i="2"/>
  <c r="B6623" i="2"/>
  <c r="A6623" i="2"/>
  <c r="E6622" i="2"/>
  <c r="D6622" i="2"/>
  <c r="C6622" i="2"/>
  <c r="B6622" i="2"/>
  <c r="A6622" i="2"/>
  <c r="E6621" i="2"/>
  <c r="D6621" i="2"/>
  <c r="C6621" i="2"/>
  <c r="B6621" i="2"/>
  <c r="A6621" i="2"/>
  <c r="E6620" i="2"/>
  <c r="D6620" i="2"/>
  <c r="C6620" i="2"/>
  <c r="B6620" i="2"/>
  <c r="A6620" i="2"/>
  <c r="E6619" i="2"/>
  <c r="D6619" i="2"/>
  <c r="C6619" i="2"/>
  <c r="B6619" i="2"/>
  <c r="A6619" i="2"/>
  <c r="E6618" i="2"/>
  <c r="D6618" i="2"/>
  <c r="C6618" i="2"/>
  <c r="B6618" i="2"/>
  <c r="A6618" i="2"/>
  <c r="E6617" i="2"/>
  <c r="D6617" i="2"/>
  <c r="C6617" i="2"/>
  <c r="B6617" i="2"/>
  <c r="A6617" i="2"/>
  <c r="E6616" i="2"/>
  <c r="D6616" i="2"/>
  <c r="C6616" i="2"/>
  <c r="B6616" i="2"/>
  <c r="A6616" i="2"/>
  <c r="E6615" i="2"/>
  <c r="D6615" i="2"/>
  <c r="C6615" i="2"/>
  <c r="B6615" i="2"/>
  <c r="A6615" i="2"/>
  <c r="E6614" i="2"/>
  <c r="D6614" i="2"/>
  <c r="C6614" i="2"/>
  <c r="B6614" i="2"/>
  <c r="A6614" i="2"/>
  <c r="E6613" i="2"/>
  <c r="D6613" i="2"/>
  <c r="C6613" i="2"/>
  <c r="B6613" i="2"/>
  <c r="A6613" i="2"/>
  <c r="E6612" i="2"/>
  <c r="D6612" i="2"/>
  <c r="C6612" i="2"/>
  <c r="B6612" i="2"/>
  <c r="A6612" i="2"/>
  <c r="E6611" i="2"/>
  <c r="D6611" i="2"/>
  <c r="C6611" i="2"/>
  <c r="B6611" i="2"/>
  <c r="A6611" i="2"/>
  <c r="E6610" i="2"/>
  <c r="D6610" i="2"/>
  <c r="C6610" i="2"/>
  <c r="B6610" i="2"/>
  <c r="A6610" i="2"/>
  <c r="E6609" i="2"/>
  <c r="D6609" i="2"/>
  <c r="C6609" i="2"/>
  <c r="B6609" i="2"/>
  <c r="A6609" i="2"/>
  <c r="E6608" i="2"/>
  <c r="D6608" i="2"/>
  <c r="C6608" i="2"/>
  <c r="B6608" i="2"/>
  <c r="A6608" i="2"/>
  <c r="E6607" i="2"/>
  <c r="D6607" i="2"/>
  <c r="C6607" i="2"/>
  <c r="B6607" i="2"/>
  <c r="A6607" i="2"/>
  <c r="E6606" i="2"/>
  <c r="D6606" i="2"/>
  <c r="C6606" i="2"/>
  <c r="B6606" i="2"/>
  <c r="A6606" i="2"/>
  <c r="E6605" i="2"/>
  <c r="D6605" i="2"/>
  <c r="C6605" i="2"/>
  <c r="B6605" i="2"/>
  <c r="A6605" i="2"/>
  <c r="E6604" i="2"/>
  <c r="D6604" i="2"/>
  <c r="C6604" i="2"/>
  <c r="B6604" i="2"/>
  <c r="A6604" i="2"/>
  <c r="E6603" i="2"/>
  <c r="D6603" i="2"/>
  <c r="C6603" i="2"/>
  <c r="B6603" i="2"/>
  <c r="A6603" i="2"/>
  <c r="E6602" i="2"/>
  <c r="D6602" i="2"/>
  <c r="C6602" i="2"/>
  <c r="B6602" i="2"/>
  <c r="A6602" i="2"/>
  <c r="E6601" i="2"/>
  <c r="D6601" i="2"/>
  <c r="C6601" i="2"/>
  <c r="B6601" i="2"/>
  <c r="A6601" i="2"/>
  <c r="E6600" i="2"/>
  <c r="D6600" i="2"/>
  <c r="C6600" i="2"/>
  <c r="B6600" i="2"/>
  <c r="A6600" i="2"/>
  <c r="E6599" i="2"/>
  <c r="D6599" i="2"/>
  <c r="C6599" i="2"/>
  <c r="B6599" i="2"/>
  <c r="A6599" i="2"/>
  <c r="E6598" i="2"/>
  <c r="D6598" i="2"/>
  <c r="C6598" i="2"/>
  <c r="B6598" i="2"/>
  <c r="A6598" i="2"/>
  <c r="E6597" i="2"/>
  <c r="D6597" i="2"/>
  <c r="C6597" i="2"/>
  <c r="B6597" i="2"/>
  <c r="A6597" i="2"/>
  <c r="E6596" i="2"/>
  <c r="D6596" i="2"/>
  <c r="C6596" i="2"/>
  <c r="B6596" i="2"/>
  <c r="A6596" i="2"/>
  <c r="E6595" i="2"/>
  <c r="D6595" i="2"/>
  <c r="C6595" i="2"/>
  <c r="B6595" i="2"/>
  <c r="A6595" i="2"/>
  <c r="E6594" i="2"/>
  <c r="D6594" i="2"/>
  <c r="C6594" i="2"/>
  <c r="B6594" i="2"/>
  <c r="A6594" i="2"/>
  <c r="E6593" i="2"/>
  <c r="D6593" i="2"/>
  <c r="C6593" i="2"/>
  <c r="B6593" i="2"/>
  <c r="A6593" i="2"/>
  <c r="E6592" i="2"/>
  <c r="D6592" i="2"/>
  <c r="C6592" i="2"/>
  <c r="B6592" i="2"/>
  <c r="A6592" i="2"/>
  <c r="E6591" i="2"/>
  <c r="D6591" i="2"/>
  <c r="C6591" i="2"/>
  <c r="B6591" i="2"/>
  <c r="A6591" i="2"/>
  <c r="E6590" i="2"/>
  <c r="D6590" i="2"/>
  <c r="C6590" i="2"/>
  <c r="B6590" i="2"/>
  <c r="A6590" i="2"/>
  <c r="E6589" i="2"/>
  <c r="D6589" i="2"/>
  <c r="C6589" i="2"/>
  <c r="B6589" i="2"/>
  <c r="A6589" i="2"/>
  <c r="E6588" i="2"/>
  <c r="D6588" i="2"/>
  <c r="C6588" i="2"/>
  <c r="B6588" i="2"/>
  <c r="A6588" i="2"/>
  <c r="E6587" i="2"/>
  <c r="D6587" i="2"/>
  <c r="C6587" i="2"/>
  <c r="B6587" i="2"/>
  <c r="A6587" i="2"/>
  <c r="E6586" i="2"/>
  <c r="D6586" i="2"/>
  <c r="C6586" i="2"/>
  <c r="B6586" i="2"/>
  <c r="A6586" i="2"/>
  <c r="E6585" i="2"/>
  <c r="D6585" i="2"/>
  <c r="C6585" i="2"/>
  <c r="B6585" i="2"/>
  <c r="A6585" i="2"/>
  <c r="E6584" i="2"/>
  <c r="D6584" i="2"/>
  <c r="C6584" i="2"/>
  <c r="B6584" i="2"/>
  <c r="A6584" i="2"/>
  <c r="E6583" i="2"/>
  <c r="D6583" i="2"/>
  <c r="C6583" i="2"/>
  <c r="B6583" i="2"/>
  <c r="A6583" i="2"/>
  <c r="E6582" i="2"/>
  <c r="D6582" i="2"/>
  <c r="C6582" i="2"/>
  <c r="B6582" i="2"/>
  <c r="A6582" i="2"/>
  <c r="E6581" i="2"/>
  <c r="D6581" i="2"/>
  <c r="C6581" i="2"/>
  <c r="B6581" i="2"/>
  <c r="A6581" i="2"/>
  <c r="E6580" i="2"/>
  <c r="D6580" i="2"/>
  <c r="C6580" i="2"/>
  <c r="B6580" i="2"/>
  <c r="A6580" i="2"/>
  <c r="E6579" i="2"/>
  <c r="D6579" i="2"/>
  <c r="C6579" i="2"/>
  <c r="B6579" i="2"/>
  <c r="A6579" i="2"/>
  <c r="E6578" i="2"/>
  <c r="D6578" i="2"/>
  <c r="C6578" i="2"/>
  <c r="B6578" i="2"/>
  <c r="A6578" i="2"/>
  <c r="E6577" i="2"/>
  <c r="D6577" i="2"/>
  <c r="C6577" i="2"/>
  <c r="B6577" i="2"/>
  <c r="A6577" i="2"/>
  <c r="E6576" i="2"/>
  <c r="D6576" i="2"/>
  <c r="C6576" i="2"/>
  <c r="B6576" i="2"/>
  <c r="A6576" i="2"/>
  <c r="E6575" i="2"/>
  <c r="D6575" i="2"/>
  <c r="C6575" i="2"/>
  <c r="B6575" i="2"/>
  <c r="A6575" i="2"/>
  <c r="E6574" i="2"/>
  <c r="D6574" i="2"/>
  <c r="C6574" i="2"/>
  <c r="B6574" i="2"/>
  <c r="A6574" i="2"/>
  <c r="E6573" i="2"/>
  <c r="D6573" i="2"/>
  <c r="C6573" i="2"/>
  <c r="B6573" i="2"/>
  <c r="A6573" i="2"/>
  <c r="E6572" i="2"/>
  <c r="D6572" i="2"/>
  <c r="C6572" i="2"/>
  <c r="B6572" i="2"/>
  <c r="A6572" i="2"/>
  <c r="E6571" i="2"/>
  <c r="D6571" i="2"/>
  <c r="C6571" i="2"/>
  <c r="B6571" i="2"/>
  <c r="A6571" i="2"/>
  <c r="E6570" i="2"/>
  <c r="D6570" i="2"/>
  <c r="C6570" i="2"/>
  <c r="B6570" i="2"/>
  <c r="A6570" i="2"/>
  <c r="E6569" i="2"/>
  <c r="D6569" i="2"/>
  <c r="C6569" i="2"/>
  <c r="B6569" i="2"/>
  <c r="A6569" i="2"/>
  <c r="E6568" i="2"/>
  <c r="D6568" i="2"/>
  <c r="C6568" i="2"/>
  <c r="B6568" i="2"/>
  <c r="A6568" i="2"/>
  <c r="E6567" i="2"/>
  <c r="D6567" i="2"/>
  <c r="C6567" i="2"/>
  <c r="B6567" i="2"/>
  <c r="A6567" i="2"/>
  <c r="E6566" i="2"/>
  <c r="D6566" i="2"/>
  <c r="C6566" i="2"/>
  <c r="B6566" i="2"/>
  <c r="A6566" i="2"/>
  <c r="E6565" i="2"/>
  <c r="D6565" i="2"/>
  <c r="C6565" i="2"/>
  <c r="B6565" i="2"/>
  <c r="A6565" i="2"/>
  <c r="E6564" i="2"/>
  <c r="D6564" i="2"/>
  <c r="C6564" i="2"/>
  <c r="B6564" i="2"/>
  <c r="A6564" i="2"/>
  <c r="E6563" i="2"/>
  <c r="D6563" i="2"/>
  <c r="C6563" i="2"/>
  <c r="B6563" i="2"/>
  <c r="A6563" i="2"/>
  <c r="E6562" i="2"/>
  <c r="D6562" i="2"/>
  <c r="C6562" i="2"/>
  <c r="B6562" i="2"/>
  <c r="A6562" i="2"/>
  <c r="E6561" i="2"/>
  <c r="D6561" i="2"/>
  <c r="C6561" i="2"/>
  <c r="B6561" i="2"/>
  <c r="A6561" i="2"/>
  <c r="E6560" i="2"/>
  <c r="D6560" i="2"/>
  <c r="C6560" i="2"/>
  <c r="B6560" i="2"/>
  <c r="A6560" i="2"/>
  <c r="E6559" i="2"/>
  <c r="D6559" i="2"/>
  <c r="C6559" i="2"/>
  <c r="B6559" i="2"/>
  <c r="A6559" i="2"/>
  <c r="E6558" i="2"/>
  <c r="D6558" i="2"/>
  <c r="C6558" i="2"/>
  <c r="B6558" i="2"/>
  <c r="A6558" i="2"/>
  <c r="E6557" i="2"/>
  <c r="D6557" i="2"/>
  <c r="C6557" i="2"/>
  <c r="B6557" i="2"/>
  <c r="A6557" i="2"/>
  <c r="E6556" i="2"/>
  <c r="D6556" i="2"/>
  <c r="C6556" i="2"/>
  <c r="B6556" i="2"/>
  <c r="A6556" i="2"/>
  <c r="E6555" i="2"/>
  <c r="D6555" i="2"/>
  <c r="C6555" i="2"/>
  <c r="B6555" i="2"/>
  <c r="A6555" i="2"/>
  <c r="E6554" i="2"/>
  <c r="D6554" i="2"/>
  <c r="C6554" i="2"/>
  <c r="B6554" i="2"/>
  <c r="A6554" i="2"/>
  <c r="E6553" i="2"/>
  <c r="D6553" i="2"/>
  <c r="C6553" i="2"/>
  <c r="B6553" i="2"/>
  <c r="A6553" i="2"/>
  <c r="E6552" i="2"/>
  <c r="D6552" i="2"/>
  <c r="C6552" i="2"/>
  <c r="B6552" i="2"/>
  <c r="A6552" i="2"/>
  <c r="E6551" i="2"/>
  <c r="D6551" i="2"/>
  <c r="C6551" i="2"/>
  <c r="B6551" i="2"/>
  <c r="A6551" i="2"/>
  <c r="E6550" i="2"/>
  <c r="D6550" i="2"/>
  <c r="C6550" i="2"/>
  <c r="B6550" i="2"/>
  <c r="A6550" i="2"/>
  <c r="E6549" i="2"/>
  <c r="D6549" i="2"/>
  <c r="C6549" i="2"/>
  <c r="B6549" i="2"/>
  <c r="A6549" i="2"/>
  <c r="E6548" i="2"/>
  <c r="D6548" i="2"/>
  <c r="C6548" i="2"/>
  <c r="B6548" i="2"/>
  <c r="A6548" i="2"/>
  <c r="E6547" i="2"/>
  <c r="D6547" i="2"/>
  <c r="C6547" i="2"/>
  <c r="B6547" i="2"/>
  <c r="A6547" i="2"/>
  <c r="E6546" i="2"/>
  <c r="D6546" i="2"/>
  <c r="C6546" i="2"/>
  <c r="B6546" i="2"/>
  <c r="A6546" i="2"/>
  <c r="E6545" i="2"/>
  <c r="D6545" i="2"/>
  <c r="C6545" i="2"/>
  <c r="B6545" i="2"/>
  <c r="A6545" i="2"/>
  <c r="E6544" i="2"/>
  <c r="D6544" i="2"/>
  <c r="C6544" i="2"/>
  <c r="B6544" i="2"/>
  <c r="A6544" i="2"/>
  <c r="E6543" i="2"/>
  <c r="D6543" i="2"/>
  <c r="C6543" i="2"/>
  <c r="B6543" i="2"/>
  <c r="A6543" i="2"/>
  <c r="E6542" i="2"/>
  <c r="D6542" i="2"/>
  <c r="C6542" i="2"/>
  <c r="B6542" i="2"/>
  <c r="A6542" i="2"/>
  <c r="E6541" i="2"/>
  <c r="D6541" i="2"/>
  <c r="C6541" i="2"/>
  <c r="B6541" i="2"/>
  <c r="A6541" i="2"/>
  <c r="E6540" i="2"/>
  <c r="D6540" i="2"/>
  <c r="C6540" i="2"/>
  <c r="B6540" i="2"/>
  <c r="A6540" i="2"/>
  <c r="E6539" i="2"/>
  <c r="D6539" i="2"/>
  <c r="C6539" i="2"/>
  <c r="B6539" i="2"/>
  <c r="A6539" i="2"/>
  <c r="E6538" i="2"/>
  <c r="D6538" i="2"/>
  <c r="C6538" i="2"/>
  <c r="B6538" i="2"/>
  <c r="A6538" i="2"/>
  <c r="E6537" i="2"/>
  <c r="D6537" i="2"/>
  <c r="C6537" i="2"/>
  <c r="B6537" i="2"/>
  <c r="A6537" i="2"/>
  <c r="E6536" i="2"/>
  <c r="D6536" i="2"/>
  <c r="C6536" i="2"/>
  <c r="B6536" i="2"/>
  <c r="A6536" i="2"/>
  <c r="E6535" i="2"/>
  <c r="D6535" i="2"/>
  <c r="C6535" i="2"/>
  <c r="B6535" i="2"/>
  <c r="A6535" i="2"/>
  <c r="E6534" i="2"/>
  <c r="D6534" i="2"/>
  <c r="C6534" i="2"/>
  <c r="B6534" i="2"/>
  <c r="A6534" i="2"/>
  <c r="E6533" i="2"/>
  <c r="D6533" i="2"/>
  <c r="C6533" i="2"/>
  <c r="B6533" i="2"/>
  <c r="A6533" i="2"/>
  <c r="E6532" i="2"/>
  <c r="D6532" i="2"/>
  <c r="C6532" i="2"/>
  <c r="B6532" i="2"/>
  <c r="A6532" i="2"/>
  <c r="E6531" i="2"/>
  <c r="D6531" i="2"/>
  <c r="C6531" i="2"/>
  <c r="B6531" i="2"/>
  <c r="A6531" i="2"/>
  <c r="E6530" i="2"/>
  <c r="D6530" i="2"/>
  <c r="C6530" i="2"/>
  <c r="B6530" i="2"/>
  <c r="A6530" i="2"/>
  <c r="E6529" i="2"/>
  <c r="D6529" i="2"/>
  <c r="C6529" i="2"/>
  <c r="B6529" i="2"/>
  <c r="A6529" i="2"/>
  <c r="E6528" i="2"/>
  <c r="D6528" i="2"/>
  <c r="C6528" i="2"/>
  <c r="B6528" i="2"/>
  <c r="A6528" i="2"/>
  <c r="E6527" i="2"/>
  <c r="D6527" i="2"/>
  <c r="C6527" i="2"/>
  <c r="B6527" i="2"/>
  <c r="A6527" i="2"/>
  <c r="E6526" i="2"/>
  <c r="D6526" i="2"/>
  <c r="C6526" i="2"/>
  <c r="B6526" i="2"/>
  <c r="A6526" i="2"/>
  <c r="E6525" i="2"/>
  <c r="D6525" i="2"/>
  <c r="C6525" i="2"/>
  <c r="B6525" i="2"/>
  <c r="A6525" i="2"/>
  <c r="E6524" i="2"/>
  <c r="D6524" i="2"/>
  <c r="C6524" i="2"/>
  <c r="B6524" i="2"/>
  <c r="A6524" i="2"/>
  <c r="E6523" i="2"/>
  <c r="D6523" i="2"/>
  <c r="C6523" i="2"/>
  <c r="B6523" i="2"/>
  <c r="A6523" i="2"/>
  <c r="E6522" i="2"/>
  <c r="D6522" i="2"/>
  <c r="C6522" i="2"/>
  <c r="B6522" i="2"/>
  <c r="A6522" i="2"/>
  <c r="E6521" i="2"/>
  <c r="D6521" i="2"/>
  <c r="C6521" i="2"/>
  <c r="B6521" i="2"/>
  <c r="A6521" i="2"/>
  <c r="E6520" i="2"/>
  <c r="D6520" i="2"/>
  <c r="C6520" i="2"/>
  <c r="B6520" i="2"/>
  <c r="A6520" i="2"/>
  <c r="E6519" i="2"/>
  <c r="D6519" i="2"/>
  <c r="C6519" i="2"/>
  <c r="B6519" i="2"/>
  <c r="A6519" i="2"/>
  <c r="E6518" i="2"/>
  <c r="D6518" i="2"/>
  <c r="C6518" i="2"/>
  <c r="B6518" i="2"/>
  <c r="A6518" i="2"/>
  <c r="E6517" i="2"/>
  <c r="D6517" i="2"/>
  <c r="C6517" i="2"/>
  <c r="B6517" i="2"/>
  <c r="A6517" i="2"/>
  <c r="E6516" i="2"/>
  <c r="D6516" i="2"/>
  <c r="C6516" i="2"/>
  <c r="B6516" i="2"/>
  <c r="A6516" i="2"/>
  <c r="E6515" i="2"/>
  <c r="D6515" i="2"/>
  <c r="C6515" i="2"/>
  <c r="B6515" i="2"/>
  <c r="A6515" i="2"/>
  <c r="E6514" i="2"/>
  <c r="D6514" i="2"/>
  <c r="C6514" i="2"/>
  <c r="B6514" i="2"/>
  <c r="A6514" i="2"/>
  <c r="E6513" i="2"/>
  <c r="D6513" i="2"/>
  <c r="C6513" i="2"/>
  <c r="B6513" i="2"/>
  <c r="A6513" i="2"/>
  <c r="E6512" i="2"/>
  <c r="D6512" i="2"/>
  <c r="C6512" i="2"/>
  <c r="B6512" i="2"/>
  <c r="A6512" i="2"/>
  <c r="E6511" i="2"/>
  <c r="D6511" i="2"/>
  <c r="C6511" i="2"/>
  <c r="B6511" i="2"/>
  <c r="A6511" i="2"/>
  <c r="E6510" i="2"/>
  <c r="D6510" i="2"/>
  <c r="C6510" i="2"/>
  <c r="B6510" i="2"/>
  <c r="A6510" i="2"/>
  <c r="E6509" i="2"/>
  <c r="D6509" i="2"/>
  <c r="C6509" i="2"/>
  <c r="B6509" i="2"/>
  <c r="A6509" i="2"/>
  <c r="E6508" i="2"/>
  <c r="D6508" i="2"/>
  <c r="C6508" i="2"/>
  <c r="B6508" i="2"/>
  <c r="A6508" i="2"/>
  <c r="E6507" i="2"/>
  <c r="D6507" i="2"/>
  <c r="C6507" i="2"/>
  <c r="B6507" i="2"/>
  <c r="A6507" i="2"/>
  <c r="E6506" i="2"/>
  <c r="D6506" i="2"/>
  <c r="C6506" i="2"/>
  <c r="B6506" i="2"/>
  <c r="A6506" i="2"/>
  <c r="E6505" i="2"/>
  <c r="D6505" i="2"/>
  <c r="C6505" i="2"/>
  <c r="B6505" i="2"/>
  <c r="A6505" i="2"/>
  <c r="E6504" i="2"/>
  <c r="D6504" i="2"/>
  <c r="C6504" i="2"/>
  <c r="B6504" i="2"/>
  <c r="A6504" i="2"/>
  <c r="E6503" i="2"/>
  <c r="D6503" i="2"/>
  <c r="C6503" i="2"/>
  <c r="B6503" i="2"/>
  <c r="A6503" i="2"/>
  <c r="E6502" i="2"/>
  <c r="D6502" i="2"/>
  <c r="C6502" i="2"/>
  <c r="B6502" i="2"/>
  <c r="A6502" i="2"/>
  <c r="E6501" i="2"/>
  <c r="D6501" i="2"/>
  <c r="C6501" i="2"/>
  <c r="B6501" i="2"/>
  <c r="A6501" i="2"/>
  <c r="E6500" i="2"/>
  <c r="D6500" i="2"/>
  <c r="C6500" i="2"/>
  <c r="B6500" i="2"/>
  <c r="A6500" i="2"/>
  <c r="E6499" i="2"/>
  <c r="D6499" i="2"/>
  <c r="C6499" i="2"/>
  <c r="B6499" i="2"/>
  <c r="A6499" i="2"/>
  <c r="E6498" i="2"/>
  <c r="D6498" i="2"/>
  <c r="C6498" i="2"/>
  <c r="B6498" i="2"/>
  <c r="A6498" i="2"/>
  <c r="E6497" i="2"/>
  <c r="D6497" i="2"/>
  <c r="C6497" i="2"/>
  <c r="B6497" i="2"/>
  <c r="A6497" i="2"/>
  <c r="E6496" i="2"/>
  <c r="D6496" i="2"/>
  <c r="C6496" i="2"/>
  <c r="B6496" i="2"/>
  <c r="A6496" i="2"/>
  <c r="E6495" i="2"/>
  <c r="D6495" i="2"/>
  <c r="C6495" i="2"/>
  <c r="B6495" i="2"/>
  <c r="A6495" i="2"/>
  <c r="E6494" i="2"/>
  <c r="D6494" i="2"/>
  <c r="C6494" i="2"/>
  <c r="B6494" i="2"/>
  <c r="A6494" i="2"/>
  <c r="E6493" i="2"/>
  <c r="D6493" i="2"/>
  <c r="C6493" i="2"/>
  <c r="B6493" i="2"/>
  <c r="A6493" i="2"/>
  <c r="E6492" i="2"/>
  <c r="D6492" i="2"/>
  <c r="C6492" i="2"/>
  <c r="B6492" i="2"/>
  <c r="A6492" i="2"/>
  <c r="E6491" i="2"/>
  <c r="D6491" i="2"/>
  <c r="C6491" i="2"/>
  <c r="B6491" i="2"/>
  <c r="A6491" i="2"/>
  <c r="E6490" i="2"/>
  <c r="D6490" i="2"/>
  <c r="C6490" i="2"/>
  <c r="B6490" i="2"/>
  <c r="A6490" i="2"/>
  <c r="E6489" i="2"/>
  <c r="D6489" i="2"/>
  <c r="C6489" i="2"/>
  <c r="B6489" i="2"/>
  <c r="A6489" i="2"/>
  <c r="E6488" i="2"/>
  <c r="D6488" i="2"/>
  <c r="C6488" i="2"/>
  <c r="B6488" i="2"/>
  <c r="A6488" i="2"/>
  <c r="E6487" i="2"/>
  <c r="D6487" i="2"/>
  <c r="C6487" i="2"/>
  <c r="B6487" i="2"/>
  <c r="A6487" i="2"/>
  <c r="E6486" i="2"/>
  <c r="D6486" i="2"/>
  <c r="C6486" i="2"/>
  <c r="B6486" i="2"/>
  <c r="A6486" i="2"/>
  <c r="E6485" i="2"/>
  <c r="D6485" i="2"/>
  <c r="C6485" i="2"/>
  <c r="B6485" i="2"/>
  <c r="A6485" i="2"/>
  <c r="E6484" i="2"/>
  <c r="D6484" i="2"/>
  <c r="C6484" i="2"/>
  <c r="B6484" i="2"/>
  <c r="A6484" i="2"/>
  <c r="E6483" i="2"/>
  <c r="D6483" i="2"/>
  <c r="C6483" i="2"/>
  <c r="B6483" i="2"/>
  <c r="A6483" i="2"/>
  <c r="E6482" i="2"/>
  <c r="D6482" i="2"/>
  <c r="C6482" i="2"/>
  <c r="B6482" i="2"/>
  <c r="A6482" i="2"/>
  <c r="E6481" i="2"/>
  <c r="D6481" i="2"/>
  <c r="C6481" i="2"/>
  <c r="B6481" i="2"/>
  <c r="A6481" i="2"/>
  <c r="E6480" i="2"/>
  <c r="D6480" i="2"/>
  <c r="C6480" i="2"/>
  <c r="B6480" i="2"/>
  <c r="A6480" i="2"/>
  <c r="E6479" i="2"/>
  <c r="D6479" i="2"/>
  <c r="C6479" i="2"/>
  <c r="B6479" i="2"/>
  <c r="A6479" i="2"/>
  <c r="E6478" i="2"/>
  <c r="D6478" i="2"/>
  <c r="C6478" i="2"/>
  <c r="B6478" i="2"/>
  <c r="A6478" i="2"/>
  <c r="E6477" i="2"/>
  <c r="D6477" i="2"/>
  <c r="C6477" i="2"/>
  <c r="B6477" i="2"/>
  <c r="A6477" i="2"/>
  <c r="E6476" i="2"/>
  <c r="D6476" i="2"/>
  <c r="C6476" i="2"/>
  <c r="B6476" i="2"/>
  <c r="A6476" i="2"/>
  <c r="E6475" i="2"/>
  <c r="D6475" i="2"/>
  <c r="C6475" i="2"/>
  <c r="B6475" i="2"/>
  <c r="A6475" i="2"/>
  <c r="E6474" i="2"/>
  <c r="D6474" i="2"/>
  <c r="C6474" i="2"/>
  <c r="B6474" i="2"/>
  <c r="A6474" i="2"/>
  <c r="E6473" i="2"/>
  <c r="D6473" i="2"/>
  <c r="C6473" i="2"/>
  <c r="B6473" i="2"/>
  <c r="A6473" i="2"/>
  <c r="E6472" i="2"/>
  <c r="D6472" i="2"/>
  <c r="C6472" i="2"/>
  <c r="B6472" i="2"/>
  <c r="A6472" i="2"/>
  <c r="E6471" i="2"/>
  <c r="D6471" i="2"/>
  <c r="C6471" i="2"/>
  <c r="B6471" i="2"/>
  <c r="A6471" i="2"/>
  <c r="E6470" i="2"/>
  <c r="D6470" i="2"/>
  <c r="C6470" i="2"/>
  <c r="B6470" i="2"/>
  <c r="A6470" i="2"/>
  <c r="E6469" i="2"/>
  <c r="D6469" i="2"/>
  <c r="C6469" i="2"/>
  <c r="B6469" i="2"/>
  <c r="A6469" i="2"/>
  <c r="E6468" i="2"/>
  <c r="D6468" i="2"/>
  <c r="C6468" i="2"/>
  <c r="B6468" i="2"/>
  <c r="A6468" i="2"/>
  <c r="E6467" i="2"/>
  <c r="D6467" i="2"/>
  <c r="C6467" i="2"/>
  <c r="B6467" i="2"/>
  <c r="A6467" i="2"/>
  <c r="E6466" i="2"/>
  <c r="D6466" i="2"/>
  <c r="C6466" i="2"/>
  <c r="B6466" i="2"/>
  <c r="A6466" i="2"/>
  <c r="E6465" i="2"/>
  <c r="D6465" i="2"/>
  <c r="C6465" i="2"/>
  <c r="B6465" i="2"/>
  <c r="A6465" i="2"/>
  <c r="E6464" i="2"/>
  <c r="D6464" i="2"/>
  <c r="C6464" i="2"/>
  <c r="B6464" i="2"/>
  <c r="A6464" i="2"/>
  <c r="E6463" i="2"/>
  <c r="D6463" i="2"/>
  <c r="C6463" i="2"/>
  <c r="B6463" i="2"/>
  <c r="A6463" i="2"/>
  <c r="E6462" i="2"/>
  <c r="D6462" i="2"/>
  <c r="C6462" i="2"/>
  <c r="B6462" i="2"/>
  <c r="A6462" i="2"/>
  <c r="E6461" i="2"/>
  <c r="D6461" i="2"/>
  <c r="C6461" i="2"/>
  <c r="B6461" i="2"/>
  <c r="A6461" i="2"/>
  <c r="E6460" i="2"/>
  <c r="D6460" i="2"/>
  <c r="C6460" i="2"/>
  <c r="B6460" i="2"/>
  <c r="A6460" i="2"/>
  <c r="E6459" i="2"/>
  <c r="D6459" i="2"/>
  <c r="C6459" i="2"/>
  <c r="B6459" i="2"/>
  <c r="A6459" i="2"/>
  <c r="E6458" i="2"/>
  <c r="D6458" i="2"/>
  <c r="C6458" i="2"/>
  <c r="B6458" i="2"/>
  <c r="A6458" i="2"/>
  <c r="E6457" i="2"/>
  <c r="D6457" i="2"/>
  <c r="C6457" i="2"/>
  <c r="B6457" i="2"/>
  <c r="A6457" i="2"/>
  <c r="E6456" i="2"/>
  <c r="D6456" i="2"/>
  <c r="C6456" i="2"/>
  <c r="B6456" i="2"/>
  <c r="A6456" i="2"/>
  <c r="E6455" i="2"/>
  <c r="D6455" i="2"/>
  <c r="C6455" i="2"/>
  <c r="B6455" i="2"/>
  <c r="A6455" i="2"/>
  <c r="E6454" i="2"/>
  <c r="D6454" i="2"/>
  <c r="C6454" i="2"/>
  <c r="B6454" i="2"/>
  <c r="A6454" i="2"/>
  <c r="E6453" i="2"/>
  <c r="D6453" i="2"/>
  <c r="C6453" i="2"/>
  <c r="B6453" i="2"/>
  <c r="A6453" i="2"/>
  <c r="E6452" i="2"/>
  <c r="D6452" i="2"/>
  <c r="C6452" i="2"/>
  <c r="B6452" i="2"/>
  <c r="A6452" i="2"/>
  <c r="E6451" i="2"/>
  <c r="D6451" i="2"/>
  <c r="C6451" i="2"/>
  <c r="B6451" i="2"/>
  <c r="A6451" i="2"/>
  <c r="E6450" i="2"/>
  <c r="D6450" i="2"/>
  <c r="C6450" i="2"/>
  <c r="B6450" i="2"/>
  <c r="A6450" i="2"/>
  <c r="E6449" i="2"/>
  <c r="D6449" i="2"/>
  <c r="C6449" i="2"/>
  <c r="B6449" i="2"/>
  <c r="A6449" i="2"/>
  <c r="E6448" i="2"/>
  <c r="D6448" i="2"/>
  <c r="C6448" i="2"/>
  <c r="B6448" i="2"/>
  <c r="A6448" i="2"/>
  <c r="E6447" i="2"/>
  <c r="D6447" i="2"/>
  <c r="C6447" i="2"/>
  <c r="B6447" i="2"/>
  <c r="A6447" i="2"/>
  <c r="E6446" i="2"/>
  <c r="D6446" i="2"/>
  <c r="C6446" i="2"/>
  <c r="B6446" i="2"/>
  <c r="A6446" i="2"/>
  <c r="E6445" i="2"/>
  <c r="D6445" i="2"/>
  <c r="C6445" i="2"/>
  <c r="B6445" i="2"/>
  <c r="A6445" i="2"/>
  <c r="E6444" i="2"/>
  <c r="D6444" i="2"/>
  <c r="C6444" i="2"/>
  <c r="B6444" i="2"/>
  <c r="A6444" i="2"/>
  <c r="E6443" i="2"/>
  <c r="D6443" i="2"/>
  <c r="C6443" i="2"/>
  <c r="B6443" i="2"/>
  <c r="A6443" i="2"/>
  <c r="E6442" i="2"/>
  <c r="D6442" i="2"/>
  <c r="C6442" i="2"/>
  <c r="B6442" i="2"/>
  <c r="A6442" i="2"/>
  <c r="E6441" i="2"/>
  <c r="D6441" i="2"/>
  <c r="C6441" i="2"/>
  <c r="B6441" i="2"/>
  <c r="A6441" i="2"/>
  <c r="E6440" i="2"/>
  <c r="D6440" i="2"/>
  <c r="C6440" i="2"/>
  <c r="B6440" i="2"/>
  <c r="A6440" i="2"/>
  <c r="E6439" i="2"/>
  <c r="D6439" i="2"/>
  <c r="C6439" i="2"/>
  <c r="B6439" i="2"/>
  <c r="A6439" i="2"/>
  <c r="E6438" i="2"/>
  <c r="D6438" i="2"/>
  <c r="C6438" i="2"/>
  <c r="B6438" i="2"/>
  <c r="A6438" i="2"/>
  <c r="E6437" i="2"/>
  <c r="D6437" i="2"/>
  <c r="C6437" i="2"/>
  <c r="B6437" i="2"/>
  <c r="A6437" i="2"/>
  <c r="E6436" i="2"/>
  <c r="D6436" i="2"/>
  <c r="C6436" i="2"/>
  <c r="B6436" i="2"/>
  <c r="A6436" i="2"/>
  <c r="E6435" i="2"/>
  <c r="D6435" i="2"/>
  <c r="C6435" i="2"/>
  <c r="B6435" i="2"/>
  <c r="A6435" i="2"/>
  <c r="E6434" i="2"/>
  <c r="D6434" i="2"/>
  <c r="C6434" i="2"/>
  <c r="B6434" i="2"/>
  <c r="A6434" i="2"/>
  <c r="E6433" i="2"/>
  <c r="D6433" i="2"/>
  <c r="C6433" i="2"/>
  <c r="B6433" i="2"/>
  <c r="A6433" i="2"/>
  <c r="E6432" i="2"/>
  <c r="D6432" i="2"/>
  <c r="C6432" i="2"/>
  <c r="B6432" i="2"/>
  <c r="A6432" i="2"/>
  <c r="E6431" i="2"/>
  <c r="D6431" i="2"/>
  <c r="C6431" i="2"/>
  <c r="B6431" i="2"/>
  <c r="A6431" i="2"/>
  <c r="E6430" i="2"/>
  <c r="D6430" i="2"/>
  <c r="C6430" i="2"/>
  <c r="B6430" i="2"/>
  <c r="A6430" i="2"/>
  <c r="E6429" i="2"/>
  <c r="D6429" i="2"/>
  <c r="C6429" i="2"/>
  <c r="B6429" i="2"/>
  <c r="A6429" i="2"/>
  <c r="E6428" i="2"/>
  <c r="D6428" i="2"/>
  <c r="C6428" i="2"/>
  <c r="B6428" i="2"/>
  <c r="A6428" i="2"/>
  <c r="E6427" i="2"/>
  <c r="D6427" i="2"/>
  <c r="C6427" i="2"/>
  <c r="B6427" i="2"/>
  <c r="A6427" i="2"/>
  <c r="E6426" i="2"/>
  <c r="D6426" i="2"/>
  <c r="C6426" i="2"/>
  <c r="B6426" i="2"/>
  <c r="A6426" i="2"/>
  <c r="E6425" i="2"/>
  <c r="D6425" i="2"/>
  <c r="C6425" i="2"/>
  <c r="B6425" i="2"/>
  <c r="A6425" i="2"/>
  <c r="E6424" i="2"/>
  <c r="D6424" i="2"/>
  <c r="C6424" i="2"/>
  <c r="B6424" i="2"/>
  <c r="A6424" i="2"/>
  <c r="E6423" i="2"/>
  <c r="D6423" i="2"/>
  <c r="C6423" i="2"/>
  <c r="B6423" i="2"/>
  <c r="A6423" i="2"/>
  <c r="E6422" i="2"/>
  <c r="D6422" i="2"/>
  <c r="C6422" i="2"/>
  <c r="B6422" i="2"/>
  <c r="A6422" i="2"/>
  <c r="E6421" i="2"/>
  <c r="D6421" i="2"/>
  <c r="C6421" i="2"/>
  <c r="B6421" i="2"/>
  <c r="A6421" i="2"/>
  <c r="E6420" i="2"/>
  <c r="D6420" i="2"/>
  <c r="C6420" i="2"/>
  <c r="B6420" i="2"/>
  <c r="A6420" i="2"/>
  <c r="E6419" i="2"/>
  <c r="D6419" i="2"/>
  <c r="C6419" i="2"/>
  <c r="B6419" i="2"/>
  <c r="A6419" i="2"/>
  <c r="E6418" i="2"/>
  <c r="D6418" i="2"/>
  <c r="C6418" i="2"/>
  <c r="B6418" i="2"/>
  <c r="A6418" i="2"/>
  <c r="E6417" i="2"/>
  <c r="D6417" i="2"/>
  <c r="C6417" i="2"/>
  <c r="B6417" i="2"/>
  <c r="A6417" i="2"/>
  <c r="E6416" i="2"/>
  <c r="D6416" i="2"/>
  <c r="C6416" i="2"/>
  <c r="B6416" i="2"/>
  <c r="A6416" i="2"/>
  <c r="E6415" i="2"/>
  <c r="D6415" i="2"/>
  <c r="C6415" i="2"/>
  <c r="B6415" i="2"/>
  <c r="A6415" i="2"/>
  <c r="E6414" i="2"/>
  <c r="D6414" i="2"/>
  <c r="C6414" i="2"/>
  <c r="B6414" i="2"/>
  <c r="A6414" i="2"/>
  <c r="E6413" i="2"/>
  <c r="D6413" i="2"/>
  <c r="C6413" i="2"/>
  <c r="B6413" i="2"/>
  <c r="A6413" i="2"/>
  <c r="E6412" i="2"/>
  <c r="D6412" i="2"/>
  <c r="C6412" i="2"/>
  <c r="B6412" i="2"/>
  <c r="A6412" i="2"/>
  <c r="E6411" i="2"/>
  <c r="D6411" i="2"/>
  <c r="C6411" i="2"/>
  <c r="B6411" i="2"/>
  <c r="A6411" i="2"/>
  <c r="E6410" i="2"/>
  <c r="D6410" i="2"/>
  <c r="C6410" i="2"/>
  <c r="B6410" i="2"/>
  <c r="A6410" i="2"/>
  <c r="E6409" i="2"/>
  <c r="D6409" i="2"/>
  <c r="C6409" i="2"/>
  <c r="B6409" i="2"/>
  <c r="A6409" i="2"/>
  <c r="E6408" i="2"/>
  <c r="D6408" i="2"/>
  <c r="C6408" i="2"/>
  <c r="B6408" i="2"/>
  <c r="A6408" i="2"/>
  <c r="E6407" i="2"/>
  <c r="D6407" i="2"/>
  <c r="C6407" i="2"/>
  <c r="B6407" i="2"/>
  <c r="A6407" i="2"/>
  <c r="E6406" i="2"/>
  <c r="D6406" i="2"/>
  <c r="C6406" i="2"/>
  <c r="B6406" i="2"/>
  <c r="A6406" i="2"/>
  <c r="E6405" i="2"/>
  <c r="D6405" i="2"/>
  <c r="C6405" i="2"/>
  <c r="B6405" i="2"/>
  <c r="A6405" i="2"/>
  <c r="E6404" i="2"/>
  <c r="D6404" i="2"/>
  <c r="C6404" i="2"/>
  <c r="B6404" i="2"/>
  <c r="A6404" i="2"/>
  <c r="E6403" i="2"/>
  <c r="D6403" i="2"/>
  <c r="C6403" i="2"/>
  <c r="B6403" i="2"/>
  <c r="A6403" i="2"/>
  <c r="E6402" i="2"/>
  <c r="D6402" i="2"/>
  <c r="C6402" i="2"/>
  <c r="B6402" i="2"/>
  <c r="A6402" i="2"/>
  <c r="E6401" i="2"/>
  <c r="D6401" i="2"/>
  <c r="C6401" i="2"/>
  <c r="B6401" i="2"/>
  <c r="A6401" i="2"/>
  <c r="E6400" i="2"/>
  <c r="D6400" i="2"/>
  <c r="C6400" i="2"/>
  <c r="B6400" i="2"/>
  <c r="A6400" i="2"/>
  <c r="E6399" i="2"/>
  <c r="D6399" i="2"/>
  <c r="C6399" i="2"/>
  <c r="B6399" i="2"/>
  <c r="A6399" i="2"/>
  <c r="E6398" i="2"/>
  <c r="D6398" i="2"/>
  <c r="C6398" i="2"/>
  <c r="B6398" i="2"/>
  <c r="A6398" i="2"/>
  <c r="E6397" i="2"/>
  <c r="D6397" i="2"/>
  <c r="C6397" i="2"/>
  <c r="B6397" i="2"/>
  <c r="A6397" i="2"/>
  <c r="E6396" i="2"/>
  <c r="D6396" i="2"/>
  <c r="C6396" i="2"/>
  <c r="B6396" i="2"/>
  <c r="A6396" i="2"/>
  <c r="E6395" i="2"/>
  <c r="D6395" i="2"/>
  <c r="C6395" i="2"/>
  <c r="B6395" i="2"/>
  <c r="A6395" i="2"/>
  <c r="E6394" i="2"/>
  <c r="D6394" i="2"/>
  <c r="C6394" i="2"/>
  <c r="B6394" i="2"/>
  <c r="A6394" i="2"/>
  <c r="E6393" i="2"/>
  <c r="D6393" i="2"/>
  <c r="C6393" i="2"/>
  <c r="B6393" i="2"/>
  <c r="A6393" i="2"/>
  <c r="E6392" i="2"/>
  <c r="D6392" i="2"/>
  <c r="C6392" i="2"/>
  <c r="B6392" i="2"/>
  <c r="A6392" i="2"/>
  <c r="E6391" i="2"/>
  <c r="D6391" i="2"/>
  <c r="C6391" i="2"/>
  <c r="B6391" i="2"/>
  <c r="A6391" i="2"/>
  <c r="E6390" i="2"/>
  <c r="D6390" i="2"/>
  <c r="C6390" i="2"/>
  <c r="B6390" i="2"/>
  <c r="A6390" i="2"/>
  <c r="E6389" i="2"/>
  <c r="D6389" i="2"/>
  <c r="C6389" i="2"/>
  <c r="B6389" i="2"/>
  <c r="A6389" i="2"/>
  <c r="E6388" i="2"/>
  <c r="D6388" i="2"/>
  <c r="C6388" i="2"/>
  <c r="B6388" i="2"/>
  <c r="A6388" i="2"/>
  <c r="E6387" i="2"/>
  <c r="D6387" i="2"/>
  <c r="C6387" i="2"/>
  <c r="B6387" i="2"/>
  <c r="A6387" i="2"/>
  <c r="E6386" i="2"/>
  <c r="D6386" i="2"/>
  <c r="C6386" i="2"/>
  <c r="B6386" i="2"/>
  <c r="A6386" i="2"/>
  <c r="E6385" i="2"/>
  <c r="D6385" i="2"/>
  <c r="C6385" i="2"/>
  <c r="B6385" i="2"/>
  <c r="A6385" i="2"/>
  <c r="E6384" i="2"/>
  <c r="D6384" i="2"/>
  <c r="C6384" i="2"/>
  <c r="B6384" i="2"/>
  <c r="A6384" i="2"/>
  <c r="E6383" i="2"/>
  <c r="D6383" i="2"/>
  <c r="C6383" i="2"/>
  <c r="B6383" i="2"/>
  <c r="A6383" i="2"/>
  <c r="E6382" i="2"/>
  <c r="D6382" i="2"/>
  <c r="C6382" i="2"/>
  <c r="B6382" i="2"/>
  <c r="A6382" i="2"/>
  <c r="E6381" i="2"/>
  <c r="D6381" i="2"/>
  <c r="C6381" i="2"/>
  <c r="B6381" i="2"/>
  <c r="A6381" i="2"/>
  <c r="E6380" i="2"/>
  <c r="D6380" i="2"/>
  <c r="C6380" i="2"/>
  <c r="B6380" i="2"/>
  <c r="A6380" i="2"/>
  <c r="E6379" i="2"/>
  <c r="D6379" i="2"/>
  <c r="C6379" i="2"/>
  <c r="B6379" i="2"/>
  <c r="A6379" i="2"/>
  <c r="E6378" i="2"/>
  <c r="D6378" i="2"/>
  <c r="C6378" i="2"/>
  <c r="B6378" i="2"/>
  <c r="A6378" i="2"/>
  <c r="E6377" i="2"/>
  <c r="D6377" i="2"/>
  <c r="C6377" i="2"/>
  <c r="B6377" i="2"/>
  <c r="A6377" i="2"/>
  <c r="E6376" i="2"/>
  <c r="D6376" i="2"/>
  <c r="C6376" i="2"/>
  <c r="B6376" i="2"/>
  <c r="A6376" i="2"/>
  <c r="E6375" i="2"/>
  <c r="D6375" i="2"/>
  <c r="C6375" i="2"/>
  <c r="B6375" i="2"/>
  <c r="A6375" i="2"/>
  <c r="E6374" i="2"/>
  <c r="D6374" i="2"/>
  <c r="C6374" i="2"/>
  <c r="B6374" i="2"/>
  <c r="A6374" i="2"/>
  <c r="E6373" i="2"/>
  <c r="D6373" i="2"/>
  <c r="C6373" i="2"/>
  <c r="B6373" i="2"/>
  <c r="A6373" i="2"/>
  <c r="E6372" i="2"/>
  <c r="D6372" i="2"/>
  <c r="C6372" i="2"/>
  <c r="B6372" i="2"/>
  <c r="A6372" i="2"/>
  <c r="E6371" i="2"/>
  <c r="D6371" i="2"/>
  <c r="C6371" i="2"/>
  <c r="B6371" i="2"/>
  <c r="A6371" i="2"/>
  <c r="E6370" i="2"/>
  <c r="D6370" i="2"/>
  <c r="C6370" i="2"/>
  <c r="B6370" i="2"/>
  <c r="A6370" i="2"/>
  <c r="E6369" i="2"/>
  <c r="D6369" i="2"/>
  <c r="C6369" i="2"/>
  <c r="B6369" i="2"/>
  <c r="A6369" i="2"/>
  <c r="E6368" i="2"/>
  <c r="D6368" i="2"/>
  <c r="C6368" i="2"/>
  <c r="B6368" i="2"/>
  <c r="A6368" i="2"/>
  <c r="E6367" i="2"/>
  <c r="D6367" i="2"/>
  <c r="C6367" i="2"/>
  <c r="B6367" i="2"/>
  <c r="A6367" i="2"/>
  <c r="E6366" i="2"/>
  <c r="D6366" i="2"/>
  <c r="C6366" i="2"/>
  <c r="B6366" i="2"/>
  <c r="A6366" i="2"/>
  <c r="E6365" i="2"/>
  <c r="D6365" i="2"/>
  <c r="C6365" i="2"/>
  <c r="B6365" i="2"/>
  <c r="A6365" i="2"/>
  <c r="E6364" i="2"/>
  <c r="D6364" i="2"/>
  <c r="C6364" i="2"/>
  <c r="B6364" i="2"/>
  <c r="A6364" i="2"/>
  <c r="E6363" i="2"/>
  <c r="D6363" i="2"/>
  <c r="C6363" i="2"/>
  <c r="B6363" i="2"/>
  <c r="A6363" i="2"/>
  <c r="E6362" i="2"/>
  <c r="D6362" i="2"/>
  <c r="C6362" i="2"/>
  <c r="B6362" i="2"/>
  <c r="A6362" i="2"/>
  <c r="E6361" i="2"/>
  <c r="D6361" i="2"/>
  <c r="C6361" i="2"/>
  <c r="B6361" i="2"/>
  <c r="A6361" i="2"/>
  <c r="E6360" i="2"/>
  <c r="D6360" i="2"/>
  <c r="C6360" i="2"/>
  <c r="B6360" i="2"/>
  <c r="A6360" i="2"/>
  <c r="E6359" i="2"/>
  <c r="D6359" i="2"/>
  <c r="C6359" i="2"/>
  <c r="B6359" i="2"/>
  <c r="A6359" i="2"/>
  <c r="E6358" i="2"/>
  <c r="D6358" i="2"/>
  <c r="C6358" i="2"/>
  <c r="B6358" i="2"/>
  <c r="A6358" i="2"/>
  <c r="E6357" i="2"/>
  <c r="D6357" i="2"/>
  <c r="C6357" i="2"/>
  <c r="B6357" i="2"/>
  <c r="A6357" i="2"/>
  <c r="E6356" i="2"/>
  <c r="D6356" i="2"/>
  <c r="C6356" i="2"/>
  <c r="B6356" i="2"/>
  <c r="A6356" i="2"/>
  <c r="E6355" i="2"/>
  <c r="D6355" i="2"/>
  <c r="C6355" i="2"/>
  <c r="B6355" i="2"/>
  <c r="A6355" i="2"/>
  <c r="E6354" i="2"/>
  <c r="D6354" i="2"/>
  <c r="C6354" i="2"/>
  <c r="B6354" i="2"/>
  <c r="A6354" i="2"/>
  <c r="E6353" i="2"/>
  <c r="D6353" i="2"/>
  <c r="C6353" i="2"/>
  <c r="B6353" i="2"/>
  <c r="A6353" i="2"/>
  <c r="E6352" i="2"/>
  <c r="D6352" i="2"/>
  <c r="C6352" i="2"/>
  <c r="B6352" i="2"/>
  <c r="A6352" i="2"/>
  <c r="E6351" i="2"/>
  <c r="D6351" i="2"/>
  <c r="C6351" i="2"/>
  <c r="B6351" i="2"/>
  <c r="A6351" i="2"/>
  <c r="E6350" i="2"/>
  <c r="D6350" i="2"/>
  <c r="C6350" i="2"/>
  <c r="B6350" i="2"/>
  <c r="A6350" i="2"/>
  <c r="E6349" i="2"/>
  <c r="D6349" i="2"/>
  <c r="C6349" i="2"/>
  <c r="B6349" i="2"/>
  <c r="A6349" i="2"/>
  <c r="E6348" i="2"/>
  <c r="D6348" i="2"/>
  <c r="C6348" i="2"/>
  <c r="B6348" i="2"/>
  <c r="A6348" i="2"/>
  <c r="E6347" i="2"/>
  <c r="D6347" i="2"/>
  <c r="C6347" i="2"/>
  <c r="B6347" i="2"/>
  <c r="A6347" i="2"/>
  <c r="E6346" i="2"/>
  <c r="D6346" i="2"/>
  <c r="C6346" i="2"/>
  <c r="B6346" i="2"/>
  <c r="A6346" i="2"/>
  <c r="E6345" i="2"/>
  <c r="D6345" i="2"/>
  <c r="C6345" i="2"/>
  <c r="B6345" i="2"/>
  <c r="A6345" i="2"/>
  <c r="E6344" i="2"/>
  <c r="D6344" i="2"/>
  <c r="C6344" i="2"/>
  <c r="B6344" i="2"/>
  <c r="A6344" i="2"/>
  <c r="E6343" i="2"/>
  <c r="D6343" i="2"/>
  <c r="C6343" i="2"/>
  <c r="B6343" i="2"/>
  <c r="A6343" i="2"/>
  <c r="E6342" i="2"/>
  <c r="D6342" i="2"/>
  <c r="C6342" i="2"/>
  <c r="B6342" i="2"/>
  <c r="A6342" i="2"/>
  <c r="E6341" i="2"/>
  <c r="D6341" i="2"/>
  <c r="C6341" i="2"/>
  <c r="B6341" i="2"/>
  <c r="A6341" i="2"/>
  <c r="E6340" i="2"/>
  <c r="D6340" i="2"/>
  <c r="C6340" i="2"/>
  <c r="B6340" i="2"/>
  <c r="A6340" i="2"/>
  <c r="E6339" i="2"/>
  <c r="D6339" i="2"/>
  <c r="C6339" i="2"/>
  <c r="B6339" i="2"/>
  <c r="A6339" i="2"/>
  <c r="E6338" i="2"/>
  <c r="D6338" i="2"/>
  <c r="C6338" i="2"/>
  <c r="B6338" i="2"/>
  <c r="A6338" i="2"/>
  <c r="E6337" i="2"/>
  <c r="D6337" i="2"/>
  <c r="C6337" i="2"/>
  <c r="B6337" i="2"/>
  <c r="A6337" i="2"/>
  <c r="E6336" i="2"/>
  <c r="D6336" i="2"/>
  <c r="C6336" i="2"/>
  <c r="B6336" i="2"/>
  <c r="A6336" i="2"/>
  <c r="E6335" i="2"/>
  <c r="D6335" i="2"/>
  <c r="C6335" i="2"/>
  <c r="B6335" i="2"/>
  <c r="A6335" i="2"/>
  <c r="E6334" i="2"/>
  <c r="D6334" i="2"/>
  <c r="C6334" i="2"/>
  <c r="B6334" i="2"/>
  <c r="A6334" i="2"/>
  <c r="E6333" i="2"/>
  <c r="D6333" i="2"/>
  <c r="C6333" i="2"/>
  <c r="B6333" i="2"/>
  <c r="A6333" i="2"/>
  <c r="E6332" i="2"/>
  <c r="D6332" i="2"/>
  <c r="C6332" i="2"/>
  <c r="B6332" i="2"/>
  <c r="A6332" i="2"/>
  <c r="E6331" i="2"/>
  <c r="D6331" i="2"/>
  <c r="C6331" i="2"/>
  <c r="B6331" i="2"/>
  <c r="A6331" i="2"/>
  <c r="E6330" i="2"/>
  <c r="D6330" i="2"/>
  <c r="C6330" i="2"/>
  <c r="B6330" i="2"/>
  <c r="A6330" i="2"/>
  <c r="E6329" i="2"/>
  <c r="D6329" i="2"/>
  <c r="C6329" i="2"/>
  <c r="B6329" i="2"/>
  <c r="A6329" i="2"/>
  <c r="E6328" i="2"/>
  <c r="D6328" i="2"/>
  <c r="C6328" i="2"/>
  <c r="B6328" i="2"/>
  <c r="A6328" i="2"/>
  <c r="E6327" i="2"/>
  <c r="D6327" i="2"/>
  <c r="C6327" i="2"/>
  <c r="B6327" i="2"/>
  <c r="A6327" i="2"/>
  <c r="E6326" i="2"/>
  <c r="D6326" i="2"/>
  <c r="C6326" i="2"/>
  <c r="B6326" i="2"/>
  <c r="A6326" i="2"/>
  <c r="E6325" i="2"/>
  <c r="D6325" i="2"/>
  <c r="C6325" i="2"/>
  <c r="B6325" i="2"/>
  <c r="A6325" i="2"/>
  <c r="E6324" i="2"/>
  <c r="D6324" i="2"/>
  <c r="C6324" i="2"/>
  <c r="B6324" i="2"/>
  <c r="A6324" i="2"/>
  <c r="E6323" i="2"/>
  <c r="D6323" i="2"/>
  <c r="C6323" i="2"/>
  <c r="B6323" i="2"/>
  <c r="A6323" i="2"/>
  <c r="E6322" i="2"/>
  <c r="D6322" i="2"/>
  <c r="C6322" i="2"/>
  <c r="B6322" i="2"/>
  <c r="A6322" i="2"/>
  <c r="E6321" i="2"/>
  <c r="D6321" i="2"/>
  <c r="C6321" i="2"/>
  <c r="B6321" i="2"/>
  <c r="A6321" i="2"/>
  <c r="E6320" i="2"/>
  <c r="D6320" i="2"/>
  <c r="C6320" i="2"/>
  <c r="B6320" i="2"/>
  <c r="A6320" i="2"/>
  <c r="E6319" i="2"/>
  <c r="D6319" i="2"/>
  <c r="C6319" i="2"/>
  <c r="B6319" i="2"/>
  <c r="A6319" i="2"/>
  <c r="E6318" i="2"/>
  <c r="D6318" i="2"/>
  <c r="C6318" i="2"/>
  <c r="B6318" i="2"/>
  <c r="A6318" i="2"/>
  <c r="E6317" i="2"/>
  <c r="D6317" i="2"/>
  <c r="C6317" i="2"/>
  <c r="B6317" i="2"/>
  <c r="A6317" i="2"/>
  <c r="E6316" i="2"/>
  <c r="D6316" i="2"/>
  <c r="C6316" i="2"/>
  <c r="B6316" i="2"/>
  <c r="A6316" i="2"/>
  <c r="E6315" i="2"/>
  <c r="D6315" i="2"/>
  <c r="C6315" i="2"/>
  <c r="B6315" i="2"/>
  <c r="A6315" i="2"/>
  <c r="E6314" i="2"/>
  <c r="D6314" i="2"/>
  <c r="C6314" i="2"/>
  <c r="B6314" i="2"/>
  <c r="A6314" i="2"/>
  <c r="E6313" i="2"/>
  <c r="D6313" i="2"/>
  <c r="C6313" i="2"/>
  <c r="B6313" i="2"/>
  <c r="A6313" i="2"/>
  <c r="E6312" i="2"/>
  <c r="D6312" i="2"/>
  <c r="C6312" i="2"/>
  <c r="B6312" i="2"/>
  <c r="A6312" i="2"/>
  <c r="E6311" i="2"/>
  <c r="D6311" i="2"/>
  <c r="C6311" i="2"/>
  <c r="B6311" i="2"/>
  <c r="A6311" i="2"/>
  <c r="E6310" i="2"/>
  <c r="D6310" i="2"/>
  <c r="C6310" i="2"/>
  <c r="B6310" i="2"/>
  <c r="A6310" i="2"/>
  <c r="E6309" i="2"/>
  <c r="D6309" i="2"/>
  <c r="C6309" i="2"/>
  <c r="B6309" i="2"/>
  <c r="A6309" i="2"/>
  <c r="E6308" i="2"/>
  <c r="D6308" i="2"/>
  <c r="C6308" i="2"/>
  <c r="B6308" i="2"/>
  <c r="A6308" i="2"/>
  <c r="E6307" i="2"/>
  <c r="D6307" i="2"/>
  <c r="C6307" i="2"/>
  <c r="B6307" i="2"/>
  <c r="A6307" i="2"/>
  <c r="E6306" i="2"/>
  <c r="D6306" i="2"/>
  <c r="C6306" i="2"/>
  <c r="B6306" i="2"/>
  <c r="A6306" i="2"/>
  <c r="E6305" i="2"/>
  <c r="D6305" i="2"/>
  <c r="C6305" i="2"/>
  <c r="B6305" i="2"/>
  <c r="A6305" i="2"/>
  <c r="E6304" i="2"/>
  <c r="D6304" i="2"/>
  <c r="C6304" i="2"/>
  <c r="B6304" i="2"/>
  <c r="A6304" i="2"/>
  <c r="E6303" i="2"/>
  <c r="D6303" i="2"/>
  <c r="C6303" i="2"/>
  <c r="B6303" i="2"/>
  <c r="A6303" i="2"/>
  <c r="E6302" i="2"/>
  <c r="D6302" i="2"/>
  <c r="C6302" i="2"/>
  <c r="B6302" i="2"/>
  <c r="A6302" i="2"/>
  <c r="E6301" i="2"/>
  <c r="D6301" i="2"/>
  <c r="C6301" i="2"/>
  <c r="B6301" i="2"/>
  <c r="A6301" i="2"/>
  <c r="E6300" i="2"/>
  <c r="D6300" i="2"/>
  <c r="C6300" i="2"/>
  <c r="B6300" i="2"/>
  <c r="A6300" i="2"/>
  <c r="E6299" i="2"/>
  <c r="D6299" i="2"/>
  <c r="C6299" i="2"/>
  <c r="B6299" i="2"/>
  <c r="A6299" i="2"/>
  <c r="E6298" i="2"/>
  <c r="D6298" i="2"/>
  <c r="C6298" i="2"/>
  <c r="B6298" i="2"/>
  <c r="A6298" i="2"/>
  <c r="E6297" i="2"/>
  <c r="D6297" i="2"/>
  <c r="C6297" i="2"/>
  <c r="B6297" i="2"/>
  <c r="A6297" i="2"/>
  <c r="E6296" i="2"/>
  <c r="D6296" i="2"/>
  <c r="C6296" i="2"/>
  <c r="B6296" i="2"/>
  <c r="A6296" i="2"/>
  <c r="E6295" i="2"/>
  <c r="D6295" i="2"/>
  <c r="C6295" i="2"/>
  <c r="B6295" i="2"/>
  <c r="A6295" i="2"/>
  <c r="E6294" i="2"/>
  <c r="D6294" i="2"/>
  <c r="C6294" i="2"/>
  <c r="B6294" i="2"/>
  <c r="A6294" i="2"/>
  <c r="E6293" i="2"/>
  <c r="D6293" i="2"/>
  <c r="C6293" i="2"/>
  <c r="B6293" i="2"/>
  <c r="A6293" i="2"/>
  <c r="E6292" i="2"/>
  <c r="D6292" i="2"/>
  <c r="C6292" i="2"/>
  <c r="B6292" i="2"/>
  <c r="A6292" i="2"/>
  <c r="E6291" i="2"/>
  <c r="D6291" i="2"/>
  <c r="C6291" i="2"/>
  <c r="B6291" i="2"/>
  <c r="A6291" i="2"/>
  <c r="E6290" i="2"/>
  <c r="D6290" i="2"/>
  <c r="C6290" i="2"/>
  <c r="B6290" i="2"/>
  <c r="A6290" i="2"/>
  <c r="E6289" i="2"/>
  <c r="D6289" i="2"/>
  <c r="C6289" i="2"/>
  <c r="B6289" i="2"/>
  <c r="A6289" i="2"/>
  <c r="E6288" i="2"/>
  <c r="D6288" i="2"/>
  <c r="C6288" i="2"/>
  <c r="B6288" i="2"/>
  <c r="A6288" i="2"/>
  <c r="E6287" i="2"/>
  <c r="D6287" i="2"/>
  <c r="C6287" i="2"/>
  <c r="B6287" i="2"/>
  <c r="A6287" i="2"/>
  <c r="E6286" i="2"/>
  <c r="D6286" i="2"/>
  <c r="C6286" i="2"/>
  <c r="B6286" i="2"/>
  <c r="A6286" i="2"/>
  <c r="E6285" i="2"/>
  <c r="D6285" i="2"/>
  <c r="C6285" i="2"/>
  <c r="B6285" i="2"/>
  <c r="A6285" i="2"/>
  <c r="E6284" i="2"/>
  <c r="D6284" i="2"/>
  <c r="C6284" i="2"/>
  <c r="B6284" i="2"/>
  <c r="A6284" i="2"/>
  <c r="E6283" i="2"/>
  <c r="D6283" i="2"/>
  <c r="C6283" i="2"/>
  <c r="B6283" i="2"/>
  <c r="A6283" i="2"/>
  <c r="E6282" i="2"/>
  <c r="D6282" i="2"/>
  <c r="C6282" i="2"/>
  <c r="B6282" i="2"/>
  <c r="A6282" i="2"/>
  <c r="E6281" i="2"/>
  <c r="D6281" i="2"/>
  <c r="C6281" i="2"/>
  <c r="B6281" i="2"/>
  <c r="A6281" i="2"/>
  <c r="E6280" i="2"/>
  <c r="D6280" i="2"/>
  <c r="C6280" i="2"/>
  <c r="B6280" i="2"/>
  <c r="A6280" i="2"/>
  <c r="E6279" i="2"/>
  <c r="D6279" i="2"/>
  <c r="C6279" i="2"/>
  <c r="B6279" i="2"/>
  <c r="A6279" i="2"/>
  <c r="E6278" i="2"/>
  <c r="D6278" i="2"/>
  <c r="C6278" i="2"/>
  <c r="B6278" i="2"/>
  <c r="A6278" i="2"/>
  <c r="E6277" i="2"/>
  <c r="D6277" i="2"/>
  <c r="C6277" i="2"/>
  <c r="B6277" i="2"/>
  <c r="A6277" i="2"/>
  <c r="E6276" i="2"/>
  <c r="D6276" i="2"/>
  <c r="C6276" i="2"/>
  <c r="B6276" i="2"/>
  <c r="A6276" i="2"/>
  <c r="E6275" i="2"/>
  <c r="D6275" i="2"/>
  <c r="C6275" i="2"/>
  <c r="B6275" i="2"/>
  <c r="A6275" i="2"/>
  <c r="E6274" i="2"/>
  <c r="D6274" i="2"/>
  <c r="C6274" i="2"/>
  <c r="B6274" i="2"/>
  <c r="A6274" i="2"/>
  <c r="E6273" i="2"/>
  <c r="D6273" i="2"/>
  <c r="C6273" i="2"/>
  <c r="B6273" i="2"/>
  <c r="A6273" i="2"/>
  <c r="E6272" i="2"/>
  <c r="D6272" i="2"/>
  <c r="C6272" i="2"/>
  <c r="B6272" i="2"/>
  <c r="A6272" i="2"/>
  <c r="E6271" i="2"/>
  <c r="D6271" i="2"/>
  <c r="C6271" i="2"/>
  <c r="B6271" i="2"/>
  <c r="A6271" i="2"/>
  <c r="E6270" i="2"/>
  <c r="D6270" i="2"/>
  <c r="C6270" i="2"/>
  <c r="B6270" i="2"/>
  <c r="A6270" i="2"/>
  <c r="E6269" i="2"/>
  <c r="D6269" i="2"/>
  <c r="C6269" i="2"/>
  <c r="B6269" i="2"/>
  <c r="A6269" i="2"/>
  <c r="E6268" i="2"/>
  <c r="D6268" i="2"/>
  <c r="C6268" i="2"/>
  <c r="B6268" i="2"/>
  <c r="A6268" i="2"/>
  <c r="E6267" i="2"/>
  <c r="D6267" i="2"/>
  <c r="C6267" i="2"/>
  <c r="B6267" i="2"/>
  <c r="A6267" i="2"/>
  <c r="E6266" i="2"/>
  <c r="D6266" i="2"/>
  <c r="C6266" i="2"/>
  <c r="B6266" i="2"/>
  <c r="A6266" i="2"/>
  <c r="E6265" i="2"/>
  <c r="D6265" i="2"/>
  <c r="C6265" i="2"/>
  <c r="B6265" i="2"/>
  <c r="A6265" i="2"/>
  <c r="E6264" i="2"/>
  <c r="D6264" i="2"/>
  <c r="C6264" i="2"/>
  <c r="B6264" i="2"/>
  <c r="A6264" i="2"/>
  <c r="E6263" i="2"/>
  <c r="D6263" i="2"/>
  <c r="C6263" i="2"/>
  <c r="B6263" i="2"/>
  <c r="A6263" i="2"/>
  <c r="E6262" i="2"/>
  <c r="D6262" i="2"/>
  <c r="C6262" i="2"/>
  <c r="B6262" i="2"/>
  <c r="A6262" i="2"/>
  <c r="E6261" i="2"/>
  <c r="D6261" i="2"/>
  <c r="C6261" i="2"/>
  <c r="B6261" i="2"/>
  <c r="A6261" i="2"/>
  <c r="E6260" i="2"/>
  <c r="D6260" i="2"/>
  <c r="C6260" i="2"/>
  <c r="B6260" i="2"/>
  <c r="A6260" i="2"/>
  <c r="E6259" i="2"/>
  <c r="D6259" i="2"/>
  <c r="C6259" i="2"/>
  <c r="B6259" i="2"/>
  <c r="A6259" i="2"/>
  <c r="E6258" i="2"/>
  <c r="D6258" i="2"/>
  <c r="C6258" i="2"/>
  <c r="B6258" i="2"/>
  <c r="A6258" i="2"/>
  <c r="E6257" i="2"/>
  <c r="D6257" i="2"/>
  <c r="C6257" i="2"/>
  <c r="B6257" i="2"/>
  <c r="A6257" i="2"/>
  <c r="E6256" i="2"/>
  <c r="D6256" i="2"/>
  <c r="C6256" i="2"/>
  <c r="B6256" i="2"/>
  <c r="A6256" i="2"/>
  <c r="E6255" i="2"/>
  <c r="D6255" i="2"/>
  <c r="C6255" i="2"/>
  <c r="B6255" i="2"/>
  <c r="A6255" i="2"/>
  <c r="E6254" i="2"/>
  <c r="D6254" i="2"/>
  <c r="C6254" i="2"/>
  <c r="B6254" i="2"/>
  <c r="A6254" i="2"/>
  <c r="E6253" i="2"/>
  <c r="D6253" i="2"/>
  <c r="C6253" i="2"/>
  <c r="B6253" i="2"/>
  <c r="A6253" i="2"/>
  <c r="E6252" i="2"/>
  <c r="D6252" i="2"/>
  <c r="C6252" i="2"/>
  <c r="B6252" i="2"/>
  <c r="A6252" i="2"/>
  <c r="E6251" i="2"/>
  <c r="D6251" i="2"/>
  <c r="C6251" i="2"/>
  <c r="B6251" i="2"/>
  <c r="A6251" i="2"/>
  <c r="E6250" i="2"/>
  <c r="D6250" i="2"/>
  <c r="C6250" i="2"/>
  <c r="B6250" i="2"/>
  <c r="A6250" i="2"/>
  <c r="E6249" i="2"/>
  <c r="D6249" i="2"/>
  <c r="C6249" i="2"/>
  <c r="B6249" i="2"/>
  <c r="A6249" i="2"/>
  <c r="E6248" i="2"/>
  <c r="D6248" i="2"/>
  <c r="C6248" i="2"/>
  <c r="B6248" i="2"/>
  <c r="A6248" i="2"/>
  <c r="E6247" i="2"/>
  <c r="D6247" i="2"/>
  <c r="C6247" i="2"/>
  <c r="B6247" i="2"/>
  <c r="A6247" i="2"/>
  <c r="E6246" i="2"/>
  <c r="D6246" i="2"/>
  <c r="C6246" i="2"/>
  <c r="B6246" i="2"/>
  <c r="A6246" i="2"/>
  <c r="E6245" i="2"/>
  <c r="D6245" i="2"/>
  <c r="C6245" i="2"/>
  <c r="B6245" i="2"/>
  <c r="A6245" i="2"/>
  <c r="E6244" i="2"/>
  <c r="D6244" i="2"/>
  <c r="C6244" i="2"/>
  <c r="B6244" i="2"/>
  <c r="A6244" i="2"/>
  <c r="E6243" i="2"/>
  <c r="D6243" i="2"/>
  <c r="C6243" i="2"/>
  <c r="B6243" i="2"/>
  <c r="A6243" i="2"/>
  <c r="E6242" i="2"/>
  <c r="D6242" i="2"/>
  <c r="C6242" i="2"/>
  <c r="B6242" i="2"/>
  <c r="A6242" i="2"/>
  <c r="E6241" i="2"/>
  <c r="D6241" i="2"/>
  <c r="C6241" i="2"/>
  <c r="B6241" i="2"/>
  <c r="A6241" i="2"/>
  <c r="E6240" i="2"/>
  <c r="D6240" i="2"/>
  <c r="C6240" i="2"/>
  <c r="B6240" i="2"/>
  <c r="A6240" i="2"/>
  <c r="E6239" i="2"/>
  <c r="D6239" i="2"/>
  <c r="C6239" i="2"/>
  <c r="B6239" i="2"/>
  <c r="A6239" i="2"/>
  <c r="E6238" i="2"/>
  <c r="D6238" i="2"/>
  <c r="C6238" i="2"/>
  <c r="B6238" i="2"/>
  <c r="A6238" i="2"/>
  <c r="E6237" i="2"/>
  <c r="D6237" i="2"/>
  <c r="C6237" i="2"/>
  <c r="B6237" i="2"/>
  <c r="A6237" i="2"/>
  <c r="E6236" i="2"/>
  <c r="D6236" i="2"/>
  <c r="C6236" i="2"/>
  <c r="B6236" i="2"/>
  <c r="A6236" i="2"/>
  <c r="E6235" i="2"/>
  <c r="D6235" i="2"/>
  <c r="C6235" i="2"/>
  <c r="B6235" i="2"/>
  <c r="A6235" i="2"/>
  <c r="E6234" i="2"/>
  <c r="D6234" i="2"/>
  <c r="C6234" i="2"/>
  <c r="B6234" i="2"/>
  <c r="A6234" i="2"/>
  <c r="E6233" i="2"/>
  <c r="D6233" i="2"/>
  <c r="C6233" i="2"/>
  <c r="B6233" i="2"/>
  <c r="A6233" i="2"/>
  <c r="E6232" i="2"/>
  <c r="D6232" i="2"/>
  <c r="C6232" i="2"/>
  <c r="B6232" i="2"/>
  <c r="A6232" i="2"/>
  <c r="E6231" i="2"/>
  <c r="D6231" i="2"/>
  <c r="C6231" i="2"/>
  <c r="B6231" i="2"/>
  <c r="A6231" i="2"/>
  <c r="E6230" i="2"/>
  <c r="D6230" i="2"/>
  <c r="C6230" i="2"/>
  <c r="B6230" i="2"/>
  <c r="A6230" i="2"/>
  <c r="E6229" i="2"/>
  <c r="D6229" i="2"/>
  <c r="C6229" i="2"/>
  <c r="B6229" i="2"/>
  <c r="A6229" i="2"/>
  <c r="E6228" i="2"/>
  <c r="D6228" i="2"/>
  <c r="C6228" i="2"/>
  <c r="B6228" i="2"/>
  <c r="A6228" i="2"/>
  <c r="E6227" i="2"/>
  <c r="D6227" i="2"/>
  <c r="C6227" i="2"/>
  <c r="B6227" i="2"/>
  <c r="A6227" i="2"/>
  <c r="E6226" i="2"/>
  <c r="D6226" i="2"/>
  <c r="C6226" i="2"/>
  <c r="B6226" i="2"/>
  <c r="A6226" i="2"/>
  <c r="E6225" i="2"/>
  <c r="D6225" i="2"/>
  <c r="C6225" i="2"/>
  <c r="B6225" i="2"/>
  <c r="A6225" i="2"/>
  <c r="E6224" i="2"/>
  <c r="D6224" i="2"/>
  <c r="C6224" i="2"/>
  <c r="B6224" i="2"/>
  <c r="A6224" i="2"/>
  <c r="E6223" i="2"/>
  <c r="D6223" i="2"/>
  <c r="C6223" i="2"/>
  <c r="B6223" i="2"/>
  <c r="A6223" i="2"/>
  <c r="E6222" i="2"/>
  <c r="D6222" i="2"/>
  <c r="C6222" i="2"/>
  <c r="B6222" i="2"/>
  <c r="A6222" i="2"/>
  <c r="E6221" i="2"/>
  <c r="D6221" i="2"/>
  <c r="C6221" i="2"/>
  <c r="B6221" i="2"/>
  <c r="A6221" i="2"/>
  <c r="E6220" i="2"/>
  <c r="D6220" i="2"/>
  <c r="C6220" i="2"/>
  <c r="B6220" i="2"/>
  <c r="A6220" i="2"/>
  <c r="E6219" i="2"/>
  <c r="D6219" i="2"/>
  <c r="C6219" i="2"/>
  <c r="B6219" i="2"/>
  <c r="A6219" i="2"/>
  <c r="E6218" i="2"/>
  <c r="D6218" i="2"/>
  <c r="C6218" i="2"/>
  <c r="B6218" i="2"/>
  <c r="A6218" i="2"/>
  <c r="E6217" i="2"/>
  <c r="D6217" i="2"/>
  <c r="C6217" i="2"/>
  <c r="B6217" i="2"/>
  <c r="A6217" i="2"/>
  <c r="E6216" i="2"/>
  <c r="D6216" i="2"/>
  <c r="C6216" i="2"/>
  <c r="B6216" i="2"/>
  <c r="A6216" i="2"/>
  <c r="E6215" i="2"/>
  <c r="D6215" i="2"/>
  <c r="C6215" i="2"/>
  <c r="B6215" i="2"/>
  <c r="A6215" i="2"/>
  <c r="E6214" i="2"/>
  <c r="D6214" i="2"/>
  <c r="C6214" i="2"/>
  <c r="B6214" i="2"/>
  <c r="A6214" i="2"/>
  <c r="E6213" i="2"/>
  <c r="D6213" i="2"/>
  <c r="C6213" i="2"/>
  <c r="B6213" i="2"/>
  <c r="A6213" i="2"/>
  <c r="E6212" i="2"/>
  <c r="D6212" i="2"/>
  <c r="C6212" i="2"/>
  <c r="B6212" i="2"/>
  <c r="A6212" i="2"/>
  <c r="E6211" i="2"/>
  <c r="D6211" i="2"/>
  <c r="C6211" i="2"/>
  <c r="B6211" i="2"/>
  <c r="A6211" i="2"/>
  <c r="E6210" i="2"/>
  <c r="D6210" i="2"/>
  <c r="C6210" i="2"/>
  <c r="B6210" i="2"/>
  <c r="A6210" i="2"/>
  <c r="E6209" i="2"/>
  <c r="D6209" i="2"/>
  <c r="C6209" i="2"/>
  <c r="B6209" i="2"/>
  <c r="A6209" i="2"/>
  <c r="E6208" i="2"/>
  <c r="D6208" i="2"/>
  <c r="C6208" i="2"/>
  <c r="B6208" i="2"/>
  <c r="A6208" i="2"/>
  <c r="E6207" i="2"/>
  <c r="D6207" i="2"/>
  <c r="C6207" i="2"/>
  <c r="B6207" i="2"/>
  <c r="A6207" i="2"/>
  <c r="E6206" i="2"/>
  <c r="D6206" i="2"/>
  <c r="C6206" i="2"/>
  <c r="B6206" i="2"/>
  <c r="A6206" i="2"/>
  <c r="E6205" i="2"/>
  <c r="D6205" i="2"/>
  <c r="C6205" i="2"/>
  <c r="B6205" i="2"/>
  <c r="A6205" i="2"/>
  <c r="E6204" i="2"/>
  <c r="D6204" i="2"/>
  <c r="C6204" i="2"/>
  <c r="B6204" i="2"/>
  <c r="A6204" i="2"/>
  <c r="E6203" i="2"/>
  <c r="D6203" i="2"/>
  <c r="C6203" i="2"/>
  <c r="B6203" i="2"/>
  <c r="A6203" i="2"/>
  <c r="E6202" i="2"/>
  <c r="D6202" i="2"/>
  <c r="C6202" i="2"/>
  <c r="B6202" i="2"/>
  <c r="A6202" i="2"/>
  <c r="E6201" i="2"/>
  <c r="D6201" i="2"/>
  <c r="C6201" i="2"/>
  <c r="B6201" i="2"/>
  <c r="A6201" i="2"/>
  <c r="E6200" i="2"/>
  <c r="D6200" i="2"/>
  <c r="C6200" i="2"/>
  <c r="B6200" i="2"/>
  <c r="A6200" i="2"/>
  <c r="E6199" i="2"/>
  <c r="D6199" i="2"/>
  <c r="C6199" i="2"/>
  <c r="B6199" i="2"/>
  <c r="A6199" i="2"/>
  <c r="E6198" i="2"/>
  <c r="D6198" i="2"/>
  <c r="C6198" i="2"/>
  <c r="B6198" i="2"/>
  <c r="A6198" i="2"/>
  <c r="E6197" i="2"/>
  <c r="D6197" i="2"/>
  <c r="C6197" i="2"/>
  <c r="B6197" i="2"/>
  <c r="A6197" i="2"/>
  <c r="E6196" i="2"/>
  <c r="D6196" i="2"/>
  <c r="C6196" i="2"/>
  <c r="B6196" i="2"/>
  <c r="A6196" i="2"/>
  <c r="E6195" i="2"/>
  <c r="D6195" i="2"/>
  <c r="C6195" i="2"/>
  <c r="B6195" i="2"/>
  <c r="A6195" i="2"/>
  <c r="E6194" i="2"/>
  <c r="D6194" i="2"/>
  <c r="C6194" i="2"/>
  <c r="B6194" i="2"/>
  <c r="A6194" i="2"/>
  <c r="E6193" i="2"/>
  <c r="D6193" i="2"/>
  <c r="C6193" i="2"/>
  <c r="B6193" i="2"/>
  <c r="A6193" i="2"/>
  <c r="E6192" i="2"/>
  <c r="D6192" i="2"/>
  <c r="C6192" i="2"/>
  <c r="B6192" i="2"/>
  <c r="A6192" i="2"/>
  <c r="E6191" i="2"/>
  <c r="D6191" i="2"/>
  <c r="C6191" i="2"/>
  <c r="B6191" i="2"/>
  <c r="A6191" i="2"/>
  <c r="E6190" i="2"/>
  <c r="D6190" i="2"/>
  <c r="C6190" i="2"/>
  <c r="B6190" i="2"/>
  <c r="A6190" i="2"/>
  <c r="E6189" i="2"/>
  <c r="D6189" i="2"/>
  <c r="C6189" i="2"/>
  <c r="B6189" i="2"/>
  <c r="A6189" i="2"/>
  <c r="E6188" i="2"/>
  <c r="D6188" i="2"/>
  <c r="C6188" i="2"/>
  <c r="B6188" i="2"/>
  <c r="A6188" i="2"/>
  <c r="E6187" i="2"/>
  <c r="D6187" i="2"/>
  <c r="C6187" i="2"/>
  <c r="B6187" i="2"/>
  <c r="A6187" i="2"/>
  <c r="E6186" i="2"/>
  <c r="D6186" i="2"/>
  <c r="C6186" i="2"/>
  <c r="B6186" i="2"/>
  <c r="A6186" i="2"/>
  <c r="E6185" i="2"/>
  <c r="D6185" i="2"/>
  <c r="C6185" i="2"/>
  <c r="B6185" i="2"/>
  <c r="A6185" i="2"/>
  <c r="E6184" i="2"/>
  <c r="D6184" i="2"/>
  <c r="C6184" i="2"/>
  <c r="B6184" i="2"/>
  <c r="A6184" i="2"/>
  <c r="E6183" i="2"/>
  <c r="D6183" i="2"/>
  <c r="C6183" i="2"/>
  <c r="B6183" i="2"/>
  <c r="A6183" i="2"/>
  <c r="E6182" i="2"/>
  <c r="D6182" i="2"/>
  <c r="C6182" i="2"/>
  <c r="B6182" i="2"/>
  <c r="A6182" i="2"/>
  <c r="E6181" i="2"/>
  <c r="D6181" i="2"/>
  <c r="C6181" i="2"/>
  <c r="B6181" i="2"/>
  <c r="A6181" i="2"/>
  <c r="E6180" i="2"/>
  <c r="D6180" i="2"/>
  <c r="C6180" i="2"/>
  <c r="B6180" i="2"/>
  <c r="A6180" i="2"/>
  <c r="E6179" i="2"/>
  <c r="D6179" i="2"/>
  <c r="C6179" i="2"/>
  <c r="B6179" i="2"/>
  <c r="A6179" i="2"/>
  <c r="E6178" i="2"/>
  <c r="D6178" i="2"/>
  <c r="C6178" i="2"/>
  <c r="B6178" i="2"/>
  <c r="A6178" i="2"/>
  <c r="E6177" i="2"/>
  <c r="D6177" i="2"/>
  <c r="C6177" i="2"/>
  <c r="B6177" i="2"/>
  <c r="A6177" i="2"/>
  <c r="E6176" i="2"/>
  <c r="D6176" i="2"/>
  <c r="C6176" i="2"/>
  <c r="B6176" i="2"/>
  <c r="A6176" i="2"/>
  <c r="E6175" i="2"/>
  <c r="D6175" i="2"/>
  <c r="C6175" i="2"/>
  <c r="B6175" i="2"/>
  <c r="A6175" i="2"/>
  <c r="E6174" i="2"/>
  <c r="D6174" i="2"/>
  <c r="C6174" i="2"/>
  <c r="B6174" i="2"/>
  <c r="A6174" i="2"/>
  <c r="E6173" i="2"/>
  <c r="D6173" i="2"/>
  <c r="C6173" i="2"/>
  <c r="B6173" i="2"/>
  <c r="A6173" i="2"/>
  <c r="E6172" i="2"/>
  <c r="D6172" i="2"/>
  <c r="C6172" i="2"/>
  <c r="B6172" i="2"/>
  <c r="A6172" i="2"/>
  <c r="E6171" i="2"/>
  <c r="D6171" i="2"/>
  <c r="C6171" i="2"/>
  <c r="B6171" i="2"/>
  <c r="A6171" i="2"/>
  <c r="E6170" i="2"/>
  <c r="D6170" i="2"/>
  <c r="C6170" i="2"/>
  <c r="B6170" i="2"/>
  <c r="A6170" i="2"/>
  <c r="E6169" i="2"/>
  <c r="D6169" i="2"/>
  <c r="C6169" i="2"/>
  <c r="B6169" i="2"/>
  <c r="A6169" i="2"/>
  <c r="E6168" i="2"/>
  <c r="D6168" i="2"/>
  <c r="C6168" i="2"/>
  <c r="B6168" i="2"/>
  <c r="A6168" i="2"/>
  <c r="E6167" i="2"/>
  <c r="D6167" i="2"/>
  <c r="C6167" i="2"/>
  <c r="B6167" i="2"/>
  <c r="A6167" i="2"/>
  <c r="E6166" i="2"/>
  <c r="D6166" i="2"/>
  <c r="C6166" i="2"/>
  <c r="B6166" i="2"/>
  <c r="A6166" i="2"/>
  <c r="E6165" i="2"/>
  <c r="D6165" i="2"/>
  <c r="C6165" i="2"/>
  <c r="B6165" i="2"/>
  <c r="A6165" i="2"/>
  <c r="E6164" i="2"/>
  <c r="D6164" i="2"/>
  <c r="C6164" i="2"/>
  <c r="B6164" i="2"/>
  <c r="A6164" i="2"/>
  <c r="E6163" i="2"/>
  <c r="D6163" i="2"/>
  <c r="C6163" i="2"/>
  <c r="B6163" i="2"/>
  <c r="A6163" i="2"/>
  <c r="E6162" i="2"/>
  <c r="D6162" i="2"/>
  <c r="C6162" i="2"/>
  <c r="B6162" i="2"/>
  <c r="A6162" i="2"/>
  <c r="E6161" i="2"/>
  <c r="D6161" i="2"/>
  <c r="C6161" i="2"/>
  <c r="B6161" i="2"/>
  <c r="A6161" i="2"/>
  <c r="E6160" i="2"/>
  <c r="D6160" i="2"/>
  <c r="C6160" i="2"/>
  <c r="B6160" i="2"/>
  <c r="A6160" i="2"/>
  <c r="E6159" i="2"/>
  <c r="D6159" i="2"/>
  <c r="C6159" i="2"/>
  <c r="B6159" i="2"/>
  <c r="A6159" i="2"/>
  <c r="E6158" i="2"/>
  <c r="D6158" i="2"/>
  <c r="C6158" i="2"/>
  <c r="B6158" i="2"/>
  <c r="A6158" i="2"/>
  <c r="E6157" i="2"/>
  <c r="D6157" i="2"/>
  <c r="C6157" i="2"/>
  <c r="B6157" i="2"/>
  <c r="A6157" i="2"/>
  <c r="E6156" i="2"/>
  <c r="D6156" i="2"/>
  <c r="C6156" i="2"/>
  <c r="B6156" i="2"/>
  <c r="A6156" i="2"/>
  <c r="E6155" i="2"/>
  <c r="D6155" i="2"/>
  <c r="C6155" i="2"/>
  <c r="B6155" i="2"/>
  <c r="A6155" i="2"/>
  <c r="E6154" i="2"/>
  <c r="D6154" i="2"/>
  <c r="C6154" i="2"/>
  <c r="B6154" i="2"/>
  <c r="A6154" i="2"/>
  <c r="E6153" i="2"/>
  <c r="D6153" i="2"/>
  <c r="C6153" i="2"/>
  <c r="B6153" i="2"/>
  <c r="A6153" i="2"/>
  <c r="E6152" i="2"/>
  <c r="D6152" i="2"/>
  <c r="C6152" i="2"/>
  <c r="B6152" i="2"/>
  <c r="A6152" i="2"/>
  <c r="E6151" i="2"/>
  <c r="D6151" i="2"/>
  <c r="C6151" i="2"/>
  <c r="B6151" i="2"/>
  <c r="A6151" i="2"/>
  <c r="E6150" i="2"/>
  <c r="D6150" i="2"/>
  <c r="C6150" i="2"/>
  <c r="B6150" i="2"/>
  <c r="A6150" i="2"/>
  <c r="E6149" i="2"/>
  <c r="D6149" i="2"/>
  <c r="C6149" i="2"/>
  <c r="B6149" i="2"/>
  <c r="A6149" i="2"/>
  <c r="E6148" i="2"/>
  <c r="D6148" i="2"/>
  <c r="C6148" i="2"/>
  <c r="B6148" i="2"/>
  <c r="A6148" i="2"/>
  <c r="E6147" i="2"/>
  <c r="D6147" i="2"/>
  <c r="C6147" i="2"/>
  <c r="B6147" i="2"/>
  <c r="A6147" i="2"/>
  <c r="E6146" i="2"/>
  <c r="D6146" i="2"/>
  <c r="C6146" i="2"/>
  <c r="B6146" i="2"/>
  <c r="A6146" i="2"/>
  <c r="E6145" i="2"/>
  <c r="D6145" i="2"/>
  <c r="C6145" i="2"/>
  <c r="B6145" i="2"/>
  <c r="A6145" i="2"/>
  <c r="E6144" i="2"/>
  <c r="D6144" i="2"/>
  <c r="C6144" i="2"/>
  <c r="B6144" i="2"/>
  <c r="A6144" i="2"/>
  <c r="E6143" i="2"/>
  <c r="D6143" i="2"/>
  <c r="C6143" i="2"/>
  <c r="B6143" i="2"/>
  <c r="A6143" i="2"/>
  <c r="E6142" i="2"/>
  <c r="D6142" i="2"/>
  <c r="C6142" i="2"/>
  <c r="B6142" i="2"/>
  <c r="A6142" i="2"/>
  <c r="E6141" i="2"/>
  <c r="D6141" i="2"/>
  <c r="C6141" i="2"/>
  <c r="B6141" i="2"/>
  <c r="A6141" i="2"/>
  <c r="E6140" i="2"/>
  <c r="D6140" i="2"/>
  <c r="C6140" i="2"/>
  <c r="B6140" i="2"/>
  <c r="A6140" i="2"/>
  <c r="E6139" i="2"/>
  <c r="D6139" i="2"/>
  <c r="C6139" i="2"/>
  <c r="B6139" i="2"/>
  <c r="A6139" i="2"/>
  <c r="E6138" i="2"/>
  <c r="D6138" i="2"/>
  <c r="C6138" i="2"/>
  <c r="B6138" i="2"/>
  <c r="A6138" i="2"/>
  <c r="E6137" i="2"/>
  <c r="D6137" i="2"/>
  <c r="C6137" i="2"/>
  <c r="B6137" i="2"/>
  <c r="A6137" i="2"/>
  <c r="E6136" i="2"/>
  <c r="D6136" i="2"/>
  <c r="C6136" i="2"/>
  <c r="B6136" i="2"/>
  <c r="A6136" i="2"/>
  <c r="E6135" i="2"/>
  <c r="D6135" i="2"/>
  <c r="C6135" i="2"/>
  <c r="B6135" i="2"/>
  <c r="A6135" i="2"/>
  <c r="E6134" i="2"/>
  <c r="D6134" i="2"/>
  <c r="C6134" i="2"/>
  <c r="B6134" i="2"/>
  <c r="A6134" i="2"/>
  <c r="E6133" i="2"/>
  <c r="D6133" i="2"/>
  <c r="C6133" i="2"/>
  <c r="B6133" i="2"/>
  <c r="A6133" i="2"/>
  <c r="E6132" i="2"/>
  <c r="D6132" i="2"/>
  <c r="C6132" i="2"/>
  <c r="B6132" i="2"/>
  <c r="A6132" i="2"/>
  <c r="E6131" i="2"/>
  <c r="D6131" i="2"/>
  <c r="C6131" i="2"/>
  <c r="B6131" i="2"/>
  <c r="A6131" i="2"/>
  <c r="E6130" i="2"/>
  <c r="D6130" i="2"/>
  <c r="C6130" i="2"/>
  <c r="B6130" i="2"/>
  <c r="A6130" i="2"/>
  <c r="E6129" i="2"/>
  <c r="D6129" i="2"/>
  <c r="C6129" i="2"/>
  <c r="B6129" i="2"/>
  <c r="A6129" i="2"/>
  <c r="E6128" i="2"/>
  <c r="D6128" i="2"/>
  <c r="C6128" i="2"/>
  <c r="B6128" i="2"/>
  <c r="A6128" i="2"/>
  <c r="E6127" i="2"/>
  <c r="D6127" i="2"/>
  <c r="C6127" i="2"/>
  <c r="B6127" i="2"/>
  <c r="A6127" i="2"/>
  <c r="E6126" i="2"/>
  <c r="D6126" i="2"/>
  <c r="C6126" i="2"/>
  <c r="B6126" i="2"/>
  <c r="A6126" i="2"/>
  <c r="E6125" i="2"/>
  <c r="D6125" i="2"/>
  <c r="C6125" i="2"/>
  <c r="B6125" i="2"/>
  <c r="A6125" i="2"/>
  <c r="E6124" i="2"/>
  <c r="D6124" i="2"/>
  <c r="C6124" i="2"/>
  <c r="B6124" i="2"/>
  <c r="A6124" i="2"/>
  <c r="E6123" i="2"/>
  <c r="D6123" i="2"/>
  <c r="C6123" i="2"/>
  <c r="B6123" i="2"/>
  <c r="A6123" i="2"/>
  <c r="E6122" i="2"/>
  <c r="D6122" i="2"/>
  <c r="C6122" i="2"/>
  <c r="B6122" i="2"/>
  <c r="A6122" i="2"/>
  <c r="E6121" i="2"/>
  <c r="D6121" i="2"/>
  <c r="C6121" i="2"/>
  <c r="B6121" i="2"/>
  <c r="A6121" i="2"/>
  <c r="E6120" i="2"/>
  <c r="D6120" i="2"/>
  <c r="C6120" i="2"/>
  <c r="B6120" i="2"/>
  <c r="A6120" i="2"/>
  <c r="E6119" i="2"/>
  <c r="D6119" i="2"/>
  <c r="C6119" i="2"/>
  <c r="B6119" i="2"/>
  <c r="A6119" i="2"/>
  <c r="E6118" i="2"/>
  <c r="D6118" i="2"/>
  <c r="C6118" i="2"/>
  <c r="B6118" i="2"/>
  <c r="A6118" i="2"/>
  <c r="E6117" i="2"/>
  <c r="D6117" i="2"/>
  <c r="C6117" i="2"/>
  <c r="B6117" i="2"/>
  <c r="A6117" i="2"/>
  <c r="E6116" i="2"/>
  <c r="D6116" i="2"/>
  <c r="C6116" i="2"/>
  <c r="B6116" i="2"/>
  <c r="A6116" i="2"/>
  <c r="E6115" i="2"/>
  <c r="D6115" i="2"/>
  <c r="C6115" i="2"/>
  <c r="B6115" i="2"/>
  <c r="A6115" i="2"/>
  <c r="E6114" i="2"/>
  <c r="D6114" i="2"/>
  <c r="C6114" i="2"/>
  <c r="B6114" i="2"/>
  <c r="A6114" i="2"/>
  <c r="E6113" i="2"/>
  <c r="D6113" i="2"/>
  <c r="C6113" i="2"/>
  <c r="B6113" i="2"/>
  <c r="A6113" i="2"/>
  <c r="E6112" i="2"/>
  <c r="D6112" i="2"/>
  <c r="C6112" i="2"/>
  <c r="B6112" i="2"/>
  <c r="A6112" i="2"/>
  <c r="E6111" i="2"/>
  <c r="D6111" i="2"/>
  <c r="C6111" i="2"/>
  <c r="B6111" i="2"/>
  <c r="A6111" i="2"/>
  <c r="E6110" i="2"/>
  <c r="D6110" i="2"/>
  <c r="C6110" i="2"/>
  <c r="B6110" i="2"/>
  <c r="A6110" i="2"/>
  <c r="E6109" i="2"/>
  <c r="D6109" i="2"/>
  <c r="C6109" i="2"/>
  <c r="B6109" i="2"/>
  <c r="A6109" i="2"/>
  <c r="E6108" i="2"/>
  <c r="D6108" i="2"/>
  <c r="C6108" i="2"/>
  <c r="B6108" i="2"/>
  <c r="A6108" i="2"/>
  <c r="E6107" i="2"/>
  <c r="D6107" i="2"/>
  <c r="C6107" i="2"/>
  <c r="B6107" i="2"/>
  <c r="A6107" i="2"/>
  <c r="E6106" i="2"/>
  <c r="D6106" i="2"/>
  <c r="C6106" i="2"/>
  <c r="B6106" i="2"/>
  <c r="A6106" i="2"/>
  <c r="E6105" i="2"/>
  <c r="D6105" i="2"/>
  <c r="C6105" i="2"/>
  <c r="B6105" i="2"/>
  <c r="A6105" i="2"/>
  <c r="E6104" i="2"/>
  <c r="D6104" i="2"/>
  <c r="C6104" i="2"/>
  <c r="B6104" i="2"/>
  <c r="A6104" i="2"/>
  <c r="E6103" i="2"/>
  <c r="D6103" i="2"/>
  <c r="C6103" i="2"/>
  <c r="B6103" i="2"/>
  <c r="A6103" i="2"/>
  <c r="E6102" i="2"/>
  <c r="D6102" i="2"/>
  <c r="C6102" i="2"/>
  <c r="B6102" i="2"/>
  <c r="A6102" i="2"/>
  <c r="E6101" i="2"/>
  <c r="D6101" i="2"/>
  <c r="C6101" i="2"/>
  <c r="B6101" i="2"/>
  <c r="A6101" i="2"/>
  <c r="E6100" i="2"/>
  <c r="D6100" i="2"/>
  <c r="C6100" i="2"/>
  <c r="B6100" i="2"/>
  <c r="A6100" i="2"/>
  <c r="E6099" i="2"/>
  <c r="D6099" i="2"/>
  <c r="C6099" i="2"/>
  <c r="B6099" i="2"/>
  <c r="A6099" i="2"/>
  <c r="E6098" i="2"/>
  <c r="D6098" i="2"/>
  <c r="C6098" i="2"/>
  <c r="B6098" i="2"/>
  <c r="A6098" i="2"/>
  <c r="E6097" i="2"/>
  <c r="D6097" i="2"/>
  <c r="C6097" i="2"/>
  <c r="B6097" i="2"/>
  <c r="A6097" i="2"/>
  <c r="E6096" i="2"/>
  <c r="D6096" i="2"/>
  <c r="C6096" i="2"/>
  <c r="B6096" i="2"/>
  <c r="A6096" i="2"/>
  <c r="E6095" i="2"/>
  <c r="D6095" i="2"/>
  <c r="C6095" i="2"/>
  <c r="B6095" i="2"/>
  <c r="A6095" i="2"/>
  <c r="E6094" i="2"/>
  <c r="D6094" i="2"/>
  <c r="C6094" i="2"/>
  <c r="B6094" i="2"/>
  <c r="A6094" i="2"/>
  <c r="E6093" i="2"/>
  <c r="D6093" i="2"/>
  <c r="C6093" i="2"/>
  <c r="B6093" i="2"/>
  <c r="A6093" i="2"/>
  <c r="E6092" i="2"/>
  <c r="D6092" i="2"/>
  <c r="C6092" i="2"/>
  <c r="B6092" i="2"/>
  <c r="A6092" i="2"/>
  <c r="E6091" i="2"/>
  <c r="D6091" i="2"/>
  <c r="C6091" i="2"/>
  <c r="B6091" i="2"/>
  <c r="A6091" i="2"/>
  <c r="E6090" i="2"/>
  <c r="D6090" i="2"/>
  <c r="C6090" i="2"/>
  <c r="B6090" i="2"/>
  <c r="A6090" i="2"/>
  <c r="E6089" i="2"/>
  <c r="D6089" i="2"/>
  <c r="C6089" i="2"/>
  <c r="B6089" i="2"/>
  <c r="A6089" i="2"/>
  <c r="E6088" i="2"/>
  <c r="D6088" i="2"/>
  <c r="C6088" i="2"/>
  <c r="B6088" i="2"/>
  <c r="A6088" i="2"/>
  <c r="E6087" i="2"/>
  <c r="D6087" i="2"/>
  <c r="C6087" i="2"/>
  <c r="B6087" i="2"/>
  <c r="A6087" i="2"/>
  <c r="E6086" i="2"/>
  <c r="D6086" i="2"/>
  <c r="C6086" i="2"/>
  <c r="B6086" i="2"/>
  <c r="A6086" i="2"/>
  <c r="E6085" i="2"/>
  <c r="D6085" i="2"/>
  <c r="C6085" i="2"/>
  <c r="B6085" i="2"/>
  <c r="A6085" i="2"/>
  <c r="E6084" i="2"/>
  <c r="D6084" i="2"/>
  <c r="C6084" i="2"/>
  <c r="B6084" i="2"/>
  <c r="A6084" i="2"/>
  <c r="E6083" i="2"/>
  <c r="D6083" i="2"/>
  <c r="C6083" i="2"/>
  <c r="B6083" i="2"/>
  <c r="A6083" i="2"/>
  <c r="E6082" i="2"/>
  <c r="D6082" i="2"/>
  <c r="C6082" i="2"/>
  <c r="B6082" i="2"/>
  <c r="A6082" i="2"/>
  <c r="E6081" i="2"/>
  <c r="D6081" i="2"/>
  <c r="C6081" i="2"/>
  <c r="B6081" i="2"/>
  <c r="A6081" i="2"/>
  <c r="E6080" i="2"/>
  <c r="D6080" i="2"/>
  <c r="C6080" i="2"/>
  <c r="B6080" i="2"/>
  <c r="A6080" i="2"/>
  <c r="E6079" i="2"/>
  <c r="D6079" i="2"/>
  <c r="C6079" i="2"/>
  <c r="B6079" i="2"/>
  <c r="A6079" i="2"/>
  <c r="E6078" i="2"/>
  <c r="D6078" i="2"/>
  <c r="C6078" i="2"/>
  <c r="B6078" i="2"/>
  <c r="A6078" i="2"/>
  <c r="E6077" i="2"/>
  <c r="D6077" i="2"/>
  <c r="C6077" i="2"/>
  <c r="B6077" i="2"/>
  <c r="A6077" i="2"/>
  <c r="E6076" i="2"/>
  <c r="D6076" i="2"/>
  <c r="C6076" i="2"/>
  <c r="B6076" i="2"/>
  <c r="A6076" i="2"/>
  <c r="E6075" i="2"/>
  <c r="D6075" i="2"/>
  <c r="C6075" i="2"/>
  <c r="B6075" i="2"/>
  <c r="A6075" i="2"/>
  <c r="E6074" i="2"/>
  <c r="D6074" i="2"/>
  <c r="C6074" i="2"/>
  <c r="B6074" i="2"/>
  <c r="A6074" i="2"/>
  <c r="E6073" i="2"/>
  <c r="D6073" i="2"/>
  <c r="C6073" i="2"/>
  <c r="B6073" i="2"/>
  <c r="A6073" i="2"/>
  <c r="E6072" i="2"/>
  <c r="D6072" i="2"/>
  <c r="C6072" i="2"/>
  <c r="B6072" i="2"/>
  <c r="A6072" i="2"/>
  <c r="E6071" i="2"/>
  <c r="D6071" i="2"/>
  <c r="C6071" i="2"/>
  <c r="B6071" i="2"/>
  <c r="A6071" i="2"/>
  <c r="E6070" i="2"/>
  <c r="D6070" i="2"/>
  <c r="C6070" i="2"/>
  <c r="B6070" i="2"/>
  <c r="A6070" i="2"/>
  <c r="E6069" i="2"/>
  <c r="D6069" i="2"/>
  <c r="C6069" i="2"/>
  <c r="B6069" i="2"/>
  <c r="A6069" i="2"/>
  <c r="E6068" i="2"/>
  <c r="D6068" i="2"/>
  <c r="C6068" i="2"/>
  <c r="B6068" i="2"/>
  <c r="A6068" i="2"/>
  <c r="E6067" i="2"/>
  <c r="D6067" i="2"/>
  <c r="C6067" i="2"/>
  <c r="B6067" i="2"/>
  <c r="A6067" i="2"/>
  <c r="E6066" i="2"/>
  <c r="D6066" i="2"/>
  <c r="C6066" i="2"/>
  <c r="B6066" i="2"/>
  <c r="A6066" i="2"/>
  <c r="E6065" i="2"/>
  <c r="D6065" i="2"/>
  <c r="C6065" i="2"/>
  <c r="B6065" i="2"/>
  <c r="A6065" i="2"/>
  <c r="E6064" i="2"/>
  <c r="D6064" i="2"/>
  <c r="C6064" i="2"/>
  <c r="B6064" i="2"/>
  <c r="A6064" i="2"/>
  <c r="E6063" i="2"/>
  <c r="D6063" i="2"/>
  <c r="C6063" i="2"/>
  <c r="B6063" i="2"/>
  <c r="A6063" i="2"/>
  <c r="E6062" i="2"/>
  <c r="D6062" i="2"/>
  <c r="C6062" i="2"/>
  <c r="B6062" i="2"/>
  <c r="A6062" i="2"/>
  <c r="E6061" i="2"/>
  <c r="D6061" i="2"/>
  <c r="C6061" i="2"/>
  <c r="B6061" i="2"/>
  <c r="A6061" i="2"/>
  <c r="E6060" i="2"/>
  <c r="D6060" i="2"/>
  <c r="C6060" i="2"/>
  <c r="B6060" i="2"/>
  <c r="A6060" i="2"/>
  <c r="E6059" i="2"/>
  <c r="D6059" i="2"/>
  <c r="C6059" i="2"/>
  <c r="B6059" i="2"/>
  <c r="A6059" i="2"/>
  <c r="E6058" i="2"/>
  <c r="D6058" i="2"/>
  <c r="C6058" i="2"/>
  <c r="B6058" i="2"/>
  <c r="A6058" i="2"/>
  <c r="E6057" i="2"/>
  <c r="D6057" i="2"/>
  <c r="C6057" i="2"/>
  <c r="B6057" i="2"/>
  <c r="A6057" i="2"/>
  <c r="E6056" i="2"/>
  <c r="D6056" i="2"/>
  <c r="C6056" i="2"/>
  <c r="B6056" i="2"/>
  <c r="A6056" i="2"/>
  <c r="E6055" i="2"/>
  <c r="D6055" i="2"/>
  <c r="C6055" i="2"/>
  <c r="B6055" i="2"/>
  <c r="A6055" i="2"/>
  <c r="E6054" i="2"/>
  <c r="D6054" i="2"/>
  <c r="C6054" i="2"/>
  <c r="B6054" i="2"/>
  <c r="A6054" i="2"/>
  <c r="E6053" i="2"/>
  <c r="D6053" i="2"/>
  <c r="C6053" i="2"/>
  <c r="B6053" i="2"/>
  <c r="A6053" i="2"/>
  <c r="E6052" i="2"/>
  <c r="D6052" i="2"/>
  <c r="C6052" i="2"/>
  <c r="B6052" i="2"/>
  <c r="A6052" i="2"/>
  <c r="E6051" i="2"/>
  <c r="D6051" i="2"/>
  <c r="C6051" i="2"/>
  <c r="B6051" i="2"/>
  <c r="A6051" i="2"/>
  <c r="E6050" i="2"/>
  <c r="D6050" i="2"/>
  <c r="C6050" i="2"/>
  <c r="B6050" i="2"/>
  <c r="A6050" i="2"/>
  <c r="E6049" i="2"/>
  <c r="D6049" i="2"/>
  <c r="C6049" i="2"/>
  <c r="B6049" i="2"/>
  <c r="A6049" i="2"/>
  <c r="E6048" i="2"/>
  <c r="D6048" i="2"/>
  <c r="C6048" i="2"/>
  <c r="B6048" i="2"/>
  <c r="A6048" i="2"/>
  <c r="E6047" i="2"/>
  <c r="D6047" i="2"/>
  <c r="C6047" i="2"/>
  <c r="B6047" i="2"/>
  <c r="A6047" i="2"/>
  <c r="E6046" i="2"/>
  <c r="D6046" i="2"/>
  <c r="C6046" i="2"/>
  <c r="B6046" i="2"/>
  <c r="A6046" i="2"/>
  <c r="E6045" i="2"/>
  <c r="D6045" i="2"/>
  <c r="C6045" i="2"/>
  <c r="B6045" i="2"/>
  <c r="A6045" i="2"/>
  <c r="E6044" i="2"/>
  <c r="D6044" i="2"/>
  <c r="C6044" i="2"/>
  <c r="B6044" i="2"/>
  <c r="A6044" i="2"/>
  <c r="E6043" i="2"/>
  <c r="D6043" i="2"/>
  <c r="C6043" i="2"/>
  <c r="B6043" i="2"/>
  <c r="A6043" i="2"/>
  <c r="E6042" i="2"/>
  <c r="D6042" i="2"/>
  <c r="C6042" i="2"/>
  <c r="B6042" i="2"/>
  <c r="A6042" i="2"/>
  <c r="E6041" i="2"/>
  <c r="D6041" i="2"/>
  <c r="C6041" i="2"/>
  <c r="B6041" i="2"/>
  <c r="A6041" i="2"/>
  <c r="E6040" i="2"/>
  <c r="D6040" i="2"/>
  <c r="C6040" i="2"/>
  <c r="B6040" i="2"/>
  <c r="A6040" i="2"/>
  <c r="E6039" i="2"/>
  <c r="D6039" i="2"/>
  <c r="C6039" i="2"/>
  <c r="B6039" i="2"/>
  <c r="A6039" i="2"/>
  <c r="E6038" i="2"/>
  <c r="D6038" i="2"/>
  <c r="C6038" i="2"/>
  <c r="B6038" i="2"/>
  <c r="A6038" i="2"/>
  <c r="E6037" i="2"/>
  <c r="D6037" i="2"/>
  <c r="C6037" i="2"/>
  <c r="B6037" i="2"/>
  <c r="A6037" i="2"/>
  <c r="E6036" i="2"/>
  <c r="D6036" i="2"/>
  <c r="C6036" i="2"/>
  <c r="B6036" i="2"/>
  <c r="A6036" i="2"/>
  <c r="E6035" i="2"/>
  <c r="D6035" i="2"/>
  <c r="C6035" i="2"/>
  <c r="B6035" i="2"/>
  <c r="A6035" i="2"/>
  <c r="E6034" i="2"/>
  <c r="D6034" i="2"/>
  <c r="C6034" i="2"/>
  <c r="B6034" i="2"/>
  <c r="A6034" i="2"/>
  <c r="E6033" i="2"/>
  <c r="D6033" i="2"/>
  <c r="C6033" i="2"/>
  <c r="B6033" i="2"/>
  <c r="A6033" i="2"/>
  <c r="E6032" i="2"/>
  <c r="D6032" i="2"/>
  <c r="C6032" i="2"/>
  <c r="B6032" i="2"/>
  <c r="A6032" i="2"/>
  <c r="E6031" i="2"/>
  <c r="D6031" i="2"/>
  <c r="C6031" i="2"/>
  <c r="B6031" i="2"/>
  <c r="A6031" i="2"/>
  <c r="E6030" i="2"/>
  <c r="D6030" i="2"/>
  <c r="C6030" i="2"/>
  <c r="B6030" i="2"/>
  <c r="A6030" i="2"/>
  <c r="E6029" i="2"/>
  <c r="D6029" i="2"/>
  <c r="C6029" i="2"/>
  <c r="B6029" i="2"/>
  <c r="A6029" i="2"/>
  <c r="E6028" i="2"/>
  <c r="D6028" i="2"/>
  <c r="C6028" i="2"/>
  <c r="B6028" i="2"/>
  <c r="A6028" i="2"/>
  <c r="E6027" i="2"/>
  <c r="D6027" i="2"/>
  <c r="C6027" i="2"/>
  <c r="B6027" i="2"/>
  <c r="A6027" i="2"/>
  <c r="E6026" i="2"/>
  <c r="D6026" i="2"/>
  <c r="C6026" i="2"/>
  <c r="B6026" i="2"/>
  <c r="A6026" i="2"/>
  <c r="E6025" i="2"/>
  <c r="D6025" i="2"/>
  <c r="C6025" i="2"/>
  <c r="B6025" i="2"/>
  <c r="A6025" i="2"/>
  <c r="E6024" i="2"/>
  <c r="D6024" i="2"/>
  <c r="C6024" i="2"/>
  <c r="B6024" i="2"/>
  <c r="A6024" i="2"/>
  <c r="E6023" i="2"/>
  <c r="D6023" i="2"/>
  <c r="C6023" i="2"/>
  <c r="B6023" i="2"/>
  <c r="A6023" i="2"/>
  <c r="E6022" i="2"/>
  <c r="D6022" i="2"/>
  <c r="C6022" i="2"/>
  <c r="B6022" i="2"/>
  <c r="A6022" i="2"/>
  <c r="E6021" i="2"/>
  <c r="D6021" i="2"/>
  <c r="C6021" i="2"/>
  <c r="B6021" i="2"/>
  <c r="A6021" i="2"/>
  <c r="E6020" i="2"/>
  <c r="D6020" i="2"/>
  <c r="C6020" i="2"/>
  <c r="B6020" i="2"/>
  <c r="A6020" i="2"/>
  <c r="E6019" i="2"/>
  <c r="D6019" i="2"/>
  <c r="C6019" i="2"/>
  <c r="B6019" i="2"/>
  <c r="A6019" i="2"/>
  <c r="E6018" i="2"/>
  <c r="D6018" i="2"/>
  <c r="C6018" i="2"/>
  <c r="B6018" i="2"/>
  <c r="A6018" i="2"/>
  <c r="E6017" i="2"/>
  <c r="D6017" i="2"/>
  <c r="C6017" i="2"/>
  <c r="B6017" i="2"/>
  <c r="A6017" i="2"/>
  <c r="E6016" i="2"/>
  <c r="D6016" i="2"/>
  <c r="C6016" i="2"/>
  <c r="B6016" i="2"/>
  <c r="A6016" i="2"/>
  <c r="E6015" i="2"/>
  <c r="D6015" i="2"/>
  <c r="C6015" i="2"/>
  <c r="B6015" i="2"/>
  <c r="A6015" i="2"/>
  <c r="E6014" i="2"/>
  <c r="D6014" i="2"/>
  <c r="C6014" i="2"/>
  <c r="B6014" i="2"/>
  <c r="A6014" i="2"/>
  <c r="E6013" i="2"/>
  <c r="D6013" i="2"/>
  <c r="C6013" i="2"/>
  <c r="B6013" i="2"/>
  <c r="A6013" i="2"/>
  <c r="E6012" i="2"/>
  <c r="D6012" i="2"/>
  <c r="C6012" i="2"/>
  <c r="B6012" i="2"/>
  <c r="A6012" i="2"/>
  <c r="E6011" i="2"/>
  <c r="D6011" i="2"/>
  <c r="C6011" i="2"/>
  <c r="B6011" i="2"/>
  <c r="A6011" i="2"/>
  <c r="E6010" i="2"/>
  <c r="D6010" i="2"/>
  <c r="C6010" i="2"/>
  <c r="B6010" i="2"/>
  <c r="A6010" i="2"/>
  <c r="E6009" i="2"/>
  <c r="D6009" i="2"/>
  <c r="C6009" i="2"/>
  <c r="B6009" i="2"/>
  <c r="A6009" i="2"/>
  <c r="E6008" i="2"/>
  <c r="D6008" i="2"/>
  <c r="C6008" i="2"/>
  <c r="B6008" i="2"/>
  <c r="A6008" i="2"/>
  <c r="E6007" i="2"/>
  <c r="D6007" i="2"/>
  <c r="C6007" i="2"/>
  <c r="B6007" i="2"/>
  <c r="A6007" i="2"/>
  <c r="E6006" i="2"/>
  <c r="D6006" i="2"/>
  <c r="C6006" i="2"/>
  <c r="B6006" i="2"/>
  <c r="A6006" i="2"/>
  <c r="E6005" i="2"/>
  <c r="D6005" i="2"/>
  <c r="C6005" i="2"/>
  <c r="B6005" i="2"/>
  <c r="A6005" i="2"/>
  <c r="E6004" i="2"/>
  <c r="D6004" i="2"/>
  <c r="C6004" i="2"/>
  <c r="B6004" i="2"/>
  <c r="A6004" i="2"/>
  <c r="E6003" i="2"/>
  <c r="D6003" i="2"/>
  <c r="C6003" i="2"/>
  <c r="B6003" i="2"/>
  <c r="A6003" i="2"/>
  <c r="E6002" i="2"/>
  <c r="D6002" i="2"/>
  <c r="C6002" i="2"/>
  <c r="B6002" i="2"/>
  <c r="A6002" i="2"/>
  <c r="E6001" i="2"/>
  <c r="D6001" i="2"/>
  <c r="C6001" i="2"/>
  <c r="B6001" i="2"/>
  <c r="A6001" i="2"/>
  <c r="E6000" i="2"/>
  <c r="D6000" i="2"/>
  <c r="C6000" i="2"/>
  <c r="B6000" i="2"/>
  <c r="A6000" i="2"/>
  <c r="E5999" i="2"/>
  <c r="D5999" i="2"/>
  <c r="C5999" i="2"/>
  <c r="B5999" i="2"/>
  <c r="A5999" i="2"/>
  <c r="E5998" i="2"/>
  <c r="D5998" i="2"/>
  <c r="C5998" i="2"/>
  <c r="B5998" i="2"/>
  <c r="A5998" i="2"/>
  <c r="E5997" i="2"/>
  <c r="D5997" i="2"/>
  <c r="C5997" i="2"/>
  <c r="B5997" i="2"/>
  <c r="A5997" i="2"/>
  <c r="E5996" i="2"/>
  <c r="D5996" i="2"/>
  <c r="C5996" i="2"/>
  <c r="B5996" i="2"/>
  <c r="A5996" i="2"/>
  <c r="E5995" i="2"/>
  <c r="D5995" i="2"/>
  <c r="C5995" i="2"/>
  <c r="B5995" i="2"/>
  <c r="A5995" i="2"/>
  <c r="E5994" i="2"/>
  <c r="D5994" i="2"/>
  <c r="C5994" i="2"/>
  <c r="B5994" i="2"/>
  <c r="A5994" i="2"/>
  <c r="E5993" i="2"/>
  <c r="D5993" i="2"/>
  <c r="C5993" i="2"/>
  <c r="B5993" i="2"/>
  <c r="A5993" i="2"/>
  <c r="E5992" i="2"/>
  <c r="D5992" i="2"/>
  <c r="C5992" i="2"/>
  <c r="B5992" i="2"/>
  <c r="A5992" i="2"/>
  <c r="E5991" i="2"/>
  <c r="D5991" i="2"/>
  <c r="C5991" i="2"/>
  <c r="B5991" i="2"/>
  <c r="A5991" i="2"/>
  <c r="E5990" i="2"/>
  <c r="D5990" i="2"/>
  <c r="C5990" i="2"/>
  <c r="B5990" i="2"/>
  <c r="A5990" i="2"/>
  <c r="E5989" i="2"/>
  <c r="D5989" i="2"/>
  <c r="C5989" i="2"/>
  <c r="B5989" i="2"/>
  <c r="A5989" i="2"/>
  <c r="E5988" i="2"/>
  <c r="D5988" i="2"/>
  <c r="C5988" i="2"/>
  <c r="B5988" i="2"/>
  <c r="A5988" i="2"/>
  <c r="E5987" i="2"/>
  <c r="D5987" i="2"/>
  <c r="C5987" i="2"/>
  <c r="B5987" i="2"/>
  <c r="A5987" i="2"/>
  <c r="E5986" i="2"/>
  <c r="D5986" i="2"/>
  <c r="C5986" i="2"/>
  <c r="B5986" i="2"/>
  <c r="A5986" i="2"/>
  <c r="E5985" i="2"/>
  <c r="D5985" i="2"/>
  <c r="C5985" i="2"/>
  <c r="B5985" i="2"/>
  <c r="A5985" i="2"/>
  <c r="E5984" i="2"/>
  <c r="D5984" i="2"/>
  <c r="C5984" i="2"/>
  <c r="B5984" i="2"/>
  <c r="A5984" i="2"/>
  <c r="E5983" i="2"/>
  <c r="D5983" i="2"/>
  <c r="C5983" i="2"/>
  <c r="B5983" i="2"/>
  <c r="A5983" i="2"/>
  <c r="E5982" i="2"/>
  <c r="D5982" i="2"/>
  <c r="C5982" i="2"/>
  <c r="B5982" i="2"/>
  <c r="A5982" i="2"/>
  <c r="E5981" i="2"/>
  <c r="D5981" i="2"/>
  <c r="C5981" i="2"/>
  <c r="B5981" i="2"/>
  <c r="A5981" i="2"/>
  <c r="E5980" i="2"/>
  <c r="D5980" i="2"/>
  <c r="C5980" i="2"/>
  <c r="B5980" i="2"/>
  <c r="A5980" i="2"/>
  <c r="E5979" i="2"/>
  <c r="D5979" i="2"/>
  <c r="C5979" i="2"/>
  <c r="B5979" i="2"/>
  <c r="A5979" i="2"/>
  <c r="E5978" i="2"/>
  <c r="D5978" i="2"/>
  <c r="C5978" i="2"/>
  <c r="B5978" i="2"/>
  <c r="A5978" i="2"/>
  <c r="E5977" i="2"/>
  <c r="D5977" i="2"/>
  <c r="C5977" i="2"/>
  <c r="B5977" i="2"/>
  <c r="A5977" i="2"/>
  <c r="E5976" i="2"/>
  <c r="D5976" i="2"/>
  <c r="C5976" i="2"/>
  <c r="B5976" i="2"/>
  <c r="A5976" i="2"/>
  <c r="E5975" i="2"/>
  <c r="D5975" i="2"/>
  <c r="C5975" i="2"/>
  <c r="B5975" i="2"/>
  <c r="A5975" i="2"/>
  <c r="E5974" i="2"/>
  <c r="D5974" i="2"/>
  <c r="C5974" i="2"/>
  <c r="B5974" i="2"/>
  <c r="A5974" i="2"/>
  <c r="E5973" i="2"/>
  <c r="D5973" i="2"/>
  <c r="C5973" i="2"/>
  <c r="B5973" i="2"/>
  <c r="A5973" i="2"/>
  <c r="E5972" i="2"/>
  <c r="D5972" i="2"/>
  <c r="C5972" i="2"/>
  <c r="B5972" i="2"/>
  <c r="A5972" i="2"/>
  <c r="E5971" i="2"/>
  <c r="D5971" i="2"/>
  <c r="C5971" i="2"/>
  <c r="B5971" i="2"/>
  <c r="A5971" i="2"/>
  <c r="E5970" i="2"/>
  <c r="D5970" i="2"/>
  <c r="C5970" i="2"/>
  <c r="B5970" i="2"/>
  <c r="A5970" i="2"/>
  <c r="E5969" i="2"/>
  <c r="D5969" i="2"/>
  <c r="C5969" i="2"/>
  <c r="B5969" i="2"/>
  <c r="A5969" i="2"/>
  <c r="E5968" i="2"/>
  <c r="D5968" i="2"/>
  <c r="C5968" i="2"/>
  <c r="B5968" i="2"/>
  <c r="A5968" i="2"/>
  <c r="E5967" i="2"/>
  <c r="D5967" i="2"/>
  <c r="C5967" i="2"/>
  <c r="B5967" i="2"/>
  <c r="A5967" i="2"/>
  <c r="E5966" i="2"/>
  <c r="D5966" i="2"/>
  <c r="C5966" i="2"/>
  <c r="B5966" i="2"/>
  <c r="A5966" i="2"/>
  <c r="E5965" i="2"/>
  <c r="D5965" i="2"/>
  <c r="C5965" i="2"/>
  <c r="B5965" i="2"/>
  <c r="A5965" i="2"/>
  <c r="E5964" i="2"/>
  <c r="D5964" i="2"/>
  <c r="C5964" i="2"/>
  <c r="B5964" i="2"/>
  <c r="A5964" i="2"/>
  <c r="E5963" i="2"/>
  <c r="D5963" i="2"/>
  <c r="C5963" i="2"/>
  <c r="B5963" i="2"/>
  <c r="A5963" i="2"/>
  <c r="E5962" i="2"/>
  <c r="D5962" i="2"/>
  <c r="C5962" i="2"/>
  <c r="B5962" i="2"/>
  <c r="A5962" i="2"/>
  <c r="E5961" i="2"/>
  <c r="D5961" i="2"/>
  <c r="C5961" i="2"/>
  <c r="B5961" i="2"/>
  <c r="A5961" i="2"/>
  <c r="E5960" i="2"/>
  <c r="D5960" i="2"/>
  <c r="C5960" i="2"/>
  <c r="B5960" i="2"/>
  <c r="A5960" i="2"/>
  <c r="E5959" i="2"/>
  <c r="D5959" i="2"/>
  <c r="C5959" i="2"/>
  <c r="B5959" i="2"/>
  <c r="A5959" i="2"/>
  <c r="E5958" i="2"/>
  <c r="D5958" i="2"/>
  <c r="C5958" i="2"/>
  <c r="B5958" i="2"/>
  <c r="A5958" i="2"/>
  <c r="E5957" i="2"/>
  <c r="D5957" i="2"/>
  <c r="C5957" i="2"/>
  <c r="B5957" i="2"/>
  <c r="A5957" i="2"/>
  <c r="E5956" i="2"/>
  <c r="D5956" i="2"/>
  <c r="C5956" i="2"/>
  <c r="B5956" i="2"/>
  <c r="A5956" i="2"/>
  <c r="E5955" i="2"/>
  <c r="D5955" i="2"/>
  <c r="C5955" i="2"/>
  <c r="B5955" i="2"/>
  <c r="A5955" i="2"/>
  <c r="E5954" i="2"/>
  <c r="D5954" i="2"/>
  <c r="C5954" i="2"/>
  <c r="B5954" i="2"/>
  <c r="A5954" i="2"/>
  <c r="E5953" i="2"/>
  <c r="D5953" i="2"/>
  <c r="C5953" i="2"/>
  <c r="B5953" i="2"/>
  <c r="A5953" i="2"/>
  <c r="E5952" i="2"/>
  <c r="D5952" i="2"/>
  <c r="C5952" i="2"/>
  <c r="B5952" i="2"/>
  <c r="A5952" i="2"/>
  <c r="E5951" i="2"/>
  <c r="D5951" i="2"/>
  <c r="C5951" i="2"/>
  <c r="B5951" i="2"/>
  <c r="A5951" i="2"/>
  <c r="E5950" i="2"/>
  <c r="D5950" i="2"/>
  <c r="C5950" i="2"/>
  <c r="B5950" i="2"/>
  <c r="A5950" i="2"/>
  <c r="E5949" i="2"/>
  <c r="D5949" i="2"/>
  <c r="C5949" i="2"/>
  <c r="B5949" i="2"/>
  <c r="A5949" i="2"/>
  <c r="E5948" i="2"/>
  <c r="D5948" i="2"/>
  <c r="C5948" i="2"/>
  <c r="B5948" i="2"/>
  <c r="A5948" i="2"/>
  <c r="E5947" i="2"/>
  <c r="D5947" i="2"/>
  <c r="C5947" i="2"/>
  <c r="B5947" i="2"/>
  <c r="A5947" i="2"/>
  <c r="E5946" i="2"/>
  <c r="D5946" i="2"/>
  <c r="C5946" i="2"/>
  <c r="B5946" i="2"/>
  <c r="A5946" i="2"/>
  <c r="E5945" i="2"/>
  <c r="D5945" i="2"/>
  <c r="C5945" i="2"/>
  <c r="B5945" i="2"/>
  <c r="A5945" i="2"/>
  <c r="E5944" i="2"/>
  <c r="D5944" i="2"/>
  <c r="C5944" i="2"/>
  <c r="B5944" i="2"/>
  <c r="A5944" i="2"/>
  <c r="E5943" i="2"/>
  <c r="D5943" i="2"/>
  <c r="C5943" i="2"/>
  <c r="B5943" i="2"/>
  <c r="A5943" i="2"/>
  <c r="E5942" i="2"/>
  <c r="D5942" i="2"/>
  <c r="C5942" i="2"/>
  <c r="B5942" i="2"/>
  <c r="A5942" i="2"/>
  <c r="E5941" i="2"/>
  <c r="D5941" i="2"/>
  <c r="C5941" i="2"/>
  <c r="B5941" i="2"/>
  <c r="A5941" i="2"/>
  <c r="E5940" i="2"/>
  <c r="D5940" i="2"/>
  <c r="C5940" i="2"/>
  <c r="B5940" i="2"/>
  <c r="A5940" i="2"/>
  <c r="E5939" i="2"/>
  <c r="D5939" i="2"/>
  <c r="C5939" i="2"/>
  <c r="B5939" i="2"/>
  <c r="A5939" i="2"/>
  <c r="E5938" i="2"/>
  <c r="D5938" i="2"/>
  <c r="C5938" i="2"/>
  <c r="B5938" i="2"/>
  <c r="A5938" i="2"/>
  <c r="E5937" i="2"/>
  <c r="D5937" i="2"/>
  <c r="C5937" i="2"/>
  <c r="B5937" i="2"/>
  <c r="A5937" i="2"/>
  <c r="E5936" i="2"/>
  <c r="D5936" i="2"/>
  <c r="C5936" i="2"/>
  <c r="B5936" i="2"/>
  <c r="A5936" i="2"/>
  <c r="E5935" i="2"/>
  <c r="D5935" i="2"/>
  <c r="C5935" i="2"/>
  <c r="B5935" i="2"/>
  <c r="A5935" i="2"/>
  <c r="E5934" i="2"/>
  <c r="D5934" i="2"/>
  <c r="C5934" i="2"/>
  <c r="B5934" i="2"/>
  <c r="A5934" i="2"/>
  <c r="E5933" i="2"/>
  <c r="D5933" i="2"/>
  <c r="C5933" i="2"/>
  <c r="B5933" i="2"/>
  <c r="A5933" i="2"/>
  <c r="E5932" i="2"/>
  <c r="D5932" i="2"/>
  <c r="C5932" i="2"/>
  <c r="B5932" i="2"/>
  <c r="A5932" i="2"/>
  <c r="E5931" i="2"/>
  <c r="D5931" i="2"/>
  <c r="C5931" i="2"/>
  <c r="B5931" i="2"/>
  <c r="A5931" i="2"/>
  <c r="E5930" i="2"/>
  <c r="D5930" i="2"/>
  <c r="C5930" i="2"/>
  <c r="B5930" i="2"/>
  <c r="A5930" i="2"/>
  <c r="E5929" i="2"/>
  <c r="D5929" i="2"/>
  <c r="C5929" i="2"/>
  <c r="B5929" i="2"/>
  <c r="A5929" i="2"/>
  <c r="E5928" i="2"/>
  <c r="D5928" i="2"/>
  <c r="C5928" i="2"/>
  <c r="B5928" i="2"/>
  <c r="A5928" i="2"/>
  <c r="E5927" i="2"/>
  <c r="D5927" i="2"/>
  <c r="C5927" i="2"/>
  <c r="B5927" i="2"/>
  <c r="A5927" i="2"/>
  <c r="E5926" i="2"/>
  <c r="D5926" i="2"/>
  <c r="C5926" i="2"/>
  <c r="B5926" i="2"/>
  <c r="A5926" i="2"/>
  <c r="E5925" i="2"/>
  <c r="D5925" i="2"/>
  <c r="C5925" i="2"/>
  <c r="B5925" i="2"/>
  <c r="A5925" i="2"/>
  <c r="E5924" i="2"/>
  <c r="D5924" i="2"/>
  <c r="C5924" i="2"/>
  <c r="B5924" i="2"/>
  <c r="A5924" i="2"/>
  <c r="E5923" i="2"/>
  <c r="D5923" i="2"/>
  <c r="C5923" i="2"/>
  <c r="B5923" i="2"/>
  <c r="A5923" i="2"/>
  <c r="E5922" i="2"/>
  <c r="D5922" i="2"/>
  <c r="C5922" i="2"/>
  <c r="B5922" i="2"/>
  <c r="A5922" i="2"/>
  <c r="E5921" i="2"/>
  <c r="D5921" i="2"/>
  <c r="C5921" i="2"/>
  <c r="B5921" i="2"/>
  <c r="A5921" i="2"/>
  <c r="E5920" i="2"/>
  <c r="D5920" i="2"/>
  <c r="C5920" i="2"/>
  <c r="B5920" i="2"/>
  <c r="A5920" i="2"/>
  <c r="E5919" i="2"/>
  <c r="D5919" i="2"/>
  <c r="C5919" i="2"/>
  <c r="B5919" i="2"/>
  <c r="A5919" i="2"/>
  <c r="E5918" i="2"/>
  <c r="D5918" i="2"/>
  <c r="C5918" i="2"/>
  <c r="B5918" i="2"/>
  <c r="A5918" i="2"/>
  <c r="E5917" i="2"/>
  <c r="D5917" i="2"/>
  <c r="C5917" i="2"/>
  <c r="B5917" i="2"/>
  <c r="A5917" i="2"/>
  <c r="E5916" i="2"/>
  <c r="D5916" i="2"/>
  <c r="C5916" i="2"/>
  <c r="B5916" i="2"/>
  <c r="A5916" i="2"/>
  <c r="E5915" i="2"/>
  <c r="D5915" i="2"/>
  <c r="C5915" i="2"/>
  <c r="B5915" i="2"/>
  <c r="A5915" i="2"/>
  <c r="E5914" i="2"/>
  <c r="D5914" i="2"/>
  <c r="C5914" i="2"/>
  <c r="B5914" i="2"/>
  <c r="A5914" i="2"/>
  <c r="E5913" i="2"/>
  <c r="D5913" i="2"/>
  <c r="C5913" i="2"/>
  <c r="B5913" i="2"/>
  <c r="A5913" i="2"/>
  <c r="E5912" i="2"/>
  <c r="D5912" i="2"/>
  <c r="C5912" i="2"/>
  <c r="B5912" i="2"/>
  <c r="A5912" i="2"/>
  <c r="E5911" i="2"/>
  <c r="D5911" i="2"/>
  <c r="C5911" i="2"/>
  <c r="B5911" i="2"/>
  <c r="A5911" i="2"/>
  <c r="E5910" i="2"/>
  <c r="D5910" i="2"/>
  <c r="C5910" i="2"/>
  <c r="B5910" i="2"/>
  <c r="A5910" i="2"/>
  <c r="E5909" i="2"/>
  <c r="D5909" i="2"/>
  <c r="C5909" i="2"/>
  <c r="B5909" i="2"/>
  <c r="A5909" i="2"/>
  <c r="E5908" i="2"/>
  <c r="D5908" i="2"/>
  <c r="C5908" i="2"/>
  <c r="B5908" i="2"/>
  <c r="A5908" i="2"/>
  <c r="E5907" i="2"/>
  <c r="D5907" i="2"/>
  <c r="C5907" i="2"/>
  <c r="B5907" i="2"/>
  <c r="A5907" i="2"/>
  <c r="E5906" i="2"/>
  <c r="D5906" i="2"/>
  <c r="C5906" i="2"/>
  <c r="B5906" i="2"/>
  <c r="A5906" i="2"/>
  <c r="E5905" i="2"/>
  <c r="D5905" i="2"/>
  <c r="C5905" i="2"/>
  <c r="B5905" i="2"/>
  <c r="A5905" i="2"/>
  <c r="E5904" i="2"/>
  <c r="D5904" i="2"/>
  <c r="C5904" i="2"/>
  <c r="B5904" i="2"/>
  <c r="A5904" i="2"/>
  <c r="E5903" i="2"/>
  <c r="D5903" i="2"/>
  <c r="C5903" i="2"/>
  <c r="B5903" i="2"/>
  <c r="A5903" i="2"/>
  <c r="E5902" i="2"/>
  <c r="D5902" i="2"/>
  <c r="C5902" i="2"/>
  <c r="B5902" i="2"/>
  <c r="A5902" i="2"/>
  <c r="E5901" i="2"/>
  <c r="D5901" i="2"/>
  <c r="C5901" i="2"/>
  <c r="B5901" i="2"/>
  <c r="A5901" i="2"/>
  <c r="E5900" i="2"/>
  <c r="D5900" i="2"/>
  <c r="C5900" i="2"/>
  <c r="B5900" i="2"/>
  <c r="A5900" i="2"/>
  <c r="E5899" i="2"/>
  <c r="D5899" i="2"/>
  <c r="C5899" i="2"/>
  <c r="B5899" i="2"/>
  <c r="A5899" i="2"/>
  <c r="E5898" i="2"/>
  <c r="D5898" i="2"/>
  <c r="C5898" i="2"/>
  <c r="B5898" i="2"/>
  <c r="A5898" i="2"/>
  <c r="E5897" i="2"/>
  <c r="D5897" i="2"/>
  <c r="C5897" i="2"/>
  <c r="B5897" i="2"/>
  <c r="A5897" i="2"/>
  <c r="E5896" i="2"/>
  <c r="D5896" i="2"/>
  <c r="C5896" i="2"/>
  <c r="B5896" i="2"/>
  <c r="A5896" i="2"/>
  <c r="E5895" i="2"/>
  <c r="D5895" i="2"/>
  <c r="C5895" i="2"/>
  <c r="B5895" i="2"/>
  <c r="A5895" i="2"/>
  <c r="E5894" i="2"/>
  <c r="D5894" i="2"/>
  <c r="C5894" i="2"/>
  <c r="B5894" i="2"/>
  <c r="A5894" i="2"/>
  <c r="E5893" i="2"/>
  <c r="D5893" i="2"/>
  <c r="C5893" i="2"/>
  <c r="B5893" i="2"/>
  <c r="A5893" i="2"/>
  <c r="E5892" i="2"/>
  <c r="D5892" i="2"/>
  <c r="C5892" i="2"/>
  <c r="B5892" i="2"/>
  <c r="A5892" i="2"/>
  <c r="E5891" i="2"/>
  <c r="D5891" i="2"/>
  <c r="C5891" i="2"/>
  <c r="B5891" i="2"/>
  <c r="A5891" i="2"/>
  <c r="E5890" i="2"/>
  <c r="D5890" i="2"/>
  <c r="C5890" i="2"/>
  <c r="B5890" i="2"/>
  <c r="A5890" i="2"/>
  <c r="E5889" i="2"/>
  <c r="D5889" i="2"/>
  <c r="C5889" i="2"/>
  <c r="B5889" i="2"/>
  <c r="A5889" i="2"/>
  <c r="E5888" i="2"/>
  <c r="D5888" i="2"/>
  <c r="C5888" i="2"/>
  <c r="B5888" i="2"/>
  <c r="A5888" i="2"/>
  <c r="E5887" i="2"/>
  <c r="D5887" i="2"/>
  <c r="C5887" i="2"/>
  <c r="B5887" i="2"/>
  <c r="A5887" i="2"/>
  <c r="E5886" i="2"/>
  <c r="D5886" i="2"/>
  <c r="C5886" i="2"/>
  <c r="B5886" i="2"/>
  <c r="A5886" i="2"/>
  <c r="E5885" i="2"/>
  <c r="D5885" i="2"/>
  <c r="C5885" i="2"/>
  <c r="B5885" i="2"/>
  <c r="A5885" i="2"/>
  <c r="E5884" i="2"/>
  <c r="D5884" i="2"/>
  <c r="C5884" i="2"/>
  <c r="B5884" i="2"/>
  <c r="A5884" i="2"/>
  <c r="E5883" i="2"/>
  <c r="D5883" i="2"/>
  <c r="C5883" i="2"/>
  <c r="B5883" i="2"/>
  <c r="A5883" i="2"/>
  <c r="E5882" i="2"/>
  <c r="D5882" i="2"/>
  <c r="C5882" i="2"/>
  <c r="B5882" i="2"/>
  <c r="A5882" i="2"/>
  <c r="E5881" i="2"/>
  <c r="D5881" i="2"/>
  <c r="C5881" i="2"/>
  <c r="B5881" i="2"/>
  <c r="A5881" i="2"/>
  <c r="E5880" i="2"/>
  <c r="D5880" i="2"/>
  <c r="C5880" i="2"/>
  <c r="B5880" i="2"/>
  <c r="A5880" i="2"/>
  <c r="E5879" i="2"/>
  <c r="D5879" i="2"/>
  <c r="C5879" i="2"/>
  <c r="B5879" i="2"/>
  <c r="A5879" i="2"/>
  <c r="E5878" i="2"/>
  <c r="D5878" i="2"/>
  <c r="C5878" i="2"/>
  <c r="B5878" i="2"/>
  <c r="A5878" i="2"/>
  <c r="E5877" i="2"/>
  <c r="D5877" i="2"/>
  <c r="C5877" i="2"/>
  <c r="B5877" i="2"/>
  <c r="A5877" i="2"/>
  <c r="E5876" i="2"/>
  <c r="D5876" i="2"/>
  <c r="C5876" i="2"/>
  <c r="B5876" i="2"/>
  <c r="A5876" i="2"/>
  <c r="E5875" i="2"/>
  <c r="D5875" i="2"/>
  <c r="C5875" i="2"/>
  <c r="B5875" i="2"/>
  <c r="A5875" i="2"/>
  <c r="E5874" i="2"/>
  <c r="D5874" i="2"/>
  <c r="C5874" i="2"/>
  <c r="B5874" i="2"/>
  <c r="A5874" i="2"/>
  <c r="E5873" i="2"/>
  <c r="D5873" i="2"/>
  <c r="C5873" i="2"/>
  <c r="B5873" i="2"/>
  <c r="A5873" i="2"/>
  <c r="E5872" i="2"/>
  <c r="D5872" i="2"/>
  <c r="C5872" i="2"/>
  <c r="B5872" i="2"/>
  <c r="A5872" i="2"/>
  <c r="E5871" i="2"/>
  <c r="D5871" i="2"/>
  <c r="C5871" i="2"/>
  <c r="B5871" i="2"/>
  <c r="A5871" i="2"/>
  <c r="E5870" i="2"/>
  <c r="D5870" i="2"/>
  <c r="C5870" i="2"/>
  <c r="B5870" i="2"/>
  <c r="A5870" i="2"/>
  <c r="E5869" i="2"/>
  <c r="D5869" i="2"/>
  <c r="C5869" i="2"/>
  <c r="B5869" i="2"/>
  <c r="A5869" i="2"/>
  <c r="E5868" i="2"/>
  <c r="D5868" i="2"/>
  <c r="C5868" i="2"/>
  <c r="B5868" i="2"/>
  <c r="A5868" i="2"/>
  <c r="E5867" i="2"/>
  <c r="D5867" i="2"/>
  <c r="C5867" i="2"/>
  <c r="B5867" i="2"/>
  <c r="A5867" i="2"/>
  <c r="E5866" i="2"/>
  <c r="D5866" i="2"/>
  <c r="C5866" i="2"/>
  <c r="B5866" i="2"/>
  <c r="A5866" i="2"/>
  <c r="E5865" i="2"/>
  <c r="D5865" i="2"/>
  <c r="C5865" i="2"/>
  <c r="B5865" i="2"/>
  <c r="A5865" i="2"/>
  <c r="E5864" i="2"/>
  <c r="D5864" i="2"/>
  <c r="C5864" i="2"/>
  <c r="B5864" i="2"/>
  <c r="A5864" i="2"/>
  <c r="E5863" i="2"/>
  <c r="D5863" i="2"/>
  <c r="C5863" i="2"/>
  <c r="B5863" i="2"/>
  <c r="A5863" i="2"/>
  <c r="E5862" i="2"/>
  <c r="D5862" i="2"/>
  <c r="C5862" i="2"/>
  <c r="B5862" i="2"/>
  <c r="A5862" i="2"/>
  <c r="E5861" i="2"/>
  <c r="D5861" i="2"/>
  <c r="C5861" i="2"/>
  <c r="B5861" i="2"/>
  <c r="A5861" i="2"/>
  <c r="E5860" i="2"/>
  <c r="D5860" i="2"/>
  <c r="C5860" i="2"/>
  <c r="B5860" i="2"/>
  <c r="A5860" i="2"/>
  <c r="E5859" i="2"/>
  <c r="D5859" i="2"/>
  <c r="C5859" i="2"/>
  <c r="B5859" i="2"/>
  <c r="A5859" i="2"/>
  <c r="E5858" i="2"/>
  <c r="D5858" i="2"/>
  <c r="C5858" i="2"/>
  <c r="B5858" i="2"/>
  <c r="A5858" i="2"/>
  <c r="E5857" i="2"/>
  <c r="D5857" i="2"/>
  <c r="C5857" i="2"/>
  <c r="B5857" i="2"/>
  <c r="A5857" i="2"/>
  <c r="E5856" i="2"/>
  <c r="D5856" i="2"/>
  <c r="C5856" i="2"/>
  <c r="B5856" i="2"/>
  <c r="A5856" i="2"/>
  <c r="E5855" i="2"/>
  <c r="D5855" i="2"/>
  <c r="C5855" i="2"/>
  <c r="B5855" i="2"/>
  <c r="A5855" i="2"/>
  <c r="E5854" i="2"/>
  <c r="D5854" i="2"/>
  <c r="C5854" i="2"/>
  <c r="B5854" i="2"/>
  <c r="A5854" i="2"/>
  <c r="E5853" i="2"/>
  <c r="D5853" i="2"/>
  <c r="C5853" i="2"/>
  <c r="B5853" i="2"/>
  <c r="A5853" i="2"/>
  <c r="E5852" i="2"/>
  <c r="D5852" i="2"/>
  <c r="C5852" i="2"/>
  <c r="B5852" i="2"/>
  <c r="A5852" i="2"/>
  <c r="E5851" i="2"/>
  <c r="D5851" i="2"/>
  <c r="C5851" i="2"/>
  <c r="B5851" i="2"/>
  <c r="A5851" i="2"/>
  <c r="E5850" i="2"/>
  <c r="D5850" i="2"/>
  <c r="C5850" i="2"/>
  <c r="B5850" i="2"/>
  <c r="A5850" i="2"/>
  <c r="E5849" i="2"/>
  <c r="D5849" i="2"/>
  <c r="C5849" i="2"/>
  <c r="B5849" i="2"/>
  <c r="A5849" i="2"/>
  <c r="E5848" i="2"/>
  <c r="D5848" i="2"/>
  <c r="C5848" i="2"/>
  <c r="B5848" i="2"/>
  <c r="A5848" i="2"/>
  <c r="E5847" i="2"/>
  <c r="D5847" i="2"/>
  <c r="C5847" i="2"/>
  <c r="B5847" i="2"/>
  <c r="A5847" i="2"/>
  <c r="E5846" i="2"/>
  <c r="D5846" i="2"/>
  <c r="C5846" i="2"/>
  <c r="B5846" i="2"/>
  <c r="A5846" i="2"/>
  <c r="E5845" i="2"/>
  <c r="D5845" i="2"/>
  <c r="C5845" i="2"/>
  <c r="B5845" i="2"/>
  <c r="A5845" i="2"/>
  <c r="E5844" i="2"/>
  <c r="D5844" i="2"/>
  <c r="C5844" i="2"/>
  <c r="B5844" i="2"/>
  <c r="A5844" i="2"/>
  <c r="E5843" i="2"/>
  <c r="D5843" i="2"/>
  <c r="C5843" i="2"/>
  <c r="B5843" i="2"/>
  <c r="A5843" i="2"/>
  <c r="E5842" i="2"/>
  <c r="D5842" i="2"/>
  <c r="C5842" i="2"/>
  <c r="B5842" i="2"/>
  <c r="A5842" i="2"/>
  <c r="E5841" i="2"/>
  <c r="D5841" i="2"/>
  <c r="C5841" i="2"/>
  <c r="B5841" i="2"/>
  <c r="A5841" i="2"/>
  <c r="E5840" i="2"/>
  <c r="D5840" i="2"/>
  <c r="C5840" i="2"/>
  <c r="B5840" i="2"/>
  <c r="A5840" i="2"/>
  <c r="E5839" i="2"/>
  <c r="D5839" i="2"/>
  <c r="C5839" i="2"/>
  <c r="B5839" i="2"/>
  <c r="A5839" i="2"/>
  <c r="E5838" i="2"/>
  <c r="D5838" i="2"/>
  <c r="C5838" i="2"/>
  <c r="B5838" i="2"/>
  <c r="A5838" i="2"/>
  <c r="E5837" i="2"/>
  <c r="D5837" i="2"/>
  <c r="C5837" i="2"/>
  <c r="B5837" i="2"/>
  <c r="A5837" i="2"/>
  <c r="E5836" i="2"/>
  <c r="D5836" i="2"/>
  <c r="C5836" i="2"/>
  <c r="B5836" i="2"/>
  <c r="A5836" i="2"/>
  <c r="E5835" i="2"/>
  <c r="D5835" i="2"/>
  <c r="C5835" i="2"/>
  <c r="B5835" i="2"/>
  <c r="A5835" i="2"/>
  <c r="E5834" i="2"/>
  <c r="D5834" i="2"/>
  <c r="C5834" i="2"/>
  <c r="B5834" i="2"/>
  <c r="A5834" i="2"/>
  <c r="E5833" i="2"/>
  <c r="D5833" i="2"/>
  <c r="C5833" i="2"/>
  <c r="B5833" i="2"/>
  <c r="A5833" i="2"/>
  <c r="E5832" i="2"/>
  <c r="D5832" i="2"/>
  <c r="C5832" i="2"/>
  <c r="B5832" i="2"/>
  <c r="A5832" i="2"/>
  <c r="E5831" i="2"/>
  <c r="D5831" i="2"/>
  <c r="C5831" i="2"/>
  <c r="B5831" i="2"/>
  <c r="A5831" i="2"/>
  <c r="E5830" i="2"/>
  <c r="D5830" i="2"/>
  <c r="C5830" i="2"/>
  <c r="B5830" i="2"/>
  <c r="A5830" i="2"/>
  <c r="E5829" i="2"/>
  <c r="D5829" i="2"/>
  <c r="C5829" i="2"/>
  <c r="B5829" i="2"/>
  <c r="A5829" i="2"/>
  <c r="E5828" i="2"/>
  <c r="D5828" i="2"/>
  <c r="C5828" i="2"/>
  <c r="B5828" i="2"/>
  <c r="A5828" i="2"/>
  <c r="E5827" i="2"/>
  <c r="D5827" i="2"/>
  <c r="C5827" i="2"/>
  <c r="B5827" i="2"/>
  <c r="A5827" i="2"/>
  <c r="E5826" i="2"/>
  <c r="D5826" i="2"/>
  <c r="C5826" i="2"/>
  <c r="B5826" i="2"/>
  <c r="A5826" i="2"/>
  <c r="E5825" i="2"/>
  <c r="D5825" i="2"/>
  <c r="C5825" i="2"/>
  <c r="B5825" i="2"/>
  <c r="A5825" i="2"/>
  <c r="E5824" i="2"/>
  <c r="D5824" i="2"/>
  <c r="C5824" i="2"/>
  <c r="B5824" i="2"/>
  <c r="A5824" i="2"/>
  <c r="E5823" i="2"/>
  <c r="D5823" i="2"/>
  <c r="C5823" i="2"/>
  <c r="B5823" i="2"/>
  <c r="A5823" i="2"/>
  <c r="E5822" i="2"/>
  <c r="D5822" i="2"/>
  <c r="C5822" i="2"/>
  <c r="B5822" i="2"/>
  <c r="A5822" i="2"/>
  <c r="E5821" i="2"/>
  <c r="D5821" i="2"/>
  <c r="C5821" i="2"/>
  <c r="B5821" i="2"/>
  <c r="A5821" i="2"/>
  <c r="E5820" i="2"/>
  <c r="D5820" i="2"/>
  <c r="C5820" i="2"/>
  <c r="B5820" i="2"/>
  <c r="A5820" i="2"/>
  <c r="E5819" i="2"/>
  <c r="D5819" i="2"/>
  <c r="C5819" i="2"/>
  <c r="B5819" i="2"/>
  <c r="A5819" i="2"/>
  <c r="E5818" i="2"/>
  <c r="D5818" i="2"/>
  <c r="C5818" i="2"/>
  <c r="B5818" i="2"/>
  <c r="A5818" i="2"/>
  <c r="E5817" i="2"/>
  <c r="D5817" i="2"/>
  <c r="C5817" i="2"/>
  <c r="B5817" i="2"/>
  <c r="A5817" i="2"/>
  <c r="E5816" i="2"/>
  <c r="D5816" i="2"/>
  <c r="C5816" i="2"/>
  <c r="B5816" i="2"/>
  <c r="A5816" i="2"/>
  <c r="E5815" i="2"/>
  <c r="D5815" i="2"/>
  <c r="C5815" i="2"/>
  <c r="B5815" i="2"/>
  <c r="A5815" i="2"/>
  <c r="E5814" i="2"/>
  <c r="D5814" i="2"/>
  <c r="C5814" i="2"/>
  <c r="B5814" i="2"/>
  <c r="A5814" i="2"/>
  <c r="E5813" i="2"/>
  <c r="D5813" i="2"/>
  <c r="C5813" i="2"/>
  <c r="B5813" i="2"/>
  <c r="A5813" i="2"/>
  <c r="E5812" i="2"/>
  <c r="D5812" i="2"/>
  <c r="C5812" i="2"/>
  <c r="B5812" i="2"/>
  <c r="A5812" i="2"/>
  <c r="E5811" i="2"/>
  <c r="D5811" i="2"/>
  <c r="C5811" i="2"/>
  <c r="B5811" i="2"/>
  <c r="A5811" i="2"/>
  <c r="E5810" i="2"/>
  <c r="D5810" i="2"/>
  <c r="C5810" i="2"/>
  <c r="B5810" i="2"/>
  <c r="A5810" i="2"/>
  <c r="E5809" i="2"/>
  <c r="D5809" i="2"/>
  <c r="C5809" i="2"/>
  <c r="B5809" i="2"/>
  <c r="A5809" i="2"/>
  <c r="E5808" i="2"/>
  <c r="D5808" i="2"/>
  <c r="C5808" i="2"/>
  <c r="B5808" i="2"/>
  <c r="A5808" i="2"/>
  <c r="E5807" i="2"/>
  <c r="D5807" i="2"/>
  <c r="C5807" i="2"/>
  <c r="B5807" i="2"/>
  <c r="A5807" i="2"/>
  <c r="E5806" i="2"/>
  <c r="D5806" i="2"/>
  <c r="C5806" i="2"/>
  <c r="B5806" i="2"/>
  <c r="A5806" i="2"/>
  <c r="E5805" i="2"/>
  <c r="D5805" i="2"/>
  <c r="C5805" i="2"/>
  <c r="B5805" i="2"/>
  <c r="A5805" i="2"/>
  <c r="E5804" i="2"/>
  <c r="D5804" i="2"/>
  <c r="C5804" i="2"/>
  <c r="B5804" i="2"/>
  <c r="A5804" i="2"/>
  <c r="E5803" i="2"/>
  <c r="D5803" i="2"/>
  <c r="C5803" i="2"/>
  <c r="B5803" i="2"/>
  <c r="A5803" i="2"/>
  <c r="E5802" i="2"/>
  <c r="D5802" i="2"/>
  <c r="C5802" i="2"/>
  <c r="B5802" i="2"/>
  <c r="A5802" i="2"/>
  <c r="E5801" i="2"/>
  <c r="D5801" i="2"/>
  <c r="C5801" i="2"/>
  <c r="B5801" i="2"/>
  <c r="A5801" i="2"/>
  <c r="E5800" i="2"/>
  <c r="D5800" i="2"/>
  <c r="C5800" i="2"/>
  <c r="B5800" i="2"/>
  <c r="A5800" i="2"/>
  <c r="E5799" i="2"/>
  <c r="D5799" i="2"/>
  <c r="C5799" i="2"/>
  <c r="B5799" i="2"/>
  <c r="A5799" i="2"/>
  <c r="E5798" i="2"/>
  <c r="D5798" i="2"/>
  <c r="C5798" i="2"/>
  <c r="B5798" i="2"/>
  <c r="A5798" i="2"/>
  <c r="E5797" i="2"/>
  <c r="D5797" i="2"/>
  <c r="C5797" i="2"/>
  <c r="B5797" i="2"/>
  <c r="A5797" i="2"/>
  <c r="E5796" i="2"/>
  <c r="D5796" i="2"/>
  <c r="C5796" i="2"/>
  <c r="B5796" i="2"/>
  <c r="A5796" i="2"/>
  <c r="E5795" i="2"/>
  <c r="D5795" i="2"/>
  <c r="C5795" i="2"/>
  <c r="B5795" i="2"/>
  <c r="A5795" i="2"/>
  <c r="E5794" i="2"/>
  <c r="D5794" i="2"/>
  <c r="C5794" i="2"/>
  <c r="B5794" i="2"/>
  <c r="A5794" i="2"/>
  <c r="E5793" i="2"/>
  <c r="D5793" i="2"/>
  <c r="C5793" i="2"/>
  <c r="B5793" i="2"/>
  <c r="A5793" i="2"/>
  <c r="E5792" i="2"/>
  <c r="D5792" i="2"/>
  <c r="C5792" i="2"/>
  <c r="B5792" i="2"/>
  <c r="A5792" i="2"/>
  <c r="E5791" i="2"/>
  <c r="D5791" i="2"/>
  <c r="C5791" i="2"/>
  <c r="B5791" i="2"/>
  <c r="A5791" i="2"/>
  <c r="E5790" i="2"/>
  <c r="D5790" i="2"/>
  <c r="C5790" i="2"/>
  <c r="B5790" i="2"/>
  <c r="A5790" i="2"/>
  <c r="E5789" i="2"/>
  <c r="D5789" i="2"/>
  <c r="C5789" i="2"/>
  <c r="B5789" i="2"/>
  <c r="A5789" i="2"/>
  <c r="E5788" i="2"/>
  <c r="D5788" i="2"/>
  <c r="C5788" i="2"/>
  <c r="B5788" i="2"/>
  <c r="A5788" i="2"/>
  <c r="E5787" i="2"/>
  <c r="D5787" i="2"/>
  <c r="C5787" i="2"/>
  <c r="B5787" i="2"/>
  <c r="A5787" i="2"/>
  <c r="E5786" i="2"/>
  <c r="D5786" i="2"/>
  <c r="C5786" i="2"/>
  <c r="B5786" i="2"/>
  <c r="A5786" i="2"/>
  <c r="E5785" i="2"/>
  <c r="D5785" i="2"/>
  <c r="C5785" i="2"/>
  <c r="B5785" i="2"/>
  <c r="A5785" i="2"/>
  <c r="E5784" i="2"/>
  <c r="D5784" i="2"/>
  <c r="C5784" i="2"/>
  <c r="B5784" i="2"/>
  <c r="A5784" i="2"/>
  <c r="E5783" i="2"/>
  <c r="D5783" i="2"/>
  <c r="C5783" i="2"/>
  <c r="B5783" i="2"/>
  <c r="A5783" i="2"/>
  <c r="E5782" i="2"/>
  <c r="D5782" i="2"/>
  <c r="C5782" i="2"/>
  <c r="B5782" i="2"/>
  <c r="A5782" i="2"/>
  <c r="E5781" i="2"/>
  <c r="D5781" i="2"/>
  <c r="C5781" i="2"/>
  <c r="B5781" i="2"/>
  <c r="A5781" i="2"/>
  <c r="E5780" i="2"/>
  <c r="D5780" i="2"/>
  <c r="C5780" i="2"/>
  <c r="B5780" i="2"/>
  <c r="A5780" i="2"/>
  <c r="E5779" i="2"/>
  <c r="D5779" i="2"/>
  <c r="C5779" i="2"/>
  <c r="B5779" i="2"/>
  <c r="A5779" i="2"/>
  <c r="E5778" i="2"/>
  <c r="D5778" i="2"/>
  <c r="C5778" i="2"/>
  <c r="B5778" i="2"/>
  <c r="A5778" i="2"/>
  <c r="E5777" i="2"/>
  <c r="D5777" i="2"/>
  <c r="C5777" i="2"/>
  <c r="B5777" i="2"/>
  <c r="A5777" i="2"/>
  <c r="E5776" i="2"/>
  <c r="D5776" i="2"/>
  <c r="C5776" i="2"/>
  <c r="B5776" i="2"/>
  <c r="A5776" i="2"/>
  <c r="E5775" i="2"/>
  <c r="D5775" i="2"/>
  <c r="C5775" i="2"/>
  <c r="B5775" i="2"/>
  <c r="A5775" i="2"/>
  <c r="E5774" i="2"/>
  <c r="D5774" i="2"/>
  <c r="C5774" i="2"/>
  <c r="B5774" i="2"/>
  <c r="A5774" i="2"/>
  <c r="E5773" i="2"/>
  <c r="D5773" i="2"/>
  <c r="C5773" i="2"/>
  <c r="B5773" i="2"/>
  <c r="A5773" i="2"/>
  <c r="E5772" i="2"/>
  <c r="D5772" i="2"/>
  <c r="C5772" i="2"/>
  <c r="B5772" i="2"/>
  <c r="A5772" i="2"/>
  <c r="E5771" i="2"/>
  <c r="D5771" i="2"/>
  <c r="C5771" i="2"/>
  <c r="B5771" i="2"/>
  <c r="A5771" i="2"/>
  <c r="E5770" i="2"/>
  <c r="D5770" i="2"/>
  <c r="C5770" i="2"/>
  <c r="B5770" i="2"/>
  <c r="A5770" i="2"/>
  <c r="E5769" i="2"/>
  <c r="D5769" i="2"/>
  <c r="C5769" i="2"/>
  <c r="B5769" i="2"/>
  <c r="A5769" i="2"/>
  <c r="E5768" i="2"/>
  <c r="D5768" i="2"/>
  <c r="C5768" i="2"/>
  <c r="B5768" i="2"/>
  <c r="A5768" i="2"/>
  <c r="E5767" i="2"/>
  <c r="D5767" i="2"/>
  <c r="C5767" i="2"/>
  <c r="B5767" i="2"/>
  <c r="A5767" i="2"/>
  <c r="E5766" i="2"/>
  <c r="D5766" i="2"/>
  <c r="C5766" i="2"/>
  <c r="B5766" i="2"/>
  <c r="A5766" i="2"/>
  <c r="E5765" i="2"/>
  <c r="D5765" i="2"/>
  <c r="C5765" i="2"/>
  <c r="B5765" i="2"/>
  <c r="A5765" i="2"/>
  <c r="E5764" i="2"/>
  <c r="D5764" i="2"/>
  <c r="C5764" i="2"/>
  <c r="B5764" i="2"/>
  <c r="A5764" i="2"/>
  <c r="E5763" i="2"/>
  <c r="D5763" i="2"/>
  <c r="C5763" i="2"/>
  <c r="B5763" i="2"/>
  <c r="A5763" i="2"/>
  <c r="E5762" i="2"/>
  <c r="D5762" i="2"/>
  <c r="C5762" i="2"/>
  <c r="B5762" i="2"/>
  <c r="A5762" i="2"/>
  <c r="E5761" i="2"/>
  <c r="D5761" i="2"/>
  <c r="C5761" i="2"/>
  <c r="B5761" i="2"/>
  <c r="A5761" i="2"/>
  <c r="E5760" i="2"/>
  <c r="D5760" i="2"/>
  <c r="C5760" i="2"/>
  <c r="B5760" i="2"/>
  <c r="A5760" i="2"/>
  <c r="E5759" i="2"/>
  <c r="D5759" i="2"/>
  <c r="C5759" i="2"/>
  <c r="B5759" i="2"/>
  <c r="A5759" i="2"/>
  <c r="E5758" i="2"/>
  <c r="D5758" i="2"/>
  <c r="C5758" i="2"/>
  <c r="B5758" i="2"/>
  <c r="A5758" i="2"/>
  <c r="E5757" i="2"/>
  <c r="D5757" i="2"/>
  <c r="C5757" i="2"/>
  <c r="B5757" i="2"/>
  <c r="A5757" i="2"/>
  <c r="E5756" i="2"/>
  <c r="D5756" i="2"/>
  <c r="C5756" i="2"/>
  <c r="B5756" i="2"/>
  <c r="A5756" i="2"/>
  <c r="E5755" i="2"/>
  <c r="D5755" i="2"/>
  <c r="C5755" i="2"/>
  <c r="B5755" i="2"/>
  <c r="A5755" i="2"/>
  <c r="E5754" i="2"/>
  <c r="D5754" i="2"/>
  <c r="C5754" i="2"/>
  <c r="B5754" i="2"/>
  <c r="A5754" i="2"/>
  <c r="E5753" i="2"/>
  <c r="D5753" i="2"/>
  <c r="C5753" i="2"/>
  <c r="B5753" i="2"/>
  <c r="A5753" i="2"/>
  <c r="E5752" i="2"/>
  <c r="D5752" i="2"/>
  <c r="C5752" i="2"/>
  <c r="B5752" i="2"/>
  <c r="A5752" i="2"/>
  <c r="E5751" i="2"/>
  <c r="D5751" i="2"/>
  <c r="C5751" i="2"/>
  <c r="B5751" i="2"/>
  <c r="A5751" i="2"/>
  <c r="E5750" i="2"/>
  <c r="D5750" i="2"/>
  <c r="C5750" i="2"/>
  <c r="B5750" i="2"/>
  <c r="A5750" i="2"/>
  <c r="E5749" i="2"/>
  <c r="D5749" i="2"/>
  <c r="C5749" i="2"/>
  <c r="B5749" i="2"/>
  <c r="A5749" i="2"/>
  <c r="E5748" i="2"/>
  <c r="D5748" i="2"/>
  <c r="C5748" i="2"/>
  <c r="B5748" i="2"/>
  <c r="A5748" i="2"/>
  <c r="E5747" i="2"/>
  <c r="D5747" i="2"/>
  <c r="C5747" i="2"/>
  <c r="B5747" i="2"/>
  <c r="A5747" i="2"/>
  <c r="E5746" i="2"/>
  <c r="D5746" i="2"/>
  <c r="C5746" i="2"/>
  <c r="B5746" i="2"/>
  <c r="A5746" i="2"/>
  <c r="E5745" i="2"/>
  <c r="D5745" i="2"/>
  <c r="C5745" i="2"/>
  <c r="B5745" i="2"/>
  <c r="A5745" i="2"/>
  <c r="E5744" i="2"/>
  <c r="D5744" i="2"/>
  <c r="C5744" i="2"/>
  <c r="B5744" i="2"/>
  <c r="A5744" i="2"/>
  <c r="E5743" i="2"/>
  <c r="D5743" i="2"/>
  <c r="C5743" i="2"/>
  <c r="B5743" i="2"/>
  <c r="A5743" i="2"/>
  <c r="E5742" i="2"/>
  <c r="D5742" i="2"/>
  <c r="C5742" i="2"/>
  <c r="B5742" i="2"/>
  <c r="A5742" i="2"/>
  <c r="E5741" i="2"/>
  <c r="D5741" i="2"/>
  <c r="C5741" i="2"/>
  <c r="B5741" i="2"/>
  <c r="A5741" i="2"/>
  <c r="E5740" i="2"/>
  <c r="D5740" i="2"/>
  <c r="C5740" i="2"/>
  <c r="B5740" i="2"/>
  <c r="A5740" i="2"/>
  <c r="E5739" i="2"/>
  <c r="D5739" i="2"/>
  <c r="C5739" i="2"/>
  <c r="B5739" i="2"/>
  <c r="A5739" i="2"/>
  <c r="E5738" i="2"/>
  <c r="D5738" i="2"/>
  <c r="C5738" i="2"/>
  <c r="B5738" i="2"/>
  <c r="A5738" i="2"/>
  <c r="E5737" i="2"/>
  <c r="D5737" i="2"/>
  <c r="C5737" i="2"/>
  <c r="B5737" i="2"/>
  <c r="A5737" i="2"/>
  <c r="E5736" i="2"/>
  <c r="D5736" i="2"/>
  <c r="C5736" i="2"/>
  <c r="B5736" i="2"/>
  <c r="A5736" i="2"/>
  <c r="E5735" i="2"/>
  <c r="D5735" i="2"/>
  <c r="C5735" i="2"/>
  <c r="B5735" i="2"/>
  <c r="A5735" i="2"/>
  <c r="E5734" i="2"/>
  <c r="D5734" i="2"/>
  <c r="C5734" i="2"/>
  <c r="B5734" i="2"/>
  <c r="A5734" i="2"/>
  <c r="E5733" i="2"/>
  <c r="D5733" i="2"/>
  <c r="C5733" i="2"/>
  <c r="B5733" i="2"/>
  <c r="A5733" i="2"/>
  <c r="E5732" i="2"/>
  <c r="D5732" i="2"/>
  <c r="C5732" i="2"/>
  <c r="B5732" i="2"/>
  <c r="A5732" i="2"/>
  <c r="E5731" i="2"/>
  <c r="D5731" i="2"/>
  <c r="C5731" i="2"/>
  <c r="B5731" i="2"/>
  <c r="A5731" i="2"/>
  <c r="E5730" i="2"/>
  <c r="D5730" i="2"/>
  <c r="C5730" i="2"/>
  <c r="B5730" i="2"/>
  <c r="A5730" i="2"/>
  <c r="E5729" i="2"/>
  <c r="D5729" i="2"/>
  <c r="C5729" i="2"/>
  <c r="B5729" i="2"/>
  <c r="A5729" i="2"/>
  <c r="E5728" i="2"/>
  <c r="D5728" i="2"/>
  <c r="C5728" i="2"/>
  <c r="B5728" i="2"/>
  <c r="A5728" i="2"/>
  <c r="E5727" i="2"/>
  <c r="D5727" i="2"/>
  <c r="C5727" i="2"/>
  <c r="B5727" i="2"/>
  <c r="A5727" i="2"/>
  <c r="E5726" i="2"/>
  <c r="D5726" i="2"/>
  <c r="C5726" i="2"/>
  <c r="B5726" i="2"/>
  <c r="A5726" i="2"/>
  <c r="E5725" i="2"/>
  <c r="D5725" i="2"/>
  <c r="C5725" i="2"/>
  <c r="B5725" i="2"/>
  <c r="A5725" i="2"/>
  <c r="E5724" i="2"/>
  <c r="D5724" i="2"/>
  <c r="C5724" i="2"/>
  <c r="B5724" i="2"/>
  <c r="A5724" i="2"/>
  <c r="E5723" i="2"/>
  <c r="D5723" i="2"/>
  <c r="C5723" i="2"/>
  <c r="B5723" i="2"/>
  <c r="A5723" i="2"/>
  <c r="E5722" i="2"/>
  <c r="D5722" i="2"/>
  <c r="C5722" i="2"/>
  <c r="B5722" i="2"/>
  <c r="A5722" i="2"/>
  <c r="E5721" i="2"/>
  <c r="D5721" i="2"/>
  <c r="C5721" i="2"/>
  <c r="B5721" i="2"/>
  <c r="A5721" i="2"/>
  <c r="E5720" i="2"/>
  <c r="D5720" i="2"/>
  <c r="C5720" i="2"/>
  <c r="B5720" i="2"/>
  <c r="A5720" i="2"/>
  <c r="E5719" i="2"/>
  <c r="D5719" i="2"/>
  <c r="C5719" i="2"/>
  <c r="B5719" i="2"/>
  <c r="A5719" i="2"/>
  <c r="E5718" i="2"/>
  <c r="D5718" i="2"/>
  <c r="C5718" i="2"/>
  <c r="B5718" i="2"/>
  <c r="A5718" i="2"/>
  <c r="E5717" i="2"/>
  <c r="D5717" i="2"/>
  <c r="C5717" i="2"/>
  <c r="B5717" i="2"/>
  <c r="A5717" i="2"/>
  <c r="E5716" i="2"/>
  <c r="D5716" i="2"/>
  <c r="C5716" i="2"/>
  <c r="B5716" i="2"/>
  <c r="A5716" i="2"/>
  <c r="E5715" i="2"/>
  <c r="D5715" i="2"/>
  <c r="C5715" i="2"/>
  <c r="B5715" i="2"/>
  <c r="A5715" i="2"/>
  <c r="E5714" i="2"/>
  <c r="D5714" i="2"/>
  <c r="C5714" i="2"/>
  <c r="B5714" i="2"/>
  <c r="A5714" i="2"/>
  <c r="E5713" i="2"/>
  <c r="D5713" i="2"/>
  <c r="C5713" i="2"/>
  <c r="B5713" i="2"/>
  <c r="A5713" i="2"/>
  <c r="E5712" i="2"/>
  <c r="D5712" i="2"/>
  <c r="C5712" i="2"/>
  <c r="B5712" i="2"/>
  <c r="A5712" i="2"/>
  <c r="E5711" i="2"/>
  <c r="D5711" i="2"/>
  <c r="C5711" i="2"/>
  <c r="B5711" i="2"/>
  <c r="A5711" i="2"/>
  <c r="E5710" i="2"/>
  <c r="D5710" i="2"/>
  <c r="C5710" i="2"/>
  <c r="B5710" i="2"/>
  <c r="A5710" i="2"/>
  <c r="E5709" i="2"/>
  <c r="D5709" i="2"/>
  <c r="C5709" i="2"/>
  <c r="B5709" i="2"/>
  <c r="A5709" i="2"/>
  <c r="E5708" i="2"/>
  <c r="D5708" i="2"/>
  <c r="C5708" i="2"/>
  <c r="B5708" i="2"/>
  <c r="A5708" i="2"/>
  <c r="E5707" i="2"/>
  <c r="D5707" i="2"/>
  <c r="C5707" i="2"/>
  <c r="B5707" i="2"/>
  <c r="A5707" i="2"/>
  <c r="E5706" i="2"/>
  <c r="D5706" i="2"/>
  <c r="C5706" i="2"/>
  <c r="B5706" i="2"/>
  <c r="A5706" i="2"/>
  <c r="E5705" i="2"/>
  <c r="D5705" i="2"/>
  <c r="C5705" i="2"/>
  <c r="B5705" i="2"/>
  <c r="A5705" i="2"/>
  <c r="E5704" i="2"/>
  <c r="D5704" i="2"/>
  <c r="C5704" i="2"/>
  <c r="B5704" i="2"/>
  <c r="A5704" i="2"/>
  <c r="E5703" i="2"/>
  <c r="D5703" i="2"/>
  <c r="C5703" i="2"/>
  <c r="B5703" i="2"/>
  <c r="A5703" i="2"/>
  <c r="E5702" i="2"/>
  <c r="D5702" i="2"/>
  <c r="C5702" i="2"/>
  <c r="B5702" i="2"/>
  <c r="A5702" i="2"/>
  <c r="E5701" i="2"/>
  <c r="D5701" i="2"/>
  <c r="C5701" i="2"/>
  <c r="B5701" i="2"/>
  <c r="A5701" i="2"/>
  <c r="E5700" i="2"/>
  <c r="D5700" i="2"/>
  <c r="C5700" i="2"/>
  <c r="B5700" i="2"/>
  <c r="A5700" i="2"/>
  <c r="E5699" i="2"/>
  <c r="D5699" i="2"/>
  <c r="C5699" i="2"/>
  <c r="B5699" i="2"/>
  <c r="A5699" i="2"/>
  <c r="E5698" i="2"/>
  <c r="D5698" i="2"/>
  <c r="C5698" i="2"/>
  <c r="B5698" i="2"/>
  <c r="A5698" i="2"/>
  <c r="E5697" i="2"/>
  <c r="D5697" i="2"/>
  <c r="C5697" i="2"/>
  <c r="B5697" i="2"/>
  <c r="A5697" i="2"/>
  <c r="E5696" i="2"/>
  <c r="D5696" i="2"/>
  <c r="C5696" i="2"/>
  <c r="B5696" i="2"/>
  <c r="A5696" i="2"/>
  <c r="E5695" i="2"/>
  <c r="D5695" i="2"/>
  <c r="C5695" i="2"/>
  <c r="B5695" i="2"/>
  <c r="A5695" i="2"/>
  <c r="E5694" i="2"/>
  <c r="D5694" i="2"/>
  <c r="C5694" i="2"/>
  <c r="B5694" i="2"/>
  <c r="A5694" i="2"/>
  <c r="E5693" i="2"/>
  <c r="D5693" i="2"/>
  <c r="C5693" i="2"/>
  <c r="B5693" i="2"/>
  <c r="A5693" i="2"/>
  <c r="E5692" i="2"/>
  <c r="D5692" i="2"/>
  <c r="C5692" i="2"/>
  <c r="B5692" i="2"/>
  <c r="A5692" i="2"/>
  <c r="E5691" i="2"/>
  <c r="D5691" i="2"/>
  <c r="C5691" i="2"/>
  <c r="B5691" i="2"/>
  <c r="A5691" i="2"/>
  <c r="E5690" i="2"/>
  <c r="D5690" i="2"/>
  <c r="C5690" i="2"/>
  <c r="B5690" i="2"/>
  <c r="A5690" i="2"/>
  <c r="E5689" i="2"/>
  <c r="D5689" i="2"/>
  <c r="C5689" i="2"/>
  <c r="B5689" i="2"/>
  <c r="A5689" i="2"/>
  <c r="E5688" i="2"/>
  <c r="D5688" i="2"/>
  <c r="C5688" i="2"/>
  <c r="B5688" i="2"/>
  <c r="A5688" i="2"/>
  <c r="E5687" i="2"/>
  <c r="D5687" i="2"/>
  <c r="C5687" i="2"/>
  <c r="B5687" i="2"/>
  <c r="A5687" i="2"/>
  <c r="E5686" i="2"/>
  <c r="D5686" i="2"/>
  <c r="C5686" i="2"/>
  <c r="B5686" i="2"/>
  <c r="A5686" i="2"/>
  <c r="E5685" i="2"/>
  <c r="D5685" i="2"/>
  <c r="C5685" i="2"/>
  <c r="B5685" i="2"/>
  <c r="A5685" i="2"/>
  <c r="E5684" i="2"/>
  <c r="D5684" i="2"/>
  <c r="C5684" i="2"/>
  <c r="B5684" i="2"/>
  <c r="A5684" i="2"/>
  <c r="E5683" i="2"/>
  <c r="D5683" i="2"/>
  <c r="C5683" i="2"/>
  <c r="B5683" i="2"/>
  <c r="A5683" i="2"/>
  <c r="E5682" i="2"/>
  <c r="D5682" i="2"/>
  <c r="C5682" i="2"/>
  <c r="B5682" i="2"/>
  <c r="A5682" i="2"/>
  <c r="E5681" i="2"/>
  <c r="D5681" i="2"/>
  <c r="C5681" i="2"/>
  <c r="B5681" i="2"/>
  <c r="A5681" i="2"/>
  <c r="E5680" i="2"/>
  <c r="D5680" i="2"/>
  <c r="C5680" i="2"/>
  <c r="B5680" i="2"/>
  <c r="A5680" i="2"/>
  <c r="E5679" i="2"/>
  <c r="D5679" i="2"/>
  <c r="C5679" i="2"/>
  <c r="B5679" i="2"/>
  <c r="A5679" i="2"/>
  <c r="E5678" i="2"/>
  <c r="D5678" i="2"/>
  <c r="C5678" i="2"/>
  <c r="B5678" i="2"/>
  <c r="A5678" i="2"/>
  <c r="E5677" i="2"/>
  <c r="D5677" i="2"/>
  <c r="C5677" i="2"/>
  <c r="B5677" i="2"/>
  <c r="A5677" i="2"/>
  <c r="E5676" i="2"/>
  <c r="D5676" i="2"/>
  <c r="C5676" i="2"/>
  <c r="B5676" i="2"/>
  <c r="A5676" i="2"/>
  <c r="E5675" i="2"/>
  <c r="D5675" i="2"/>
  <c r="C5675" i="2"/>
  <c r="B5675" i="2"/>
  <c r="A5675" i="2"/>
  <c r="E5674" i="2"/>
  <c r="D5674" i="2"/>
  <c r="C5674" i="2"/>
  <c r="B5674" i="2"/>
  <c r="A5674" i="2"/>
  <c r="E5673" i="2"/>
  <c r="D5673" i="2"/>
  <c r="C5673" i="2"/>
  <c r="B5673" i="2"/>
  <c r="A5673" i="2"/>
  <c r="E5672" i="2"/>
  <c r="D5672" i="2"/>
  <c r="C5672" i="2"/>
  <c r="B5672" i="2"/>
  <c r="A5672" i="2"/>
  <c r="E5671" i="2"/>
  <c r="D5671" i="2"/>
  <c r="C5671" i="2"/>
  <c r="B5671" i="2"/>
  <c r="A5671" i="2"/>
  <c r="E5670" i="2"/>
  <c r="D5670" i="2"/>
  <c r="C5670" i="2"/>
  <c r="B5670" i="2"/>
  <c r="A5670" i="2"/>
  <c r="E5669" i="2"/>
  <c r="D5669" i="2"/>
  <c r="C5669" i="2"/>
  <c r="B5669" i="2"/>
  <c r="A5669" i="2"/>
  <c r="E5668" i="2"/>
  <c r="D5668" i="2"/>
  <c r="C5668" i="2"/>
  <c r="B5668" i="2"/>
  <c r="A5668" i="2"/>
  <c r="E5667" i="2"/>
  <c r="D5667" i="2"/>
  <c r="C5667" i="2"/>
  <c r="B5667" i="2"/>
  <c r="A5667" i="2"/>
  <c r="E5666" i="2"/>
  <c r="D5666" i="2"/>
  <c r="C5666" i="2"/>
  <c r="B5666" i="2"/>
  <c r="A5666" i="2"/>
  <c r="E5665" i="2"/>
  <c r="D5665" i="2"/>
  <c r="C5665" i="2"/>
  <c r="B5665" i="2"/>
  <c r="A5665" i="2"/>
  <c r="E5664" i="2"/>
  <c r="D5664" i="2"/>
  <c r="C5664" i="2"/>
  <c r="B5664" i="2"/>
  <c r="A5664" i="2"/>
  <c r="E5663" i="2"/>
  <c r="D5663" i="2"/>
  <c r="C5663" i="2"/>
  <c r="B5663" i="2"/>
  <c r="A5663" i="2"/>
  <c r="E5662" i="2"/>
  <c r="D5662" i="2"/>
  <c r="C5662" i="2"/>
  <c r="B5662" i="2"/>
  <c r="A5662" i="2"/>
  <c r="E5661" i="2"/>
  <c r="D5661" i="2"/>
  <c r="C5661" i="2"/>
  <c r="B5661" i="2"/>
  <c r="A5661" i="2"/>
  <c r="E5660" i="2"/>
  <c r="D5660" i="2"/>
  <c r="C5660" i="2"/>
  <c r="B5660" i="2"/>
  <c r="A5660" i="2"/>
  <c r="E5659" i="2"/>
  <c r="D5659" i="2"/>
  <c r="C5659" i="2"/>
  <c r="B5659" i="2"/>
  <c r="A5659" i="2"/>
  <c r="E5658" i="2"/>
  <c r="D5658" i="2"/>
  <c r="C5658" i="2"/>
  <c r="B5658" i="2"/>
  <c r="A5658" i="2"/>
  <c r="E5657" i="2"/>
  <c r="D5657" i="2"/>
  <c r="C5657" i="2"/>
  <c r="B5657" i="2"/>
  <c r="A5657" i="2"/>
  <c r="E5656" i="2"/>
  <c r="D5656" i="2"/>
  <c r="C5656" i="2"/>
  <c r="B5656" i="2"/>
  <c r="A5656" i="2"/>
  <c r="E5655" i="2"/>
  <c r="D5655" i="2"/>
  <c r="C5655" i="2"/>
  <c r="B5655" i="2"/>
  <c r="A5655" i="2"/>
  <c r="E5654" i="2"/>
  <c r="D5654" i="2"/>
  <c r="C5654" i="2"/>
  <c r="B5654" i="2"/>
  <c r="A5654" i="2"/>
  <c r="E5653" i="2"/>
  <c r="D5653" i="2"/>
  <c r="C5653" i="2"/>
  <c r="B5653" i="2"/>
  <c r="A5653" i="2"/>
  <c r="E5652" i="2"/>
  <c r="D5652" i="2"/>
  <c r="C5652" i="2"/>
  <c r="B5652" i="2"/>
  <c r="A5652" i="2"/>
  <c r="E5651" i="2"/>
  <c r="D5651" i="2"/>
  <c r="C5651" i="2"/>
  <c r="B5651" i="2"/>
  <c r="A5651" i="2"/>
  <c r="E5650" i="2"/>
  <c r="D5650" i="2"/>
  <c r="C5650" i="2"/>
  <c r="B5650" i="2"/>
  <c r="A5650" i="2"/>
  <c r="E5649" i="2"/>
  <c r="D5649" i="2"/>
  <c r="C5649" i="2"/>
  <c r="B5649" i="2"/>
  <c r="A5649" i="2"/>
  <c r="E5648" i="2"/>
  <c r="D5648" i="2"/>
  <c r="C5648" i="2"/>
  <c r="B5648" i="2"/>
  <c r="A5648" i="2"/>
  <c r="E5647" i="2"/>
  <c r="D5647" i="2"/>
  <c r="C5647" i="2"/>
  <c r="B5647" i="2"/>
  <c r="A5647" i="2"/>
  <c r="E5646" i="2"/>
  <c r="D5646" i="2"/>
  <c r="C5646" i="2"/>
  <c r="B5646" i="2"/>
  <c r="A5646" i="2"/>
  <c r="E5645" i="2"/>
  <c r="D5645" i="2"/>
  <c r="C5645" i="2"/>
  <c r="B5645" i="2"/>
  <c r="A5645" i="2"/>
  <c r="E5644" i="2"/>
  <c r="D5644" i="2"/>
  <c r="C5644" i="2"/>
  <c r="B5644" i="2"/>
  <c r="A5644" i="2"/>
  <c r="E5643" i="2"/>
  <c r="D5643" i="2"/>
  <c r="C5643" i="2"/>
  <c r="B5643" i="2"/>
  <c r="A5643" i="2"/>
  <c r="E5642" i="2"/>
  <c r="D5642" i="2"/>
  <c r="C5642" i="2"/>
  <c r="B5642" i="2"/>
  <c r="A5642" i="2"/>
  <c r="E5641" i="2"/>
  <c r="D5641" i="2"/>
  <c r="C5641" i="2"/>
  <c r="B5641" i="2"/>
  <c r="A5641" i="2"/>
  <c r="E5640" i="2"/>
  <c r="D5640" i="2"/>
  <c r="C5640" i="2"/>
  <c r="B5640" i="2"/>
  <c r="A5640" i="2"/>
  <c r="E5639" i="2"/>
  <c r="D5639" i="2"/>
  <c r="C5639" i="2"/>
  <c r="B5639" i="2"/>
  <c r="A5639" i="2"/>
  <c r="E5638" i="2"/>
  <c r="D5638" i="2"/>
  <c r="C5638" i="2"/>
  <c r="B5638" i="2"/>
  <c r="A5638" i="2"/>
  <c r="E5637" i="2"/>
  <c r="D5637" i="2"/>
  <c r="C5637" i="2"/>
  <c r="B5637" i="2"/>
  <c r="A5637" i="2"/>
  <c r="E5636" i="2"/>
  <c r="D5636" i="2"/>
  <c r="C5636" i="2"/>
  <c r="B5636" i="2"/>
  <c r="A5636" i="2"/>
  <c r="E5635" i="2"/>
  <c r="D5635" i="2"/>
  <c r="C5635" i="2"/>
  <c r="B5635" i="2"/>
  <c r="A5635" i="2"/>
  <c r="E5634" i="2"/>
  <c r="D5634" i="2"/>
  <c r="C5634" i="2"/>
  <c r="B5634" i="2"/>
  <c r="A5634" i="2"/>
  <c r="E5633" i="2"/>
  <c r="D5633" i="2"/>
  <c r="C5633" i="2"/>
  <c r="B5633" i="2"/>
  <c r="A5633" i="2"/>
  <c r="E5632" i="2"/>
  <c r="D5632" i="2"/>
  <c r="C5632" i="2"/>
  <c r="B5632" i="2"/>
  <c r="A5632" i="2"/>
  <c r="E5631" i="2"/>
  <c r="D5631" i="2"/>
  <c r="C5631" i="2"/>
  <c r="B5631" i="2"/>
  <c r="A5631" i="2"/>
  <c r="E5630" i="2"/>
  <c r="D5630" i="2"/>
  <c r="C5630" i="2"/>
  <c r="B5630" i="2"/>
  <c r="A5630" i="2"/>
  <c r="E5629" i="2"/>
  <c r="D5629" i="2"/>
  <c r="C5629" i="2"/>
  <c r="B5629" i="2"/>
  <c r="A5629" i="2"/>
  <c r="E5628" i="2"/>
  <c r="D5628" i="2"/>
  <c r="C5628" i="2"/>
  <c r="B5628" i="2"/>
  <c r="A5628" i="2"/>
  <c r="E5627" i="2"/>
  <c r="D5627" i="2"/>
  <c r="C5627" i="2"/>
  <c r="B5627" i="2"/>
  <c r="A5627" i="2"/>
  <c r="E5626" i="2"/>
  <c r="D5626" i="2"/>
  <c r="C5626" i="2"/>
  <c r="B5626" i="2"/>
  <c r="A5626" i="2"/>
  <c r="E5625" i="2"/>
  <c r="D5625" i="2"/>
  <c r="C5625" i="2"/>
  <c r="B5625" i="2"/>
  <c r="A5625" i="2"/>
  <c r="E5624" i="2"/>
  <c r="D5624" i="2"/>
  <c r="C5624" i="2"/>
  <c r="B5624" i="2"/>
  <c r="A5624" i="2"/>
  <c r="E5623" i="2"/>
  <c r="D5623" i="2"/>
  <c r="C5623" i="2"/>
  <c r="B5623" i="2"/>
  <c r="A5623" i="2"/>
  <c r="E5622" i="2"/>
  <c r="D5622" i="2"/>
  <c r="C5622" i="2"/>
  <c r="B5622" i="2"/>
  <c r="A5622" i="2"/>
  <c r="E5621" i="2"/>
  <c r="D5621" i="2"/>
  <c r="C5621" i="2"/>
  <c r="B5621" i="2"/>
  <c r="A5621" i="2"/>
  <c r="E5620" i="2"/>
  <c r="D5620" i="2"/>
  <c r="C5620" i="2"/>
  <c r="B5620" i="2"/>
  <c r="A5620" i="2"/>
  <c r="E5619" i="2"/>
  <c r="D5619" i="2"/>
  <c r="C5619" i="2"/>
  <c r="B5619" i="2"/>
  <c r="A5619" i="2"/>
  <c r="E5618" i="2"/>
  <c r="D5618" i="2"/>
  <c r="C5618" i="2"/>
  <c r="B5618" i="2"/>
  <c r="A5618" i="2"/>
  <c r="E5617" i="2"/>
  <c r="D5617" i="2"/>
  <c r="C5617" i="2"/>
  <c r="B5617" i="2"/>
  <c r="A5617" i="2"/>
  <c r="E5616" i="2"/>
  <c r="D5616" i="2"/>
  <c r="C5616" i="2"/>
  <c r="B5616" i="2"/>
  <c r="A5616" i="2"/>
  <c r="E5615" i="2"/>
  <c r="D5615" i="2"/>
  <c r="C5615" i="2"/>
  <c r="B5615" i="2"/>
  <c r="A5615" i="2"/>
  <c r="E5614" i="2"/>
  <c r="D5614" i="2"/>
  <c r="C5614" i="2"/>
  <c r="B5614" i="2"/>
  <c r="A5614" i="2"/>
  <c r="E5613" i="2"/>
  <c r="D5613" i="2"/>
  <c r="C5613" i="2"/>
  <c r="B5613" i="2"/>
  <c r="A5613" i="2"/>
  <c r="E5612" i="2"/>
  <c r="D5612" i="2"/>
  <c r="C5612" i="2"/>
  <c r="B5612" i="2"/>
  <c r="A5612" i="2"/>
  <c r="E5611" i="2"/>
  <c r="D5611" i="2"/>
  <c r="C5611" i="2"/>
  <c r="B5611" i="2"/>
  <c r="A5611" i="2"/>
  <c r="E5610" i="2"/>
  <c r="D5610" i="2"/>
  <c r="C5610" i="2"/>
  <c r="B5610" i="2"/>
  <c r="A5610" i="2"/>
  <c r="E5609" i="2"/>
  <c r="D5609" i="2"/>
  <c r="C5609" i="2"/>
  <c r="B5609" i="2"/>
  <c r="A5609" i="2"/>
  <c r="E5608" i="2"/>
  <c r="D5608" i="2"/>
  <c r="C5608" i="2"/>
  <c r="B5608" i="2"/>
  <c r="A5608" i="2"/>
  <c r="E5607" i="2"/>
  <c r="D5607" i="2"/>
  <c r="C5607" i="2"/>
  <c r="B5607" i="2"/>
  <c r="A5607" i="2"/>
  <c r="E5606" i="2"/>
  <c r="D5606" i="2"/>
  <c r="C5606" i="2"/>
  <c r="B5606" i="2"/>
  <c r="A5606" i="2"/>
  <c r="E5605" i="2"/>
  <c r="D5605" i="2"/>
  <c r="C5605" i="2"/>
  <c r="B5605" i="2"/>
  <c r="A5605" i="2"/>
  <c r="E5604" i="2"/>
  <c r="D5604" i="2"/>
  <c r="C5604" i="2"/>
  <c r="B5604" i="2"/>
  <c r="A5604" i="2"/>
  <c r="E5603" i="2"/>
  <c r="D5603" i="2"/>
  <c r="C5603" i="2"/>
  <c r="B5603" i="2"/>
  <c r="A5603" i="2"/>
  <c r="E5602" i="2"/>
  <c r="D5602" i="2"/>
  <c r="C5602" i="2"/>
  <c r="B5602" i="2"/>
  <c r="A5602" i="2"/>
  <c r="E5601" i="2"/>
  <c r="D5601" i="2"/>
  <c r="C5601" i="2"/>
  <c r="B5601" i="2"/>
  <c r="A5601" i="2"/>
  <c r="E5600" i="2"/>
  <c r="D5600" i="2"/>
  <c r="C5600" i="2"/>
  <c r="B5600" i="2"/>
  <c r="A5600" i="2"/>
  <c r="E5599" i="2"/>
  <c r="D5599" i="2"/>
  <c r="C5599" i="2"/>
  <c r="B5599" i="2"/>
  <c r="A5599" i="2"/>
  <c r="E5598" i="2"/>
  <c r="D5598" i="2"/>
  <c r="C5598" i="2"/>
  <c r="B5598" i="2"/>
  <c r="A5598" i="2"/>
  <c r="E5597" i="2"/>
  <c r="D5597" i="2"/>
  <c r="C5597" i="2"/>
  <c r="B5597" i="2"/>
  <c r="A5597" i="2"/>
  <c r="E5596" i="2"/>
  <c r="D5596" i="2"/>
  <c r="C5596" i="2"/>
  <c r="B5596" i="2"/>
  <c r="A5596" i="2"/>
  <c r="E5595" i="2"/>
  <c r="D5595" i="2"/>
  <c r="C5595" i="2"/>
  <c r="B5595" i="2"/>
  <c r="A5595" i="2"/>
  <c r="E5594" i="2"/>
  <c r="D5594" i="2"/>
  <c r="C5594" i="2"/>
  <c r="B5594" i="2"/>
  <c r="A5594" i="2"/>
  <c r="E5593" i="2"/>
  <c r="D5593" i="2"/>
  <c r="C5593" i="2"/>
  <c r="B5593" i="2"/>
  <c r="A5593" i="2"/>
  <c r="E5592" i="2"/>
  <c r="D5592" i="2"/>
  <c r="C5592" i="2"/>
  <c r="B5592" i="2"/>
  <c r="A5592" i="2"/>
  <c r="E5591" i="2"/>
  <c r="D5591" i="2"/>
  <c r="C5591" i="2"/>
  <c r="B5591" i="2"/>
  <c r="A5591" i="2"/>
  <c r="E5590" i="2"/>
  <c r="D5590" i="2"/>
  <c r="C5590" i="2"/>
  <c r="B5590" i="2"/>
  <c r="A5590" i="2"/>
  <c r="E5589" i="2"/>
  <c r="D5589" i="2"/>
  <c r="C5589" i="2"/>
  <c r="B5589" i="2"/>
  <c r="A5589" i="2"/>
  <c r="E5588" i="2"/>
  <c r="D5588" i="2"/>
  <c r="C5588" i="2"/>
  <c r="B5588" i="2"/>
  <c r="A5588" i="2"/>
  <c r="E5587" i="2"/>
  <c r="D5587" i="2"/>
  <c r="C5587" i="2"/>
  <c r="B5587" i="2"/>
  <c r="A5587" i="2"/>
  <c r="E5586" i="2"/>
  <c r="D5586" i="2"/>
  <c r="C5586" i="2"/>
  <c r="B5586" i="2"/>
  <c r="A5586" i="2"/>
  <c r="E5585" i="2"/>
  <c r="D5585" i="2"/>
  <c r="C5585" i="2"/>
  <c r="B5585" i="2"/>
  <c r="A5585" i="2"/>
  <c r="E5584" i="2"/>
  <c r="D5584" i="2"/>
  <c r="C5584" i="2"/>
  <c r="B5584" i="2"/>
  <c r="A5584" i="2"/>
  <c r="E5583" i="2"/>
  <c r="D5583" i="2"/>
  <c r="C5583" i="2"/>
  <c r="B5583" i="2"/>
  <c r="A5583" i="2"/>
  <c r="E5582" i="2"/>
  <c r="D5582" i="2"/>
  <c r="C5582" i="2"/>
  <c r="B5582" i="2"/>
  <c r="A5582" i="2"/>
  <c r="E5581" i="2"/>
  <c r="D5581" i="2"/>
  <c r="C5581" i="2"/>
  <c r="B5581" i="2"/>
  <c r="A5581" i="2"/>
  <c r="E5580" i="2"/>
  <c r="D5580" i="2"/>
  <c r="C5580" i="2"/>
  <c r="B5580" i="2"/>
  <c r="A5580" i="2"/>
  <c r="E5579" i="2"/>
  <c r="D5579" i="2"/>
  <c r="C5579" i="2"/>
  <c r="B5579" i="2"/>
  <c r="A5579" i="2"/>
  <c r="E5578" i="2"/>
  <c r="D5578" i="2"/>
  <c r="C5578" i="2"/>
  <c r="B5578" i="2"/>
  <c r="A5578" i="2"/>
  <c r="E5577" i="2"/>
  <c r="D5577" i="2"/>
  <c r="C5577" i="2"/>
  <c r="B5577" i="2"/>
  <c r="A5577" i="2"/>
  <c r="E5576" i="2"/>
  <c r="D5576" i="2"/>
  <c r="C5576" i="2"/>
  <c r="B5576" i="2"/>
  <c r="A5576" i="2"/>
  <c r="E5575" i="2"/>
  <c r="D5575" i="2"/>
  <c r="C5575" i="2"/>
  <c r="B5575" i="2"/>
  <c r="A5575" i="2"/>
  <c r="E5574" i="2"/>
  <c r="D5574" i="2"/>
  <c r="C5574" i="2"/>
  <c r="B5574" i="2"/>
  <c r="A5574" i="2"/>
  <c r="E5573" i="2"/>
  <c r="D5573" i="2"/>
  <c r="C5573" i="2"/>
  <c r="B5573" i="2"/>
  <c r="A5573" i="2"/>
  <c r="E5572" i="2"/>
  <c r="D5572" i="2"/>
  <c r="C5572" i="2"/>
  <c r="B5572" i="2"/>
  <c r="A5572" i="2"/>
  <c r="E5571" i="2"/>
  <c r="D5571" i="2"/>
  <c r="C5571" i="2"/>
  <c r="B5571" i="2"/>
  <c r="A5571" i="2"/>
  <c r="E5570" i="2"/>
  <c r="D5570" i="2"/>
  <c r="C5570" i="2"/>
  <c r="B5570" i="2"/>
  <c r="A5570" i="2"/>
  <c r="E5569" i="2"/>
  <c r="D5569" i="2"/>
  <c r="C5569" i="2"/>
  <c r="B5569" i="2"/>
  <c r="A5569" i="2"/>
  <c r="E5568" i="2"/>
  <c r="D5568" i="2"/>
  <c r="C5568" i="2"/>
  <c r="B5568" i="2"/>
  <c r="A5568" i="2"/>
  <c r="E5567" i="2"/>
  <c r="D5567" i="2"/>
  <c r="C5567" i="2"/>
  <c r="B5567" i="2"/>
  <c r="A5567" i="2"/>
  <c r="E5566" i="2"/>
  <c r="D5566" i="2"/>
  <c r="C5566" i="2"/>
  <c r="B5566" i="2"/>
  <c r="A5566" i="2"/>
  <c r="E5565" i="2"/>
  <c r="D5565" i="2"/>
  <c r="C5565" i="2"/>
  <c r="B5565" i="2"/>
  <c r="A5565" i="2"/>
  <c r="E5564" i="2"/>
  <c r="D5564" i="2"/>
  <c r="C5564" i="2"/>
  <c r="B5564" i="2"/>
  <c r="A5564" i="2"/>
  <c r="E5563" i="2"/>
  <c r="D5563" i="2"/>
  <c r="C5563" i="2"/>
  <c r="B5563" i="2"/>
  <c r="A5563" i="2"/>
  <c r="E5562" i="2"/>
  <c r="D5562" i="2"/>
  <c r="C5562" i="2"/>
  <c r="B5562" i="2"/>
  <c r="A5562" i="2"/>
  <c r="E5561" i="2"/>
  <c r="D5561" i="2"/>
  <c r="C5561" i="2"/>
  <c r="B5561" i="2"/>
  <c r="A5561" i="2"/>
  <c r="E5560" i="2"/>
  <c r="D5560" i="2"/>
  <c r="C5560" i="2"/>
  <c r="B5560" i="2"/>
  <c r="A5560" i="2"/>
  <c r="E5559" i="2"/>
  <c r="D5559" i="2"/>
  <c r="C5559" i="2"/>
  <c r="B5559" i="2"/>
  <c r="A5559" i="2"/>
  <c r="E5558" i="2"/>
  <c r="D5558" i="2"/>
  <c r="C5558" i="2"/>
  <c r="B5558" i="2"/>
  <c r="A5558" i="2"/>
  <c r="E5557" i="2"/>
  <c r="D5557" i="2"/>
  <c r="C5557" i="2"/>
  <c r="B5557" i="2"/>
  <c r="A5557" i="2"/>
  <c r="E5556" i="2"/>
  <c r="D5556" i="2"/>
  <c r="C5556" i="2"/>
  <c r="B5556" i="2"/>
  <c r="A5556" i="2"/>
  <c r="E5555" i="2"/>
  <c r="D5555" i="2"/>
  <c r="C5555" i="2"/>
  <c r="B5555" i="2"/>
  <c r="A5555" i="2"/>
  <c r="E5554" i="2"/>
  <c r="D5554" i="2"/>
  <c r="C5554" i="2"/>
  <c r="B5554" i="2"/>
  <c r="A5554" i="2"/>
  <c r="E5553" i="2"/>
  <c r="D5553" i="2"/>
  <c r="C5553" i="2"/>
  <c r="B5553" i="2"/>
  <c r="A5553" i="2"/>
  <c r="E5552" i="2"/>
  <c r="D5552" i="2"/>
  <c r="C5552" i="2"/>
  <c r="B5552" i="2"/>
  <c r="A5552" i="2"/>
  <c r="E5551" i="2"/>
  <c r="D5551" i="2"/>
  <c r="C5551" i="2"/>
  <c r="B5551" i="2"/>
  <c r="A5551" i="2"/>
  <c r="E5550" i="2"/>
  <c r="D5550" i="2"/>
  <c r="C5550" i="2"/>
  <c r="B5550" i="2"/>
  <c r="A5550" i="2"/>
  <c r="E5549" i="2"/>
  <c r="D5549" i="2"/>
  <c r="C5549" i="2"/>
  <c r="B5549" i="2"/>
  <c r="A5549" i="2"/>
  <c r="E5548" i="2"/>
  <c r="D5548" i="2"/>
  <c r="C5548" i="2"/>
  <c r="B5548" i="2"/>
  <c r="A5548" i="2"/>
  <c r="E5547" i="2"/>
  <c r="D5547" i="2"/>
  <c r="C5547" i="2"/>
  <c r="B5547" i="2"/>
  <c r="A5547" i="2"/>
  <c r="E5546" i="2"/>
  <c r="D5546" i="2"/>
  <c r="C5546" i="2"/>
  <c r="B5546" i="2"/>
  <c r="A5546" i="2"/>
  <c r="E5545" i="2"/>
  <c r="D5545" i="2"/>
  <c r="C5545" i="2"/>
  <c r="B5545" i="2"/>
  <c r="A5545" i="2"/>
  <c r="E5544" i="2"/>
  <c r="D5544" i="2"/>
  <c r="C5544" i="2"/>
  <c r="B5544" i="2"/>
  <c r="A5544" i="2"/>
  <c r="E5543" i="2"/>
  <c r="D5543" i="2"/>
  <c r="C5543" i="2"/>
  <c r="B5543" i="2"/>
  <c r="A5543" i="2"/>
  <c r="E5542" i="2"/>
  <c r="D5542" i="2"/>
  <c r="C5542" i="2"/>
  <c r="B5542" i="2"/>
  <c r="A5542" i="2"/>
  <c r="E5541" i="2"/>
  <c r="D5541" i="2"/>
  <c r="C5541" i="2"/>
  <c r="B5541" i="2"/>
  <c r="A5541" i="2"/>
  <c r="E5540" i="2"/>
  <c r="D5540" i="2"/>
  <c r="C5540" i="2"/>
  <c r="B5540" i="2"/>
  <c r="A5540" i="2"/>
  <c r="E5539" i="2"/>
  <c r="D5539" i="2"/>
  <c r="C5539" i="2"/>
  <c r="B5539" i="2"/>
  <c r="A5539" i="2"/>
  <c r="E5538" i="2"/>
  <c r="D5538" i="2"/>
  <c r="C5538" i="2"/>
  <c r="B5538" i="2"/>
  <c r="A5538" i="2"/>
  <c r="E5537" i="2"/>
  <c r="D5537" i="2"/>
  <c r="C5537" i="2"/>
  <c r="B5537" i="2"/>
  <c r="A5537" i="2"/>
  <c r="E5536" i="2"/>
  <c r="D5536" i="2"/>
  <c r="C5536" i="2"/>
  <c r="B5536" i="2"/>
  <c r="A5536" i="2"/>
  <c r="E5535" i="2"/>
  <c r="D5535" i="2"/>
  <c r="C5535" i="2"/>
  <c r="B5535" i="2"/>
  <c r="A5535" i="2"/>
  <c r="E5534" i="2"/>
  <c r="D5534" i="2"/>
  <c r="C5534" i="2"/>
  <c r="B5534" i="2"/>
  <c r="A5534" i="2"/>
  <c r="E5533" i="2"/>
  <c r="D5533" i="2"/>
  <c r="C5533" i="2"/>
  <c r="B5533" i="2"/>
  <c r="A5533" i="2"/>
  <c r="E5532" i="2"/>
  <c r="D5532" i="2"/>
  <c r="C5532" i="2"/>
  <c r="B5532" i="2"/>
  <c r="A5532" i="2"/>
  <c r="E5531" i="2"/>
  <c r="D5531" i="2"/>
  <c r="C5531" i="2"/>
  <c r="B5531" i="2"/>
  <c r="A5531" i="2"/>
  <c r="E5530" i="2"/>
  <c r="D5530" i="2"/>
  <c r="C5530" i="2"/>
  <c r="B5530" i="2"/>
  <c r="A5530" i="2"/>
  <c r="E5529" i="2"/>
  <c r="D5529" i="2"/>
  <c r="C5529" i="2"/>
  <c r="B5529" i="2"/>
  <c r="A5529" i="2"/>
  <c r="E5528" i="2"/>
  <c r="D5528" i="2"/>
  <c r="C5528" i="2"/>
  <c r="B5528" i="2"/>
  <c r="A5528" i="2"/>
  <c r="E5527" i="2"/>
  <c r="D5527" i="2"/>
  <c r="C5527" i="2"/>
  <c r="B5527" i="2"/>
  <c r="A5527" i="2"/>
  <c r="E5526" i="2"/>
  <c r="D5526" i="2"/>
  <c r="C5526" i="2"/>
  <c r="B5526" i="2"/>
  <c r="A5526" i="2"/>
  <c r="E5525" i="2"/>
  <c r="D5525" i="2"/>
  <c r="C5525" i="2"/>
  <c r="B5525" i="2"/>
  <c r="A5525" i="2"/>
  <c r="E5524" i="2"/>
  <c r="D5524" i="2"/>
  <c r="C5524" i="2"/>
  <c r="B5524" i="2"/>
  <c r="A5524" i="2"/>
  <c r="E5523" i="2"/>
  <c r="D5523" i="2"/>
  <c r="C5523" i="2"/>
  <c r="B5523" i="2"/>
  <c r="A5523" i="2"/>
  <c r="E5522" i="2"/>
  <c r="D5522" i="2"/>
  <c r="C5522" i="2"/>
  <c r="B5522" i="2"/>
  <c r="A5522" i="2"/>
  <c r="E5521" i="2"/>
  <c r="D5521" i="2"/>
  <c r="C5521" i="2"/>
  <c r="B5521" i="2"/>
  <c r="A5521" i="2"/>
  <c r="E5520" i="2"/>
  <c r="D5520" i="2"/>
  <c r="C5520" i="2"/>
  <c r="B5520" i="2"/>
  <c r="A5520" i="2"/>
  <c r="E5519" i="2"/>
  <c r="D5519" i="2"/>
  <c r="C5519" i="2"/>
  <c r="B5519" i="2"/>
  <c r="A5519" i="2"/>
  <c r="E5518" i="2"/>
  <c r="D5518" i="2"/>
  <c r="C5518" i="2"/>
  <c r="B5518" i="2"/>
  <c r="A5518" i="2"/>
  <c r="E5517" i="2"/>
  <c r="D5517" i="2"/>
  <c r="C5517" i="2"/>
  <c r="B5517" i="2"/>
  <c r="A5517" i="2"/>
  <c r="E5516" i="2"/>
  <c r="D5516" i="2"/>
  <c r="C5516" i="2"/>
  <c r="B5516" i="2"/>
  <c r="A5516" i="2"/>
  <c r="E5515" i="2"/>
  <c r="D5515" i="2"/>
  <c r="C5515" i="2"/>
  <c r="B5515" i="2"/>
  <c r="A5515" i="2"/>
  <c r="E5514" i="2"/>
  <c r="D5514" i="2"/>
  <c r="C5514" i="2"/>
  <c r="B5514" i="2"/>
  <c r="A5514" i="2"/>
  <c r="E5513" i="2"/>
  <c r="D5513" i="2"/>
  <c r="C5513" i="2"/>
  <c r="B5513" i="2"/>
  <c r="A5513" i="2"/>
  <c r="E5512" i="2"/>
  <c r="D5512" i="2"/>
  <c r="C5512" i="2"/>
  <c r="B5512" i="2"/>
  <c r="A5512" i="2"/>
  <c r="E5511" i="2"/>
  <c r="D5511" i="2"/>
  <c r="C5511" i="2"/>
  <c r="B5511" i="2"/>
  <c r="A5511" i="2"/>
  <c r="E5510" i="2"/>
  <c r="D5510" i="2"/>
  <c r="C5510" i="2"/>
  <c r="B5510" i="2"/>
  <c r="A5510" i="2"/>
  <c r="E5509" i="2"/>
  <c r="D5509" i="2"/>
  <c r="C5509" i="2"/>
  <c r="B5509" i="2"/>
  <c r="A5509" i="2"/>
  <c r="E5508" i="2"/>
  <c r="D5508" i="2"/>
  <c r="C5508" i="2"/>
  <c r="B5508" i="2"/>
  <c r="A5508" i="2"/>
  <c r="E5507" i="2"/>
  <c r="D5507" i="2"/>
  <c r="C5507" i="2"/>
  <c r="B5507" i="2"/>
  <c r="A5507" i="2"/>
  <c r="E5506" i="2"/>
  <c r="D5506" i="2"/>
  <c r="C5506" i="2"/>
  <c r="B5506" i="2"/>
  <c r="A5506" i="2"/>
  <c r="E5505" i="2"/>
  <c r="D5505" i="2"/>
  <c r="C5505" i="2"/>
  <c r="B5505" i="2"/>
  <c r="A5505" i="2"/>
  <c r="E5504" i="2"/>
  <c r="D5504" i="2"/>
  <c r="C5504" i="2"/>
  <c r="B5504" i="2"/>
  <c r="A5504" i="2"/>
  <c r="E5503" i="2"/>
  <c r="D5503" i="2"/>
  <c r="C5503" i="2"/>
  <c r="B5503" i="2"/>
  <c r="A5503" i="2"/>
  <c r="E5502" i="2"/>
  <c r="D5502" i="2"/>
  <c r="C5502" i="2"/>
  <c r="B5502" i="2"/>
  <c r="A5502" i="2"/>
  <c r="E5501" i="2"/>
  <c r="D5501" i="2"/>
  <c r="C5501" i="2"/>
  <c r="B5501" i="2"/>
  <c r="A5501" i="2"/>
  <c r="E5500" i="2"/>
  <c r="D5500" i="2"/>
  <c r="C5500" i="2"/>
  <c r="B5500" i="2"/>
  <c r="A5500" i="2"/>
  <c r="E5499" i="2"/>
  <c r="D5499" i="2"/>
  <c r="C5499" i="2"/>
  <c r="B5499" i="2"/>
  <c r="A5499" i="2"/>
  <c r="E5498" i="2"/>
  <c r="D5498" i="2"/>
  <c r="C5498" i="2"/>
  <c r="B5498" i="2"/>
  <c r="A5498" i="2"/>
  <c r="E5497" i="2"/>
  <c r="D5497" i="2"/>
  <c r="C5497" i="2"/>
  <c r="B5497" i="2"/>
  <c r="A5497" i="2"/>
  <c r="E5496" i="2"/>
  <c r="D5496" i="2"/>
  <c r="C5496" i="2"/>
  <c r="B5496" i="2"/>
  <c r="A5496" i="2"/>
  <c r="E5495" i="2"/>
  <c r="D5495" i="2"/>
  <c r="C5495" i="2"/>
  <c r="B5495" i="2"/>
  <c r="A5495" i="2"/>
  <c r="E5494" i="2"/>
  <c r="D5494" i="2"/>
  <c r="C5494" i="2"/>
  <c r="B5494" i="2"/>
  <c r="A5494" i="2"/>
  <c r="E5493" i="2"/>
  <c r="D5493" i="2"/>
  <c r="C5493" i="2"/>
  <c r="B5493" i="2"/>
  <c r="A5493" i="2"/>
  <c r="E5492" i="2"/>
  <c r="D5492" i="2"/>
  <c r="C5492" i="2"/>
  <c r="B5492" i="2"/>
  <c r="A5492" i="2"/>
  <c r="E5491" i="2"/>
  <c r="D5491" i="2"/>
  <c r="C5491" i="2"/>
  <c r="B5491" i="2"/>
  <c r="A5491" i="2"/>
  <c r="E5490" i="2"/>
  <c r="D5490" i="2"/>
  <c r="C5490" i="2"/>
  <c r="B5490" i="2"/>
  <c r="A5490" i="2"/>
  <c r="E5489" i="2"/>
  <c r="D5489" i="2"/>
  <c r="C5489" i="2"/>
  <c r="B5489" i="2"/>
  <c r="A5489" i="2"/>
  <c r="E5488" i="2"/>
  <c r="D5488" i="2"/>
  <c r="C5488" i="2"/>
  <c r="B5488" i="2"/>
  <c r="A5488" i="2"/>
  <c r="E5487" i="2"/>
  <c r="D5487" i="2"/>
  <c r="C5487" i="2"/>
  <c r="B5487" i="2"/>
  <c r="A5487" i="2"/>
  <c r="E5486" i="2"/>
  <c r="D5486" i="2"/>
  <c r="C5486" i="2"/>
  <c r="B5486" i="2"/>
  <c r="A5486" i="2"/>
  <c r="E5485" i="2"/>
  <c r="D5485" i="2"/>
  <c r="C5485" i="2"/>
  <c r="B5485" i="2"/>
  <c r="A5485" i="2"/>
  <c r="E5484" i="2"/>
  <c r="D5484" i="2"/>
  <c r="C5484" i="2"/>
  <c r="B5484" i="2"/>
  <c r="A5484" i="2"/>
  <c r="E5483" i="2"/>
  <c r="D5483" i="2"/>
  <c r="C5483" i="2"/>
  <c r="B5483" i="2"/>
  <c r="A5483" i="2"/>
  <c r="E5482" i="2"/>
  <c r="D5482" i="2"/>
  <c r="C5482" i="2"/>
  <c r="B5482" i="2"/>
  <c r="A5482" i="2"/>
  <c r="E5481" i="2"/>
  <c r="D5481" i="2"/>
  <c r="C5481" i="2"/>
  <c r="B5481" i="2"/>
  <c r="A5481" i="2"/>
  <c r="E5480" i="2"/>
  <c r="D5480" i="2"/>
  <c r="C5480" i="2"/>
  <c r="B5480" i="2"/>
  <c r="A5480" i="2"/>
  <c r="E5479" i="2"/>
  <c r="D5479" i="2"/>
  <c r="C5479" i="2"/>
  <c r="B5479" i="2"/>
  <c r="A5479" i="2"/>
  <c r="E5478" i="2"/>
  <c r="D5478" i="2"/>
  <c r="C5478" i="2"/>
  <c r="B5478" i="2"/>
  <c r="A5478" i="2"/>
  <c r="E5477" i="2"/>
  <c r="D5477" i="2"/>
  <c r="C5477" i="2"/>
  <c r="B5477" i="2"/>
  <c r="A5477" i="2"/>
  <c r="E5476" i="2"/>
  <c r="D5476" i="2"/>
  <c r="C5476" i="2"/>
  <c r="B5476" i="2"/>
  <c r="A5476" i="2"/>
  <c r="E5475" i="2"/>
  <c r="D5475" i="2"/>
  <c r="C5475" i="2"/>
  <c r="B5475" i="2"/>
  <c r="A5475" i="2"/>
  <c r="E5474" i="2"/>
  <c r="D5474" i="2"/>
  <c r="C5474" i="2"/>
  <c r="B5474" i="2"/>
  <c r="A5474" i="2"/>
  <c r="E5473" i="2"/>
  <c r="D5473" i="2"/>
  <c r="C5473" i="2"/>
  <c r="B5473" i="2"/>
  <c r="A5473" i="2"/>
  <c r="E5472" i="2"/>
  <c r="D5472" i="2"/>
  <c r="C5472" i="2"/>
  <c r="B5472" i="2"/>
  <c r="A5472" i="2"/>
  <c r="E5471" i="2"/>
  <c r="D5471" i="2"/>
  <c r="C5471" i="2"/>
  <c r="B5471" i="2"/>
  <c r="A5471" i="2"/>
  <c r="E5470" i="2"/>
  <c r="D5470" i="2"/>
  <c r="C5470" i="2"/>
  <c r="B5470" i="2"/>
  <c r="A5470" i="2"/>
  <c r="E5469" i="2"/>
  <c r="D5469" i="2"/>
  <c r="C5469" i="2"/>
  <c r="B5469" i="2"/>
  <c r="A5469" i="2"/>
  <c r="E5468" i="2"/>
  <c r="D5468" i="2"/>
  <c r="C5468" i="2"/>
  <c r="B5468" i="2"/>
  <c r="A5468" i="2"/>
  <c r="E5467" i="2"/>
  <c r="D5467" i="2"/>
  <c r="C5467" i="2"/>
  <c r="B5467" i="2"/>
  <c r="A5467" i="2"/>
  <c r="E5466" i="2"/>
  <c r="D5466" i="2"/>
  <c r="C5466" i="2"/>
  <c r="B5466" i="2"/>
  <c r="A5466" i="2"/>
  <c r="E5465" i="2"/>
  <c r="D5465" i="2"/>
  <c r="C5465" i="2"/>
  <c r="B5465" i="2"/>
  <c r="A5465" i="2"/>
  <c r="E5464" i="2"/>
  <c r="D5464" i="2"/>
  <c r="C5464" i="2"/>
  <c r="B5464" i="2"/>
  <c r="A5464" i="2"/>
  <c r="E5463" i="2"/>
  <c r="D5463" i="2"/>
  <c r="C5463" i="2"/>
  <c r="B5463" i="2"/>
  <c r="A5463" i="2"/>
  <c r="E5462" i="2"/>
  <c r="D5462" i="2"/>
  <c r="C5462" i="2"/>
  <c r="B5462" i="2"/>
  <c r="A5462" i="2"/>
  <c r="E5461" i="2"/>
  <c r="D5461" i="2"/>
  <c r="C5461" i="2"/>
  <c r="B5461" i="2"/>
  <c r="A5461" i="2"/>
  <c r="E5460" i="2"/>
  <c r="D5460" i="2"/>
  <c r="C5460" i="2"/>
  <c r="B5460" i="2"/>
  <c r="A5460" i="2"/>
  <c r="E5459" i="2"/>
  <c r="D5459" i="2"/>
  <c r="C5459" i="2"/>
  <c r="B5459" i="2"/>
  <c r="A5459" i="2"/>
  <c r="E5458" i="2"/>
  <c r="D5458" i="2"/>
  <c r="C5458" i="2"/>
  <c r="B5458" i="2"/>
  <c r="A5458" i="2"/>
  <c r="E5457" i="2"/>
  <c r="D5457" i="2"/>
  <c r="C5457" i="2"/>
  <c r="B5457" i="2"/>
  <c r="A5457" i="2"/>
  <c r="E5456" i="2"/>
  <c r="D5456" i="2"/>
  <c r="C5456" i="2"/>
  <c r="B5456" i="2"/>
  <c r="A5456" i="2"/>
  <c r="E5455" i="2"/>
  <c r="D5455" i="2"/>
  <c r="C5455" i="2"/>
  <c r="B5455" i="2"/>
  <c r="A5455" i="2"/>
  <c r="E5454" i="2"/>
  <c r="D5454" i="2"/>
  <c r="C5454" i="2"/>
  <c r="B5454" i="2"/>
  <c r="A5454" i="2"/>
  <c r="E5453" i="2"/>
  <c r="D5453" i="2"/>
  <c r="C5453" i="2"/>
  <c r="B5453" i="2"/>
  <c r="A5453" i="2"/>
  <c r="E5452" i="2"/>
  <c r="D5452" i="2"/>
  <c r="C5452" i="2"/>
  <c r="B5452" i="2"/>
  <c r="A5452" i="2"/>
  <c r="E5451" i="2"/>
  <c r="D5451" i="2"/>
  <c r="C5451" i="2"/>
  <c r="B5451" i="2"/>
  <c r="A5451" i="2"/>
  <c r="E5450" i="2"/>
  <c r="D5450" i="2"/>
  <c r="C5450" i="2"/>
  <c r="B5450" i="2"/>
  <c r="A5450" i="2"/>
  <c r="E5449" i="2"/>
  <c r="D5449" i="2"/>
  <c r="C5449" i="2"/>
  <c r="B5449" i="2"/>
  <c r="A5449" i="2"/>
  <c r="E5448" i="2"/>
  <c r="D5448" i="2"/>
  <c r="C5448" i="2"/>
  <c r="B5448" i="2"/>
  <c r="A5448" i="2"/>
  <c r="E5447" i="2"/>
  <c r="D5447" i="2"/>
  <c r="C5447" i="2"/>
  <c r="B5447" i="2"/>
  <c r="A5447" i="2"/>
  <c r="E5446" i="2"/>
  <c r="D5446" i="2"/>
  <c r="C5446" i="2"/>
  <c r="B5446" i="2"/>
  <c r="A5446" i="2"/>
  <c r="E5445" i="2"/>
  <c r="D5445" i="2"/>
  <c r="C5445" i="2"/>
  <c r="B5445" i="2"/>
  <c r="A5445" i="2"/>
  <c r="E5444" i="2"/>
  <c r="D5444" i="2"/>
  <c r="C5444" i="2"/>
  <c r="B5444" i="2"/>
  <c r="A5444" i="2"/>
  <c r="E5443" i="2"/>
  <c r="D5443" i="2"/>
  <c r="C5443" i="2"/>
  <c r="B5443" i="2"/>
  <c r="A5443" i="2"/>
  <c r="E5442" i="2"/>
  <c r="D5442" i="2"/>
  <c r="C5442" i="2"/>
  <c r="B5442" i="2"/>
  <c r="A5442" i="2"/>
  <c r="E5441" i="2"/>
  <c r="D5441" i="2"/>
  <c r="C5441" i="2"/>
  <c r="B5441" i="2"/>
  <c r="A5441" i="2"/>
  <c r="E5440" i="2"/>
  <c r="D5440" i="2"/>
  <c r="C5440" i="2"/>
  <c r="B5440" i="2"/>
  <c r="A5440" i="2"/>
  <c r="E5439" i="2"/>
  <c r="D5439" i="2"/>
  <c r="C5439" i="2"/>
  <c r="B5439" i="2"/>
  <c r="A5439" i="2"/>
  <c r="E5438" i="2"/>
  <c r="D5438" i="2"/>
  <c r="C5438" i="2"/>
  <c r="B5438" i="2"/>
  <c r="A5438" i="2"/>
  <c r="E5437" i="2"/>
  <c r="D5437" i="2"/>
  <c r="C5437" i="2"/>
  <c r="B5437" i="2"/>
  <c r="A5437" i="2"/>
  <c r="E5436" i="2"/>
  <c r="D5436" i="2"/>
  <c r="C5436" i="2"/>
  <c r="B5436" i="2"/>
  <c r="A5436" i="2"/>
  <c r="E5435" i="2"/>
  <c r="D5435" i="2"/>
  <c r="C5435" i="2"/>
  <c r="B5435" i="2"/>
  <c r="A5435" i="2"/>
  <c r="E5434" i="2"/>
  <c r="D5434" i="2"/>
  <c r="C5434" i="2"/>
  <c r="B5434" i="2"/>
  <c r="A5434" i="2"/>
  <c r="E5433" i="2"/>
  <c r="D5433" i="2"/>
  <c r="C5433" i="2"/>
  <c r="B5433" i="2"/>
  <c r="A5433" i="2"/>
  <c r="E5432" i="2"/>
  <c r="D5432" i="2"/>
  <c r="C5432" i="2"/>
  <c r="B5432" i="2"/>
  <c r="A5432" i="2"/>
  <c r="E5431" i="2"/>
  <c r="D5431" i="2"/>
  <c r="C5431" i="2"/>
  <c r="B5431" i="2"/>
  <c r="A5431" i="2"/>
  <c r="E5430" i="2"/>
  <c r="D5430" i="2"/>
  <c r="C5430" i="2"/>
  <c r="B5430" i="2"/>
  <c r="A5430" i="2"/>
  <c r="E5429" i="2"/>
  <c r="D5429" i="2"/>
  <c r="C5429" i="2"/>
  <c r="B5429" i="2"/>
  <c r="A5429" i="2"/>
  <c r="E5428" i="2"/>
  <c r="D5428" i="2"/>
  <c r="C5428" i="2"/>
  <c r="B5428" i="2"/>
  <c r="A5428" i="2"/>
  <c r="E5427" i="2"/>
  <c r="D5427" i="2"/>
  <c r="C5427" i="2"/>
  <c r="B5427" i="2"/>
  <c r="A5427" i="2"/>
  <c r="E5426" i="2"/>
  <c r="D5426" i="2"/>
  <c r="C5426" i="2"/>
  <c r="B5426" i="2"/>
  <c r="A5426" i="2"/>
  <c r="E5425" i="2"/>
  <c r="D5425" i="2"/>
  <c r="C5425" i="2"/>
  <c r="B5425" i="2"/>
  <c r="A5425" i="2"/>
  <c r="E5424" i="2"/>
  <c r="D5424" i="2"/>
  <c r="C5424" i="2"/>
  <c r="B5424" i="2"/>
  <c r="A5424" i="2"/>
  <c r="E5423" i="2"/>
  <c r="D5423" i="2"/>
  <c r="C5423" i="2"/>
  <c r="B5423" i="2"/>
  <c r="A5423" i="2"/>
  <c r="E5422" i="2"/>
  <c r="D5422" i="2"/>
  <c r="C5422" i="2"/>
  <c r="B5422" i="2"/>
  <c r="A5422" i="2"/>
  <c r="E5421" i="2"/>
  <c r="D5421" i="2"/>
  <c r="C5421" i="2"/>
  <c r="B5421" i="2"/>
  <c r="A5421" i="2"/>
  <c r="E5420" i="2"/>
  <c r="D5420" i="2"/>
  <c r="C5420" i="2"/>
  <c r="B5420" i="2"/>
  <c r="A5420" i="2"/>
  <c r="E5419" i="2"/>
  <c r="D5419" i="2"/>
  <c r="C5419" i="2"/>
  <c r="B5419" i="2"/>
  <c r="A5419" i="2"/>
  <c r="E5418" i="2"/>
  <c r="D5418" i="2"/>
  <c r="C5418" i="2"/>
  <c r="B5418" i="2"/>
  <c r="A5418" i="2"/>
  <c r="E5417" i="2"/>
  <c r="D5417" i="2"/>
  <c r="C5417" i="2"/>
  <c r="B5417" i="2"/>
  <c r="A5417" i="2"/>
  <c r="E5416" i="2"/>
  <c r="D5416" i="2"/>
  <c r="C5416" i="2"/>
  <c r="B5416" i="2"/>
  <c r="A5416" i="2"/>
  <c r="E5415" i="2"/>
  <c r="D5415" i="2"/>
  <c r="C5415" i="2"/>
  <c r="B5415" i="2"/>
  <c r="A5415" i="2"/>
  <c r="E5414" i="2"/>
  <c r="D5414" i="2"/>
  <c r="C5414" i="2"/>
  <c r="B5414" i="2"/>
  <c r="A5414" i="2"/>
  <c r="E5413" i="2"/>
  <c r="D5413" i="2"/>
  <c r="C5413" i="2"/>
  <c r="B5413" i="2"/>
  <c r="A5413" i="2"/>
  <c r="E5412" i="2"/>
  <c r="D5412" i="2"/>
  <c r="C5412" i="2"/>
  <c r="B5412" i="2"/>
  <c r="A5412" i="2"/>
  <c r="E5411" i="2"/>
  <c r="D5411" i="2"/>
  <c r="C5411" i="2"/>
  <c r="B5411" i="2"/>
  <c r="A5411" i="2"/>
  <c r="E5410" i="2"/>
  <c r="D5410" i="2"/>
  <c r="C5410" i="2"/>
  <c r="B5410" i="2"/>
  <c r="A5410" i="2"/>
  <c r="E5409" i="2"/>
  <c r="D5409" i="2"/>
  <c r="C5409" i="2"/>
  <c r="B5409" i="2"/>
  <c r="A5409" i="2"/>
  <c r="E5408" i="2"/>
  <c r="D5408" i="2"/>
  <c r="C5408" i="2"/>
  <c r="B5408" i="2"/>
  <c r="A5408" i="2"/>
  <c r="E5407" i="2"/>
  <c r="D5407" i="2"/>
  <c r="C5407" i="2"/>
  <c r="B5407" i="2"/>
  <c r="A5407" i="2"/>
  <c r="E5406" i="2"/>
  <c r="D5406" i="2"/>
  <c r="C5406" i="2"/>
  <c r="B5406" i="2"/>
  <c r="A5406" i="2"/>
  <c r="E5405" i="2"/>
  <c r="D5405" i="2"/>
  <c r="C5405" i="2"/>
  <c r="B5405" i="2"/>
  <c r="A5405" i="2"/>
  <c r="E5404" i="2"/>
  <c r="D5404" i="2"/>
  <c r="C5404" i="2"/>
  <c r="B5404" i="2"/>
  <c r="A5404" i="2"/>
  <c r="E5403" i="2"/>
  <c r="D5403" i="2"/>
  <c r="C5403" i="2"/>
  <c r="B5403" i="2"/>
  <c r="A5403" i="2"/>
  <c r="E5402" i="2"/>
  <c r="D5402" i="2"/>
  <c r="C5402" i="2"/>
  <c r="B5402" i="2"/>
  <c r="A5402" i="2"/>
  <c r="E5401" i="2"/>
  <c r="D5401" i="2"/>
  <c r="C5401" i="2"/>
  <c r="B5401" i="2"/>
  <c r="A5401" i="2"/>
  <c r="E5400" i="2"/>
  <c r="D5400" i="2"/>
  <c r="C5400" i="2"/>
  <c r="B5400" i="2"/>
  <c r="A5400" i="2"/>
  <c r="E5399" i="2"/>
  <c r="D5399" i="2"/>
  <c r="C5399" i="2"/>
  <c r="B5399" i="2"/>
  <c r="A5399" i="2"/>
  <c r="E5398" i="2"/>
  <c r="D5398" i="2"/>
  <c r="C5398" i="2"/>
  <c r="B5398" i="2"/>
  <c r="A5398" i="2"/>
  <c r="E5397" i="2"/>
  <c r="D5397" i="2"/>
  <c r="C5397" i="2"/>
  <c r="B5397" i="2"/>
  <c r="A5397" i="2"/>
  <c r="E5396" i="2"/>
  <c r="D5396" i="2"/>
  <c r="C5396" i="2"/>
  <c r="B5396" i="2"/>
  <c r="A5396" i="2"/>
  <c r="E5395" i="2"/>
  <c r="D5395" i="2"/>
  <c r="C5395" i="2"/>
  <c r="B5395" i="2"/>
  <c r="A5395" i="2"/>
  <c r="E5394" i="2"/>
  <c r="D5394" i="2"/>
  <c r="C5394" i="2"/>
  <c r="B5394" i="2"/>
  <c r="A5394" i="2"/>
  <c r="E5393" i="2"/>
  <c r="D5393" i="2"/>
  <c r="C5393" i="2"/>
  <c r="B5393" i="2"/>
  <c r="A5393" i="2"/>
  <c r="E5392" i="2"/>
  <c r="D5392" i="2"/>
  <c r="C5392" i="2"/>
  <c r="B5392" i="2"/>
  <c r="A5392" i="2"/>
  <c r="E5391" i="2"/>
  <c r="D5391" i="2"/>
  <c r="C5391" i="2"/>
  <c r="B5391" i="2"/>
  <c r="A5391" i="2"/>
  <c r="E5390" i="2"/>
  <c r="D5390" i="2"/>
  <c r="C5390" i="2"/>
  <c r="B5390" i="2"/>
  <c r="A5390" i="2"/>
  <c r="E5389" i="2"/>
  <c r="D5389" i="2"/>
  <c r="C5389" i="2"/>
  <c r="B5389" i="2"/>
  <c r="A5389" i="2"/>
  <c r="E5388" i="2"/>
  <c r="D5388" i="2"/>
  <c r="C5388" i="2"/>
  <c r="B5388" i="2"/>
  <c r="A5388" i="2"/>
  <c r="E5387" i="2"/>
  <c r="D5387" i="2"/>
  <c r="C5387" i="2"/>
  <c r="B5387" i="2"/>
  <c r="A5387" i="2"/>
  <c r="E5386" i="2"/>
  <c r="D5386" i="2"/>
  <c r="C5386" i="2"/>
  <c r="B5386" i="2"/>
  <c r="A5386" i="2"/>
  <c r="E5385" i="2"/>
  <c r="D5385" i="2"/>
  <c r="C5385" i="2"/>
  <c r="B5385" i="2"/>
  <c r="A5385" i="2"/>
  <c r="E5384" i="2"/>
  <c r="D5384" i="2"/>
  <c r="C5384" i="2"/>
  <c r="B5384" i="2"/>
  <c r="A5384" i="2"/>
  <c r="E5383" i="2"/>
  <c r="D5383" i="2"/>
  <c r="C5383" i="2"/>
  <c r="B5383" i="2"/>
  <c r="A5383" i="2"/>
  <c r="E5382" i="2"/>
  <c r="D5382" i="2"/>
  <c r="C5382" i="2"/>
  <c r="B5382" i="2"/>
  <c r="A5382" i="2"/>
  <c r="E5381" i="2"/>
  <c r="D5381" i="2"/>
  <c r="C5381" i="2"/>
  <c r="B5381" i="2"/>
  <c r="A5381" i="2"/>
  <c r="E5380" i="2"/>
  <c r="D5380" i="2"/>
  <c r="C5380" i="2"/>
  <c r="B5380" i="2"/>
  <c r="A5380" i="2"/>
  <c r="E5379" i="2"/>
  <c r="D5379" i="2"/>
  <c r="C5379" i="2"/>
  <c r="B5379" i="2"/>
  <c r="A5379" i="2"/>
  <c r="E5378" i="2"/>
  <c r="D5378" i="2"/>
  <c r="C5378" i="2"/>
  <c r="B5378" i="2"/>
  <c r="A5378" i="2"/>
  <c r="E5377" i="2"/>
  <c r="D5377" i="2"/>
  <c r="C5377" i="2"/>
  <c r="B5377" i="2"/>
  <c r="A5377" i="2"/>
  <c r="E5376" i="2"/>
  <c r="D5376" i="2"/>
  <c r="C5376" i="2"/>
  <c r="B5376" i="2"/>
  <c r="A5376" i="2"/>
  <c r="E5375" i="2"/>
  <c r="D5375" i="2"/>
  <c r="C5375" i="2"/>
  <c r="B5375" i="2"/>
  <c r="A5375" i="2"/>
  <c r="E5374" i="2"/>
  <c r="D5374" i="2"/>
  <c r="C5374" i="2"/>
  <c r="B5374" i="2"/>
  <c r="A5374" i="2"/>
  <c r="E5373" i="2"/>
  <c r="D5373" i="2"/>
  <c r="C5373" i="2"/>
  <c r="B5373" i="2"/>
  <c r="A5373" i="2"/>
  <c r="E5372" i="2"/>
  <c r="D5372" i="2"/>
  <c r="C5372" i="2"/>
  <c r="B5372" i="2"/>
  <c r="A5372" i="2"/>
  <c r="E5371" i="2"/>
  <c r="D5371" i="2"/>
  <c r="C5371" i="2"/>
  <c r="B5371" i="2"/>
  <c r="A5371" i="2"/>
  <c r="E5370" i="2"/>
  <c r="D5370" i="2"/>
  <c r="C5370" i="2"/>
  <c r="B5370" i="2"/>
  <c r="A5370" i="2"/>
  <c r="E5369" i="2"/>
  <c r="D5369" i="2"/>
  <c r="C5369" i="2"/>
  <c r="B5369" i="2"/>
  <c r="A5369" i="2"/>
  <c r="E5368" i="2"/>
  <c r="D5368" i="2"/>
  <c r="C5368" i="2"/>
  <c r="B5368" i="2"/>
  <c r="A5368" i="2"/>
  <c r="E5367" i="2"/>
  <c r="D5367" i="2"/>
  <c r="C5367" i="2"/>
  <c r="B5367" i="2"/>
  <c r="A5367" i="2"/>
  <c r="E5366" i="2"/>
  <c r="D5366" i="2"/>
  <c r="C5366" i="2"/>
  <c r="B5366" i="2"/>
  <c r="A5366" i="2"/>
  <c r="E5365" i="2"/>
  <c r="D5365" i="2"/>
  <c r="C5365" i="2"/>
  <c r="B5365" i="2"/>
  <c r="A5365" i="2"/>
  <c r="E5364" i="2"/>
  <c r="D5364" i="2"/>
  <c r="C5364" i="2"/>
  <c r="B5364" i="2"/>
  <c r="A5364" i="2"/>
  <c r="E5363" i="2"/>
  <c r="D5363" i="2"/>
  <c r="C5363" i="2"/>
  <c r="B5363" i="2"/>
  <c r="A5363" i="2"/>
  <c r="E5362" i="2"/>
  <c r="D5362" i="2"/>
  <c r="C5362" i="2"/>
  <c r="B5362" i="2"/>
  <c r="A5362" i="2"/>
  <c r="E5361" i="2"/>
  <c r="D5361" i="2"/>
  <c r="C5361" i="2"/>
  <c r="B5361" i="2"/>
  <c r="A5361" i="2"/>
  <c r="E5360" i="2"/>
  <c r="D5360" i="2"/>
  <c r="C5360" i="2"/>
  <c r="B5360" i="2"/>
  <c r="A5360" i="2"/>
  <c r="E5359" i="2"/>
  <c r="D5359" i="2"/>
  <c r="C5359" i="2"/>
  <c r="B5359" i="2"/>
  <c r="A5359" i="2"/>
  <c r="E5358" i="2"/>
  <c r="D5358" i="2"/>
  <c r="C5358" i="2"/>
  <c r="B5358" i="2"/>
  <c r="A5358" i="2"/>
  <c r="E5357" i="2"/>
  <c r="D5357" i="2"/>
  <c r="C5357" i="2"/>
  <c r="B5357" i="2"/>
  <c r="A5357" i="2"/>
  <c r="E5356" i="2"/>
  <c r="D5356" i="2"/>
  <c r="C5356" i="2"/>
  <c r="B5356" i="2"/>
  <c r="A5356" i="2"/>
  <c r="E5355" i="2"/>
  <c r="D5355" i="2"/>
  <c r="C5355" i="2"/>
  <c r="B5355" i="2"/>
  <c r="A5355" i="2"/>
  <c r="E5354" i="2"/>
  <c r="D5354" i="2"/>
  <c r="C5354" i="2"/>
  <c r="B5354" i="2"/>
  <c r="A5354" i="2"/>
  <c r="E5353" i="2"/>
  <c r="D5353" i="2"/>
  <c r="C5353" i="2"/>
  <c r="B5353" i="2"/>
  <c r="A5353" i="2"/>
  <c r="E5352" i="2"/>
  <c r="D5352" i="2"/>
  <c r="C5352" i="2"/>
  <c r="B5352" i="2"/>
  <c r="A5352" i="2"/>
  <c r="E5351" i="2"/>
  <c r="D5351" i="2"/>
  <c r="C5351" i="2"/>
  <c r="B5351" i="2"/>
  <c r="A5351" i="2"/>
  <c r="E5350" i="2"/>
  <c r="D5350" i="2"/>
  <c r="C5350" i="2"/>
  <c r="B5350" i="2"/>
  <c r="A5350" i="2"/>
  <c r="E5349" i="2"/>
  <c r="D5349" i="2"/>
  <c r="C5349" i="2"/>
  <c r="B5349" i="2"/>
  <c r="A5349" i="2"/>
  <c r="E5348" i="2"/>
  <c r="D5348" i="2"/>
  <c r="C5348" i="2"/>
  <c r="B5348" i="2"/>
  <c r="A5348" i="2"/>
  <c r="E5347" i="2"/>
  <c r="D5347" i="2"/>
  <c r="C5347" i="2"/>
  <c r="B5347" i="2"/>
  <c r="A5347" i="2"/>
  <c r="E5346" i="2"/>
  <c r="D5346" i="2"/>
  <c r="C5346" i="2"/>
  <c r="B5346" i="2"/>
  <c r="A5346" i="2"/>
  <c r="E5345" i="2"/>
  <c r="D5345" i="2"/>
  <c r="C5345" i="2"/>
  <c r="B5345" i="2"/>
  <c r="A5345" i="2"/>
  <c r="E5344" i="2"/>
  <c r="D5344" i="2"/>
  <c r="C5344" i="2"/>
  <c r="B5344" i="2"/>
  <c r="A5344" i="2"/>
  <c r="E5343" i="2"/>
  <c r="D5343" i="2"/>
  <c r="C5343" i="2"/>
  <c r="B5343" i="2"/>
  <c r="A5343" i="2"/>
  <c r="E5342" i="2"/>
  <c r="D5342" i="2"/>
  <c r="C5342" i="2"/>
  <c r="B5342" i="2"/>
  <c r="A5342" i="2"/>
  <c r="E5341" i="2"/>
  <c r="D5341" i="2"/>
  <c r="C5341" i="2"/>
  <c r="B5341" i="2"/>
  <c r="A5341" i="2"/>
  <c r="E5340" i="2"/>
  <c r="D5340" i="2"/>
  <c r="C5340" i="2"/>
  <c r="B5340" i="2"/>
  <c r="A5340" i="2"/>
  <c r="E5339" i="2"/>
  <c r="D5339" i="2"/>
  <c r="C5339" i="2"/>
  <c r="B5339" i="2"/>
  <c r="A5339" i="2"/>
  <c r="E5338" i="2"/>
  <c r="D5338" i="2"/>
  <c r="C5338" i="2"/>
  <c r="B5338" i="2"/>
  <c r="A5338" i="2"/>
  <c r="E5337" i="2"/>
  <c r="D5337" i="2"/>
  <c r="C5337" i="2"/>
  <c r="B5337" i="2"/>
  <c r="A5337" i="2"/>
  <c r="E5336" i="2"/>
  <c r="D5336" i="2"/>
  <c r="C5336" i="2"/>
  <c r="B5336" i="2"/>
  <c r="A5336" i="2"/>
  <c r="E5335" i="2"/>
  <c r="D5335" i="2"/>
  <c r="C5335" i="2"/>
  <c r="B5335" i="2"/>
  <c r="A5335" i="2"/>
  <c r="E5334" i="2"/>
  <c r="D5334" i="2"/>
  <c r="C5334" i="2"/>
  <c r="B5334" i="2"/>
  <c r="A5334" i="2"/>
  <c r="E5333" i="2"/>
  <c r="D5333" i="2"/>
  <c r="C5333" i="2"/>
  <c r="B5333" i="2"/>
  <c r="A5333" i="2"/>
  <c r="E5332" i="2"/>
  <c r="D5332" i="2"/>
  <c r="C5332" i="2"/>
  <c r="B5332" i="2"/>
  <c r="A5332" i="2"/>
  <c r="E5331" i="2"/>
  <c r="D5331" i="2"/>
  <c r="C5331" i="2"/>
  <c r="B5331" i="2"/>
  <c r="A5331" i="2"/>
  <c r="E5330" i="2"/>
  <c r="D5330" i="2"/>
  <c r="C5330" i="2"/>
  <c r="B5330" i="2"/>
  <c r="A5330" i="2"/>
  <c r="E5329" i="2"/>
  <c r="D5329" i="2"/>
  <c r="C5329" i="2"/>
  <c r="B5329" i="2"/>
  <c r="A5329" i="2"/>
  <c r="E5328" i="2"/>
  <c r="D5328" i="2"/>
  <c r="C5328" i="2"/>
  <c r="B5328" i="2"/>
  <c r="A5328" i="2"/>
  <c r="E5327" i="2"/>
  <c r="D5327" i="2"/>
  <c r="C5327" i="2"/>
  <c r="B5327" i="2"/>
  <c r="A5327" i="2"/>
  <c r="E5326" i="2"/>
  <c r="D5326" i="2"/>
  <c r="C5326" i="2"/>
  <c r="B5326" i="2"/>
  <c r="A5326" i="2"/>
  <c r="E5325" i="2"/>
  <c r="D5325" i="2"/>
  <c r="C5325" i="2"/>
  <c r="B5325" i="2"/>
  <c r="A5325" i="2"/>
  <c r="E5324" i="2"/>
  <c r="D5324" i="2"/>
  <c r="C5324" i="2"/>
  <c r="B5324" i="2"/>
  <c r="A5324" i="2"/>
  <c r="E5323" i="2"/>
  <c r="D5323" i="2"/>
  <c r="C5323" i="2"/>
  <c r="B5323" i="2"/>
  <c r="A5323" i="2"/>
  <c r="E5322" i="2"/>
  <c r="D5322" i="2"/>
  <c r="C5322" i="2"/>
  <c r="B5322" i="2"/>
  <c r="A5322" i="2"/>
  <c r="E5321" i="2"/>
  <c r="D5321" i="2"/>
  <c r="C5321" i="2"/>
  <c r="B5321" i="2"/>
  <c r="A5321" i="2"/>
  <c r="E5320" i="2"/>
  <c r="D5320" i="2"/>
  <c r="C5320" i="2"/>
  <c r="B5320" i="2"/>
  <c r="A5320" i="2"/>
  <c r="E5319" i="2"/>
  <c r="D5319" i="2"/>
  <c r="C5319" i="2"/>
  <c r="B5319" i="2"/>
  <c r="A5319" i="2"/>
  <c r="E5318" i="2"/>
  <c r="D5318" i="2"/>
  <c r="C5318" i="2"/>
  <c r="B5318" i="2"/>
  <c r="A5318" i="2"/>
  <c r="E5317" i="2"/>
  <c r="D5317" i="2"/>
  <c r="C5317" i="2"/>
  <c r="B5317" i="2"/>
  <c r="A5317" i="2"/>
  <c r="E5316" i="2"/>
  <c r="D5316" i="2"/>
  <c r="C5316" i="2"/>
  <c r="B5316" i="2"/>
  <c r="A5316" i="2"/>
  <c r="E5315" i="2"/>
  <c r="D5315" i="2"/>
  <c r="C5315" i="2"/>
  <c r="B5315" i="2"/>
  <c r="A5315" i="2"/>
  <c r="E5314" i="2"/>
  <c r="D5314" i="2"/>
  <c r="C5314" i="2"/>
  <c r="B5314" i="2"/>
  <c r="A5314" i="2"/>
  <c r="E5313" i="2"/>
  <c r="D5313" i="2"/>
  <c r="C5313" i="2"/>
  <c r="B5313" i="2"/>
  <c r="A5313" i="2"/>
  <c r="E5312" i="2"/>
  <c r="D5312" i="2"/>
  <c r="C5312" i="2"/>
  <c r="B5312" i="2"/>
  <c r="A5312" i="2"/>
  <c r="E5311" i="2"/>
  <c r="D5311" i="2"/>
  <c r="C5311" i="2"/>
  <c r="B5311" i="2"/>
  <c r="A5311" i="2"/>
  <c r="E5310" i="2"/>
  <c r="D5310" i="2"/>
  <c r="C5310" i="2"/>
  <c r="B5310" i="2"/>
  <c r="A5310" i="2"/>
  <c r="E5309" i="2"/>
  <c r="D5309" i="2"/>
  <c r="C5309" i="2"/>
  <c r="B5309" i="2"/>
  <c r="A5309" i="2"/>
  <c r="E5308" i="2"/>
  <c r="D5308" i="2"/>
  <c r="C5308" i="2"/>
  <c r="B5308" i="2"/>
  <c r="A5308" i="2"/>
  <c r="E5307" i="2"/>
  <c r="D5307" i="2"/>
  <c r="C5307" i="2"/>
  <c r="B5307" i="2"/>
  <c r="A5307" i="2"/>
  <c r="E5306" i="2"/>
  <c r="D5306" i="2"/>
  <c r="C5306" i="2"/>
  <c r="B5306" i="2"/>
  <c r="A5306" i="2"/>
  <c r="E5305" i="2"/>
  <c r="D5305" i="2"/>
  <c r="C5305" i="2"/>
  <c r="B5305" i="2"/>
  <c r="A5305" i="2"/>
  <c r="E5304" i="2"/>
  <c r="D5304" i="2"/>
  <c r="C5304" i="2"/>
  <c r="B5304" i="2"/>
  <c r="A5304" i="2"/>
  <c r="E5303" i="2"/>
  <c r="D5303" i="2"/>
  <c r="C5303" i="2"/>
  <c r="B5303" i="2"/>
  <c r="A5303" i="2"/>
  <c r="E5302" i="2"/>
  <c r="D5302" i="2"/>
  <c r="C5302" i="2"/>
  <c r="B5302" i="2"/>
  <c r="A5302" i="2"/>
  <c r="E5301" i="2"/>
  <c r="D5301" i="2"/>
  <c r="C5301" i="2"/>
  <c r="B5301" i="2"/>
  <c r="A5301" i="2"/>
  <c r="E5300" i="2"/>
  <c r="D5300" i="2"/>
  <c r="C5300" i="2"/>
  <c r="B5300" i="2"/>
  <c r="A5300" i="2"/>
  <c r="E5299" i="2"/>
  <c r="D5299" i="2"/>
  <c r="C5299" i="2"/>
  <c r="B5299" i="2"/>
  <c r="A5299" i="2"/>
  <c r="E5298" i="2"/>
  <c r="D5298" i="2"/>
  <c r="C5298" i="2"/>
  <c r="B5298" i="2"/>
  <c r="A5298" i="2"/>
  <c r="E5297" i="2"/>
  <c r="D5297" i="2"/>
  <c r="C5297" i="2"/>
  <c r="B5297" i="2"/>
  <c r="A5297" i="2"/>
  <c r="E5296" i="2"/>
  <c r="D5296" i="2"/>
  <c r="C5296" i="2"/>
  <c r="B5296" i="2"/>
  <c r="A5296" i="2"/>
  <c r="E5295" i="2"/>
  <c r="D5295" i="2"/>
  <c r="C5295" i="2"/>
  <c r="B5295" i="2"/>
  <c r="A5295" i="2"/>
  <c r="E5294" i="2"/>
  <c r="D5294" i="2"/>
  <c r="C5294" i="2"/>
  <c r="B5294" i="2"/>
  <c r="A5294" i="2"/>
  <c r="E5293" i="2"/>
  <c r="D5293" i="2"/>
  <c r="C5293" i="2"/>
  <c r="B5293" i="2"/>
  <c r="A5293" i="2"/>
  <c r="E5292" i="2"/>
  <c r="D5292" i="2"/>
  <c r="C5292" i="2"/>
  <c r="B5292" i="2"/>
  <c r="A5292" i="2"/>
  <c r="E5291" i="2"/>
  <c r="D5291" i="2"/>
  <c r="C5291" i="2"/>
  <c r="B5291" i="2"/>
  <c r="A5291" i="2"/>
  <c r="E5290" i="2"/>
  <c r="D5290" i="2"/>
  <c r="C5290" i="2"/>
  <c r="B5290" i="2"/>
  <c r="A5290" i="2"/>
  <c r="E5289" i="2"/>
  <c r="D5289" i="2"/>
  <c r="C5289" i="2"/>
  <c r="B5289" i="2"/>
  <c r="A5289" i="2"/>
  <c r="E5288" i="2"/>
  <c r="D5288" i="2"/>
  <c r="C5288" i="2"/>
  <c r="B5288" i="2"/>
  <c r="A5288" i="2"/>
  <c r="E5287" i="2"/>
  <c r="D5287" i="2"/>
  <c r="C5287" i="2"/>
  <c r="B5287" i="2"/>
  <c r="A5287" i="2"/>
  <c r="E5286" i="2"/>
  <c r="D5286" i="2"/>
  <c r="C5286" i="2"/>
  <c r="B5286" i="2"/>
  <c r="A5286" i="2"/>
  <c r="E5285" i="2"/>
  <c r="D5285" i="2"/>
  <c r="C5285" i="2"/>
  <c r="B5285" i="2"/>
  <c r="A5285" i="2"/>
  <c r="E5284" i="2"/>
  <c r="D5284" i="2"/>
  <c r="C5284" i="2"/>
  <c r="B5284" i="2"/>
  <c r="A5284" i="2"/>
  <c r="E5283" i="2"/>
  <c r="D5283" i="2"/>
  <c r="C5283" i="2"/>
  <c r="B5283" i="2"/>
  <c r="A5283" i="2"/>
  <c r="E5282" i="2"/>
  <c r="D5282" i="2"/>
  <c r="C5282" i="2"/>
  <c r="B5282" i="2"/>
  <c r="A5282" i="2"/>
  <c r="E5281" i="2"/>
  <c r="D5281" i="2"/>
  <c r="C5281" i="2"/>
  <c r="B5281" i="2"/>
  <c r="A5281" i="2"/>
  <c r="E5280" i="2"/>
  <c r="D5280" i="2"/>
  <c r="C5280" i="2"/>
  <c r="B5280" i="2"/>
  <c r="A5280" i="2"/>
  <c r="E5279" i="2"/>
  <c r="D5279" i="2"/>
  <c r="C5279" i="2"/>
  <c r="B5279" i="2"/>
  <c r="A5279" i="2"/>
  <c r="E5278" i="2"/>
  <c r="D5278" i="2"/>
  <c r="C5278" i="2"/>
  <c r="B5278" i="2"/>
  <c r="A5278" i="2"/>
  <c r="E5277" i="2"/>
  <c r="D5277" i="2"/>
  <c r="C5277" i="2"/>
  <c r="B5277" i="2"/>
  <c r="A5277" i="2"/>
  <c r="E5276" i="2"/>
  <c r="D5276" i="2"/>
  <c r="C5276" i="2"/>
  <c r="B5276" i="2"/>
  <c r="A5276" i="2"/>
  <c r="E5275" i="2"/>
  <c r="D5275" i="2"/>
  <c r="C5275" i="2"/>
  <c r="B5275" i="2"/>
  <c r="A5275" i="2"/>
  <c r="E5274" i="2"/>
  <c r="D5274" i="2"/>
  <c r="C5274" i="2"/>
  <c r="B5274" i="2"/>
  <c r="A5274" i="2"/>
  <c r="E5273" i="2"/>
  <c r="D5273" i="2"/>
  <c r="C5273" i="2"/>
  <c r="B5273" i="2"/>
  <c r="A5273" i="2"/>
  <c r="E5272" i="2"/>
  <c r="D5272" i="2"/>
  <c r="C5272" i="2"/>
  <c r="B5272" i="2"/>
  <c r="A5272" i="2"/>
  <c r="E5271" i="2"/>
  <c r="D5271" i="2"/>
  <c r="C5271" i="2"/>
  <c r="B5271" i="2"/>
  <c r="A5271" i="2"/>
  <c r="E5270" i="2"/>
  <c r="D5270" i="2"/>
  <c r="C5270" i="2"/>
  <c r="B5270" i="2"/>
  <c r="A5270" i="2"/>
  <c r="E5269" i="2"/>
  <c r="D5269" i="2"/>
  <c r="C5269" i="2"/>
  <c r="B5269" i="2"/>
  <c r="A5269" i="2"/>
  <c r="E5268" i="2"/>
  <c r="D5268" i="2"/>
  <c r="C5268" i="2"/>
  <c r="B5268" i="2"/>
  <c r="A5268" i="2"/>
  <c r="E5267" i="2"/>
  <c r="D5267" i="2"/>
  <c r="C5267" i="2"/>
  <c r="B5267" i="2"/>
  <c r="A5267" i="2"/>
  <c r="E5266" i="2"/>
  <c r="D5266" i="2"/>
  <c r="C5266" i="2"/>
  <c r="B5266" i="2"/>
  <c r="A5266" i="2"/>
  <c r="E5265" i="2"/>
  <c r="D5265" i="2"/>
  <c r="C5265" i="2"/>
  <c r="B5265" i="2"/>
  <c r="A5265" i="2"/>
  <c r="E5264" i="2"/>
  <c r="D5264" i="2"/>
  <c r="C5264" i="2"/>
  <c r="B5264" i="2"/>
  <c r="A5264" i="2"/>
  <c r="E5263" i="2"/>
  <c r="D5263" i="2"/>
  <c r="C5263" i="2"/>
  <c r="B5263" i="2"/>
  <c r="A5263" i="2"/>
  <c r="E5262" i="2"/>
  <c r="D5262" i="2"/>
  <c r="C5262" i="2"/>
  <c r="B5262" i="2"/>
  <c r="A5262" i="2"/>
  <c r="E5261" i="2"/>
  <c r="D5261" i="2"/>
  <c r="C5261" i="2"/>
  <c r="B5261" i="2"/>
  <c r="A5261" i="2"/>
  <c r="E5260" i="2"/>
  <c r="D5260" i="2"/>
  <c r="C5260" i="2"/>
  <c r="B5260" i="2"/>
  <c r="A5260" i="2"/>
  <c r="E5259" i="2"/>
  <c r="D5259" i="2"/>
  <c r="C5259" i="2"/>
  <c r="B5259" i="2"/>
  <c r="A5259" i="2"/>
  <c r="E5258" i="2"/>
  <c r="D5258" i="2"/>
  <c r="C5258" i="2"/>
  <c r="B5258" i="2"/>
  <c r="A5258" i="2"/>
  <c r="E5257" i="2"/>
  <c r="D5257" i="2"/>
  <c r="C5257" i="2"/>
  <c r="B5257" i="2"/>
  <c r="A5257" i="2"/>
  <c r="E5256" i="2"/>
  <c r="D5256" i="2"/>
  <c r="C5256" i="2"/>
  <c r="B5256" i="2"/>
  <c r="A5256" i="2"/>
  <c r="E5255" i="2"/>
  <c r="D5255" i="2"/>
  <c r="C5255" i="2"/>
  <c r="B5255" i="2"/>
  <c r="A5255" i="2"/>
  <c r="E5254" i="2"/>
  <c r="D5254" i="2"/>
  <c r="C5254" i="2"/>
  <c r="B5254" i="2"/>
  <c r="A5254" i="2"/>
  <c r="E5253" i="2"/>
  <c r="D5253" i="2"/>
  <c r="C5253" i="2"/>
  <c r="B5253" i="2"/>
  <c r="A5253" i="2"/>
  <c r="E5252" i="2"/>
  <c r="D5252" i="2"/>
  <c r="C5252" i="2"/>
  <c r="B5252" i="2"/>
  <c r="A5252" i="2"/>
  <c r="E5251" i="2"/>
  <c r="D5251" i="2"/>
  <c r="C5251" i="2"/>
  <c r="B5251" i="2"/>
  <c r="A5251" i="2"/>
  <c r="E5250" i="2"/>
  <c r="D5250" i="2"/>
  <c r="C5250" i="2"/>
  <c r="B5250" i="2"/>
  <c r="A5250" i="2"/>
  <c r="E5249" i="2"/>
  <c r="D5249" i="2"/>
  <c r="C5249" i="2"/>
  <c r="B5249" i="2"/>
  <c r="A5249" i="2"/>
  <c r="E5248" i="2"/>
  <c r="D5248" i="2"/>
  <c r="C5248" i="2"/>
  <c r="B5248" i="2"/>
  <c r="A5248" i="2"/>
  <c r="E5247" i="2"/>
  <c r="D5247" i="2"/>
  <c r="C5247" i="2"/>
  <c r="B5247" i="2"/>
  <c r="A5247" i="2"/>
  <c r="E5246" i="2"/>
  <c r="D5246" i="2"/>
  <c r="C5246" i="2"/>
  <c r="B5246" i="2"/>
  <c r="A5246" i="2"/>
  <c r="E5245" i="2"/>
  <c r="D5245" i="2"/>
  <c r="C5245" i="2"/>
  <c r="B5245" i="2"/>
  <c r="A5245" i="2"/>
  <c r="E5244" i="2"/>
  <c r="D5244" i="2"/>
  <c r="C5244" i="2"/>
  <c r="B5244" i="2"/>
  <c r="A5244" i="2"/>
  <c r="E5243" i="2"/>
  <c r="D5243" i="2"/>
  <c r="C5243" i="2"/>
  <c r="B5243" i="2"/>
  <c r="A5243" i="2"/>
  <c r="E5242" i="2"/>
  <c r="D5242" i="2"/>
  <c r="C5242" i="2"/>
  <c r="B5242" i="2"/>
  <c r="A5242" i="2"/>
  <c r="E5241" i="2"/>
  <c r="D5241" i="2"/>
  <c r="C5241" i="2"/>
  <c r="B5241" i="2"/>
  <c r="A5241" i="2"/>
  <c r="E5240" i="2"/>
  <c r="D5240" i="2"/>
  <c r="C5240" i="2"/>
  <c r="B5240" i="2"/>
  <c r="A5240" i="2"/>
  <c r="E5239" i="2"/>
  <c r="D5239" i="2"/>
  <c r="C5239" i="2"/>
  <c r="B5239" i="2"/>
  <c r="A5239" i="2"/>
  <c r="E5238" i="2"/>
  <c r="D5238" i="2"/>
  <c r="C5238" i="2"/>
  <c r="B5238" i="2"/>
  <c r="A5238" i="2"/>
  <c r="E5237" i="2"/>
  <c r="D5237" i="2"/>
  <c r="C5237" i="2"/>
  <c r="B5237" i="2"/>
  <c r="A5237" i="2"/>
  <c r="E5236" i="2"/>
  <c r="D5236" i="2"/>
  <c r="C5236" i="2"/>
  <c r="B5236" i="2"/>
  <c r="A5236" i="2"/>
  <c r="E5235" i="2"/>
  <c r="D5235" i="2"/>
  <c r="C5235" i="2"/>
  <c r="B5235" i="2"/>
  <c r="A5235" i="2"/>
  <c r="E5234" i="2"/>
  <c r="D5234" i="2"/>
  <c r="C5234" i="2"/>
  <c r="B5234" i="2"/>
  <c r="A5234" i="2"/>
  <c r="E5233" i="2"/>
  <c r="D5233" i="2"/>
  <c r="C5233" i="2"/>
  <c r="B5233" i="2"/>
  <c r="A5233" i="2"/>
  <c r="E5232" i="2"/>
  <c r="D5232" i="2"/>
  <c r="C5232" i="2"/>
  <c r="B5232" i="2"/>
  <c r="A5232" i="2"/>
  <c r="E5231" i="2"/>
  <c r="D5231" i="2"/>
  <c r="C5231" i="2"/>
  <c r="B5231" i="2"/>
  <c r="A5231" i="2"/>
  <c r="E5230" i="2"/>
  <c r="D5230" i="2"/>
  <c r="C5230" i="2"/>
  <c r="B5230" i="2"/>
  <c r="A5230" i="2"/>
  <c r="E5229" i="2"/>
  <c r="D5229" i="2"/>
  <c r="C5229" i="2"/>
  <c r="B5229" i="2"/>
  <c r="A5229" i="2"/>
  <c r="E5228" i="2"/>
  <c r="D5228" i="2"/>
  <c r="C5228" i="2"/>
  <c r="B5228" i="2"/>
  <c r="A5228" i="2"/>
  <c r="E5227" i="2"/>
  <c r="D5227" i="2"/>
  <c r="C5227" i="2"/>
  <c r="B5227" i="2"/>
  <c r="A5227" i="2"/>
  <c r="E5226" i="2"/>
  <c r="D5226" i="2"/>
  <c r="C5226" i="2"/>
  <c r="B5226" i="2"/>
  <c r="A5226" i="2"/>
  <c r="E5225" i="2"/>
  <c r="D5225" i="2"/>
  <c r="C5225" i="2"/>
  <c r="B5225" i="2"/>
  <c r="A5225" i="2"/>
  <c r="E5224" i="2"/>
  <c r="D5224" i="2"/>
  <c r="C5224" i="2"/>
  <c r="B5224" i="2"/>
  <c r="A5224" i="2"/>
  <c r="E5223" i="2"/>
  <c r="D5223" i="2"/>
  <c r="C5223" i="2"/>
  <c r="B5223" i="2"/>
  <c r="A5223" i="2"/>
  <c r="E5222" i="2"/>
  <c r="D5222" i="2"/>
  <c r="C5222" i="2"/>
  <c r="B5222" i="2"/>
  <c r="A5222" i="2"/>
  <c r="E5221" i="2"/>
  <c r="D5221" i="2"/>
  <c r="C5221" i="2"/>
  <c r="B5221" i="2"/>
  <c r="A5221" i="2"/>
  <c r="E5220" i="2"/>
  <c r="D5220" i="2"/>
  <c r="C5220" i="2"/>
  <c r="B5220" i="2"/>
  <c r="A5220" i="2"/>
  <c r="E5219" i="2"/>
  <c r="D5219" i="2"/>
  <c r="C5219" i="2"/>
  <c r="B5219" i="2"/>
  <c r="A5219" i="2"/>
  <c r="E5218" i="2"/>
  <c r="D5218" i="2"/>
  <c r="C5218" i="2"/>
  <c r="B5218" i="2"/>
  <c r="A5218" i="2"/>
  <c r="E5217" i="2"/>
  <c r="D5217" i="2"/>
  <c r="C5217" i="2"/>
  <c r="B5217" i="2"/>
  <c r="A5217" i="2"/>
  <c r="E5216" i="2"/>
  <c r="D5216" i="2"/>
  <c r="C5216" i="2"/>
  <c r="B5216" i="2"/>
  <c r="A5216" i="2"/>
  <c r="E5215" i="2"/>
  <c r="D5215" i="2"/>
  <c r="C5215" i="2"/>
  <c r="B5215" i="2"/>
  <c r="A5215" i="2"/>
  <c r="E5214" i="2"/>
  <c r="D5214" i="2"/>
  <c r="C5214" i="2"/>
  <c r="B5214" i="2"/>
  <c r="A5214" i="2"/>
  <c r="E5213" i="2"/>
  <c r="D5213" i="2"/>
  <c r="C5213" i="2"/>
  <c r="B5213" i="2"/>
  <c r="A5213" i="2"/>
  <c r="E5212" i="2"/>
  <c r="D5212" i="2"/>
  <c r="C5212" i="2"/>
  <c r="B5212" i="2"/>
  <c r="A5212" i="2"/>
  <c r="E5211" i="2"/>
  <c r="D5211" i="2"/>
  <c r="C5211" i="2"/>
  <c r="B5211" i="2"/>
  <c r="A5211" i="2"/>
  <c r="E5210" i="2"/>
  <c r="D5210" i="2"/>
  <c r="C5210" i="2"/>
  <c r="B5210" i="2"/>
  <c r="A5210" i="2"/>
  <c r="E5209" i="2"/>
  <c r="D5209" i="2"/>
  <c r="C5209" i="2"/>
  <c r="B5209" i="2"/>
  <c r="A5209" i="2"/>
  <c r="E5208" i="2"/>
  <c r="D5208" i="2"/>
  <c r="C5208" i="2"/>
  <c r="B5208" i="2"/>
  <c r="A5208" i="2"/>
  <c r="E5207" i="2"/>
  <c r="D5207" i="2"/>
  <c r="C5207" i="2"/>
  <c r="B5207" i="2"/>
  <c r="A5207" i="2"/>
  <c r="E5206" i="2"/>
  <c r="D5206" i="2"/>
  <c r="C5206" i="2"/>
  <c r="B5206" i="2"/>
  <c r="A5206" i="2"/>
  <c r="E5205" i="2"/>
  <c r="D5205" i="2"/>
  <c r="C5205" i="2"/>
  <c r="B5205" i="2"/>
  <c r="A5205" i="2"/>
  <c r="E5204" i="2"/>
  <c r="D5204" i="2"/>
  <c r="C5204" i="2"/>
  <c r="B5204" i="2"/>
  <c r="A5204" i="2"/>
  <c r="E5203" i="2"/>
  <c r="D5203" i="2"/>
  <c r="C5203" i="2"/>
  <c r="B5203" i="2"/>
  <c r="A5203" i="2"/>
  <c r="E5202" i="2"/>
  <c r="D5202" i="2"/>
  <c r="C5202" i="2"/>
  <c r="B5202" i="2"/>
  <c r="A5202" i="2"/>
  <c r="E5201" i="2"/>
  <c r="D5201" i="2"/>
  <c r="C5201" i="2"/>
  <c r="B5201" i="2"/>
  <c r="A5201" i="2"/>
  <c r="E5200" i="2"/>
  <c r="D5200" i="2"/>
  <c r="C5200" i="2"/>
  <c r="B5200" i="2"/>
  <c r="A5200" i="2"/>
  <c r="E5199" i="2"/>
  <c r="D5199" i="2"/>
  <c r="C5199" i="2"/>
  <c r="B5199" i="2"/>
  <c r="A5199" i="2"/>
  <c r="E5198" i="2"/>
  <c r="D5198" i="2"/>
  <c r="C5198" i="2"/>
  <c r="B5198" i="2"/>
  <c r="A5198" i="2"/>
  <c r="E5197" i="2"/>
  <c r="D5197" i="2"/>
  <c r="C5197" i="2"/>
  <c r="B5197" i="2"/>
  <c r="A5197" i="2"/>
  <c r="E5196" i="2"/>
  <c r="D5196" i="2"/>
  <c r="C5196" i="2"/>
  <c r="B5196" i="2"/>
  <c r="A5196" i="2"/>
  <c r="E5195" i="2"/>
  <c r="D5195" i="2"/>
  <c r="C5195" i="2"/>
  <c r="B5195" i="2"/>
  <c r="A5195" i="2"/>
  <c r="E5194" i="2"/>
  <c r="D5194" i="2"/>
  <c r="C5194" i="2"/>
  <c r="B5194" i="2"/>
  <c r="A5194" i="2"/>
  <c r="E5193" i="2"/>
  <c r="D5193" i="2"/>
  <c r="C5193" i="2"/>
  <c r="B5193" i="2"/>
  <c r="A5193" i="2"/>
  <c r="E5192" i="2"/>
  <c r="D5192" i="2"/>
  <c r="C5192" i="2"/>
  <c r="B5192" i="2"/>
  <c r="A5192" i="2"/>
  <c r="E5191" i="2"/>
  <c r="D5191" i="2"/>
  <c r="C5191" i="2"/>
  <c r="B5191" i="2"/>
  <c r="A5191" i="2"/>
  <c r="E5190" i="2"/>
  <c r="D5190" i="2"/>
  <c r="C5190" i="2"/>
  <c r="B5190" i="2"/>
  <c r="A5190" i="2"/>
  <c r="E5189" i="2"/>
  <c r="D5189" i="2"/>
  <c r="C5189" i="2"/>
  <c r="B5189" i="2"/>
  <c r="A5189" i="2"/>
  <c r="E5188" i="2"/>
  <c r="D5188" i="2"/>
  <c r="C5188" i="2"/>
  <c r="B5188" i="2"/>
  <c r="A5188" i="2"/>
  <c r="E5187" i="2"/>
  <c r="D5187" i="2"/>
  <c r="C5187" i="2"/>
  <c r="B5187" i="2"/>
  <c r="A5187" i="2"/>
  <c r="E5186" i="2"/>
  <c r="D5186" i="2"/>
  <c r="C5186" i="2"/>
  <c r="B5186" i="2"/>
  <c r="A5186" i="2"/>
  <c r="E5185" i="2"/>
  <c r="D5185" i="2"/>
  <c r="C5185" i="2"/>
  <c r="B5185" i="2"/>
  <c r="A5185" i="2"/>
  <c r="E5184" i="2"/>
  <c r="D5184" i="2"/>
  <c r="C5184" i="2"/>
  <c r="B5184" i="2"/>
  <c r="A5184" i="2"/>
  <c r="E5183" i="2"/>
  <c r="D5183" i="2"/>
  <c r="C5183" i="2"/>
  <c r="B5183" i="2"/>
  <c r="A5183" i="2"/>
  <c r="E5182" i="2"/>
  <c r="D5182" i="2"/>
  <c r="C5182" i="2"/>
  <c r="B5182" i="2"/>
  <c r="A5182" i="2"/>
  <c r="E5181" i="2"/>
  <c r="D5181" i="2"/>
  <c r="C5181" i="2"/>
  <c r="B5181" i="2"/>
  <c r="A5181" i="2"/>
  <c r="E5180" i="2"/>
  <c r="D5180" i="2"/>
  <c r="C5180" i="2"/>
  <c r="B5180" i="2"/>
  <c r="A5180" i="2"/>
  <c r="E5179" i="2"/>
  <c r="D5179" i="2"/>
  <c r="C5179" i="2"/>
  <c r="B5179" i="2"/>
  <c r="A5179" i="2"/>
  <c r="E5178" i="2"/>
  <c r="D5178" i="2"/>
  <c r="C5178" i="2"/>
  <c r="B5178" i="2"/>
  <c r="A5178" i="2"/>
  <c r="E5177" i="2"/>
  <c r="D5177" i="2"/>
  <c r="C5177" i="2"/>
  <c r="B5177" i="2"/>
  <c r="A5177" i="2"/>
  <c r="E5176" i="2"/>
  <c r="D5176" i="2"/>
  <c r="C5176" i="2"/>
  <c r="B5176" i="2"/>
  <c r="A5176" i="2"/>
  <c r="E5175" i="2"/>
  <c r="D5175" i="2"/>
  <c r="C5175" i="2"/>
  <c r="B5175" i="2"/>
  <c r="A5175" i="2"/>
  <c r="E5174" i="2"/>
  <c r="D5174" i="2"/>
  <c r="C5174" i="2"/>
  <c r="B5174" i="2"/>
  <c r="A5174" i="2"/>
  <c r="E5173" i="2"/>
  <c r="D5173" i="2"/>
  <c r="C5173" i="2"/>
  <c r="B5173" i="2"/>
  <c r="A5173" i="2"/>
  <c r="E5172" i="2"/>
  <c r="D5172" i="2"/>
  <c r="C5172" i="2"/>
  <c r="B5172" i="2"/>
  <c r="A5172" i="2"/>
  <c r="E5171" i="2"/>
  <c r="D5171" i="2"/>
  <c r="C5171" i="2"/>
  <c r="B5171" i="2"/>
  <c r="A5171" i="2"/>
  <c r="E5170" i="2"/>
  <c r="D5170" i="2"/>
  <c r="C5170" i="2"/>
  <c r="B5170" i="2"/>
  <c r="A5170" i="2"/>
  <c r="E5169" i="2"/>
  <c r="D5169" i="2"/>
  <c r="C5169" i="2"/>
  <c r="B5169" i="2"/>
  <c r="A5169" i="2"/>
  <c r="E5168" i="2"/>
  <c r="D5168" i="2"/>
  <c r="C5168" i="2"/>
  <c r="B5168" i="2"/>
  <c r="A5168" i="2"/>
  <c r="E5167" i="2"/>
  <c r="D5167" i="2"/>
  <c r="C5167" i="2"/>
  <c r="B5167" i="2"/>
  <c r="A5167" i="2"/>
  <c r="E5166" i="2"/>
  <c r="D5166" i="2"/>
  <c r="C5166" i="2"/>
  <c r="B5166" i="2"/>
  <c r="A5166" i="2"/>
  <c r="E5165" i="2"/>
  <c r="D5165" i="2"/>
  <c r="C5165" i="2"/>
  <c r="B5165" i="2"/>
  <c r="A5165" i="2"/>
  <c r="E5164" i="2"/>
  <c r="D5164" i="2"/>
  <c r="C5164" i="2"/>
  <c r="B5164" i="2"/>
  <c r="A5164" i="2"/>
  <c r="E5163" i="2"/>
  <c r="D5163" i="2"/>
  <c r="C5163" i="2"/>
  <c r="B5163" i="2"/>
  <c r="A5163" i="2"/>
  <c r="E5162" i="2"/>
  <c r="D5162" i="2"/>
  <c r="C5162" i="2"/>
  <c r="B5162" i="2"/>
  <c r="A5162" i="2"/>
  <c r="E5161" i="2"/>
  <c r="D5161" i="2"/>
  <c r="C5161" i="2"/>
  <c r="B5161" i="2"/>
  <c r="A5161" i="2"/>
  <c r="E5160" i="2"/>
  <c r="D5160" i="2"/>
  <c r="C5160" i="2"/>
  <c r="B5160" i="2"/>
  <c r="A5160" i="2"/>
  <c r="E5159" i="2"/>
  <c r="D5159" i="2"/>
  <c r="C5159" i="2"/>
  <c r="B5159" i="2"/>
  <c r="A5159" i="2"/>
  <c r="E5158" i="2"/>
  <c r="D5158" i="2"/>
  <c r="C5158" i="2"/>
  <c r="B5158" i="2"/>
  <c r="A5158" i="2"/>
  <c r="E5157" i="2"/>
  <c r="D5157" i="2"/>
  <c r="C5157" i="2"/>
  <c r="B5157" i="2"/>
  <c r="A5157" i="2"/>
  <c r="E5156" i="2"/>
  <c r="D5156" i="2"/>
  <c r="C5156" i="2"/>
  <c r="B5156" i="2"/>
  <c r="A5156" i="2"/>
  <c r="E5155" i="2"/>
  <c r="D5155" i="2"/>
  <c r="C5155" i="2"/>
  <c r="B5155" i="2"/>
  <c r="A5155" i="2"/>
  <c r="E5154" i="2"/>
  <c r="D5154" i="2"/>
  <c r="C5154" i="2"/>
  <c r="B5154" i="2"/>
  <c r="A5154" i="2"/>
  <c r="E5153" i="2"/>
  <c r="D5153" i="2"/>
  <c r="C5153" i="2"/>
  <c r="B5153" i="2"/>
  <c r="A5153" i="2"/>
  <c r="E5152" i="2"/>
  <c r="D5152" i="2"/>
  <c r="C5152" i="2"/>
  <c r="B5152" i="2"/>
  <c r="A5152" i="2"/>
  <c r="E5151" i="2"/>
  <c r="D5151" i="2"/>
  <c r="C5151" i="2"/>
  <c r="B5151" i="2"/>
  <c r="A5151" i="2"/>
  <c r="E5150" i="2"/>
  <c r="D5150" i="2"/>
  <c r="C5150" i="2"/>
  <c r="B5150" i="2"/>
  <c r="A5150" i="2"/>
  <c r="E5149" i="2"/>
  <c r="D5149" i="2"/>
  <c r="C5149" i="2"/>
  <c r="B5149" i="2"/>
  <c r="A5149" i="2"/>
  <c r="E5148" i="2"/>
  <c r="D5148" i="2"/>
  <c r="C5148" i="2"/>
  <c r="B5148" i="2"/>
  <c r="A5148" i="2"/>
  <c r="E5147" i="2"/>
  <c r="D5147" i="2"/>
  <c r="C5147" i="2"/>
  <c r="B5147" i="2"/>
  <c r="A5147" i="2"/>
  <c r="E5146" i="2"/>
  <c r="D5146" i="2"/>
  <c r="C5146" i="2"/>
  <c r="B5146" i="2"/>
  <c r="A5146" i="2"/>
  <c r="E5145" i="2"/>
  <c r="D5145" i="2"/>
  <c r="C5145" i="2"/>
  <c r="B5145" i="2"/>
  <c r="A5145" i="2"/>
  <c r="E5144" i="2"/>
  <c r="D5144" i="2"/>
  <c r="C5144" i="2"/>
  <c r="B5144" i="2"/>
  <c r="A5144" i="2"/>
  <c r="E5143" i="2"/>
  <c r="D5143" i="2"/>
  <c r="C5143" i="2"/>
  <c r="B5143" i="2"/>
  <c r="A5143" i="2"/>
  <c r="E5142" i="2"/>
  <c r="D5142" i="2"/>
  <c r="C5142" i="2"/>
  <c r="B5142" i="2"/>
  <c r="A5142" i="2"/>
  <c r="E5141" i="2"/>
  <c r="D5141" i="2"/>
  <c r="C5141" i="2"/>
  <c r="B5141" i="2"/>
  <c r="A5141" i="2"/>
  <c r="E5140" i="2"/>
  <c r="D5140" i="2"/>
  <c r="C5140" i="2"/>
  <c r="B5140" i="2"/>
  <c r="A5140" i="2"/>
  <c r="E5139" i="2"/>
  <c r="D5139" i="2"/>
  <c r="C5139" i="2"/>
  <c r="B5139" i="2"/>
  <c r="A5139" i="2"/>
  <c r="E5138" i="2"/>
  <c r="D5138" i="2"/>
  <c r="C5138" i="2"/>
  <c r="B5138" i="2"/>
  <c r="A5138" i="2"/>
  <c r="E5137" i="2"/>
  <c r="D5137" i="2"/>
  <c r="C5137" i="2"/>
  <c r="B5137" i="2"/>
  <c r="A5137" i="2"/>
  <c r="E5136" i="2"/>
  <c r="D5136" i="2"/>
  <c r="C5136" i="2"/>
  <c r="B5136" i="2"/>
  <c r="A5136" i="2"/>
  <c r="E5135" i="2"/>
  <c r="D5135" i="2"/>
  <c r="C5135" i="2"/>
  <c r="B5135" i="2"/>
  <c r="A5135" i="2"/>
  <c r="E5134" i="2"/>
  <c r="D5134" i="2"/>
  <c r="C5134" i="2"/>
  <c r="B5134" i="2"/>
  <c r="A5134" i="2"/>
  <c r="E5133" i="2"/>
  <c r="D5133" i="2"/>
  <c r="C5133" i="2"/>
  <c r="B5133" i="2"/>
  <c r="A5133" i="2"/>
  <c r="E5132" i="2"/>
  <c r="D5132" i="2"/>
  <c r="C5132" i="2"/>
  <c r="B5132" i="2"/>
  <c r="A5132" i="2"/>
  <c r="E5131" i="2"/>
  <c r="D5131" i="2"/>
  <c r="C5131" i="2"/>
  <c r="B5131" i="2"/>
  <c r="A5131" i="2"/>
  <c r="E5130" i="2"/>
  <c r="D5130" i="2"/>
  <c r="C5130" i="2"/>
  <c r="B5130" i="2"/>
  <c r="A5130" i="2"/>
  <c r="E5129" i="2"/>
  <c r="D5129" i="2"/>
  <c r="C5129" i="2"/>
  <c r="B5129" i="2"/>
  <c r="A5129" i="2"/>
  <c r="E5128" i="2"/>
  <c r="D5128" i="2"/>
  <c r="C5128" i="2"/>
  <c r="B5128" i="2"/>
  <c r="A5128" i="2"/>
  <c r="E5127" i="2"/>
  <c r="D5127" i="2"/>
  <c r="C5127" i="2"/>
  <c r="B5127" i="2"/>
  <c r="A5127" i="2"/>
  <c r="E5126" i="2"/>
  <c r="D5126" i="2"/>
  <c r="C5126" i="2"/>
  <c r="B5126" i="2"/>
  <c r="A5126" i="2"/>
  <c r="E5125" i="2"/>
  <c r="D5125" i="2"/>
  <c r="C5125" i="2"/>
  <c r="B5125" i="2"/>
  <c r="A5125" i="2"/>
  <c r="E5124" i="2"/>
  <c r="D5124" i="2"/>
  <c r="C5124" i="2"/>
  <c r="B5124" i="2"/>
  <c r="A5124" i="2"/>
  <c r="E5123" i="2"/>
  <c r="D5123" i="2"/>
  <c r="C5123" i="2"/>
  <c r="B5123" i="2"/>
  <c r="A5123" i="2"/>
  <c r="E5122" i="2"/>
  <c r="D5122" i="2"/>
  <c r="C5122" i="2"/>
  <c r="B5122" i="2"/>
  <c r="A5122" i="2"/>
  <c r="E5121" i="2"/>
  <c r="D5121" i="2"/>
  <c r="C5121" i="2"/>
  <c r="B5121" i="2"/>
  <c r="A5121" i="2"/>
  <c r="E5120" i="2"/>
  <c r="D5120" i="2"/>
  <c r="C5120" i="2"/>
  <c r="B5120" i="2"/>
  <c r="A5120" i="2"/>
  <c r="E5119" i="2"/>
  <c r="D5119" i="2"/>
  <c r="C5119" i="2"/>
  <c r="B5119" i="2"/>
  <c r="A5119" i="2"/>
  <c r="E5118" i="2"/>
  <c r="D5118" i="2"/>
  <c r="C5118" i="2"/>
  <c r="B5118" i="2"/>
  <c r="A5118" i="2"/>
  <c r="E5117" i="2"/>
  <c r="D5117" i="2"/>
  <c r="C5117" i="2"/>
  <c r="B5117" i="2"/>
  <c r="A5117" i="2"/>
  <c r="E5116" i="2"/>
  <c r="D5116" i="2"/>
  <c r="C5116" i="2"/>
  <c r="B5116" i="2"/>
  <c r="A5116" i="2"/>
  <c r="E5115" i="2"/>
  <c r="D5115" i="2"/>
  <c r="C5115" i="2"/>
  <c r="B5115" i="2"/>
  <c r="A5115" i="2"/>
  <c r="E5114" i="2"/>
  <c r="D5114" i="2"/>
  <c r="C5114" i="2"/>
  <c r="B5114" i="2"/>
  <c r="A5114" i="2"/>
  <c r="E5113" i="2"/>
  <c r="D5113" i="2"/>
  <c r="C5113" i="2"/>
  <c r="B5113" i="2"/>
  <c r="A5113" i="2"/>
  <c r="E5112" i="2"/>
  <c r="D5112" i="2"/>
  <c r="C5112" i="2"/>
  <c r="B5112" i="2"/>
  <c r="A5112" i="2"/>
  <c r="E5111" i="2"/>
  <c r="D5111" i="2"/>
  <c r="C5111" i="2"/>
  <c r="B5111" i="2"/>
  <c r="A5111" i="2"/>
  <c r="E5110" i="2"/>
  <c r="D5110" i="2"/>
  <c r="C5110" i="2"/>
  <c r="B5110" i="2"/>
  <c r="A5110" i="2"/>
  <c r="E5109" i="2"/>
  <c r="D5109" i="2"/>
  <c r="C5109" i="2"/>
  <c r="B5109" i="2"/>
  <c r="A5109" i="2"/>
  <c r="E5108" i="2"/>
  <c r="D5108" i="2"/>
  <c r="C5108" i="2"/>
  <c r="B5108" i="2"/>
  <c r="A5108" i="2"/>
  <c r="E5107" i="2"/>
  <c r="D5107" i="2"/>
  <c r="C5107" i="2"/>
  <c r="B5107" i="2"/>
  <c r="A5107" i="2"/>
  <c r="E5106" i="2"/>
  <c r="D5106" i="2"/>
  <c r="C5106" i="2"/>
  <c r="B5106" i="2"/>
  <c r="A5106" i="2"/>
  <c r="E5105" i="2"/>
  <c r="D5105" i="2"/>
  <c r="C5105" i="2"/>
  <c r="B5105" i="2"/>
  <c r="A5105" i="2"/>
  <c r="E5104" i="2"/>
  <c r="D5104" i="2"/>
  <c r="C5104" i="2"/>
  <c r="B5104" i="2"/>
  <c r="A5104" i="2"/>
  <c r="E5103" i="2"/>
  <c r="D5103" i="2"/>
  <c r="C5103" i="2"/>
  <c r="B5103" i="2"/>
  <c r="A5103" i="2"/>
  <c r="E5102" i="2"/>
  <c r="D5102" i="2"/>
  <c r="C5102" i="2"/>
  <c r="B5102" i="2"/>
  <c r="A5102" i="2"/>
  <c r="E5101" i="2"/>
  <c r="D5101" i="2"/>
  <c r="C5101" i="2"/>
  <c r="B5101" i="2"/>
  <c r="A5101" i="2"/>
  <c r="E5100" i="2"/>
  <c r="D5100" i="2"/>
  <c r="C5100" i="2"/>
  <c r="B5100" i="2"/>
  <c r="A5100" i="2"/>
  <c r="E5099" i="2"/>
  <c r="D5099" i="2"/>
  <c r="C5099" i="2"/>
  <c r="B5099" i="2"/>
  <c r="A5099" i="2"/>
  <c r="E5098" i="2"/>
  <c r="D5098" i="2"/>
  <c r="C5098" i="2"/>
  <c r="B5098" i="2"/>
  <c r="A5098" i="2"/>
  <c r="E5097" i="2"/>
  <c r="D5097" i="2"/>
  <c r="C5097" i="2"/>
  <c r="B5097" i="2"/>
  <c r="A5097" i="2"/>
  <c r="E5096" i="2"/>
  <c r="D5096" i="2"/>
  <c r="C5096" i="2"/>
  <c r="B5096" i="2"/>
  <c r="A5096" i="2"/>
  <c r="E5095" i="2"/>
  <c r="D5095" i="2"/>
  <c r="C5095" i="2"/>
  <c r="B5095" i="2"/>
  <c r="A5095" i="2"/>
  <c r="E5094" i="2"/>
  <c r="D5094" i="2"/>
  <c r="C5094" i="2"/>
  <c r="B5094" i="2"/>
  <c r="A5094" i="2"/>
  <c r="E5093" i="2"/>
  <c r="D5093" i="2"/>
  <c r="C5093" i="2"/>
  <c r="B5093" i="2"/>
  <c r="A5093" i="2"/>
  <c r="E5092" i="2"/>
  <c r="D5092" i="2"/>
  <c r="C5092" i="2"/>
  <c r="B5092" i="2"/>
  <c r="A5092" i="2"/>
  <c r="E5091" i="2"/>
  <c r="D5091" i="2"/>
  <c r="C5091" i="2"/>
  <c r="B5091" i="2"/>
  <c r="A5091" i="2"/>
  <c r="E5090" i="2"/>
  <c r="D5090" i="2"/>
  <c r="C5090" i="2"/>
  <c r="B5090" i="2"/>
  <c r="A5090" i="2"/>
  <c r="E5089" i="2"/>
  <c r="D5089" i="2"/>
  <c r="C5089" i="2"/>
  <c r="B5089" i="2"/>
  <c r="A5089" i="2"/>
  <c r="E5088" i="2"/>
  <c r="D5088" i="2"/>
  <c r="C5088" i="2"/>
  <c r="B5088" i="2"/>
  <c r="A5088" i="2"/>
  <c r="E5087" i="2"/>
  <c r="D5087" i="2"/>
  <c r="C5087" i="2"/>
  <c r="B5087" i="2"/>
  <c r="A5087" i="2"/>
  <c r="E5086" i="2"/>
  <c r="D5086" i="2"/>
  <c r="C5086" i="2"/>
  <c r="B5086" i="2"/>
  <c r="A5086" i="2"/>
  <c r="E5085" i="2"/>
  <c r="D5085" i="2"/>
  <c r="C5085" i="2"/>
  <c r="B5085" i="2"/>
  <c r="A5085" i="2"/>
  <c r="E5084" i="2"/>
  <c r="D5084" i="2"/>
  <c r="C5084" i="2"/>
  <c r="B5084" i="2"/>
  <c r="A5084" i="2"/>
  <c r="E5083" i="2"/>
  <c r="D5083" i="2"/>
  <c r="C5083" i="2"/>
  <c r="B5083" i="2"/>
  <c r="A5083" i="2"/>
  <c r="E5082" i="2"/>
  <c r="D5082" i="2"/>
  <c r="C5082" i="2"/>
  <c r="B5082" i="2"/>
  <c r="A5082" i="2"/>
  <c r="E5081" i="2"/>
  <c r="D5081" i="2"/>
  <c r="C5081" i="2"/>
  <c r="B5081" i="2"/>
  <c r="A5081" i="2"/>
  <c r="E5080" i="2"/>
  <c r="D5080" i="2"/>
  <c r="C5080" i="2"/>
  <c r="B5080" i="2"/>
  <c r="A5080" i="2"/>
  <c r="E5079" i="2"/>
  <c r="D5079" i="2"/>
  <c r="C5079" i="2"/>
  <c r="B5079" i="2"/>
  <c r="A5079" i="2"/>
  <c r="E5078" i="2"/>
  <c r="D5078" i="2"/>
  <c r="C5078" i="2"/>
  <c r="B5078" i="2"/>
  <c r="A5078" i="2"/>
  <c r="E5077" i="2"/>
  <c r="D5077" i="2"/>
  <c r="C5077" i="2"/>
  <c r="B5077" i="2"/>
  <c r="A5077" i="2"/>
  <c r="E5076" i="2"/>
  <c r="D5076" i="2"/>
  <c r="C5076" i="2"/>
  <c r="B5076" i="2"/>
  <c r="A5076" i="2"/>
  <c r="E5075" i="2"/>
  <c r="D5075" i="2"/>
  <c r="C5075" i="2"/>
  <c r="B5075" i="2"/>
  <c r="A5075" i="2"/>
  <c r="E5074" i="2"/>
  <c r="D5074" i="2"/>
  <c r="C5074" i="2"/>
  <c r="B5074" i="2"/>
  <c r="A5074" i="2"/>
  <c r="E5073" i="2"/>
  <c r="D5073" i="2"/>
  <c r="C5073" i="2"/>
  <c r="B5073" i="2"/>
  <c r="A5073" i="2"/>
  <c r="E5072" i="2"/>
  <c r="D5072" i="2"/>
  <c r="C5072" i="2"/>
  <c r="B5072" i="2"/>
  <c r="A5072" i="2"/>
  <c r="E5071" i="2"/>
  <c r="D5071" i="2"/>
  <c r="C5071" i="2"/>
  <c r="B5071" i="2"/>
  <c r="A5071" i="2"/>
  <c r="E5070" i="2"/>
  <c r="D5070" i="2"/>
  <c r="C5070" i="2"/>
  <c r="B5070" i="2"/>
  <c r="A5070" i="2"/>
  <c r="E5069" i="2"/>
  <c r="D5069" i="2"/>
  <c r="C5069" i="2"/>
  <c r="B5069" i="2"/>
  <c r="A5069" i="2"/>
  <c r="E5068" i="2"/>
  <c r="D5068" i="2"/>
  <c r="C5068" i="2"/>
  <c r="B5068" i="2"/>
  <c r="A5068" i="2"/>
  <c r="E5067" i="2"/>
  <c r="D5067" i="2"/>
  <c r="C5067" i="2"/>
  <c r="B5067" i="2"/>
  <c r="A5067" i="2"/>
  <c r="E5066" i="2"/>
  <c r="D5066" i="2"/>
  <c r="C5066" i="2"/>
  <c r="B5066" i="2"/>
  <c r="A5066" i="2"/>
  <c r="E5065" i="2"/>
  <c r="D5065" i="2"/>
  <c r="C5065" i="2"/>
  <c r="B5065" i="2"/>
  <c r="A5065" i="2"/>
  <c r="E5064" i="2"/>
  <c r="D5064" i="2"/>
  <c r="C5064" i="2"/>
  <c r="B5064" i="2"/>
  <c r="A5064" i="2"/>
  <c r="E5063" i="2"/>
  <c r="D5063" i="2"/>
  <c r="C5063" i="2"/>
  <c r="B5063" i="2"/>
  <c r="A5063" i="2"/>
  <c r="E5062" i="2"/>
  <c r="D5062" i="2"/>
  <c r="C5062" i="2"/>
  <c r="B5062" i="2"/>
  <c r="A5062" i="2"/>
  <c r="E5061" i="2"/>
  <c r="D5061" i="2"/>
  <c r="C5061" i="2"/>
  <c r="B5061" i="2"/>
  <c r="A5061" i="2"/>
  <c r="E5060" i="2"/>
  <c r="D5060" i="2"/>
  <c r="C5060" i="2"/>
  <c r="B5060" i="2"/>
  <c r="A5060" i="2"/>
  <c r="E5059" i="2"/>
  <c r="D5059" i="2"/>
  <c r="C5059" i="2"/>
  <c r="B5059" i="2"/>
  <c r="A5059" i="2"/>
  <c r="E5058" i="2"/>
  <c r="D5058" i="2"/>
  <c r="C5058" i="2"/>
  <c r="B5058" i="2"/>
  <c r="A5058" i="2"/>
  <c r="E5057" i="2"/>
  <c r="D5057" i="2"/>
  <c r="C5057" i="2"/>
  <c r="B5057" i="2"/>
  <c r="A5057" i="2"/>
  <c r="E5056" i="2"/>
  <c r="D5056" i="2"/>
  <c r="C5056" i="2"/>
  <c r="B5056" i="2"/>
  <c r="A5056" i="2"/>
  <c r="E5055" i="2"/>
  <c r="D5055" i="2"/>
  <c r="C5055" i="2"/>
  <c r="B5055" i="2"/>
  <c r="A5055" i="2"/>
  <c r="E5054" i="2"/>
  <c r="D5054" i="2"/>
  <c r="C5054" i="2"/>
  <c r="B5054" i="2"/>
  <c r="A5054" i="2"/>
  <c r="E5053" i="2"/>
  <c r="D5053" i="2"/>
  <c r="C5053" i="2"/>
  <c r="B5053" i="2"/>
  <c r="A5053" i="2"/>
  <c r="E5052" i="2"/>
  <c r="D5052" i="2"/>
  <c r="C5052" i="2"/>
  <c r="B5052" i="2"/>
  <c r="A5052" i="2"/>
  <c r="E5051" i="2"/>
  <c r="D5051" i="2"/>
  <c r="C5051" i="2"/>
  <c r="B5051" i="2"/>
  <c r="A5051" i="2"/>
  <c r="E5050" i="2"/>
  <c r="D5050" i="2"/>
  <c r="C5050" i="2"/>
  <c r="B5050" i="2"/>
  <c r="A5050" i="2"/>
  <c r="E5049" i="2"/>
  <c r="D5049" i="2"/>
  <c r="C5049" i="2"/>
  <c r="B5049" i="2"/>
  <c r="A5049" i="2"/>
  <c r="E5048" i="2"/>
  <c r="D5048" i="2"/>
  <c r="C5048" i="2"/>
  <c r="B5048" i="2"/>
  <c r="A5048" i="2"/>
  <c r="E5047" i="2"/>
  <c r="D5047" i="2"/>
  <c r="C5047" i="2"/>
  <c r="B5047" i="2"/>
  <c r="A5047" i="2"/>
  <c r="E5046" i="2"/>
  <c r="D5046" i="2"/>
  <c r="C5046" i="2"/>
  <c r="B5046" i="2"/>
  <c r="A5046" i="2"/>
  <c r="E5045" i="2"/>
  <c r="D5045" i="2"/>
  <c r="C5045" i="2"/>
  <c r="B5045" i="2"/>
  <c r="A5045" i="2"/>
  <c r="E5044" i="2"/>
  <c r="D5044" i="2"/>
  <c r="C5044" i="2"/>
  <c r="B5044" i="2"/>
  <c r="A5044" i="2"/>
  <c r="E5043" i="2"/>
  <c r="D5043" i="2"/>
  <c r="C5043" i="2"/>
  <c r="B5043" i="2"/>
  <c r="A5043" i="2"/>
  <c r="E5042" i="2"/>
  <c r="D5042" i="2"/>
  <c r="C5042" i="2"/>
  <c r="B5042" i="2"/>
  <c r="A5042" i="2"/>
  <c r="E5041" i="2"/>
  <c r="D5041" i="2"/>
  <c r="C5041" i="2"/>
  <c r="B5041" i="2"/>
  <c r="A5041" i="2"/>
  <c r="E5040" i="2"/>
  <c r="D5040" i="2"/>
  <c r="C5040" i="2"/>
  <c r="B5040" i="2"/>
  <c r="A5040" i="2"/>
  <c r="E5039" i="2"/>
  <c r="D5039" i="2"/>
  <c r="C5039" i="2"/>
  <c r="B5039" i="2"/>
  <c r="A5039" i="2"/>
  <c r="E5038" i="2"/>
  <c r="D5038" i="2"/>
  <c r="C5038" i="2"/>
  <c r="B5038" i="2"/>
  <c r="A5038" i="2"/>
  <c r="E5037" i="2"/>
  <c r="D5037" i="2"/>
  <c r="C5037" i="2"/>
  <c r="B5037" i="2"/>
  <c r="A5037" i="2"/>
  <c r="E5036" i="2"/>
  <c r="D5036" i="2"/>
  <c r="C5036" i="2"/>
  <c r="B5036" i="2"/>
  <c r="A5036" i="2"/>
  <c r="E5035" i="2"/>
  <c r="D5035" i="2"/>
  <c r="C5035" i="2"/>
  <c r="B5035" i="2"/>
  <c r="A5035" i="2"/>
  <c r="E5034" i="2"/>
  <c r="D5034" i="2"/>
  <c r="C5034" i="2"/>
  <c r="B5034" i="2"/>
  <c r="A5034" i="2"/>
  <c r="E5033" i="2"/>
  <c r="D5033" i="2"/>
  <c r="C5033" i="2"/>
  <c r="B5033" i="2"/>
  <c r="A5033" i="2"/>
  <c r="E5032" i="2"/>
  <c r="D5032" i="2"/>
  <c r="C5032" i="2"/>
  <c r="B5032" i="2"/>
  <c r="A5032" i="2"/>
  <c r="E5031" i="2"/>
  <c r="D5031" i="2"/>
  <c r="C5031" i="2"/>
  <c r="B5031" i="2"/>
  <c r="A5031" i="2"/>
  <c r="E5030" i="2"/>
  <c r="D5030" i="2"/>
  <c r="C5030" i="2"/>
  <c r="B5030" i="2"/>
  <c r="A5030" i="2"/>
  <c r="E5029" i="2"/>
  <c r="D5029" i="2"/>
  <c r="C5029" i="2"/>
  <c r="B5029" i="2"/>
  <c r="A5029" i="2"/>
  <c r="E5028" i="2"/>
  <c r="D5028" i="2"/>
  <c r="C5028" i="2"/>
  <c r="B5028" i="2"/>
  <c r="A5028" i="2"/>
  <c r="E5027" i="2"/>
  <c r="D5027" i="2"/>
  <c r="C5027" i="2"/>
  <c r="B5027" i="2"/>
  <c r="A5027" i="2"/>
  <c r="E5026" i="2"/>
  <c r="D5026" i="2"/>
  <c r="C5026" i="2"/>
  <c r="B5026" i="2"/>
  <c r="A5026" i="2"/>
  <c r="E5025" i="2"/>
  <c r="D5025" i="2"/>
  <c r="C5025" i="2"/>
  <c r="B5025" i="2"/>
  <c r="A5025" i="2"/>
  <c r="E5024" i="2"/>
  <c r="D5024" i="2"/>
  <c r="C5024" i="2"/>
  <c r="B5024" i="2"/>
  <c r="A5024" i="2"/>
  <c r="E5023" i="2"/>
  <c r="D5023" i="2"/>
  <c r="C5023" i="2"/>
  <c r="B5023" i="2"/>
  <c r="A5023" i="2"/>
  <c r="E5022" i="2"/>
  <c r="D5022" i="2"/>
  <c r="C5022" i="2"/>
  <c r="B5022" i="2"/>
  <c r="A5022" i="2"/>
  <c r="E5021" i="2"/>
  <c r="D5021" i="2"/>
  <c r="C5021" i="2"/>
  <c r="B5021" i="2"/>
  <c r="A5021" i="2"/>
  <c r="E5020" i="2"/>
  <c r="D5020" i="2"/>
  <c r="C5020" i="2"/>
  <c r="B5020" i="2"/>
  <c r="A5020" i="2"/>
  <c r="E5019" i="2"/>
  <c r="D5019" i="2"/>
  <c r="C5019" i="2"/>
  <c r="B5019" i="2"/>
  <c r="A5019" i="2"/>
  <c r="E5018" i="2"/>
  <c r="D5018" i="2"/>
  <c r="C5018" i="2"/>
  <c r="B5018" i="2"/>
  <c r="A5018" i="2"/>
  <c r="E5017" i="2"/>
  <c r="D5017" i="2"/>
  <c r="C5017" i="2"/>
  <c r="B5017" i="2"/>
  <c r="A5017" i="2"/>
  <c r="E5016" i="2"/>
  <c r="D5016" i="2"/>
  <c r="C5016" i="2"/>
  <c r="B5016" i="2"/>
  <c r="A5016" i="2"/>
  <c r="E5015" i="2"/>
  <c r="D5015" i="2"/>
  <c r="C5015" i="2"/>
  <c r="B5015" i="2"/>
  <c r="A5015" i="2"/>
  <c r="E5014" i="2"/>
  <c r="D5014" i="2"/>
  <c r="C5014" i="2"/>
  <c r="B5014" i="2"/>
  <c r="A5014" i="2"/>
  <c r="E5013" i="2"/>
  <c r="D5013" i="2"/>
  <c r="C5013" i="2"/>
  <c r="B5013" i="2"/>
  <c r="A5013" i="2"/>
  <c r="E5012" i="2"/>
  <c r="D5012" i="2"/>
  <c r="C5012" i="2"/>
  <c r="B5012" i="2"/>
  <c r="A5012" i="2"/>
  <c r="E5011" i="2"/>
  <c r="D5011" i="2"/>
  <c r="C5011" i="2"/>
  <c r="B5011" i="2"/>
  <c r="A5011" i="2"/>
  <c r="E5010" i="2"/>
  <c r="D5010" i="2"/>
  <c r="C5010" i="2"/>
  <c r="B5010" i="2"/>
  <c r="A5010" i="2"/>
  <c r="E5009" i="2"/>
  <c r="D5009" i="2"/>
  <c r="C5009" i="2"/>
  <c r="B5009" i="2"/>
  <c r="A5009" i="2"/>
  <c r="E5008" i="2"/>
  <c r="D5008" i="2"/>
  <c r="C5008" i="2"/>
  <c r="B5008" i="2"/>
  <c r="A5008" i="2"/>
  <c r="E5007" i="2"/>
  <c r="D5007" i="2"/>
  <c r="C5007" i="2"/>
  <c r="B5007" i="2"/>
  <c r="A5007" i="2"/>
  <c r="E5006" i="2"/>
  <c r="D5006" i="2"/>
  <c r="C5006" i="2"/>
  <c r="B5006" i="2"/>
  <c r="A5006" i="2"/>
  <c r="E5005" i="2"/>
  <c r="D5005" i="2"/>
  <c r="C5005" i="2"/>
  <c r="B5005" i="2"/>
  <c r="A5005" i="2"/>
  <c r="E5004" i="2"/>
  <c r="D5004" i="2"/>
  <c r="C5004" i="2"/>
  <c r="B5004" i="2"/>
  <c r="A5004" i="2"/>
  <c r="E5003" i="2"/>
  <c r="D5003" i="2"/>
  <c r="C5003" i="2"/>
  <c r="B5003" i="2"/>
  <c r="A5003" i="2"/>
  <c r="E5002" i="2"/>
  <c r="D5002" i="2"/>
  <c r="C5002" i="2"/>
  <c r="B5002" i="2"/>
  <c r="A5002" i="2"/>
  <c r="E5001" i="2"/>
  <c r="D5001" i="2"/>
  <c r="C5001" i="2"/>
  <c r="B5001" i="2"/>
  <c r="A5001" i="2"/>
  <c r="E5000" i="2"/>
  <c r="D5000" i="2"/>
  <c r="C5000" i="2"/>
  <c r="B5000" i="2"/>
  <c r="A5000" i="2"/>
  <c r="E4999" i="2"/>
  <c r="D4999" i="2"/>
  <c r="C4999" i="2"/>
  <c r="B4999" i="2"/>
  <c r="A4999" i="2"/>
  <c r="E4998" i="2"/>
  <c r="D4998" i="2"/>
  <c r="C4998" i="2"/>
  <c r="B4998" i="2"/>
  <c r="A4998" i="2"/>
  <c r="E4997" i="2"/>
  <c r="D4997" i="2"/>
  <c r="C4997" i="2"/>
  <c r="B4997" i="2"/>
  <c r="A4997" i="2"/>
  <c r="E4996" i="2"/>
  <c r="D4996" i="2"/>
  <c r="C4996" i="2"/>
  <c r="B4996" i="2"/>
  <c r="A4996" i="2"/>
  <c r="E4995" i="2"/>
  <c r="D4995" i="2"/>
  <c r="C4995" i="2"/>
  <c r="B4995" i="2"/>
  <c r="A4995" i="2"/>
  <c r="E4994" i="2"/>
  <c r="D4994" i="2"/>
  <c r="C4994" i="2"/>
  <c r="B4994" i="2"/>
  <c r="A4994" i="2"/>
  <c r="E4993" i="2"/>
  <c r="D4993" i="2"/>
  <c r="C4993" i="2"/>
  <c r="B4993" i="2"/>
  <c r="A4993" i="2"/>
  <c r="E4992" i="2"/>
  <c r="D4992" i="2"/>
  <c r="C4992" i="2"/>
  <c r="B4992" i="2"/>
  <c r="A4992" i="2"/>
  <c r="E4991" i="2"/>
  <c r="D4991" i="2"/>
  <c r="C4991" i="2"/>
  <c r="B4991" i="2"/>
  <c r="A4991" i="2"/>
  <c r="E4990" i="2"/>
  <c r="D4990" i="2"/>
  <c r="C4990" i="2"/>
  <c r="B4990" i="2"/>
  <c r="A4990" i="2"/>
  <c r="E4989" i="2"/>
  <c r="D4989" i="2"/>
  <c r="C4989" i="2"/>
  <c r="B4989" i="2"/>
  <c r="A4989" i="2"/>
  <c r="E4988" i="2"/>
  <c r="D4988" i="2"/>
  <c r="C4988" i="2"/>
  <c r="B4988" i="2"/>
  <c r="A4988" i="2"/>
  <c r="E4987" i="2"/>
  <c r="D4987" i="2"/>
  <c r="C4987" i="2"/>
  <c r="B4987" i="2"/>
  <c r="A4987" i="2"/>
  <c r="E4986" i="2"/>
  <c r="D4986" i="2"/>
  <c r="C4986" i="2"/>
  <c r="B4986" i="2"/>
  <c r="A4986" i="2"/>
  <c r="E4985" i="2"/>
  <c r="D4985" i="2"/>
  <c r="C4985" i="2"/>
  <c r="B4985" i="2"/>
  <c r="A4985" i="2"/>
  <c r="E4984" i="2"/>
  <c r="D4984" i="2"/>
  <c r="C4984" i="2"/>
  <c r="B4984" i="2"/>
  <c r="A4984" i="2"/>
  <c r="E4983" i="2"/>
  <c r="D4983" i="2"/>
  <c r="C4983" i="2"/>
  <c r="B4983" i="2"/>
  <c r="A4983" i="2"/>
  <c r="E4982" i="2"/>
  <c r="D4982" i="2"/>
  <c r="C4982" i="2"/>
  <c r="B4982" i="2"/>
  <c r="A4982" i="2"/>
  <c r="E4981" i="2"/>
  <c r="D4981" i="2"/>
  <c r="C4981" i="2"/>
  <c r="B4981" i="2"/>
  <c r="A4981" i="2"/>
  <c r="E4980" i="2"/>
  <c r="D4980" i="2"/>
  <c r="C4980" i="2"/>
  <c r="B4980" i="2"/>
  <c r="A4980" i="2"/>
  <c r="E4979" i="2"/>
  <c r="D4979" i="2"/>
  <c r="C4979" i="2"/>
  <c r="B4979" i="2"/>
  <c r="A4979" i="2"/>
  <c r="E4978" i="2"/>
  <c r="D4978" i="2"/>
  <c r="C4978" i="2"/>
  <c r="B4978" i="2"/>
  <c r="A4978" i="2"/>
  <c r="E4977" i="2"/>
  <c r="D4977" i="2"/>
  <c r="C4977" i="2"/>
  <c r="B4977" i="2"/>
  <c r="A4977" i="2"/>
  <c r="E4976" i="2"/>
  <c r="D4976" i="2"/>
  <c r="C4976" i="2"/>
  <c r="B4976" i="2"/>
  <c r="A4976" i="2"/>
  <c r="E4975" i="2"/>
  <c r="D4975" i="2"/>
  <c r="C4975" i="2"/>
  <c r="B4975" i="2"/>
  <c r="A4975" i="2"/>
  <c r="E4974" i="2"/>
  <c r="D4974" i="2"/>
  <c r="C4974" i="2"/>
  <c r="B4974" i="2"/>
  <c r="A4974" i="2"/>
  <c r="E4973" i="2"/>
  <c r="D4973" i="2"/>
  <c r="C4973" i="2"/>
  <c r="B4973" i="2"/>
  <c r="A4973" i="2"/>
  <c r="E4972" i="2"/>
  <c r="D4972" i="2"/>
  <c r="C4972" i="2"/>
  <c r="B4972" i="2"/>
  <c r="A4972" i="2"/>
  <c r="E4971" i="2"/>
  <c r="D4971" i="2"/>
  <c r="C4971" i="2"/>
  <c r="B4971" i="2"/>
  <c r="A4971" i="2"/>
  <c r="E4970" i="2"/>
  <c r="D4970" i="2"/>
  <c r="C4970" i="2"/>
  <c r="B4970" i="2"/>
  <c r="A4970" i="2"/>
  <c r="E4969" i="2"/>
  <c r="D4969" i="2"/>
  <c r="C4969" i="2"/>
  <c r="B4969" i="2"/>
  <c r="A4969" i="2"/>
  <c r="E4968" i="2"/>
  <c r="D4968" i="2"/>
  <c r="C4968" i="2"/>
  <c r="B4968" i="2"/>
  <c r="A4968" i="2"/>
  <c r="E4967" i="2"/>
  <c r="D4967" i="2"/>
  <c r="C4967" i="2"/>
  <c r="B4967" i="2"/>
  <c r="A4967" i="2"/>
  <c r="E4966" i="2"/>
  <c r="D4966" i="2"/>
  <c r="C4966" i="2"/>
  <c r="B4966" i="2"/>
  <c r="A4966" i="2"/>
  <c r="E4965" i="2"/>
  <c r="D4965" i="2"/>
  <c r="C4965" i="2"/>
  <c r="B4965" i="2"/>
  <c r="A4965" i="2"/>
  <c r="E4964" i="2"/>
  <c r="D4964" i="2"/>
  <c r="C4964" i="2"/>
  <c r="B4964" i="2"/>
  <c r="A4964" i="2"/>
  <c r="E4963" i="2"/>
  <c r="D4963" i="2"/>
  <c r="C4963" i="2"/>
  <c r="B4963" i="2"/>
  <c r="A4963" i="2"/>
  <c r="E4962" i="2"/>
  <c r="D4962" i="2"/>
  <c r="C4962" i="2"/>
  <c r="B4962" i="2"/>
  <c r="A4962" i="2"/>
  <c r="E4961" i="2"/>
  <c r="D4961" i="2"/>
  <c r="C4961" i="2"/>
  <c r="B4961" i="2"/>
  <c r="A4961" i="2"/>
  <c r="E4960" i="2"/>
  <c r="D4960" i="2"/>
  <c r="C4960" i="2"/>
  <c r="B4960" i="2"/>
  <c r="A4960" i="2"/>
  <c r="E4959" i="2"/>
  <c r="D4959" i="2"/>
  <c r="C4959" i="2"/>
  <c r="B4959" i="2"/>
  <c r="A4959" i="2"/>
  <c r="E4958" i="2"/>
  <c r="D4958" i="2"/>
  <c r="C4958" i="2"/>
  <c r="B4958" i="2"/>
  <c r="A4958" i="2"/>
  <c r="E4957" i="2"/>
  <c r="D4957" i="2"/>
  <c r="C4957" i="2"/>
  <c r="B4957" i="2"/>
  <c r="A4957" i="2"/>
  <c r="E4956" i="2"/>
  <c r="D4956" i="2"/>
  <c r="C4956" i="2"/>
  <c r="B4956" i="2"/>
  <c r="A4956" i="2"/>
  <c r="E4955" i="2"/>
  <c r="D4955" i="2"/>
  <c r="C4955" i="2"/>
  <c r="B4955" i="2"/>
  <c r="A4955" i="2"/>
  <c r="E4954" i="2"/>
  <c r="D4954" i="2"/>
  <c r="C4954" i="2"/>
  <c r="B4954" i="2"/>
  <c r="A4954" i="2"/>
  <c r="E4953" i="2"/>
  <c r="D4953" i="2"/>
  <c r="C4953" i="2"/>
  <c r="B4953" i="2"/>
  <c r="A4953" i="2"/>
  <c r="E4952" i="2"/>
  <c r="D4952" i="2"/>
  <c r="C4952" i="2"/>
  <c r="B4952" i="2"/>
  <c r="A4952" i="2"/>
  <c r="E4951" i="2"/>
  <c r="D4951" i="2"/>
  <c r="C4951" i="2"/>
  <c r="B4951" i="2"/>
  <c r="A4951" i="2"/>
  <c r="E4950" i="2"/>
  <c r="D4950" i="2"/>
  <c r="C4950" i="2"/>
  <c r="B4950" i="2"/>
  <c r="A4950" i="2"/>
  <c r="E4949" i="2"/>
  <c r="D4949" i="2"/>
  <c r="C4949" i="2"/>
  <c r="B4949" i="2"/>
  <c r="A4949" i="2"/>
  <c r="E4948" i="2"/>
  <c r="D4948" i="2"/>
  <c r="C4948" i="2"/>
  <c r="B4948" i="2"/>
  <c r="A4948" i="2"/>
  <c r="E4947" i="2"/>
  <c r="D4947" i="2"/>
  <c r="C4947" i="2"/>
  <c r="B4947" i="2"/>
  <c r="A4947" i="2"/>
  <c r="E4946" i="2"/>
  <c r="D4946" i="2"/>
  <c r="C4946" i="2"/>
  <c r="B4946" i="2"/>
  <c r="A4946" i="2"/>
  <c r="E4945" i="2"/>
  <c r="D4945" i="2"/>
  <c r="C4945" i="2"/>
  <c r="B4945" i="2"/>
  <c r="A4945" i="2"/>
  <c r="E4944" i="2"/>
  <c r="D4944" i="2"/>
  <c r="C4944" i="2"/>
  <c r="B4944" i="2"/>
  <c r="A4944" i="2"/>
  <c r="E4943" i="2"/>
  <c r="D4943" i="2"/>
  <c r="C4943" i="2"/>
  <c r="B4943" i="2"/>
  <c r="A4943" i="2"/>
  <c r="E4942" i="2"/>
  <c r="D4942" i="2"/>
  <c r="C4942" i="2"/>
  <c r="B4942" i="2"/>
  <c r="A4942" i="2"/>
  <c r="E4941" i="2"/>
  <c r="D4941" i="2"/>
  <c r="C4941" i="2"/>
  <c r="B4941" i="2"/>
  <c r="A4941" i="2"/>
  <c r="E4940" i="2"/>
  <c r="D4940" i="2"/>
  <c r="C4940" i="2"/>
  <c r="B4940" i="2"/>
  <c r="A4940" i="2"/>
  <c r="E4939" i="2"/>
  <c r="D4939" i="2"/>
  <c r="C4939" i="2"/>
  <c r="B4939" i="2"/>
  <c r="A4939" i="2"/>
  <c r="E4938" i="2"/>
  <c r="D4938" i="2"/>
  <c r="C4938" i="2"/>
  <c r="B4938" i="2"/>
  <c r="A4938" i="2"/>
  <c r="E4937" i="2"/>
  <c r="D4937" i="2"/>
  <c r="C4937" i="2"/>
  <c r="B4937" i="2"/>
  <c r="A4937" i="2"/>
  <c r="E4936" i="2"/>
  <c r="D4936" i="2"/>
  <c r="C4936" i="2"/>
  <c r="B4936" i="2"/>
  <c r="A4936" i="2"/>
  <c r="E4935" i="2"/>
  <c r="D4935" i="2"/>
  <c r="C4935" i="2"/>
  <c r="B4935" i="2"/>
  <c r="A4935" i="2"/>
  <c r="E4934" i="2"/>
  <c r="D4934" i="2"/>
  <c r="C4934" i="2"/>
  <c r="B4934" i="2"/>
  <c r="A4934" i="2"/>
  <c r="E4933" i="2"/>
  <c r="D4933" i="2"/>
  <c r="C4933" i="2"/>
  <c r="B4933" i="2"/>
  <c r="A4933" i="2"/>
  <c r="E4932" i="2"/>
  <c r="D4932" i="2"/>
  <c r="C4932" i="2"/>
  <c r="B4932" i="2"/>
  <c r="A4932" i="2"/>
  <c r="E4931" i="2"/>
  <c r="D4931" i="2"/>
  <c r="C4931" i="2"/>
  <c r="B4931" i="2"/>
  <c r="A4931" i="2"/>
  <c r="E4930" i="2"/>
  <c r="D4930" i="2"/>
  <c r="C4930" i="2"/>
  <c r="B4930" i="2"/>
  <c r="A4930" i="2"/>
  <c r="E4929" i="2"/>
  <c r="D4929" i="2"/>
  <c r="C4929" i="2"/>
  <c r="B4929" i="2"/>
  <c r="A4929" i="2"/>
  <c r="E4928" i="2"/>
  <c r="D4928" i="2"/>
  <c r="C4928" i="2"/>
  <c r="B4928" i="2"/>
  <c r="A4928" i="2"/>
  <c r="E4927" i="2"/>
  <c r="D4927" i="2"/>
  <c r="C4927" i="2"/>
  <c r="B4927" i="2"/>
  <c r="A4927" i="2"/>
  <c r="E4926" i="2"/>
  <c r="D4926" i="2"/>
  <c r="C4926" i="2"/>
  <c r="B4926" i="2"/>
  <c r="A4926" i="2"/>
  <c r="E4925" i="2"/>
  <c r="D4925" i="2"/>
  <c r="C4925" i="2"/>
  <c r="B4925" i="2"/>
  <c r="A4925" i="2"/>
  <c r="E4924" i="2"/>
  <c r="D4924" i="2"/>
  <c r="C4924" i="2"/>
  <c r="B4924" i="2"/>
  <c r="A4924" i="2"/>
  <c r="E4923" i="2"/>
  <c r="D4923" i="2"/>
  <c r="C4923" i="2"/>
  <c r="B4923" i="2"/>
  <c r="A4923" i="2"/>
  <c r="E4922" i="2"/>
  <c r="D4922" i="2"/>
  <c r="C4922" i="2"/>
  <c r="B4922" i="2"/>
  <c r="A4922" i="2"/>
  <c r="E4921" i="2"/>
  <c r="D4921" i="2"/>
  <c r="C4921" i="2"/>
  <c r="B4921" i="2"/>
  <c r="A4921" i="2"/>
  <c r="E4920" i="2"/>
  <c r="D4920" i="2"/>
  <c r="C4920" i="2"/>
  <c r="B4920" i="2"/>
  <c r="A4920" i="2"/>
  <c r="E4919" i="2"/>
  <c r="D4919" i="2"/>
  <c r="C4919" i="2"/>
  <c r="B4919" i="2"/>
  <c r="A4919" i="2"/>
  <c r="E4918" i="2"/>
  <c r="D4918" i="2"/>
  <c r="C4918" i="2"/>
  <c r="B4918" i="2"/>
  <c r="A4918" i="2"/>
  <c r="E4917" i="2"/>
  <c r="D4917" i="2"/>
  <c r="C4917" i="2"/>
  <c r="B4917" i="2"/>
  <c r="A4917" i="2"/>
  <c r="E4916" i="2"/>
  <c r="D4916" i="2"/>
  <c r="C4916" i="2"/>
  <c r="B4916" i="2"/>
  <c r="A4916" i="2"/>
  <c r="E4915" i="2"/>
  <c r="D4915" i="2"/>
  <c r="C4915" i="2"/>
  <c r="B4915" i="2"/>
  <c r="A4915" i="2"/>
  <c r="E4914" i="2"/>
  <c r="D4914" i="2"/>
  <c r="C4914" i="2"/>
  <c r="B4914" i="2"/>
  <c r="A4914" i="2"/>
  <c r="E4913" i="2"/>
  <c r="D4913" i="2"/>
  <c r="C4913" i="2"/>
  <c r="B4913" i="2"/>
  <c r="A4913" i="2"/>
  <c r="E4912" i="2"/>
  <c r="D4912" i="2"/>
  <c r="C4912" i="2"/>
  <c r="B4912" i="2"/>
  <c r="A4912" i="2"/>
  <c r="E4911" i="2"/>
  <c r="D4911" i="2"/>
  <c r="C4911" i="2"/>
  <c r="B4911" i="2"/>
  <c r="A4911" i="2"/>
  <c r="E4910" i="2"/>
  <c r="D4910" i="2"/>
  <c r="C4910" i="2"/>
  <c r="B4910" i="2"/>
  <c r="A4910" i="2"/>
  <c r="E4909" i="2"/>
  <c r="D4909" i="2"/>
  <c r="C4909" i="2"/>
  <c r="B4909" i="2"/>
  <c r="A4909" i="2"/>
  <c r="E4908" i="2"/>
  <c r="D4908" i="2"/>
  <c r="C4908" i="2"/>
  <c r="B4908" i="2"/>
  <c r="A4908" i="2"/>
  <c r="E4907" i="2"/>
  <c r="D4907" i="2"/>
  <c r="C4907" i="2"/>
  <c r="B4907" i="2"/>
  <c r="A4907" i="2"/>
  <c r="E4906" i="2"/>
  <c r="D4906" i="2"/>
  <c r="C4906" i="2"/>
  <c r="B4906" i="2"/>
  <c r="A4906" i="2"/>
  <c r="E4905" i="2"/>
  <c r="D4905" i="2"/>
  <c r="C4905" i="2"/>
  <c r="B4905" i="2"/>
  <c r="A4905" i="2"/>
  <c r="E4904" i="2"/>
  <c r="D4904" i="2"/>
  <c r="C4904" i="2"/>
  <c r="B4904" i="2"/>
  <c r="A4904" i="2"/>
  <c r="E4903" i="2"/>
  <c r="D4903" i="2"/>
  <c r="C4903" i="2"/>
  <c r="B4903" i="2"/>
  <c r="A4903" i="2"/>
  <c r="E4902" i="2"/>
  <c r="D4902" i="2"/>
  <c r="C4902" i="2"/>
  <c r="B4902" i="2"/>
  <c r="A4902" i="2"/>
  <c r="E4901" i="2"/>
  <c r="D4901" i="2"/>
  <c r="C4901" i="2"/>
  <c r="B4901" i="2"/>
  <c r="A4901" i="2"/>
  <c r="E4900" i="2"/>
  <c r="D4900" i="2"/>
  <c r="C4900" i="2"/>
  <c r="B4900" i="2"/>
  <c r="A4900" i="2"/>
  <c r="E4899" i="2"/>
  <c r="D4899" i="2"/>
  <c r="C4899" i="2"/>
  <c r="B4899" i="2"/>
  <c r="A4899" i="2"/>
  <c r="E4898" i="2"/>
  <c r="D4898" i="2"/>
  <c r="C4898" i="2"/>
  <c r="B4898" i="2"/>
  <c r="A4898" i="2"/>
  <c r="E4897" i="2"/>
  <c r="D4897" i="2"/>
  <c r="C4897" i="2"/>
  <c r="B4897" i="2"/>
  <c r="A4897" i="2"/>
  <c r="E4896" i="2"/>
  <c r="D4896" i="2"/>
  <c r="C4896" i="2"/>
  <c r="B4896" i="2"/>
  <c r="A4896" i="2"/>
  <c r="E4895" i="2"/>
  <c r="D4895" i="2"/>
  <c r="C4895" i="2"/>
  <c r="B4895" i="2"/>
  <c r="A4895" i="2"/>
  <c r="E4894" i="2"/>
  <c r="D4894" i="2"/>
  <c r="C4894" i="2"/>
  <c r="B4894" i="2"/>
  <c r="A4894" i="2"/>
  <c r="E4893" i="2"/>
  <c r="D4893" i="2"/>
  <c r="C4893" i="2"/>
  <c r="B4893" i="2"/>
  <c r="A4893" i="2"/>
  <c r="E4892" i="2"/>
  <c r="D4892" i="2"/>
  <c r="C4892" i="2"/>
  <c r="B4892" i="2"/>
  <c r="A4892" i="2"/>
  <c r="E4891" i="2"/>
  <c r="D4891" i="2"/>
  <c r="C4891" i="2"/>
  <c r="B4891" i="2"/>
  <c r="A4891" i="2"/>
  <c r="E4890" i="2"/>
  <c r="D4890" i="2"/>
  <c r="C4890" i="2"/>
  <c r="B4890" i="2"/>
  <c r="A4890" i="2"/>
  <c r="E4889" i="2"/>
  <c r="D4889" i="2"/>
  <c r="C4889" i="2"/>
  <c r="B4889" i="2"/>
  <c r="A4889" i="2"/>
  <c r="E4888" i="2"/>
  <c r="D4888" i="2"/>
  <c r="C4888" i="2"/>
  <c r="B4888" i="2"/>
  <c r="A4888" i="2"/>
  <c r="E4887" i="2"/>
  <c r="D4887" i="2"/>
  <c r="C4887" i="2"/>
  <c r="B4887" i="2"/>
  <c r="A4887" i="2"/>
  <c r="E4886" i="2"/>
  <c r="D4886" i="2"/>
  <c r="C4886" i="2"/>
  <c r="B4886" i="2"/>
  <c r="A4886" i="2"/>
  <c r="E4885" i="2"/>
  <c r="D4885" i="2"/>
  <c r="C4885" i="2"/>
  <c r="B4885" i="2"/>
  <c r="A4885" i="2"/>
  <c r="E4884" i="2"/>
  <c r="D4884" i="2"/>
  <c r="C4884" i="2"/>
  <c r="B4884" i="2"/>
  <c r="A4884" i="2"/>
  <c r="E4883" i="2"/>
  <c r="D4883" i="2"/>
  <c r="C4883" i="2"/>
  <c r="B4883" i="2"/>
  <c r="A4883" i="2"/>
  <c r="E4882" i="2"/>
  <c r="D4882" i="2"/>
  <c r="C4882" i="2"/>
  <c r="B4882" i="2"/>
  <c r="A4882" i="2"/>
  <c r="E4881" i="2"/>
  <c r="D4881" i="2"/>
  <c r="C4881" i="2"/>
  <c r="B4881" i="2"/>
  <c r="A4881" i="2"/>
  <c r="E4880" i="2"/>
  <c r="D4880" i="2"/>
  <c r="C4880" i="2"/>
  <c r="B4880" i="2"/>
  <c r="A4880" i="2"/>
  <c r="E4879" i="2"/>
  <c r="D4879" i="2"/>
  <c r="C4879" i="2"/>
  <c r="B4879" i="2"/>
  <c r="A4879" i="2"/>
  <c r="E4878" i="2"/>
  <c r="D4878" i="2"/>
  <c r="C4878" i="2"/>
  <c r="B4878" i="2"/>
  <c r="A4878" i="2"/>
  <c r="E4877" i="2"/>
  <c r="D4877" i="2"/>
  <c r="C4877" i="2"/>
  <c r="B4877" i="2"/>
  <c r="A4877" i="2"/>
  <c r="E4876" i="2"/>
  <c r="D4876" i="2"/>
  <c r="C4876" i="2"/>
  <c r="B4876" i="2"/>
  <c r="A4876" i="2"/>
  <c r="E4875" i="2"/>
  <c r="D4875" i="2"/>
  <c r="C4875" i="2"/>
  <c r="B4875" i="2"/>
  <c r="A4875" i="2"/>
  <c r="E4874" i="2"/>
  <c r="D4874" i="2"/>
  <c r="C4874" i="2"/>
  <c r="B4874" i="2"/>
  <c r="A4874" i="2"/>
  <c r="E4873" i="2"/>
  <c r="D4873" i="2"/>
  <c r="C4873" i="2"/>
  <c r="B4873" i="2"/>
  <c r="A4873" i="2"/>
  <c r="E4872" i="2"/>
  <c r="D4872" i="2"/>
  <c r="C4872" i="2"/>
  <c r="B4872" i="2"/>
  <c r="A4872" i="2"/>
  <c r="E4871" i="2"/>
  <c r="D4871" i="2"/>
  <c r="C4871" i="2"/>
  <c r="B4871" i="2"/>
  <c r="A4871" i="2"/>
  <c r="E4870" i="2"/>
  <c r="D4870" i="2"/>
  <c r="C4870" i="2"/>
  <c r="B4870" i="2"/>
  <c r="A4870" i="2"/>
  <c r="E4869" i="2"/>
  <c r="D4869" i="2"/>
  <c r="C4869" i="2"/>
  <c r="B4869" i="2"/>
  <c r="A4869" i="2"/>
  <c r="E4868" i="2"/>
  <c r="D4868" i="2"/>
  <c r="C4868" i="2"/>
  <c r="B4868" i="2"/>
  <c r="A4868" i="2"/>
  <c r="E4867" i="2"/>
  <c r="D4867" i="2"/>
  <c r="C4867" i="2"/>
  <c r="B4867" i="2"/>
  <c r="A4867" i="2"/>
  <c r="E4866" i="2"/>
  <c r="D4866" i="2"/>
  <c r="C4866" i="2"/>
  <c r="B4866" i="2"/>
  <c r="A4866" i="2"/>
  <c r="E4865" i="2"/>
  <c r="D4865" i="2"/>
  <c r="C4865" i="2"/>
  <c r="B4865" i="2"/>
  <c r="A4865" i="2"/>
  <c r="E4864" i="2"/>
  <c r="D4864" i="2"/>
  <c r="C4864" i="2"/>
  <c r="B4864" i="2"/>
  <c r="A4864" i="2"/>
  <c r="E4863" i="2"/>
  <c r="D4863" i="2"/>
  <c r="C4863" i="2"/>
  <c r="B4863" i="2"/>
  <c r="A4863" i="2"/>
  <c r="E4862" i="2"/>
  <c r="D4862" i="2"/>
  <c r="C4862" i="2"/>
  <c r="B4862" i="2"/>
  <c r="A4862" i="2"/>
  <c r="E4861" i="2"/>
  <c r="D4861" i="2"/>
  <c r="C4861" i="2"/>
  <c r="B4861" i="2"/>
  <c r="A4861" i="2"/>
  <c r="E4860" i="2"/>
  <c r="D4860" i="2"/>
  <c r="C4860" i="2"/>
  <c r="B4860" i="2"/>
  <c r="A4860" i="2"/>
  <c r="E4859" i="2"/>
  <c r="D4859" i="2"/>
  <c r="C4859" i="2"/>
  <c r="B4859" i="2"/>
  <c r="A4859" i="2"/>
  <c r="E4858" i="2"/>
  <c r="D4858" i="2"/>
  <c r="C4858" i="2"/>
  <c r="B4858" i="2"/>
  <c r="A4858" i="2"/>
  <c r="E4857" i="2"/>
  <c r="D4857" i="2"/>
  <c r="C4857" i="2"/>
  <c r="B4857" i="2"/>
  <c r="A4857" i="2"/>
  <c r="E4856" i="2"/>
  <c r="D4856" i="2"/>
  <c r="C4856" i="2"/>
  <c r="B4856" i="2"/>
  <c r="A4856" i="2"/>
  <c r="E4855" i="2"/>
  <c r="D4855" i="2"/>
  <c r="C4855" i="2"/>
  <c r="B4855" i="2"/>
  <c r="A4855" i="2"/>
  <c r="E4854" i="2"/>
  <c r="D4854" i="2"/>
  <c r="C4854" i="2"/>
  <c r="B4854" i="2"/>
  <c r="A4854" i="2"/>
  <c r="E4853" i="2"/>
  <c r="D4853" i="2"/>
  <c r="C4853" i="2"/>
  <c r="B4853" i="2"/>
  <c r="A4853" i="2"/>
  <c r="E4852" i="2"/>
  <c r="D4852" i="2"/>
  <c r="C4852" i="2"/>
  <c r="B4852" i="2"/>
  <c r="A4852" i="2"/>
  <c r="E4851" i="2"/>
  <c r="D4851" i="2"/>
  <c r="C4851" i="2"/>
  <c r="B4851" i="2"/>
  <c r="A4851" i="2"/>
  <c r="E4850" i="2"/>
  <c r="D4850" i="2"/>
  <c r="C4850" i="2"/>
  <c r="B4850" i="2"/>
  <c r="A4850" i="2"/>
  <c r="E4849" i="2"/>
  <c r="D4849" i="2"/>
  <c r="C4849" i="2"/>
  <c r="B4849" i="2"/>
  <c r="A4849" i="2"/>
  <c r="E4848" i="2"/>
  <c r="D4848" i="2"/>
  <c r="C4848" i="2"/>
  <c r="B4848" i="2"/>
  <c r="A4848" i="2"/>
  <c r="E4847" i="2"/>
  <c r="D4847" i="2"/>
  <c r="C4847" i="2"/>
  <c r="B4847" i="2"/>
  <c r="A4847" i="2"/>
  <c r="E4846" i="2"/>
  <c r="D4846" i="2"/>
  <c r="C4846" i="2"/>
  <c r="B4846" i="2"/>
  <c r="A4846" i="2"/>
  <c r="E4845" i="2"/>
  <c r="D4845" i="2"/>
  <c r="C4845" i="2"/>
  <c r="B4845" i="2"/>
  <c r="A4845" i="2"/>
  <c r="E4844" i="2"/>
  <c r="D4844" i="2"/>
  <c r="C4844" i="2"/>
  <c r="B4844" i="2"/>
  <c r="A4844" i="2"/>
  <c r="E4843" i="2"/>
  <c r="D4843" i="2"/>
  <c r="C4843" i="2"/>
  <c r="B4843" i="2"/>
  <c r="A4843" i="2"/>
  <c r="E4842" i="2"/>
  <c r="D4842" i="2"/>
  <c r="C4842" i="2"/>
  <c r="B4842" i="2"/>
  <c r="A4842" i="2"/>
  <c r="E4841" i="2"/>
  <c r="D4841" i="2"/>
  <c r="C4841" i="2"/>
  <c r="B4841" i="2"/>
  <c r="A4841" i="2"/>
  <c r="E4840" i="2"/>
  <c r="D4840" i="2"/>
  <c r="C4840" i="2"/>
  <c r="B4840" i="2"/>
  <c r="A4840" i="2"/>
  <c r="E4839" i="2"/>
  <c r="D4839" i="2"/>
  <c r="C4839" i="2"/>
  <c r="B4839" i="2"/>
  <c r="A4839" i="2"/>
  <c r="E4838" i="2"/>
  <c r="D4838" i="2"/>
  <c r="C4838" i="2"/>
  <c r="B4838" i="2"/>
  <c r="A4838" i="2"/>
  <c r="E4837" i="2"/>
  <c r="D4837" i="2"/>
  <c r="C4837" i="2"/>
  <c r="B4837" i="2"/>
  <c r="A4837" i="2"/>
  <c r="E4836" i="2"/>
  <c r="D4836" i="2"/>
  <c r="C4836" i="2"/>
  <c r="B4836" i="2"/>
  <c r="A4836" i="2"/>
  <c r="E4835" i="2"/>
  <c r="D4835" i="2"/>
  <c r="C4835" i="2"/>
  <c r="B4835" i="2"/>
  <c r="A4835" i="2"/>
  <c r="E4834" i="2"/>
  <c r="D4834" i="2"/>
  <c r="C4834" i="2"/>
  <c r="B4834" i="2"/>
  <c r="A4834" i="2"/>
  <c r="E4833" i="2"/>
  <c r="D4833" i="2"/>
  <c r="C4833" i="2"/>
  <c r="B4833" i="2"/>
  <c r="A4833" i="2"/>
  <c r="E4832" i="2"/>
  <c r="D4832" i="2"/>
  <c r="C4832" i="2"/>
  <c r="B4832" i="2"/>
  <c r="A4832" i="2"/>
  <c r="E4831" i="2"/>
  <c r="D4831" i="2"/>
  <c r="C4831" i="2"/>
  <c r="B4831" i="2"/>
  <c r="A4831" i="2"/>
  <c r="E4830" i="2"/>
  <c r="D4830" i="2"/>
  <c r="C4830" i="2"/>
  <c r="B4830" i="2"/>
  <c r="A4830" i="2"/>
  <c r="E4829" i="2"/>
  <c r="D4829" i="2"/>
  <c r="C4829" i="2"/>
  <c r="B4829" i="2"/>
  <c r="A4829" i="2"/>
  <c r="E4828" i="2"/>
  <c r="D4828" i="2"/>
  <c r="C4828" i="2"/>
  <c r="B4828" i="2"/>
  <c r="A4828" i="2"/>
  <c r="E4827" i="2"/>
  <c r="D4827" i="2"/>
  <c r="C4827" i="2"/>
  <c r="B4827" i="2"/>
  <c r="A4827" i="2"/>
  <c r="E4826" i="2"/>
  <c r="D4826" i="2"/>
  <c r="C4826" i="2"/>
  <c r="B4826" i="2"/>
  <c r="A4826" i="2"/>
  <c r="E4825" i="2"/>
  <c r="D4825" i="2"/>
  <c r="C4825" i="2"/>
  <c r="B4825" i="2"/>
  <c r="A4825" i="2"/>
  <c r="E4824" i="2"/>
  <c r="D4824" i="2"/>
  <c r="C4824" i="2"/>
  <c r="B4824" i="2"/>
  <c r="A4824" i="2"/>
  <c r="E4823" i="2"/>
  <c r="D4823" i="2"/>
  <c r="C4823" i="2"/>
  <c r="B4823" i="2"/>
  <c r="A4823" i="2"/>
  <c r="E4822" i="2"/>
  <c r="D4822" i="2"/>
  <c r="C4822" i="2"/>
  <c r="B4822" i="2"/>
  <c r="A4822" i="2"/>
  <c r="E4821" i="2"/>
  <c r="D4821" i="2"/>
  <c r="C4821" i="2"/>
  <c r="B4821" i="2"/>
  <c r="A4821" i="2"/>
  <c r="E4820" i="2"/>
  <c r="D4820" i="2"/>
  <c r="C4820" i="2"/>
  <c r="B4820" i="2"/>
  <c r="A4820" i="2"/>
  <c r="E4819" i="2"/>
  <c r="D4819" i="2"/>
  <c r="C4819" i="2"/>
  <c r="B4819" i="2"/>
  <c r="A4819" i="2"/>
  <c r="E4818" i="2"/>
  <c r="D4818" i="2"/>
  <c r="C4818" i="2"/>
  <c r="B4818" i="2"/>
  <c r="A4818" i="2"/>
  <c r="E4817" i="2"/>
  <c r="D4817" i="2"/>
  <c r="C4817" i="2"/>
  <c r="B4817" i="2"/>
  <c r="A4817" i="2"/>
  <c r="E4816" i="2"/>
  <c r="D4816" i="2"/>
  <c r="C4816" i="2"/>
  <c r="B4816" i="2"/>
  <c r="A4816" i="2"/>
  <c r="E4815" i="2"/>
  <c r="D4815" i="2"/>
  <c r="C4815" i="2"/>
  <c r="B4815" i="2"/>
  <c r="A4815" i="2"/>
  <c r="E4814" i="2"/>
  <c r="D4814" i="2"/>
  <c r="C4814" i="2"/>
  <c r="B4814" i="2"/>
  <c r="A4814" i="2"/>
  <c r="E4813" i="2"/>
  <c r="D4813" i="2"/>
  <c r="C4813" i="2"/>
  <c r="B4813" i="2"/>
  <c r="A4813" i="2"/>
  <c r="E4812" i="2"/>
  <c r="D4812" i="2"/>
  <c r="C4812" i="2"/>
  <c r="B4812" i="2"/>
  <c r="A4812" i="2"/>
  <c r="E4811" i="2"/>
  <c r="D4811" i="2"/>
  <c r="C4811" i="2"/>
  <c r="B4811" i="2"/>
  <c r="A4811" i="2"/>
  <c r="E4810" i="2"/>
  <c r="D4810" i="2"/>
  <c r="C4810" i="2"/>
  <c r="B4810" i="2"/>
  <c r="A4810" i="2"/>
  <c r="E4809" i="2"/>
  <c r="D4809" i="2"/>
  <c r="C4809" i="2"/>
  <c r="B4809" i="2"/>
  <c r="A4809" i="2"/>
  <c r="E4808" i="2"/>
  <c r="D4808" i="2"/>
  <c r="C4808" i="2"/>
  <c r="B4808" i="2"/>
  <c r="A4808" i="2"/>
  <c r="E4807" i="2"/>
  <c r="D4807" i="2"/>
  <c r="C4807" i="2"/>
  <c r="B4807" i="2"/>
  <c r="A4807" i="2"/>
  <c r="E4806" i="2"/>
  <c r="D4806" i="2"/>
  <c r="C4806" i="2"/>
  <c r="B4806" i="2"/>
  <c r="A4806" i="2"/>
  <c r="E4805" i="2"/>
  <c r="D4805" i="2"/>
  <c r="C4805" i="2"/>
  <c r="B4805" i="2"/>
  <c r="A4805" i="2"/>
  <c r="E4804" i="2"/>
  <c r="D4804" i="2"/>
  <c r="C4804" i="2"/>
  <c r="B4804" i="2"/>
  <c r="A4804" i="2"/>
  <c r="E4803" i="2"/>
  <c r="D4803" i="2"/>
  <c r="C4803" i="2"/>
  <c r="B4803" i="2"/>
  <c r="A4803" i="2"/>
  <c r="E4802" i="2"/>
  <c r="D4802" i="2"/>
  <c r="C4802" i="2"/>
  <c r="B4802" i="2"/>
  <c r="A4802" i="2"/>
  <c r="E4801" i="2"/>
  <c r="D4801" i="2"/>
  <c r="C4801" i="2"/>
  <c r="B4801" i="2"/>
  <c r="A4801" i="2"/>
  <c r="E4800" i="2"/>
  <c r="D4800" i="2"/>
  <c r="C4800" i="2"/>
  <c r="B4800" i="2"/>
  <c r="A4800" i="2"/>
  <c r="E4799" i="2"/>
  <c r="D4799" i="2"/>
  <c r="C4799" i="2"/>
  <c r="B4799" i="2"/>
  <c r="A4799" i="2"/>
  <c r="E4798" i="2"/>
  <c r="D4798" i="2"/>
  <c r="C4798" i="2"/>
  <c r="B4798" i="2"/>
  <c r="A4798" i="2"/>
  <c r="E4797" i="2"/>
  <c r="D4797" i="2"/>
  <c r="C4797" i="2"/>
  <c r="B4797" i="2"/>
  <c r="A4797" i="2"/>
  <c r="E4796" i="2"/>
  <c r="D4796" i="2"/>
  <c r="C4796" i="2"/>
  <c r="B4796" i="2"/>
  <c r="A4796" i="2"/>
  <c r="E4795" i="2"/>
  <c r="D4795" i="2"/>
  <c r="C4795" i="2"/>
  <c r="B4795" i="2"/>
  <c r="A4795" i="2"/>
  <c r="E4794" i="2"/>
  <c r="D4794" i="2"/>
  <c r="C4794" i="2"/>
  <c r="B4794" i="2"/>
  <c r="A4794" i="2"/>
  <c r="E4793" i="2"/>
  <c r="D4793" i="2"/>
  <c r="C4793" i="2"/>
  <c r="B4793" i="2"/>
  <c r="A4793" i="2"/>
  <c r="E4792" i="2"/>
  <c r="D4792" i="2"/>
  <c r="C4792" i="2"/>
  <c r="B4792" i="2"/>
  <c r="A4792" i="2"/>
  <c r="E4791" i="2"/>
  <c r="D4791" i="2"/>
  <c r="C4791" i="2"/>
  <c r="B4791" i="2"/>
  <c r="A4791" i="2"/>
  <c r="E4790" i="2"/>
  <c r="D4790" i="2"/>
  <c r="C4790" i="2"/>
  <c r="B4790" i="2"/>
  <c r="A4790" i="2"/>
  <c r="E4789" i="2"/>
  <c r="D4789" i="2"/>
  <c r="C4789" i="2"/>
  <c r="B4789" i="2"/>
  <c r="A4789" i="2"/>
  <c r="E4788" i="2"/>
  <c r="D4788" i="2"/>
  <c r="C4788" i="2"/>
  <c r="B4788" i="2"/>
  <c r="A4788" i="2"/>
  <c r="E4787" i="2"/>
  <c r="D4787" i="2"/>
  <c r="C4787" i="2"/>
  <c r="B4787" i="2"/>
  <c r="A4787" i="2"/>
  <c r="E4786" i="2"/>
  <c r="D4786" i="2"/>
  <c r="C4786" i="2"/>
  <c r="B4786" i="2"/>
  <c r="A4786" i="2"/>
  <c r="E4785" i="2"/>
  <c r="D4785" i="2"/>
  <c r="C4785" i="2"/>
  <c r="B4785" i="2"/>
  <c r="A4785" i="2"/>
  <c r="E4784" i="2"/>
  <c r="D4784" i="2"/>
  <c r="C4784" i="2"/>
  <c r="B4784" i="2"/>
  <c r="A4784" i="2"/>
  <c r="E4783" i="2"/>
  <c r="D4783" i="2"/>
  <c r="C4783" i="2"/>
  <c r="B4783" i="2"/>
  <c r="A4783" i="2"/>
  <c r="E4782" i="2"/>
  <c r="D4782" i="2"/>
  <c r="C4782" i="2"/>
  <c r="B4782" i="2"/>
  <c r="A4782" i="2"/>
  <c r="E4781" i="2"/>
  <c r="D4781" i="2"/>
  <c r="C4781" i="2"/>
  <c r="B4781" i="2"/>
  <c r="A4781" i="2"/>
  <c r="E4780" i="2"/>
  <c r="D4780" i="2"/>
  <c r="C4780" i="2"/>
  <c r="B4780" i="2"/>
  <c r="A4780" i="2"/>
  <c r="E4779" i="2"/>
  <c r="D4779" i="2"/>
  <c r="C4779" i="2"/>
  <c r="B4779" i="2"/>
  <c r="A4779" i="2"/>
  <c r="E4778" i="2"/>
  <c r="D4778" i="2"/>
  <c r="C4778" i="2"/>
  <c r="B4778" i="2"/>
  <c r="A4778" i="2"/>
  <c r="E4777" i="2"/>
  <c r="D4777" i="2"/>
  <c r="C4777" i="2"/>
  <c r="B4777" i="2"/>
  <c r="A4777" i="2"/>
  <c r="E4776" i="2"/>
  <c r="D4776" i="2"/>
  <c r="C4776" i="2"/>
  <c r="B4776" i="2"/>
  <c r="A4776" i="2"/>
  <c r="E4775" i="2"/>
  <c r="D4775" i="2"/>
  <c r="C4775" i="2"/>
  <c r="B4775" i="2"/>
  <c r="A4775" i="2"/>
  <c r="E4774" i="2"/>
  <c r="D4774" i="2"/>
  <c r="C4774" i="2"/>
  <c r="B4774" i="2"/>
  <c r="A4774" i="2"/>
  <c r="E4773" i="2"/>
  <c r="D4773" i="2"/>
  <c r="C4773" i="2"/>
  <c r="B4773" i="2"/>
  <c r="A4773" i="2"/>
  <c r="E4772" i="2"/>
  <c r="D4772" i="2"/>
  <c r="C4772" i="2"/>
  <c r="B4772" i="2"/>
  <c r="A4772" i="2"/>
  <c r="E4771" i="2"/>
  <c r="D4771" i="2"/>
  <c r="C4771" i="2"/>
  <c r="B4771" i="2"/>
  <c r="A4771" i="2"/>
  <c r="E4770" i="2"/>
  <c r="D4770" i="2"/>
  <c r="C4770" i="2"/>
  <c r="B4770" i="2"/>
  <c r="A4770" i="2"/>
  <c r="E4769" i="2"/>
  <c r="D4769" i="2"/>
  <c r="C4769" i="2"/>
  <c r="B4769" i="2"/>
  <c r="A4769" i="2"/>
  <c r="E4768" i="2"/>
  <c r="D4768" i="2"/>
  <c r="C4768" i="2"/>
  <c r="B4768" i="2"/>
  <c r="A4768" i="2"/>
  <c r="E4767" i="2"/>
  <c r="D4767" i="2"/>
  <c r="C4767" i="2"/>
  <c r="B4767" i="2"/>
  <c r="A4767" i="2"/>
  <c r="E4766" i="2"/>
  <c r="D4766" i="2"/>
  <c r="C4766" i="2"/>
  <c r="B4766" i="2"/>
  <c r="A4766" i="2"/>
  <c r="E4765" i="2"/>
  <c r="D4765" i="2"/>
  <c r="C4765" i="2"/>
  <c r="B4765" i="2"/>
  <c r="A4765" i="2"/>
  <c r="E4764" i="2"/>
  <c r="D4764" i="2"/>
  <c r="C4764" i="2"/>
  <c r="B4764" i="2"/>
  <c r="A4764" i="2"/>
  <c r="E4763" i="2"/>
  <c r="D4763" i="2"/>
  <c r="C4763" i="2"/>
  <c r="B4763" i="2"/>
  <c r="A4763" i="2"/>
  <c r="E4762" i="2"/>
  <c r="D4762" i="2"/>
  <c r="C4762" i="2"/>
  <c r="B4762" i="2"/>
  <c r="A4762" i="2"/>
  <c r="E4761" i="2"/>
  <c r="D4761" i="2"/>
  <c r="C4761" i="2"/>
  <c r="B4761" i="2"/>
  <c r="A4761" i="2"/>
  <c r="E4760" i="2"/>
  <c r="D4760" i="2"/>
  <c r="C4760" i="2"/>
  <c r="B4760" i="2"/>
  <c r="A4760" i="2"/>
  <c r="E4759" i="2"/>
  <c r="D4759" i="2"/>
  <c r="C4759" i="2"/>
  <c r="B4759" i="2"/>
  <c r="A4759" i="2"/>
  <c r="E4758" i="2"/>
  <c r="D4758" i="2"/>
  <c r="C4758" i="2"/>
  <c r="B4758" i="2"/>
  <c r="A4758" i="2"/>
  <c r="E4757" i="2"/>
  <c r="D4757" i="2"/>
  <c r="C4757" i="2"/>
  <c r="B4757" i="2"/>
  <c r="A4757" i="2"/>
  <c r="E4756" i="2"/>
  <c r="D4756" i="2"/>
  <c r="C4756" i="2"/>
  <c r="B4756" i="2"/>
  <c r="A4756" i="2"/>
  <c r="E4755" i="2"/>
  <c r="D4755" i="2"/>
  <c r="C4755" i="2"/>
  <c r="B4755" i="2"/>
  <c r="A4755" i="2"/>
  <c r="E4754" i="2"/>
  <c r="D4754" i="2"/>
  <c r="C4754" i="2"/>
  <c r="B4754" i="2"/>
  <c r="A4754" i="2"/>
  <c r="E4753" i="2"/>
  <c r="D4753" i="2"/>
  <c r="C4753" i="2"/>
  <c r="B4753" i="2"/>
  <c r="A4753" i="2"/>
  <c r="E4752" i="2"/>
  <c r="D4752" i="2"/>
  <c r="C4752" i="2"/>
  <c r="B4752" i="2"/>
  <c r="A4752" i="2"/>
  <c r="E4751" i="2"/>
  <c r="D4751" i="2"/>
  <c r="C4751" i="2"/>
  <c r="B4751" i="2"/>
  <c r="A4751" i="2"/>
  <c r="E4750" i="2"/>
  <c r="D4750" i="2"/>
  <c r="C4750" i="2"/>
  <c r="B4750" i="2"/>
  <c r="A4750" i="2"/>
  <c r="E4749" i="2"/>
  <c r="D4749" i="2"/>
  <c r="C4749" i="2"/>
  <c r="B4749" i="2"/>
  <c r="A4749" i="2"/>
  <c r="E4748" i="2"/>
  <c r="D4748" i="2"/>
  <c r="C4748" i="2"/>
  <c r="B4748" i="2"/>
  <c r="A4748" i="2"/>
  <c r="E4747" i="2"/>
  <c r="D4747" i="2"/>
  <c r="C4747" i="2"/>
  <c r="B4747" i="2"/>
  <c r="A4747" i="2"/>
  <c r="E4746" i="2"/>
  <c r="D4746" i="2"/>
  <c r="C4746" i="2"/>
  <c r="B4746" i="2"/>
  <c r="A4746" i="2"/>
  <c r="E4745" i="2"/>
  <c r="D4745" i="2"/>
  <c r="C4745" i="2"/>
  <c r="B4745" i="2"/>
  <c r="A4745" i="2"/>
  <c r="E4744" i="2"/>
  <c r="D4744" i="2"/>
  <c r="C4744" i="2"/>
  <c r="B4744" i="2"/>
  <c r="A4744" i="2"/>
  <c r="E4743" i="2"/>
  <c r="D4743" i="2"/>
  <c r="C4743" i="2"/>
  <c r="B4743" i="2"/>
  <c r="A4743" i="2"/>
  <c r="E4742" i="2"/>
  <c r="D4742" i="2"/>
  <c r="C4742" i="2"/>
  <c r="B4742" i="2"/>
  <c r="A4742" i="2"/>
  <c r="E4741" i="2"/>
  <c r="D4741" i="2"/>
  <c r="C4741" i="2"/>
  <c r="B4741" i="2"/>
  <c r="A4741" i="2"/>
  <c r="E4740" i="2"/>
  <c r="D4740" i="2"/>
  <c r="C4740" i="2"/>
  <c r="B4740" i="2"/>
  <c r="A4740" i="2"/>
  <c r="E4739" i="2"/>
  <c r="D4739" i="2"/>
  <c r="C4739" i="2"/>
  <c r="B4739" i="2"/>
  <c r="A4739" i="2"/>
  <c r="E4738" i="2"/>
  <c r="D4738" i="2"/>
  <c r="C4738" i="2"/>
  <c r="B4738" i="2"/>
  <c r="A4738" i="2"/>
  <c r="E4737" i="2"/>
  <c r="D4737" i="2"/>
  <c r="C4737" i="2"/>
  <c r="B4737" i="2"/>
  <c r="A4737" i="2"/>
  <c r="E4736" i="2"/>
  <c r="D4736" i="2"/>
  <c r="C4736" i="2"/>
  <c r="B4736" i="2"/>
  <c r="A4736" i="2"/>
  <c r="E4735" i="2"/>
  <c r="D4735" i="2"/>
  <c r="C4735" i="2"/>
  <c r="B4735" i="2"/>
  <c r="A4735" i="2"/>
  <c r="E4734" i="2"/>
  <c r="D4734" i="2"/>
  <c r="C4734" i="2"/>
  <c r="B4734" i="2"/>
  <c r="A4734" i="2"/>
  <c r="E4733" i="2"/>
  <c r="D4733" i="2"/>
  <c r="C4733" i="2"/>
  <c r="B4733" i="2"/>
  <c r="A4733" i="2"/>
  <c r="E4732" i="2"/>
  <c r="D4732" i="2"/>
  <c r="C4732" i="2"/>
  <c r="B4732" i="2"/>
  <c r="A4732" i="2"/>
  <c r="E4731" i="2"/>
  <c r="D4731" i="2"/>
  <c r="C4731" i="2"/>
  <c r="B4731" i="2"/>
  <c r="A4731" i="2"/>
  <c r="E4730" i="2"/>
  <c r="D4730" i="2"/>
  <c r="C4730" i="2"/>
  <c r="B4730" i="2"/>
  <c r="A4730" i="2"/>
  <c r="E4729" i="2"/>
  <c r="D4729" i="2"/>
  <c r="C4729" i="2"/>
  <c r="B4729" i="2"/>
  <c r="A4729" i="2"/>
  <c r="E4728" i="2"/>
  <c r="D4728" i="2"/>
  <c r="C4728" i="2"/>
  <c r="B4728" i="2"/>
  <c r="A4728" i="2"/>
  <c r="E4727" i="2"/>
  <c r="D4727" i="2"/>
  <c r="C4727" i="2"/>
  <c r="B4727" i="2"/>
  <c r="A4727" i="2"/>
  <c r="E4726" i="2"/>
  <c r="D4726" i="2"/>
  <c r="C4726" i="2"/>
  <c r="B4726" i="2"/>
  <c r="A4726" i="2"/>
  <c r="E4725" i="2"/>
  <c r="D4725" i="2"/>
  <c r="C4725" i="2"/>
  <c r="B4725" i="2"/>
  <c r="A4725" i="2"/>
  <c r="E4724" i="2"/>
  <c r="D4724" i="2"/>
  <c r="C4724" i="2"/>
  <c r="B4724" i="2"/>
  <c r="A4724" i="2"/>
  <c r="E4723" i="2"/>
  <c r="D4723" i="2"/>
  <c r="C4723" i="2"/>
  <c r="B4723" i="2"/>
  <c r="A4723" i="2"/>
  <c r="E4722" i="2"/>
  <c r="D4722" i="2"/>
  <c r="C4722" i="2"/>
  <c r="B4722" i="2"/>
  <c r="A4722" i="2"/>
  <c r="E4721" i="2"/>
  <c r="D4721" i="2"/>
  <c r="C4721" i="2"/>
  <c r="B4721" i="2"/>
  <c r="A4721" i="2"/>
  <c r="E4720" i="2"/>
  <c r="D4720" i="2"/>
  <c r="C4720" i="2"/>
  <c r="B4720" i="2"/>
  <c r="A4720" i="2"/>
  <c r="E4719" i="2"/>
  <c r="D4719" i="2"/>
  <c r="C4719" i="2"/>
  <c r="B4719" i="2"/>
  <c r="A4719" i="2"/>
  <c r="E4718" i="2"/>
  <c r="D4718" i="2"/>
  <c r="C4718" i="2"/>
  <c r="B4718" i="2"/>
  <c r="A4718" i="2"/>
  <c r="E4717" i="2"/>
  <c r="D4717" i="2"/>
  <c r="C4717" i="2"/>
  <c r="B4717" i="2"/>
  <c r="A4717" i="2"/>
  <c r="E4716" i="2"/>
  <c r="D4716" i="2"/>
  <c r="C4716" i="2"/>
  <c r="B4716" i="2"/>
  <c r="A4716" i="2"/>
  <c r="E4715" i="2"/>
  <c r="D4715" i="2"/>
  <c r="C4715" i="2"/>
  <c r="B4715" i="2"/>
  <c r="A4715" i="2"/>
  <c r="E4714" i="2"/>
  <c r="D4714" i="2"/>
  <c r="C4714" i="2"/>
  <c r="B4714" i="2"/>
  <c r="A4714" i="2"/>
  <c r="E4713" i="2"/>
  <c r="D4713" i="2"/>
  <c r="C4713" i="2"/>
  <c r="B4713" i="2"/>
  <c r="A4713" i="2"/>
  <c r="E4712" i="2"/>
  <c r="D4712" i="2"/>
  <c r="C4712" i="2"/>
  <c r="B4712" i="2"/>
  <c r="A4712" i="2"/>
  <c r="E4711" i="2"/>
  <c r="D4711" i="2"/>
  <c r="C4711" i="2"/>
  <c r="B4711" i="2"/>
  <c r="A4711" i="2"/>
  <c r="E4710" i="2"/>
  <c r="D4710" i="2"/>
  <c r="C4710" i="2"/>
  <c r="B4710" i="2"/>
  <c r="A4710" i="2"/>
  <c r="E4709" i="2"/>
  <c r="D4709" i="2"/>
  <c r="C4709" i="2"/>
  <c r="B4709" i="2"/>
  <c r="A4709" i="2"/>
  <c r="E4708" i="2"/>
  <c r="D4708" i="2"/>
  <c r="C4708" i="2"/>
  <c r="B4708" i="2"/>
  <c r="A4708" i="2"/>
  <c r="E4707" i="2"/>
  <c r="D4707" i="2"/>
  <c r="C4707" i="2"/>
  <c r="B4707" i="2"/>
  <c r="A4707" i="2"/>
  <c r="E4706" i="2"/>
  <c r="D4706" i="2"/>
  <c r="C4706" i="2"/>
  <c r="B4706" i="2"/>
  <c r="A4706" i="2"/>
  <c r="E4705" i="2"/>
  <c r="D4705" i="2"/>
  <c r="C4705" i="2"/>
  <c r="B4705" i="2"/>
  <c r="A4705" i="2"/>
  <c r="E4704" i="2"/>
  <c r="D4704" i="2"/>
  <c r="C4704" i="2"/>
  <c r="B4704" i="2"/>
  <c r="A4704" i="2"/>
  <c r="E4703" i="2"/>
  <c r="D4703" i="2"/>
  <c r="C4703" i="2"/>
  <c r="B4703" i="2"/>
  <c r="A4703" i="2"/>
  <c r="E4702" i="2"/>
  <c r="D4702" i="2"/>
  <c r="C4702" i="2"/>
  <c r="B4702" i="2"/>
  <c r="A4702" i="2"/>
  <c r="E4701" i="2"/>
  <c r="D4701" i="2"/>
  <c r="C4701" i="2"/>
  <c r="B4701" i="2"/>
  <c r="A4701" i="2"/>
  <c r="E4700" i="2"/>
  <c r="D4700" i="2"/>
  <c r="C4700" i="2"/>
  <c r="B4700" i="2"/>
  <c r="A4700" i="2"/>
  <c r="E4699" i="2"/>
  <c r="D4699" i="2"/>
  <c r="C4699" i="2"/>
  <c r="B4699" i="2"/>
  <c r="A4699" i="2"/>
  <c r="E4698" i="2"/>
  <c r="D4698" i="2"/>
  <c r="C4698" i="2"/>
  <c r="B4698" i="2"/>
  <c r="A4698" i="2"/>
  <c r="E4697" i="2"/>
  <c r="D4697" i="2"/>
  <c r="C4697" i="2"/>
  <c r="B4697" i="2"/>
  <c r="A4697" i="2"/>
  <c r="E4696" i="2"/>
  <c r="D4696" i="2"/>
  <c r="C4696" i="2"/>
  <c r="B4696" i="2"/>
  <c r="A4696" i="2"/>
  <c r="E4695" i="2"/>
  <c r="D4695" i="2"/>
  <c r="C4695" i="2"/>
  <c r="B4695" i="2"/>
  <c r="A4695" i="2"/>
  <c r="E4694" i="2"/>
  <c r="D4694" i="2"/>
  <c r="C4694" i="2"/>
  <c r="B4694" i="2"/>
  <c r="A4694" i="2"/>
  <c r="E4693" i="2"/>
  <c r="D4693" i="2"/>
  <c r="C4693" i="2"/>
  <c r="B4693" i="2"/>
  <c r="A4693" i="2"/>
  <c r="E4692" i="2"/>
  <c r="D4692" i="2"/>
  <c r="C4692" i="2"/>
  <c r="B4692" i="2"/>
  <c r="A4692" i="2"/>
  <c r="E4691" i="2"/>
  <c r="D4691" i="2"/>
  <c r="C4691" i="2"/>
  <c r="B4691" i="2"/>
  <c r="A4691" i="2"/>
  <c r="E4690" i="2"/>
  <c r="D4690" i="2"/>
  <c r="C4690" i="2"/>
  <c r="B4690" i="2"/>
  <c r="A4690" i="2"/>
  <c r="E4689" i="2"/>
  <c r="D4689" i="2"/>
  <c r="C4689" i="2"/>
  <c r="B4689" i="2"/>
  <c r="A4689" i="2"/>
  <c r="E4688" i="2"/>
  <c r="D4688" i="2"/>
  <c r="C4688" i="2"/>
  <c r="B4688" i="2"/>
  <c r="A4688" i="2"/>
  <c r="E4687" i="2"/>
  <c r="D4687" i="2"/>
  <c r="C4687" i="2"/>
  <c r="B4687" i="2"/>
  <c r="A4687" i="2"/>
  <c r="E4686" i="2"/>
  <c r="D4686" i="2"/>
  <c r="C4686" i="2"/>
  <c r="B4686" i="2"/>
  <c r="A4686" i="2"/>
  <c r="E4685" i="2"/>
  <c r="D4685" i="2"/>
  <c r="C4685" i="2"/>
  <c r="B4685" i="2"/>
  <c r="A4685" i="2"/>
  <c r="E4684" i="2"/>
  <c r="D4684" i="2"/>
  <c r="C4684" i="2"/>
  <c r="B4684" i="2"/>
  <c r="A4684" i="2"/>
  <c r="E4683" i="2"/>
  <c r="D4683" i="2"/>
  <c r="C4683" i="2"/>
  <c r="B4683" i="2"/>
  <c r="A4683" i="2"/>
  <c r="E4682" i="2"/>
  <c r="D4682" i="2"/>
  <c r="C4682" i="2"/>
  <c r="B4682" i="2"/>
  <c r="A4682" i="2"/>
  <c r="E4681" i="2"/>
  <c r="D4681" i="2"/>
  <c r="C4681" i="2"/>
  <c r="B4681" i="2"/>
  <c r="A4681" i="2"/>
  <c r="E4680" i="2"/>
  <c r="D4680" i="2"/>
  <c r="C4680" i="2"/>
  <c r="B4680" i="2"/>
  <c r="A4680" i="2"/>
  <c r="E4679" i="2"/>
  <c r="D4679" i="2"/>
  <c r="C4679" i="2"/>
  <c r="B4679" i="2"/>
  <c r="A4679" i="2"/>
  <c r="E4678" i="2"/>
  <c r="D4678" i="2"/>
  <c r="C4678" i="2"/>
  <c r="B4678" i="2"/>
  <c r="A4678" i="2"/>
  <c r="E4677" i="2"/>
  <c r="D4677" i="2"/>
  <c r="C4677" i="2"/>
  <c r="B4677" i="2"/>
  <c r="A4677" i="2"/>
  <c r="E4676" i="2"/>
  <c r="D4676" i="2"/>
  <c r="C4676" i="2"/>
  <c r="B4676" i="2"/>
  <c r="A4676" i="2"/>
  <c r="E4675" i="2"/>
  <c r="D4675" i="2"/>
  <c r="C4675" i="2"/>
  <c r="B4675" i="2"/>
  <c r="A4675" i="2"/>
  <c r="E4674" i="2"/>
  <c r="D4674" i="2"/>
  <c r="C4674" i="2"/>
  <c r="B4674" i="2"/>
  <c r="A4674" i="2"/>
  <c r="E4673" i="2"/>
  <c r="D4673" i="2"/>
  <c r="C4673" i="2"/>
  <c r="B4673" i="2"/>
  <c r="A4673" i="2"/>
  <c r="E4672" i="2"/>
  <c r="D4672" i="2"/>
  <c r="C4672" i="2"/>
  <c r="B4672" i="2"/>
  <c r="A4672" i="2"/>
  <c r="E4671" i="2"/>
  <c r="D4671" i="2"/>
  <c r="C4671" i="2"/>
  <c r="B4671" i="2"/>
  <c r="A4671" i="2"/>
  <c r="E4670" i="2"/>
  <c r="D4670" i="2"/>
  <c r="C4670" i="2"/>
  <c r="B4670" i="2"/>
  <c r="A4670" i="2"/>
  <c r="E4669" i="2"/>
  <c r="D4669" i="2"/>
  <c r="C4669" i="2"/>
  <c r="B4669" i="2"/>
  <c r="A4669" i="2"/>
  <c r="E4668" i="2"/>
  <c r="D4668" i="2"/>
  <c r="C4668" i="2"/>
  <c r="B4668" i="2"/>
  <c r="A4668" i="2"/>
  <c r="E4667" i="2"/>
  <c r="D4667" i="2"/>
  <c r="C4667" i="2"/>
  <c r="B4667" i="2"/>
  <c r="A4667" i="2"/>
  <c r="E4666" i="2"/>
  <c r="D4666" i="2"/>
  <c r="C4666" i="2"/>
  <c r="B4666" i="2"/>
  <c r="A4666" i="2"/>
  <c r="E4665" i="2"/>
  <c r="D4665" i="2"/>
  <c r="C4665" i="2"/>
  <c r="B4665" i="2"/>
  <c r="A4665" i="2"/>
  <c r="E4664" i="2"/>
  <c r="D4664" i="2"/>
  <c r="C4664" i="2"/>
  <c r="B4664" i="2"/>
  <c r="A4664" i="2"/>
  <c r="E4663" i="2"/>
  <c r="D4663" i="2"/>
  <c r="C4663" i="2"/>
  <c r="B4663" i="2"/>
  <c r="A4663" i="2"/>
  <c r="E4662" i="2"/>
  <c r="D4662" i="2"/>
  <c r="C4662" i="2"/>
  <c r="B4662" i="2"/>
  <c r="A4662" i="2"/>
  <c r="E4661" i="2"/>
  <c r="D4661" i="2"/>
  <c r="C4661" i="2"/>
  <c r="B4661" i="2"/>
  <c r="A4661" i="2"/>
  <c r="E4660" i="2"/>
  <c r="D4660" i="2"/>
  <c r="C4660" i="2"/>
  <c r="B4660" i="2"/>
  <c r="A4660" i="2"/>
  <c r="E4659" i="2"/>
  <c r="D4659" i="2"/>
  <c r="C4659" i="2"/>
  <c r="B4659" i="2"/>
  <c r="A4659" i="2"/>
  <c r="E4658" i="2"/>
  <c r="D4658" i="2"/>
  <c r="C4658" i="2"/>
  <c r="B4658" i="2"/>
  <c r="A4658" i="2"/>
  <c r="E4657" i="2"/>
  <c r="D4657" i="2"/>
  <c r="C4657" i="2"/>
  <c r="B4657" i="2"/>
  <c r="A4657" i="2"/>
  <c r="E4656" i="2"/>
  <c r="D4656" i="2"/>
  <c r="C4656" i="2"/>
  <c r="B4656" i="2"/>
  <c r="A4656" i="2"/>
  <c r="E4655" i="2"/>
  <c r="D4655" i="2"/>
  <c r="C4655" i="2"/>
  <c r="B4655" i="2"/>
  <c r="A4655" i="2"/>
  <c r="E4654" i="2"/>
  <c r="D4654" i="2"/>
  <c r="C4654" i="2"/>
  <c r="B4654" i="2"/>
  <c r="A4654" i="2"/>
  <c r="E4653" i="2"/>
  <c r="D4653" i="2"/>
  <c r="C4653" i="2"/>
  <c r="B4653" i="2"/>
  <c r="A4653" i="2"/>
  <c r="E4652" i="2"/>
  <c r="D4652" i="2"/>
  <c r="C4652" i="2"/>
  <c r="B4652" i="2"/>
  <c r="A4652" i="2"/>
  <c r="E4651" i="2"/>
  <c r="D4651" i="2"/>
  <c r="C4651" i="2"/>
  <c r="B4651" i="2"/>
  <c r="A4651" i="2"/>
  <c r="E4650" i="2"/>
  <c r="D4650" i="2"/>
  <c r="C4650" i="2"/>
  <c r="B4650" i="2"/>
  <c r="A4650" i="2"/>
  <c r="E4649" i="2"/>
  <c r="D4649" i="2"/>
  <c r="C4649" i="2"/>
  <c r="B4649" i="2"/>
  <c r="A4649" i="2"/>
  <c r="E4648" i="2"/>
  <c r="D4648" i="2"/>
  <c r="C4648" i="2"/>
  <c r="B4648" i="2"/>
  <c r="A4648" i="2"/>
  <c r="E4647" i="2"/>
  <c r="D4647" i="2"/>
  <c r="C4647" i="2"/>
  <c r="B4647" i="2"/>
  <c r="A4647" i="2"/>
  <c r="E4646" i="2"/>
  <c r="D4646" i="2"/>
  <c r="C4646" i="2"/>
  <c r="B4646" i="2"/>
  <c r="A4646" i="2"/>
  <c r="E4645" i="2"/>
  <c r="D4645" i="2"/>
  <c r="C4645" i="2"/>
  <c r="B4645" i="2"/>
  <c r="A4645" i="2"/>
  <c r="E4644" i="2"/>
  <c r="D4644" i="2"/>
  <c r="C4644" i="2"/>
  <c r="B4644" i="2"/>
  <c r="A4644" i="2"/>
  <c r="E4643" i="2"/>
  <c r="D4643" i="2"/>
  <c r="C4643" i="2"/>
  <c r="B4643" i="2"/>
  <c r="A4643" i="2"/>
  <c r="E4642" i="2"/>
  <c r="D4642" i="2"/>
  <c r="C4642" i="2"/>
  <c r="B4642" i="2"/>
  <c r="A4642" i="2"/>
  <c r="E4641" i="2"/>
  <c r="D4641" i="2"/>
  <c r="C4641" i="2"/>
  <c r="B4641" i="2"/>
  <c r="A4641" i="2"/>
  <c r="E4640" i="2"/>
  <c r="D4640" i="2"/>
  <c r="C4640" i="2"/>
  <c r="B4640" i="2"/>
  <c r="A4640" i="2"/>
  <c r="E4639" i="2"/>
  <c r="D4639" i="2"/>
  <c r="C4639" i="2"/>
  <c r="B4639" i="2"/>
  <c r="A4639" i="2"/>
  <c r="E4638" i="2"/>
  <c r="D4638" i="2"/>
  <c r="C4638" i="2"/>
  <c r="B4638" i="2"/>
  <c r="A4638" i="2"/>
  <c r="E4637" i="2"/>
  <c r="D4637" i="2"/>
  <c r="C4637" i="2"/>
  <c r="B4637" i="2"/>
  <c r="A4637" i="2"/>
  <c r="E4636" i="2"/>
  <c r="D4636" i="2"/>
  <c r="C4636" i="2"/>
  <c r="B4636" i="2"/>
  <c r="A4636" i="2"/>
  <c r="E4635" i="2"/>
  <c r="D4635" i="2"/>
  <c r="C4635" i="2"/>
  <c r="B4635" i="2"/>
  <c r="A4635" i="2"/>
  <c r="E4634" i="2"/>
  <c r="D4634" i="2"/>
  <c r="C4634" i="2"/>
  <c r="B4634" i="2"/>
  <c r="A4634" i="2"/>
  <c r="E4633" i="2"/>
  <c r="D4633" i="2"/>
  <c r="C4633" i="2"/>
  <c r="B4633" i="2"/>
  <c r="A4633" i="2"/>
  <c r="E4632" i="2"/>
  <c r="D4632" i="2"/>
  <c r="C4632" i="2"/>
  <c r="B4632" i="2"/>
  <c r="A4632" i="2"/>
  <c r="E4631" i="2"/>
  <c r="D4631" i="2"/>
  <c r="C4631" i="2"/>
  <c r="B4631" i="2"/>
  <c r="A4631" i="2"/>
  <c r="E4630" i="2"/>
  <c r="D4630" i="2"/>
  <c r="C4630" i="2"/>
  <c r="B4630" i="2"/>
  <c r="A4630" i="2"/>
  <c r="E4629" i="2"/>
  <c r="D4629" i="2"/>
  <c r="C4629" i="2"/>
  <c r="B4629" i="2"/>
  <c r="A4629" i="2"/>
  <c r="E4628" i="2"/>
  <c r="D4628" i="2"/>
  <c r="C4628" i="2"/>
  <c r="B4628" i="2"/>
  <c r="A4628" i="2"/>
  <c r="E4627" i="2"/>
  <c r="D4627" i="2"/>
  <c r="C4627" i="2"/>
  <c r="B4627" i="2"/>
  <c r="A4627" i="2"/>
  <c r="E4626" i="2"/>
  <c r="D4626" i="2"/>
  <c r="C4626" i="2"/>
  <c r="B4626" i="2"/>
  <c r="A4626" i="2"/>
  <c r="E4625" i="2"/>
  <c r="D4625" i="2"/>
  <c r="C4625" i="2"/>
  <c r="B4625" i="2"/>
  <c r="A4625" i="2"/>
  <c r="E4624" i="2"/>
  <c r="D4624" i="2"/>
  <c r="C4624" i="2"/>
  <c r="B4624" i="2"/>
  <c r="A4624" i="2"/>
  <c r="E4623" i="2"/>
  <c r="D4623" i="2"/>
  <c r="C4623" i="2"/>
  <c r="B4623" i="2"/>
  <c r="A4623" i="2"/>
  <c r="E4622" i="2"/>
  <c r="D4622" i="2"/>
  <c r="C4622" i="2"/>
  <c r="B4622" i="2"/>
  <c r="A4622" i="2"/>
  <c r="E4621" i="2"/>
  <c r="D4621" i="2"/>
  <c r="C4621" i="2"/>
  <c r="B4621" i="2"/>
  <c r="A4621" i="2"/>
  <c r="E4620" i="2"/>
  <c r="D4620" i="2"/>
  <c r="C4620" i="2"/>
  <c r="B4620" i="2"/>
  <c r="A4620" i="2"/>
  <c r="E4619" i="2"/>
  <c r="D4619" i="2"/>
  <c r="C4619" i="2"/>
  <c r="B4619" i="2"/>
  <c r="A4619" i="2"/>
  <c r="E4618" i="2"/>
  <c r="D4618" i="2"/>
  <c r="C4618" i="2"/>
  <c r="B4618" i="2"/>
  <c r="A4618" i="2"/>
  <c r="E4617" i="2"/>
  <c r="D4617" i="2"/>
  <c r="C4617" i="2"/>
  <c r="B4617" i="2"/>
  <c r="A4617" i="2"/>
  <c r="E4616" i="2"/>
  <c r="D4616" i="2"/>
  <c r="C4616" i="2"/>
  <c r="B4616" i="2"/>
  <c r="A4616" i="2"/>
  <c r="E4615" i="2"/>
  <c r="D4615" i="2"/>
  <c r="C4615" i="2"/>
  <c r="B4615" i="2"/>
  <c r="A4615" i="2"/>
  <c r="E4614" i="2"/>
  <c r="D4614" i="2"/>
  <c r="C4614" i="2"/>
  <c r="B4614" i="2"/>
  <c r="A4614" i="2"/>
  <c r="E4613" i="2"/>
  <c r="D4613" i="2"/>
  <c r="C4613" i="2"/>
  <c r="B4613" i="2"/>
  <c r="A4613" i="2"/>
  <c r="E4612" i="2"/>
  <c r="D4612" i="2"/>
  <c r="C4612" i="2"/>
  <c r="B4612" i="2"/>
  <c r="A4612" i="2"/>
  <c r="E4611" i="2"/>
  <c r="D4611" i="2"/>
  <c r="C4611" i="2"/>
  <c r="B4611" i="2"/>
  <c r="A4611" i="2"/>
  <c r="E4610" i="2"/>
  <c r="D4610" i="2"/>
  <c r="C4610" i="2"/>
  <c r="B4610" i="2"/>
  <c r="A4610" i="2"/>
  <c r="E4609" i="2"/>
  <c r="D4609" i="2"/>
  <c r="C4609" i="2"/>
  <c r="B4609" i="2"/>
  <c r="A4609" i="2"/>
  <c r="E4608" i="2"/>
  <c r="D4608" i="2"/>
  <c r="C4608" i="2"/>
  <c r="B4608" i="2"/>
  <c r="A4608" i="2"/>
  <c r="E4607" i="2"/>
  <c r="D4607" i="2"/>
  <c r="C4607" i="2"/>
  <c r="B4607" i="2"/>
  <c r="A4607" i="2"/>
  <c r="E4606" i="2"/>
  <c r="D4606" i="2"/>
  <c r="C4606" i="2"/>
  <c r="B4606" i="2"/>
  <c r="A4606" i="2"/>
  <c r="E4605" i="2"/>
  <c r="D4605" i="2"/>
  <c r="C4605" i="2"/>
  <c r="B4605" i="2"/>
  <c r="A4605" i="2"/>
  <c r="E4604" i="2"/>
  <c r="D4604" i="2"/>
  <c r="C4604" i="2"/>
  <c r="B4604" i="2"/>
  <c r="A4604" i="2"/>
  <c r="E4603" i="2"/>
  <c r="D4603" i="2"/>
  <c r="C4603" i="2"/>
  <c r="B4603" i="2"/>
  <c r="A4603" i="2"/>
  <c r="E4602" i="2"/>
  <c r="D4602" i="2"/>
  <c r="C4602" i="2"/>
  <c r="B4602" i="2"/>
  <c r="A4602" i="2"/>
  <c r="E4601" i="2"/>
  <c r="D4601" i="2"/>
  <c r="C4601" i="2"/>
  <c r="B4601" i="2"/>
  <c r="A4601" i="2"/>
  <c r="E4600" i="2"/>
  <c r="D4600" i="2"/>
  <c r="C4600" i="2"/>
  <c r="B4600" i="2"/>
  <c r="A4600" i="2"/>
  <c r="E4599" i="2"/>
  <c r="D4599" i="2"/>
  <c r="C4599" i="2"/>
  <c r="B4599" i="2"/>
  <c r="A4599" i="2"/>
  <c r="E4598" i="2"/>
  <c r="D4598" i="2"/>
  <c r="C4598" i="2"/>
  <c r="B4598" i="2"/>
  <c r="A4598" i="2"/>
  <c r="E4597" i="2"/>
  <c r="D4597" i="2"/>
  <c r="C4597" i="2"/>
  <c r="B4597" i="2"/>
  <c r="A4597" i="2"/>
  <c r="E4596" i="2"/>
  <c r="D4596" i="2"/>
  <c r="C4596" i="2"/>
  <c r="B4596" i="2"/>
  <c r="A4596" i="2"/>
  <c r="E4595" i="2"/>
  <c r="D4595" i="2"/>
  <c r="C4595" i="2"/>
  <c r="B4595" i="2"/>
  <c r="A4595" i="2"/>
  <c r="E4594" i="2"/>
  <c r="D4594" i="2"/>
  <c r="C4594" i="2"/>
  <c r="B4594" i="2"/>
  <c r="A4594" i="2"/>
  <c r="E4593" i="2"/>
  <c r="D4593" i="2"/>
  <c r="C4593" i="2"/>
  <c r="B4593" i="2"/>
  <c r="A4593" i="2"/>
  <c r="E4592" i="2"/>
  <c r="D4592" i="2"/>
  <c r="C4592" i="2"/>
  <c r="B4592" i="2"/>
  <c r="A4592" i="2"/>
  <c r="E4591" i="2"/>
  <c r="D4591" i="2"/>
  <c r="C4591" i="2"/>
  <c r="B4591" i="2"/>
  <c r="A4591" i="2"/>
  <c r="E4590" i="2"/>
  <c r="D4590" i="2"/>
  <c r="C4590" i="2"/>
  <c r="B4590" i="2"/>
  <c r="A4590" i="2"/>
  <c r="E4589" i="2"/>
  <c r="D4589" i="2"/>
  <c r="C4589" i="2"/>
  <c r="B4589" i="2"/>
  <c r="A4589" i="2"/>
  <c r="E4588" i="2"/>
  <c r="D4588" i="2"/>
  <c r="C4588" i="2"/>
  <c r="B4588" i="2"/>
  <c r="A4588" i="2"/>
  <c r="E4587" i="2"/>
  <c r="D4587" i="2"/>
  <c r="C4587" i="2"/>
  <c r="B4587" i="2"/>
  <c r="A4587" i="2"/>
  <c r="E4586" i="2"/>
  <c r="D4586" i="2"/>
  <c r="C4586" i="2"/>
  <c r="B4586" i="2"/>
  <c r="A4586" i="2"/>
  <c r="E4585" i="2"/>
  <c r="D4585" i="2"/>
  <c r="C4585" i="2"/>
  <c r="B4585" i="2"/>
  <c r="A4585" i="2"/>
  <c r="E4584" i="2"/>
  <c r="D4584" i="2"/>
  <c r="C4584" i="2"/>
  <c r="B4584" i="2"/>
  <c r="A4584" i="2"/>
  <c r="E4583" i="2"/>
  <c r="D4583" i="2"/>
  <c r="C4583" i="2"/>
  <c r="B4583" i="2"/>
  <c r="A4583" i="2"/>
  <c r="E4582" i="2"/>
  <c r="D4582" i="2"/>
  <c r="C4582" i="2"/>
  <c r="B4582" i="2"/>
  <c r="A4582" i="2"/>
  <c r="E4581" i="2"/>
  <c r="D4581" i="2"/>
  <c r="C4581" i="2"/>
  <c r="B4581" i="2"/>
  <c r="A4581" i="2"/>
  <c r="E4580" i="2"/>
  <c r="D4580" i="2"/>
  <c r="C4580" i="2"/>
  <c r="B4580" i="2"/>
  <c r="A4580" i="2"/>
  <c r="E4579" i="2"/>
  <c r="D4579" i="2"/>
  <c r="C4579" i="2"/>
  <c r="B4579" i="2"/>
  <c r="A4579" i="2"/>
  <c r="E4578" i="2"/>
  <c r="D4578" i="2"/>
  <c r="C4578" i="2"/>
  <c r="B4578" i="2"/>
  <c r="A4578" i="2"/>
  <c r="E4577" i="2"/>
  <c r="D4577" i="2"/>
  <c r="C4577" i="2"/>
  <c r="B4577" i="2"/>
  <c r="A4577" i="2"/>
  <c r="E4576" i="2"/>
  <c r="D4576" i="2"/>
  <c r="C4576" i="2"/>
  <c r="B4576" i="2"/>
  <c r="A4576" i="2"/>
  <c r="E4575" i="2"/>
  <c r="D4575" i="2"/>
  <c r="C4575" i="2"/>
  <c r="B4575" i="2"/>
  <c r="A4575" i="2"/>
  <c r="E4574" i="2"/>
  <c r="D4574" i="2"/>
  <c r="C4574" i="2"/>
  <c r="B4574" i="2"/>
  <c r="A4574" i="2"/>
  <c r="E4573" i="2"/>
  <c r="D4573" i="2"/>
  <c r="C4573" i="2"/>
  <c r="B4573" i="2"/>
  <c r="A4573" i="2"/>
  <c r="E4572" i="2"/>
  <c r="D4572" i="2"/>
  <c r="C4572" i="2"/>
  <c r="B4572" i="2"/>
  <c r="A4572" i="2"/>
  <c r="E4571" i="2"/>
  <c r="D4571" i="2"/>
  <c r="C4571" i="2"/>
  <c r="B4571" i="2"/>
  <c r="A4571" i="2"/>
  <c r="E4570" i="2"/>
  <c r="D4570" i="2"/>
  <c r="C4570" i="2"/>
  <c r="B4570" i="2"/>
  <c r="A4570" i="2"/>
  <c r="E4569" i="2"/>
  <c r="D4569" i="2"/>
  <c r="C4569" i="2"/>
  <c r="B4569" i="2"/>
  <c r="A4569" i="2"/>
  <c r="E4568" i="2"/>
  <c r="D4568" i="2"/>
  <c r="C4568" i="2"/>
  <c r="B4568" i="2"/>
  <c r="A4568" i="2"/>
  <c r="E4567" i="2"/>
  <c r="D4567" i="2"/>
  <c r="C4567" i="2"/>
  <c r="B4567" i="2"/>
  <c r="A4567" i="2"/>
  <c r="E4566" i="2"/>
  <c r="D4566" i="2"/>
  <c r="C4566" i="2"/>
  <c r="B4566" i="2"/>
  <c r="A4566" i="2"/>
  <c r="E4565" i="2"/>
  <c r="D4565" i="2"/>
  <c r="C4565" i="2"/>
  <c r="B4565" i="2"/>
  <c r="A4565" i="2"/>
  <c r="E4564" i="2"/>
  <c r="D4564" i="2"/>
  <c r="C4564" i="2"/>
  <c r="B4564" i="2"/>
  <c r="A4564" i="2"/>
  <c r="E4563" i="2"/>
  <c r="D4563" i="2"/>
  <c r="C4563" i="2"/>
  <c r="B4563" i="2"/>
  <c r="A4563" i="2"/>
  <c r="E4562" i="2"/>
  <c r="D4562" i="2"/>
  <c r="C4562" i="2"/>
  <c r="B4562" i="2"/>
  <c r="A4562" i="2"/>
  <c r="E4561" i="2"/>
  <c r="D4561" i="2"/>
  <c r="C4561" i="2"/>
  <c r="B4561" i="2"/>
  <c r="A4561" i="2"/>
  <c r="E4560" i="2"/>
  <c r="D4560" i="2"/>
  <c r="C4560" i="2"/>
  <c r="B4560" i="2"/>
  <c r="A4560" i="2"/>
  <c r="E4559" i="2"/>
  <c r="D4559" i="2"/>
  <c r="C4559" i="2"/>
  <c r="B4559" i="2"/>
  <c r="A4559" i="2"/>
  <c r="E4558" i="2"/>
  <c r="D4558" i="2"/>
  <c r="C4558" i="2"/>
  <c r="B4558" i="2"/>
  <c r="A4558" i="2"/>
  <c r="E4557" i="2"/>
  <c r="D4557" i="2"/>
  <c r="C4557" i="2"/>
  <c r="B4557" i="2"/>
  <c r="A4557" i="2"/>
  <c r="E4556" i="2"/>
  <c r="D4556" i="2"/>
  <c r="C4556" i="2"/>
  <c r="B4556" i="2"/>
  <c r="A4556" i="2"/>
  <c r="E4555" i="2"/>
  <c r="D4555" i="2"/>
  <c r="C4555" i="2"/>
  <c r="B4555" i="2"/>
  <c r="A4555" i="2"/>
  <c r="E4554" i="2"/>
  <c r="D4554" i="2"/>
  <c r="C4554" i="2"/>
  <c r="B4554" i="2"/>
  <c r="A4554" i="2"/>
  <c r="E4553" i="2"/>
  <c r="D4553" i="2"/>
  <c r="C4553" i="2"/>
  <c r="B4553" i="2"/>
  <c r="A4553" i="2"/>
  <c r="E4552" i="2"/>
  <c r="D4552" i="2"/>
  <c r="C4552" i="2"/>
  <c r="B4552" i="2"/>
  <c r="A4552" i="2"/>
  <c r="E4551" i="2"/>
  <c r="D4551" i="2"/>
  <c r="C4551" i="2"/>
  <c r="B4551" i="2"/>
  <c r="A4551" i="2"/>
  <c r="E4550" i="2"/>
  <c r="D4550" i="2"/>
  <c r="C4550" i="2"/>
  <c r="B4550" i="2"/>
  <c r="A4550" i="2"/>
  <c r="E4549" i="2"/>
  <c r="D4549" i="2"/>
  <c r="C4549" i="2"/>
  <c r="B4549" i="2"/>
  <c r="A4549" i="2"/>
  <c r="E4548" i="2"/>
  <c r="D4548" i="2"/>
  <c r="C4548" i="2"/>
  <c r="B4548" i="2"/>
  <c r="A4548" i="2"/>
  <c r="E4547" i="2"/>
  <c r="D4547" i="2"/>
  <c r="C4547" i="2"/>
  <c r="B4547" i="2"/>
  <c r="A4547" i="2"/>
  <c r="E4546" i="2"/>
  <c r="D4546" i="2"/>
  <c r="C4546" i="2"/>
  <c r="B4546" i="2"/>
  <c r="A4546" i="2"/>
  <c r="E4545" i="2"/>
  <c r="D4545" i="2"/>
  <c r="C4545" i="2"/>
  <c r="B4545" i="2"/>
  <c r="A4545" i="2"/>
  <c r="E4544" i="2"/>
  <c r="D4544" i="2"/>
  <c r="C4544" i="2"/>
  <c r="B4544" i="2"/>
  <c r="A4544" i="2"/>
  <c r="E4543" i="2"/>
  <c r="D4543" i="2"/>
  <c r="C4543" i="2"/>
  <c r="B4543" i="2"/>
  <c r="A4543" i="2"/>
  <c r="E4542" i="2"/>
  <c r="D4542" i="2"/>
  <c r="C4542" i="2"/>
  <c r="B4542" i="2"/>
  <c r="A4542" i="2"/>
  <c r="E4541" i="2"/>
  <c r="D4541" i="2"/>
  <c r="C4541" i="2"/>
  <c r="B4541" i="2"/>
  <c r="A4541" i="2"/>
  <c r="E4540" i="2"/>
  <c r="D4540" i="2"/>
  <c r="C4540" i="2"/>
  <c r="B4540" i="2"/>
  <c r="A4540" i="2"/>
  <c r="E4539" i="2"/>
  <c r="D4539" i="2"/>
  <c r="C4539" i="2"/>
  <c r="B4539" i="2"/>
  <c r="A4539" i="2"/>
  <c r="E4538" i="2"/>
  <c r="D4538" i="2"/>
  <c r="C4538" i="2"/>
  <c r="B4538" i="2"/>
  <c r="A4538" i="2"/>
  <c r="E4537" i="2"/>
  <c r="D4537" i="2"/>
  <c r="C4537" i="2"/>
  <c r="B4537" i="2"/>
  <c r="A4537" i="2"/>
  <c r="E4536" i="2"/>
  <c r="D4536" i="2"/>
  <c r="C4536" i="2"/>
  <c r="B4536" i="2"/>
  <c r="A4536" i="2"/>
  <c r="E4535" i="2"/>
  <c r="D4535" i="2"/>
  <c r="C4535" i="2"/>
  <c r="B4535" i="2"/>
  <c r="A4535" i="2"/>
  <c r="E4534" i="2"/>
  <c r="D4534" i="2"/>
  <c r="C4534" i="2"/>
  <c r="B4534" i="2"/>
  <c r="A4534" i="2"/>
  <c r="E4533" i="2"/>
  <c r="D4533" i="2"/>
  <c r="C4533" i="2"/>
  <c r="B4533" i="2"/>
  <c r="A4533" i="2"/>
  <c r="E4532" i="2"/>
  <c r="D4532" i="2"/>
  <c r="C4532" i="2"/>
  <c r="B4532" i="2"/>
  <c r="A4532" i="2"/>
  <c r="E4531" i="2"/>
  <c r="D4531" i="2"/>
  <c r="C4531" i="2"/>
  <c r="B4531" i="2"/>
  <c r="A4531" i="2"/>
  <c r="E4530" i="2"/>
  <c r="D4530" i="2"/>
  <c r="C4530" i="2"/>
  <c r="B4530" i="2"/>
  <c r="A4530" i="2"/>
  <c r="E4529" i="2"/>
  <c r="D4529" i="2"/>
  <c r="C4529" i="2"/>
  <c r="B4529" i="2"/>
  <c r="A4529" i="2"/>
  <c r="E4528" i="2"/>
  <c r="D4528" i="2"/>
  <c r="C4528" i="2"/>
  <c r="B4528" i="2"/>
  <c r="A4528" i="2"/>
  <c r="E4527" i="2"/>
  <c r="D4527" i="2"/>
  <c r="C4527" i="2"/>
  <c r="B4527" i="2"/>
  <c r="A4527" i="2"/>
  <c r="E4526" i="2"/>
  <c r="D4526" i="2"/>
  <c r="C4526" i="2"/>
  <c r="B4526" i="2"/>
  <c r="A4526" i="2"/>
  <c r="E4525" i="2"/>
  <c r="D4525" i="2"/>
  <c r="C4525" i="2"/>
  <c r="B4525" i="2"/>
  <c r="A4525" i="2"/>
  <c r="E4524" i="2"/>
  <c r="D4524" i="2"/>
  <c r="C4524" i="2"/>
  <c r="B4524" i="2"/>
  <c r="A4524" i="2"/>
  <c r="E4523" i="2"/>
  <c r="D4523" i="2"/>
  <c r="C4523" i="2"/>
  <c r="B4523" i="2"/>
  <c r="A4523" i="2"/>
  <c r="E4522" i="2"/>
  <c r="D4522" i="2"/>
  <c r="C4522" i="2"/>
  <c r="B4522" i="2"/>
  <c r="A4522" i="2"/>
  <c r="E4521" i="2"/>
  <c r="D4521" i="2"/>
  <c r="C4521" i="2"/>
  <c r="B4521" i="2"/>
  <c r="A4521" i="2"/>
  <c r="E4520" i="2"/>
  <c r="D4520" i="2"/>
  <c r="C4520" i="2"/>
  <c r="B4520" i="2"/>
  <c r="A4520" i="2"/>
  <c r="E4519" i="2"/>
  <c r="D4519" i="2"/>
  <c r="C4519" i="2"/>
  <c r="B4519" i="2"/>
  <c r="A4519" i="2"/>
  <c r="E4518" i="2"/>
  <c r="D4518" i="2"/>
  <c r="C4518" i="2"/>
  <c r="B4518" i="2"/>
  <c r="A4518" i="2"/>
  <c r="E4517" i="2"/>
  <c r="D4517" i="2"/>
  <c r="C4517" i="2"/>
  <c r="B4517" i="2"/>
  <c r="A4517" i="2"/>
  <c r="E4516" i="2"/>
  <c r="D4516" i="2"/>
  <c r="C4516" i="2"/>
  <c r="B4516" i="2"/>
  <c r="A4516" i="2"/>
  <c r="E4515" i="2"/>
  <c r="D4515" i="2"/>
  <c r="C4515" i="2"/>
  <c r="B4515" i="2"/>
  <c r="A4515" i="2"/>
  <c r="E4514" i="2"/>
  <c r="D4514" i="2"/>
  <c r="C4514" i="2"/>
  <c r="B4514" i="2"/>
  <c r="A4514" i="2"/>
  <c r="E4513" i="2"/>
  <c r="D4513" i="2"/>
  <c r="C4513" i="2"/>
  <c r="B4513" i="2"/>
  <c r="A4513" i="2"/>
  <c r="E4512" i="2"/>
  <c r="D4512" i="2"/>
  <c r="C4512" i="2"/>
  <c r="B4512" i="2"/>
  <c r="A4512" i="2"/>
  <c r="E4511" i="2"/>
  <c r="D4511" i="2"/>
  <c r="C4511" i="2"/>
  <c r="B4511" i="2"/>
  <c r="A4511" i="2"/>
  <c r="E4510" i="2"/>
  <c r="D4510" i="2"/>
  <c r="C4510" i="2"/>
  <c r="B4510" i="2"/>
  <c r="A4510" i="2"/>
  <c r="E4509" i="2"/>
  <c r="D4509" i="2"/>
  <c r="C4509" i="2"/>
  <c r="B4509" i="2"/>
  <c r="A4509" i="2"/>
  <c r="E4508" i="2"/>
  <c r="D4508" i="2"/>
  <c r="C4508" i="2"/>
  <c r="B4508" i="2"/>
  <c r="A4508" i="2"/>
  <c r="E4507" i="2"/>
  <c r="D4507" i="2"/>
  <c r="C4507" i="2"/>
  <c r="B4507" i="2"/>
  <c r="A4507" i="2"/>
  <c r="E4506" i="2"/>
  <c r="D4506" i="2"/>
  <c r="C4506" i="2"/>
  <c r="B4506" i="2"/>
  <c r="A4506" i="2"/>
  <c r="E4505" i="2"/>
  <c r="D4505" i="2"/>
  <c r="C4505" i="2"/>
  <c r="B4505" i="2"/>
  <c r="A4505" i="2"/>
  <c r="E4504" i="2"/>
  <c r="D4504" i="2"/>
  <c r="C4504" i="2"/>
  <c r="B4504" i="2"/>
  <c r="A4504" i="2"/>
  <c r="E4503" i="2"/>
  <c r="D4503" i="2"/>
  <c r="C4503" i="2"/>
  <c r="B4503" i="2"/>
  <c r="A4503" i="2"/>
  <c r="E4502" i="2"/>
  <c r="D4502" i="2"/>
  <c r="C4502" i="2"/>
  <c r="B4502" i="2"/>
  <c r="A4502" i="2"/>
  <c r="E4501" i="2"/>
  <c r="D4501" i="2"/>
  <c r="C4501" i="2"/>
  <c r="B4501" i="2"/>
  <c r="A4501" i="2"/>
  <c r="E4500" i="2"/>
  <c r="D4500" i="2"/>
  <c r="C4500" i="2"/>
  <c r="B4500" i="2"/>
  <c r="A4500" i="2"/>
  <c r="E4499" i="2"/>
  <c r="D4499" i="2"/>
  <c r="C4499" i="2"/>
  <c r="B4499" i="2"/>
  <c r="A4499" i="2"/>
  <c r="E4498" i="2"/>
  <c r="D4498" i="2"/>
  <c r="C4498" i="2"/>
  <c r="B4498" i="2"/>
  <c r="A4498" i="2"/>
  <c r="E4497" i="2"/>
  <c r="D4497" i="2"/>
  <c r="C4497" i="2"/>
  <c r="B4497" i="2"/>
  <c r="A4497" i="2"/>
  <c r="E4496" i="2"/>
  <c r="D4496" i="2"/>
  <c r="C4496" i="2"/>
  <c r="B4496" i="2"/>
  <c r="A4496" i="2"/>
  <c r="E4495" i="2"/>
  <c r="D4495" i="2"/>
  <c r="C4495" i="2"/>
  <c r="B4495" i="2"/>
  <c r="A4495" i="2"/>
  <c r="E4494" i="2"/>
  <c r="D4494" i="2"/>
  <c r="C4494" i="2"/>
  <c r="B4494" i="2"/>
  <c r="A4494" i="2"/>
  <c r="E4493" i="2"/>
  <c r="D4493" i="2"/>
  <c r="C4493" i="2"/>
  <c r="B4493" i="2"/>
  <c r="A4493" i="2"/>
  <c r="E4492" i="2"/>
  <c r="D4492" i="2"/>
  <c r="C4492" i="2"/>
  <c r="B4492" i="2"/>
  <c r="A4492" i="2"/>
  <c r="E4491" i="2"/>
  <c r="D4491" i="2"/>
  <c r="C4491" i="2"/>
  <c r="B4491" i="2"/>
  <c r="A4491" i="2"/>
  <c r="E4490" i="2"/>
  <c r="D4490" i="2"/>
  <c r="C4490" i="2"/>
  <c r="B4490" i="2"/>
  <c r="A4490" i="2"/>
  <c r="E4489" i="2"/>
  <c r="D4489" i="2"/>
  <c r="C4489" i="2"/>
  <c r="B4489" i="2"/>
  <c r="A4489" i="2"/>
  <c r="E4488" i="2"/>
  <c r="D4488" i="2"/>
  <c r="C4488" i="2"/>
  <c r="B4488" i="2"/>
  <c r="A4488" i="2"/>
  <c r="E4487" i="2"/>
  <c r="D4487" i="2"/>
  <c r="C4487" i="2"/>
  <c r="B4487" i="2"/>
  <c r="A4487" i="2"/>
  <c r="E4486" i="2"/>
  <c r="D4486" i="2"/>
  <c r="C4486" i="2"/>
  <c r="B4486" i="2"/>
  <c r="A4486" i="2"/>
  <c r="E4485" i="2"/>
  <c r="D4485" i="2"/>
  <c r="C4485" i="2"/>
  <c r="B4485" i="2"/>
  <c r="A4485" i="2"/>
  <c r="E4484" i="2"/>
  <c r="D4484" i="2"/>
  <c r="C4484" i="2"/>
  <c r="B4484" i="2"/>
  <c r="A4484" i="2"/>
  <c r="E4483" i="2"/>
  <c r="D4483" i="2"/>
  <c r="C4483" i="2"/>
  <c r="B4483" i="2"/>
  <c r="A4483" i="2"/>
  <c r="E4482" i="2"/>
  <c r="D4482" i="2"/>
  <c r="C4482" i="2"/>
  <c r="B4482" i="2"/>
  <c r="A4482" i="2"/>
  <c r="E4481" i="2"/>
  <c r="D4481" i="2"/>
  <c r="C4481" i="2"/>
  <c r="B4481" i="2"/>
  <c r="A4481" i="2"/>
  <c r="E4480" i="2"/>
  <c r="D4480" i="2"/>
  <c r="C4480" i="2"/>
  <c r="B4480" i="2"/>
  <c r="A4480" i="2"/>
  <c r="E4479" i="2"/>
  <c r="D4479" i="2"/>
  <c r="C4479" i="2"/>
  <c r="B4479" i="2"/>
  <c r="A4479" i="2"/>
  <c r="E4478" i="2"/>
  <c r="D4478" i="2"/>
  <c r="C4478" i="2"/>
  <c r="B4478" i="2"/>
  <c r="A4478" i="2"/>
  <c r="E4477" i="2"/>
  <c r="D4477" i="2"/>
  <c r="C4477" i="2"/>
  <c r="B4477" i="2"/>
  <c r="A4477" i="2"/>
  <c r="E4476" i="2"/>
  <c r="D4476" i="2"/>
  <c r="C4476" i="2"/>
  <c r="B4476" i="2"/>
  <c r="A4476" i="2"/>
  <c r="E4475" i="2"/>
  <c r="D4475" i="2"/>
  <c r="C4475" i="2"/>
  <c r="B4475" i="2"/>
  <c r="A4475" i="2"/>
  <c r="E4474" i="2"/>
  <c r="D4474" i="2"/>
  <c r="C4474" i="2"/>
  <c r="B4474" i="2"/>
  <c r="A4474" i="2"/>
  <c r="E4473" i="2"/>
  <c r="D4473" i="2"/>
  <c r="C4473" i="2"/>
  <c r="B4473" i="2"/>
  <c r="A4473" i="2"/>
  <c r="E4472" i="2"/>
  <c r="D4472" i="2"/>
  <c r="C4472" i="2"/>
  <c r="B4472" i="2"/>
  <c r="A4472" i="2"/>
  <c r="E4471" i="2"/>
  <c r="D4471" i="2"/>
  <c r="C4471" i="2"/>
  <c r="B4471" i="2"/>
  <c r="A4471" i="2"/>
  <c r="E4470" i="2"/>
  <c r="D4470" i="2"/>
  <c r="C4470" i="2"/>
  <c r="B4470" i="2"/>
  <c r="A4470" i="2"/>
  <c r="E4469" i="2"/>
  <c r="D4469" i="2"/>
  <c r="C4469" i="2"/>
  <c r="B4469" i="2"/>
  <c r="A4469" i="2"/>
  <c r="E4468" i="2"/>
  <c r="D4468" i="2"/>
  <c r="C4468" i="2"/>
  <c r="B4468" i="2"/>
  <c r="A4468" i="2"/>
  <c r="E4467" i="2"/>
  <c r="D4467" i="2"/>
  <c r="C4467" i="2"/>
  <c r="B4467" i="2"/>
  <c r="A4467" i="2"/>
  <c r="E4466" i="2"/>
  <c r="D4466" i="2"/>
  <c r="C4466" i="2"/>
  <c r="B4466" i="2"/>
  <c r="A4466" i="2"/>
  <c r="E4465" i="2"/>
  <c r="D4465" i="2"/>
  <c r="C4465" i="2"/>
  <c r="B4465" i="2"/>
  <c r="A4465" i="2"/>
  <c r="E4464" i="2"/>
  <c r="D4464" i="2"/>
  <c r="C4464" i="2"/>
  <c r="B4464" i="2"/>
  <c r="A4464" i="2"/>
  <c r="E4463" i="2"/>
  <c r="D4463" i="2"/>
  <c r="C4463" i="2"/>
  <c r="B4463" i="2"/>
  <c r="A4463" i="2"/>
  <c r="E4462" i="2"/>
  <c r="D4462" i="2"/>
  <c r="C4462" i="2"/>
  <c r="B4462" i="2"/>
  <c r="A4462" i="2"/>
  <c r="E4461" i="2"/>
  <c r="D4461" i="2"/>
  <c r="C4461" i="2"/>
  <c r="B4461" i="2"/>
  <c r="A4461" i="2"/>
  <c r="E4460" i="2"/>
  <c r="D4460" i="2"/>
  <c r="C4460" i="2"/>
  <c r="B4460" i="2"/>
  <c r="A4460" i="2"/>
  <c r="E4459" i="2"/>
  <c r="D4459" i="2"/>
  <c r="C4459" i="2"/>
  <c r="B4459" i="2"/>
  <c r="A4459" i="2"/>
  <c r="E4458" i="2"/>
  <c r="D4458" i="2"/>
  <c r="C4458" i="2"/>
  <c r="B4458" i="2"/>
  <c r="A4458" i="2"/>
  <c r="E4457" i="2"/>
  <c r="D4457" i="2"/>
  <c r="C4457" i="2"/>
  <c r="B4457" i="2"/>
  <c r="A4457" i="2"/>
  <c r="E4456" i="2"/>
  <c r="D4456" i="2"/>
  <c r="C4456" i="2"/>
  <c r="B4456" i="2"/>
  <c r="A4456" i="2"/>
  <c r="E4455" i="2"/>
  <c r="D4455" i="2"/>
  <c r="C4455" i="2"/>
  <c r="B4455" i="2"/>
  <c r="A4455" i="2"/>
  <c r="E4454" i="2"/>
  <c r="D4454" i="2"/>
  <c r="C4454" i="2"/>
  <c r="B4454" i="2"/>
  <c r="A4454" i="2"/>
  <c r="E4453" i="2"/>
  <c r="D4453" i="2"/>
  <c r="C4453" i="2"/>
  <c r="B4453" i="2"/>
  <c r="A4453" i="2"/>
  <c r="E4452" i="2"/>
  <c r="D4452" i="2"/>
  <c r="C4452" i="2"/>
  <c r="B4452" i="2"/>
  <c r="A4452" i="2"/>
  <c r="E4451" i="2"/>
  <c r="D4451" i="2"/>
  <c r="C4451" i="2"/>
  <c r="B4451" i="2"/>
  <c r="A4451" i="2"/>
  <c r="E4450" i="2"/>
  <c r="D4450" i="2"/>
  <c r="C4450" i="2"/>
  <c r="B4450" i="2"/>
  <c r="A4450" i="2"/>
  <c r="E4449" i="2"/>
  <c r="D4449" i="2"/>
  <c r="C4449" i="2"/>
  <c r="B4449" i="2"/>
  <c r="A4449" i="2"/>
  <c r="E4448" i="2"/>
  <c r="D4448" i="2"/>
  <c r="C4448" i="2"/>
  <c r="B4448" i="2"/>
  <c r="A4448" i="2"/>
  <c r="E4447" i="2"/>
  <c r="D4447" i="2"/>
  <c r="C4447" i="2"/>
  <c r="B4447" i="2"/>
  <c r="A4447" i="2"/>
  <c r="E4446" i="2"/>
  <c r="D4446" i="2"/>
  <c r="C4446" i="2"/>
  <c r="B4446" i="2"/>
  <c r="A4446" i="2"/>
  <c r="E4445" i="2"/>
  <c r="D4445" i="2"/>
  <c r="C4445" i="2"/>
  <c r="B4445" i="2"/>
  <c r="A4445" i="2"/>
  <c r="E4444" i="2"/>
  <c r="D4444" i="2"/>
  <c r="C4444" i="2"/>
  <c r="B4444" i="2"/>
  <c r="A4444" i="2"/>
  <c r="E4443" i="2"/>
  <c r="D4443" i="2"/>
  <c r="C4443" i="2"/>
  <c r="B4443" i="2"/>
  <c r="A4443" i="2"/>
  <c r="E4442" i="2"/>
  <c r="D4442" i="2"/>
  <c r="C4442" i="2"/>
  <c r="B4442" i="2"/>
  <c r="A4442" i="2"/>
  <c r="E4441" i="2"/>
  <c r="D4441" i="2"/>
  <c r="C4441" i="2"/>
  <c r="B4441" i="2"/>
  <c r="A4441" i="2"/>
  <c r="E4440" i="2"/>
  <c r="D4440" i="2"/>
  <c r="C4440" i="2"/>
  <c r="B4440" i="2"/>
  <c r="A4440" i="2"/>
  <c r="E4439" i="2"/>
  <c r="D4439" i="2"/>
  <c r="C4439" i="2"/>
  <c r="B4439" i="2"/>
  <c r="A4439" i="2"/>
  <c r="E4438" i="2"/>
  <c r="D4438" i="2"/>
  <c r="C4438" i="2"/>
  <c r="B4438" i="2"/>
  <c r="A4438" i="2"/>
  <c r="E4437" i="2"/>
  <c r="D4437" i="2"/>
  <c r="C4437" i="2"/>
  <c r="B4437" i="2"/>
  <c r="A4437" i="2"/>
  <c r="E4436" i="2"/>
  <c r="D4436" i="2"/>
  <c r="C4436" i="2"/>
  <c r="B4436" i="2"/>
  <c r="A4436" i="2"/>
  <c r="E4435" i="2"/>
  <c r="D4435" i="2"/>
  <c r="C4435" i="2"/>
  <c r="B4435" i="2"/>
  <c r="A4435" i="2"/>
  <c r="E4434" i="2"/>
  <c r="D4434" i="2"/>
  <c r="C4434" i="2"/>
  <c r="B4434" i="2"/>
  <c r="A4434" i="2"/>
  <c r="E4433" i="2"/>
  <c r="D4433" i="2"/>
  <c r="C4433" i="2"/>
  <c r="B4433" i="2"/>
  <c r="A4433" i="2"/>
  <c r="E4432" i="2"/>
  <c r="D4432" i="2"/>
  <c r="C4432" i="2"/>
  <c r="B4432" i="2"/>
  <c r="A4432" i="2"/>
  <c r="E4431" i="2"/>
  <c r="D4431" i="2"/>
  <c r="C4431" i="2"/>
  <c r="B4431" i="2"/>
  <c r="A4431" i="2"/>
  <c r="E4430" i="2"/>
  <c r="D4430" i="2"/>
  <c r="C4430" i="2"/>
  <c r="B4430" i="2"/>
  <c r="A4430" i="2"/>
  <c r="E4429" i="2"/>
  <c r="D4429" i="2"/>
  <c r="C4429" i="2"/>
  <c r="B4429" i="2"/>
  <c r="A4429" i="2"/>
  <c r="E4428" i="2"/>
  <c r="D4428" i="2"/>
  <c r="C4428" i="2"/>
  <c r="B4428" i="2"/>
  <c r="A4428" i="2"/>
  <c r="E4427" i="2"/>
  <c r="D4427" i="2"/>
  <c r="C4427" i="2"/>
  <c r="B4427" i="2"/>
  <c r="A4427" i="2"/>
  <c r="E4426" i="2"/>
  <c r="D4426" i="2"/>
  <c r="C4426" i="2"/>
  <c r="B4426" i="2"/>
  <c r="A4426" i="2"/>
  <c r="E4425" i="2"/>
  <c r="D4425" i="2"/>
  <c r="C4425" i="2"/>
  <c r="B4425" i="2"/>
  <c r="A4425" i="2"/>
  <c r="E4424" i="2"/>
  <c r="D4424" i="2"/>
  <c r="C4424" i="2"/>
  <c r="B4424" i="2"/>
  <c r="A4424" i="2"/>
  <c r="E4423" i="2"/>
  <c r="D4423" i="2"/>
  <c r="C4423" i="2"/>
  <c r="B4423" i="2"/>
  <c r="A4423" i="2"/>
  <c r="E4422" i="2"/>
  <c r="D4422" i="2"/>
  <c r="C4422" i="2"/>
  <c r="B4422" i="2"/>
  <c r="A4422" i="2"/>
  <c r="E4421" i="2"/>
  <c r="D4421" i="2"/>
  <c r="C4421" i="2"/>
  <c r="B4421" i="2"/>
  <c r="A4421" i="2"/>
  <c r="E4420" i="2"/>
  <c r="D4420" i="2"/>
  <c r="C4420" i="2"/>
  <c r="B4420" i="2"/>
  <c r="A4420" i="2"/>
  <c r="E4419" i="2"/>
  <c r="D4419" i="2"/>
  <c r="C4419" i="2"/>
  <c r="B4419" i="2"/>
  <c r="A4419" i="2"/>
  <c r="E4418" i="2"/>
  <c r="D4418" i="2"/>
  <c r="C4418" i="2"/>
  <c r="B4418" i="2"/>
  <c r="A4418" i="2"/>
  <c r="E4417" i="2"/>
  <c r="D4417" i="2"/>
  <c r="C4417" i="2"/>
  <c r="B4417" i="2"/>
  <c r="A4417" i="2"/>
  <c r="E4416" i="2"/>
  <c r="D4416" i="2"/>
  <c r="C4416" i="2"/>
  <c r="B4416" i="2"/>
  <c r="A4416" i="2"/>
  <c r="E4415" i="2"/>
  <c r="D4415" i="2"/>
  <c r="C4415" i="2"/>
  <c r="B4415" i="2"/>
  <c r="A4415" i="2"/>
  <c r="E4414" i="2"/>
  <c r="D4414" i="2"/>
  <c r="C4414" i="2"/>
  <c r="B4414" i="2"/>
  <c r="A4414" i="2"/>
  <c r="E4413" i="2"/>
  <c r="D4413" i="2"/>
  <c r="C4413" i="2"/>
  <c r="B4413" i="2"/>
  <c r="A4413" i="2"/>
  <c r="E4412" i="2"/>
  <c r="D4412" i="2"/>
  <c r="C4412" i="2"/>
  <c r="B4412" i="2"/>
  <c r="A4412" i="2"/>
  <c r="E4411" i="2"/>
  <c r="D4411" i="2"/>
  <c r="C4411" i="2"/>
  <c r="B4411" i="2"/>
  <c r="A4411" i="2"/>
  <c r="E4410" i="2"/>
  <c r="D4410" i="2"/>
  <c r="C4410" i="2"/>
  <c r="B4410" i="2"/>
  <c r="A4410" i="2"/>
  <c r="E4409" i="2"/>
  <c r="D4409" i="2"/>
  <c r="C4409" i="2"/>
  <c r="B4409" i="2"/>
  <c r="A4409" i="2"/>
  <c r="E4408" i="2"/>
  <c r="D4408" i="2"/>
  <c r="C4408" i="2"/>
  <c r="B4408" i="2"/>
  <c r="A4408" i="2"/>
  <c r="E4407" i="2"/>
  <c r="D4407" i="2"/>
  <c r="C4407" i="2"/>
  <c r="B4407" i="2"/>
  <c r="A4407" i="2"/>
  <c r="E4406" i="2"/>
  <c r="D4406" i="2"/>
  <c r="C4406" i="2"/>
  <c r="B4406" i="2"/>
  <c r="A4406" i="2"/>
  <c r="E4405" i="2"/>
  <c r="D4405" i="2"/>
  <c r="C4405" i="2"/>
  <c r="B4405" i="2"/>
  <c r="A4405" i="2"/>
  <c r="E4404" i="2"/>
  <c r="D4404" i="2"/>
  <c r="C4404" i="2"/>
  <c r="B4404" i="2"/>
  <c r="A4404" i="2"/>
  <c r="E4403" i="2"/>
  <c r="D4403" i="2"/>
  <c r="C4403" i="2"/>
  <c r="B4403" i="2"/>
  <c r="A4403" i="2"/>
  <c r="E4402" i="2"/>
  <c r="D4402" i="2"/>
  <c r="C4402" i="2"/>
  <c r="B4402" i="2"/>
  <c r="A4402" i="2"/>
  <c r="E4401" i="2"/>
  <c r="D4401" i="2"/>
  <c r="C4401" i="2"/>
  <c r="B4401" i="2"/>
  <c r="A4401" i="2"/>
  <c r="E4400" i="2"/>
  <c r="D4400" i="2"/>
  <c r="C4400" i="2"/>
  <c r="B4400" i="2"/>
  <c r="A4400" i="2"/>
  <c r="E4399" i="2"/>
  <c r="D4399" i="2"/>
  <c r="C4399" i="2"/>
  <c r="B4399" i="2"/>
  <c r="A4399" i="2"/>
  <c r="E4398" i="2"/>
  <c r="D4398" i="2"/>
  <c r="C4398" i="2"/>
  <c r="B4398" i="2"/>
  <c r="A4398" i="2"/>
  <c r="E4397" i="2"/>
  <c r="D4397" i="2"/>
  <c r="C4397" i="2"/>
  <c r="B4397" i="2"/>
  <c r="A4397" i="2"/>
  <c r="E4396" i="2"/>
  <c r="D4396" i="2"/>
  <c r="C4396" i="2"/>
  <c r="B4396" i="2"/>
  <c r="A4396" i="2"/>
  <c r="E4395" i="2"/>
  <c r="D4395" i="2"/>
  <c r="C4395" i="2"/>
  <c r="B4395" i="2"/>
  <c r="A4395" i="2"/>
  <c r="E4394" i="2"/>
  <c r="D4394" i="2"/>
  <c r="C4394" i="2"/>
  <c r="B4394" i="2"/>
  <c r="A4394" i="2"/>
  <c r="E4393" i="2"/>
  <c r="D4393" i="2"/>
  <c r="C4393" i="2"/>
  <c r="B4393" i="2"/>
  <c r="A4393" i="2"/>
  <c r="E4392" i="2"/>
  <c r="D4392" i="2"/>
  <c r="C4392" i="2"/>
  <c r="B4392" i="2"/>
  <c r="A4392" i="2"/>
  <c r="E4391" i="2"/>
  <c r="D4391" i="2"/>
  <c r="C4391" i="2"/>
  <c r="B4391" i="2"/>
  <c r="A4391" i="2"/>
  <c r="E4390" i="2"/>
  <c r="D4390" i="2"/>
  <c r="C4390" i="2"/>
  <c r="B4390" i="2"/>
  <c r="A4390" i="2"/>
  <c r="E4389" i="2"/>
  <c r="D4389" i="2"/>
  <c r="C4389" i="2"/>
  <c r="B4389" i="2"/>
  <c r="A4389" i="2"/>
  <c r="E4388" i="2"/>
  <c r="D4388" i="2"/>
  <c r="C4388" i="2"/>
  <c r="B4388" i="2"/>
  <c r="A4388" i="2"/>
  <c r="E4387" i="2"/>
  <c r="D4387" i="2"/>
  <c r="C4387" i="2"/>
  <c r="B4387" i="2"/>
  <c r="A4387" i="2"/>
  <c r="E4386" i="2"/>
  <c r="D4386" i="2"/>
  <c r="C4386" i="2"/>
  <c r="B4386" i="2"/>
  <c r="A4386" i="2"/>
  <c r="E4385" i="2"/>
  <c r="D4385" i="2"/>
  <c r="C4385" i="2"/>
  <c r="B4385" i="2"/>
  <c r="A4385" i="2"/>
  <c r="E4384" i="2"/>
  <c r="D4384" i="2"/>
  <c r="C4384" i="2"/>
  <c r="B4384" i="2"/>
  <c r="A4384" i="2"/>
  <c r="E4383" i="2"/>
  <c r="D4383" i="2"/>
  <c r="C4383" i="2"/>
  <c r="B4383" i="2"/>
  <c r="A4383" i="2"/>
  <c r="E4382" i="2"/>
  <c r="D4382" i="2"/>
  <c r="C4382" i="2"/>
  <c r="B4382" i="2"/>
  <c r="A4382" i="2"/>
  <c r="E4381" i="2"/>
  <c r="D4381" i="2"/>
  <c r="C4381" i="2"/>
  <c r="B4381" i="2"/>
  <c r="A4381" i="2"/>
  <c r="E4380" i="2"/>
  <c r="D4380" i="2"/>
  <c r="C4380" i="2"/>
  <c r="B4380" i="2"/>
  <c r="A4380" i="2"/>
  <c r="E4379" i="2"/>
  <c r="D4379" i="2"/>
  <c r="C4379" i="2"/>
  <c r="B4379" i="2"/>
  <c r="A4379" i="2"/>
  <c r="E4378" i="2"/>
  <c r="D4378" i="2"/>
  <c r="C4378" i="2"/>
  <c r="B4378" i="2"/>
  <c r="A4378" i="2"/>
  <c r="E4377" i="2"/>
  <c r="D4377" i="2"/>
  <c r="C4377" i="2"/>
  <c r="B4377" i="2"/>
  <c r="A4377" i="2"/>
  <c r="E4376" i="2"/>
  <c r="D4376" i="2"/>
  <c r="C4376" i="2"/>
  <c r="B4376" i="2"/>
  <c r="A4376" i="2"/>
  <c r="E4375" i="2"/>
  <c r="D4375" i="2"/>
  <c r="C4375" i="2"/>
  <c r="B4375" i="2"/>
  <c r="A4375" i="2"/>
  <c r="E4374" i="2"/>
  <c r="D4374" i="2"/>
  <c r="C4374" i="2"/>
  <c r="B4374" i="2"/>
  <c r="A4374" i="2"/>
  <c r="E4373" i="2"/>
  <c r="D4373" i="2"/>
  <c r="C4373" i="2"/>
  <c r="B4373" i="2"/>
  <c r="A4373" i="2"/>
  <c r="E4372" i="2"/>
  <c r="D4372" i="2"/>
  <c r="C4372" i="2"/>
  <c r="B4372" i="2"/>
  <c r="A4372" i="2"/>
  <c r="E4371" i="2"/>
  <c r="D4371" i="2"/>
  <c r="C4371" i="2"/>
  <c r="B4371" i="2"/>
  <c r="A4371" i="2"/>
  <c r="E4370" i="2"/>
  <c r="D4370" i="2"/>
  <c r="C4370" i="2"/>
  <c r="B4370" i="2"/>
  <c r="A4370" i="2"/>
  <c r="E4369" i="2"/>
  <c r="D4369" i="2"/>
  <c r="C4369" i="2"/>
  <c r="B4369" i="2"/>
  <c r="A4369" i="2"/>
  <c r="E4368" i="2"/>
  <c r="D4368" i="2"/>
  <c r="C4368" i="2"/>
  <c r="B4368" i="2"/>
  <c r="A4368" i="2"/>
  <c r="E4367" i="2"/>
  <c r="D4367" i="2"/>
  <c r="C4367" i="2"/>
  <c r="B4367" i="2"/>
  <c r="A4367" i="2"/>
  <c r="E4366" i="2"/>
  <c r="D4366" i="2"/>
  <c r="C4366" i="2"/>
  <c r="B4366" i="2"/>
  <c r="A4366" i="2"/>
  <c r="E4365" i="2"/>
  <c r="D4365" i="2"/>
  <c r="C4365" i="2"/>
  <c r="B4365" i="2"/>
  <c r="A4365" i="2"/>
  <c r="E4364" i="2"/>
  <c r="D4364" i="2"/>
  <c r="C4364" i="2"/>
  <c r="B4364" i="2"/>
  <c r="A4364" i="2"/>
  <c r="E4363" i="2"/>
  <c r="D4363" i="2"/>
  <c r="C4363" i="2"/>
  <c r="B4363" i="2"/>
  <c r="A4363" i="2"/>
  <c r="E4362" i="2"/>
  <c r="D4362" i="2"/>
  <c r="C4362" i="2"/>
  <c r="B4362" i="2"/>
  <c r="A4362" i="2"/>
  <c r="E4361" i="2"/>
  <c r="D4361" i="2"/>
  <c r="C4361" i="2"/>
  <c r="B4361" i="2"/>
  <c r="A4361" i="2"/>
  <c r="E4360" i="2"/>
  <c r="D4360" i="2"/>
  <c r="C4360" i="2"/>
  <c r="B4360" i="2"/>
  <c r="A4360" i="2"/>
  <c r="E4359" i="2"/>
  <c r="D4359" i="2"/>
  <c r="C4359" i="2"/>
  <c r="B4359" i="2"/>
  <c r="A4359" i="2"/>
  <c r="E4358" i="2"/>
  <c r="D4358" i="2"/>
  <c r="C4358" i="2"/>
  <c r="B4358" i="2"/>
  <c r="A4358" i="2"/>
  <c r="E4357" i="2"/>
  <c r="D4357" i="2"/>
  <c r="C4357" i="2"/>
  <c r="B4357" i="2"/>
  <c r="A4357" i="2"/>
  <c r="E4356" i="2"/>
  <c r="D4356" i="2"/>
  <c r="C4356" i="2"/>
  <c r="B4356" i="2"/>
  <c r="A4356" i="2"/>
  <c r="E4355" i="2"/>
  <c r="D4355" i="2"/>
  <c r="C4355" i="2"/>
  <c r="B4355" i="2"/>
  <c r="A4355" i="2"/>
  <c r="E4354" i="2"/>
  <c r="D4354" i="2"/>
  <c r="C4354" i="2"/>
  <c r="B4354" i="2"/>
  <c r="A4354" i="2"/>
  <c r="E4353" i="2"/>
  <c r="D4353" i="2"/>
  <c r="C4353" i="2"/>
  <c r="B4353" i="2"/>
  <c r="A4353" i="2"/>
  <c r="E4352" i="2"/>
  <c r="D4352" i="2"/>
  <c r="C4352" i="2"/>
  <c r="B4352" i="2"/>
  <c r="A4352" i="2"/>
  <c r="E4351" i="2"/>
  <c r="D4351" i="2"/>
  <c r="C4351" i="2"/>
  <c r="B4351" i="2"/>
  <c r="A4351" i="2"/>
  <c r="E4350" i="2"/>
  <c r="D4350" i="2"/>
  <c r="C4350" i="2"/>
  <c r="B4350" i="2"/>
  <c r="A4350" i="2"/>
  <c r="E4349" i="2"/>
  <c r="D4349" i="2"/>
  <c r="C4349" i="2"/>
  <c r="B4349" i="2"/>
  <c r="A4349" i="2"/>
  <c r="E4348" i="2"/>
  <c r="D4348" i="2"/>
  <c r="C4348" i="2"/>
  <c r="B4348" i="2"/>
  <c r="A4348" i="2"/>
  <c r="E4347" i="2"/>
  <c r="D4347" i="2"/>
  <c r="C4347" i="2"/>
  <c r="B4347" i="2"/>
  <c r="A4347" i="2"/>
  <c r="E4346" i="2"/>
  <c r="D4346" i="2"/>
  <c r="C4346" i="2"/>
  <c r="B4346" i="2"/>
  <c r="A4346" i="2"/>
  <c r="E4345" i="2"/>
  <c r="D4345" i="2"/>
  <c r="C4345" i="2"/>
  <c r="B4345" i="2"/>
  <c r="A4345" i="2"/>
  <c r="E4344" i="2"/>
  <c r="D4344" i="2"/>
  <c r="C4344" i="2"/>
  <c r="B4344" i="2"/>
  <c r="A4344" i="2"/>
  <c r="E4343" i="2"/>
  <c r="D4343" i="2"/>
  <c r="C4343" i="2"/>
  <c r="B4343" i="2"/>
  <c r="A4343" i="2"/>
  <c r="E4342" i="2"/>
  <c r="D4342" i="2"/>
  <c r="C4342" i="2"/>
  <c r="B4342" i="2"/>
  <c r="A4342" i="2"/>
  <c r="E4341" i="2"/>
  <c r="D4341" i="2"/>
  <c r="C4341" i="2"/>
  <c r="B4341" i="2"/>
  <c r="A4341" i="2"/>
  <c r="E4340" i="2"/>
  <c r="D4340" i="2"/>
  <c r="C4340" i="2"/>
  <c r="B4340" i="2"/>
  <c r="A4340" i="2"/>
  <c r="E4339" i="2"/>
  <c r="D4339" i="2"/>
  <c r="C4339" i="2"/>
  <c r="B4339" i="2"/>
  <c r="A4339" i="2"/>
  <c r="E4338" i="2"/>
  <c r="D4338" i="2"/>
  <c r="C4338" i="2"/>
  <c r="B4338" i="2"/>
  <c r="A4338" i="2"/>
  <c r="E4337" i="2"/>
  <c r="D4337" i="2"/>
  <c r="C4337" i="2"/>
  <c r="B4337" i="2"/>
  <c r="A4337" i="2"/>
  <c r="E4336" i="2"/>
  <c r="D4336" i="2"/>
  <c r="C4336" i="2"/>
  <c r="B4336" i="2"/>
  <c r="A4336" i="2"/>
  <c r="E4335" i="2"/>
  <c r="D4335" i="2"/>
  <c r="C4335" i="2"/>
  <c r="B4335" i="2"/>
  <c r="A4335" i="2"/>
  <c r="E4334" i="2"/>
  <c r="D4334" i="2"/>
  <c r="C4334" i="2"/>
  <c r="B4334" i="2"/>
  <c r="A4334" i="2"/>
  <c r="E4333" i="2"/>
  <c r="D4333" i="2"/>
  <c r="C4333" i="2"/>
  <c r="B4333" i="2"/>
  <c r="A4333" i="2"/>
  <c r="E4332" i="2"/>
  <c r="D4332" i="2"/>
  <c r="C4332" i="2"/>
  <c r="B4332" i="2"/>
  <c r="A4332" i="2"/>
  <c r="E4331" i="2"/>
  <c r="D4331" i="2"/>
  <c r="C4331" i="2"/>
  <c r="B4331" i="2"/>
  <c r="A4331" i="2"/>
  <c r="E4330" i="2"/>
  <c r="D4330" i="2"/>
  <c r="C4330" i="2"/>
  <c r="B4330" i="2"/>
  <c r="A4330" i="2"/>
  <c r="E4329" i="2"/>
  <c r="D4329" i="2"/>
  <c r="C4329" i="2"/>
  <c r="B4329" i="2"/>
  <c r="A4329" i="2"/>
  <c r="E4328" i="2"/>
  <c r="D4328" i="2"/>
  <c r="C4328" i="2"/>
  <c r="B4328" i="2"/>
  <c r="A4328" i="2"/>
  <c r="E4327" i="2"/>
  <c r="D4327" i="2"/>
  <c r="C4327" i="2"/>
  <c r="B4327" i="2"/>
  <c r="A4327" i="2"/>
  <c r="E4326" i="2"/>
  <c r="D4326" i="2"/>
  <c r="C4326" i="2"/>
  <c r="B4326" i="2"/>
  <c r="A4326" i="2"/>
  <c r="E4325" i="2"/>
  <c r="D4325" i="2"/>
  <c r="C4325" i="2"/>
  <c r="B4325" i="2"/>
  <c r="A4325" i="2"/>
  <c r="E4324" i="2"/>
  <c r="D4324" i="2"/>
  <c r="C4324" i="2"/>
  <c r="B4324" i="2"/>
  <c r="A4324" i="2"/>
  <c r="E4323" i="2"/>
  <c r="D4323" i="2"/>
  <c r="C4323" i="2"/>
  <c r="B4323" i="2"/>
  <c r="A4323" i="2"/>
  <c r="E4322" i="2"/>
  <c r="D4322" i="2"/>
  <c r="C4322" i="2"/>
  <c r="B4322" i="2"/>
  <c r="A4322" i="2"/>
  <c r="E4321" i="2"/>
  <c r="D4321" i="2"/>
  <c r="C4321" i="2"/>
  <c r="B4321" i="2"/>
  <c r="A4321" i="2"/>
  <c r="E4320" i="2"/>
  <c r="D4320" i="2"/>
  <c r="C4320" i="2"/>
  <c r="B4320" i="2"/>
  <c r="A4320" i="2"/>
  <c r="E4319" i="2"/>
  <c r="D4319" i="2"/>
  <c r="C4319" i="2"/>
  <c r="B4319" i="2"/>
  <c r="A4319" i="2"/>
  <c r="E4318" i="2"/>
  <c r="D4318" i="2"/>
  <c r="C4318" i="2"/>
  <c r="B4318" i="2"/>
  <c r="A4318" i="2"/>
  <c r="E4317" i="2"/>
  <c r="D4317" i="2"/>
  <c r="C4317" i="2"/>
  <c r="B4317" i="2"/>
  <c r="A4317" i="2"/>
  <c r="E4316" i="2"/>
  <c r="D4316" i="2"/>
  <c r="C4316" i="2"/>
  <c r="B4316" i="2"/>
  <c r="A4316" i="2"/>
  <c r="E4315" i="2"/>
  <c r="D4315" i="2"/>
  <c r="C4315" i="2"/>
  <c r="B4315" i="2"/>
  <c r="A4315" i="2"/>
  <c r="E4314" i="2"/>
  <c r="D4314" i="2"/>
  <c r="C4314" i="2"/>
  <c r="B4314" i="2"/>
  <c r="A4314" i="2"/>
  <c r="E4313" i="2"/>
  <c r="D4313" i="2"/>
  <c r="C4313" i="2"/>
  <c r="B4313" i="2"/>
  <c r="A4313" i="2"/>
  <c r="E4312" i="2"/>
  <c r="D4312" i="2"/>
  <c r="C4312" i="2"/>
  <c r="B4312" i="2"/>
  <c r="A4312" i="2"/>
  <c r="E4311" i="2"/>
  <c r="D4311" i="2"/>
  <c r="C4311" i="2"/>
  <c r="B4311" i="2"/>
  <c r="A4311" i="2"/>
  <c r="E4310" i="2"/>
  <c r="D4310" i="2"/>
  <c r="C4310" i="2"/>
  <c r="B4310" i="2"/>
  <c r="A4310" i="2"/>
  <c r="E4309" i="2"/>
  <c r="D4309" i="2"/>
  <c r="C4309" i="2"/>
  <c r="B4309" i="2"/>
  <c r="A4309" i="2"/>
  <c r="E4308" i="2"/>
  <c r="D4308" i="2"/>
  <c r="C4308" i="2"/>
  <c r="B4308" i="2"/>
  <c r="A4308" i="2"/>
  <c r="E4307" i="2"/>
  <c r="D4307" i="2"/>
  <c r="C4307" i="2"/>
  <c r="B4307" i="2"/>
  <c r="A4307" i="2"/>
  <c r="E4306" i="2"/>
  <c r="D4306" i="2"/>
  <c r="C4306" i="2"/>
  <c r="B4306" i="2"/>
  <c r="A4306" i="2"/>
  <c r="E4305" i="2"/>
  <c r="D4305" i="2"/>
  <c r="C4305" i="2"/>
  <c r="B4305" i="2"/>
  <c r="A4305" i="2"/>
  <c r="E4304" i="2"/>
  <c r="D4304" i="2"/>
  <c r="C4304" i="2"/>
  <c r="B4304" i="2"/>
  <c r="A4304" i="2"/>
  <c r="E4303" i="2"/>
  <c r="D4303" i="2"/>
  <c r="C4303" i="2"/>
  <c r="B4303" i="2"/>
  <c r="A4303" i="2"/>
  <c r="E4302" i="2"/>
  <c r="D4302" i="2"/>
  <c r="C4302" i="2"/>
  <c r="B4302" i="2"/>
  <c r="A4302" i="2"/>
  <c r="E4301" i="2"/>
  <c r="D4301" i="2"/>
  <c r="C4301" i="2"/>
  <c r="B4301" i="2"/>
  <c r="A4301" i="2"/>
  <c r="E4300" i="2"/>
  <c r="D4300" i="2"/>
  <c r="C4300" i="2"/>
  <c r="B4300" i="2"/>
  <c r="A4300" i="2"/>
  <c r="E4299" i="2"/>
  <c r="D4299" i="2"/>
  <c r="C4299" i="2"/>
  <c r="B4299" i="2"/>
  <c r="A4299" i="2"/>
  <c r="E4298" i="2"/>
  <c r="D4298" i="2"/>
  <c r="C4298" i="2"/>
  <c r="B4298" i="2"/>
  <c r="A4298" i="2"/>
  <c r="E4297" i="2"/>
  <c r="D4297" i="2"/>
  <c r="C4297" i="2"/>
  <c r="B4297" i="2"/>
  <c r="A4297" i="2"/>
  <c r="E4296" i="2"/>
  <c r="D4296" i="2"/>
  <c r="C4296" i="2"/>
  <c r="B4296" i="2"/>
  <c r="A4296" i="2"/>
  <c r="E4295" i="2"/>
  <c r="D4295" i="2"/>
  <c r="C4295" i="2"/>
  <c r="B4295" i="2"/>
  <c r="A4295" i="2"/>
  <c r="E4294" i="2"/>
  <c r="D4294" i="2"/>
  <c r="C4294" i="2"/>
  <c r="B4294" i="2"/>
  <c r="A4294" i="2"/>
  <c r="E4293" i="2"/>
  <c r="D4293" i="2"/>
  <c r="C4293" i="2"/>
  <c r="B4293" i="2"/>
  <c r="A4293" i="2"/>
  <c r="E4292" i="2"/>
  <c r="D4292" i="2"/>
  <c r="C4292" i="2"/>
  <c r="B4292" i="2"/>
  <c r="A4292" i="2"/>
  <c r="E4291" i="2"/>
  <c r="D4291" i="2"/>
  <c r="C4291" i="2"/>
  <c r="B4291" i="2"/>
  <c r="A4291" i="2"/>
  <c r="E4290" i="2"/>
  <c r="D4290" i="2"/>
  <c r="C4290" i="2"/>
  <c r="B4290" i="2"/>
  <c r="A4290" i="2"/>
  <c r="E4289" i="2"/>
  <c r="D4289" i="2"/>
  <c r="C4289" i="2"/>
  <c r="B4289" i="2"/>
  <c r="A4289" i="2"/>
  <c r="E4288" i="2"/>
  <c r="D4288" i="2"/>
  <c r="C4288" i="2"/>
  <c r="B4288" i="2"/>
  <c r="A4288" i="2"/>
  <c r="E4287" i="2"/>
  <c r="D4287" i="2"/>
  <c r="C4287" i="2"/>
  <c r="B4287" i="2"/>
  <c r="A4287" i="2"/>
  <c r="E4286" i="2"/>
  <c r="D4286" i="2"/>
  <c r="C4286" i="2"/>
  <c r="B4286" i="2"/>
  <c r="A4286" i="2"/>
  <c r="E4285" i="2"/>
  <c r="D4285" i="2"/>
  <c r="C4285" i="2"/>
  <c r="B4285" i="2"/>
  <c r="A4285" i="2"/>
  <c r="E4284" i="2"/>
  <c r="D4284" i="2"/>
  <c r="C4284" i="2"/>
  <c r="B4284" i="2"/>
  <c r="A4284" i="2"/>
  <c r="E4283" i="2"/>
  <c r="D4283" i="2"/>
  <c r="C4283" i="2"/>
  <c r="B4283" i="2"/>
  <c r="A4283" i="2"/>
  <c r="E4282" i="2"/>
  <c r="D4282" i="2"/>
  <c r="C4282" i="2"/>
  <c r="B4282" i="2"/>
  <c r="A4282" i="2"/>
  <c r="E4281" i="2"/>
  <c r="D4281" i="2"/>
  <c r="C4281" i="2"/>
  <c r="B4281" i="2"/>
  <c r="A4281" i="2"/>
  <c r="E4280" i="2"/>
  <c r="D4280" i="2"/>
  <c r="C4280" i="2"/>
  <c r="B4280" i="2"/>
  <c r="A4280" i="2"/>
  <c r="E4279" i="2"/>
  <c r="D4279" i="2"/>
  <c r="C4279" i="2"/>
  <c r="B4279" i="2"/>
  <c r="A4279" i="2"/>
  <c r="E4278" i="2"/>
  <c r="D4278" i="2"/>
  <c r="C4278" i="2"/>
  <c r="B4278" i="2"/>
  <c r="A4278" i="2"/>
  <c r="E4277" i="2"/>
  <c r="D4277" i="2"/>
  <c r="C4277" i="2"/>
  <c r="B4277" i="2"/>
  <c r="A4277" i="2"/>
  <c r="E4276" i="2"/>
  <c r="D4276" i="2"/>
  <c r="C4276" i="2"/>
  <c r="B4276" i="2"/>
  <c r="A4276" i="2"/>
  <c r="E4275" i="2"/>
  <c r="D4275" i="2"/>
  <c r="C4275" i="2"/>
  <c r="B4275" i="2"/>
  <c r="A4275" i="2"/>
  <c r="E4274" i="2"/>
  <c r="D4274" i="2"/>
  <c r="C4274" i="2"/>
  <c r="B4274" i="2"/>
  <c r="A4274" i="2"/>
  <c r="E4273" i="2"/>
  <c r="D4273" i="2"/>
  <c r="C4273" i="2"/>
  <c r="B4273" i="2"/>
  <c r="A4273" i="2"/>
  <c r="E4272" i="2"/>
  <c r="D4272" i="2"/>
  <c r="C4272" i="2"/>
  <c r="B4272" i="2"/>
  <c r="A4272" i="2"/>
  <c r="E4271" i="2"/>
  <c r="D4271" i="2"/>
  <c r="C4271" i="2"/>
  <c r="B4271" i="2"/>
  <c r="A4271" i="2"/>
  <c r="E4270" i="2"/>
  <c r="D4270" i="2"/>
  <c r="C4270" i="2"/>
  <c r="B4270" i="2"/>
  <c r="A4270" i="2"/>
  <c r="E4269" i="2"/>
  <c r="D4269" i="2"/>
  <c r="C4269" i="2"/>
  <c r="B4269" i="2"/>
  <c r="A4269" i="2"/>
  <c r="E4268" i="2"/>
  <c r="D4268" i="2"/>
  <c r="C4268" i="2"/>
  <c r="B4268" i="2"/>
  <c r="A4268" i="2"/>
  <c r="E4267" i="2"/>
  <c r="D4267" i="2"/>
  <c r="C4267" i="2"/>
  <c r="B4267" i="2"/>
  <c r="A4267" i="2"/>
  <c r="E4266" i="2"/>
  <c r="D4266" i="2"/>
  <c r="C4266" i="2"/>
  <c r="B4266" i="2"/>
  <c r="A4266" i="2"/>
  <c r="E4265" i="2"/>
  <c r="D4265" i="2"/>
  <c r="C4265" i="2"/>
  <c r="B4265" i="2"/>
  <c r="A4265" i="2"/>
  <c r="E4264" i="2"/>
  <c r="D4264" i="2"/>
  <c r="C4264" i="2"/>
  <c r="B4264" i="2"/>
  <c r="A4264" i="2"/>
  <c r="E4263" i="2"/>
  <c r="D4263" i="2"/>
  <c r="C4263" i="2"/>
  <c r="B4263" i="2"/>
  <c r="A4263" i="2"/>
  <c r="E4262" i="2"/>
  <c r="D4262" i="2"/>
  <c r="C4262" i="2"/>
  <c r="B4262" i="2"/>
  <c r="A4262" i="2"/>
  <c r="E4261" i="2"/>
  <c r="D4261" i="2"/>
  <c r="C4261" i="2"/>
  <c r="B4261" i="2"/>
  <c r="A4261" i="2"/>
  <c r="E4260" i="2"/>
  <c r="D4260" i="2"/>
  <c r="C4260" i="2"/>
  <c r="B4260" i="2"/>
  <c r="A4260" i="2"/>
  <c r="E4259" i="2"/>
  <c r="D4259" i="2"/>
  <c r="C4259" i="2"/>
  <c r="B4259" i="2"/>
  <c r="A4259" i="2"/>
  <c r="E4258" i="2"/>
  <c r="D4258" i="2"/>
  <c r="C4258" i="2"/>
  <c r="B4258" i="2"/>
  <c r="A4258" i="2"/>
  <c r="E4257" i="2"/>
  <c r="D4257" i="2"/>
  <c r="C4257" i="2"/>
  <c r="B4257" i="2"/>
  <c r="A4257" i="2"/>
  <c r="E4256" i="2"/>
  <c r="D4256" i="2"/>
  <c r="C4256" i="2"/>
  <c r="B4256" i="2"/>
  <c r="A4256" i="2"/>
  <c r="E4255" i="2"/>
  <c r="D4255" i="2"/>
  <c r="C4255" i="2"/>
  <c r="B4255" i="2"/>
  <c r="A4255" i="2"/>
  <c r="E4254" i="2"/>
  <c r="D4254" i="2"/>
  <c r="C4254" i="2"/>
  <c r="B4254" i="2"/>
  <c r="A4254" i="2"/>
  <c r="E4253" i="2"/>
  <c r="D4253" i="2"/>
  <c r="C4253" i="2"/>
  <c r="B4253" i="2"/>
  <c r="A4253" i="2"/>
  <c r="E4252" i="2"/>
  <c r="D4252" i="2"/>
  <c r="C4252" i="2"/>
  <c r="B4252" i="2"/>
  <c r="A4252" i="2"/>
  <c r="E4251" i="2"/>
  <c r="D4251" i="2"/>
  <c r="C4251" i="2"/>
  <c r="B4251" i="2"/>
  <c r="A4251" i="2"/>
  <c r="E4250" i="2"/>
  <c r="D4250" i="2"/>
  <c r="C4250" i="2"/>
  <c r="B4250" i="2"/>
  <c r="A4250" i="2"/>
  <c r="E4249" i="2"/>
  <c r="D4249" i="2"/>
  <c r="C4249" i="2"/>
  <c r="B4249" i="2"/>
  <c r="A4249" i="2"/>
  <c r="E4248" i="2"/>
  <c r="D4248" i="2"/>
  <c r="C4248" i="2"/>
  <c r="B4248" i="2"/>
  <c r="A4248" i="2"/>
  <c r="E4247" i="2"/>
  <c r="D4247" i="2"/>
  <c r="C4247" i="2"/>
  <c r="B4247" i="2"/>
  <c r="A4247" i="2"/>
  <c r="E4246" i="2"/>
  <c r="D4246" i="2"/>
  <c r="C4246" i="2"/>
  <c r="B4246" i="2"/>
  <c r="A4246" i="2"/>
  <c r="E4245" i="2"/>
  <c r="D4245" i="2"/>
  <c r="C4245" i="2"/>
  <c r="B4245" i="2"/>
  <c r="A4245" i="2"/>
  <c r="E4244" i="2"/>
  <c r="D4244" i="2"/>
  <c r="C4244" i="2"/>
  <c r="B4244" i="2"/>
  <c r="A4244" i="2"/>
  <c r="E4243" i="2"/>
  <c r="D4243" i="2"/>
  <c r="C4243" i="2"/>
  <c r="B4243" i="2"/>
  <c r="A4243" i="2"/>
  <c r="E4242" i="2"/>
  <c r="D4242" i="2"/>
  <c r="C4242" i="2"/>
  <c r="B4242" i="2"/>
  <c r="A4242" i="2"/>
  <c r="E4241" i="2"/>
  <c r="D4241" i="2"/>
  <c r="C4241" i="2"/>
  <c r="B4241" i="2"/>
  <c r="A4241" i="2"/>
  <c r="E4240" i="2"/>
  <c r="D4240" i="2"/>
  <c r="C4240" i="2"/>
  <c r="B4240" i="2"/>
  <c r="A4240" i="2"/>
  <c r="E4239" i="2"/>
  <c r="D4239" i="2"/>
  <c r="C4239" i="2"/>
  <c r="B4239" i="2"/>
  <c r="A4239" i="2"/>
  <c r="E4238" i="2"/>
  <c r="D4238" i="2"/>
  <c r="C4238" i="2"/>
  <c r="B4238" i="2"/>
  <c r="A4238" i="2"/>
  <c r="E4237" i="2"/>
  <c r="D4237" i="2"/>
  <c r="C4237" i="2"/>
  <c r="B4237" i="2"/>
  <c r="A4237" i="2"/>
  <c r="E4236" i="2"/>
  <c r="D4236" i="2"/>
  <c r="C4236" i="2"/>
  <c r="B4236" i="2"/>
  <c r="A4236" i="2"/>
  <c r="E4235" i="2"/>
  <c r="D4235" i="2"/>
  <c r="C4235" i="2"/>
  <c r="B4235" i="2"/>
  <c r="A4235" i="2"/>
  <c r="E4234" i="2"/>
  <c r="D4234" i="2"/>
  <c r="C4234" i="2"/>
  <c r="B4234" i="2"/>
  <c r="A4234" i="2"/>
  <c r="E4233" i="2"/>
  <c r="D4233" i="2"/>
  <c r="C4233" i="2"/>
  <c r="B4233" i="2"/>
  <c r="A4233" i="2"/>
  <c r="E4232" i="2"/>
  <c r="D4232" i="2"/>
  <c r="C4232" i="2"/>
  <c r="B4232" i="2"/>
  <c r="A4232" i="2"/>
  <c r="E4231" i="2"/>
  <c r="D4231" i="2"/>
  <c r="C4231" i="2"/>
  <c r="B4231" i="2"/>
  <c r="A4231" i="2"/>
  <c r="E4230" i="2"/>
  <c r="D4230" i="2"/>
  <c r="C4230" i="2"/>
  <c r="B4230" i="2"/>
  <c r="A4230" i="2"/>
  <c r="E4229" i="2"/>
  <c r="D4229" i="2"/>
  <c r="C4229" i="2"/>
  <c r="B4229" i="2"/>
  <c r="A4229" i="2"/>
  <c r="E4228" i="2"/>
  <c r="D4228" i="2"/>
  <c r="C4228" i="2"/>
  <c r="B4228" i="2"/>
  <c r="A4228" i="2"/>
  <c r="E4227" i="2"/>
  <c r="D4227" i="2"/>
  <c r="C4227" i="2"/>
  <c r="B4227" i="2"/>
  <c r="A4227" i="2"/>
  <c r="E4226" i="2"/>
  <c r="D4226" i="2"/>
  <c r="C4226" i="2"/>
  <c r="B4226" i="2"/>
  <c r="A4226" i="2"/>
  <c r="E4225" i="2"/>
  <c r="D4225" i="2"/>
  <c r="C4225" i="2"/>
  <c r="B4225" i="2"/>
  <c r="A4225" i="2"/>
  <c r="E4224" i="2"/>
  <c r="D4224" i="2"/>
  <c r="C4224" i="2"/>
  <c r="B4224" i="2"/>
  <c r="A4224" i="2"/>
  <c r="E4223" i="2"/>
  <c r="D4223" i="2"/>
  <c r="C4223" i="2"/>
  <c r="B4223" i="2"/>
  <c r="A4223" i="2"/>
  <c r="E4222" i="2"/>
  <c r="D4222" i="2"/>
  <c r="C4222" i="2"/>
  <c r="B4222" i="2"/>
  <c r="A4222" i="2"/>
  <c r="E4221" i="2"/>
  <c r="D4221" i="2"/>
  <c r="C4221" i="2"/>
  <c r="B4221" i="2"/>
  <c r="A4221" i="2"/>
  <c r="E4220" i="2"/>
  <c r="D4220" i="2"/>
  <c r="C4220" i="2"/>
  <c r="B4220" i="2"/>
  <c r="A4220" i="2"/>
  <c r="E4219" i="2"/>
  <c r="D4219" i="2"/>
  <c r="C4219" i="2"/>
  <c r="B4219" i="2"/>
  <c r="A4219" i="2"/>
  <c r="E4218" i="2"/>
  <c r="D4218" i="2"/>
  <c r="C4218" i="2"/>
  <c r="B4218" i="2"/>
  <c r="A4218" i="2"/>
  <c r="E4217" i="2"/>
  <c r="D4217" i="2"/>
  <c r="C4217" i="2"/>
  <c r="B4217" i="2"/>
  <c r="A4217" i="2"/>
  <c r="E4216" i="2"/>
  <c r="D4216" i="2"/>
  <c r="C4216" i="2"/>
  <c r="B4216" i="2"/>
  <c r="A4216" i="2"/>
  <c r="E4215" i="2"/>
  <c r="D4215" i="2"/>
  <c r="C4215" i="2"/>
  <c r="B4215" i="2"/>
  <c r="A4215" i="2"/>
  <c r="E4214" i="2"/>
  <c r="D4214" i="2"/>
  <c r="C4214" i="2"/>
  <c r="B4214" i="2"/>
  <c r="A4214" i="2"/>
  <c r="E4213" i="2"/>
  <c r="D4213" i="2"/>
  <c r="C4213" i="2"/>
  <c r="B4213" i="2"/>
  <c r="A4213" i="2"/>
  <c r="E4212" i="2"/>
  <c r="D4212" i="2"/>
  <c r="C4212" i="2"/>
  <c r="B4212" i="2"/>
  <c r="A4212" i="2"/>
  <c r="E4211" i="2"/>
  <c r="D4211" i="2"/>
  <c r="C4211" i="2"/>
  <c r="B4211" i="2"/>
  <c r="A4211" i="2"/>
  <c r="E4210" i="2"/>
  <c r="D4210" i="2"/>
  <c r="C4210" i="2"/>
  <c r="B4210" i="2"/>
  <c r="A4210" i="2"/>
  <c r="E4209" i="2"/>
  <c r="D4209" i="2"/>
  <c r="C4209" i="2"/>
  <c r="B4209" i="2"/>
  <c r="A4209" i="2"/>
  <c r="E4208" i="2"/>
  <c r="D4208" i="2"/>
  <c r="C4208" i="2"/>
  <c r="B4208" i="2"/>
  <c r="A4208" i="2"/>
  <c r="E4207" i="2"/>
  <c r="D4207" i="2"/>
  <c r="C4207" i="2"/>
  <c r="B4207" i="2"/>
  <c r="A4207" i="2"/>
  <c r="E4206" i="2"/>
  <c r="D4206" i="2"/>
  <c r="C4206" i="2"/>
  <c r="B4206" i="2"/>
  <c r="A4206" i="2"/>
  <c r="E4205" i="2"/>
  <c r="D4205" i="2"/>
  <c r="C4205" i="2"/>
  <c r="B4205" i="2"/>
  <c r="A4205" i="2"/>
  <c r="E4204" i="2"/>
  <c r="D4204" i="2"/>
  <c r="C4204" i="2"/>
  <c r="B4204" i="2"/>
  <c r="A4204" i="2"/>
  <c r="E4203" i="2"/>
  <c r="D4203" i="2"/>
  <c r="C4203" i="2"/>
  <c r="B4203" i="2"/>
  <c r="A4203" i="2"/>
  <c r="E4202" i="2"/>
  <c r="D4202" i="2"/>
  <c r="C4202" i="2"/>
  <c r="B4202" i="2"/>
  <c r="A4202" i="2"/>
  <c r="E4201" i="2"/>
  <c r="D4201" i="2"/>
  <c r="C4201" i="2"/>
  <c r="B4201" i="2"/>
  <c r="A4201" i="2"/>
  <c r="E4200" i="2"/>
  <c r="D4200" i="2"/>
  <c r="C4200" i="2"/>
  <c r="B4200" i="2"/>
  <c r="A4200" i="2"/>
  <c r="E4199" i="2"/>
  <c r="D4199" i="2"/>
  <c r="C4199" i="2"/>
  <c r="B4199" i="2"/>
  <c r="A4199" i="2"/>
  <c r="E4198" i="2"/>
  <c r="D4198" i="2"/>
  <c r="C4198" i="2"/>
  <c r="B4198" i="2"/>
  <c r="A4198" i="2"/>
  <c r="E4197" i="2"/>
  <c r="D4197" i="2"/>
  <c r="C4197" i="2"/>
  <c r="B4197" i="2"/>
  <c r="A4197" i="2"/>
  <c r="E4196" i="2"/>
  <c r="D4196" i="2"/>
  <c r="C4196" i="2"/>
  <c r="B4196" i="2"/>
  <c r="A4196" i="2"/>
  <c r="E4195" i="2"/>
  <c r="D4195" i="2"/>
  <c r="C4195" i="2"/>
  <c r="B4195" i="2"/>
  <c r="A4195" i="2"/>
  <c r="E4194" i="2"/>
  <c r="D4194" i="2"/>
  <c r="C4194" i="2"/>
  <c r="B4194" i="2"/>
  <c r="A4194" i="2"/>
  <c r="E4193" i="2"/>
  <c r="D4193" i="2"/>
  <c r="C4193" i="2"/>
  <c r="B4193" i="2"/>
  <c r="A4193" i="2"/>
  <c r="E4192" i="2"/>
  <c r="D4192" i="2"/>
  <c r="C4192" i="2"/>
  <c r="B4192" i="2"/>
  <c r="A4192" i="2"/>
  <c r="E4191" i="2"/>
  <c r="D4191" i="2"/>
  <c r="C4191" i="2"/>
  <c r="B4191" i="2"/>
  <c r="A4191" i="2"/>
  <c r="E4190" i="2"/>
  <c r="D4190" i="2"/>
  <c r="C4190" i="2"/>
  <c r="B4190" i="2"/>
  <c r="A4190" i="2"/>
  <c r="E4189" i="2"/>
  <c r="D4189" i="2"/>
  <c r="C4189" i="2"/>
  <c r="B4189" i="2"/>
  <c r="A4189" i="2"/>
  <c r="E4188" i="2"/>
  <c r="D4188" i="2"/>
  <c r="C4188" i="2"/>
  <c r="B4188" i="2"/>
  <c r="A4188" i="2"/>
  <c r="E4187" i="2"/>
  <c r="D4187" i="2"/>
  <c r="C4187" i="2"/>
  <c r="B4187" i="2"/>
  <c r="A4187" i="2"/>
  <c r="E4186" i="2"/>
  <c r="D4186" i="2"/>
  <c r="C4186" i="2"/>
  <c r="B4186" i="2"/>
  <c r="A4186" i="2"/>
  <c r="E4185" i="2"/>
  <c r="D4185" i="2"/>
  <c r="C4185" i="2"/>
  <c r="B4185" i="2"/>
  <c r="A4185" i="2"/>
  <c r="E4184" i="2"/>
  <c r="D4184" i="2"/>
  <c r="C4184" i="2"/>
  <c r="B4184" i="2"/>
  <c r="A4184" i="2"/>
  <c r="E4183" i="2"/>
  <c r="D4183" i="2"/>
  <c r="C4183" i="2"/>
  <c r="B4183" i="2"/>
  <c r="A4183" i="2"/>
  <c r="E4182" i="2"/>
  <c r="D4182" i="2"/>
  <c r="C4182" i="2"/>
  <c r="B4182" i="2"/>
  <c r="A4182" i="2"/>
  <c r="E4181" i="2"/>
  <c r="D4181" i="2"/>
  <c r="C4181" i="2"/>
  <c r="B4181" i="2"/>
  <c r="A4181" i="2"/>
  <c r="E4180" i="2"/>
  <c r="D4180" i="2"/>
  <c r="C4180" i="2"/>
  <c r="B4180" i="2"/>
  <c r="A4180" i="2"/>
  <c r="E4179" i="2"/>
  <c r="D4179" i="2"/>
  <c r="C4179" i="2"/>
  <c r="B4179" i="2"/>
  <c r="A4179" i="2"/>
  <c r="E4178" i="2"/>
  <c r="D4178" i="2"/>
  <c r="C4178" i="2"/>
  <c r="B4178" i="2"/>
  <c r="A4178" i="2"/>
  <c r="E4177" i="2"/>
  <c r="D4177" i="2"/>
  <c r="C4177" i="2"/>
  <c r="B4177" i="2"/>
  <c r="A4177" i="2"/>
  <c r="E4176" i="2"/>
  <c r="D4176" i="2"/>
  <c r="C4176" i="2"/>
  <c r="B4176" i="2"/>
  <c r="A4176" i="2"/>
  <c r="E4175" i="2"/>
  <c r="D4175" i="2"/>
  <c r="C4175" i="2"/>
  <c r="B4175" i="2"/>
  <c r="A4175" i="2"/>
  <c r="E4174" i="2"/>
  <c r="D4174" i="2"/>
  <c r="C4174" i="2"/>
  <c r="B4174" i="2"/>
  <c r="A4174" i="2"/>
  <c r="E4173" i="2"/>
  <c r="D4173" i="2"/>
  <c r="C4173" i="2"/>
  <c r="B4173" i="2"/>
  <c r="A4173" i="2"/>
  <c r="E4172" i="2"/>
  <c r="D4172" i="2"/>
  <c r="C4172" i="2"/>
  <c r="B4172" i="2"/>
  <c r="A4172" i="2"/>
  <c r="E4171" i="2"/>
  <c r="D4171" i="2"/>
  <c r="C4171" i="2"/>
  <c r="B4171" i="2"/>
  <c r="A4171" i="2"/>
  <c r="E4170" i="2"/>
  <c r="D4170" i="2"/>
  <c r="C4170" i="2"/>
  <c r="B4170" i="2"/>
  <c r="A4170" i="2"/>
  <c r="E4169" i="2"/>
  <c r="D4169" i="2"/>
  <c r="C4169" i="2"/>
  <c r="B4169" i="2"/>
  <c r="A4169" i="2"/>
  <c r="E4168" i="2"/>
  <c r="D4168" i="2"/>
  <c r="C4168" i="2"/>
  <c r="B4168" i="2"/>
  <c r="A4168" i="2"/>
  <c r="E4167" i="2"/>
  <c r="D4167" i="2"/>
  <c r="C4167" i="2"/>
  <c r="B4167" i="2"/>
  <c r="A4167" i="2"/>
  <c r="E4166" i="2"/>
  <c r="D4166" i="2"/>
  <c r="C4166" i="2"/>
  <c r="B4166" i="2"/>
  <c r="A4166" i="2"/>
  <c r="E4165" i="2"/>
  <c r="D4165" i="2"/>
  <c r="C4165" i="2"/>
  <c r="B4165" i="2"/>
  <c r="A4165" i="2"/>
  <c r="E4164" i="2"/>
  <c r="D4164" i="2"/>
  <c r="C4164" i="2"/>
  <c r="B4164" i="2"/>
  <c r="A4164" i="2"/>
  <c r="E4163" i="2"/>
  <c r="D4163" i="2"/>
  <c r="C4163" i="2"/>
  <c r="B4163" i="2"/>
  <c r="A4163" i="2"/>
  <c r="E4162" i="2"/>
  <c r="D4162" i="2"/>
  <c r="C4162" i="2"/>
  <c r="B4162" i="2"/>
  <c r="A4162" i="2"/>
  <c r="E4161" i="2"/>
  <c r="D4161" i="2"/>
  <c r="C4161" i="2"/>
  <c r="B4161" i="2"/>
  <c r="A4161" i="2"/>
  <c r="E4160" i="2"/>
  <c r="D4160" i="2"/>
  <c r="C4160" i="2"/>
  <c r="B4160" i="2"/>
  <c r="A4160" i="2"/>
  <c r="E4159" i="2"/>
  <c r="D4159" i="2"/>
  <c r="C4159" i="2"/>
  <c r="B4159" i="2"/>
  <c r="A4159" i="2"/>
  <c r="E4158" i="2"/>
  <c r="D4158" i="2"/>
  <c r="C4158" i="2"/>
  <c r="B4158" i="2"/>
  <c r="A4158" i="2"/>
  <c r="E4157" i="2"/>
  <c r="D4157" i="2"/>
  <c r="C4157" i="2"/>
  <c r="B4157" i="2"/>
  <c r="A4157" i="2"/>
  <c r="E4156" i="2"/>
  <c r="D4156" i="2"/>
  <c r="C4156" i="2"/>
  <c r="B4156" i="2"/>
  <c r="A4156" i="2"/>
  <c r="E4155" i="2"/>
  <c r="D4155" i="2"/>
  <c r="C4155" i="2"/>
  <c r="B4155" i="2"/>
  <c r="A4155" i="2"/>
  <c r="E4154" i="2"/>
  <c r="D4154" i="2"/>
  <c r="C4154" i="2"/>
  <c r="B4154" i="2"/>
  <c r="A4154" i="2"/>
  <c r="E4153" i="2"/>
  <c r="D4153" i="2"/>
  <c r="C4153" i="2"/>
  <c r="B4153" i="2"/>
  <c r="A4153" i="2"/>
  <c r="E4152" i="2"/>
  <c r="D4152" i="2"/>
  <c r="C4152" i="2"/>
  <c r="B4152" i="2"/>
  <c r="A4152" i="2"/>
  <c r="E4151" i="2"/>
  <c r="D4151" i="2"/>
  <c r="C4151" i="2"/>
  <c r="B4151" i="2"/>
  <c r="A4151" i="2"/>
  <c r="E4150" i="2"/>
  <c r="D4150" i="2"/>
  <c r="C4150" i="2"/>
  <c r="B4150" i="2"/>
  <c r="A4150" i="2"/>
  <c r="E4149" i="2"/>
  <c r="D4149" i="2"/>
  <c r="C4149" i="2"/>
  <c r="B4149" i="2"/>
  <c r="A4149" i="2"/>
  <c r="E4148" i="2"/>
  <c r="D4148" i="2"/>
  <c r="C4148" i="2"/>
  <c r="B4148" i="2"/>
  <c r="A4148" i="2"/>
  <c r="E4147" i="2"/>
  <c r="D4147" i="2"/>
  <c r="C4147" i="2"/>
  <c r="B4147" i="2"/>
  <c r="A4147" i="2"/>
  <c r="E4146" i="2"/>
  <c r="D4146" i="2"/>
  <c r="C4146" i="2"/>
  <c r="B4146" i="2"/>
  <c r="A4146" i="2"/>
  <c r="E4145" i="2"/>
  <c r="D4145" i="2"/>
  <c r="C4145" i="2"/>
  <c r="B4145" i="2"/>
  <c r="A4145" i="2"/>
  <c r="E4144" i="2"/>
  <c r="D4144" i="2"/>
  <c r="C4144" i="2"/>
  <c r="B4144" i="2"/>
  <c r="A4144" i="2"/>
  <c r="E4143" i="2"/>
  <c r="D4143" i="2"/>
  <c r="C4143" i="2"/>
  <c r="B4143" i="2"/>
  <c r="A4143" i="2"/>
  <c r="E4142" i="2"/>
  <c r="D4142" i="2"/>
  <c r="C4142" i="2"/>
  <c r="B4142" i="2"/>
  <c r="A4142" i="2"/>
  <c r="E4141" i="2"/>
  <c r="D4141" i="2"/>
  <c r="C4141" i="2"/>
  <c r="B4141" i="2"/>
  <c r="A4141" i="2"/>
  <c r="E4140" i="2"/>
  <c r="D4140" i="2"/>
  <c r="C4140" i="2"/>
  <c r="B4140" i="2"/>
  <c r="A4140" i="2"/>
  <c r="E4139" i="2"/>
  <c r="D4139" i="2"/>
  <c r="C4139" i="2"/>
  <c r="B4139" i="2"/>
  <c r="A4139" i="2"/>
  <c r="E4138" i="2"/>
  <c r="D4138" i="2"/>
  <c r="C4138" i="2"/>
  <c r="B4138" i="2"/>
  <c r="A4138" i="2"/>
  <c r="E4137" i="2"/>
  <c r="D4137" i="2"/>
  <c r="C4137" i="2"/>
  <c r="B4137" i="2"/>
  <c r="A4137" i="2"/>
  <c r="E4136" i="2"/>
  <c r="D4136" i="2"/>
  <c r="C4136" i="2"/>
  <c r="B4136" i="2"/>
  <c r="A4136" i="2"/>
  <c r="E4135" i="2"/>
  <c r="D4135" i="2"/>
  <c r="C4135" i="2"/>
  <c r="B4135" i="2"/>
  <c r="A4135" i="2"/>
  <c r="E4134" i="2"/>
  <c r="D4134" i="2"/>
  <c r="C4134" i="2"/>
  <c r="B4134" i="2"/>
  <c r="A4134" i="2"/>
  <c r="E4133" i="2"/>
  <c r="D4133" i="2"/>
  <c r="C4133" i="2"/>
  <c r="B4133" i="2"/>
  <c r="A4133" i="2"/>
  <c r="E4132" i="2"/>
  <c r="D4132" i="2"/>
  <c r="C4132" i="2"/>
  <c r="B4132" i="2"/>
  <c r="A4132" i="2"/>
  <c r="E4131" i="2"/>
  <c r="D4131" i="2"/>
  <c r="C4131" i="2"/>
  <c r="B4131" i="2"/>
  <c r="A4131" i="2"/>
  <c r="E4130" i="2"/>
  <c r="D4130" i="2"/>
  <c r="C4130" i="2"/>
  <c r="B4130" i="2"/>
  <c r="A4130" i="2"/>
  <c r="E4129" i="2"/>
  <c r="D4129" i="2"/>
  <c r="C4129" i="2"/>
  <c r="B4129" i="2"/>
  <c r="A4129" i="2"/>
  <c r="E4128" i="2"/>
  <c r="D4128" i="2"/>
  <c r="C4128" i="2"/>
  <c r="B4128" i="2"/>
  <c r="A4128" i="2"/>
  <c r="E4127" i="2"/>
  <c r="D4127" i="2"/>
  <c r="C4127" i="2"/>
  <c r="B4127" i="2"/>
  <c r="A4127" i="2"/>
  <c r="E4126" i="2"/>
  <c r="D4126" i="2"/>
  <c r="C4126" i="2"/>
  <c r="B4126" i="2"/>
  <c r="A4126" i="2"/>
  <c r="E4125" i="2"/>
  <c r="D4125" i="2"/>
  <c r="C4125" i="2"/>
  <c r="B4125" i="2"/>
  <c r="A4125" i="2"/>
  <c r="E4124" i="2"/>
  <c r="D4124" i="2"/>
  <c r="C4124" i="2"/>
  <c r="B4124" i="2"/>
  <c r="A4124" i="2"/>
  <c r="E4123" i="2"/>
  <c r="D4123" i="2"/>
  <c r="C4123" i="2"/>
  <c r="B4123" i="2"/>
  <c r="A4123" i="2"/>
  <c r="E4122" i="2"/>
  <c r="D4122" i="2"/>
  <c r="C4122" i="2"/>
  <c r="B4122" i="2"/>
  <c r="A4122" i="2"/>
  <c r="E4121" i="2"/>
  <c r="D4121" i="2"/>
  <c r="C4121" i="2"/>
  <c r="B4121" i="2"/>
  <c r="A4121" i="2"/>
  <c r="E4120" i="2"/>
  <c r="D4120" i="2"/>
  <c r="C4120" i="2"/>
  <c r="B4120" i="2"/>
  <c r="A4120" i="2"/>
  <c r="E4119" i="2"/>
  <c r="D4119" i="2"/>
  <c r="C4119" i="2"/>
  <c r="B4119" i="2"/>
  <c r="A4119" i="2"/>
  <c r="E4118" i="2"/>
  <c r="D4118" i="2"/>
  <c r="C4118" i="2"/>
  <c r="B4118" i="2"/>
  <c r="A4118" i="2"/>
  <c r="E4117" i="2"/>
  <c r="D4117" i="2"/>
  <c r="C4117" i="2"/>
  <c r="B4117" i="2"/>
  <c r="A4117" i="2"/>
  <c r="E4116" i="2"/>
  <c r="D4116" i="2"/>
  <c r="C4116" i="2"/>
  <c r="B4116" i="2"/>
  <c r="A4116" i="2"/>
  <c r="E4115" i="2"/>
  <c r="D4115" i="2"/>
  <c r="C4115" i="2"/>
  <c r="B4115" i="2"/>
  <c r="A4115" i="2"/>
  <c r="E4114" i="2"/>
  <c r="D4114" i="2"/>
  <c r="C4114" i="2"/>
  <c r="B4114" i="2"/>
  <c r="A4114" i="2"/>
  <c r="E4113" i="2"/>
  <c r="D4113" i="2"/>
  <c r="C4113" i="2"/>
  <c r="B4113" i="2"/>
  <c r="A4113" i="2"/>
  <c r="E4112" i="2"/>
  <c r="D4112" i="2"/>
  <c r="C4112" i="2"/>
  <c r="B4112" i="2"/>
  <c r="A4112" i="2"/>
  <c r="E4111" i="2"/>
  <c r="D4111" i="2"/>
  <c r="C4111" i="2"/>
  <c r="B4111" i="2"/>
  <c r="A4111" i="2"/>
  <c r="E4110" i="2"/>
  <c r="D4110" i="2"/>
  <c r="C4110" i="2"/>
  <c r="B4110" i="2"/>
  <c r="A4110" i="2"/>
  <c r="E4109" i="2"/>
  <c r="D4109" i="2"/>
  <c r="C4109" i="2"/>
  <c r="B4109" i="2"/>
  <c r="A4109" i="2"/>
  <c r="E4108" i="2"/>
  <c r="D4108" i="2"/>
  <c r="C4108" i="2"/>
  <c r="B4108" i="2"/>
  <c r="A4108" i="2"/>
  <c r="E4107" i="2"/>
  <c r="D4107" i="2"/>
  <c r="C4107" i="2"/>
  <c r="B4107" i="2"/>
  <c r="A4107" i="2"/>
  <c r="E4106" i="2"/>
  <c r="D4106" i="2"/>
  <c r="C4106" i="2"/>
  <c r="B4106" i="2"/>
  <c r="A4106" i="2"/>
  <c r="E4105" i="2"/>
  <c r="D4105" i="2"/>
  <c r="C4105" i="2"/>
  <c r="B4105" i="2"/>
  <c r="A4105" i="2"/>
  <c r="E4104" i="2"/>
  <c r="D4104" i="2"/>
  <c r="C4104" i="2"/>
  <c r="B4104" i="2"/>
  <c r="A4104" i="2"/>
  <c r="E4103" i="2"/>
  <c r="D4103" i="2"/>
  <c r="C4103" i="2"/>
  <c r="B4103" i="2"/>
  <c r="A4103" i="2"/>
  <c r="E4102" i="2"/>
  <c r="D4102" i="2"/>
  <c r="C4102" i="2"/>
  <c r="B4102" i="2"/>
  <c r="A4102" i="2"/>
  <c r="E4101" i="2"/>
  <c r="D4101" i="2"/>
  <c r="C4101" i="2"/>
  <c r="B4101" i="2"/>
  <c r="A4101" i="2"/>
  <c r="E4100" i="2"/>
  <c r="D4100" i="2"/>
  <c r="C4100" i="2"/>
  <c r="B4100" i="2"/>
  <c r="A4100" i="2"/>
  <c r="E4099" i="2"/>
  <c r="D4099" i="2"/>
  <c r="C4099" i="2"/>
  <c r="B4099" i="2"/>
  <c r="A4099" i="2"/>
  <c r="E4098" i="2"/>
  <c r="D4098" i="2"/>
  <c r="C4098" i="2"/>
  <c r="B4098" i="2"/>
  <c r="A4098" i="2"/>
  <c r="E4097" i="2"/>
  <c r="D4097" i="2"/>
  <c r="C4097" i="2"/>
  <c r="B4097" i="2"/>
  <c r="A4097" i="2"/>
  <c r="E4096" i="2"/>
  <c r="D4096" i="2"/>
  <c r="C4096" i="2"/>
  <c r="B4096" i="2"/>
  <c r="A4096" i="2"/>
  <c r="E4095" i="2"/>
  <c r="D4095" i="2"/>
  <c r="C4095" i="2"/>
  <c r="B4095" i="2"/>
  <c r="A4095" i="2"/>
  <c r="E4094" i="2"/>
  <c r="D4094" i="2"/>
  <c r="C4094" i="2"/>
  <c r="B4094" i="2"/>
  <c r="A4094" i="2"/>
  <c r="E4093" i="2"/>
  <c r="D4093" i="2"/>
  <c r="C4093" i="2"/>
  <c r="B4093" i="2"/>
  <c r="A4093" i="2"/>
  <c r="E4092" i="2"/>
  <c r="D4092" i="2"/>
  <c r="C4092" i="2"/>
  <c r="B4092" i="2"/>
  <c r="A4092" i="2"/>
  <c r="E4091" i="2"/>
  <c r="D4091" i="2"/>
  <c r="C4091" i="2"/>
  <c r="B4091" i="2"/>
  <c r="A4091" i="2"/>
  <c r="E4090" i="2"/>
  <c r="D4090" i="2"/>
  <c r="C4090" i="2"/>
  <c r="B4090" i="2"/>
  <c r="A4090" i="2"/>
  <c r="E4089" i="2"/>
  <c r="D4089" i="2"/>
  <c r="C4089" i="2"/>
  <c r="B4089" i="2"/>
  <c r="A4089" i="2"/>
  <c r="E4088" i="2"/>
  <c r="D4088" i="2"/>
  <c r="C4088" i="2"/>
  <c r="B4088" i="2"/>
  <c r="A4088" i="2"/>
  <c r="E4087" i="2"/>
  <c r="D4087" i="2"/>
  <c r="C4087" i="2"/>
  <c r="B4087" i="2"/>
  <c r="A4087" i="2"/>
  <c r="E4086" i="2"/>
  <c r="D4086" i="2"/>
  <c r="C4086" i="2"/>
  <c r="B4086" i="2"/>
  <c r="A4086" i="2"/>
  <c r="E4085" i="2"/>
  <c r="D4085" i="2"/>
  <c r="C4085" i="2"/>
  <c r="B4085" i="2"/>
  <c r="A4085" i="2"/>
  <c r="E4084" i="2"/>
  <c r="D4084" i="2"/>
  <c r="C4084" i="2"/>
  <c r="B4084" i="2"/>
  <c r="A4084" i="2"/>
  <c r="E4083" i="2"/>
  <c r="D4083" i="2"/>
  <c r="C4083" i="2"/>
  <c r="B4083" i="2"/>
  <c r="A4083" i="2"/>
  <c r="E4082" i="2"/>
  <c r="D4082" i="2"/>
  <c r="C4082" i="2"/>
  <c r="B4082" i="2"/>
  <c r="A4082" i="2"/>
  <c r="E4081" i="2"/>
  <c r="D4081" i="2"/>
  <c r="C4081" i="2"/>
  <c r="B4081" i="2"/>
  <c r="A4081" i="2"/>
  <c r="E4080" i="2"/>
  <c r="D4080" i="2"/>
  <c r="C4080" i="2"/>
  <c r="B4080" i="2"/>
  <c r="A4080" i="2"/>
  <c r="E4079" i="2"/>
  <c r="D4079" i="2"/>
  <c r="C4079" i="2"/>
  <c r="B4079" i="2"/>
  <c r="A4079" i="2"/>
  <c r="E4078" i="2"/>
  <c r="D4078" i="2"/>
  <c r="C4078" i="2"/>
  <c r="B4078" i="2"/>
  <c r="A4078" i="2"/>
  <c r="E4077" i="2"/>
  <c r="D4077" i="2"/>
  <c r="C4077" i="2"/>
  <c r="B4077" i="2"/>
  <c r="A4077" i="2"/>
  <c r="E4076" i="2"/>
  <c r="D4076" i="2"/>
  <c r="C4076" i="2"/>
  <c r="B4076" i="2"/>
  <c r="A4076" i="2"/>
  <c r="E4075" i="2"/>
  <c r="D4075" i="2"/>
  <c r="C4075" i="2"/>
  <c r="B4075" i="2"/>
  <c r="A4075" i="2"/>
  <c r="E4074" i="2"/>
  <c r="D4074" i="2"/>
  <c r="C4074" i="2"/>
  <c r="B4074" i="2"/>
  <c r="A4074" i="2"/>
  <c r="E4073" i="2"/>
  <c r="D4073" i="2"/>
  <c r="C4073" i="2"/>
  <c r="B4073" i="2"/>
  <c r="A4073" i="2"/>
  <c r="E4072" i="2"/>
  <c r="D4072" i="2"/>
  <c r="C4072" i="2"/>
  <c r="B4072" i="2"/>
  <c r="A4072" i="2"/>
  <c r="E4071" i="2"/>
  <c r="D4071" i="2"/>
  <c r="C4071" i="2"/>
  <c r="B4071" i="2"/>
  <c r="A4071" i="2"/>
  <c r="E4070" i="2"/>
  <c r="D4070" i="2"/>
  <c r="C4070" i="2"/>
  <c r="B4070" i="2"/>
  <c r="A4070" i="2"/>
  <c r="E4069" i="2"/>
  <c r="D4069" i="2"/>
  <c r="C4069" i="2"/>
  <c r="B4069" i="2"/>
  <c r="A4069" i="2"/>
  <c r="E4068" i="2"/>
  <c r="D4068" i="2"/>
  <c r="C4068" i="2"/>
  <c r="B4068" i="2"/>
  <c r="A4068" i="2"/>
  <c r="E4067" i="2"/>
  <c r="D4067" i="2"/>
  <c r="C4067" i="2"/>
  <c r="B4067" i="2"/>
  <c r="A4067" i="2"/>
  <c r="E4066" i="2"/>
  <c r="D4066" i="2"/>
  <c r="C4066" i="2"/>
  <c r="B4066" i="2"/>
  <c r="A4066" i="2"/>
  <c r="E4065" i="2"/>
  <c r="D4065" i="2"/>
  <c r="C4065" i="2"/>
  <c r="B4065" i="2"/>
  <c r="A4065" i="2"/>
  <c r="E4064" i="2"/>
  <c r="D4064" i="2"/>
  <c r="C4064" i="2"/>
  <c r="B4064" i="2"/>
  <c r="A4064" i="2"/>
  <c r="E4063" i="2"/>
  <c r="D4063" i="2"/>
  <c r="C4063" i="2"/>
  <c r="B4063" i="2"/>
  <c r="A4063" i="2"/>
  <c r="E4062" i="2"/>
  <c r="D4062" i="2"/>
  <c r="C4062" i="2"/>
  <c r="B4062" i="2"/>
  <c r="A4062" i="2"/>
  <c r="E4061" i="2"/>
  <c r="D4061" i="2"/>
  <c r="C4061" i="2"/>
  <c r="B4061" i="2"/>
  <c r="A4061" i="2"/>
  <c r="E4060" i="2"/>
  <c r="D4060" i="2"/>
  <c r="C4060" i="2"/>
  <c r="B4060" i="2"/>
  <c r="A4060" i="2"/>
  <c r="E4059" i="2"/>
  <c r="D4059" i="2"/>
  <c r="C4059" i="2"/>
  <c r="B4059" i="2"/>
  <c r="A4059" i="2"/>
  <c r="E4058" i="2"/>
  <c r="D4058" i="2"/>
  <c r="C4058" i="2"/>
  <c r="B4058" i="2"/>
  <c r="A4058" i="2"/>
  <c r="E4057" i="2"/>
  <c r="D4057" i="2"/>
  <c r="C4057" i="2"/>
  <c r="B4057" i="2"/>
  <c r="A4057" i="2"/>
  <c r="E4056" i="2"/>
  <c r="D4056" i="2"/>
  <c r="C4056" i="2"/>
  <c r="B4056" i="2"/>
  <c r="A4056" i="2"/>
  <c r="E4055" i="2"/>
  <c r="D4055" i="2"/>
  <c r="C4055" i="2"/>
  <c r="B4055" i="2"/>
  <c r="A4055" i="2"/>
  <c r="E4054" i="2"/>
  <c r="D4054" i="2"/>
  <c r="C4054" i="2"/>
  <c r="B4054" i="2"/>
  <c r="A4054" i="2"/>
  <c r="E4053" i="2"/>
  <c r="D4053" i="2"/>
  <c r="C4053" i="2"/>
  <c r="B4053" i="2"/>
  <c r="A4053" i="2"/>
  <c r="E4052" i="2"/>
  <c r="D4052" i="2"/>
  <c r="C4052" i="2"/>
  <c r="B4052" i="2"/>
  <c r="A4052" i="2"/>
  <c r="E4051" i="2"/>
  <c r="D4051" i="2"/>
  <c r="C4051" i="2"/>
  <c r="B4051" i="2"/>
  <c r="A4051" i="2"/>
  <c r="E4050" i="2"/>
  <c r="D4050" i="2"/>
  <c r="C4050" i="2"/>
  <c r="B4050" i="2"/>
  <c r="A4050" i="2"/>
  <c r="E4049" i="2"/>
  <c r="D4049" i="2"/>
  <c r="C4049" i="2"/>
  <c r="B4049" i="2"/>
  <c r="A4049" i="2"/>
  <c r="E4048" i="2"/>
  <c r="D4048" i="2"/>
  <c r="C4048" i="2"/>
  <c r="B4048" i="2"/>
  <c r="A4048" i="2"/>
  <c r="E4047" i="2"/>
  <c r="D4047" i="2"/>
  <c r="C4047" i="2"/>
  <c r="B4047" i="2"/>
  <c r="A4047" i="2"/>
  <c r="E4046" i="2"/>
  <c r="D4046" i="2"/>
  <c r="C4046" i="2"/>
  <c r="B4046" i="2"/>
  <c r="A4046" i="2"/>
  <c r="E4045" i="2"/>
  <c r="D4045" i="2"/>
  <c r="C4045" i="2"/>
  <c r="B4045" i="2"/>
  <c r="A4045" i="2"/>
  <c r="E4044" i="2"/>
  <c r="D4044" i="2"/>
  <c r="C4044" i="2"/>
  <c r="B4044" i="2"/>
  <c r="A4044" i="2"/>
  <c r="E4043" i="2"/>
  <c r="D4043" i="2"/>
  <c r="C4043" i="2"/>
  <c r="B4043" i="2"/>
  <c r="A4043" i="2"/>
  <c r="E4042" i="2"/>
  <c r="D4042" i="2"/>
  <c r="C4042" i="2"/>
  <c r="B4042" i="2"/>
  <c r="A4042" i="2"/>
  <c r="E4041" i="2"/>
  <c r="D4041" i="2"/>
  <c r="C4041" i="2"/>
  <c r="B4041" i="2"/>
  <c r="A4041" i="2"/>
  <c r="E4040" i="2"/>
  <c r="D4040" i="2"/>
  <c r="C4040" i="2"/>
  <c r="B4040" i="2"/>
  <c r="A4040" i="2"/>
  <c r="E4039" i="2"/>
  <c r="D4039" i="2"/>
  <c r="C4039" i="2"/>
  <c r="B4039" i="2"/>
  <c r="A4039" i="2"/>
  <c r="E4038" i="2"/>
  <c r="D4038" i="2"/>
  <c r="C4038" i="2"/>
  <c r="B4038" i="2"/>
  <c r="A4038" i="2"/>
  <c r="E4037" i="2"/>
  <c r="D4037" i="2"/>
  <c r="C4037" i="2"/>
  <c r="B4037" i="2"/>
  <c r="A4037" i="2"/>
  <c r="E4036" i="2"/>
  <c r="D4036" i="2"/>
  <c r="C4036" i="2"/>
  <c r="B4036" i="2"/>
  <c r="A4036" i="2"/>
  <c r="E4035" i="2"/>
  <c r="D4035" i="2"/>
  <c r="C4035" i="2"/>
  <c r="B4035" i="2"/>
  <c r="A4035" i="2"/>
  <c r="E4034" i="2"/>
  <c r="D4034" i="2"/>
  <c r="C4034" i="2"/>
  <c r="B4034" i="2"/>
  <c r="A4034" i="2"/>
  <c r="E4033" i="2"/>
  <c r="D4033" i="2"/>
  <c r="C4033" i="2"/>
  <c r="B4033" i="2"/>
  <c r="A4033" i="2"/>
  <c r="E4032" i="2"/>
  <c r="D4032" i="2"/>
  <c r="C4032" i="2"/>
  <c r="B4032" i="2"/>
  <c r="A4032" i="2"/>
  <c r="E4031" i="2"/>
  <c r="D4031" i="2"/>
  <c r="C4031" i="2"/>
  <c r="B4031" i="2"/>
  <c r="A4031" i="2"/>
  <c r="E4030" i="2"/>
  <c r="D4030" i="2"/>
  <c r="C4030" i="2"/>
  <c r="B4030" i="2"/>
  <c r="A4030" i="2"/>
  <c r="E4029" i="2"/>
  <c r="D4029" i="2"/>
  <c r="C4029" i="2"/>
  <c r="B4029" i="2"/>
  <c r="A4029" i="2"/>
  <c r="E4028" i="2"/>
  <c r="D4028" i="2"/>
  <c r="C4028" i="2"/>
  <c r="B4028" i="2"/>
  <c r="A4028" i="2"/>
  <c r="E4027" i="2"/>
  <c r="D4027" i="2"/>
  <c r="C4027" i="2"/>
  <c r="B4027" i="2"/>
  <c r="A4027" i="2"/>
  <c r="E4026" i="2"/>
  <c r="D4026" i="2"/>
  <c r="C4026" i="2"/>
  <c r="B4026" i="2"/>
  <c r="A4026" i="2"/>
  <c r="E4025" i="2"/>
  <c r="D4025" i="2"/>
  <c r="C4025" i="2"/>
  <c r="B4025" i="2"/>
  <c r="A4025" i="2"/>
  <c r="E4024" i="2"/>
  <c r="D4024" i="2"/>
  <c r="C4024" i="2"/>
  <c r="B4024" i="2"/>
  <c r="A4024" i="2"/>
  <c r="E4023" i="2"/>
  <c r="D4023" i="2"/>
  <c r="C4023" i="2"/>
  <c r="B4023" i="2"/>
  <c r="A4023" i="2"/>
  <c r="E4022" i="2"/>
  <c r="D4022" i="2"/>
  <c r="C4022" i="2"/>
  <c r="B4022" i="2"/>
  <c r="A4022" i="2"/>
  <c r="E4021" i="2"/>
  <c r="D4021" i="2"/>
  <c r="C4021" i="2"/>
  <c r="B4021" i="2"/>
  <c r="A4021" i="2"/>
  <c r="E4020" i="2"/>
  <c r="D4020" i="2"/>
  <c r="C4020" i="2"/>
  <c r="B4020" i="2"/>
  <c r="A4020" i="2"/>
  <c r="E4019" i="2"/>
  <c r="D4019" i="2"/>
  <c r="C4019" i="2"/>
  <c r="B4019" i="2"/>
  <c r="A4019" i="2"/>
  <c r="E4018" i="2"/>
  <c r="D4018" i="2"/>
  <c r="C4018" i="2"/>
  <c r="B4018" i="2"/>
  <c r="A4018" i="2"/>
  <c r="E4017" i="2"/>
  <c r="D4017" i="2"/>
  <c r="C4017" i="2"/>
  <c r="B4017" i="2"/>
  <c r="A4017" i="2"/>
  <c r="E4016" i="2"/>
  <c r="D4016" i="2"/>
  <c r="C4016" i="2"/>
  <c r="B4016" i="2"/>
  <c r="A4016" i="2"/>
  <c r="E4015" i="2"/>
  <c r="D4015" i="2"/>
  <c r="C4015" i="2"/>
  <c r="B4015" i="2"/>
  <c r="A4015" i="2"/>
  <c r="E4014" i="2"/>
  <c r="D4014" i="2"/>
  <c r="C4014" i="2"/>
  <c r="B4014" i="2"/>
  <c r="A4014" i="2"/>
  <c r="E4013" i="2"/>
  <c r="D4013" i="2"/>
  <c r="C4013" i="2"/>
  <c r="B4013" i="2"/>
  <c r="A4013" i="2"/>
  <c r="E4012" i="2"/>
  <c r="D4012" i="2"/>
  <c r="C4012" i="2"/>
  <c r="B4012" i="2"/>
  <c r="A4012" i="2"/>
  <c r="E4011" i="2"/>
  <c r="D4011" i="2"/>
  <c r="C4011" i="2"/>
  <c r="B4011" i="2"/>
  <c r="A4011" i="2"/>
  <c r="E4010" i="2"/>
  <c r="D4010" i="2"/>
  <c r="C4010" i="2"/>
  <c r="B4010" i="2"/>
  <c r="A4010" i="2"/>
  <c r="E4009" i="2"/>
  <c r="D4009" i="2"/>
  <c r="C4009" i="2"/>
  <c r="B4009" i="2"/>
  <c r="A4009" i="2"/>
  <c r="E4008" i="2"/>
  <c r="D4008" i="2"/>
  <c r="C4008" i="2"/>
  <c r="B4008" i="2"/>
  <c r="A4008" i="2"/>
  <c r="E4007" i="2"/>
  <c r="D4007" i="2"/>
  <c r="C4007" i="2"/>
  <c r="B4007" i="2"/>
  <c r="A4007" i="2"/>
  <c r="E4006" i="2"/>
  <c r="D4006" i="2"/>
  <c r="C4006" i="2"/>
  <c r="B4006" i="2"/>
  <c r="A4006" i="2"/>
  <c r="E4005" i="2"/>
  <c r="D4005" i="2"/>
  <c r="C4005" i="2"/>
  <c r="B4005" i="2"/>
  <c r="A4005" i="2"/>
  <c r="E4004" i="2"/>
  <c r="D4004" i="2"/>
  <c r="C4004" i="2"/>
  <c r="B4004" i="2"/>
  <c r="A4004" i="2"/>
  <c r="E4003" i="2"/>
  <c r="D4003" i="2"/>
  <c r="C4003" i="2"/>
  <c r="B4003" i="2"/>
  <c r="A4003" i="2"/>
  <c r="E4002" i="2"/>
  <c r="D4002" i="2"/>
  <c r="C4002" i="2"/>
  <c r="B4002" i="2"/>
  <c r="A4002" i="2"/>
  <c r="E4001" i="2"/>
  <c r="D4001" i="2"/>
  <c r="C4001" i="2"/>
  <c r="B4001" i="2"/>
  <c r="A4001" i="2"/>
  <c r="E4000" i="2"/>
  <c r="D4000" i="2"/>
  <c r="C4000" i="2"/>
  <c r="B4000" i="2"/>
  <c r="A4000" i="2"/>
  <c r="E3999" i="2"/>
  <c r="D3999" i="2"/>
  <c r="C3999" i="2"/>
  <c r="B3999" i="2"/>
  <c r="A3999" i="2"/>
  <c r="E3998" i="2"/>
  <c r="D3998" i="2"/>
  <c r="C3998" i="2"/>
  <c r="B3998" i="2"/>
  <c r="A3998" i="2"/>
  <c r="E3997" i="2"/>
  <c r="D3997" i="2"/>
  <c r="C3997" i="2"/>
  <c r="B3997" i="2"/>
  <c r="A3997" i="2"/>
  <c r="E3996" i="2"/>
  <c r="D3996" i="2"/>
  <c r="C3996" i="2"/>
  <c r="B3996" i="2"/>
  <c r="A3996" i="2"/>
  <c r="E3995" i="2"/>
  <c r="D3995" i="2"/>
  <c r="C3995" i="2"/>
  <c r="B3995" i="2"/>
  <c r="A3995" i="2"/>
  <c r="E3994" i="2"/>
  <c r="D3994" i="2"/>
  <c r="C3994" i="2"/>
  <c r="B3994" i="2"/>
  <c r="A3994" i="2"/>
  <c r="E3993" i="2"/>
  <c r="D3993" i="2"/>
  <c r="C3993" i="2"/>
  <c r="B3993" i="2"/>
  <c r="A3993" i="2"/>
  <c r="E3992" i="2"/>
  <c r="D3992" i="2"/>
  <c r="C3992" i="2"/>
  <c r="B3992" i="2"/>
  <c r="A3992" i="2"/>
  <c r="E3991" i="2"/>
  <c r="D3991" i="2"/>
  <c r="C3991" i="2"/>
  <c r="B3991" i="2"/>
  <c r="A3991" i="2"/>
  <c r="E3990" i="2"/>
  <c r="D3990" i="2"/>
  <c r="C3990" i="2"/>
  <c r="B3990" i="2"/>
  <c r="A3990" i="2"/>
  <c r="E3989" i="2"/>
  <c r="D3989" i="2"/>
  <c r="C3989" i="2"/>
  <c r="B3989" i="2"/>
  <c r="A3989" i="2"/>
  <c r="E3988" i="2"/>
  <c r="D3988" i="2"/>
  <c r="C3988" i="2"/>
  <c r="B3988" i="2"/>
  <c r="A3988" i="2"/>
  <c r="E3987" i="2"/>
  <c r="D3987" i="2"/>
  <c r="C3987" i="2"/>
  <c r="B3987" i="2"/>
  <c r="A3987" i="2"/>
  <c r="E3986" i="2"/>
  <c r="D3986" i="2"/>
  <c r="C3986" i="2"/>
  <c r="B3986" i="2"/>
  <c r="A3986" i="2"/>
  <c r="E3985" i="2"/>
  <c r="D3985" i="2"/>
  <c r="C3985" i="2"/>
  <c r="B3985" i="2"/>
  <c r="A3985" i="2"/>
  <c r="E3984" i="2"/>
  <c r="D3984" i="2"/>
  <c r="C3984" i="2"/>
  <c r="B3984" i="2"/>
  <c r="A3984" i="2"/>
  <c r="E3983" i="2"/>
  <c r="D3983" i="2"/>
  <c r="C3983" i="2"/>
  <c r="B3983" i="2"/>
  <c r="A3983" i="2"/>
  <c r="E3982" i="2"/>
  <c r="D3982" i="2"/>
  <c r="C3982" i="2"/>
  <c r="B3982" i="2"/>
  <c r="A3982" i="2"/>
  <c r="E3981" i="2"/>
  <c r="D3981" i="2"/>
  <c r="C3981" i="2"/>
  <c r="B3981" i="2"/>
  <c r="A3981" i="2"/>
  <c r="E3980" i="2"/>
  <c r="D3980" i="2"/>
  <c r="C3980" i="2"/>
  <c r="B3980" i="2"/>
  <c r="A3980" i="2"/>
  <c r="E3979" i="2"/>
  <c r="D3979" i="2"/>
  <c r="C3979" i="2"/>
  <c r="B3979" i="2"/>
  <c r="A3979" i="2"/>
  <c r="E3978" i="2"/>
  <c r="D3978" i="2"/>
  <c r="C3978" i="2"/>
  <c r="B3978" i="2"/>
  <c r="A3978" i="2"/>
  <c r="E3977" i="2"/>
  <c r="D3977" i="2"/>
  <c r="C3977" i="2"/>
  <c r="B3977" i="2"/>
  <c r="A3977" i="2"/>
  <c r="E3976" i="2"/>
  <c r="D3976" i="2"/>
  <c r="C3976" i="2"/>
  <c r="B3976" i="2"/>
  <c r="A3976" i="2"/>
  <c r="E3975" i="2"/>
  <c r="D3975" i="2"/>
  <c r="C3975" i="2"/>
  <c r="B3975" i="2"/>
  <c r="A3975" i="2"/>
  <c r="E3974" i="2"/>
  <c r="D3974" i="2"/>
  <c r="C3974" i="2"/>
  <c r="B3974" i="2"/>
  <c r="A3974" i="2"/>
  <c r="E3973" i="2"/>
  <c r="D3973" i="2"/>
  <c r="C3973" i="2"/>
  <c r="B3973" i="2"/>
  <c r="A3973" i="2"/>
  <c r="E3972" i="2"/>
  <c r="D3972" i="2"/>
  <c r="C3972" i="2"/>
  <c r="B3972" i="2"/>
  <c r="A3972" i="2"/>
  <c r="E3971" i="2"/>
  <c r="D3971" i="2"/>
  <c r="C3971" i="2"/>
  <c r="B3971" i="2"/>
  <c r="A3971" i="2"/>
  <c r="E3970" i="2"/>
  <c r="D3970" i="2"/>
  <c r="C3970" i="2"/>
  <c r="B3970" i="2"/>
  <c r="A3970" i="2"/>
  <c r="E3969" i="2"/>
  <c r="D3969" i="2"/>
  <c r="C3969" i="2"/>
  <c r="B3969" i="2"/>
  <c r="A3969" i="2"/>
  <c r="E3968" i="2"/>
  <c r="D3968" i="2"/>
  <c r="C3968" i="2"/>
  <c r="B3968" i="2"/>
  <c r="A3968" i="2"/>
  <c r="E3967" i="2"/>
  <c r="D3967" i="2"/>
  <c r="C3967" i="2"/>
  <c r="B3967" i="2"/>
  <c r="A3967" i="2"/>
  <c r="E3966" i="2"/>
  <c r="D3966" i="2"/>
  <c r="C3966" i="2"/>
  <c r="B3966" i="2"/>
  <c r="A3966" i="2"/>
  <c r="E3965" i="2"/>
  <c r="D3965" i="2"/>
  <c r="C3965" i="2"/>
  <c r="B3965" i="2"/>
  <c r="A3965" i="2"/>
  <c r="E3964" i="2"/>
  <c r="D3964" i="2"/>
  <c r="C3964" i="2"/>
  <c r="B3964" i="2"/>
  <c r="A3964" i="2"/>
  <c r="E3963" i="2"/>
  <c r="D3963" i="2"/>
  <c r="C3963" i="2"/>
  <c r="B3963" i="2"/>
  <c r="A3963" i="2"/>
  <c r="E3962" i="2"/>
  <c r="D3962" i="2"/>
  <c r="C3962" i="2"/>
  <c r="B3962" i="2"/>
  <c r="A3962" i="2"/>
  <c r="E3961" i="2"/>
  <c r="D3961" i="2"/>
  <c r="C3961" i="2"/>
  <c r="B3961" i="2"/>
  <c r="A3961" i="2"/>
  <c r="E3960" i="2"/>
  <c r="D3960" i="2"/>
  <c r="C3960" i="2"/>
  <c r="B3960" i="2"/>
  <c r="A3960" i="2"/>
  <c r="E3959" i="2"/>
  <c r="D3959" i="2"/>
  <c r="C3959" i="2"/>
  <c r="B3959" i="2"/>
  <c r="A3959" i="2"/>
  <c r="E3958" i="2"/>
  <c r="D3958" i="2"/>
  <c r="C3958" i="2"/>
  <c r="B3958" i="2"/>
  <c r="A3958" i="2"/>
  <c r="E3957" i="2"/>
  <c r="D3957" i="2"/>
  <c r="C3957" i="2"/>
  <c r="B3957" i="2"/>
  <c r="A3957" i="2"/>
  <c r="E3956" i="2"/>
  <c r="D3956" i="2"/>
  <c r="C3956" i="2"/>
  <c r="B3956" i="2"/>
  <c r="A3956" i="2"/>
  <c r="E3955" i="2"/>
  <c r="D3955" i="2"/>
  <c r="C3955" i="2"/>
  <c r="B3955" i="2"/>
  <c r="A3955" i="2"/>
  <c r="E3954" i="2"/>
  <c r="D3954" i="2"/>
  <c r="C3954" i="2"/>
  <c r="B3954" i="2"/>
  <c r="A3954" i="2"/>
  <c r="E3953" i="2"/>
  <c r="D3953" i="2"/>
  <c r="C3953" i="2"/>
  <c r="B3953" i="2"/>
  <c r="A3953" i="2"/>
  <c r="E3952" i="2"/>
  <c r="D3952" i="2"/>
  <c r="C3952" i="2"/>
  <c r="B3952" i="2"/>
  <c r="A3952" i="2"/>
  <c r="E3951" i="2"/>
  <c r="D3951" i="2"/>
  <c r="C3951" i="2"/>
  <c r="B3951" i="2"/>
  <c r="A3951" i="2"/>
  <c r="E3950" i="2"/>
  <c r="D3950" i="2"/>
  <c r="C3950" i="2"/>
  <c r="B3950" i="2"/>
  <c r="A3950" i="2"/>
  <c r="E3949" i="2"/>
  <c r="D3949" i="2"/>
  <c r="C3949" i="2"/>
  <c r="B3949" i="2"/>
  <c r="A3949" i="2"/>
  <c r="E3948" i="2"/>
  <c r="D3948" i="2"/>
  <c r="C3948" i="2"/>
  <c r="B3948" i="2"/>
  <c r="A3948" i="2"/>
  <c r="E3947" i="2"/>
  <c r="D3947" i="2"/>
  <c r="C3947" i="2"/>
  <c r="B3947" i="2"/>
  <c r="A3947" i="2"/>
  <c r="E3946" i="2"/>
  <c r="D3946" i="2"/>
  <c r="C3946" i="2"/>
  <c r="B3946" i="2"/>
  <c r="A3946" i="2"/>
  <c r="E3945" i="2"/>
  <c r="D3945" i="2"/>
  <c r="C3945" i="2"/>
  <c r="B3945" i="2"/>
  <c r="A3945" i="2"/>
  <c r="E3944" i="2"/>
  <c r="D3944" i="2"/>
  <c r="C3944" i="2"/>
  <c r="B3944" i="2"/>
  <c r="A3944" i="2"/>
  <c r="E3943" i="2"/>
  <c r="D3943" i="2"/>
  <c r="C3943" i="2"/>
  <c r="B3943" i="2"/>
  <c r="A3943" i="2"/>
  <c r="E3942" i="2"/>
  <c r="D3942" i="2"/>
  <c r="C3942" i="2"/>
  <c r="B3942" i="2"/>
  <c r="A3942" i="2"/>
  <c r="E3941" i="2"/>
  <c r="D3941" i="2"/>
  <c r="C3941" i="2"/>
  <c r="B3941" i="2"/>
  <c r="A3941" i="2"/>
  <c r="E3940" i="2"/>
  <c r="D3940" i="2"/>
  <c r="C3940" i="2"/>
  <c r="B3940" i="2"/>
  <c r="A3940" i="2"/>
  <c r="E3939" i="2"/>
  <c r="D3939" i="2"/>
  <c r="C3939" i="2"/>
  <c r="B3939" i="2"/>
  <c r="A3939" i="2"/>
  <c r="E3938" i="2"/>
  <c r="D3938" i="2"/>
  <c r="C3938" i="2"/>
  <c r="B3938" i="2"/>
  <c r="A3938" i="2"/>
  <c r="E3937" i="2"/>
  <c r="D3937" i="2"/>
  <c r="C3937" i="2"/>
  <c r="B3937" i="2"/>
  <c r="A3937" i="2"/>
  <c r="E3936" i="2"/>
  <c r="D3936" i="2"/>
  <c r="C3936" i="2"/>
  <c r="B3936" i="2"/>
  <c r="A3936" i="2"/>
  <c r="E3935" i="2"/>
  <c r="D3935" i="2"/>
  <c r="C3935" i="2"/>
  <c r="B3935" i="2"/>
  <c r="A3935" i="2"/>
  <c r="E3934" i="2"/>
  <c r="D3934" i="2"/>
  <c r="C3934" i="2"/>
  <c r="B3934" i="2"/>
  <c r="A3934" i="2"/>
  <c r="E3933" i="2"/>
  <c r="D3933" i="2"/>
  <c r="C3933" i="2"/>
  <c r="B3933" i="2"/>
  <c r="A3933" i="2"/>
  <c r="E3932" i="2"/>
  <c r="D3932" i="2"/>
  <c r="C3932" i="2"/>
  <c r="B3932" i="2"/>
  <c r="A3932" i="2"/>
  <c r="E3931" i="2"/>
  <c r="D3931" i="2"/>
  <c r="C3931" i="2"/>
  <c r="B3931" i="2"/>
  <c r="A3931" i="2"/>
  <c r="E3930" i="2"/>
  <c r="D3930" i="2"/>
  <c r="C3930" i="2"/>
  <c r="B3930" i="2"/>
  <c r="A3930" i="2"/>
  <c r="E3929" i="2"/>
  <c r="D3929" i="2"/>
  <c r="C3929" i="2"/>
  <c r="B3929" i="2"/>
  <c r="A3929" i="2"/>
  <c r="E3928" i="2"/>
  <c r="D3928" i="2"/>
  <c r="C3928" i="2"/>
  <c r="B3928" i="2"/>
  <c r="A3928" i="2"/>
  <c r="E3927" i="2"/>
  <c r="D3927" i="2"/>
  <c r="C3927" i="2"/>
  <c r="B3927" i="2"/>
  <c r="A3927" i="2"/>
  <c r="E3926" i="2"/>
  <c r="D3926" i="2"/>
  <c r="C3926" i="2"/>
  <c r="B3926" i="2"/>
  <c r="A3926" i="2"/>
  <c r="E3925" i="2"/>
  <c r="D3925" i="2"/>
  <c r="C3925" i="2"/>
  <c r="B3925" i="2"/>
  <c r="A3925" i="2"/>
  <c r="E3924" i="2"/>
  <c r="D3924" i="2"/>
  <c r="C3924" i="2"/>
  <c r="B3924" i="2"/>
  <c r="A3924" i="2"/>
  <c r="E3923" i="2"/>
  <c r="D3923" i="2"/>
  <c r="C3923" i="2"/>
  <c r="B3923" i="2"/>
  <c r="A3923" i="2"/>
  <c r="E3922" i="2"/>
  <c r="D3922" i="2"/>
  <c r="C3922" i="2"/>
  <c r="B3922" i="2"/>
  <c r="A3922" i="2"/>
  <c r="E3921" i="2"/>
  <c r="D3921" i="2"/>
  <c r="C3921" i="2"/>
  <c r="B3921" i="2"/>
  <c r="A3921" i="2"/>
  <c r="E3920" i="2"/>
  <c r="D3920" i="2"/>
  <c r="C3920" i="2"/>
  <c r="B3920" i="2"/>
  <c r="A3920" i="2"/>
  <c r="E3919" i="2"/>
  <c r="D3919" i="2"/>
  <c r="C3919" i="2"/>
  <c r="B3919" i="2"/>
  <c r="A3919" i="2"/>
  <c r="E3918" i="2"/>
  <c r="D3918" i="2"/>
  <c r="C3918" i="2"/>
  <c r="B3918" i="2"/>
  <c r="A3918" i="2"/>
  <c r="E3917" i="2"/>
  <c r="D3917" i="2"/>
  <c r="C3917" i="2"/>
  <c r="B3917" i="2"/>
  <c r="A3917" i="2"/>
  <c r="E3916" i="2"/>
  <c r="D3916" i="2"/>
  <c r="C3916" i="2"/>
  <c r="B3916" i="2"/>
  <c r="A3916" i="2"/>
  <c r="E3915" i="2"/>
  <c r="D3915" i="2"/>
  <c r="C3915" i="2"/>
  <c r="B3915" i="2"/>
  <c r="A3915" i="2"/>
  <c r="E3914" i="2"/>
  <c r="D3914" i="2"/>
  <c r="C3914" i="2"/>
  <c r="B3914" i="2"/>
  <c r="A3914" i="2"/>
  <c r="E3913" i="2"/>
  <c r="D3913" i="2"/>
  <c r="C3913" i="2"/>
  <c r="B3913" i="2"/>
  <c r="A3913" i="2"/>
  <c r="E3912" i="2"/>
  <c r="D3912" i="2"/>
  <c r="C3912" i="2"/>
  <c r="B3912" i="2"/>
  <c r="A3912" i="2"/>
  <c r="E3911" i="2"/>
  <c r="D3911" i="2"/>
  <c r="C3911" i="2"/>
  <c r="B3911" i="2"/>
  <c r="A3911" i="2"/>
  <c r="E3910" i="2"/>
  <c r="D3910" i="2"/>
  <c r="C3910" i="2"/>
  <c r="B3910" i="2"/>
  <c r="A3910" i="2"/>
  <c r="E3909" i="2"/>
  <c r="D3909" i="2"/>
  <c r="C3909" i="2"/>
  <c r="B3909" i="2"/>
  <c r="A3909" i="2"/>
  <c r="E3908" i="2"/>
  <c r="D3908" i="2"/>
  <c r="C3908" i="2"/>
  <c r="B3908" i="2"/>
  <c r="A3908" i="2"/>
  <c r="E3907" i="2"/>
  <c r="D3907" i="2"/>
  <c r="C3907" i="2"/>
  <c r="B3907" i="2"/>
  <c r="A3907" i="2"/>
  <c r="E3906" i="2"/>
  <c r="D3906" i="2"/>
  <c r="C3906" i="2"/>
  <c r="B3906" i="2"/>
  <c r="A3906" i="2"/>
  <c r="E3905" i="2"/>
  <c r="D3905" i="2"/>
  <c r="C3905" i="2"/>
  <c r="B3905" i="2"/>
  <c r="A3905" i="2"/>
  <c r="E3904" i="2"/>
  <c r="D3904" i="2"/>
  <c r="C3904" i="2"/>
  <c r="B3904" i="2"/>
  <c r="A3904" i="2"/>
  <c r="E3903" i="2"/>
  <c r="D3903" i="2"/>
  <c r="C3903" i="2"/>
  <c r="B3903" i="2"/>
  <c r="A3903" i="2"/>
  <c r="E3902" i="2"/>
  <c r="D3902" i="2"/>
  <c r="C3902" i="2"/>
  <c r="B3902" i="2"/>
  <c r="A3902" i="2"/>
  <c r="E3901" i="2"/>
  <c r="D3901" i="2"/>
  <c r="C3901" i="2"/>
  <c r="B3901" i="2"/>
  <c r="A3901" i="2"/>
  <c r="E3900" i="2"/>
  <c r="D3900" i="2"/>
  <c r="C3900" i="2"/>
  <c r="B3900" i="2"/>
  <c r="A3900" i="2"/>
  <c r="E3899" i="2"/>
  <c r="D3899" i="2"/>
  <c r="C3899" i="2"/>
  <c r="B3899" i="2"/>
  <c r="A3899" i="2"/>
  <c r="E3898" i="2"/>
  <c r="D3898" i="2"/>
  <c r="C3898" i="2"/>
  <c r="B3898" i="2"/>
  <c r="A3898" i="2"/>
  <c r="E3897" i="2"/>
  <c r="D3897" i="2"/>
  <c r="C3897" i="2"/>
  <c r="B3897" i="2"/>
  <c r="A3897" i="2"/>
  <c r="E3896" i="2"/>
  <c r="D3896" i="2"/>
  <c r="C3896" i="2"/>
  <c r="B3896" i="2"/>
  <c r="A3896" i="2"/>
  <c r="E3895" i="2"/>
  <c r="D3895" i="2"/>
  <c r="C3895" i="2"/>
  <c r="B3895" i="2"/>
  <c r="A3895" i="2"/>
  <c r="E3894" i="2"/>
  <c r="D3894" i="2"/>
  <c r="C3894" i="2"/>
  <c r="B3894" i="2"/>
  <c r="A3894" i="2"/>
  <c r="E3893" i="2"/>
  <c r="D3893" i="2"/>
  <c r="C3893" i="2"/>
  <c r="B3893" i="2"/>
  <c r="A3893" i="2"/>
  <c r="E3892" i="2"/>
  <c r="D3892" i="2"/>
  <c r="C3892" i="2"/>
  <c r="B3892" i="2"/>
  <c r="A3892" i="2"/>
  <c r="E3891" i="2"/>
  <c r="D3891" i="2"/>
  <c r="C3891" i="2"/>
  <c r="B3891" i="2"/>
  <c r="A3891" i="2"/>
  <c r="E3890" i="2"/>
  <c r="D3890" i="2"/>
  <c r="C3890" i="2"/>
  <c r="B3890" i="2"/>
  <c r="A3890" i="2"/>
  <c r="E3889" i="2"/>
  <c r="D3889" i="2"/>
  <c r="C3889" i="2"/>
  <c r="B3889" i="2"/>
  <c r="A3889" i="2"/>
  <c r="E3888" i="2"/>
  <c r="D3888" i="2"/>
  <c r="C3888" i="2"/>
  <c r="B3888" i="2"/>
  <c r="A3888" i="2"/>
  <c r="E3887" i="2"/>
  <c r="D3887" i="2"/>
  <c r="C3887" i="2"/>
  <c r="B3887" i="2"/>
  <c r="A3887" i="2"/>
  <c r="E3886" i="2"/>
  <c r="D3886" i="2"/>
  <c r="C3886" i="2"/>
  <c r="B3886" i="2"/>
  <c r="A3886" i="2"/>
  <c r="E3885" i="2"/>
  <c r="D3885" i="2"/>
  <c r="C3885" i="2"/>
  <c r="B3885" i="2"/>
  <c r="A3885" i="2"/>
  <c r="E3884" i="2"/>
  <c r="D3884" i="2"/>
  <c r="C3884" i="2"/>
  <c r="B3884" i="2"/>
  <c r="A3884" i="2"/>
  <c r="E3883" i="2"/>
  <c r="D3883" i="2"/>
  <c r="C3883" i="2"/>
  <c r="B3883" i="2"/>
  <c r="A3883" i="2"/>
  <c r="E3882" i="2"/>
  <c r="D3882" i="2"/>
  <c r="C3882" i="2"/>
  <c r="B3882" i="2"/>
  <c r="A3882" i="2"/>
  <c r="E3881" i="2"/>
  <c r="D3881" i="2"/>
  <c r="C3881" i="2"/>
  <c r="B3881" i="2"/>
  <c r="A3881" i="2"/>
  <c r="E3880" i="2"/>
  <c r="D3880" i="2"/>
  <c r="C3880" i="2"/>
  <c r="B3880" i="2"/>
  <c r="A3880" i="2"/>
  <c r="E3879" i="2"/>
  <c r="D3879" i="2"/>
  <c r="C3879" i="2"/>
  <c r="B3879" i="2"/>
  <c r="A3879" i="2"/>
  <c r="E3878" i="2"/>
  <c r="D3878" i="2"/>
  <c r="C3878" i="2"/>
  <c r="B3878" i="2"/>
  <c r="A3878" i="2"/>
  <c r="E3877" i="2"/>
  <c r="D3877" i="2"/>
  <c r="C3877" i="2"/>
  <c r="B3877" i="2"/>
  <c r="A3877" i="2"/>
  <c r="E3876" i="2"/>
  <c r="D3876" i="2"/>
  <c r="C3876" i="2"/>
  <c r="B3876" i="2"/>
  <c r="A3876" i="2"/>
  <c r="E3875" i="2"/>
  <c r="D3875" i="2"/>
  <c r="C3875" i="2"/>
  <c r="B3875" i="2"/>
  <c r="A3875" i="2"/>
  <c r="E3874" i="2"/>
  <c r="D3874" i="2"/>
  <c r="C3874" i="2"/>
  <c r="B3874" i="2"/>
  <c r="A3874" i="2"/>
  <c r="E3873" i="2"/>
  <c r="D3873" i="2"/>
  <c r="C3873" i="2"/>
  <c r="B3873" i="2"/>
  <c r="A3873" i="2"/>
  <c r="E3872" i="2"/>
  <c r="D3872" i="2"/>
  <c r="C3872" i="2"/>
  <c r="B3872" i="2"/>
  <c r="A3872" i="2"/>
  <c r="E3871" i="2"/>
  <c r="D3871" i="2"/>
  <c r="C3871" i="2"/>
  <c r="B3871" i="2"/>
  <c r="A3871" i="2"/>
  <c r="E3870" i="2"/>
  <c r="D3870" i="2"/>
  <c r="C3870" i="2"/>
  <c r="B3870" i="2"/>
  <c r="A3870" i="2"/>
  <c r="E3869" i="2"/>
  <c r="D3869" i="2"/>
  <c r="C3869" i="2"/>
  <c r="B3869" i="2"/>
  <c r="A3869" i="2"/>
  <c r="E3868" i="2"/>
  <c r="D3868" i="2"/>
  <c r="C3868" i="2"/>
  <c r="B3868" i="2"/>
  <c r="A3868" i="2"/>
  <c r="E3867" i="2"/>
  <c r="D3867" i="2"/>
  <c r="C3867" i="2"/>
  <c r="B3867" i="2"/>
  <c r="A3867" i="2"/>
  <c r="E3866" i="2"/>
  <c r="D3866" i="2"/>
  <c r="C3866" i="2"/>
  <c r="B3866" i="2"/>
  <c r="A3866" i="2"/>
  <c r="E3865" i="2"/>
  <c r="D3865" i="2"/>
  <c r="C3865" i="2"/>
  <c r="B3865" i="2"/>
  <c r="A3865" i="2"/>
  <c r="E3864" i="2"/>
  <c r="D3864" i="2"/>
  <c r="C3864" i="2"/>
  <c r="B3864" i="2"/>
  <c r="A3864" i="2"/>
  <c r="E3863" i="2"/>
  <c r="D3863" i="2"/>
  <c r="C3863" i="2"/>
  <c r="B3863" i="2"/>
  <c r="A3863" i="2"/>
  <c r="E3862" i="2"/>
  <c r="D3862" i="2"/>
  <c r="C3862" i="2"/>
  <c r="B3862" i="2"/>
  <c r="A3862" i="2"/>
  <c r="E3861" i="2"/>
  <c r="D3861" i="2"/>
  <c r="C3861" i="2"/>
  <c r="B3861" i="2"/>
  <c r="A3861" i="2"/>
  <c r="E3860" i="2"/>
  <c r="D3860" i="2"/>
  <c r="C3860" i="2"/>
  <c r="B3860" i="2"/>
  <c r="A3860" i="2"/>
  <c r="E3859" i="2"/>
  <c r="D3859" i="2"/>
  <c r="C3859" i="2"/>
  <c r="B3859" i="2"/>
  <c r="A3859" i="2"/>
  <c r="E3858" i="2"/>
  <c r="D3858" i="2"/>
  <c r="C3858" i="2"/>
  <c r="B3858" i="2"/>
  <c r="A3858" i="2"/>
  <c r="E3857" i="2"/>
  <c r="D3857" i="2"/>
  <c r="C3857" i="2"/>
  <c r="B3857" i="2"/>
  <c r="A3857" i="2"/>
  <c r="E3856" i="2"/>
  <c r="D3856" i="2"/>
  <c r="C3856" i="2"/>
  <c r="B3856" i="2"/>
  <c r="A3856" i="2"/>
  <c r="E3855" i="2"/>
  <c r="D3855" i="2"/>
  <c r="C3855" i="2"/>
  <c r="B3855" i="2"/>
  <c r="A3855" i="2"/>
  <c r="E3854" i="2"/>
  <c r="D3854" i="2"/>
  <c r="C3854" i="2"/>
  <c r="B3854" i="2"/>
  <c r="A3854" i="2"/>
  <c r="E3853" i="2"/>
  <c r="D3853" i="2"/>
  <c r="C3853" i="2"/>
  <c r="B3853" i="2"/>
  <c r="A3853" i="2"/>
  <c r="E3852" i="2"/>
  <c r="D3852" i="2"/>
  <c r="C3852" i="2"/>
  <c r="B3852" i="2"/>
  <c r="A3852" i="2"/>
  <c r="E3851" i="2"/>
  <c r="D3851" i="2"/>
  <c r="C3851" i="2"/>
  <c r="B3851" i="2"/>
  <c r="A3851" i="2"/>
  <c r="E3850" i="2"/>
  <c r="D3850" i="2"/>
  <c r="C3850" i="2"/>
  <c r="B3850" i="2"/>
  <c r="A3850" i="2"/>
  <c r="E3849" i="2"/>
  <c r="D3849" i="2"/>
  <c r="C3849" i="2"/>
  <c r="B3849" i="2"/>
  <c r="A3849" i="2"/>
  <c r="E3848" i="2"/>
  <c r="D3848" i="2"/>
  <c r="C3848" i="2"/>
  <c r="B3848" i="2"/>
  <c r="A3848" i="2"/>
  <c r="E3847" i="2"/>
  <c r="D3847" i="2"/>
  <c r="C3847" i="2"/>
  <c r="B3847" i="2"/>
  <c r="A3847" i="2"/>
  <c r="E3846" i="2"/>
  <c r="D3846" i="2"/>
  <c r="C3846" i="2"/>
  <c r="B3846" i="2"/>
  <c r="A3846" i="2"/>
  <c r="E3845" i="2"/>
  <c r="D3845" i="2"/>
  <c r="C3845" i="2"/>
  <c r="B3845" i="2"/>
  <c r="A3845" i="2"/>
  <c r="E3844" i="2"/>
  <c r="D3844" i="2"/>
  <c r="C3844" i="2"/>
  <c r="B3844" i="2"/>
  <c r="A3844" i="2"/>
  <c r="E3843" i="2"/>
  <c r="D3843" i="2"/>
  <c r="C3843" i="2"/>
  <c r="B3843" i="2"/>
  <c r="A3843" i="2"/>
  <c r="E3842" i="2"/>
  <c r="D3842" i="2"/>
  <c r="C3842" i="2"/>
  <c r="B3842" i="2"/>
  <c r="A3842" i="2"/>
  <c r="E3841" i="2"/>
  <c r="D3841" i="2"/>
  <c r="C3841" i="2"/>
  <c r="B3841" i="2"/>
  <c r="A3841" i="2"/>
  <c r="E3840" i="2"/>
  <c r="D3840" i="2"/>
  <c r="C3840" i="2"/>
  <c r="B3840" i="2"/>
  <c r="A3840" i="2"/>
  <c r="E3839" i="2"/>
  <c r="D3839" i="2"/>
  <c r="C3839" i="2"/>
  <c r="B3839" i="2"/>
  <c r="A3839" i="2"/>
  <c r="E3838" i="2"/>
  <c r="D3838" i="2"/>
  <c r="C3838" i="2"/>
  <c r="B3838" i="2"/>
  <c r="A3838" i="2"/>
  <c r="E3837" i="2"/>
  <c r="D3837" i="2"/>
  <c r="C3837" i="2"/>
  <c r="B3837" i="2"/>
  <c r="A3837" i="2"/>
  <c r="E3836" i="2"/>
  <c r="D3836" i="2"/>
  <c r="C3836" i="2"/>
  <c r="B3836" i="2"/>
  <c r="A3836" i="2"/>
  <c r="E3835" i="2"/>
  <c r="D3835" i="2"/>
  <c r="C3835" i="2"/>
  <c r="B3835" i="2"/>
  <c r="A3835" i="2"/>
  <c r="E3834" i="2"/>
  <c r="D3834" i="2"/>
  <c r="C3834" i="2"/>
  <c r="B3834" i="2"/>
  <c r="A3834" i="2"/>
  <c r="E3833" i="2"/>
  <c r="D3833" i="2"/>
  <c r="C3833" i="2"/>
  <c r="B3833" i="2"/>
  <c r="A3833" i="2"/>
  <c r="E3832" i="2"/>
  <c r="D3832" i="2"/>
  <c r="C3832" i="2"/>
  <c r="B3832" i="2"/>
  <c r="A3832" i="2"/>
  <c r="E3831" i="2"/>
  <c r="D3831" i="2"/>
  <c r="C3831" i="2"/>
  <c r="B3831" i="2"/>
  <c r="A3831" i="2"/>
  <c r="E3830" i="2"/>
  <c r="D3830" i="2"/>
  <c r="C3830" i="2"/>
  <c r="B3830" i="2"/>
  <c r="A3830" i="2"/>
  <c r="E3829" i="2"/>
  <c r="D3829" i="2"/>
  <c r="C3829" i="2"/>
  <c r="B3829" i="2"/>
  <c r="A3829" i="2"/>
  <c r="E3828" i="2"/>
  <c r="D3828" i="2"/>
  <c r="C3828" i="2"/>
  <c r="B3828" i="2"/>
  <c r="A3828" i="2"/>
  <c r="E3827" i="2"/>
  <c r="D3827" i="2"/>
  <c r="C3827" i="2"/>
  <c r="B3827" i="2"/>
  <c r="A3827" i="2"/>
  <c r="E3826" i="2"/>
  <c r="D3826" i="2"/>
  <c r="C3826" i="2"/>
  <c r="B3826" i="2"/>
  <c r="A3826" i="2"/>
  <c r="E3825" i="2"/>
  <c r="D3825" i="2"/>
  <c r="C3825" i="2"/>
  <c r="B3825" i="2"/>
  <c r="A3825" i="2"/>
  <c r="E3824" i="2"/>
  <c r="D3824" i="2"/>
  <c r="C3824" i="2"/>
  <c r="B3824" i="2"/>
  <c r="A3824" i="2"/>
  <c r="E3823" i="2"/>
  <c r="D3823" i="2"/>
  <c r="C3823" i="2"/>
  <c r="B3823" i="2"/>
  <c r="A3823" i="2"/>
  <c r="E3822" i="2"/>
  <c r="D3822" i="2"/>
  <c r="C3822" i="2"/>
  <c r="B3822" i="2"/>
  <c r="A3822" i="2"/>
  <c r="E3821" i="2"/>
  <c r="D3821" i="2"/>
  <c r="C3821" i="2"/>
  <c r="B3821" i="2"/>
  <c r="A3821" i="2"/>
  <c r="E3820" i="2"/>
  <c r="D3820" i="2"/>
  <c r="C3820" i="2"/>
  <c r="B3820" i="2"/>
  <c r="A3820" i="2"/>
  <c r="E3819" i="2"/>
  <c r="D3819" i="2"/>
  <c r="C3819" i="2"/>
  <c r="B3819" i="2"/>
  <c r="A3819" i="2"/>
  <c r="E3818" i="2"/>
  <c r="D3818" i="2"/>
  <c r="C3818" i="2"/>
  <c r="B3818" i="2"/>
  <c r="A3818" i="2"/>
  <c r="E3817" i="2"/>
  <c r="D3817" i="2"/>
  <c r="C3817" i="2"/>
  <c r="B3817" i="2"/>
  <c r="A3817" i="2"/>
  <c r="E3816" i="2"/>
  <c r="D3816" i="2"/>
  <c r="C3816" i="2"/>
  <c r="B3816" i="2"/>
  <c r="A3816" i="2"/>
  <c r="E3815" i="2"/>
  <c r="D3815" i="2"/>
  <c r="C3815" i="2"/>
  <c r="B3815" i="2"/>
  <c r="A3815" i="2"/>
  <c r="E3814" i="2"/>
  <c r="D3814" i="2"/>
  <c r="C3814" i="2"/>
  <c r="B3814" i="2"/>
  <c r="A3814" i="2"/>
  <c r="E3813" i="2"/>
  <c r="D3813" i="2"/>
  <c r="C3813" i="2"/>
  <c r="B3813" i="2"/>
  <c r="A3813" i="2"/>
  <c r="E3812" i="2"/>
  <c r="D3812" i="2"/>
  <c r="C3812" i="2"/>
  <c r="B3812" i="2"/>
  <c r="A3812" i="2"/>
  <c r="E3811" i="2"/>
  <c r="D3811" i="2"/>
  <c r="C3811" i="2"/>
  <c r="B3811" i="2"/>
  <c r="A3811" i="2"/>
  <c r="E3810" i="2"/>
  <c r="D3810" i="2"/>
  <c r="C3810" i="2"/>
  <c r="B3810" i="2"/>
  <c r="A3810" i="2"/>
  <c r="E3809" i="2"/>
  <c r="D3809" i="2"/>
  <c r="C3809" i="2"/>
  <c r="B3809" i="2"/>
  <c r="A3809" i="2"/>
  <c r="E3808" i="2"/>
  <c r="D3808" i="2"/>
  <c r="C3808" i="2"/>
  <c r="B3808" i="2"/>
  <c r="A3808" i="2"/>
  <c r="E3807" i="2"/>
  <c r="D3807" i="2"/>
  <c r="C3807" i="2"/>
  <c r="B3807" i="2"/>
  <c r="A3807" i="2"/>
  <c r="E3806" i="2"/>
  <c r="D3806" i="2"/>
  <c r="C3806" i="2"/>
  <c r="B3806" i="2"/>
  <c r="A3806" i="2"/>
  <c r="E3805" i="2"/>
  <c r="D3805" i="2"/>
  <c r="C3805" i="2"/>
  <c r="B3805" i="2"/>
  <c r="A3805" i="2"/>
  <c r="E3804" i="2"/>
  <c r="D3804" i="2"/>
  <c r="C3804" i="2"/>
  <c r="B3804" i="2"/>
  <c r="A3804" i="2"/>
  <c r="E3803" i="2"/>
  <c r="D3803" i="2"/>
  <c r="C3803" i="2"/>
  <c r="B3803" i="2"/>
  <c r="A3803" i="2"/>
  <c r="E3802" i="2"/>
  <c r="D3802" i="2"/>
  <c r="C3802" i="2"/>
  <c r="B3802" i="2"/>
  <c r="A3802" i="2"/>
  <c r="E3801" i="2"/>
  <c r="D3801" i="2"/>
  <c r="C3801" i="2"/>
  <c r="B3801" i="2"/>
  <c r="A3801" i="2"/>
  <c r="E3800" i="2"/>
  <c r="D3800" i="2"/>
  <c r="C3800" i="2"/>
  <c r="B3800" i="2"/>
  <c r="A3800" i="2"/>
  <c r="E3799" i="2"/>
  <c r="D3799" i="2"/>
  <c r="C3799" i="2"/>
  <c r="B3799" i="2"/>
  <c r="A3799" i="2"/>
  <c r="E3798" i="2"/>
  <c r="D3798" i="2"/>
  <c r="C3798" i="2"/>
  <c r="B3798" i="2"/>
  <c r="A3798" i="2"/>
  <c r="E3797" i="2"/>
  <c r="D3797" i="2"/>
  <c r="C3797" i="2"/>
  <c r="B3797" i="2"/>
  <c r="A3797" i="2"/>
  <c r="E3796" i="2"/>
  <c r="D3796" i="2"/>
  <c r="C3796" i="2"/>
  <c r="B3796" i="2"/>
  <c r="A3796" i="2"/>
  <c r="E3795" i="2"/>
  <c r="D3795" i="2"/>
  <c r="C3795" i="2"/>
  <c r="B3795" i="2"/>
  <c r="A3795" i="2"/>
  <c r="E3794" i="2"/>
  <c r="D3794" i="2"/>
  <c r="C3794" i="2"/>
  <c r="B3794" i="2"/>
  <c r="A3794" i="2"/>
  <c r="E3793" i="2"/>
  <c r="D3793" i="2"/>
  <c r="C3793" i="2"/>
  <c r="B3793" i="2"/>
  <c r="A3793" i="2"/>
  <c r="E3792" i="2"/>
  <c r="D3792" i="2"/>
  <c r="C3792" i="2"/>
  <c r="B3792" i="2"/>
  <c r="A3792" i="2"/>
  <c r="E3791" i="2"/>
  <c r="D3791" i="2"/>
  <c r="C3791" i="2"/>
  <c r="B3791" i="2"/>
  <c r="A3791" i="2"/>
  <c r="E3790" i="2"/>
  <c r="D3790" i="2"/>
  <c r="C3790" i="2"/>
  <c r="B3790" i="2"/>
  <c r="A3790" i="2"/>
  <c r="E3789" i="2"/>
  <c r="D3789" i="2"/>
  <c r="C3789" i="2"/>
  <c r="B3789" i="2"/>
  <c r="A3789" i="2"/>
  <c r="E3788" i="2"/>
  <c r="D3788" i="2"/>
  <c r="C3788" i="2"/>
  <c r="B3788" i="2"/>
  <c r="A3788" i="2"/>
  <c r="E3787" i="2"/>
  <c r="D3787" i="2"/>
  <c r="C3787" i="2"/>
  <c r="B3787" i="2"/>
  <c r="A3787" i="2"/>
  <c r="E3786" i="2"/>
  <c r="D3786" i="2"/>
  <c r="C3786" i="2"/>
  <c r="B3786" i="2"/>
  <c r="A3786" i="2"/>
  <c r="E3785" i="2"/>
  <c r="D3785" i="2"/>
  <c r="C3785" i="2"/>
  <c r="B3785" i="2"/>
  <c r="A3785" i="2"/>
  <c r="E3784" i="2"/>
  <c r="D3784" i="2"/>
  <c r="C3784" i="2"/>
  <c r="B3784" i="2"/>
  <c r="A3784" i="2"/>
  <c r="E3783" i="2"/>
  <c r="D3783" i="2"/>
  <c r="C3783" i="2"/>
  <c r="B3783" i="2"/>
  <c r="A3783" i="2"/>
  <c r="E3782" i="2"/>
  <c r="D3782" i="2"/>
  <c r="C3782" i="2"/>
  <c r="B3782" i="2"/>
  <c r="A3782" i="2"/>
  <c r="E3781" i="2"/>
  <c r="D3781" i="2"/>
  <c r="C3781" i="2"/>
  <c r="B3781" i="2"/>
  <c r="A3781" i="2"/>
  <c r="E3780" i="2"/>
  <c r="D3780" i="2"/>
  <c r="C3780" i="2"/>
  <c r="B3780" i="2"/>
  <c r="A3780" i="2"/>
  <c r="E3779" i="2"/>
  <c r="D3779" i="2"/>
  <c r="C3779" i="2"/>
  <c r="B3779" i="2"/>
  <c r="A3779" i="2"/>
  <c r="E3778" i="2"/>
  <c r="D3778" i="2"/>
  <c r="C3778" i="2"/>
  <c r="B3778" i="2"/>
  <c r="A3778" i="2"/>
  <c r="E3777" i="2"/>
  <c r="D3777" i="2"/>
  <c r="C3777" i="2"/>
  <c r="B3777" i="2"/>
  <c r="A3777" i="2"/>
  <c r="E3776" i="2"/>
  <c r="D3776" i="2"/>
  <c r="C3776" i="2"/>
  <c r="B3776" i="2"/>
  <c r="A3776" i="2"/>
  <c r="E3775" i="2"/>
  <c r="D3775" i="2"/>
  <c r="C3775" i="2"/>
  <c r="B3775" i="2"/>
  <c r="A3775" i="2"/>
  <c r="E3774" i="2"/>
  <c r="D3774" i="2"/>
  <c r="C3774" i="2"/>
  <c r="B3774" i="2"/>
  <c r="A3774" i="2"/>
  <c r="E3773" i="2"/>
  <c r="D3773" i="2"/>
  <c r="C3773" i="2"/>
  <c r="B3773" i="2"/>
  <c r="A3773" i="2"/>
  <c r="E3772" i="2"/>
  <c r="D3772" i="2"/>
  <c r="C3772" i="2"/>
  <c r="B3772" i="2"/>
  <c r="A3772" i="2"/>
  <c r="E3771" i="2"/>
  <c r="D3771" i="2"/>
  <c r="C3771" i="2"/>
  <c r="B3771" i="2"/>
  <c r="A3771" i="2"/>
  <c r="E3770" i="2"/>
  <c r="D3770" i="2"/>
  <c r="C3770" i="2"/>
  <c r="B3770" i="2"/>
  <c r="A3770" i="2"/>
  <c r="E3769" i="2"/>
  <c r="D3769" i="2"/>
  <c r="C3769" i="2"/>
  <c r="B3769" i="2"/>
  <c r="A3769" i="2"/>
  <c r="E3768" i="2"/>
  <c r="D3768" i="2"/>
  <c r="C3768" i="2"/>
  <c r="B3768" i="2"/>
  <c r="A3768" i="2"/>
  <c r="E3767" i="2"/>
  <c r="D3767" i="2"/>
  <c r="C3767" i="2"/>
  <c r="B3767" i="2"/>
  <c r="A3767" i="2"/>
  <c r="E3766" i="2"/>
  <c r="D3766" i="2"/>
  <c r="C3766" i="2"/>
  <c r="B3766" i="2"/>
  <c r="A3766" i="2"/>
  <c r="E3765" i="2"/>
  <c r="D3765" i="2"/>
  <c r="C3765" i="2"/>
  <c r="B3765" i="2"/>
  <c r="A3765" i="2"/>
  <c r="E3764" i="2"/>
  <c r="D3764" i="2"/>
  <c r="C3764" i="2"/>
  <c r="B3764" i="2"/>
  <c r="A3764" i="2"/>
  <c r="E3763" i="2"/>
  <c r="D3763" i="2"/>
  <c r="C3763" i="2"/>
  <c r="B3763" i="2"/>
  <c r="A3763" i="2"/>
  <c r="E3762" i="2"/>
  <c r="D3762" i="2"/>
  <c r="C3762" i="2"/>
  <c r="B3762" i="2"/>
  <c r="A3762" i="2"/>
  <c r="E3761" i="2"/>
  <c r="D3761" i="2"/>
  <c r="C3761" i="2"/>
  <c r="B3761" i="2"/>
  <c r="A3761" i="2"/>
  <c r="E3760" i="2"/>
  <c r="D3760" i="2"/>
  <c r="C3760" i="2"/>
  <c r="B3760" i="2"/>
  <c r="A3760" i="2"/>
  <c r="E3759" i="2"/>
  <c r="D3759" i="2"/>
  <c r="C3759" i="2"/>
  <c r="B3759" i="2"/>
  <c r="A3759" i="2"/>
  <c r="E3758" i="2"/>
  <c r="D3758" i="2"/>
  <c r="C3758" i="2"/>
  <c r="B3758" i="2"/>
  <c r="A3758" i="2"/>
  <c r="E3757" i="2"/>
  <c r="D3757" i="2"/>
  <c r="C3757" i="2"/>
  <c r="B3757" i="2"/>
  <c r="A3757" i="2"/>
  <c r="E3756" i="2"/>
  <c r="D3756" i="2"/>
  <c r="C3756" i="2"/>
  <c r="B3756" i="2"/>
  <c r="A3756" i="2"/>
  <c r="E3755" i="2"/>
  <c r="D3755" i="2"/>
  <c r="C3755" i="2"/>
  <c r="B3755" i="2"/>
  <c r="A3755" i="2"/>
  <c r="E3754" i="2"/>
  <c r="D3754" i="2"/>
  <c r="C3754" i="2"/>
  <c r="B3754" i="2"/>
  <c r="A3754" i="2"/>
  <c r="E3753" i="2"/>
  <c r="D3753" i="2"/>
  <c r="C3753" i="2"/>
  <c r="B3753" i="2"/>
  <c r="A3753" i="2"/>
  <c r="E3752" i="2"/>
  <c r="D3752" i="2"/>
  <c r="C3752" i="2"/>
  <c r="B3752" i="2"/>
  <c r="A3752" i="2"/>
  <c r="E3751" i="2"/>
  <c r="D3751" i="2"/>
  <c r="C3751" i="2"/>
  <c r="B3751" i="2"/>
  <c r="A3751" i="2"/>
  <c r="E3750" i="2"/>
  <c r="D3750" i="2"/>
  <c r="C3750" i="2"/>
  <c r="B3750" i="2"/>
  <c r="A3750" i="2"/>
  <c r="E3749" i="2"/>
  <c r="D3749" i="2"/>
  <c r="C3749" i="2"/>
  <c r="B3749" i="2"/>
  <c r="A3749" i="2"/>
  <c r="E3748" i="2"/>
  <c r="D3748" i="2"/>
  <c r="C3748" i="2"/>
  <c r="B3748" i="2"/>
  <c r="A3748" i="2"/>
  <c r="E3747" i="2"/>
  <c r="D3747" i="2"/>
  <c r="C3747" i="2"/>
  <c r="B3747" i="2"/>
  <c r="A3747" i="2"/>
  <c r="E3746" i="2"/>
  <c r="D3746" i="2"/>
  <c r="C3746" i="2"/>
  <c r="B3746" i="2"/>
  <c r="A3746" i="2"/>
  <c r="E3745" i="2"/>
  <c r="D3745" i="2"/>
  <c r="C3745" i="2"/>
  <c r="B3745" i="2"/>
  <c r="A3745" i="2"/>
  <c r="E3744" i="2"/>
  <c r="D3744" i="2"/>
  <c r="C3744" i="2"/>
  <c r="B3744" i="2"/>
  <c r="A3744" i="2"/>
  <c r="E3743" i="2"/>
  <c r="D3743" i="2"/>
  <c r="C3743" i="2"/>
  <c r="B3743" i="2"/>
  <c r="A3743" i="2"/>
  <c r="E3742" i="2"/>
  <c r="D3742" i="2"/>
  <c r="C3742" i="2"/>
  <c r="B3742" i="2"/>
  <c r="A3742" i="2"/>
  <c r="E3741" i="2"/>
  <c r="D3741" i="2"/>
  <c r="C3741" i="2"/>
  <c r="B3741" i="2"/>
  <c r="A3741" i="2"/>
  <c r="E3740" i="2"/>
  <c r="D3740" i="2"/>
  <c r="C3740" i="2"/>
  <c r="B3740" i="2"/>
  <c r="A3740" i="2"/>
  <c r="E3739" i="2"/>
  <c r="D3739" i="2"/>
  <c r="C3739" i="2"/>
  <c r="B3739" i="2"/>
  <c r="A3739" i="2"/>
  <c r="E3738" i="2"/>
  <c r="D3738" i="2"/>
  <c r="C3738" i="2"/>
  <c r="B3738" i="2"/>
  <c r="A3738" i="2"/>
  <c r="E3737" i="2"/>
  <c r="D3737" i="2"/>
  <c r="C3737" i="2"/>
  <c r="B3737" i="2"/>
  <c r="A3737" i="2"/>
  <c r="E3736" i="2"/>
  <c r="D3736" i="2"/>
  <c r="C3736" i="2"/>
  <c r="B3736" i="2"/>
  <c r="A3736" i="2"/>
  <c r="E3735" i="2"/>
  <c r="D3735" i="2"/>
  <c r="C3735" i="2"/>
  <c r="B3735" i="2"/>
  <c r="A3735" i="2"/>
  <c r="E3734" i="2"/>
  <c r="D3734" i="2"/>
  <c r="C3734" i="2"/>
  <c r="B3734" i="2"/>
  <c r="A3734" i="2"/>
  <c r="E3733" i="2"/>
  <c r="D3733" i="2"/>
  <c r="C3733" i="2"/>
  <c r="B3733" i="2"/>
  <c r="A3733" i="2"/>
  <c r="E3732" i="2"/>
  <c r="D3732" i="2"/>
  <c r="C3732" i="2"/>
  <c r="B3732" i="2"/>
  <c r="A3732" i="2"/>
  <c r="E3731" i="2"/>
  <c r="D3731" i="2"/>
  <c r="C3731" i="2"/>
  <c r="B3731" i="2"/>
  <c r="A3731" i="2"/>
  <c r="E3730" i="2"/>
  <c r="D3730" i="2"/>
  <c r="C3730" i="2"/>
  <c r="B3730" i="2"/>
  <c r="A3730" i="2"/>
  <c r="E3729" i="2"/>
  <c r="D3729" i="2"/>
  <c r="C3729" i="2"/>
  <c r="B3729" i="2"/>
  <c r="A3729" i="2"/>
  <c r="E3728" i="2"/>
  <c r="D3728" i="2"/>
  <c r="C3728" i="2"/>
  <c r="B3728" i="2"/>
  <c r="A3728" i="2"/>
  <c r="E3727" i="2"/>
  <c r="D3727" i="2"/>
  <c r="C3727" i="2"/>
  <c r="B3727" i="2"/>
  <c r="A3727" i="2"/>
  <c r="E3726" i="2"/>
  <c r="D3726" i="2"/>
  <c r="C3726" i="2"/>
  <c r="B3726" i="2"/>
  <c r="A3726" i="2"/>
  <c r="E3725" i="2"/>
  <c r="D3725" i="2"/>
  <c r="C3725" i="2"/>
  <c r="B3725" i="2"/>
  <c r="A3725" i="2"/>
  <c r="E3724" i="2"/>
  <c r="D3724" i="2"/>
  <c r="C3724" i="2"/>
  <c r="B3724" i="2"/>
  <c r="A3724" i="2"/>
  <c r="E3723" i="2"/>
  <c r="D3723" i="2"/>
  <c r="C3723" i="2"/>
  <c r="B3723" i="2"/>
  <c r="A3723" i="2"/>
  <c r="E3722" i="2"/>
  <c r="D3722" i="2"/>
  <c r="C3722" i="2"/>
  <c r="B3722" i="2"/>
  <c r="A3722" i="2"/>
  <c r="E3721" i="2"/>
  <c r="D3721" i="2"/>
  <c r="C3721" i="2"/>
  <c r="B3721" i="2"/>
  <c r="A3721" i="2"/>
  <c r="E3720" i="2"/>
  <c r="D3720" i="2"/>
  <c r="C3720" i="2"/>
  <c r="B3720" i="2"/>
  <c r="A3720" i="2"/>
  <c r="E3719" i="2"/>
  <c r="D3719" i="2"/>
  <c r="C3719" i="2"/>
  <c r="B3719" i="2"/>
  <c r="A3719" i="2"/>
  <c r="E3718" i="2"/>
  <c r="D3718" i="2"/>
  <c r="C3718" i="2"/>
  <c r="B3718" i="2"/>
  <c r="A3718" i="2"/>
  <c r="E3717" i="2"/>
  <c r="D3717" i="2"/>
  <c r="C3717" i="2"/>
  <c r="B3717" i="2"/>
  <c r="A3717" i="2"/>
  <c r="E3716" i="2"/>
  <c r="D3716" i="2"/>
  <c r="C3716" i="2"/>
  <c r="B3716" i="2"/>
  <c r="A3716" i="2"/>
  <c r="E3715" i="2"/>
  <c r="D3715" i="2"/>
  <c r="C3715" i="2"/>
  <c r="B3715" i="2"/>
  <c r="A3715" i="2"/>
  <c r="E3714" i="2"/>
  <c r="D3714" i="2"/>
  <c r="C3714" i="2"/>
  <c r="B3714" i="2"/>
  <c r="A3714" i="2"/>
  <c r="E3713" i="2"/>
  <c r="D3713" i="2"/>
  <c r="C3713" i="2"/>
  <c r="B3713" i="2"/>
  <c r="A3713" i="2"/>
  <c r="E3712" i="2"/>
  <c r="D3712" i="2"/>
  <c r="C3712" i="2"/>
  <c r="B3712" i="2"/>
  <c r="A3712" i="2"/>
  <c r="E3711" i="2"/>
  <c r="D3711" i="2"/>
  <c r="C3711" i="2"/>
  <c r="B3711" i="2"/>
  <c r="A3711" i="2"/>
  <c r="E3710" i="2"/>
  <c r="D3710" i="2"/>
  <c r="C3710" i="2"/>
  <c r="B3710" i="2"/>
  <c r="A3710" i="2"/>
  <c r="E3709" i="2"/>
  <c r="D3709" i="2"/>
  <c r="C3709" i="2"/>
  <c r="B3709" i="2"/>
  <c r="A3709" i="2"/>
  <c r="E3708" i="2"/>
  <c r="D3708" i="2"/>
  <c r="C3708" i="2"/>
  <c r="B3708" i="2"/>
  <c r="A3708" i="2"/>
  <c r="E3707" i="2"/>
  <c r="D3707" i="2"/>
  <c r="C3707" i="2"/>
  <c r="B3707" i="2"/>
  <c r="A3707" i="2"/>
  <c r="E3706" i="2"/>
  <c r="D3706" i="2"/>
  <c r="C3706" i="2"/>
  <c r="B3706" i="2"/>
  <c r="A3706" i="2"/>
  <c r="E3705" i="2"/>
  <c r="D3705" i="2"/>
  <c r="C3705" i="2"/>
  <c r="B3705" i="2"/>
  <c r="A3705" i="2"/>
  <c r="E3704" i="2"/>
  <c r="D3704" i="2"/>
  <c r="C3704" i="2"/>
  <c r="B3704" i="2"/>
  <c r="A3704" i="2"/>
  <c r="E3703" i="2"/>
  <c r="D3703" i="2"/>
  <c r="C3703" i="2"/>
  <c r="B3703" i="2"/>
  <c r="A3703" i="2"/>
  <c r="E3702" i="2"/>
  <c r="D3702" i="2"/>
  <c r="C3702" i="2"/>
  <c r="B3702" i="2"/>
  <c r="A3702" i="2"/>
  <c r="E3701" i="2"/>
  <c r="D3701" i="2"/>
  <c r="C3701" i="2"/>
  <c r="B3701" i="2"/>
  <c r="A3701" i="2"/>
  <c r="E3700" i="2"/>
  <c r="D3700" i="2"/>
  <c r="C3700" i="2"/>
  <c r="B3700" i="2"/>
  <c r="A3700" i="2"/>
  <c r="E3699" i="2"/>
  <c r="D3699" i="2"/>
  <c r="C3699" i="2"/>
  <c r="B3699" i="2"/>
  <c r="A3699" i="2"/>
  <c r="E3698" i="2"/>
  <c r="D3698" i="2"/>
  <c r="C3698" i="2"/>
  <c r="B3698" i="2"/>
  <c r="A3698" i="2"/>
  <c r="E3697" i="2"/>
  <c r="D3697" i="2"/>
  <c r="C3697" i="2"/>
  <c r="B3697" i="2"/>
  <c r="A3697" i="2"/>
  <c r="E3696" i="2"/>
  <c r="D3696" i="2"/>
  <c r="C3696" i="2"/>
  <c r="B3696" i="2"/>
  <c r="A3696" i="2"/>
  <c r="E3695" i="2"/>
  <c r="D3695" i="2"/>
  <c r="C3695" i="2"/>
  <c r="B3695" i="2"/>
  <c r="A3695" i="2"/>
  <c r="E3694" i="2"/>
  <c r="D3694" i="2"/>
  <c r="C3694" i="2"/>
  <c r="B3694" i="2"/>
  <c r="A3694" i="2"/>
  <c r="E3693" i="2"/>
  <c r="D3693" i="2"/>
  <c r="C3693" i="2"/>
  <c r="B3693" i="2"/>
  <c r="A3693" i="2"/>
  <c r="E3692" i="2"/>
  <c r="D3692" i="2"/>
  <c r="C3692" i="2"/>
  <c r="B3692" i="2"/>
  <c r="A3692" i="2"/>
  <c r="E3691" i="2"/>
  <c r="D3691" i="2"/>
  <c r="C3691" i="2"/>
  <c r="B3691" i="2"/>
  <c r="A3691" i="2"/>
  <c r="E3690" i="2"/>
  <c r="D3690" i="2"/>
  <c r="C3690" i="2"/>
  <c r="B3690" i="2"/>
  <c r="A3690" i="2"/>
  <c r="E3689" i="2"/>
  <c r="D3689" i="2"/>
  <c r="C3689" i="2"/>
  <c r="B3689" i="2"/>
  <c r="A3689" i="2"/>
  <c r="E3688" i="2"/>
  <c r="D3688" i="2"/>
  <c r="C3688" i="2"/>
  <c r="B3688" i="2"/>
  <c r="A3688" i="2"/>
  <c r="E3687" i="2"/>
  <c r="D3687" i="2"/>
  <c r="C3687" i="2"/>
  <c r="B3687" i="2"/>
  <c r="A3687" i="2"/>
  <c r="E3686" i="2"/>
  <c r="D3686" i="2"/>
  <c r="C3686" i="2"/>
  <c r="B3686" i="2"/>
  <c r="A3686" i="2"/>
  <c r="E3685" i="2"/>
  <c r="D3685" i="2"/>
  <c r="C3685" i="2"/>
  <c r="B3685" i="2"/>
  <c r="A3685" i="2"/>
  <c r="E3684" i="2"/>
  <c r="D3684" i="2"/>
  <c r="C3684" i="2"/>
  <c r="B3684" i="2"/>
  <c r="A3684" i="2"/>
  <c r="E3683" i="2"/>
  <c r="D3683" i="2"/>
  <c r="C3683" i="2"/>
  <c r="B3683" i="2"/>
  <c r="A3683" i="2"/>
  <c r="E3682" i="2"/>
  <c r="D3682" i="2"/>
  <c r="C3682" i="2"/>
  <c r="B3682" i="2"/>
  <c r="A3682" i="2"/>
  <c r="E3681" i="2"/>
  <c r="D3681" i="2"/>
  <c r="C3681" i="2"/>
  <c r="B3681" i="2"/>
  <c r="A3681" i="2"/>
  <c r="E3680" i="2"/>
  <c r="D3680" i="2"/>
  <c r="C3680" i="2"/>
  <c r="B3680" i="2"/>
  <c r="A3680" i="2"/>
  <c r="E3679" i="2"/>
  <c r="D3679" i="2"/>
  <c r="C3679" i="2"/>
  <c r="B3679" i="2"/>
  <c r="A3679" i="2"/>
  <c r="E3678" i="2"/>
  <c r="D3678" i="2"/>
  <c r="C3678" i="2"/>
  <c r="B3678" i="2"/>
  <c r="A3678" i="2"/>
  <c r="E3677" i="2"/>
  <c r="D3677" i="2"/>
  <c r="C3677" i="2"/>
  <c r="B3677" i="2"/>
  <c r="A3677" i="2"/>
  <c r="E3676" i="2"/>
  <c r="D3676" i="2"/>
  <c r="C3676" i="2"/>
  <c r="B3676" i="2"/>
  <c r="A3676" i="2"/>
  <c r="E3675" i="2"/>
  <c r="D3675" i="2"/>
  <c r="C3675" i="2"/>
  <c r="B3675" i="2"/>
  <c r="A3675" i="2"/>
  <c r="E3674" i="2"/>
  <c r="D3674" i="2"/>
  <c r="C3674" i="2"/>
  <c r="B3674" i="2"/>
  <c r="A3674" i="2"/>
  <c r="E3673" i="2"/>
  <c r="D3673" i="2"/>
  <c r="C3673" i="2"/>
  <c r="B3673" i="2"/>
  <c r="A3673" i="2"/>
  <c r="E3672" i="2"/>
  <c r="D3672" i="2"/>
  <c r="C3672" i="2"/>
  <c r="B3672" i="2"/>
  <c r="A3672" i="2"/>
  <c r="E3671" i="2"/>
  <c r="D3671" i="2"/>
  <c r="C3671" i="2"/>
  <c r="B3671" i="2"/>
  <c r="A3671" i="2"/>
  <c r="E3670" i="2"/>
  <c r="D3670" i="2"/>
  <c r="C3670" i="2"/>
  <c r="B3670" i="2"/>
  <c r="A3670" i="2"/>
  <c r="E3669" i="2"/>
  <c r="D3669" i="2"/>
  <c r="C3669" i="2"/>
  <c r="B3669" i="2"/>
  <c r="A3669" i="2"/>
  <c r="E3668" i="2"/>
  <c r="D3668" i="2"/>
  <c r="C3668" i="2"/>
  <c r="B3668" i="2"/>
  <c r="A3668" i="2"/>
  <c r="E3667" i="2"/>
  <c r="D3667" i="2"/>
  <c r="C3667" i="2"/>
  <c r="B3667" i="2"/>
  <c r="A3667" i="2"/>
  <c r="E3666" i="2"/>
  <c r="D3666" i="2"/>
  <c r="C3666" i="2"/>
  <c r="B3666" i="2"/>
  <c r="A3666" i="2"/>
  <c r="E3665" i="2"/>
  <c r="D3665" i="2"/>
  <c r="C3665" i="2"/>
  <c r="B3665" i="2"/>
  <c r="A3665" i="2"/>
  <c r="E3664" i="2"/>
  <c r="D3664" i="2"/>
  <c r="C3664" i="2"/>
  <c r="B3664" i="2"/>
  <c r="A3664" i="2"/>
  <c r="E3663" i="2"/>
  <c r="D3663" i="2"/>
  <c r="C3663" i="2"/>
  <c r="B3663" i="2"/>
  <c r="A3663" i="2"/>
  <c r="E3662" i="2"/>
  <c r="D3662" i="2"/>
  <c r="C3662" i="2"/>
  <c r="B3662" i="2"/>
  <c r="A3662" i="2"/>
  <c r="E3661" i="2"/>
  <c r="D3661" i="2"/>
  <c r="C3661" i="2"/>
  <c r="B3661" i="2"/>
  <c r="A3661" i="2"/>
  <c r="E3660" i="2"/>
  <c r="D3660" i="2"/>
  <c r="C3660" i="2"/>
  <c r="B3660" i="2"/>
  <c r="A3660" i="2"/>
  <c r="E3659" i="2"/>
  <c r="D3659" i="2"/>
  <c r="C3659" i="2"/>
  <c r="B3659" i="2"/>
  <c r="A3659" i="2"/>
  <c r="E3658" i="2"/>
  <c r="D3658" i="2"/>
  <c r="C3658" i="2"/>
  <c r="B3658" i="2"/>
  <c r="A3658" i="2"/>
  <c r="E3657" i="2"/>
  <c r="D3657" i="2"/>
  <c r="C3657" i="2"/>
  <c r="B3657" i="2"/>
  <c r="A3657" i="2"/>
  <c r="E3656" i="2"/>
  <c r="D3656" i="2"/>
  <c r="C3656" i="2"/>
  <c r="B3656" i="2"/>
  <c r="A3656" i="2"/>
  <c r="E3655" i="2"/>
  <c r="D3655" i="2"/>
  <c r="C3655" i="2"/>
  <c r="B3655" i="2"/>
  <c r="A3655" i="2"/>
  <c r="E3654" i="2"/>
  <c r="D3654" i="2"/>
  <c r="C3654" i="2"/>
  <c r="B3654" i="2"/>
  <c r="A3654" i="2"/>
  <c r="E3653" i="2"/>
  <c r="D3653" i="2"/>
  <c r="C3653" i="2"/>
  <c r="B3653" i="2"/>
  <c r="A3653" i="2"/>
  <c r="E3652" i="2"/>
  <c r="D3652" i="2"/>
  <c r="C3652" i="2"/>
  <c r="B3652" i="2"/>
  <c r="A3652" i="2"/>
  <c r="E3651" i="2"/>
  <c r="D3651" i="2"/>
  <c r="C3651" i="2"/>
  <c r="B3651" i="2"/>
  <c r="A3651" i="2"/>
  <c r="E3650" i="2"/>
  <c r="D3650" i="2"/>
  <c r="C3650" i="2"/>
  <c r="B3650" i="2"/>
  <c r="A3650" i="2"/>
  <c r="E3649" i="2"/>
  <c r="D3649" i="2"/>
  <c r="C3649" i="2"/>
  <c r="B3649" i="2"/>
  <c r="A3649" i="2"/>
  <c r="E3648" i="2"/>
  <c r="D3648" i="2"/>
  <c r="C3648" i="2"/>
  <c r="B3648" i="2"/>
  <c r="A3648" i="2"/>
  <c r="E3647" i="2"/>
  <c r="D3647" i="2"/>
  <c r="C3647" i="2"/>
  <c r="B3647" i="2"/>
  <c r="A3647" i="2"/>
  <c r="E3646" i="2"/>
  <c r="D3646" i="2"/>
  <c r="C3646" i="2"/>
  <c r="B3646" i="2"/>
  <c r="A3646" i="2"/>
  <c r="E3645" i="2"/>
  <c r="D3645" i="2"/>
  <c r="C3645" i="2"/>
  <c r="B3645" i="2"/>
  <c r="A3645" i="2"/>
  <c r="E3644" i="2"/>
  <c r="D3644" i="2"/>
  <c r="C3644" i="2"/>
  <c r="B3644" i="2"/>
  <c r="A3644" i="2"/>
  <c r="E3643" i="2"/>
  <c r="D3643" i="2"/>
  <c r="C3643" i="2"/>
  <c r="B3643" i="2"/>
  <c r="A3643" i="2"/>
  <c r="E3642" i="2"/>
  <c r="D3642" i="2"/>
  <c r="C3642" i="2"/>
  <c r="B3642" i="2"/>
  <c r="A3642" i="2"/>
  <c r="E3641" i="2"/>
  <c r="D3641" i="2"/>
  <c r="C3641" i="2"/>
  <c r="B3641" i="2"/>
  <c r="A3641" i="2"/>
  <c r="E3640" i="2"/>
  <c r="D3640" i="2"/>
  <c r="C3640" i="2"/>
  <c r="B3640" i="2"/>
  <c r="A3640" i="2"/>
  <c r="E3639" i="2"/>
  <c r="D3639" i="2"/>
  <c r="C3639" i="2"/>
  <c r="B3639" i="2"/>
  <c r="A3639" i="2"/>
  <c r="E3638" i="2"/>
  <c r="D3638" i="2"/>
  <c r="C3638" i="2"/>
  <c r="B3638" i="2"/>
  <c r="A3638" i="2"/>
  <c r="E3637" i="2"/>
  <c r="D3637" i="2"/>
  <c r="C3637" i="2"/>
  <c r="B3637" i="2"/>
  <c r="A3637" i="2"/>
  <c r="E3636" i="2"/>
  <c r="D3636" i="2"/>
  <c r="C3636" i="2"/>
  <c r="B3636" i="2"/>
  <c r="A3636" i="2"/>
  <c r="E3635" i="2"/>
  <c r="D3635" i="2"/>
  <c r="C3635" i="2"/>
  <c r="B3635" i="2"/>
  <c r="A3635" i="2"/>
  <c r="E3634" i="2"/>
  <c r="D3634" i="2"/>
  <c r="C3634" i="2"/>
  <c r="B3634" i="2"/>
  <c r="A3634" i="2"/>
  <c r="E3633" i="2"/>
  <c r="D3633" i="2"/>
  <c r="C3633" i="2"/>
  <c r="B3633" i="2"/>
  <c r="A3633" i="2"/>
  <c r="E3632" i="2"/>
  <c r="D3632" i="2"/>
  <c r="C3632" i="2"/>
  <c r="B3632" i="2"/>
  <c r="A3632" i="2"/>
  <c r="E3631" i="2"/>
  <c r="D3631" i="2"/>
  <c r="C3631" i="2"/>
  <c r="B3631" i="2"/>
  <c r="A3631" i="2"/>
  <c r="E3630" i="2"/>
  <c r="D3630" i="2"/>
  <c r="C3630" i="2"/>
  <c r="B3630" i="2"/>
  <c r="A3630" i="2"/>
  <c r="E3629" i="2"/>
  <c r="D3629" i="2"/>
  <c r="C3629" i="2"/>
  <c r="B3629" i="2"/>
  <c r="A3629" i="2"/>
  <c r="E3628" i="2"/>
  <c r="D3628" i="2"/>
  <c r="C3628" i="2"/>
  <c r="B3628" i="2"/>
  <c r="A3628" i="2"/>
  <c r="E3627" i="2"/>
  <c r="D3627" i="2"/>
  <c r="C3627" i="2"/>
  <c r="B3627" i="2"/>
  <c r="A3627" i="2"/>
  <c r="E3626" i="2"/>
  <c r="D3626" i="2"/>
  <c r="C3626" i="2"/>
  <c r="B3626" i="2"/>
  <c r="A3626" i="2"/>
  <c r="E3625" i="2"/>
  <c r="D3625" i="2"/>
  <c r="C3625" i="2"/>
  <c r="B3625" i="2"/>
  <c r="A3625" i="2"/>
  <c r="E3624" i="2"/>
  <c r="D3624" i="2"/>
  <c r="C3624" i="2"/>
  <c r="B3624" i="2"/>
  <c r="A3624" i="2"/>
  <c r="E3623" i="2"/>
  <c r="D3623" i="2"/>
  <c r="C3623" i="2"/>
  <c r="B3623" i="2"/>
  <c r="A3623" i="2"/>
  <c r="E3622" i="2"/>
  <c r="D3622" i="2"/>
  <c r="C3622" i="2"/>
  <c r="B3622" i="2"/>
  <c r="A3622" i="2"/>
  <c r="E3621" i="2"/>
  <c r="D3621" i="2"/>
  <c r="C3621" i="2"/>
  <c r="B3621" i="2"/>
  <c r="A3621" i="2"/>
  <c r="E3620" i="2"/>
  <c r="D3620" i="2"/>
  <c r="C3620" i="2"/>
  <c r="B3620" i="2"/>
  <c r="A3620" i="2"/>
  <c r="E3619" i="2"/>
  <c r="D3619" i="2"/>
  <c r="C3619" i="2"/>
  <c r="B3619" i="2"/>
  <c r="A3619" i="2"/>
  <c r="E3618" i="2"/>
  <c r="D3618" i="2"/>
  <c r="C3618" i="2"/>
  <c r="B3618" i="2"/>
  <c r="A3618" i="2"/>
  <c r="E3617" i="2"/>
  <c r="D3617" i="2"/>
  <c r="C3617" i="2"/>
  <c r="B3617" i="2"/>
  <c r="A3617" i="2"/>
  <c r="E3616" i="2"/>
  <c r="D3616" i="2"/>
  <c r="C3616" i="2"/>
  <c r="B3616" i="2"/>
  <c r="A3616" i="2"/>
  <c r="E3615" i="2"/>
  <c r="D3615" i="2"/>
  <c r="C3615" i="2"/>
  <c r="B3615" i="2"/>
  <c r="A3615" i="2"/>
  <c r="E3614" i="2"/>
  <c r="D3614" i="2"/>
  <c r="C3614" i="2"/>
  <c r="B3614" i="2"/>
  <c r="A3614" i="2"/>
  <c r="E3613" i="2"/>
  <c r="D3613" i="2"/>
  <c r="C3613" i="2"/>
  <c r="B3613" i="2"/>
  <c r="A3613" i="2"/>
  <c r="E3612" i="2"/>
  <c r="D3612" i="2"/>
  <c r="C3612" i="2"/>
  <c r="B3612" i="2"/>
  <c r="A3612" i="2"/>
  <c r="E3611" i="2"/>
  <c r="D3611" i="2"/>
  <c r="C3611" i="2"/>
  <c r="B3611" i="2"/>
  <c r="A3611" i="2"/>
  <c r="E3610" i="2"/>
  <c r="D3610" i="2"/>
  <c r="C3610" i="2"/>
  <c r="B3610" i="2"/>
  <c r="A3610" i="2"/>
  <c r="E3609" i="2"/>
  <c r="D3609" i="2"/>
  <c r="C3609" i="2"/>
  <c r="B3609" i="2"/>
  <c r="A3609" i="2"/>
  <c r="E3608" i="2"/>
  <c r="D3608" i="2"/>
  <c r="C3608" i="2"/>
  <c r="B3608" i="2"/>
  <c r="A3608" i="2"/>
  <c r="E3607" i="2"/>
  <c r="D3607" i="2"/>
  <c r="C3607" i="2"/>
  <c r="B3607" i="2"/>
  <c r="A3607" i="2"/>
  <c r="E3606" i="2"/>
  <c r="D3606" i="2"/>
  <c r="C3606" i="2"/>
  <c r="B3606" i="2"/>
  <c r="A3606" i="2"/>
  <c r="E3605" i="2"/>
  <c r="D3605" i="2"/>
  <c r="C3605" i="2"/>
  <c r="B3605" i="2"/>
  <c r="A3605" i="2"/>
  <c r="E3604" i="2"/>
  <c r="D3604" i="2"/>
  <c r="C3604" i="2"/>
  <c r="B3604" i="2"/>
  <c r="A3604" i="2"/>
  <c r="E3603" i="2"/>
  <c r="D3603" i="2"/>
  <c r="C3603" i="2"/>
  <c r="B3603" i="2"/>
  <c r="A3603" i="2"/>
  <c r="E3602" i="2"/>
  <c r="D3602" i="2"/>
  <c r="C3602" i="2"/>
  <c r="B3602" i="2"/>
  <c r="A3602" i="2"/>
  <c r="E3601" i="2"/>
  <c r="D3601" i="2"/>
  <c r="C3601" i="2"/>
  <c r="B3601" i="2"/>
  <c r="A3601" i="2"/>
  <c r="E3600" i="2"/>
  <c r="D3600" i="2"/>
  <c r="C3600" i="2"/>
  <c r="B3600" i="2"/>
  <c r="A3600" i="2"/>
  <c r="E3599" i="2"/>
  <c r="D3599" i="2"/>
  <c r="C3599" i="2"/>
  <c r="B3599" i="2"/>
  <c r="A3599" i="2"/>
  <c r="E3598" i="2"/>
  <c r="D3598" i="2"/>
  <c r="C3598" i="2"/>
  <c r="B3598" i="2"/>
  <c r="A3598" i="2"/>
  <c r="E3597" i="2"/>
  <c r="D3597" i="2"/>
  <c r="C3597" i="2"/>
  <c r="B3597" i="2"/>
  <c r="A3597" i="2"/>
  <c r="E3596" i="2"/>
  <c r="D3596" i="2"/>
  <c r="C3596" i="2"/>
  <c r="B3596" i="2"/>
  <c r="A3596" i="2"/>
  <c r="E3595" i="2"/>
  <c r="D3595" i="2"/>
  <c r="C3595" i="2"/>
  <c r="B3595" i="2"/>
  <c r="A3595" i="2"/>
  <c r="E3594" i="2"/>
  <c r="D3594" i="2"/>
  <c r="C3594" i="2"/>
  <c r="B3594" i="2"/>
  <c r="A3594" i="2"/>
  <c r="E3593" i="2"/>
  <c r="D3593" i="2"/>
  <c r="C3593" i="2"/>
  <c r="B3593" i="2"/>
  <c r="A3593" i="2"/>
  <c r="E3592" i="2"/>
  <c r="D3592" i="2"/>
  <c r="C3592" i="2"/>
  <c r="B3592" i="2"/>
  <c r="A3592" i="2"/>
  <c r="E3591" i="2"/>
  <c r="D3591" i="2"/>
  <c r="C3591" i="2"/>
  <c r="B3591" i="2"/>
  <c r="A3591" i="2"/>
  <c r="E3590" i="2"/>
  <c r="D3590" i="2"/>
  <c r="C3590" i="2"/>
  <c r="B3590" i="2"/>
  <c r="A3590" i="2"/>
  <c r="E3589" i="2"/>
  <c r="D3589" i="2"/>
  <c r="C3589" i="2"/>
  <c r="B3589" i="2"/>
  <c r="A3589" i="2"/>
  <c r="E3588" i="2"/>
  <c r="D3588" i="2"/>
  <c r="C3588" i="2"/>
  <c r="B3588" i="2"/>
  <c r="A3588" i="2"/>
  <c r="E3587" i="2"/>
  <c r="D3587" i="2"/>
  <c r="C3587" i="2"/>
  <c r="B3587" i="2"/>
  <c r="A3587" i="2"/>
  <c r="E3586" i="2"/>
  <c r="D3586" i="2"/>
  <c r="C3586" i="2"/>
  <c r="B3586" i="2"/>
  <c r="A3586" i="2"/>
  <c r="E3585" i="2"/>
  <c r="D3585" i="2"/>
  <c r="C3585" i="2"/>
  <c r="B3585" i="2"/>
  <c r="A3585" i="2"/>
  <c r="E3584" i="2"/>
  <c r="D3584" i="2"/>
  <c r="C3584" i="2"/>
  <c r="B3584" i="2"/>
  <c r="A3584" i="2"/>
  <c r="E3583" i="2"/>
  <c r="D3583" i="2"/>
  <c r="C3583" i="2"/>
  <c r="B3583" i="2"/>
  <c r="A3583" i="2"/>
  <c r="E3582" i="2"/>
  <c r="D3582" i="2"/>
  <c r="C3582" i="2"/>
  <c r="B3582" i="2"/>
  <c r="A3582" i="2"/>
  <c r="E3581" i="2"/>
  <c r="D3581" i="2"/>
  <c r="C3581" i="2"/>
  <c r="B3581" i="2"/>
  <c r="A3581" i="2"/>
  <c r="E3580" i="2"/>
  <c r="D3580" i="2"/>
  <c r="C3580" i="2"/>
  <c r="B3580" i="2"/>
  <c r="A3580" i="2"/>
  <c r="E3579" i="2"/>
  <c r="D3579" i="2"/>
  <c r="C3579" i="2"/>
  <c r="B3579" i="2"/>
  <c r="A3579" i="2"/>
  <c r="E3578" i="2"/>
  <c r="D3578" i="2"/>
  <c r="C3578" i="2"/>
  <c r="B3578" i="2"/>
  <c r="A3578" i="2"/>
  <c r="E3577" i="2"/>
  <c r="D3577" i="2"/>
  <c r="C3577" i="2"/>
  <c r="B3577" i="2"/>
  <c r="A3577" i="2"/>
  <c r="E3576" i="2"/>
  <c r="D3576" i="2"/>
  <c r="C3576" i="2"/>
  <c r="B3576" i="2"/>
  <c r="A3576" i="2"/>
  <c r="E3575" i="2"/>
  <c r="D3575" i="2"/>
  <c r="C3575" i="2"/>
  <c r="B3575" i="2"/>
  <c r="A3575" i="2"/>
  <c r="E3574" i="2"/>
  <c r="D3574" i="2"/>
  <c r="C3574" i="2"/>
  <c r="B3574" i="2"/>
  <c r="A3574" i="2"/>
  <c r="E3573" i="2"/>
  <c r="D3573" i="2"/>
  <c r="C3573" i="2"/>
  <c r="B3573" i="2"/>
  <c r="A3573" i="2"/>
  <c r="E3572" i="2"/>
  <c r="D3572" i="2"/>
  <c r="C3572" i="2"/>
  <c r="B3572" i="2"/>
  <c r="A3572" i="2"/>
  <c r="E3571" i="2"/>
  <c r="D3571" i="2"/>
  <c r="C3571" i="2"/>
  <c r="B3571" i="2"/>
  <c r="A3571" i="2"/>
  <c r="E3570" i="2"/>
  <c r="D3570" i="2"/>
  <c r="C3570" i="2"/>
  <c r="B3570" i="2"/>
  <c r="A3570" i="2"/>
  <c r="E3569" i="2"/>
  <c r="D3569" i="2"/>
  <c r="C3569" i="2"/>
  <c r="B3569" i="2"/>
  <c r="A3569" i="2"/>
  <c r="E3568" i="2"/>
  <c r="D3568" i="2"/>
  <c r="C3568" i="2"/>
  <c r="B3568" i="2"/>
  <c r="A3568" i="2"/>
  <c r="E3567" i="2"/>
  <c r="D3567" i="2"/>
  <c r="C3567" i="2"/>
  <c r="B3567" i="2"/>
  <c r="A3567" i="2"/>
  <c r="E3566" i="2"/>
  <c r="D3566" i="2"/>
  <c r="C3566" i="2"/>
  <c r="B3566" i="2"/>
  <c r="A3566" i="2"/>
  <c r="E3565" i="2"/>
  <c r="D3565" i="2"/>
  <c r="C3565" i="2"/>
  <c r="B3565" i="2"/>
  <c r="A3565" i="2"/>
  <c r="E3564" i="2"/>
  <c r="D3564" i="2"/>
  <c r="C3564" i="2"/>
  <c r="B3564" i="2"/>
  <c r="A3564" i="2"/>
  <c r="E3563" i="2"/>
  <c r="D3563" i="2"/>
  <c r="C3563" i="2"/>
  <c r="B3563" i="2"/>
  <c r="A3563" i="2"/>
  <c r="E3562" i="2"/>
  <c r="D3562" i="2"/>
  <c r="C3562" i="2"/>
  <c r="B3562" i="2"/>
  <c r="A3562" i="2"/>
  <c r="E3561" i="2"/>
  <c r="D3561" i="2"/>
  <c r="C3561" i="2"/>
  <c r="B3561" i="2"/>
  <c r="A3561" i="2"/>
  <c r="E3560" i="2"/>
  <c r="D3560" i="2"/>
  <c r="C3560" i="2"/>
  <c r="B3560" i="2"/>
  <c r="A3560" i="2"/>
  <c r="E3559" i="2"/>
  <c r="D3559" i="2"/>
  <c r="C3559" i="2"/>
  <c r="B3559" i="2"/>
  <c r="A3559" i="2"/>
  <c r="E3558" i="2"/>
  <c r="D3558" i="2"/>
  <c r="C3558" i="2"/>
  <c r="B3558" i="2"/>
  <c r="A3558" i="2"/>
  <c r="E3557" i="2"/>
  <c r="D3557" i="2"/>
  <c r="C3557" i="2"/>
  <c r="B3557" i="2"/>
  <c r="A3557" i="2"/>
  <c r="E3556" i="2"/>
  <c r="D3556" i="2"/>
  <c r="C3556" i="2"/>
  <c r="B3556" i="2"/>
  <c r="A3556" i="2"/>
  <c r="E3555" i="2"/>
  <c r="D3555" i="2"/>
  <c r="C3555" i="2"/>
  <c r="B3555" i="2"/>
  <c r="A3555" i="2"/>
  <c r="E3554" i="2"/>
  <c r="D3554" i="2"/>
  <c r="C3554" i="2"/>
  <c r="B3554" i="2"/>
  <c r="A3554" i="2"/>
  <c r="E3553" i="2"/>
  <c r="D3553" i="2"/>
  <c r="C3553" i="2"/>
  <c r="B3553" i="2"/>
  <c r="A3553" i="2"/>
  <c r="E3552" i="2"/>
  <c r="D3552" i="2"/>
  <c r="C3552" i="2"/>
  <c r="B3552" i="2"/>
  <c r="A3552" i="2"/>
  <c r="E3551" i="2"/>
  <c r="D3551" i="2"/>
  <c r="C3551" i="2"/>
  <c r="B3551" i="2"/>
  <c r="A3551" i="2"/>
  <c r="E3550" i="2"/>
  <c r="D3550" i="2"/>
  <c r="C3550" i="2"/>
  <c r="B3550" i="2"/>
  <c r="A3550" i="2"/>
  <c r="E3549" i="2"/>
  <c r="D3549" i="2"/>
  <c r="C3549" i="2"/>
  <c r="B3549" i="2"/>
  <c r="A3549" i="2"/>
  <c r="E3548" i="2"/>
  <c r="D3548" i="2"/>
  <c r="C3548" i="2"/>
  <c r="B3548" i="2"/>
  <c r="A3548" i="2"/>
  <c r="E3547" i="2"/>
  <c r="D3547" i="2"/>
  <c r="C3547" i="2"/>
  <c r="B3547" i="2"/>
  <c r="A3547" i="2"/>
  <c r="E3546" i="2"/>
  <c r="D3546" i="2"/>
  <c r="C3546" i="2"/>
  <c r="B3546" i="2"/>
  <c r="A3546" i="2"/>
  <c r="E3545" i="2"/>
  <c r="D3545" i="2"/>
  <c r="C3545" i="2"/>
  <c r="B3545" i="2"/>
  <c r="A3545" i="2"/>
  <c r="E3544" i="2"/>
  <c r="D3544" i="2"/>
  <c r="C3544" i="2"/>
  <c r="B3544" i="2"/>
  <c r="A3544" i="2"/>
  <c r="E3543" i="2"/>
  <c r="D3543" i="2"/>
  <c r="C3543" i="2"/>
  <c r="B3543" i="2"/>
  <c r="A3543" i="2"/>
  <c r="E3542" i="2"/>
  <c r="D3542" i="2"/>
  <c r="C3542" i="2"/>
  <c r="B3542" i="2"/>
  <c r="A3542" i="2"/>
  <c r="E3541" i="2"/>
  <c r="D3541" i="2"/>
  <c r="C3541" i="2"/>
  <c r="B3541" i="2"/>
  <c r="A3541" i="2"/>
  <c r="E3540" i="2"/>
  <c r="D3540" i="2"/>
  <c r="C3540" i="2"/>
  <c r="B3540" i="2"/>
  <c r="A3540" i="2"/>
  <c r="E3539" i="2"/>
  <c r="D3539" i="2"/>
  <c r="C3539" i="2"/>
  <c r="B3539" i="2"/>
  <c r="A3539" i="2"/>
  <c r="E3538" i="2"/>
  <c r="D3538" i="2"/>
  <c r="C3538" i="2"/>
  <c r="B3538" i="2"/>
  <c r="A3538" i="2"/>
  <c r="E3537" i="2"/>
  <c r="D3537" i="2"/>
  <c r="C3537" i="2"/>
  <c r="B3537" i="2"/>
  <c r="A3537" i="2"/>
  <c r="E3536" i="2"/>
  <c r="D3536" i="2"/>
  <c r="C3536" i="2"/>
  <c r="B3536" i="2"/>
  <c r="A3536" i="2"/>
  <c r="E3535" i="2"/>
  <c r="D3535" i="2"/>
  <c r="C3535" i="2"/>
  <c r="B3535" i="2"/>
  <c r="A3535" i="2"/>
  <c r="E3534" i="2"/>
  <c r="D3534" i="2"/>
  <c r="C3534" i="2"/>
  <c r="B3534" i="2"/>
  <c r="A3534" i="2"/>
  <c r="E3533" i="2"/>
  <c r="D3533" i="2"/>
  <c r="C3533" i="2"/>
  <c r="B3533" i="2"/>
  <c r="A3533" i="2"/>
  <c r="E3532" i="2"/>
  <c r="D3532" i="2"/>
  <c r="C3532" i="2"/>
  <c r="B3532" i="2"/>
  <c r="A3532" i="2"/>
  <c r="E3531" i="2"/>
  <c r="D3531" i="2"/>
  <c r="C3531" i="2"/>
  <c r="B3531" i="2"/>
  <c r="A3531" i="2"/>
  <c r="E3530" i="2"/>
  <c r="D3530" i="2"/>
  <c r="C3530" i="2"/>
  <c r="B3530" i="2"/>
  <c r="A3530" i="2"/>
  <c r="E3529" i="2"/>
  <c r="D3529" i="2"/>
  <c r="C3529" i="2"/>
  <c r="B3529" i="2"/>
  <c r="A3529" i="2"/>
  <c r="E3528" i="2"/>
  <c r="D3528" i="2"/>
  <c r="C3528" i="2"/>
  <c r="B3528" i="2"/>
  <c r="A3528" i="2"/>
  <c r="E3527" i="2"/>
  <c r="D3527" i="2"/>
  <c r="C3527" i="2"/>
  <c r="B3527" i="2"/>
  <c r="A3527" i="2"/>
  <c r="E3526" i="2"/>
  <c r="D3526" i="2"/>
  <c r="C3526" i="2"/>
  <c r="B3526" i="2"/>
  <c r="A3526" i="2"/>
  <c r="E3525" i="2"/>
  <c r="D3525" i="2"/>
  <c r="C3525" i="2"/>
  <c r="B3525" i="2"/>
  <c r="A3525" i="2"/>
  <c r="E3524" i="2"/>
  <c r="D3524" i="2"/>
  <c r="C3524" i="2"/>
  <c r="B3524" i="2"/>
  <c r="A3524" i="2"/>
  <c r="E3523" i="2"/>
  <c r="D3523" i="2"/>
  <c r="C3523" i="2"/>
  <c r="B3523" i="2"/>
  <c r="A3523" i="2"/>
  <c r="E3522" i="2"/>
  <c r="D3522" i="2"/>
  <c r="C3522" i="2"/>
  <c r="B3522" i="2"/>
  <c r="A3522" i="2"/>
  <c r="E3521" i="2"/>
  <c r="D3521" i="2"/>
  <c r="C3521" i="2"/>
  <c r="B3521" i="2"/>
  <c r="A3521" i="2"/>
  <c r="E3520" i="2"/>
  <c r="D3520" i="2"/>
  <c r="C3520" i="2"/>
  <c r="B3520" i="2"/>
  <c r="A3520" i="2"/>
  <c r="E3519" i="2"/>
  <c r="D3519" i="2"/>
  <c r="C3519" i="2"/>
  <c r="B3519" i="2"/>
  <c r="A3519" i="2"/>
  <c r="E3518" i="2"/>
  <c r="D3518" i="2"/>
  <c r="C3518" i="2"/>
  <c r="B3518" i="2"/>
  <c r="A3518" i="2"/>
  <c r="E3517" i="2"/>
  <c r="D3517" i="2"/>
  <c r="C3517" i="2"/>
  <c r="B3517" i="2"/>
  <c r="A3517" i="2"/>
  <c r="E3516" i="2"/>
  <c r="D3516" i="2"/>
  <c r="C3516" i="2"/>
  <c r="B3516" i="2"/>
  <c r="A3516" i="2"/>
  <c r="E3515" i="2"/>
  <c r="D3515" i="2"/>
  <c r="C3515" i="2"/>
  <c r="B3515" i="2"/>
  <c r="A3515" i="2"/>
  <c r="E3514" i="2"/>
  <c r="D3514" i="2"/>
  <c r="C3514" i="2"/>
  <c r="B3514" i="2"/>
  <c r="A3514" i="2"/>
  <c r="E3513" i="2"/>
  <c r="D3513" i="2"/>
  <c r="C3513" i="2"/>
  <c r="B3513" i="2"/>
  <c r="A3513" i="2"/>
  <c r="E3512" i="2"/>
  <c r="D3512" i="2"/>
  <c r="C3512" i="2"/>
  <c r="B3512" i="2"/>
  <c r="A3512" i="2"/>
  <c r="E3511" i="2"/>
  <c r="D3511" i="2"/>
  <c r="C3511" i="2"/>
  <c r="B3511" i="2"/>
  <c r="A3511" i="2"/>
  <c r="E3510" i="2"/>
  <c r="D3510" i="2"/>
  <c r="C3510" i="2"/>
  <c r="B3510" i="2"/>
  <c r="A3510" i="2"/>
  <c r="E3509" i="2"/>
  <c r="D3509" i="2"/>
  <c r="C3509" i="2"/>
  <c r="B3509" i="2"/>
  <c r="A3509" i="2"/>
  <c r="E3508" i="2"/>
  <c r="D3508" i="2"/>
  <c r="C3508" i="2"/>
  <c r="B3508" i="2"/>
  <c r="A3508" i="2"/>
  <c r="E3507" i="2"/>
  <c r="D3507" i="2"/>
  <c r="C3507" i="2"/>
  <c r="B3507" i="2"/>
  <c r="A3507" i="2"/>
  <c r="E3506" i="2"/>
  <c r="D3506" i="2"/>
  <c r="C3506" i="2"/>
  <c r="B3506" i="2"/>
  <c r="A3506" i="2"/>
  <c r="E3505" i="2"/>
  <c r="D3505" i="2"/>
  <c r="C3505" i="2"/>
  <c r="B3505" i="2"/>
  <c r="A3505" i="2"/>
  <c r="E3504" i="2"/>
  <c r="D3504" i="2"/>
  <c r="C3504" i="2"/>
  <c r="B3504" i="2"/>
  <c r="A3504" i="2"/>
  <c r="E3503" i="2"/>
  <c r="D3503" i="2"/>
  <c r="C3503" i="2"/>
  <c r="B3503" i="2"/>
  <c r="A3503" i="2"/>
  <c r="E3502" i="2"/>
  <c r="D3502" i="2"/>
  <c r="C3502" i="2"/>
  <c r="B3502" i="2"/>
  <c r="A3502" i="2"/>
  <c r="E3501" i="2"/>
  <c r="D3501" i="2"/>
  <c r="C3501" i="2"/>
  <c r="B3501" i="2"/>
  <c r="A3501" i="2"/>
  <c r="E3500" i="2"/>
  <c r="D3500" i="2"/>
  <c r="C3500" i="2"/>
  <c r="B3500" i="2"/>
  <c r="A3500" i="2"/>
  <c r="E3499" i="2"/>
  <c r="D3499" i="2"/>
  <c r="C3499" i="2"/>
  <c r="B3499" i="2"/>
  <c r="A3499" i="2"/>
  <c r="E3498" i="2"/>
  <c r="D3498" i="2"/>
  <c r="C3498" i="2"/>
  <c r="B3498" i="2"/>
  <c r="A3498" i="2"/>
  <c r="E3497" i="2"/>
  <c r="D3497" i="2"/>
  <c r="C3497" i="2"/>
  <c r="B3497" i="2"/>
  <c r="A3497" i="2"/>
  <c r="E3496" i="2"/>
  <c r="D3496" i="2"/>
  <c r="C3496" i="2"/>
  <c r="B3496" i="2"/>
  <c r="A3496" i="2"/>
  <c r="E3495" i="2"/>
  <c r="D3495" i="2"/>
  <c r="C3495" i="2"/>
  <c r="B3495" i="2"/>
  <c r="A3495" i="2"/>
  <c r="E3494" i="2"/>
  <c r="D3494" i="2"/>
  <c r="C3494" i="2"/>
  <c r="B3494" i="2"/>
  <c r="A3494" i="2"/>
  <c r="E3493" i="2"/>
  <c r="D3493" i="2"/>
  <c r="C3493" i="2"/>
  <c r="B3493" i="2"/>
  <c r="A3493" i="2"/>
  <c r="E3492" i="2"/>
  <c r="D3492" i="2"/>
  <c r="C3492" i="2"/>
  <c r="B3492" i="2"/>
  <c r="A3492" i="2"/>
  <c r="E3491" i="2"/>
  <c r="D3491" i="2"/>
  <c r="C3491" i="2"/>
  <c r="B3491" i="2"/>
  <c r="A3491" i="2"/>
  <c r="E3490" i="2"/>
  <c r="D3490" i="2"/>
  <c r="C3490" i="2"/>
  <c r="B3490" i="2"/>
  <c r="A3490" i="2"/>
  <c r="E3489" i="2"/>
  <c r="D3489" i="2"/>
  <c r="C3489" i="2"/>
  <c r="B3489" i="2"/>
  <c r="A3489" i="2"/>
  <c r="E3488" i="2"/>
  <c r="D3488" i="2"/>
  <c r="C3488" i="2"/>
  <c r="B3488" i="2"/>
  <c r="A3488" i="2"/>
  <c r="E3487" i="2"/>
  <c r="D3487" i="2"/>
  <c r="C3487" i="2"/>
  <c r="B3487" i="2"/>
  <c r="A3487" i="2"/>
  <c r="E3486" i="2"/>
  <c r="D3486" i="2"/>
  <c r="C3486" i="2"/>
  <c r="B3486" i="2"/>
  <c r="A3486" i="2"/>
  <c r="E3485" i="2"/>
  <c r="D3485" i="2"/>
  <c r="C3485" i="2"/>
  <c r="B3485" i="2"/>
  <c r="A3485" i="2"/>
  <c r="E3484" i="2"/>
  <c r="D3484" i="2"/>
  <c r="C3484" i="2"/>
  <c r="B3484" i="2"/>
  <c r="A3484" i="2"/>
  <c r="E3483" i="2"/>
  <c r="D3483" i="2"/>
  <c r="C3483" i="2"/>
  <c r="B3483" i="2"/>
  <c r="A3483" i="2"/>
  <c r="E3482" i="2"/>
  <c r="D3482" i="2"/>
  <c r="C3482" i="2"/>
  <c r="B3482" i="2"/>
  <c r="A3482" i="2"/>
  <c r="E3481" i="2"/>
  <c r="D3481" i="2"/>
  <c r="C3481" i="2"/>
  <c r="B3481" i="2"/>
  <c r="A3481" i="2"/>
  <c r="E3480" i="2"/>
  <c r="D3480" i="2"/>
  <c r="C3480" i="2"/>
  <c r="B3480" i="2"/>
  <c r="A3480" i="2"/>
  <c r="E3479" i="2"/>
  <c r="D3479" i="2"/>
  <c r="C3479" i="2"/>
  <c r="B3479" i="2"/>
  <c r="A3479" i="2"/>
  <c r="E3478" i="2"/>
  <c r="D3478" i="2"/>
  <c r="C3478" i="2"/>
  <c r="B3478" i="2"/>
  <c r="A3478" i="2"/>
  <c r="E3477" i="2"/>
  <c r="D3477" i="2"/>
  <c r="C3477" i="2"/>
  <c r="B3477" i="2"/>
  <c r="A3477" i="2"/>
  <c r="E3476" i="2"/>
  <c r="D3476" i="2"/>
  <c r="C3476" i="2"/>
  <c r="B3476" i="2"/>
  <c r="A3476" i="2"/>
  <c r="E3475" i="2"/>
  <c r="D3475" i="2"/>
  <c r="C3475" i="2"/>
  <c r="B3475" i="2"/>
  <c r="A3475" i="2"/>
  <c r="E3474" i="2"/>
  <c r="D3474" i="2"/>
  <c r="C3474" i="2"/>
  <c r="B3474" i="2"/>
  <c r="A3474" i="2"/>
  <c r="E3473" i="2"/>
  <c r="D3473" i="2"/>
  <c r="C3473" i="2"/>
  <c r="B3473" i="2"/>
  <c r="A3473" i="2"/>
  <c r="E3472" i="2"/>
  <c r="D3472" i="2"/>
  <c r="C3472" i="2"/>
  <c r="B3472" i="2"/>
  <c r="A3472" i="2"/>
  <c r="E3471" i="2"/>
  <c r="D3471" i="2"/>
  <c r="C3471" i="2"/>
  <c r="B3471" i="2"/>
  <c r="A3471" i="2"/>
  <c r="E3470" i="2"/>
  <c r="D3470" i="2"/>
  <c r="C3470" i="2"/>
  <c r="B3470" i="2"/>
  <c r="A3470" i="2"/>
  <c r="E3469" i="2"/>
  <c r="D3469" i="2"/>
  <c r="C3469" i="2"/>
  <c r="B3469" i="2"/>
  <c r="A3469" i="2"/>
  <c r="E3468" i="2"/>
  <c r="D3468" i="2"/>
  <c r="C3468" i="2"/>
  <c r="B3468" i="2"/>
  <c r="A3468" i="2"/>
  <c r="E3467" i="2"/>
  <c r="D3467" i="2"/>
  <c r="C3467" i="2"/>
  <c r="B3467" i="2"/>
  <c r="A3467" i="2"/>
  <c r="E3466" i="2"/>
  <c r="D3466" i="2"/>
  <c r="C3466" i="2"/>
  <c r="B3466" i="2"/>
  <c r="A3466" i="2"/>
  <c r="E3465" i="2"/>
  <c r="D3465" i="2"/>
  <c r="C3465" i="2"/>
  <c r="B3465" i="2"/>
  <c r="A3465" i="2"/>
  <c r="E3464" i="2"/>
  <c r="D3464" i="2"/>
  <c r="C3464" i="2"/>
  <c r="B3464" i="2"/>
  <c r="A3464" i="2"/>
  <c r="E3463" i="2"/>
  <c r="D3463" i="2"/>
  <c r="C3463" i="2"/>
  <c r="B3463" i="2"/>
  <c r="A3463" i="2"/>
  <c r="E3462" i="2"/>
  <c r="D3462" i="2"/>
  <c r="C3462" i="2"/>
  <c r="B3462" i="2"/>
  <c r="A3462" i="2"/>
  <c r="E3461" i="2"/>
  <c r="D3461" i="2"/>
  <c r="C3461" i="2"/>
  <c r="B3461" i="2"/>
  <c r="A3461" i="2"/>
  <c r="E3460" i="2"/>
  <c r="D3460" i="2"/>
  <c r="C3460" i="2"/>
  <c r="B3460" i="2"/>
  <c r="A3460" i="2"/>
  <c r="E3459" i="2"/>
  <c r="D3459" i="2"/>
  <c r="C3459" i="2"/>
  <c r="B3459" i="2"/>
  <c r="A3459" i="2"/>
  <c r="E3458" i="2"/>
  <c r="D3458" i="2"/>
  <c r="C3458" i="2"/>
  <c r="B3458" i="2"/>
  <c r="A3458" i="2"/>
  <c r="E3457" i="2"/>
  <c r="D3457" i="2"/>
  <c r="C3457" i="2"/>
  <c r="B3457" i="2"/>
  <c r="A3457" i="2"/>
  <c r="E3456" i="2"/>
  <c r="D3456" i="2"/>
  <c r="C3456" i="2"/>
  <c r="B3456" i="2"/>
  <c r="A3456" i="2"/>
  <c r="E3455" i="2"/>
  <c r="D3455" i="2"/>
  <c r="C3455" i="2"/>
  <c r="B3455" i="2"/>
  <c r="A3455" i="2"/>
  <c r="E3454" i="2"/>
  <c r="D3454" i="2"/>
  <c r="C3454" i="2"/>
  <c r="B3454" i="2"/>
  <c r="A3454" i="2"/>
  <c r="E3453" i="2"/>
  <c r="D3453" i="2"/>
  <c r="C3453" i="2"/>
  <c r="B3453" i="2"/>
  <c r="A3453" i="2"/>
  <c r="E3452" i="2"/>
  <c r="D3452" i="2"/>
  <c r="C3452" i="2"/>
  <c r="B3452" i="2"/>
  <c r="A3452" i="2"/>
  <c r="E3451" i="2"/>
  <c r="D3451" i="2"/>
  <c r="C3451" i="2"/>
  <c r="B3451" i="2"/>
  <c r="A3451" i="2"/>
  <c r="E3450" i="2"/>
  <c r="D3450" i="2"/>
  <c r="C3450" i="2"/>
  <c r="B3450" i="2"/>
  <c r="A3450" i="2"/>
  <c r="E3449" i="2"/>
  <c r="D3449" i="2"/>
  <c r="C3449" i="2"/>
  <c r="B3449" i="2"/>
  <c r="A3449" i="2"/>
  <c r="E3448" i="2"/>
  <c r="D3448" i="2"/>
  <c r="C3448" i="2"/>
  <c r="B3448" i="2"/>
  <c r="A3448" i="2"/>
  <c r="E3447" i="2"/>
  <c r="D3447" i="2"/>
  <c r="C3447" i="2"/>
  <c r="B3447" i="2"/>
  <c r="A3447" i="2"/>
  <c r="E3446" i="2"/>
  <c r="D3446" i="2"/>
  <c r="C3446" i="2"/>
  <c r="B3446" i="2"/>
  <c r="A3446" i="2"/>
  <c r="E3445" i="2"/>
  <c r="D3445" i="2"/>
  <c r="C3445" i="2"/>
  <c r="B3445" i="2"/>
  <c r="A3445" i="2"/>
  <c r="E3444" i="2"/>
  <c r="D3444" i="2"/>
  <c r="C3444" i="2"/>
  <c r="B3444" i="2"/>
  <c r="A3444" i="2"/>
  <c r="E3443" i="2"/>
  <c r="D3443" i="2"/>
  <c r="C3443" i="2"/>
  <c r="B3443" i="2"/>
  <c r="A3443" i="2"/>
  <c r="E3442" i="2"/>
  <c r="D3442" i="2"/>
  <c r="C3442" i="2"/>
  <c r="B3442" i="2"/>
  <c r="A3442" i="2"/>
  <c r="E3441" i="2"/>
  <c r="D3441" i="2"/>
  <c r="C3441" i="2"/>
  <c r="B3441" i="2"/>
  <c r="A3441" i="2"/>
  <c r="E3440" i="2"/>
  <c r="D3440" i="2"/>
  <c r="C3440" i="2"/>
  <c r="B3440" i="2"/>
  <c r="A3440" i="2"/>
  <c r="E3439" i="2"/>
  <c r="D3439" i="2"/>
  <c r="C3439" i="2"/>
  <c r="B3439" i="2"/>
  <c r="A3439" i="2"/>
  <c r="E3438" i="2"/>
  <c r="D3438" i="2"/>
  <c r="C3438" i="2"/>
  <c r="B3438" i="2"/>
  <c r="A3438" i="2"/>
  <c r="E3437" i="2"/>
  <c r="D3437" i="2"/>
  <c r="C3437" i="2"/>
  <c r="B3437" i="2"/>
  <c r="A3437" i="2"/>
  <c r="E3436" i="2"/>
  <c r="D3436" i="2"/>
  <c r="C3436" i="2"/>
  <c r="B3436" i="2"/>
  <c r="A3436" i="2"/>
  <c r="E3435" i="2"/>
  <c r="D3435" i="2"/>
  <c r="C3435" i="2"/>
  <c r="B3435" i="2"/>
  <c r="A3435" i="2"/>
  <c r="E3434" i="2"/>
  <c r="D3434" i="2"/>
  <c r="C3434" i="2"/>
  <c r="B3434" i="2"/>
  <c r="A3434" i="2"/>
  <c r="E3433" i="2"/>
  <c r="D3433" i="2"/>
  <c r="C3433" i="2"/>
  <c r="B3433" i="2"/>
  <c r="A3433" i="2"/>
  <c r="E3432" i="2"/>
  <c r="D3432" i="2"/>
  <c r="C3432" i="2"/>
  <c r="B3432" i="2"/>
  <c r="A3432" i="2"/>
  <c r="E3431" i="2"/>
  <c r="D3431" i="2"/>
  <c r="C3431" i="2"/>
  <c r="B3431" i="2"/>
  <c r="A3431" i="2"/>
  <c r="E3430" i="2"/>
  <c r="D3430" i="2"/>
  <c r="C3430" i="2"/>
  <c r="B3430" i="2"/>
  <c r="A3430" i="2"/>
  <c r="E3429" i="2"/>
  <c r="D3429" i="2"/>
  <c r="C3429" i="2"/>
  <c r="B3429" i="2"/>
  <c r="A3429" i="2"/>
  <c r="E3428" i="2"/>
  <c r="D3428" i="2"/>
  <c r="C3428" i="2"/>
  <c r="B3428" i="2"/>
  <c r="A3428" i="2"/>
  <c r="E3427" i="2"/>
  <c r="D3427" i="2"/>
  <c r="C3427" i="2"/>
  <c r="B3427" i="2"/>
  <c r="A3427" i="2"/>
  <c r="E3426" i="2"/>
  <c r="D3426" i="2"/>
  <c r="C3426" i="2"/>
  <c r="B3426" i="2"/>
  <c r="A3426" i="2"/>
  <c r="E3425" i="2"/>
  <c r="D3425" i="2"/>
  <c r="C3425" i="2"/>
  <c r="B3425" i="2"/>
  <c r="A3425" i="2"/>
  <c r="E3424" i="2"/>
  <c r="D3424" i="2"/>
  <c r="C3424" i="2"/>
  <c r="B3424" i="2"/>
  <c r="A3424" i="2"/>
  <c r="E3423" i="2"/>
  <c r="D3423" i="2"/>
  <c r="C3423" i="2"/>
  <c r="B3423" i="2"/>
  <c r="A3423" i="2"/>
  <c r="E3422" i="2"/>
  <c r="D3422" i="2"/>
  <c r="C3422" i="2"/>
  <c r="B3422" i="2"/>
  <c r="A3422" i="2"/>
  <c r="E3421" i="2"/>
  <c r="D3421" i="2"/>
  <c r="C3421" i="2"/>
  <c r="B3421" i="2"/>
  <c r="A3421" i="2"/>
  <c r="E3420" i="2"/>
  <c r="D3420" i="2"/>
  <c r="C3420" i="2"/>
  <c r="B3420" i="2"/>
  <c r="A3420" i="2"/>
  <c r="E3419" i="2"/>
  <c r="D3419" i="2"/>
  <c r="C3419" i="2"/>
  <c r="B3419" i="2"/>
  <c r="A3419" i="2"/>
  <c r="E3418" i="2"/>
  <c r="D3418" i="2"/>
  <c r="C3418" i="2"/>
  <c r="B3418" i="2"/>
  <c r="A3418" i="2"/>
  <c r="E3417" i="2"/>
  <c r="D3417" i="2"/>
  <c r="C3417" i="2"/>
  <c r="B3417" i="2"/>
  <c r="A3417" i="2"/>
  <c r="E3416" i="2"/>
  <c r="D3416" i="2"/>
  <c r="C3416" i="2"/>
  <c r="B3416" i="2"/>
  <c r="A3416" i="2"/>
  <c r="E3415" i="2"/>
  <c r="D3415" i="2"/>
  <c r="C3415" i="2"/>
  <c r="B3415" i="2"/>
  <c r="A3415" i="2"/>
  <c r="E3414" i="2"/>
  <c r="D3414" i="2"/>
  <c r="C3414" i="2"/>
  <c r="B3414" i="2"/>
  <c r="A3414" i="2"/>
  <c r="E3413" i="2"/>
  <c r="D3413" i="2"/>
  <c r="C3413" i="2"/>
  <c r="B3413" i="2"/>
  <c r="A3413" i="2"/>
  <c r="E3412" i="2"/>
  <c r="D3412" i="2"/>
  <c r="C3412" i="2"/>
  <c r="B3412" i="2"/>
  <c r="A3412" i="2"/>
  <c r="E3411" i="2"/>
  <c r="D3411" i="2"/>
  <c r="C3411" i="2"/>
  <c r="B3411" i="2"/>
  <c r="A3411" i="2"/>
  <c r="E3410" i="2"/>
  <c r="D3410" i="2"/>
  <c r="C3410" i="2"/>
  <c r="B3410" i="2"/>
  <c r="A3410" i="2"/>
  <c r="E3409" i="2"/>
  <c r="D3409" i="2"/>
  <c r="C3409" i="2"/>
  <c r="B3409" i="2"/>
  <c r="A3409" i="2"/>
  <c r="E3408" i="2"/>
  <c r="D3408" i="2"/>
  <c r="C3408" i="2"/>
  <c r="B3408" i="2"/>
  <c r="A3408" i="2"/>
  <c r="E3407" i="2"/>
  <c r="D3407" i="2"/>
  <c r="C3407" i="2"/>
  <c r="B3407" i="2"/>
  <c r="A3407" i="2"/>
  <c r="E3406" i="2"/>
  <c r="D3406" i="2"/>
  <c r="C3406" i="2"/>
  <c r="B3406" i="2"/>
  <c r="A3406" i="2"/>
  <c r="E3405" i="2"/>
  <c r="D3405" i="2"/>
  <c r="C3405" i="2"/>
  <c r="B3405" i="2"/>
  <c r="A3405" i="2"/>
  <c r="E3404" i="2"/>
  <c r="D3404" i="2"/>
  <c r="C3404" i="2"/>
  <c r="B3404" i="2"/>
  <c r="A3404" i="2"/>
  <c r="E3403" i="2"/>
  <c r="D3403" i="2"/>
  <c r="C3403" i="2"/>
  <c r="B3403" i="2"/>
  <c r="A3403" i="2"/>
  <c r="E3402" i="2"/>
  <c r="D3402" i="2"/>
  <c r="C3402" i="2"/>
  <c r="B3402" i="2"/>
  <c r="A3402" i="2"/>
  <c r="E3401" i="2"/>
  <c r="D3401" i="2"/>
  <c r="C3401" i="2"/>
  <c r="B3401" i="2"/>
  <c r="A3401" i="2"/>
  <c r="E3400" i="2"/>
  <c r="D3400" i="2"/>
  <c r="C3400" i="2"/>
  <c r="B3400" i="2"/>
  <c r="A3400" i="2"/>
  <c r="E3399" i="2"/>
  <c r="D3399" i="2"/>
  <c r="C3399" i="2"/>
  <c r="B3399" i="2"/>
  <c r="A3399" i="2"/>
  <c r="E3398" i="2"/>
  <c r="D3398" i="2"/>
  <c r="C3398" i="2"/>
  <c r="B3398" i="2"/>
  <c r="A3398" i="2"/>
  <c r="E3397" i="2"/>
  <c r="D3397" i="2"/>
  <c r="C3397" i="2"/>
  <c r="B3397" i="2"/>
  <c r="A3397" i="2"/>
  <c r="E3396" i="2"/>
  <c r="D3396" i="2"/>
  <c r="C3396" i="2"/>
  <c r="B3396" i="2"/>
  <c r="A3396" i="2"/>
  <c r="E3395" i="2"/>
  <c r="D3395" i="2"/>
  <c r="C3395" i="2"/>
  <c r="B3395" i="2"/>
  <c r="A3395" i="2"/>
  <c r="E3394" i="2"/>
  <c r="D3394" i="2"/>
  <c r="C3394" i="2"/>
  <c r="B3394" i="2"/>
  <c r="A3394" i="2"/>
  <c r="E3393" i="2"/>
  <c r="D3393" i="2"/>
  <c r="C3393" i="2"/>
  <c r="B3393" i="2"/>
  <c r="A3393" i="2"/>
  <c r="E3392" i="2"/>
  <c r="D3392" i="2"/>
  <c r="C3392" i="2"/>
  <c r="B3392" i="2"/>
  <c r="A3392" i="2"/>
  <c r="E3391" i="2"/>
  <c r="D3391" i="2"/>
  <c r="C3391" i="2"/>
  <c r="B3391" i="2"/>
  <c r="A3391" i="2"/>
  <c r="E3390" i="2"/>
  <c r="D3390" i="2"/>
  <c r="C3390" i="2"/>
  <c r="B3390" i="2"/>
  <c r="A3390" i="2"/>
  <c r="E3389" i="2"/>
  <c r="D3389" i="2"/>
  <c r="C3389" i="2"/>
  <c r="B3389" i="2"/>
  <c r="A3389" i="2"/>
  <c r="E3388" i="2"/>
  <c r="D3388" i="2"/>
  <c r="C3388" i="2"/>
  <c r="B3388" i="2"/>
  <c r="A3388" i="2"/>
  <c r="E3387" i="2"/>
  <c r="D3387" i="2"/>
  <c r="C3387" i="2"/>
  <c r="B3387" i="2"/>
  <c r="A3387" i="2"/>
  <c r="E3386" i="2"/>
  <c r="D3386" i="2"/>
  <c r="C3386" i="2"/>
  <c r="B3386" i="2"/>
  <c r="A3386" i="2"/>
  <c r="E3385" i="2"/>
  <c r="D3385" i="2"/>
  <c r="C3385" i="2"/>
  <c r="B3385" i="2"/>
  <c r="A3385" i="2"/>
  <c r="E3384" i="2"/>
  <c r="D3384" i="2"/>
  <c r="C3384" i="2"/>
  <c r="B3384" i="2"/>
  <c r="A3384" i="2"/>
  <c r="E3383" i="2"/>
  <c r="D3383" i="2"/>
  <c r="C3383" i="2"/>
  <c r="B3383" i="2"/>
  <c r="A3383" i="2"/>
  <c r="E3382" i="2"/>
  <c r="D3382" i="2"/>
  <c r="C3382" i="2"/>
  <c r="B3382" i="2"/>
  <c r="A3382" i="2"/>
  <c r="E3381" i="2"/>
  <c r="D3381" i="2"/>
  <c r="C3381" i="2"/>
  <c r="B3381" i="2"/>
  <c r="A3381" i="2"/>
  <c r="E3380" i="2"/>
  <c r="D3380" i="2"/>
  <c r="C3380" i="2"/>
  <c r="B3380" i="2"/>
  <c r="A3380" i="2"/>
  <c r="E3379" i="2"/>
  <c r="D3379" i="2"/>
  <c r="C3379" i="2"/>
  <c r="B3379" i="2"/>
  <c r="A3379" i="2"/>
  <c r="E3378" i="2"/>
  <c r="D3378" i="2"/>
  <c r="C3378" i="2"/>
  <c r="B3378" i="2"/>
  <c r="A3378" i="2"/>
  <c r="E3377" i="2"/>
  <c r="D3377" i="2"/>
  <c r="C3377" i="2"/>
  <c r="B3377" i="2"/>
  <c r="A3377" i="2"/>
  <c r="E3376" i="2"/>
  <c r="D3376" i="2"/>
  <c r="C3376" i="2"/>
  <c r="B3376" i="2"/>
  <c r="A3376" i="2"/>
  <c r="E3375" i="2"/>
  <c r="D3375" i="2"/>
  <c r="C3375" i="2"/>
  <c r="B3375" i="2"/>
  <c r="A3375" i="2"/>
  <c r="E3374" i="2"/>
  <c r="D3374" i="2"/>
  <c r="C3374" i="2"/>
  <c r="B3374" i="2"/>
  <c r="A3374" i="2"/>
  <c r="E3373" i="2"/>
  <c r="D3373" i="2"/>
  <c r="C3373" i="2"/>
  <c r="B3373" i="2"/>
  <c r="A3373" i="2"/>
  <c r="E3372" i="2"/>
  <c r="D3372" i="2"/>
  <c r="C3372" i="2"/>
  <c r="B3372" i="2"/>
  <c r="A3372" i="2"/>
  <c r="E3371" i="2"/>
  <c r="D3371" i="2"/>
  <c r="C3371" i="2"/>
  <c r="B3371" i="2"/>
  <c r="A3371" i="2"/>
  <c r="E3370" i="2"/>
  <c r="D3370" i="2"/>
  <c r="C3370" i="2"/>
  <c r="B3370" i="2"/>
  <c r="A3370" i="2"/>
  <c r="E3369" i="2"/>
  <c r="D3369" i="2"/>
  <c r="C3369" i="2"/>
  <c r="B3369" i="2"/>
  <c r="A3369" i="2"/>
  <c r="E3368" i="2"/>
  <c r="D3368" i="2"/>
  <c r="C3368" i="2"/>
  <c r="B3368" i="2"/>
  <c r="A3368" i="2"/>
  <c r="E3367" i="2"/>
  <c r="D3367" i="2"/>
  <c r="C3367" i="2"/>
  <c r="B3367" i="2"/>
  <c r="A3367" i="2"/>
  <c r="E3366" i="2"/>
  <c r="D3366" i="2"/>
  <c r="C3366" i="2"/>
  <c r="B3366" i="2"/>
  <c r="A3366" i="2"/>
  <c r="E3365" i="2"/>
  <c r="D3365" i="2"/>
  <c r="C3365" i="2"/>
  <c r="B3365" i="2"/>
  <c r="A3365" i="2"/>
  <c r="E3364" i="2"/>
  <c r="D3364" i="2"/>
  <c r="C3364" i="2"/>
  <c r="B3364" i="2"/>
  <c r="A3364" i="2"/>
  <c r="E3363" i="2"/>
  <c r="D3363" i="2"/>
  <c r="C3363" i="2"/>
  <c r="B3363" i="2"/>
  <c r="A3363" i="2"/>
  <c r="E3362" i="2"/>
  <c r="D3362" i="2"/>
  <c r="C3362" i="2"/>
  <c r="B3362" i="2"/>
  <c r="A3362" i="2"/>
  <c r="E3361" i="2"/>
  <c r="D3361" i="2"/>
  <c r="C3361" i="2"/>
  <c r="B3361" i="2"/>
  <c r="A3361" i="2"/>
  <c r="E3360" i="2"/>
  <c r="D3360" i="2"/>
  <c r="C3360" i="2"/>
  <c r="B3360" i="2"/>
  <c r="A3360" i="2"/>
  <c r="E3359" i="2"/>
  <c r="D3359" i="2"/>
  <c r="C3359" i="2"/>
  <c r="B3359" i="2"/>
  <c r="A3359" i="2"/>
  <c r="E3358" i="2"/>
  <c r="D3358" i="2"/>
  <c r="C3358" i="2"/>
  <c r="B3358" i="2"/>
  <c r="A3358" i="2"/>
  <c r="E3357" i="2"/>
  <c r="D3357" i="2"/>
  <c r="C3357" i="2"/>
  <c r="B3357" i="2"/>
  <c r="A3357" i="2"/>
  <c r="E3356" i="2"/>
  <c r="D3356" i="2"/>
  <c r="C3356" i="2"/>
  <c r="B3356" i="2"/>
  <c r="A3356" i="2"/>
  <c r="E3355" i="2"/>
  <c r="D3355" i="2"/>
  <c r="C3355" i="2"/>
  <c r="B3355" i="2"/>
  <c r="A3355" i="2"/>
  <c r="E3354" i="2"/>
  <c r="D3354" i="2"/>
  <c r="C3354" i="2"/>
  <c r="B3354" i="2"/>
  <c r="A3354" i="2"/>
  <c r="E3353" i="2"/>
  <c r="D3353" i="2"/>
  <c r="C3353" i="2"/>
  <c r="B3353" i="2"/>
  <c r="A3353" i="2"/>
  <c r="E3352" i="2"/>
  <c r="D3352" i="2"/>
  <c r="C3352" i="2"/>
  <c r="B3352" i="2"/>
  <c r="A3352" i="2"/>
  <c r="E3351" i="2"/>
  <c r="D3351" i="2"/>
  <c r="C3351" i="2"/>
  <c r="B3351" i="2"/>
  <c r="A3351" i="2"/>
  <c r="E3350" i="2"/>
  <c r="D3350" i="2"/>
  <c r="C3350" i="2"/>
  <c r="B3350" i="2"/>
  <c r="A3350" i="2"/>
  <c r="E3349" i="2"/>
  <c r="D3349" i="2"/>
  <c r="C3349" i="2"/>
  <c r="B3349" i="2"/>
  <c r="A3349" i="2"/>
  <c r="E3348" i="2"/>
  <c r="D3348" i="2"/>
  <c r="C3348" i="2"/>
  <c r="B3348" i="2"/>
  <c r="A3348" i="2"/>
  <c r="E3347" i="2"/>
  <c r="D3347" i="2"/>
  <c r="C3347" i="2"/>
  <c r="B3347" i="2"/>
  <c r="A3347" i="2"/>
  <c r="E3346" i="2"/>
  <c r="D3346" i="2"/>
  <c r="C3346" i="2"/>
  <c r="B3346" i="2"/>
  <c r="A3346" i="2"/>
  <c r="E3345" i="2"/>
  <c r="D3345" i="2"/>
  <c r="C3345" i="2"/>
  <c r="B3345" i="2"/>
  <c r="A3345" i="2"/>
  <c r="E3344" i="2"/>
  <c r="D3344" i="2"/>
  <c r="C3344" i="2"/>
  <c r="B3344" i="2"/>
  <c r="A3344" i="2"/>
  <c r="E3343" i="2"/>
  <c r="D3343" i="2"/>
  <c r="C3343" i="2"/>
  <c r="B3343" i="2"/>
  <c r="A3343" i="2"/>
  <c r="E3342" i="2"/>
  <c r="D3342" i="2"/>
  <c r="C3342" i="2"/>
  <c r="B3342" i="2"/>
  <c r="A3342" i="2"/>
  <c r="E3341" i="2"/>
  <c r="D3341" i="2"/>
  <c r="C3341" i="2"/>
  <c r="B3341" i="2"/>
  <c r="A3341" i="2"/>
  <c r="E3340" i="2"/>
  <c r="D3340" i="2"/>
  <c r="C3340" i="2"/>
  <c r="B3340" i="2"/>
  <c r="A3340" i="2"/>
  <c r="E3339" i="2"/>
  <c r="D3339" i="2"/>
  <c r="C3339" i="2"/>
  <c r="B3339" i="2"/>
  <c r="A3339" i="2"/>
  <c r="E3338" i="2"/>
  <c r="D3338" i="2"/>
  <c r="C3338" i="2"/>
  <c r="B3338" i="2"/>
  <c r="A3338" i="2"/>
  <c r="E3337" i="2"/>
  <c r="D3337" i="2"/>
  <c r="C3337" i="2"/>
  <c r="B3337" i="2"/>
  <c r="A3337" i="2"/>
  <c r="E3336" i="2"/>
  <c r="D3336" i="2"/>
  <c r="C3336" i="2"/>
  <c r="B3336" i="2"/>
  <c r="A3336" i="2"/>
  <c r="E3335" i="2"/>
  <c r="D3335" i="2"/>
  <c r="C3335" i="2"/>
  <c r="B3335" i="2"/>
  <c r="A3335" i="2"/>
  <c r="E3334" i="2"/>
  <c r="D3334" i="2"/>
  <c r="C3334" i="2"/>
  <c r="B3334" i="2"/>
  <c r="A3334" i="2"/>
  <c r="E3333" i="2"/>
  <c r="D3333" i="2"/>
  <c r="C3333" i="2"/>
  <c r="B3333" i="2"/>
  <c r="A3333" i="2"/>
  <c r="E3332" i="2"/>
  <c r="D3332" i="2"/>
  <c r="C3332" i="2"/>
  <c r="B3332" i="2"/>
  <c r="A3332" i="2"/>
  <c r="E3331" i="2"/>
  <c r="D3331" i="2"/>
  <c r="C3331" i="2"/>
  <c r="B3331" i="2"/>
  <c r="A3331" i="2"/>
  <c r="E3330" i="2"/>
  <c r="D3330" i="2"/>
  <c r="C3330" i="2"/>
  <c r="B3330" i="2"/>
  <c r="A3330" i="2"/>
  <c r="E3329" i="2"/>
  <c r="D3329" i="2"/>
  <c r="C3329" i="2"/>
  <c r="B3329" i="2"/>
  <c r="A3329" i="2"/>
  <c r="E3328" i="2"/>
  <c r="D3328" i="2"/>
  <c r="C3328" i="2"/>
  <c r="B3328" i="2"/>
  <c r="A3328" i="2"/>
  <c r="E3327" i="2"/>
  <c r="D3327" i="2"/>
  <c r="C3327" i="2"/>
  <c r="B3327" i="2"/>
  <c r="A3327" i="2"/>
  <c r="E3326" i="2"/>
  <c r="D3326" i="2"/>
  <c r="C3326" i="2"/>
  <c r="B3326" i="2"/>
  <c r="A3326" i="2"/>
  <c r="E3325" i="2"/>
  <c r="D3325" i="2"/>
  <c r="C3325" i="2"/>
  <c r="B3325" i="2"/>
  <c r="A3325" i="2"/>
  <c r="E3324" i="2"/>
  <c r="D3324" i="2"/>
  <c r="C3324" i="2"/>
  <c r="B3324" i="2"/>
  <c r="A3324" i="2"/>
  <c r="E3323" i="2"/>
  <c r="D3323" i="2"/>
  <c r="C3323" i="2"/>
  <c r="B3323" i="2"/>
  <c r="A3323" i="2"/>
  <c r="E3322" i="2"/>
  <c r="D3322" i="2"/>
  <c r="C3322" i="2"/>
  <c r="B3322" i="2"/>
  <c r="A3322" i="2"/>
  <c r="E3321" i="2"/>
  <c r="D3321" i="2"/>
  <c r="C3321" i="2"/>
  <c r="B3321" i="2"/>
  <c r="A3321" i="2"/>
  <c r="E3320" i="2"/>
  <c r="D3320" i="2"/>
  <c r="C3320" i="2"/>
  <c r="B3320" i="2"/>
  <c r="A3320" i="2"/>
  <c r="E3319" i="2"/>
  <c r="D3319" i="2"/>
  <c r="C3319" i="2"/>
  <c r="B3319" i="2"/>
  <c r="A3319" i="2"/>
  <c r="E3318" i="2"/>
  <c r="D3318" i="2"/>
  <c r="C3318" i="2"/>
  <c r="B3318" i="2"/>
  <c r="A3318" i="2"/>
  <c r="E3317" i="2"/>
  <c r="D3317" i="2"/>
  <c r="C3317" i="2"/>
  <c r="B3317" i="2"/>
  <c r="A3317" i="2"/>
  <c r="E3316" i="2"/>
  <c r="D3316" i="2"/>
  <c r="C3316" i="2"/>
  <c r="B3316" i="2"/>
  <c r="A3316" i="2"/>
  <c r="E3315" i="2"/>
  <c r="D3315" i="2"/>
  <c r="C3315" i="2"/>
  <c r="B3315" i="2"/>
  <c r="A3315" i="2"/>
  <c r="E3314" i="2"/>
  <c r="D3314" i="2"/>
  <c r="C3314" i="2"/>
  <c r="B3314" i="2"/>
  <c r="A3314" i="2"/>
  <c r="E3313" i="2"/>
  <c r="D3313" i="2"/>
  <c r="C3313" i="2"/>
  <c r="B3313" i="2"/>
  <c r="A3313" i="2"/>
  <c r="E3312" i="2"/>
  <c r="D3312" i="2"/>
  <c r="C3312" i="2"/>
  <c r="B3312" i="2"/>
  <c r="A3312" i="2"/>
  <c r="E3311" i="2"/>
  <c r="D3311" i="2"/>
  <c r="C3311" i="2"/>
  <c r="B3311" i="2"/>
  <c r="A3311" i="2"/>
  <c r="E3310" i="2"/>
  <c r="D3310" i="2"/>
  <c r="C3310" i="2"/>
  <c r="B3310" i="2"/>
  <c r="A3310" i="2"/>
  <c r="E3309" i="2"/>
  <c r="D3309" i="2"/>
  <c r="C3309" i="2"/>
  <c r="B3309" i="2"/>
  <c r="A3309" i="2"/>
  <c r="E3308" i="2"/>
  <c r="D3308" i="2"/>
  <c r="C3308" i="2"/>
  <c r="B3308" i="2"/>
  <c r="A3308" i="2"/>
  <c r="E3307" i="2"/>
  <c r="D3307" i="2"/>
  <c r="C3307" i="2"/>
  <c r="B3307" i="2"/>
  <c r="A3307" i="2"/>
  <c r="E3306" i="2"/>
  <c r="D3306" i="2"/>
  <c r="C3306" i="2"/>
  <c r="B3306" i="2"/>
  <c r="A3306" i="2"/>
  <c r="E3305" i="2"/>
  <c r="D3305" i="2"/>
  <c r="C3305" i="2"/>
  <c r="B3305" i="2"/>
  <c r="A3305" i="2"/>
  <c r="E3304" i="2"/>
  <c r="D3304" i="2"/>
  <c r="C3304" i="2"/>
  <c r="B3304" i="2"/>
  <c r="A3304" i="2"/>
  <c r="E3303" i="2"/>
  <c r="D3303" i="2"/>
  <c r="C3303" i="2"/>
  <c r="B3303" i="2"/>
  <c r="A3303" i="2"/>
  <c r="E3302" i="2"/>
  <c r="D3302" i="2"/>
  <c r="C3302" i="2"/>
  <c r="B3302" i="2"/>
  <c r="A3302" i="2"/>
  <c r="E3301" i="2"/>
  <c r="D3301" i="2"/>
  <c r="C3301" i="2"/>
  <c r="B3301" i="2"/>
  <c r="A3301" i="2"/>
  <c r="E3300" i="2"/>
  <c r="D3300" i="2"/>
  <c r="C3300" i="2"/>
  <c r="B3300" i="2"/>
  <c r="A3300" i="2"/>
  <c r="E3299" i="2"/>
  <c r="D3299" i="2"/>
  <c r="C3299" i="2"/>
  <c r="B3299" i="2"/>
  <c r="A3299" i="2"/>
  <c r="E3298" i="2"/>
  <c r="D3298" i="2"/>
  <c r="C3298" i="2"/>
  <c r="B3298" i="2"/>
  <c r="A3298" i="2"/>
  <c r="E3297" i="2"/>
  <c r="D3297" i="2"/>
  <c r="C3297" i="2"/>
  <c r="B3297" i="2"/>
  <c r="A3297" i="2"/>
  <c r="E3296" i="2"/>
  <c r="D3296" i="2"/>
  <c r="C3296" i="2"/>
  <c r="B3296" i="2"/>
  <c r="A3296" i="2"/>
  <c r="E3295" i="2"/>
  <c r="D3295" i="2"/>
  <c r="C3295" i="2"/>
  <c r="B3295" i="2"/>
  <c r="A3295" i="2"/>
  <c r="E3294" i="2"/>
  <c r="D3294" i="2"/>
  <c r="C3294" i="2"/>
  <c r="B3294" i="2"/>
  <c r="A3294" i="2"/>
  <c r="E3293" i="2"/>
  <c r="D3293" i="2"/>
  <c r="C3293" i="2"/>
  <c r="B3293" i="2"/>
  <c r="A3293" i="2"/>
  <c r="E3292" i="2"/>
  <c r="D3292" i="2"/>
  <c r="C3292" i="2"/>
  <c r="B3292" i="2"/>
  <c r="A3292" i="2"/>
  <c r="E3291" i="2"/>
  <c r="D3291" i="2"/>
  <c r="C3291" i="2"/>
  <c r="B3291" i="2"/>
  <c r="A3291" i="2"/>
  <c r="E3290" i="2"/>
  <c r="D3290" i="2"/>
  <c r="C3290" i="2"/>
  <c r="B3290" i="2"/>
  <c r="A3290" i="2"/>
  <c r="E3289" i="2"/>
  <c r="D3289" i="2"/>
  <c r="C3289" i="2"/>
  <c r="B3289" i="2"/>
  <c r="A3289" i="2"/>
  <c r="E3288" i="2"/>
  <c r="D3288" i="2"/>
  <c r="C3288" i="2"/>
  <c r="B3288" i="2"/>
  <c r="A3288" i="2"/>
  <c r="E3287" i="2"/>
  <c r="D3287" i="2"/>
  <c r="C3287" i="2"/>
  <c r="B3287" i="2"/>
  <c r="A3287" i="2"/>
  <c r="E3286" i="2"/>
  <c r="D3286" i="2"/>
  <c r="C3286" i="2"/>
  <c r="B3286" i="2"/>
  <c r="A3286" i="2"/>
  <c r="E3285" i="2"/>
  <c r="D3285" i="2"/>
  <c r="C3285" i="2"/>
  <c r="B3285" i="2"/>
  <c r="A3285" i="2"/>
  <c r="E3284" i="2"/>
  <c r="D3284" i="2"/>
  <c r="C3284" i="2"/>
  <c r="B3284" i="2"/>
  <c r="A3284" i="2"/>
  <c r="E3283" i="2"/>
  <c r="D3283" i="2"/>
  <c r="C3283" i="2"/>
  <c r="B3283" i="2"/>
  <c r="A3283" i="2"/>
  <c r="E3282" i="2"/>
  <c r="D3282" i="2"/>
  <c r="C3282" i="2"/>
  <c r="B3282" i="2"/>
  <c r="A3282" i="2"/>
  <c r="E3281" i="2"/>
  <c r="D3281" i="2"/>
  <c r="C3281" i="2"/>
  <c r="B3281" i="2"/>
  <c r="A3281" i="2"/>
  <c r="E3280" i="2"/>
  <c r="D3280" i="2"/>
  <c r="C3280" i="2"/>
  <c r="B3280" i="2"/>
  <c r="A3280" i="2"/>
  <c r="E3279" i="2"/>
  <c r="D3279" i="2"/>
  <c r="C3279" i="2"/>
  <c r="B3279" i="2"/>
  <c r="A3279" i="2"/>
  <c r="E3278" i="2"/>
  <c r="D3278" i="2"/>
  <c r="C3278" i="2"/>
  <c r="B3278" i="2"/>
  <c r="A3278" i="2"/>
  <c r="E3277" i="2"/>
  <c r="D3277" i="2"/>
  <c r="C3277" i="2"/>
  <c r="B3277" i="2"/>
  <c r="A3277" i="2"/>
  <c r="E3276" i="2"/>
  <c r="D3276" i="2"/>
  <c r="C3276" i="2"/>
  <c r="B3276" i="2"/>
  <c r="A3276" i="2"/>
  <c r="E3275" i="2"/>
  <c r="D3275" i="2"/>
  <c r="C3275" i="2"/>
  <c r="B3275" i="2"/>
  <c r="A3275" i="2"/>
  <c r="E3274" i="2"/>
  <c r="D3274" i="2"/>
  <c r="C3274" i="2"/>
  <c r="B3274" i="2"/>
  <c r="A3274" i="2"/>
  <c r="E3273" i="2"/>
  <c r="D3273" i="2"/>
  <c r="C3273" i="2"/>
  <c r="B3273" i="2"/>
  <c r="A3273" i="2"/>
  <c r="E3272" i="2"/>
  <c r="D3272" i="2"/>
  <c r="C3272" i="2"/>
  <c r="B3272" i="2"/>
  <c r="A3272" i="2"/>
  <c r="E3271" i="2"/>
  <c r="D3271" i="2"/>
  <c r="C3271" i="2"/>
  <c r="B3271" i="2"/>
  <c r="A3271" i="2"/>
  <c r="E3270" i="2"/>
  <c r="D3270" i="2"/>
  <c r="C3270" i="2"/>
  <c r="B3270" i="2"/>
  <c r="A3270" i="2"/>
  <c r="E3269" i="2"/>
  <c r="D3269" i="2"/>
  <c r="C3269" i="2"/>
  <c r="B3269" i="2"/>
  <c r="A3269" i="2"/>
  <c r="E3268" i="2"/>
  <c r="D3268" i="2"/>
  <c r="C3268" i="2"/>
  <c r="B3268" i="2"/>
  <c r="A3268" i="2"/>
  <c r="E3267" i="2"/>
  <c r="D3267" i="2"/>
  <c r="C3267" i="2"/>
  <c r="B3267" i="2"/>
  <c r="A3267" i="2"/>
  <c r="E3266" i="2"/>
  <c r="D3266" i="2"/>
  <c r="C3266" i="2"/>
  <c r="B3266" i="2"/>
  <c r="A3266" i="2"/>
  <c r="E3265" i="2"/>
  <c r="D3265" i="2"/>
  <c r="C3265" i="2"/>
  <c r="B3265" i="2"/>
  <c r="A3265" i="2"/>
  <c r="E3264" i="2"/>
  <c r="D3264" i="2"/>
  <c r="C3264" i="2"/>
  <c r="B3264" i="2"/>
  <c r="A3264" i="2"/>
  <c r="E3263" i="2"/>
  <c r="D3263" i="2"/>
  <c r="C3263" i="2"/>
  <c r="B3263" i="2"/>
  <c r="A3263" i="2"/>
  <c r="E3262" i="2"/>
  <c r="D3262" i="2"/>
  <c r="C3262" i="2"/>
  <c r="B3262" i="2"/>
  <c r="A3262" i="2"/>
  <c r="E3261" i="2"/>
  <c r="D3261" i="2"/>
  <c r="C3261" i="2"/>
  <c r="B3261" i="2"/>
  <c r="A3261" i="2"/>
  <c r="E3260" i="2"/>
  <c r="D3260" i="2"/>
  <c r="C3260" i="2"/>
  <c r="B3260" i="2"/>
  <c r="A3260" i="2"/>
  <c r="E3259" i="2"/>
  <c r="D3259" i="2"/>
  <c r="C3259" i="2"/>
  <c r="B3259" i="2"/>
  <c r="A3259" i="2"/>
  <c r="E3258" i="2"/>
  <c r="D3258" i="2"/>
  <c r="C3258" i="2"/>
  <c r="B3258" i="2"/>
  <c r="A3258" i="2"/>
  <c r="E3257" i="2"/>
  <c r="D3257" i="2"/>
  <c r="C3257" i="2"/>
  <c r="B3257" i="2"/>
  <c r="A3257" i="2"/>
  <c r="E3256" i="2"/>
  <c r="D3256" i="2"/>
  <c r="C3256" i="2"/>
  <c r="B3256" i="2"/>
  <c r="A3256" i="2"/>
  <c r="E3255" i="2"/>
  <c r="D3255" i="2"/>
  <c r="C3255" i="2"/>
  <c r="B3255" i="2"/>
  <c r="A3255" i="2"/>
  <c r="E3254" i="2"/>
  <c r="D3254" i="2"/>
  <c r="C3254" i="2"/>
  <c r="B3254" i="2"/>
  <c r="A3254" i="2"/>
  <c r="E3253" i="2"/>
  <c r="D3253" i="2"/>
  <c r="C3253" i="2"/>
  <c r="B3253" i="2"/>
  <c r="A3253" i="2"/>
  <c r="E3252" i="2"/>
  <c r="D3252" i="2"/>
  <c r="C3252" i="2"/>
  <c r="B3252" i="2"/>
  <c r="A3252" i="2"/>
  <c r="E3251" i="2"/>
  <c r="D3251" i="2"/>
  <c r="C3251" i="2"/>
  <c r="B3251" i="2"/>
  <c r="A3251" i="2"/>
  <c r="E3250" i="2"/>
  <c r="D3250" i="2"/>
  <c r="C3250" i="2"/>
  <c r="B3250" i="2"/>
  <c r="A3250" i="2"/>
  <c r="E3249" i="2"/>
  <c r="D3249" i="2"/>
  <c r="C3249" i="2"/>
  <c r="B3249" i="2"/>
  <c r="A3249" i="2"/>
  <c r="E3248" i="2"/>
  <c r="D3248" i="2"/>
  <c r="C3248" i="2"/>
  <c r="B3248" i="2"/>
  <c r="A3248" i="2"/>
  <c r="E3247" i="2"/>
  <c r="D3247" i="2"/>
  <c r="C3247" i="2"/>
  <c r="B3247" i="2"/>
  <c r="A3247" i="2"/>
  <c r="E3246" i="2"/>
  <c r="D3246" i="2"/>
  <c r="C3246" i="2"/>
  <c r="B3246" i="2"/>
  <c r="A3246" i="2"/>
  <c r="E3245" i="2"/>
  <c r="D3245" i="2"/>
  <c r="C3245" i="2"/>
  <c r="B3245" i="2"/>
  <c r="A3245" i="2"/>
  <c r="E3244" i="2"/>
  <c r="D3244" i="2"/>
  <c r="C3244" i="2"/>
  <c r="B3244" i="2"/>
  <c r="A3244" i="2"/>
  <c r="E3243" i="2"/>
  <c r="D3243" i="2"/>
  <c r="C3243" i="2"/>
  <c r="B3243" i="2"/>
  <c r="A3243" i="2"/>
  <c r="E3242" i="2"/>
  <c r="D3242" i="2"/>
  <c r="C3242" i="2"/>
  <c r="B3242" i="2"/>
  <c r="A3242" i="2"/>
  <c r="E3241" i="2"/>
  <c r="D3241" i="2"/>
  <c r="C3241" i="2"/>
  <c r="B3241" i="2"/>
  <c r="A3241" i="2"/>
  <c r="E3240" i="2"/>
  <c r="D3240" i="2"/>
  <c r="C3240" i="2"/>
  <c r="B3240" i="2"/>
  <c r="A3240" i="2"/>
  <c r="E3239" i="2"/>
  <c r="D3239" i="2"/>
  <c r="C3239" i="2"/>
  <c r="B3239" i="2"/>
  <c r="A3239" i="2"/>
  <c r="E3238" i="2"/>
  <c r="D3238" i="2"/>
  <c r="C3238" i="2"/>
  <c r="B3238" i="2"/>
  <c r="A3238" i="2"/>
  <c r="E3237" i="2"/>
  <c r="D3237" i="2"/>
  <c r="C3237" i="2"/>
  <c r="B3237" i="2"/>
  <c r="A3237" i="2"/>
  <c r="E3236" i="2"/>
  <c r="D3236" i="2"/>
  <c r="C3236" i="2"/>
  <c r="B3236" i="2"/>
  <c r="A3236" i="2"/>
  <c r="E3235" i="2"/>
  <c r="D3235" i="2"/>
  <c r="C3235" i="2"/>
  <c r="B3235" i="2"/>
  <c r="A3235" i="2"/>
  <c r="E3234" i="2"/>
  <c r="D3234" i="2"/>
  <c r="C3234" i="2"/>
  <c r="B3234" i="2"/>
  <c r="A3234" i="2"/>
  <c r="E3233" i="2"/>
  <c r="D3233" i="2"/>
  <c r="C3233" i="2"/>
  <c r="B3233" i="2"/>
  <c r="A3233" i="2"/>
  <c r="E3232" i="2"/>
  <c r="D3232" i="2"/>
  <c r="C3232" i="2"/>
  <c r="B3232" i="2"/>
  <c r="A3232" i="2"/>
  <c r="E3231" i="2"/>
  <c r="D3231" i="2"/>
  <c r="C3231" i="2"/>
  <c r="B3231" i="2"/>
  <c r="A3231" i="2"/>
  <c r="E3230" i="2"/>
  <c r="D3230" i="2"/>
  <c r="C3230" i="2"/>
  <c r="B3230" i="2"/>
  <c r="A3230" i="2"/>
  <c r="E3229" i="2"/>
  <c r="D3229" i="2"/>
  <c r="C3229" i="2"/>
  <c r="B3229" i="2"/>
  <c r="A3229" i="2"/>
  <c r="E3228" i="2"/>
  <c r="D3228" i="2"/>
  <c r="C3228" i="2"/>
  <c r="B3228" i="2"/>
  <c r="A3228" i="2"/>
  <c r="E3227" i="2"/>
  <c r="D3227" i="2"/>
  <c r="C3227" i="2"/>
  <c r="B3227" i="2"/>
  <c r="A3227" i="2"/>
  <c r="E3226" i="2"/>
  <c r="D3226" i="2"/>
  <c r="C3226" i="2"/>
  <c r="B3226" i="2"/>
  <c r="A3226" i="2"/>
  <c r="E3225" i="2"/>
  <c r="D3225" i="2"/>
  <c r="C3225" i="2"/>
  <c r="B3225" i="2"/>
  <c r="A3225" i="2"/>
  <c r="E3224" i="2"/>
  <c r="D3224" i="2"/>
  <c r="C3224" i="2"/>
  <c r="B3224" i="2"/>
  <c r="A3224" i="2"/>
  <c r="E3223" i="2"/>
  <c r="D3223" i="2"/>
  <c r="C3223" i="2"/>
  <c r="B3223" i="2"/>
  <c r="A3223" i="2"/>
  <c r="E3222" i="2"/>
  <c r="D3222" i="2"/>
  <c r="C3222" i="2"/>
  <c r="B3222" i="2"/>
  <c r="A3222" i="2"/>
  <c r="E3221" i="2"/>
  <c r="D3221" i="2"/>
  <c r="C3221" i="2"/>
  <c r="B3221" i="2"/>
  <c r="A3221" i="2"/>
  <c r="E3220" i="2"/>
  <c r="D3220" i="2"/>
  <c r="C3220" i="2"/>
  <c r="B3220" i="2"/>
  <c r="A3220" i="2"/>
  <c r="E3219" i="2"/>
  <c r="D3219" i="2"/>
  <c r="C3219" i="2"/>
  <c r="B3219" i="2"/>
  <c r="A3219" i="2"/>
  <c r="E3218" i="2"/>
  <c r="D3218" i="2"/>
  <c r="C3218" i="2"/>
  <c r="B3218" i="2"/>
  <c r="A3218" i="2"/>
  <c r="E3217" i="2"/>
  <c r="D3217" i="2"/>
  <c r="C3217" i="2"/>
  <c r="B3217" i="2"/>
  <c r="A3217" i="2"/>
  <c r="E3216" i="2"/>
  <c r="D3216" i="2"/>
  <c r="C3216" i="2"/>
  <c r="B3216" i="2"/>
  <c r="A3216" i="2"/>
  <c r="E3215" i="2"/>
  <c r="D3215" i="2"/>
  <c r="C3215" i="2"/>
  <c r="B3215" i="2"/>
  <c r="A3215" i="2"/>
  <c r="E3214" i="2"/>
  <c r="D3214" i="2"/>
  <c r="C3214" i="2"/>
  <c r="B3214" i="2"/>
  <c r="A3214" i="2"/>
  <c r="E3213" i="2"/>
  <c r="D3213" i="2"/>
  <c r="C3213" i="2"/>
  <c r="B3213" i="2"/>
  <c r="A3213" i="2"/>
  <c r="E3212" i="2"/>
  <c r="D3212" i="2"/>
  <c r="C3212" i="2"/>
  <c r="B3212" i="2"/>
  <c r="A3212" i="2"/>
  <c r="E3211" i="2"/>
  <c r="D3211" i="2"/>
  <c r="C3211" i="2"/>
  <c r="B3211" i="2"/>
  <c r="A3211" i="2"/>
  <c r="E3210" i="2"/>
  <c r="D3210" i="2"/>
  <c r="C3210" i="2"/>
  <c r="B3210" i="2"/>
  <c r="A3210" i="2"/>
  <c r="E3209" i="2"/>
  <c r="D3209" i="2"/>
  <c r="C3209" i="2"/>
  <c r="B3209" i="2"/>
  <c r="A3209" i="2"/>
  <c r="E3208" i="2"/>
  <c r="D3208" i="2"/>
  <c r="C3208" i="2"/>
  <c r="B3208" i="2"/>
  <c r="A3208" i="2"/>
  <c r="E3207" i="2"/>
  <c r="D3207" i="2"/>
  <c r="C3207" i="2"/>
  <c r="B3207" i="2"/>
  <c r="A3207" i="2"/>
  <c r="E3206" i="2"/>
  <c r="D3206" i="2"/>
  <c r="C3206" i="2"/>
  <c r="B3206" i="2"/>
  <c r="A3206" i="2"/>
  <c r="E3205" i="2"/>
  <c r="D3205" i="2"/>
  <c r="C3205" i="2"/>
  <c r="B3205" i="2"/>
  <c r="A3205" i="2"/>
  <c r="E3204" i="2"/>
  <c r="D3204" i="2"/>
  <c r="C3204" i="2"/>
  <c r="B3204" i="2"/>
  <c r="A3204" i="2"/>
  <c r="E3203" i="2"/>
  <c r="D3203" i="2"/>
  <c r="C3203" i="2"/>
  <c r="B3203" i="2"/>
  <c r="A3203" i="2"/>
  <c r="E3202" i="2"/>
  <c r="D3202" i="2"/>
  <c r="C3202" i="2"/>
  <c r="B3202" i="2"/>
  <c r="A3202" i="2"/>
  <c r="E3201" i="2"/>
  <c r="D3201" i="2"/>
  <c r="C3201" i="2"/>
  <c r="B3201" i="2"/>
  <c r="A3201" i="2"/>
  <c r="E3200" i="2"/>
  <c r="D3200" i="2"/>
  <c r="C3200" i="2"/>
  <c r="B3200" i="2"/>
  <c r="A3200" i="2"/>
  <c r="E3199" i="2"/>
  <c r="D3199" i="2"/>
  <c r="C3199" i="2"/>
  <c r="B3199" i="2"/>
  <c r="A3199" i="2"/>
  <c r="E3198" i="2"/>
  <c r="D3198" i="2"/>
  <c r="C3198" i="2"/>
  <c r="B3198" i="2"/>
  <c r="A3198" i="2"/>
  <c r="E3197" i="2"/>
  <c r="D3197" i="2"/>
  <c r="C3197" i="2"/>
  <c r="B3197" i="2"/>
  <c r="A3197" i="2"/>
  <c r="E3196" i="2"/>
  <c r="D3196" i="2"/>
  <c r="C3196" i="2"/>
  <c r="B3196" i="2"/>
  <c r="A3196" i="2"/>
  <c r="E3195" i="2"/>
  <c r="D3195" i="2"/>
  <c r="C3195" i="2"/>
  <c r="B3195" i="2"/>
  <c r="A3195" i="2"/>
  <c r="E3194" i="2"/>
  <c r="D3194" i="2"/>
  <c r="C3194" i="2"/>
  <c r="B3194" i="2"/>
  <c r="A3194" i="2"/>
  <c r="E3193" i="2"/>
  <c r="D3193" i="2"/>
  <c r="C3193" i="2"/>
  <c r="B3193" i="2"/>
  <c r="A3193" i="2"/>
  <c r="E3192" i="2"/>
  <c r="D3192" i="2"/>
  <c r="C3192" i="2"/>
  <c r="B3192" i="2"/>
  <c r="A3192" i="2"/>
  <c r="E3191" i="2"/>
  <c r="D3191" i="2"/>
  <c r="C3191" i="2"/>
  <c r="B3191" i="2"/>
  <c r="A3191" i="2"/>
  <c r="E3190" i="2"/>
  <c r="D3190" i="2"/>
  <c r="C3190" i="2"/>
  <c r="B3190" i="2"/>
  <c r="A3190" i="2"/>
  <c r="E3189" i="2"/>
  <c r="D3189" i="2"/>
  <c r="C3189" i="2"/>
  <c r="B3189" i="2"/>
  <c r="A3189" i="2"/>
  <c r="E3188" i="2"/>
  <c r="D3188" i="2"/>
  <c r="C3188" i="2"/>
  <c r="B3188" i="2"/>
  <c r="A3188" i="2"/>
  <c r="E3187" i="2"/>
  <c r="D3187" i="2"/>
  <c r="C3187" i="2"/>
  <c r="B3187" i="2"/>
  <c r="A3187" i="2"/>
  <c r="E3186" i="2"/>
  <c r="D3186" i="2"/>
  <c r="C3186" i="2"/>
  <c r="B3186" i="2"/>
  <c r="A3186" i="2"/>
  <c r="E3185" i="2"/>
  <c r="D3185" i="2"/>
  <c r="C3185" i="2"/>
  <c r="B3185" i="2"/>
  <c r="A3185" i="2"/>
  <c r="E3184" i="2"/>
  <c r="D3184" i="2"/>
  <c r="C3184" i="2"/>
  <c r="B3184" i="2"/>
  <c r="A3184" i="2"/>
  <c r="E3183" i="2"/>
  <c r="D3183" i="2"/>
  <c r="C3183" i="2"/>
  <c r="B3183" i="2"/>
  <c r="A3183" i="2"/>
  <c r="E3182" i="2"/>
  <c r="D3182" i="2"/>
  <c r="C3182" i="2"/>
  <c r="B3182" i="2"/>
  <c r="A3182" i="2"/>
  <c r="E3181" i="2"/>
  <c r="D3181" i="2"/>
  <c r="C3181" i="2"/>
  <c r="B3181" i="2"/>
  <c r="A3181" i="2"/>
  <c r="E3180" i="2"/>
  <c r="D3180" i="2"/>
  <c r="C3180" i="2"/>
  <c r="B3180" i="2"/>
  <c r="A3180" i="2"/>
  <c r="E3179" i="2"/>
  <c r="D3179" i="2"/>
  <c r="C3179" i="2"/>
  <c r="B3179" i="2"/>
  <c r="A3179" i="2"/>
  <c r="E3178" i="2"/>
  <c r="D3178" i="2"/>
  <c r="C3178" i="2"/>
  <c r="B3178" i="2"/>
  <c r="A3178" i="2"/>
  <c r="E3177" i="2"/>
  <c r="D3177" i="2"/>
  <c r="C3177" i="2"/>
  <c r="B3177" i="2"/>
  <c r="A3177" i="2"/>
  <c r="E3176" i="2"/>
  <c r="D3176" i="2"/>
  <c r="C3176" i="2"/>
  <c r="B3176" i="2"/>
  <c r="A3176" i="2"/>
  <c r="E3175" i="2"/>
  <c r="D3175" i="2"/>
  <c r="C3175" i="2"/>
  <c r="B3175" i="2"/>
  <c r="A3175" i="2"/>
  <c r="E3174" i="2"/>
  <c r="D3174" i="2"/>
  <c r="C3174" i="2"/>
  <c r="B3174" i="2"/>
  <c r="A3174" i="2"/>
  <c r="E3173" i="2"/>
  <c r="D3173" i="2"/>
  <c r="C3173" i="2"/>
  <c r="B3173" i="2"/>
  <c r="A3173" i="2"/>
  <c r="E3172" i="2"/>
  <c r="D3172" i="2"/>
  <c r="C3172" i="2"/>
  <c r="B3172" i="2"/>
  <c r="A3172" i="2"/>
  <c r="E3171" i="2"/>
  <c r="D3171" i="2"/>
  <c r="C3171" i="2"/>
  <c r="B3171" i="2"/>
  <c r="A3171" i="2"/>
  <c r="E3170" i="2"/>
  <c r="D3170" i="2"/>
  <c r="C3170" i="2"/>
  <c r="B3170" i="2"/>
  <c r="A3170" i="2"/>
  <c r="E3169" i="2"/>
  <c r="D3169" i="2"/>
  <c r="C3169" i="2"/>
  <c r="B3169" i="2"/>
  <c r="A3169" i="2"/>
  <c r="E3168" i="2"/>
  <c r="D3168" i="2"/>
  <c r="C3168" i="2"/>
  <c r="B3168" i="2"/>
  <c r="A3168" i="2"/>
  <c r="E3167" i="2"/>
  <c r="D3167" i="2"/>
  <c r="C3167" i="2"/>
  <c r="B3167" i="2"/>
  <c r="A3167" i="2"/>
  <c r="E3166" i="2"/>
  <c r="D3166" i="2"/>
  <c r="C3166" i="2"/>
  <c r="B3166" i="2"/>
  <c r="A3166" i="2"/>
  <c r="E3165" i="2"/>
  <c r="D3165" i="2"/>
  <c r="C3165" i="2"/>
  <c r="B3165" i="2"/>
  <c r="A3165" i="2"/>
  <c r="E3164" i="2"/>
  <c r="D3164" i="2"/>
  <c r="C3164" i="2"/>
  <c r="B3164" i="2"/>
  <c r="A3164" i="2"/>
  <c r="E3163" i="2"/>
  <c r="D3163" i="2"/>
  <c r="C3163" i="2"/>
  <c r="B3163" i="2"/>
  <c r="A3163" i="2"/>
  <c r="E3162" i="2"/>
  <c r="D3162" i="2"/>
  <c r="C3162" i="2"/>
  <c r="B3162" i="2"/>
  <c r="A3162" i="2"/>
  <c r="E3161" i="2"/>
  <c r="D3161" i="2"/>
  <c r="C3161" i="2"/>
  <c r="B3161" i="2"/>
  <c r="A3161" i="2"/>
  <c r="E3160" i="2"/>
  <c r="D3160" i="2"/>
  <c r="C3160" i="2"/>
  <c r="B3160" i="2"/>
  <c r="A3160" i="2"/>
  <c r="E3159" i="2"/>
  <c r="D3159" i="2"/>
  <c r="C3159" i="2"/>
  <c r="B3159" i="2"/>
  <c r="A3159" i="2"/>
  <c r="E3158" i="2"/>
  <c r="D3158" i="2"/>
  <c r="C3158" i="2"/>
  <c r="B3158" i="2"/>
  <c r="A3158" i="2"/>
  <c r="E3157" i="2"/>
  <c r="D3157" i="2"/>
  <c r="C3157" i="2"/>
  <c r="B3157" i="2"/>
  <c r="A3157" i="2"/>
  <c r="E3156" i="2"/>
  <c r="D3156" i="2"/>
  <c r="C3156" i="2"/>
  <c r="B3156" i="2"/>
  <c r="A3156" i="2"/>
  <c r="E3155" i="2"/>
  <c r="D3155" i="2"/>
  <c r="C3155" i="2"/>
  <c r="B3155" i="2"/>
  <c r="A3155" i="2"/>
  <c r="E3154" i="2"/>
  <c r="D3154" i="2"/>
  <c r="C3154" i="2"/>
  <c r="B3154" i="2"/>
  <c r="A3154" i="2"/>
  <c r="E3153" i="2"/>
  <c r="D3153" i="2"/>
  <c r="C3153" i="2"/>
  <c r="B3153" i="2"/>
  <c r="A3153" i="2"/>
  <c r="E3152" i="2"/>
  <c r="D3152" i="2"/>
  <c r="C3152" i="2"/>
  <c r="B3152" i="2"/>
  <c r="A3152" i="2"/>
  <c r="E3151" i="2"/>
  <c r="D3151" i="2"/>
  <c r="C3151" i="2"/>
  <c r="B3151" i="2"/>
  <c r="A3151" i="2"/>
  <c r="E3150" i="2"/>
  <c r="D3150" i="2"/>
  <c r="C3150" i="2"/>
  <c r="B3150" i="2"/>
  <c r="A3150" i="2"/>
  <c r="E3149" i="2"/>
  <c r="D3149" i="2"/>
  <c r="C3149" i="2"/>
  <c r="B3149" i="2"/>
  <c r="A3149" i="2"/>
  <c r="E3148" i="2"/>
  <c r="D3148" i="2"/>
  <c r="C3148" i="2"/>
  <c r="B3148" i="2"/>
  <c r="A3148" i="2"/>
  <c r="E3147" i="2"/>
  <c r="D3147" i="2"/>
  <c r="C3147" i="2"/>
  <c r="B3147" i="2"/>
  <c r="A3147" i="2"/>
  <c r="E3146" i="2"/>
  <c r="D3146" i="2"/>
  <c r="C3146" i="2"/>
  <c r="B3146" i="2"/>
  <c r="A3146" i="2"/>
  <c r="E3145" i="2"/>
  <c r="D3145" i="2"/>
  <c r="C3145" i="2"/>
  <c r="B3145" i="2"/>
  <c r="A3145" i="2"/>
  <c r="E3144" i="2"/>
  <c r="D3144" i="2"/>
  <c r="C3144" i="2"/>
  <c r="B3144" i="2"/>
  <c r="A3144" i="2"/>
  <c r="E3143" i="2"/>
  <c r="D3143" i="2"/>
  <c r="C3143" i="2"/>
  <c r="B3143" i="2"/>
  <c r="A3143" i="2"/>
  <c r="E3142" i="2"/>
  <c r="D3142" i="2"/>
  <c r="C3142" i="2"/>
  <c r="B3142" i="2"/>
  <c r="A3142" i="2"/>
  <c r="E3141" i="2"/>
  <c r="D3141" i="2"/>
  <c r="C3141" i="2"/>
  <c r="B3141" i="2"/>
  <c r="A3141" i="2"/>
  <c r="E3140" i="2"/>
  <c r="D3140" i="2"/>
  <c r="C3140" i="2"/>
  <c r="B3140" i="2"/>
  <c r="A3140" i="2"/>
  <c r="E3139" i="2"/>
  <c r="D3139" i="2"/>
  <c r="C3139" i="2"/>
  <c r="B3139" i="2"/>
  <c r="A3139" i="2"/>
  <c r="E3138" i="2"/>
  <c r="D3138" i="2"/>
  <c r="C3138" i="2"/>
  <c r="B3138" i="2"/>
  <c r="A3138" i="2"/>
  <c r="E3137" i="2"/>
  <c r="D3137" i="2"/>
  <c r="C3137" i="2"/>
  <c r="B3137" i="2"/>
  <c r="A3137" i="2"/>
  <c r="E3136" i="2"/>
  <c r="D3136" i="2"/>
  <c r="C3136" i="2"/>
  <c r="B3136" i="2"/>
  <c r="A3136" i="2"/>
  <c r="E3135" i="2"/>
  <c r="D3135" i="2"/>
  <c r="C3135" i="2"/>
  <c r="B3135" i="2"/>
  <c r="A3135" i="2"/>
  <c r="E3134" i="2"/>
  <c r="D3134" i="2"/>
  <c r="C3134" i="2"/>
  <c r="B3134" i="2"/>
  <c r="A3134" i="2"/>
  <c r="E3133" i="2"/>
  <c r="D3133" i="2"/>
  <c r="C3133" i="2"/>
  <c r="B3133" i="2"/>
  <c r="A3133" i="2"/>
  <c r="E3132" i="2"/>
  <c r="D3132" i="2"/>
  <c r="C3132" i="2"/>
  <c r="B3132" i="2"/>
  <c r="A3132" i="2"/>
  <c r="E3131" i="2"/>
  <c r="D3131" i="2"/>
  <c r="C3131" i="2"/>
  <c r="B3131" i="2"/>
  <c r="A3131" i="2"/>
  <c r="E3130" i="2"/>
  <c r="D3130" i="2"/>
  <c r="C3130" i="2"/>
  <c r="B3130" i="2"/>
  <c r="A3130" i="2"/>
  <c r="E3129" i="2"/>
  <c r="D3129" i="2"/>
  <c r="C3129" i="2"/>
  <c r="B3129" i="2"/>
  <c r="A3129" i="2"/>
  <c r="E3128" i="2"/>
  <c r="D3128" i="2"/>
  <c r="C3128" i="2"/>
  <c r="B3128" i="2"/>
  <c r="A3128" i="2"/>
  <c r="E3127" i="2"/>
  <c r="D3127" i="2"/>
  <c r="C3127" i="2"/>
  <c r="B3127" i="2"/>
  <c r="A3127" i="2"/>
  <c r="E3126" i="2"/>
  <c r="D3126" i="2"/>
  <c r="C3126" i="2"/>
  <c r="B3126" i="2"/>
  <c r="A3126" i="2"/>
  <c r="E3125" i="2"/>
  <c r="D3125" i="2"/>
  <c r="C3125" i="2"/>
  <c r="B3125" i="2"/>
  <c r="A3125" i="2"/>
  <c r="E3124" i="2"/>
  <c r="D3124" i="2"/>
  <c r="C3124" i="2"/>
  <c r="B3124" i="2"/>
  <c r="A3124" i="2"/>
  <c r="E3123" i="2"/>
  <c r="D3123" i="2"/>
  <c r="C3123" i="2"/>
  <c r="B3123" i="2"/>
  <c r="A3123" i="2"/>
  <c r="E3122" i="2"/>
  <c r="D3122" i="2"/>
  <c r="C3122" i="2"/>
  <c r="B3122" i="2"/>
  <c r="A3122" i="2"/>
  <c r="E3121" i="2"/>
  <c r="D3121" i="2"/>
  <c r="C3121" i="2"/>
  <c r="B3121" i="2"/>
  <c r="A3121" i="2"/>
  <c r="E3120" i="2"/>
  <c r="D3120" i="2"/>
  <c r="C3120" i="2"/>
  <c r="B3120" i="2"/>
  <c r="A3120" i="2"/>
  <c r="E3119" i="2"/>
  <c r="D3119" i="2"/>
  <c r="C3119" i="2"/>
  <c r="B3119" i="2"/>
  <c r="A3119" i="2"/>
  <c r="E3118" i="2"/>
  <c r="D3118" i="2"/>
  <c r="C3118" i="2"/>
  <c r="B3118" i="2"/>
  <c r="A3118" i="2"/>
  <c r="E3117" i="2"/>
  <c r="D3117" i="2"/>
  <c r="C3117" i="2"/>
  <c r="B3117" i="2"/>
  <c r="A3117" i="2"/>
  <c r="E3116" i="2"/>
  <c r="D3116" i="2"/>
  <c r="C3116" i="2"/>
  <c r="B3116" i="2"/>
  <c r="A3116" i="2"/>
  <c r="E3115" i="2"/>
  <c r="D3115" i="2"/>
  <c r="C3115" i="2"/>
  <c r="B3115" i="2"/>
  <c r="A3115" i="2"/>
  <c r="E3114" i="2"/>
  <c r="D3114" i="2"/>
  <c r="C3114" i="2"/>
  <c r="B3114" i="2"/>
  <c r="A3114" i="2"/>
  <c r="E3113" i="2"/>
  <c r="D3113" i="2"/>
  <c r="C3113" i="2"/>
  <c r="B3113" i="2"/>
  <c r="A3113" i="2"/>
  <c r="E3112" i="2"/>
  <c r="D3112" i="2"/>
  <c r="C3112" i="2"/>
  <c r="B3112" i="2"/>
  <c r="A3112" i="2"/>
  <c r="E3111" i="2"/>
  <c r="D3111" i="2"/>
  <c r="C3111" i="2"/>
  <c r="B3111" i="2"/>
  <c r="A3111" i="2"/>
  <c r="E3110" i="2"/>
  <c r="D3110" i="2"/>
  <c r="C3110" i="2"/>
  <c r="B3110" i="2"/>
  <c r="A3110" i="2"/>
  <c r="E3109" i="2"/>
  <c r="D3109" i="2"/>
  <c r="C3109" i="2"/>
  <c r="B3109" i="2"/>
  <c r="A3109" i="2"/>
  <c r="E3108" i="2"/>
  <c r="D3108" i="2"/>
  <c r="C3108" i="2"/>
  <c r="B3108" i="2"/>
  <c r="A3108" i="2"/>
  <c r="E3107" i="2"/>
  <c r="D3107" i="2"/>
  <c r="C3107" i="2"/>
  <c r="B3107" i="2"/>
  <c r="A3107" i="2"/>
  <c r="E3106" i="2"/>
  <c r="D3106" i="2"/>
  <c r="C3106" i="2"/>
  <c r="B3106" i="2"/>
  <c r="A3106" i="2"/>
  <c r="E3105" i="2"/>
  <c r="D3105" i="2"/>
  <c r="C3105" i="2"/>
  <c r="B3105" i="2"/>
  <c r="A3105" i="2"/>
  <c r="E3104" i="2"/>
  <c r="D3104" i="2"/>
  <c r="C3104" i="2"/>
  <c r="B3104" i="2"/>
  <c r="A3104" i="2"/>
  <c r="E3103" i="2"/>
  <c r="D3103" i="2"/>
  <c r="C3103" i="2"/>
  <c r="B3103" i="2"/>
  <c r="A3103" i="2"/>
  <c r="E3102" i="2"/>
  <c r="D3102" i="2"/>
  <c r="C3102" i="2"/>
  <c r="B3102" i="2"/>
  <c r="A3102" i="2"/>
  <c r="E3101" i="2"/>
  <c r="D3101" i="2"/>
  <c r="C3101" i="2"/>
  <c r="B3101" i="2"/>
  <c r="A3101" i="2"/>
  <c r="E3100" i="2"/>
  <c r="D3100" i="2"/>
  <c r="C3100" i="2"/>
  <c r="B3100" i="2"/>
  <c r="A3100" i="2"/>
  <c r="E3099" i="2"/>
  <c r="D3099" i="2"/>
  <c r="C3099" i="2"/>
  <c r="B3099" i="2"/>
  <c r="A3099" i="2"/>
  <c r="E3098" i="2"/>
  <c r="D3098" i="2"/>
  <c r="C3098" i="2"/>
  <c r="B3098" i="2"/>
  <c r="A3098" i="2"/>
  <c r="E3097" i="2"/>
  <c r="D3097" i="2"/>
  <c r="C3097" i="2"/>
  <c r="B3097" i="2"/>
  <c r="A3097" i="2"/>
  <c r="E3096" i="2"/>
  <c r="D3096" i="2"/>
  <c r="C3096" i="2"/>
  <c r="B3096" i="2"/>
  <c r="A3096" i="2"/>
  <c r="E3095" i="2"/>
  <c r="D3095" i="2"/>
  <c r="C3095" i="2"/>
  <c r="B3095" i="2"/>
  <c r="A3095" i="2"/>
  <c r="E3094" i="2"/>
  <c r="D3094" i="2"/>
  <c r="C3094" i="2"/>
  <c r="B3094" i="2"/>
  <c r="A3094" i="2"/>
  <c r="E3093" i="2"/>
  <c r="D3093" i="2"/>
  <c r="C3093" i="2"/>
  <c r="B3093" i="2"/>
  <c r="A3093" i="2"/>
  <c r="E3092" i="2"/>
  <c r="D3092" i="2"/>
  <c r="C3092" i="2"/>
  <c r="B3092" i="2"/>
  <c r="A3092" i="2"/>
  <c r="E3091" i="2"/>
  <c r="D3091" i="2"/>
  <c r="C3091" i="2"/>
  <c r="B3091" i="2"/>
  <c r="A3091" i="2"/>
  <c r="E3090" i="2"/>
  <c r="D3090" i="2"/>
  <c r="C3090" i="2"/>
  <c r="B3090" i="2"/>
  <c r="A3090" i="2"/>
  <c r="E3089" i="2"/>
  <c r="D3089" i="2"/>
  <c r="C3089" i="2"/>
  <c r="B3089" i="2"/>
  <c r="A3089" i="2"/>
  <c r="E3088" i="2"/>
  <c r="D3088" i="2"/>
  <c r="C3088" i="2"/>
  <c r="B3088" i="2"/>
  <c r="A3088" i="2"/>
  <c r="E3087" i="2"/>
  <c r="D3087" i="2"/>
  <c r="C3087" i="2"/>
  <c r="B3087" i="2"/>
  <c r="A3087" i="2"/>
  <c r="E3086" i="2"/>
  <c r="D3086" i="2"/>
  <c r="C3086" i="2"/>
  <c r="B3086" i="2"/>
  <c r="A3086" i="2"/>
  <c r="E3085" i="2"/>
  <c r="D3085" i="2"/>
  <c r="C3085" i="2"/>
  <c r="B3085" i="2"/>
  <c r="A3085" i="2"/>
  <c r="E3084" i="2"/>
  <c r="D3084" i="2"/>
  <c r="C3084" i="2"/>
  <c r="B3084" i="2"/>
  <c r="A3084" i="2"/>
  <c r="E3083" i="2"/>
  <c r="D3083" i="2"/>
  <c r="C3083" i="2"/>
  <c r="B3083" i="2"/>
  <c r="A3083" i="2"/>
  <c r="E3082" i="2"/>
  <c r="D3082" i="2"/>
  <c r="C3082" i="2"/>
  <c r="B3082" i="2"/>
  <c r="A3082" i="2"/>
  <c r="E3081" i="2"/>
  <c r="D3081" i="2"/>
  <c r="C3081" i="2"/>
  <c r="B3081" i="2"/>
  <c r="A3081" i="2"/>
  <c r="E3080" i="2"/>
  <c r="D3080" i="2"/>
  <c r="C3080" i="2"/>
  <c r="B3080" i="2"/>
  <c r="A3080" i="2"/>
  <c r="E3079" i="2"/>
  <c r="D3079" i="2"/>
  <c r="C3079" i="2"/>
  <c r="B3079" i="2"/>
  <c r="A3079" i="2"/>
  <c r="E3078" i="2"/>
  <c r="D3078" i="2"/>
  <c r="C3078" i="2"/>
  <c r="B3078" i="2"/>
  <c r="A3078" i="2"/>
  <c r="E3077" i="2"/>
  <c r="D3077" i="2"/>
  <c r="C3077" i="2"/>
  <c r="B3077" i="2"/>
  <c r="A3077" i="2"/>
  <c r="E3076" i="2"/>
  <c r="D3076" i="2"/>
  <c r="C3076" i="2"/>
  <c r="B3076" i="2"/>
  <c r="A3076" i="2"/>
  <c r="E3075" i="2"/>
  <c r="D3075" i="2"/>
  <c r="C3075" i="2"/>
  <c r="B3075" i="2"/>
  <c r="A3075" i="2"/>
  <c r="E3074" i="2"/>
  <c r="D3074" i="2"/>
  <c r="C3074" i="2"/>
  <c r="B3074" i="2"/>
  <c r="A3074" i="2"/>
  <c r="E3073" i="2"/>
  <c r="D3073" i="2"/>
  <c r="C3073" i="2"/>
  <c r="B3073" i="2"/>
  <c r="A3073" i="2"/>
  <c r="E3072" i="2"/>
  <c r="D3072" i="2"/>
  <c r="C3072" i="2"/>
  <c r="B3072" i="2"/>
  <c r="A3072" i="2"/>
  <c r="E3071" i="2"/>
  <c r="D3071" i="2"/>
  <c r="C3071" i="2"/>
  <c r="B3071" i="2"/>
  <c r="A3071" i="2"/>
  <c r="E3070" i="2"/>
  <c r="D3070" i="2"/>
  <c r="C3070" i="2"/>
  <c r="B3070" i="2"/>
  <c r="A3070" i="2"/>
  <c r="E3069" i="2"/>
  <c r="D3069" i="2"/>
  <c r="C3069" i="2"/>
  <c r="B3069" i="2"/>
  <c r="A3069" i="2"/>
  <c r="E3068" i="2"/>
  <c r="D3068" i="2"/>
  <c r="C3068" i="2"/>
  <c r="B3068" i="2"/>
  <c r="A3068" i="2"/>
  <c r="E3067" i="2"/>
  <c r="D3067" i="2"/>
  <c r="C3067" i="2"/>
  <c r="B3067" i="2"/>
  <c r="A3067" i="2"/>
  <c r="E3066" i="2"/>
  <c r="D3066" i="2"/>
  <c r="C3066" i="2"/>
  <c r="B3066" i="2"/>
  <c r="A3066" i="2"/>
  <c r="E3065" i="2"/>
  <c r="D3065" i="2"/>
  <c r="C3065" i="2"/>
  <c r="B3065" i="2"/>
  <c r="A3065" i="2"/>
  <c r="E3064" i="2"/>
  <c r="D3064" i="2"/>
  <c r="C3064" i="2"/>
  <c r="B3064" i="2"/>
  <c r="A3064" i="2"/>
  <c r="E3063" i="2"/>
  <c r="D3063" i="2"/>
  <c r="C3063" i="2"/>
  <c r="B3063" i="2"/>
  <c r="A3063" i="2"/>
  <c r="E3062" i="2"/>
  <c r="D3062" i="2"/>
  <c r="C3062" i="2"/>
  <c r="B3062" i="2"/>
  <c r="A3062" i="2"/>
  <c r="E3061" i="2"/>
  <c r="D3061" i="2"/>
  <c r="C3061" i="2"/>
  <c r="B3061" i="2"/>
  <c r="A3061" i="2"/>
  <c r="E3060" i="2"/>
  <c r="D3060" i="2"/>
  <c r="C3060" i="2"/>
  <c r="B3060" i="2"/>
  <c r="A3060" i="2"/>
  <c r="E3059" i="2"/>
  <c r="D3059" i="2"/>
  <c r="C3059" i="2"/>
  <c r="B3059" i="2"/>
  <c r="A3059" i="2"/>
  <c r="E3058" i="2"/>
  <c r="D3058" i="2"/>
  <c r="C3058" i="2"/>
  <c r="B3058" i="2"/>
  <c r="A3058" i="2"/>
  <c r="E3057" i="2"/>
  <c r="D3057" i="2"/>
  <c r="C3057" i="2"/>
  <c r="B3057" i="2"/>
  <c r="A3057" i="2"/>
  <c r="E3056" i="2"/>
  <c r="D3056" i="2"/>
  <c r="C3056" i="2"/>
  <c r="B3056" i="2"/>
  <c r="A3056" i="2"/>
  <c r="E3055" i="2"/>
  <c r="D3055" i="2"/>
  <c r="C3055" i="2"/>
  <c r="B3055" i="2"/>
  <c r="A3055" i="2"/>
  <c r="E3054" i="2"/>
  <c r="D3054" i="2"/>
  <c r="C3054" i="2"/>
  <c r="B3054" i="2"/>
  <c r="A3054" i="2"/>
  <c r="E3053" i="2"/>
  <c r="D3053" i="2"/>
  <c r="C3053" i="2"/>
  <c r="B3053" i="2"/>
  <c r="A3053" i="2"/>
  <c r="E3052" i="2"/>
  <c r="D3052" i="2"/>
  <c r="C3052" i="2"/>
  <c r="B3052" i="2"/>
  <c r="A3052" i="2"/>
  <c r="E3051" i="2"/>
  <c r="D3051" i="2"/>
  <c r="C3051" i="2"/>
  <c r="B3051" i="2"/>
  <c r="A3051" i="2"/>
  <c r="E3050" i="2"/>
  <c r="D3050" i="2"/>
  <c r="C3050" i="2"/>
  <c r="B3050" i="2"/>
  <c r="A3050" i="2"/>
  <c r="E3049" i="2"/>
  <c r="D3049" i="2"/>
  <c r="C3049" i="2"/>
  <c r="B3049" i="2"/>
  <c r="A3049" i="2"/>
  <c r="E3048" i="2"/>
  <c r="D3048" i="2"/>
  <c r="C3048" i="2"/>
  <c r="B3048" i="2"/>
  <c r="A3048" i="2"/>
  <c r="E3047" i="2"/>
  <c r="D3047" i="2"/>
  <c r="C3047" i="2"/>
  <c r="B3047" i="2"/>
  <c r="A3047" i="2"/>
  <c r="E3046" i="2"/>
  <c r="D3046" i="2"/>
  <c r="C3046" i="2"/>
  <c r="B3046" i="2"/>
  <c r="A3046" i="2"/>
  <c r="E3045" i="2"/>
  <c r="D3045" i="2"/>
  <c r="C3045" i="2"/>
  <c r="B3045" i="2"/>
  <c r="A3045" i="2"/>
  <c r="E3044" i="2"/>
  <c r="D3044" i="2"/>
  <c r="C3044" i="2"/>
  <c r="B3044" i="2"/>
  <c r="A3044" i="2"/>
  <c r="E3043" i="2"/>
  <c r="D3043" i="2"/>
  <c r="C3043" i="2"/>
  <c r="B3043" i="2"/>
  <c r="A3043" i="2"/>
  <c r="E3042" i="2"/>
  <c r="D3042" i="2"/>
  <c r="C3042" i="2"/>
  <c r="B3042" i="2"/>
  <c r="A3042" i="2"/>
  <c r="E3041" i="2"/>
  <c r="D3041" i="2"/>
  <c r="C3041" i="2"/>
  <c r="B3041" i="2"/>
  <c r="A3041" i="2"/>
  <c r="E3040" i="2"/>
  <c r="D3040" i="2"/>
  <c r="C3040" i="2"/>
  <c r="B3040" i="2"/>
  <c r="A3040" i="2"/>
  <c r="E3039" i="2"/>
  <c r="D3039" i="2"/>
  <c r="C3039" i="2"/>
  <c r="B3039" i="2"/>
  <c r="A3039" i="2"/>
  <c r="E3038" i="2"/>
  <c r="D3038" i="2"/>
  <c r="C3038" i="2"/>
  <c r="B3038" i="2"/>
  <c r="A3038" i="2"/>
  <c r="E3037" i="2"/>
  <c r="D3037" i="2"/>
  <c r="C3037" i="2"/>
  <c r="B3037" i="2"/>
  <c r="A3037" i="2"/>
  <c r="E3036" i="2"/>
  <c r="D3036" i="2"/>
  <c r="C3036" i="2"/>
  <c r="B3036" i="2"/>
  <c r="A3036" i="2"/>
  <c r="E3035" i="2"/>
  <c r="D3035" i="2"/>
  <c r="C3035" i="2"/>
  <c r="B3035" i="2"/>
  <c r="A3035" i="2"/>
  <c r="E3034" i="2"/>
  <c r="D3034" i="2"/>
  <c r="C3034" i="2"/>
  <c r="B3034" i="2"/>
  <c r="A3034" i="2"/>
  <c r="E3033" i="2"/>
  <c r="D3033" i="2"/>
  <c r="C3033" i="2"/>
  <c r="B3033" i="2"/>
  <c r="A3033" i="2"/>
  <c r="E3032" i="2"/>
  <c r="D3032" i="2"/>
  <c r="C3032" i="2"/>
  <c r="B3032" i="2"/>
  <c r="A3032" i="2"/>
  <c r="E3031" i="2"/>
  <c r="D3031" i="2"/>
  <c r="C3031" i="2"/>
  <c r="B3031" i="2"/>
  <c r="A3031" i="2"/>
  <c r="E3030" i="2"/>
  <c r="D3030" i="2"/>
  <c r="C3030" i="2"/>
  <c r="B3030" i="2"/>
  <c r="A3030" i="2"/>
  <c r="E3029" i="2"/>
  <c r="D3029" i="2"/>
  <c r="C3029" i="2"/>
  <c r="B3029" i="2"/>
  <c r="A3029" i="2"/>
  <c r="E3028" i="2"/>
  <c r="D3028" i="2"/>
  <c r="C3028" i="2"/>
  <c r="B3028" i="2"/>
  <c r="A3028" i="2"/>
  <c r="E3027" i="2"/>
  <c r="D3027" i="2"/>
  <c r="C3027" i="2"/>
  <c r="B3027" i="2"/>
  <c r="A3027" i="2"/>
  <c r="E3026" i="2"/>
  <c r="D3026" i="2"/>
  <c r="C3026" i="2"/>
  <c r="B3026" i="2"/>
  <c r="A3026" i="2"/>
  <c r="E3025" i="2"/>
  <c r="D3025" i="2"/>
  <c r="C3025" i="2"/>
  <c r="B3025" i="2"/>
  <c r="A3025" i="2"/>
  <c r="E3024" i="2"/>
  <c r="D3024" i="2"/>
  <c r="C3024" i="2"/>
  <c r="B3024" i="2"/>
  <c r="A3024" i="2"/>
  <c r="E3023" i="2"/>
  <c r="D3023" i="2"/>
  <c r="C3023" i="2"/>
  <c r="B3023" i="2"/>
  <c r="A3023" i="2"/>
  <c r="E3022" i="2"/>
  <c r="D3022" i="2"/>
  <c r="C3022" i="2"/>
  <c r="B3022" i="2"/>
  <c r="A3022" i="2"/>
  <c r="E3021" i="2"/>
  <c r="D3021" i="2"/>
  <c r="C3021" i="2"/>
  <c r="B3021" i="2"/>
  <c r="A3021" i="2"/>
  <c r="E3020" i="2"/>
  <c r="D3020" i="2"/>
  <c r="C3020" i="2"/>
  <c r="B3020" i="2"/>
  <c r="A3020" i="2"/>
  <c r="E3019" i="2"/>
  <c r="D3019" i="2"/>
  <c r="C3019" i="2"/>
  <c r="B3019" i="2"/>
  <c r="A3019" i="2"/>
  <c r="E3018" i="2"/>
  <c r="D3018" i="2"/>
  <c r="C3018" i="2"/>
  <c r="B3018" i="2"/>
  <c r="A3018" i="2"/>
  <c r="E3017" i="2"/>
  <c r="D3017" i="2"/>
  <c r="C3017" i="2"/>
  <c r="B3017" i="2"/>
  <c r="A3017" i="2"/>
  <c r="E3016" i="2"/>
  <c r="D3016" i="2"/>
  <c r="C3016" i="2"/>
  <c r="B3016" i="2"/>
  <c r="A3016" i="2"/>
  <c r="E3015" i="2"/>
  <c r="D3015" i="2"/>
  <c r="C3015" i="2"/>
  <c r="B3015" i="2"/>
  <c r="A3015" i="2"/>
  <c r="E3014" i="2"/>
  <c r="D3014" i="2"/>
  <c r="C3014" i="2"/>
  <c r="B3014" i="2"/>
  <c r="A3014" i="2"/>
  <c r="E3013" i="2"/>
  <c r="D3013" i="2"/>
  <c r="C3013" i="2"/>
  <c r="B3013" i="2"/>
  <c r="A3013" i="2"/>
  <c r="E3012" i="2"/>
  <c r="D3012" i="2"/>
  <c r="C3012" i="2"/>
  <c r="B3012" i="2"/>
  <c r="A3012" i="2"/>
  <c r="E3011" i="2"/>
  <c r="D3011" i="2"/>
  <c r="C3011" i="2"/>
  <c r="B3011" i="2"/>
  <c r="A3011" i="2"/>
  <c r="E3010" i="2"/>
  <c r="D3010" i="2"/>
  <c r="C3010" i="2"/>
  <c r="B3010" i="2"/>
  <c r="A3010" i="2"/>
  <c r="E3009" i="2"/>
  <c r="D3009" i="2"/>
  <c r="C3009" i="2"/>
  <c r="B3009" i="2"/>
  <c r="A3009" i="2"/>
  <c r="E3008" i="2"/>
  <c r="D3008" i="2"/>
  <c r="C3008" i="2"/>
  <c r="B3008" i="2"/>
  <c r="A3008" i="2"/>
  <c r="E3007" i="2"/>
  <c r="D3007" i="2"/>
  <c r="C3007" i="2"/>
  <c r="B3007" i="2"/>
  <c r="A3007" i="2"/>
  <c r="E3006" i="2"/>
  <c r="D3006" i="2"/>
  <c r="C3006" i="2"/>
  <c r="B3006" i="2"/>
  <c r="A3006" i="2"/>
  <c r="E3005" i="2"/>
  <c r="D3005" i="2"/>
  <c r="C3005" i="2"/>
  <c r="B3005" i="2"/>
  <c r="A3005" i="2"/>
  <c r="E3004" i="2"/>
  <c r="D3004" i="2"/>
  <c r="C3004" i="2"/>
  <c r="B3004" i="2"/>
  <c r="A3004" i="2"/>
  <c r="E3003" i="2"/>
  <c r="D3003" i="2"/>
  <c r="C3003" i="2"/>
  <c r="B3003" i="2"/>
  <c r="A3003" i="2"/>
  <c r="E3002" i="2"/>
  <c r="D3002" i="2"/>
  <c r="C3002" i="2"/>
  <c r="B3002" i="2"/>
  <c r="A3002" i="2"/>
  <c r="E3001" i="2"/>
  <c r="D3001" i="2"/>
  <c r="C3001" i="2"/>
  <c r="B3001" i="2"/>
  <c r="A3001" i="2"/>
  <c r="E3000" i="2"/>
  <c r="D3000" i="2"/>
  <c r="C3000" i="2"/>
  <c r="B3000" i="2"/>
  <c r="A3000" i="2"/>
  <c r="E2999" i="2"/>
  <c r="D2999" i="2"/>
  <c r="C2999" i="2"/>
  <c r="B2999" i="2"/>
  <c r="A2999" i="2"/>
  <c r="E2998" i="2"/>
  <c r="D2998" i="2"/>
  <c r="C2998" i="2"/>
  <c r="B2998" i="2"/>
  <c r="A2998" i="2"/>
  <c r="E2997" i="2"/>
  <c r="D2997" i="2"/>
  <c r="C2997" i="2"/>
  <c r="B2997" i="2"/>
  <c r="A2997" i="2"/>
  <c r="E2996" i="2"/>
  <c r="D2996" i="2"/>
  <c r="C2996" i="2"/>
  <c r="B2996" i="2"/>
  <c r="A2996" i="2"/>
  <c r="E2995" i="2"/>
  <c r="D2995" i="2"/>
  <c r="C2995" i="2"/>
  <c r="B2995" i="2"/>
  <c r="A2995" i="2"/>
  <c r="E2994" i="2"/>
  <c r="D2994" i="2"/>
  <c r="C2994" i="2"/>
  <c r="B2994" i="2"/>
  <c r="A2994" i="2"/>
  <c r="E2993" i="2"/>
  <c r="D2993" i="2"/>
  <c r="C2993" i="2"/>
  <c r="B2993" i="2"/>
  <c r="A2993" i="2"/>
  <c r="E2992" i="2"/>
  <c r="D2992" i="2"/>
  <c r="C2992" i="2"/>
  <c r="B2992" i="2"/>
  <c r="A2992" i="2"/>
  <c r="E2991" i="2"/>
  <c r="D2991" i="2"/>
  <c r="C2991" i="2"/>
  <c r="B2991" i="2"/>
  <c r="A2991" i="2"/>
  <c r="E2990" i="2"/>
  <c r="D2990" i="2"/>
  <c r="C2990" i="2"/>
  <c r="B2990" i="2"/>
  <c r="A2990" i="2"/>
  <c r="E2989" i="2"/>
  <c r="D2989" i="2"/>
  <c r="C2989" i="2"/>
  <c r="B2989" i="2"/>
  <c r="A2989" i="2"/>
  <c r="E2988" i="2"/>
  <c r="D2988" i="2"/>
  <c r="C2988" i="2"/>
  <c r="B2988" i="2"/>
  <c r="A2988" i="2"/>
  <c r="E2987" i="2"/>
  <c r="D2987" i="2"/>
  <c r="C2987" i="2"/>
  <c r="B2987" i="2"/>
  <c r="A2987" i="2"/>
  <c r="E2986" i="2"/>
  <c r="D2986" i="2"/>
  <c r="C2986" i="2"/>
  <c r="B2986" i="2"/>
  <c r="A2986" i="2"/>
  <c r="E2985" i="2"/>
  <c r="D2985" i="2"/>
  <c r="C2985" i="2"/>
  <c r="B2985" i="2"/>
  <c r="A2985" i="2"/>
  <c r="E2984" i="2"/>
  <c r="D2984" i="2"/>
  <c r="C2984" i="2"/>
  <c r="B2984" i="2"/>
  <c r="A2984" i="2"/>
  <c r="E2983" i="2"/>
  <c r="D2983" i="2"/>
  <c r="C2983" i="2"/>
  <c r="B2983" i="2"/>
  <c r="A2983" i="2"/>
  <c r="E2982" i="2"/>
  <c r="D2982" i="2"/>
  <c r="C2982" i="2"/>
  <c r="B2982" i="2"/>
  <c r="A2982" i="2"/>
  <c r="E2981" i="2"/>
  <c r="D2981" i="2"/>
  <c r="C2981" i="2"/>
  <c r="B2981" i="2"/>
  <c r="A2981" i="2"/>
  <c r="E2980" i="2"/>
  <c r="D2980" i="2"/>
  <c r="C2980" i="2"/>
  <c r="B2980" i="2"/>
  <c r="A2980" i="2"/>
  <c r="E2979" i="2"/>
  <c r="D2979" i="2"/>
  <c r="C2979" i="2"/>
  <c r="B2979" i="2"/>
  <c r="A2979" i="2"/>
  <c r="E2978" i="2"/>
  <c r="D2978" i="2"/>
  <c r="C2978" i="2"/>
  <c r="B2978" i="2"/>
  <c r="A2978" i="2"/>
  <c r="E2977" i="2"/>
  <c r="D2977" i="2"/>
  <c r="C2977" i="2"/>
  <c r="B2977" i="2"/>
  <c r="A2977" i="2"/>
  <c r="E2976" i="2"/>
  <c r="D2976" i="2"/>
  <c r="C2976" i="2"/>
  <c r="B2976" i="2"/>
  <c r="A2976" i="2"/>
  <c r="E2975" i="2"/>
  <c r="D2975" i="2"/>
  <c r="C2975" i="2"/>
  <c r="B2975" i="2"/>
  <c r="A2975" i="2"/>
  <c r="E2974" i="2"/>
  <c r="D2974" i="2"/>
  <c r="C2974" i="2"/>
  <c r="B2974" i="2"/>
  <c r="A2974" i="2"/>
  <c r="E2973" i="2"/>
  <c r="D2973" i="2"/>
  <c r="C2973" i="2"/>
  <c r="B2973" i="2"/>
  <c r="A2973" i="2"/>
  <c r="E2972" i="2"/>
  <c r="D2972" i="2"/>
  <c r="C2972" i="2"/>
  <c r="B2972" i="2"/>
  <c r="A2972" i="2"/>
  <c r="E2971" i="2"/>
  <c r="D2971" i="2"/>
  <c r="C2971" i="2"/>
  <c r="B2971" i="2"/>
  <c r="A2971" i="2"/>
  <c r="E2970" i="2"/>
  <c r="D2970" i="2"/>
  <c r="C2970" i="2"/>
  <c r="B2970" i="2"/>
  <c r="A2970" i="2"/>
  <c r="E2969" i="2"/>
  <c r="D2969" i="2"/>
  <c r="C2969" i="2"/>
  <c r="B2969" i="2"/>
  <c r="A2969" i="2"/>
  <c r="E2968" i="2"/>
  <c r="D2968" i="2"/>
  <c r="C2968" i="2"/>
  <c r="B2968" i="2"/>
  <c r="A2968" i="2"/>
  <c r="E2967" i="2"/>
  <c r="D2967" i="2"/>
  <c r="C2967" i="2"/>
  <c r="B2967" i="2"/>
  <c r="A2967" i="2"/>
  <c r="E2966" i="2"/>
  <c r="D2966" i="2"/>
  <c r="C2966" i="2"/>
  <c r="B2966" i="2"/>
  <c r="A2966" i="2"/>
  <c r="E2965" i="2"/>
  <c r="D2965" i="2"/>
  <c r="C2965" i="2"/>
  <c r="B2965" i="2"/>
  <c r="A2965" i="2"/>
  <c r="E2964" i="2"/>
  <c r="D2964" i="2"/>
  <c r="C2964" i="2"/>
  <c r="B2964" i="2"/>
  <c r="A2964" i="2"/>
  <c r="E2963" i="2"/>
  <c r="D2963" i="2"/>
  <c r="C2963" i="2"/>
  <c r="B2963" i="2"/>
  <c r="A2963" i="2"/>
  <c r="E2962" i="2"/>
  <c r="D2962" i="2"/>
  <c r="C2962" i="2"/>
  <c r="B2962" i="2"/>
  <c r="A2962" i="2"/>
  <c r="E2961" i="2"/>
  <c r="D2961" i="2"/>
  <c r="C2961" i="2"/>
  <c r="B2961" i="2"/>
  <c r="A2961" i="2"/>
  <c r="E2960" i="2"/>
  <c r="D2960" i="2"/>
  <c r="C2960" i="2"/>
  <c r="B2960" i="2"/>
  <c r="A2960" i="2"/>
  <c r="E2959" i="2"/>
  <c r="D2959" i="2"/>
  <c r="C2959" i="2"/>
  <c r="B2959" i="2"/>
  <c r="A2959" i="2"/>
  <c r="E2958" i="2"/>
  <c r="D2958" i="2"/>
  <c r="C2958" i="2"/>
  <c r="B2958" i="2"/>
  <c r="A2958" i="2"/>
  <c r="E2957" i="2"/>
  <c r="D2957" i="2"/>
  <c r="C2957" i="2"/>
  <c r="B2957" i="2"/>
  <c r="A2957" i="2"/>
  <c r="E2956" i="2"/>
  <c r="D2956" i="2"/>
  <c r="C2956" i="2"/>
  <c r="B2956" i="2"/>
  <c r="A2956" i="2"/>
  <c r="E2955" i="2"/>
  <c r="D2955" i="2"/>
  <c r="C2955" i="2"/>
  <c r="B2955" i="2"/>
  <c r="A2955" i="2"/>
  <c r="E2954" i="2"/>
  <c r="D2954" i="2"/>
  <c r="C2954" i="2"/>
  <c r="B2954" i="2"/>
  <c r="A2954" i="2"/>
  <c r="E2953" i="2"/>
  <c r="D2953" i="2"/>
  <c r="C2953" i="2"/>
  <c r="B2953" i="2"/>
  <c r="A2953" i="2"/>
  <c r="E2952" i="2"/>
  <c r="D2952" i="2"/>
  <c r="C2952" i="2"/>
  <c r="B2952" i="2"/>
  <c r="A2952" i="2"/>
  <c r="E2951" i="2"/>
  <c r="D2951" i="2"/>
  <c r="C2951" i="2"/>
  <c r="B2951" i="2"/>
  <c r="A2951" i="2"/>
  <c r="E2950" i="2"/>
  <c r="D2950" i="2"/>
  <c r="C2950" i="2"/>
  <c r="B2950" i="2"/>
  <c r="A2950" i="2"/>
  <c r="E2949" i="2"/>
  <c r="D2949" i="2"/>
  <c r="C2949" i="2"/>
  <c r="B2949" i="2"/>
  <c r="A2949" i="2"/>
  <c r="E2948" i="2"/>
  <c r="D2948" i="2"/>
  <c r="C2948" i="2"/>
  <c r="B2948" i="2"/>
  <c r="A2948" i="2"/>
  <c r="E2947" i="2"/>
  <c r="D2947" i="2"/>
  <c r="C2947" i="2"/>
  <c r="B2947" i="2"/>
  <c r="A2947" i="2"/>
  <c r="E2946" i="2"/>
  <c r="D2946" i="2"/>
  <c r="C2946" i="2"/>
  <c r="B2946" i="2"/>
  <c r="A2946" i="2"/>
  <c r="E2945" i="2"/>
  <c r="D2945" i="2"/>
  <c r="C2945" i="2"/>
  <c r="B2945" i="2"/>
  <c r="A2945" i="2"/>
  <c r="E2944" i="2"/>
  <c r="D2944" i="2"/>
  <c r="C2944" i="2"/>
  <c r="B2944" i="2"/>
  <c r="A2944" i="2"/>
  <c r="E2943" i="2"/>
  <c r="D2943" i="2"/>
  <c r="C2943" i="2"/>
  <c r="B2943" i="2"/>
  <c r="A2943" i="2"/>
  <c r="E2942" i="2"/>
  <c r="D2942" i="2"/>
  <c r="C2942" i="2"/>
  <c r="B2942" i="2"/>
  <c r="A2942" i="2"/>
  <c r="E2941" i="2"/>
  <c r="D2941" i="2"/>
  <c r="C2941" i="2"/>
  <c r="B2941" i="2"/>
  <c r="A2941" i="2"/>
  <c r="E2940" i="2"/>
  <c r="D2940" i="2"/>
  <c r="C2940" i="2"/>
  <c r="B2940" i="2"/>
  <c r="A2940" i="2"/>
  <c r="E2939" i="2"/>
  <c r="D2939" i="2"/>
  <c r="C2939" i="2"/>
  <c r="B2939" i="2"/>
  <c r="A2939" i="2"/>
  <c r="E2938" i="2"/>
  <c r="D2938" i="2"/>
  <c r="C2938" i="2"/>
  <c r="B2938" i="2"/>
  <c r="A2938" i="2"/>
  <c r="E2937" i="2"/>
  <c r="D2937" i="2"/>
  <c r="C2937" i="2"/>
  <c r="B2937" i="2"/>
  <c r="A2937" i="2"/>
  <c r="E2936" i="2"/>
  <c r="D2936" i="2"/>
  <c r="C2936" i="2"/>
  <c r="B2936" i="2"/>
  <c r="A2936" i="2"/>
  <c r="E2935" i="2"/>
  <c r="D2935" i="2"/>
  <c r="C2935" i="2"/>
  <c r="B2935" i="2"/>
  <c r="A2935" i="2"/>
  <c r="E2934" i="2"/>
  <c r="D2934" i="2"/>
  <c r="C2934" i="2"/>
  <c r="B2934" i="2"/>
  <c r="A2934" i="2"/>
  <c r="E2933" i="2"/>
  <c r="D2933" i="2"/>
  <c r="C2933" i="2"/>
  <c r="B2933" i="2"/>
  <c r="A2933" i="2"/>
  <c r="E2932" i="2"/>
  <c r="D2932" i="2"/>
  <c r="C2932" i="2"/>
  <c r="B2932" i="2"/>
  <c r="A2932" i="2"/>
  <c r="E2931" i="2"/>
  <c r="D2931" i="2"/>
  <c r="C2931" i="2"/>
  <c r="B2931" i="2"/>
  <c r="A2931" i="2"/>
  <c r="E2930" i="2"/>
  <c r="D2930" i="2"/>
  <c r="C2930" i="2"/>
  <c r="B2930" i="2"/>
  <c r="A2930" i="2"/>
  <c r="E2929" i="2"/>
  <c r="D2929" i="2"/>
  <c r="C2929" i="2"/>
  <c r="B2929" i="2"/>
  <c r="A2929" i="2"/>
  <c r="E2928" i="2"/>
  <c r="D2928" i="2"/>
  <c r="C2928" i="2"/>
  <c r="B2928" i="2"/>
  <c r="A2928" i="2"/>
  <c r="E2927" i="2"/>
  <c r="D2927" i="2"/>
  <c r="C2927" i="2"/>
  <c r="B2927" i="2"/>
  <c r="A2927" i="2"/>
  <c r="E2926" i="2"/>
  <c r="D2926" i="2"/>
  <c r="C2926" i="2"/>
  <c r="B2926" i="2"/>
  <c r="A2926" i="2"/>
  <c r="E2925" i="2"/>
  <c r="D2925" i="2"/>
  <c r="C2925" i="2"/>
  <c r="B2925" i="2"/>
  <c r="A2925" i="2"/>
  <c r="E2924" i="2"/>
  <c r="D2924" i="2"/>
  <c r="C2924" i="2"/>
  <c r="B2924" i="2"/>
  <c r="A2924" i="2"/>
  <c r="E2923" i="2"/>
  <c r="D2923" i="2"/>
  <c r="C2923" i="2"/>
  <c r="B2923" i="2"/>
  <c r="A2923" i="2"/>
  <c r="E2922" i="2"/>
  <c r="D2922" i="2"/>
  <c r="C2922" i="2"/>
  <c r="B2922" i="2"/>
  <c r="A2922" i="2"/>
  <c r="E2921" i="2"/>
  <c r="D2921" i="2"/>
  <c r="C2921" i="2"/>
  <c r="B2921" i="2"/>
  <c r="A2921" i="2"/>
  <c r="E2920" i="2"/>
  <c r="D2920" i="2"/>
  <c r="C2920" i="2"/>
  <c r="B2920" i="2"/>
  <c r="A2920" i="2"/>
  <c r="E2919" i="2"/>
  <c r="D2919" i="2"/>
  <c r="C2919" i="2"/>
  <c r="B2919" i="2"/>
  <c r="A2919" i="2"/>
  <c r="E2918" i="2"/>
  <c r="D2918" i="2"/>
  <c r="C2918" i="2"/>
  <c r="B2918" i="2"/>
  <c r="A2918" i="2"/>
  <c r="E2917" i="2"/>
  <c r="D2917" i="2"/>
  <c r="C2917" i="2"/>
  <c r="B2917" i="2"/>
  <c r="A2917" i="2"/>
  <c r="E2916" i="2"/>
  <c r="D2916" i="2"/>
  <c r="C2916" i="2"/>
  <c r="B2916" i="2"/>
  <c r="A2916" i="2"/>
  <c r="E2915" i="2"/>
  <c r="D2915" i="2"/>
  <c r="C2915" i="2"/>
  <c r="B2915" i="2"/>
  <c r="A2915" i="2"/>
  <c r="E2914" i="2"/>
  <c r="D2914" i="2"/>
  <c r="C2914" i="2"/>
  <c r="B2914" i="2"/>
  <c r="A2914" i="2"/>
  <c r="E2913" i="2"/>
  <c r="D2913" i="2"/>
  <c r="C2913" i="2"/>
  <c r="B2913" i="2"/>
  <c r="A2913" i="2"/>
  <c r="E2912" i="2"/>
  <c r="D2912" i="2"/>
  <c r="C2912" i="2"/>
  <c r="B2912" i="2"/>
  <c r="A2912" i="2"/>
  <c r="E2911" i="2"/>
  <c r="D2911" i="2"/>
  <c r="C2911" i="2"/>
  <c r="B2911" i="2"/>
  <c r="A2911" i="2"/>
  <c r="E2910" i="2"/>
  <c r="D2910" i="2"/>
  <c r="C2910" i="2"/>
  <c r="B2910" i="2"/>
  <c r="A2910" i="2"/>
  <c r="E2909" i="2"/>
  <c r="D2909" i="2"/>
  <c r="C2909" i="2"/>
  <c r="B2909" i="2"/>
  <c r="A2909" i="2"/>
  <c r="E2908" i="2"/>
  <c r="D2908" i="2"/>
  <c r="C2908" i="2"/>
  <c r="B2908" i="2"/>
  <c r="A2908" i="2"/>
  <c r="E2907" i="2"/>
  <c r="D2907" i="2"/>
  <c r="C2907" i="2"/>
  <c r="B2907" i="2"/>
  <c r="A2907" i="2"/>
  <c r="E2906" i="2"/>
  <c r="D2906" i="2"/>
  <c r="C2906" i="2"/>
  <c r="B2906" i="2"/>
  <c r="A2906" i="2"/>
  <c r="E2905" i="2"/>
  <c r="D2905" i="2"/>
  <c r="C2905" i="2"/>
  <c r="B2905" i="2"/>
  <c r="A2905" i="2"/>
  <c r="E2904" i="2"/>
  <c r="D2904" i="2"/>
  <c r="C2904" i="2"/>
  <c r="B2904" i="2"/>
  <c r="A2904" i="2"/>
  <c r="E2903" i="2"/>
  <c r="D2903" i="2"/>
  <c r="C2903" i="2"/>
  <c r="B2903" i="2"/>
  <c r="A2903" i="2"/>
  <c r="E2902" i="2"/>
  <c r="D2902" i="2"/>
  <c r="C2902" i="2"/>
  <c r="B2902" i="2"/>
  <c r="A2902" i="2"/>
  <c r="E2901" i="2"/>
  <c r="D2901" i="2"/>
  <c r="C2901" i="2"/>
  <c r="B2901" i="2"/>
  <c r="A2901" i="2"/>
  <c r="E2900" i="2"/>
  <c r="D2900" i="2"/>
  <c r="C2900" i="2"/>
  <c r="B2900" i="2"/>
  <c r="A2900" i="2"/>
  <c r="E2899" i="2"/>
  <c r="D2899" i="2"/>
  <c r="C2899" i="2"/>
  <c r="B2899" i="2"/>
  <c r="A2899" i="2"/>
  <c r="E2898" i="2"/>
  <c r="D2898" i="2"/>
  <c r="C2898" i="2"/>
  <c r="B2898" i="2"/>
  <c r="A2898" i="2"/>
  <c r="E2897" i="2"/>
  <c r="D2897" i="2"/>
  <c r="C2897" i="2"/>
  <c r="B2897" i="2"/>
  <c r="A2897" i="2"/>
  <c r="E2896" i="2"/>
  <c r="D2896" i="2"/>
  <c r="C2896" i="2"/>
  <c r="B2896" i="2"/>
  <c r="A2896" i="2"/>
  <c r="E2895" i="2"/>
  <c r="D2895" i="2"/>
  <c r="C2895" i="2"/>
  <c r="B2895" i="2"/>
  <c r="A2895" i="2"/>
  <c r="E2894" i="2"/>
  <c r="D2894" i="2"/>
  <c r="C2894" i="2"/>
  <c r="B2894" i="2"/>
  <c r="A2894" i="2"/>
  <c r="E2893" i="2"/>
  <c r="D2893" i="2"/>
  <c r="C2893" i="2"/>
  <c r="B2893" i="2"/>
  <c r="A2893" i="2"/>
  <c r="E2892" i="2"/>
  <c r="D2892" i="2"/>
  <c r="C2892" i="2"/>
  <c r="B2892" i="2"/>
  <c r="A2892" i="2"/>
  <c r="E2891" i="2"/>
  <c r="D2891" i="2"/>
  <c r="C2891" i="2"/>
  <c r="B2891" i="2"/>
  <c r="A2891" i="2"/>
  <c r="E2890" i="2"/>
  <c r="D2890" i="2"/>
  <c r="C2890" i="2"/>
  <c r="B2890" i="2"/>
  <c r="A2890" i="2"/>
  <c r="E2889" i="2"/>
  <c r="D2889" i="2"/>
  <c r="C2889" i="2"/>
  <c r="B2889" i="2"/>
  <c r="A2889" i="2"/>
  <c r="E2888" i="2"/>
  <c r="D2888" i="2"/>
  <c r="C2888" i="2"/>
  <c r="B2888" i="2"/>
  <c r="A2888" i="2"/>
  <c r="E2887" i="2"/>
  <c r="D2887" i="2"/>
  <c r="C2887" i="2"/>
  <c r="B2887" i="2"/>
  <c r="A2887" i="2"/>
  <c r="E2886" i="2"/>
  <c r="D2886" i="2"/>
  <c r="C2886" i="2"/>
  <c r="B2886" i="2"/>
  <c r="A2886" i="2"/>
  <c r="E2885" i="2"/>
  <c r="D2885" i="2"/>
  <c r="C2885" i="2"/>
  <c r="B2885" i="2"/>
  <c r="A2885" i="2"/>
  <c r="E2884" i="2"/>
  <c r="D2884" i="2"/>
  <c r="C2884" i="2"/>
  <c r="B2884" i="2"/>
  <c r="A2884" i="2"/>
  <c r="E2883" i="2"/>
  <c r="D2883" i="2"/>
  <c r="C2883" i="2"/>
  <c r="B2883" i="2"/>
  <c r="A2883" i="2"/>
  <c r="E2882" i="2"/>
  <c r="D2882" i="2"/>
  <c r="C2882" i="2"/>
  <c r="B2882" i="2"/>
  <c r="A2882" i="2"/>
  <c r="E2881" i="2"/>
  <c r="D2881" i="2"/>
  <c r="C2881" i="2"/>
  <c r="B2881" i="2"/>
  <c r="A2881" i="2"/>
  <c r="E2880" i="2"/>
  <c r="D2880" i="2"/>
  <c r="C2880" i="2"/>
  <c r="B2880" i="2"/>
  <c r="A2880" i="2"/>
  <c r="E2879" i="2"/>
  <c r="D2879" i="2"/>
  <c r="C2879" i="2"/>
  <c r="B2879" i="2"/>
  <c r="A2879" i="2"/>
  <c r="E2878" i="2"/>
  <c r="D2878" i="2"/>
  <c r="C2878" i="2"/>
  <c r="B2878" i="2"/>
  <c r="A2878" i="2"/>
  <c r="E2877" i="2"/>
  <c r="D2877" i="2"/>
  <c r="C2877" i="2"/>
  <c r="B2877" i="2"/>
  <c r="A2877" i="2"/>
  <c r="E2876" i="2"/>
  <c r="D2876" i="2"/>
  <c r="C2876" i="2"/>
  <c r="B2876" i="2"/>
  <c r="A2876" i="2"/>
  <c r="E2875" i="2"/>
  <c r="D2875" i="2"/>
  <c r="C2875" i="2"/>
  <c r="B2875" i="2"/>
  <c r="A2875" i="2"/>
  <c r="E2874" i="2"/>
  <c r="D2874" i="2"/>
  <c r="C2874" i="2"/>
  <c r="B2874" i="2"/>
  <c r="A2874" i="2"/>
  <c r="E2873" i="2"/>
  <c r="D2873" i="2"/>
  <c r="C2873" i="2"/>
  <c r="B2873" i="2"/>
  <c r="A2873" i="2"/>
  <c r="E2872" i="2"/>
  <c r="D2872" i="2"/>
  <c r="C2872" i="2"/>
  <c r="B2872" i="2"/>
  <c r="A2872" i="2"/>
  <c r="E2871" i="2"/>
  <c r="D2871" i="2"/>
  <c r="C2871" i="2"/>
  <c r="B2871" i="2"/>
  <c r="A2871" i="2"/>
  <c r="E2870" i="2"/>
  <c r="D2870" i="2"/>
  <c r="C2870" i="2"/>
  <c r="B2870" i="2"/>
  <c r="A2870" i="2"/>
  <c r="E2869" i="2"/>
  <c r="D2869" i="2"/>
  <c r="C2869" i="2"/>
  <c r="B2869" i="2"/>
  <c r="A2869" i="2"/>
  <c r="E2868" i="2"/>
  <c r="D2868" i="2"/>
  <c r="C2868" i="2"/>
  <c r="B2868" i="2"/>
  <c r="A2868" i="2"/>
  <c r="E2867" i="2"/>
  <c r="D2867" i="2"/>
  <c r="C2867" i="2"/>
  <c r="B2867" i="2"/>
  <c r="A2867" i="2"/>
  <c r="E2866" i="2"/>
  <c r="D2866" i="2"/>
  <c r="C2866" i="2"/>
  <c r="B2866" i="2"/>
  <c r="A2866" i="2"/>
  <c r="E2865" i="2"/>
  <c r="D2865" i="2"/>
  <c r="C2865" i="2"/>
  <c r="B2865" i="2"/>
  <c r="A2865" i="2"/>
  <c r="E2864" i="2"/>
  <c r="D2864" i="2"/>
  <c r="C2864" i="2"/>
  <c r="B2864" i="2"/>
  <c r="A2864" i="2"/>
  <c r="E2863" i="2"/>
  <c r="D2863" i="2"/>
  <c r="C2863" i="2"/>
  <c r="B2863" i="2"/>
  <c r="A2863" i="2"/>
  <c r="E2862" i="2"/>
  <c r="D2862" i="2"/>
  <c r="C2862" i="2"/>
  <c r="B2862" i="2"/>
  <c r="A2862" i="2"/>
  <c r="E2861" i="2"/>
  <c r="D2861" i="2"/>
  <c r="C2861" i="2"/>
  <c r="B2861" i="2"/>
  <c r="A2861" i="2"/>
  <c r="E2860" i="2"/>
  <c r="D2860" i="2"/>
  <c r="C2860" i="2"/>
  <c r="B2860" i="2"/>
  <c r="A2860" i="2"/>
  <c r="E2859" i="2"/>
  <c r="D2859" i="2"/>
  <c r="C2859" i="2"/>
  <c r="B2859" i="2"/>
  <c r="A2859" i="2"/>
  <c r="E2858" i="2"/>
  <c r="D2858" i="2"/>
  <c r="C2858" i="2"/>
  <c r="B2858" i="2"/>
  <c r="A2858" i="2"/>
  <c r="E2857" i="2"/>
  <c r="D2857" i="2"/>
  <c r="C2857" i="2"/>
  <c r="B2857" i="2"/>
  <c r="A2857" i="2"/>
  <c r="E2856" i="2"/>
  <c r="D2856" i="2"/>
  <c r="C2856" i="2"/>
  <c r="B2856" i="2"/>
  <c r="A2856" i="2"/>
  <c r="E2855" i="2"/>
  <c r="D2855" i="2"/>
  <c r="C2855" i="2"/>
  <c r="B2855" i="2"/>
  <c r="A2855" i="2"/>
  <c r="E2854" i="2"/>
  <c r="D2854" i="2"/>
  <c r="C2854" i="2"/>
  <c r="B2854" i="2"/>
  <c r="A2854" i="2"/>
  <c r="E2853" i="2"/>
  <c r="D2853" i="2"/>
  <c r="C2853" i="2"/>
  <c r="B2853" i="2"/>
  <c r="A2853" i="2"/>
  <c r="E2852" i="2"/>
  <c r="D2852" i="2"/>
  <c r="C2852" i="2"/>
  <c r="B2852" i="2"/>
  <c r="A2852" i="2"/>
  <c r="E2851" i="2"/>
  <c r="D2851" i="2"/>
  <c r="C2851" i="2"/>
  <c r="B2851" i="2"/>
  <c r="A2851" i="2"/>
  <c r="E2850" i="2"/>
  <c r="D2850" i="2"/>
  <c r="C2850" i="2"/>
  <c r="B2850" i="2"/>
  <c r="A2850" i="2"/>
  <c r="E2849" i="2"/>
  <c r="D2849" i="2"/>
  <c r="C2849" i="2"/>
  <c r="B2849" i="2"/>
  <c r="A2849" i="2"/>
  <c r="E2848" i="2"/>
  <c r="D2848" i="2"/>
  <c r="C2848" i="2"/>
  <c r="B2848" i="2"/>
  <c r="A2848" i="2"/>
  <c r="E2847" i="2"/>
  <c r="D2847" i="2"/>
  <c r="C2847" i="2"/>
  <c r="B2847" i="2"/>
  <c r="A2847" i="2"/>
  <c r="E2846" i="2"/>
  <c r="D2846" i="2"/>
  <c r="C2846" i="2"/>
  <c r="B2846" i="2"/>
  <c r="A2846" i="2"/>
  <c r="E2845" i="2"/>
  <c r="D2845" i="2"/>
  <c r="C2845" i="2"/>
  <c r="B2845" i="2"/>
  <c r="A2845" i="2"/>
  <c r="E2844" i="2"/>
  <c r="D2844" i="2"/>
  <c r="C2844" i="2"/>
  <c r="B2844" i="2"/>
  <c r="A2844" i="2"/>
  <c r="E2843" i="2"/>
  <c r="D2843" i="2"/>
  <c r="C2843" i="2"/>
  <c r="B2843" i="2"/>
  <c r="A2843" i="2"/>
  <c r="E2842" i="2"/>
  <c r="D2842" i="2"/>
  <c r="C2842" i="2"/>
  <c r="B2842" i="2"/>
  <c r="A2842" i="2"/>
  <c r="E2841" i="2"/>
  <c r="D2841" i="2"/>
  <c r="C2841" i="2"/>
  <c r="B2841" i="2"/>
  <c r="A2841" i="2"/>
  <c r="E2840" i="2"/>
  <c r="D2840" i="2"/>
  <c r="C2840" i="2"/>
  <c r="B2840" i="2"/>
  <c r="A2840" i="2"/>
  <c r="E2839" i="2"/>
  <c r="D2839" i="2"/>
  <c r="C2839" i="2"/>
  <c r="B2839" i="2"/>
  <c r="A2839" i="2"/>
  <c r="E2838" i="2"/>
  <c r="D2838" i="2"/>
  <c r="C2838" i="2"/>
  <c r="B2838" i="2"/>
  <c r="A2838" i="2"/>
  <c r="E2837" i="2"/>
  <c r="D2837" i="2"/>
  <c r="C2837" i="2"/>
  <c r="B2837" i="2"/>
  <c r="A2837" i="2"/>
  <c r="E2836" i="2"/>
  <c r="D2836" i="2"/>
  <c r="C2836" i="2"/>
  <c r="B2836" i="2"/>
  <c r="A2836" i="2"/>
  <c r="E2835" i="2"/>
  <c r="D2835" i="2"/>
  <c r="C2835" i="2"/>
  <c r="B2835" i="2"/>
  <c r="A2835" i="2"/>
  <c r="E2834" i="2"/>
  <c r="D2834" i="2"/>
  <c r="C2834" i="2"/>
  <c r="B2834" i="2"/>
  <c r="A2834" i="2"/>
  <c r="E2833" i="2"/>
  <c r="D2833" i="2"/>
  <c r="C2833" i="2"/>
  <c r="B2833" i="2"/>
  <c r="A2833" i="2"/>
  <c r="E2832" i="2"/>
  <c r="D2832" i="2"/>
  <c r="C2832" i="2"/>
  <c r="B2832" i="2"/>
  <c r="A2832" i="2"/>
  <c r="E2831" i="2"/>
  <c r="D2831" i="2"/>
  <c r="C2831" i="2"/>
  <c r="B2831" i="2"/>
  <c r="A2831" i="2"/>
  <c r="E2830" i="2"/>
  <c r="D2830" i="2"/>
  <c r="C2830" i="2"/>
  <c r="B2830" i="2"/>
  <c r="A2830" i="2"/>
  <c r="E2829" i="2"/>
  <c r="D2829" i="2"/>
  <c r="C2829" i="2"/>
  <c r="B2829" i="2"/>
  <c r="A2829" i="2"/>
  <c r="E2828" i="2"/>
  <c r="D2828" i="2"/>
  <c r="C2828" i="2"/>
  <c r="B2828" i="2"/>
  <c r="A2828" i="2"/>
  <c r="E2827" i="2"/>
  <c r="D2827" i="2"/>
  <c r="C2827" i="2"/>
  <c r="B2827" i="2"/>
  <c r="A2827" i="2"/>
  <c r="E2826" i="2"/>
  <c r="D2826" i="2"/>
  <c r="C2826" i="2"/>
  <c r="B2826" i="2"/>
  <c r="A2826" i="2"/>
  <c r="E2825" i="2"/>
  <c r="D2825" i="2"/>
  <c r="C2825" i="2"/>
  <c r="B2825" i="2"/>
  <c r="A2825" i="2"/>
  <c r="E2824" i="2"/>
  <c r="D2824" i="2"/>
  <c r="C2824" i="2"/>
  <c r="B2824" i="2"/>
  <c r="A2824" i="2"/>
  <c r="E2823" i="2"/>
  <c r="D2823" i="2"/>
  <c r="C2823" i="2"/>
  <c r="B2823" i="2"/>
  <c r="A2823" i="2"/>
  <c r="E2822" i="2"/>
  <c r="D2822" i="2"/>
  <c r="C2822" i="2"/>
  <c r="B2822" i="2"/>
  <c r="A2822" i="2"/>
  <c r="E2821" i="2"/>
  <c r="D2821" i="2"/>
  <c r="C2821" i="2"/>
  <c r="B2821" i="2"/>
  <c r="A2821" i="2"/>
  <c r="E2820" i="2"/>
  <c r="D2820" i="2"/>
  <c r="C2820" i="2"/>
  <c r="B2820" i="2"/>
  <c r="A2820" i="2"/>
  <c r="E2819" i="2"/>
  <c r="D2819" i="2"/>
  <c r="C2819" i="2"/>
  <c r="B2819" i="2"/>
  <c r="A2819" i="2"/>
  <c r="E2818" i="2"/>
  <c r="D2818" i="2"/>
  <c r="C2818" i="2"/>
  <c r="B2818" i="2"/>
  <c r="A2818" i="2"/>
  <c r="E2817" i="2"/>
  <c r="D2817" i="2"/>
  <c r="C2817" i="2"/>
  <c r="B2817" i="2"/>
  <c r="A2817" i="2"/>
  <c r="E2816" i="2"/>
  <c r="D2816" i="2"/>
  <c r="C2816" i="2"/>
  <c r="B2816" i="2"/>
  <c r="A2816" i="2"/>
  <c r="E2815" i="2"/>
  <c r="D2815" i="2"/>
  <c r="C2815" i="2"/>
  <c r="B2815" i="2"/>
  <c r="A2815" i="2"/>
  <c r="E2814" i="2"/>
  <c r="D2814" i="2"/>
  <c r="C2814" i="2"/>
  <c r="B2814" i="2"/>
  <c r="A2814" i="2"/>
  <c r="E2813" i="2"/>
  <c r="D2813" i="2"/>
  <c r="C2813" i="2"/>
  <c r="B2813" i="2"/>
  <c r="A2813" i="2"/>
  <c r="E2812" i="2"/>
  <c r="D2812" i="2"/>
  <c r="C2812" i="2"/>
  <c r="B2812" i="2"/>
  <c r="A2812" i="2"/>
  <c r="E2811" i="2"/>
  <c r="D2811" i="2"/>
  <c r="C2811" i="2"/>
  <c r="B2811" i="2"/>
  <c r="A2811" i="2"/>
  <c r="E2810" i="2"/>
  <c r="D2810" i="2"/>
  <c r="C2810" i="2"/>
  <c r="B2810" i="2"/>
  <c r="A2810" i="2"/>
  <c r="E2809" i="2"/>
  <c r="D2809" i="2"/>
  <c r="C2809" i="2"/>
  <c r="B2809" i="2"/>
  <c r="A2809" i="2"/>
  <c r="E2808" i="2"/>
  <c r="D2808" i="2"/>
  <c r="C2808" i="2"/>
  <c r="B2808" i="2"/>
  <c r="A2808" i="2"/>
  <c r="E2807" i="2"/>
  <c r="D2807" i="2"/>
  <c r="C2807" i="2"/>
  <c r="B2807" i="2"/>
  <c r="A2807" i="2"/>
  <c r="E2806" i="2"/>
  <c r="D2806" i="2"/>
  <c r="C2806" i="2"/>
  <c r="B2806" i="2"/>
  <c r="A2806" i="2"/>
  <c r="E2805" i="2"/>
  <c r="D2805" i="2"/>
  <c r="C2805" i="2"/>
  <c r="B2805" i="2"/>
  <c r="A2805" i="2"/>
  <c r="E2804" i="2"/>
  <c r="D2804" i="2"/>
  <c r="C2804" i="2"/>
  <c r="B2804" i="2"/>
  <c r="A2804" i="2"/>
  <c r="E2803" i="2"/>
  <c r="D2803" i="2"/>
  <c r="C2803" i="2"/>
  <c r="B2803" i="2"/>
  <c r="A2803" i="2"/>
  <c r="E2802" i="2"/>
  <c r="D2802" i="2"/>
  <c r="C2802" i="2"/>
  <c r="B2802" i="2"/>
  <c r="A2802" i="2"/>
  <c r="E2801" i="2"/>
  <c r="D2801" i="2"/>
  <c r="C2801" i="2"/>
  <c r="B2801" i="2"/>
  <c r="A2801" i="2"/>
  <c r="E2800" i="2"/>
  <c r="D2800" i="2"/>
  <c r="C2800" i="2"/>
  <c r="B2800" i="2"/>
  <c r="A2800" i="2"/>
  <c r="E2799" i="2"/>
  <c r="D2799" i="2"/>
  <c r="C2799" i="2"/>
  <c r="B2799" i="2"/>
  <c r="A2799" i="2"/>
  <c r="E2798" i="2"/>
  <c r="D2798" i="2"/>
  <c r="C2798" i="2"/>
  <c r="B2798" i="2"/>
  <c r="A2798" i="2"/>
  <c r="E2797" i="2"/>
  <c r="D2797" i="2"/>
  <c r="C2797" i="2"/>
  <c r="B2797" i="2"/>
  <c r="A2797" i="2"/>
  <c r="E2796" i="2"/>
  <c r="D2796" i="2"/>
  <c r="C2796" i="2"/>
  <c r="B2796" i="2"/>
  <c r="A2796" i="2"/>
  <c r="E2795" i="2"/>
  <c r="D2795" i="2"/>
  <c r="C2795" i="2"/>
  <c r="B2795" i="2"/>
  <c r="A2795" i="2"/>
  <c r="E2794" i="2"/>
  <c r="D2794" i="2"/>
  <c r="C2794" i="2"/>
  <c r="B2794" i="2"/>
  <c r="A2794" i="2"/>
  <c r="E2793" i="2"/>
  <c r="D2793" i="2"/>
  <c r="C2793" i="2"/>
  <c r="B2793" i="2"/>
  <c r="A2793" i="2"/>
  <c r="E2792" i="2"/>
  <c r="D2792" i="2"/>
  <c r="C2792" i="2"/>
  <c r="B2792" i="2"/>
  <c r="A2792" i="2"/>
  <c r="E2791" i="2"/>
  <c r="D2791" i="2"/>
  <c r="C2791" i="2"/>
  <c r="B2791" i="2"/>
  <c r="A2791" i="2"/>
  <c r="E2790" i="2"/>
  <c r="D2790" i="2"/>
  <c r="C2790" i="2"/>
  <c r="B2790" i="2"/>
  <c r="A2790" i="2"/>
  <c r="E2789" i="2"/>
  <c r="D2789" i="2"/>
  <c r="C2789" i="2"/>
  <c r="B2789" i="2"/>
  <c r="A2789" i="2"/>
  <c r="E2788" i="2"/>
  <c r="D2788" i="2"/>
  <c r="C2788" i="2"/>
  <c r="B2788" i="2"/>
  <c r="A2788" i="2"/>
  <c r="E2787" i="2"/>
  <c r="D2787" i="2"/>
  <c r="C2787" i="2"/>
  <c r="B2787" i="2"/>
  <c r="A2787" i="2"/>
  <c r="E2786" i="2"/>
  <c r="D2786" i="2"/>
  <c r="C2786" i="2"/>
  <c r="B2786" i="2"/>
  <c r="A2786" i="2"/>
  <c r="E2785" i="2"/>
  <c r="D2785" i="2"/>
  <c r="C2785" i="2"/>
  <c r="B2785" i="2"/>
  <c r="A2785" i="2"/>
  <c r="E2784" i="2"/>
  <c r="D2784" i="2"/>
  <c r="C2784" i="2"/>
  <c r="B2784" i="2"/>
  <c r="A2784" i="2"/>
  <c r="E2783" i="2"/>
  <c r="D2783" i="2"/>
  <c r="C2783" i="2"/>
  <c r="B2783" i="2"/>
  <c r="A2783" i="2"/>
  <c r="E2782" i="2"/>
  <c r="D2782" i="2"/>
  <c r="C2782" i="2"/>
  <c r="B2782" i="2"/>
  <c r="A2782" i="2"/>
  <c r="E2781" i="2"/>
  <c r="D2781" i="2"/>
  <c r="C2781" i="2"/>
  <c r="B2781" i="2"/>
  <c r="A2781" i="2"/>
  <c r="E2780" i="2"/>
  <c r="D2780" i="2"/>
  <c r="C2780" i="2"/>
  <c r="B2780" i="2"/>
  <c r="A2780" i="2"/>
  <c r="E2779" i="2"/>
  <c r="D2779" i="2"/>
  <c r="C2779" i="2"/>
  <c r="B2779" i="2"/>
  <c r="A2779" i="2"/>
  <c r="E2778" i="2"/>
  <c r="D2778" i="2"/>
  <c r="C2778" i="2"/>
  <c r="B2778" i="2"/>
  <c r="A2778" i="2"/>
  <c r="E2777" i="2"/>
  <c r="D2777" i="2"/>
  <c r="C2777" i="2"/>
  <c r="B2777" i="2"/>
  <c r="A2777" i="2"/>
  <c r="E2776" i="2"/>
  <c r="D2776" i="2"/>
  <c r="C2776" i="2"/>
  <c r="B2776" i="2"/>
  <c r="A2776" i="2"/>
  <c r="E2775" i="2"/>
  <c r="D2775" i="2"/>
  <c r="C2775" i="2"/>
  <c r="B2775" i="2"/>
  <c r="A2775" i="2"/>
  <c r="E2774" i="2"/>
  <c r="D2774" i="2"/>
  <c r="C2774" i="2"/>
  <c r="B2774" i="2"/>
  <c r="A2774" i="2"/>
  <c r="E2773" i="2"/>
  <c r="D2773" i="2"/>
  <c r="C2773" i="2"/>
  <c r="B2773" i="2"/>
  <c r="A2773" i="2"/>
  <c r="E2772" i="2"/>
  <c r="D2772" i="2"/>
  <c r="C2772" i="2"/>
  <c r="B2772" i="2"/>
  <c r="A2772" i="2"/>
  <c r="E2771" i="2"/>
  <c r="D2771" i="2"/>
  <c r="C2771" i="2"/>
  <c r="B2771" i="2"/>
  <c r="A2771" i="2"/>
  <c r="E2770" i="2"/>
  <c r="D2770" i="2"/>
  <c r="C2770" i="2"/>
  <c r="B2770" i="2"/>
  <c r="A2770" i="2"/>
  <c r="E2769" i="2"/>
  <c r="D2769" i="2"/>
  <c r="C2769" i="2"/>
  <c r="B2769" i="2"/>
  <c r="A2769" i="2"/>
  <c r="E2768" i="2"/>
  <c r="D2768" i="2"/>
  <c r="C2768" i="2"/>
  <c r="B2768" i="2"/>
  <c r="A2768" i="2"/>
  <c r="E2767" i="2"/>
  <c r="D2767" i="2"/>
  <c r="C2767" i="2"/>
  <c r="B2767" i="2"/>
  <c r="A2767" i="2"/>
  <c r="E2766" i="2"/>
  <c r="D2766" i="2"/>
  <c r="C2766" i="2"/>
  <c r="B2766" i="2"/>
  <c r="A2766" i="2"/>
  <c r="E2765" i="2"/>
  <c r="D2765" i="2"/>
  <c r="C2765" i="2"/>
  <c r="B2765" i="2"/>
  <c r="A2765" i="2"/>
  <c r="E2764" i="2"/>
  <c r="D2764" i="2"/>
  <c r="C2764" i="2"/>
  <c r="B2764" i="2"/>
  <c r="A2764" i="2"/>
  <c r="E2763" i="2"/>
  <c r="D2763" i="2"/>
  <c r="C2763" i="2"/>
  <c r="B2763" i="2"/>
  <c r="A2763" i="2"/>
  <c r="E2762" i="2"/>
  <c r="D2762" i="2"/>
  <c r="C2762" i="2"/>
  <c r="B2762" i="2"/>
  <c r="A2762" i="2"/>
  <c r="E2761" i="2"/>
  <c r="D2761" i="2"/>
  <c r="C2761" i="2"/>
  <c r="B2761" i="2"/>
  <c r="A2761" i="2"/>
  <c r="E2760" i="2"/>
  <c r="D2760" i="2"/>
  <c r="C2760" i="2"/>
  <c r="B2760" i="2"/>
  <c r="A2760" i="2"/>
  <c r="E2759" i="2"/>
  <c r="D2759" i="2"/>
  <c r="C2759" i="2"/>
  <c r="B2759" i="2"/>
  <c r="A2759" i="2"/>
  <c r="E2758" i="2"/>
  <c r="D2758" i="2"/>
  <c r="C2758" i="2"/>
  <c r="B2758" i="2"/>
  <c r="A2758" i="2"/>
  <c r="E2757" i="2"/>
  <c r="D2757" i="2"/>
  <c r="C2757" i="2"/>
  <c r="B2757" i="2"/>
  <c r="A2757" i="2"/>
  <c r="E2756" i="2"/>
  <c r="D2756" i="2"/>
  <c r="C2756" i="2"/>
  <c r="B2756" i="2"/>
  <c r="A2756" i="2"/>
  <c r="E2755" i="2"/>
  <c r="D2755" i="2"/>
  <c r="C2755" i="2"/>
  <c r="B2755" i="2"/>
  <c r="A2755" i="2"/>
  <c r="E2754" i="2"/>
  <c r="D2754" i="2"/>
  <c r="C2754" i="2"/>
  <c r="B2754" i="2"/>
  <c r="A2754" i="2"/>
  <c r="E2753" i="2"/>
  <c r="D2753" i="2"/>
  <c r="C2753" i="2"/>
  <c r="B2753" i="2"/>
  <c r="A2753" i="2"/>
  <c r="E2752" i="2"/>
  <c r="D2752" i="2"/>
  <c r="C2752" i="2"/>
  <c r="B2752" i="2"/>
  <c r="A2752" i="2"/>
  <c r="E2751" i="2"/>
  <c r="D2751" i="2"/>
  <c r="C2751" i="2"/>
  <c r="B2751" i="2"/>
  <c r="A2751" i="2"/>
  <c r="E2750" i="2"/>
  <c r="D2750" i="2"/>
  <c r="C2750" i="2"/>
  <c r="B2750" i="2"/>
  <c r="A2750" i="2"/>
  <c r="E2749" i="2"/>
  <c r="D2749" i="2"/>
  <c r="C2749" i="2"/>
  <c r="B2749" i="2"/>
  <c r="A2749" i="2"/>
  <c r="E2748" i="2"/>
  <c r="D2748" i="2"/>
  <c r="C2748" i="2"/>
  <c r="B2748" i="2"/>
  <c r="A2748" i="2"/>
  <c r="E2747" i="2"/>
  <c r="D2747" i="2"/>
  <c r="C2747" i="2"/>
  <c r="B2747" i="2"/>
  <c r="A2747" i="2"/>
  <c r="E2746" i="2"/>
  <c r="D2746" i="2"/>
  <c r="C2746" i="2"/>
  <c r="B2746" i="2"/>
  <c r="A2746" i="2"/>
  <c r="E2745" i="2"/>
  <c r="D2745" i="2"/>
  <c r="C2745" i="2"/>
  <c r="B2745" i="2"/>
  <c r="A2745" i="2"/>
  <c r="E2744" i="2"/>
  <c r="D2744" i="2"/>
  <c r="C2744" i="2"/>
  <c r="B2744" i="2"/>
  <c r="A2744" i="2"/>
  <c r="E2743" i="2"/>
  <c r="D2743" i="2"/>
  <c r="C2743" i="2"/>
  <c r="B2743" i="2"/>
  <c r="A2743" i="2"/>
  <c r="E2742" i="2"/>
  <c r="D2742" i="2"/>
  <c r="C2742" i="2"/>
  <c r="B2742" i="2"/>
  <c r="A2742" i="2"/>
  <c r="E2741" i="2"/>
  <c r="D2741" i="2"/>
  <c r="C2741" i="2"/>
  <c r="B2741" i="2"/>
  <c r="A2741" i="2"/>
  <c r="E2740" i="2"/>
  <c r="D2740" i="2"/>
  <c r="C2740" i="2"/>
  <c r="B2740" i="2"/>
  <c r="A2740" i="2"/>
  <c r="E2739" i="2"/>
  <c r="D2739" i="2"/>
  <c r="C2739" i="2"/>
  <c r="B2739" i="2"/>
  <c r="A2739" i="2"/>
  <c r="E2738" i="2"/>
  <c r="D2738" i="2"/>
  <c r="C2738" i="2"/>
  <c r="B2738" i="2"/>
  <c r="A2738" i="2"/>
  <c r="E2737" i="2"/>
  <c r="D2737" i="2"/>
  <c r="C2737" i="2"/>
  <c r="B2737" i="2"/>
  <c r="A2737" i="2"/>
  <c r="E2736" i="2"/>
  <c r="D2736" i="2"/>
  <c r="C2736" i="2"/>
  <c r="B2736" i="2"/>
  <c r="A2736" i="2"/>
  <c r="E2735" i="2"/>
  <c r="D2735" i="2"/>
  <c r="C2735" i="2"/>
  <c r="B2735" i="2"/>
  <c r="A2735" i="2"/>
  <c r="E2734" i="2"/>
  <c r="D2734" i="2"/>
  <c r="C2734" i="2"/>
  <c r="B2734" i="2"/>
  <c r="A2734" i="2"/>
  <c r="E2733" i="2"/>
  <c r="D2733" i="2"/>
  <c r="C2733" i="2"/>
  <c r="B2733" i="2"/>
  <c r="A2733" i="2"/>
  <c r="E2732" i="2"/>
  <c r="D2732" i="2"/>
  <c r="C2732" i="2"/>
  <c r="B2732" i="2"/>
  <c r="A2732" i="2"/>
  <c r="E2731" i="2"/>
  <c r="D2731" i="2"/>
  <c r="C2731" i="2"/>
  <c r="B2731" i="2"/>
  <c r="A2731" i="2"/>
  <c r="E2730" i="2"/>
  <c r="D2730" i="2"/>
  <c r="C2730" i="2"/>
  <c r="B2730" i="2"/>
  <c r="A2730" i="2"/>
  <c r="E2729" i="2"/>
  <c r="D2729" i="2"/>
  <c r="C2729" i="2"/>
  <c r="B2729" i="2"/>
  <c r="A2729" i="2"/>
  <c r="E2728" i="2"/>
  <c r="D2728" i="2"/>
  <c r="C2728" i="2"/>
  <c r="B2728" i="2"/>
  <c r="A2728" i="2"/>
  <c r="E2727" i="2"/>
  <c r="D2727" i="2"/>
  <c r="C2727" i="2"/>
  <c r="B2727" i="2"/>
  <c r="A2727" i="2"/>
  <c r="E2726" i="2"/>
  <c r="D2726" i="2"/>
  <c r="C2726" i="2"/>
  <c r="B2726" i="2"/>
  <c r="A2726" i="2"/>
  <c r="E2725" i="2"/>
  <c r="D2725" i="2"/>
  <c r="C2725" i="2"/>
  <c r="B2725" i="2"/>
  <c r="A2725" i="2"/>
  <c r="E2724" i="2"/>
  <c r="D2724" i="2"/>
  <c r="C2724" i="2"/>
  <c r="B2724" i="2"/>
  <c r="A2724" i="2"/>
  <c r="E2723" i="2"/>
  <c r="D2723" i="2"/>
  <c r="C2723" i="2"/>
  <c r="B2723" i="2"/>
  <c r="A2723" i="2"/>
  <c r="E2722" i="2"/>
  <c r="D2722" i="2"/>
  <c r="C2722" i="2"/>
  <c r="B2722" i="2"/>
  <c r="A2722" i="2"/>
  <c r="E2721" i="2"/>
  <c r="D2721" i="2"/>
  <c r="C2721" i="2"/>
  <c r="B2721" i="2"/>
  <c r="A2721" i="2"/>
  <c r="E2720" i="2"/>
  <c r="D2720" i="2"/>
  <c r="C2720" i="2"/>
  <c r="B2720" i="2"/>
  <c r="A2720" i="2"/>
  <c r="E2719" i="2"/>
  <c r="D2719" i="2"/>
  <c r="C2719" i="2"/>
  <c r="B2719" i="2"/>
  <c r="A2719" i="2"/>
  <c r="E2718" i="2"/>
  <c r="D2718" i="2"/>
  <c r="C2718" i="2"/>
  <c r="B2718" i="2"/>
  <c r="A2718" i="2"/>
  <c r="E2717" i="2"/>
  <c r="D2717" i="2"/>
  <c r="C2717" i="2"/>
  <c r="B2717" i="2"/>
  <c r="A2717" i="2"/>
  <c r="E2716" i="2"/>
  <c r="D2716" i="2"/>
  <c r="C2716" i="2"/>
  <c r="B2716" i="2"/>
  <c r="A2716" i="2"/>
  <c r="E2715" i="2"/>
  <c r="D2715" i="2"/>
  <c r="C2715" i="2"/>
  <c r="B2715" i="2"/>
  <c r="A2715" i="2"/>
  <c r="E2714" i="2"/>
  <c r="D2714" i="2"/>
  <c r="C2714" i="2"/>
  <c r="B2714" i="2"/>
  <c r="A2714" i="2"/>
  <c r="E2713" i="2"/>
  <c r="D2713" i="2"/>
  <c r="C2713" i="2"/>
  <c r="B2713" i="2"/>
  <c r="A2713" i="2"/>
  <c r="E2712" i="2"/>
  <c r="D2712" i="2"/>
  <c r="C2712" i="2"/>
  <c r="B2712" i="2"/>
  <c r="A2712" i="2"/>
  <c r="E2711" i="2"/>
  <c r="D2711" i="2"/>
  <c r="C2711" i="2"/>
  <c r="B2711" i="2"/>
  <c r="A2711" i="2"/>
  <c r="E2710" i="2"/>
  <c r="D2710" i="2"/>
  <c r="C2710" i="2"/>
  <c r="B2710" i="2"/>
  <c r="A2710" i="2"/>
  <c r="E2709" i="2"/>
  <c r="D2709" i="2"/>
  <c r="C2709" i="2"/>
  <c r="B2709" i="2"/>
  <c r="A2709" i="2"/>
  <c r="E2708" i="2"/>
  <c r="D2708" i="2"/>
  <c r="C2708" i="2"/>
  <c r="B2708" i="2"/>
  <c r="A2708" i="2"/>
  <c r="E2707" i="2"/>
  <c r="D2707" i="2"/>
  <c r="C2707" i="2"/>
  <c r="B2707" i="2"/>
  <c r="A2707" i="2"/>
  <c r="E2706" i="2"/>
  <c r="D2706" i="2"/>
  <c r="C2706" i="2"/>
  <c r="B2706" i="2"/>
  <c r="A2706" i="2"/>
  <c r="E2705" i="2"/>
  <c r="D2705" i="2"/>
  <c r="C2705" i="2"/>
  <c r="B2705" i="2"/>
  <c r="A2705" i="2"/>
  <c r="E2704" i="2"/>
  <c r="D2704" i="2"/>
  <c r="C2704" i="2"/>
  <c r="B2704" i="2"/>
  <c r="A2704" i="2"/>
  <c r="E2703" i="2"/>
  <c r="D2703" i="2"/>
  <c r="C2703" i="2"/>
  <c r="B2703" i="2"/>
  <c r="A2703" i="2"/>
  <c r="E2702" i="2"/>
  <c r="D2702" i="2"/>
  <c r="C2702" i="2"/>
  <c r="B2702" i="2"/>
  <c r="A2702" i="2"/>
  <c r="E2701" i="2"/>
  <c r="D2701" i="2"/>
  <c r="C2701" i="2"/>
  <c r="B2701" i="2"/>
  <c r="A2701" i="2"/>
  <c r="E2700" i="2"/>
  <c r="D2700" i="2"/>
  <c r="C2700" i="2"/>
  <c r="B2700" i="2"/>
  <c r="A2700" i="2"/>
  <c r="E2699" i="2"/>
  <c r="D2699" i="2"/>
  <c r="C2699" i="2"/>
  <c r="B2699" i="2"/>
  <c r="A2699" i="2"/>
  <c r="E2698" i="2"/>
  <c r="D2698" i="2"/>
  <c r="C2698" i="2"/>
  <c r="B2698" i="2"/>
  <c r="A2698" i="2"/>
  <c r="E2697" i="2"/>
  <c r="D2697" i="2"/>
  <c r="C2697" i="2"/>
  <c r="B2697" i="2"/>
  <c r="A2697" i="2"/>
  <c r="E2696" i="2"/>
  <c r="D2696" i="2"/>
  <c r="C2696" i="2"/>
  <c r="B2696" i="2"/>
  <c r="A2696" i="2"/>
  <c r="E2695" i="2"/>
  <c r="D2695" i="2"/>
  <c r="C2695" i="2"/>
  <c r="B2695" i="2"/>
  <c r="A2695" i="2"/>
  <c r="E2694" i="2"/>
  <c r="D2694" i="2"/>
  <c r="C2694" i="2"/>
  <c r="B2694" i="2"/>
  <c r="A2694" i="2"/>
  <c r="E2693" i="2"/>
  <c r="D2693" i="2"/>
  <c r="C2693" i="2"/>
  <c r="B2693" i="2"/>
  <c r="A2693" i="2"/>
  <c r="E2692" i="2"/>
  <c r="D2692" i="2"/>
  <c r="C2692" i="2"/>
  <c r="B2692" i="2"/>
  <c r="A2692" i="2"/>
  <c r="E2691" i="2"/>
  <c r="D2691" i="2"/>
  <c r="C2691" i="2"/>
  <c r="B2691" i="2"/>
  <c r="A2691" i="2"/>
  <c r="E2690" i="2"/>
  <c r="D2690" i="2"/>
  <c r="C2690" i="2"/>
  <c r="B2690" i="2"/>
  <c r="A2690" i="2"/>
  <c r="E2689" i="2"/>
  <c r="D2689" i="2"/>
  <c r="C2689" i="2"/>
  <c r="B2689" i="2"/>
  <c r="A2689" i="2"/>
  <c r="E2688" i="2"/>
  <c r="D2688" i="2"/>
  <c r="C2688" i="2"/>
  <c r="B2688" i="2"/>
  <c r="A2688" i="2"/>
  <c r="E2687" i="2"/>
  <c r="D2687" i="2"/>
  <c r="C2687" i="2"/>
  <c r="B2687" i="2"/>
  <c r="A2687" i="2"/>
  <c r="E2686" i="2"/>
  <c r="D2686" i="2"/>
  <c r="C2686" i="2"/>
  <c r="B2686" i="2"/>
  <c r="A2686" i="2"/>
  <c r="E2685" i="2"/>
  <c r="D2685" i="2"/>
  <c r="C2685" i="2"/>
  <c r="B2685" i="2"/>
  <c r="A2685" i="2"/>
  <c r="E2684" i="2"/>
  <c r="D2684" i="2"/>
  <c r="C2684" i="2"/>
  <c r="B2684" i="2"/>
  <c r="A2684" i="2"/>
  <c r="E2683" i="2"/>
  <c r="D2683" i="2"/>
  <c r="C2683" i="2"/>
  <c r="B2683" i="2"/>
  <c r="A2683" i="2"/>
  <c r="E2682" i="2"/>
  <c r="D2682" i="2"/>
  <c r="C2682" i="2"/>
  <c r="B2682" i="2"/>
  <c r="A2682" i="2"/>
  <c r="E2681" i="2"/>
  <c r="D2681" i="2"/>
  <c r="C2681" i="2"/>
  <c r="B2681" i="2"/>
  <c r="A2681" i="2"/>
  <c r="E2680" i="2"/>
  <c r="D2680" i="2"/>
  <c r="C2680" i="2"/>
  <c r="B2680" i="2"/>
  <c r="A2680" i="2"/>
  <c r="E2679" i="2"/>
  <c r="D2679" i="2"/>
  <c r="C2679" i="2"/>
  <c r="B2679" i="2"/>
  <c r="A2679" i="2"/>
  <c r="E2678" i="2"/>
  <c r="D2678" i="2"/>
  <c r="C2678" i="2"/>
  <c r="B2678" i="2"/>
  <c r="A2678" i="2"/>
  <c r="E2677" i="2"/>
  <c r="D2677" i="2"/>
  <c r="C2677" i="2"/>
  <c r="B2677" i="2"/>
  <c r="A2677" i="2"/>
  <c r="E2676" i="2"/>
  <c r="D2676" i="2"/>
  <c r="C2676" i="2"/>
  <c r="B2676" i="2"/>
  <c r="A2676" i="2"/>
  <c r="E2675" i="2"/>
  <c r="D2675" i="2"/>
  <c r="C2675" i="2"/>
  <c r="B2675" i="2"/>
  <c r="A2675" i="2"/>
  <c r="E2674" i="2"/>
  <c r="D2674" i="2"/>
  <c r="C2674" i="2"/>
  <c r="B2674" i="2"/>
  <c r="A2674" i="2"/>
  <c r="E2673" i="2"/>
  <c r="D2673" i="2"/>
  <c r="C2673" i="2"/>
  <c r="B2673" i="2"/>
  <c r="A2673" i="2"/>
  <c r="E2672" i="2"/>
  <c r="D2672" i="2"/>
  <c r="C2672" i="2"/>
  <c r="B2672" i="2"/>
  <c r="A2672" i="2"/>
  <c r="E2671" i="2"/>
  <c r="D2671" i="2"/>
  <c r="C2671" i="2"/>
  <c r="B2671" i="2"/>
  <c r="A2671" i="2"/>
  <c r="E2670" i="2"/>
  <c r="D2670" i="2"/>
  <c r="C2670" i="2"/>
  <c r="B2670" i="2"/>
  <c r="A2670" i="2"/>
  <c r="E2669" i="2"/>
  <c r="D2669" i="2"/>
  <c r="C2669" i="2"/>
  <c r="B2669" i="2"/>
  <c r="A2669" i="2"/>
  <c r="E2668" i="2"/>
  <c r="D2668" i="2"/>
  <c r="C2668" i="2"/>
  <c r="B2668" i="2"/>
  <c r="A2668" i="2"/>
  <c r="E2667" i="2"/>
  <c r="D2667" i="2"/>
  <c r="C2667" i="2"/>
  <c r="B2667" i="2"/>
  <c r="A2667" i="2"/>
  <c r="E2666" i="2"/>
  <c r="D2666" i="2"/>
  <c r="C2666" i="2"/>
  <c r="B2666" i="2"/>
  <c r="A2666" i="2"/>
  <c r="E2665" i="2"/>
  <c r="D2665" i="2"/>
  <c r="C2665" i="2"/>
  <c r="B2665" i="2"/>
  <c r="A2665" i="2"/>
  <c r="E2664" i="2"/>
  <c r="D2664" i="2"/>
  <c r="C2664" i="2"/>
  <c r="B2664" i="2"/>
  <c r="A2664" i="2"/>
  <c r="E2663" i="2"/>
  <c r="D2663" i="2"/>
  <c r="C2663" i="2"/>
  <c r="B2663" i="2"/>
  <c r="A2663" i="2"/>
  <c r="E2662" i="2"/>
  <c r="D2662" i="2"/>
  <c r="C2662" i="2"/>
  <c r="B2662" i="2"/>
  <c r="A2662" i="2"/>
  <c r="E2661" i="2"/>
  <c r="D2661" i="2"/>
  <c r="C2661" i="2"/>
  <c r="B2661" i="2"/>
  <c r="A2661" i="2"/>
  <c r="E2660" i="2"/>
  <c r="D2660" i="2"/>
  <c r="C2660" i="2"/>
  <c r="B2660" i="2"/>
  <c r="A2660" i="2"/>
  <c r="E2659" i="2"/>
  <c r="D2659" i="2"/>
  <c r="C2659" i="2"/>
  <c r="B2659" i="2"/>
  <c r="A2659" i="2"/>
  <c r="E2658" i="2"/>
  <c r="D2658" i="2"/>
  <c r="C2658" i="2"/>
  <c r="B2658" i="2"/>
  <c r="A2658" i="2"/>
  <c r="E2657" i="2"/>
  <c r="D2657" i="2"/>
  <c r="C2657" i="2"/>
  <c r="B2657" i="2"/>
  <c r="A2657" i="2"/>
  <c r="E2656" i="2"/>
  <c r="D2656" i="2"/>
  <c r="C2656" i="2"/>
  <c r="B2656" i="2"/>
  <c r="A2656" i="2"/>
  <c r="E2655" i="2"/>
  <c r="D2655" i="2"/>
  <c r="C2655" i="2"/>
  <c r="B2655" i="2"/>
  <c r="A2655" i="2"/>
  <c r="E2654" i="2"/>
  <c r="D2654" i="2"/>
  <c r="C2654" i="2"/>
  <c r="B2654" i="2"/>
  <c r="A2654" i="2"/>
  <c r="E2653" i="2"/>
  <c r="D2653" i="2"/>
  <c r="C2653" i="2"/>
  <c r="B2653" i="2"/>
  <c r="A2653" i="2"/>
  <c r="E2652" i="2"/>
  <c r="D2652" i="2"/>
  <c r="C2652" i="2"/>
  <c r="B2652" i="2"/>
  <c r="A2652" i="2"/>
  <c r="E2651" i="2"/>
  <c r="D2651" i="2"/>
  <c r="C2651" i="2"/>
  <c r="B2651" i="2"/>
  <c r="A2651" i="2"/>
  <c r="E2650" i="2"/>
  <c r="D2650" i="2"/>
  <c r="C2650" i="2"/>
  <c r="B2650" i="2"/>
  <c r="A2650" i="2"/>
  <c r="E2649" i="2"/>
  <c r="D2649" i="2"/>
  <c r="C2649" i="2"/>
  <c r="B2649" i="2"/>
  <c r="A2649" i="2"/>
  <c r="E2648" i="2"/>
  <c r="D2648" i="2"/>
  <c r="C2648" i="2"/>
  <c r="B2648" i="2"/>
  <c r="A2648" i="2"/>
  <c r="E2647" i="2"/>
  <c r="D2647" i="2"/>
  <c r="C2647" i="2"/>
  <c r="B2647" i="2"/>
  <c r="A2647" i="2"/>
  <c r="E2646" i="2"/>
  <c r="D2646" i="2"/>
  <c r="C2646" i="2"/>
  <c r="B2646" i="2"/>
  <c r="A2646" i="2"/>
  <c r="E2645" i="2"/>
  <c r="D2645" i="2"/>
  <c r="C2645" i="2"/>
  <c r="B2645" i="2"/>
  <c r="A2645" i="2"/>
  <c r="E2644" i="2"/>
  <c r="D2644" i="2"/>
  <c r="C2644" i="2"/>
  <c r="B2644" i="2"/>
  <c r="A2644" i="2"/>
  <c r="E2643" i="2"/>
  <c r="D2643" i="2"/>
  <c r="C2643" i="2"/>
  <c r="B2643" i="2"/>
  <c r="A2643" i="2"/>
  <c r="E2642" i="2"/>
  <c r="D2642" i="2"/>
  <c r="C2642" i="2"/>
  <c r="B2642" i="2"/>
  <c r="A2642" i="2"/>
  <c r="E2641" i="2"/>
  <c r="D2641" i="2"/>
  <c r="C2641" i="2"/>
  <c r="B2641" i="2"/>
  <c r="A2641" i="2"/>
  <c r="E2640" i="2"/>
  <c r="D2640" i="2"/>
  <c r="C2640" i="2"/>
  <c r="B2640" i="2"/>
  <c r="A2640" i="2"/>
  <c r="E2639" i="2"/>
  <c r="D2639" i="2"/>
  <c r="C2639" i="2"/>
  <c r="B2639" i="2"/>
  <c r="A2639" i="2"/>
  <c r="E2638" i="2"/>
  <c r="D2638" i="2"/>
  <c r="C2638" i="2"/>
  <c r="B2638" i="2"/>
  <c r="A2638" i="2"/>
  <c r="E2637" i="2"/>
  <c r="D2637" i="2"/>
  <c r="C2637" i="2"/>
  <c r="B2637" i="2"/>
  <c r="A2637" i="2"/>
  <c r="E2636" i="2"/>
  <c r="D2636" i="2"/>
  <c r="C2636" i="2"/>
  <c r="B2636" i="2"/>
  <c r="A2636" i="2"/>
  <c r="E2635" i="2"/>
  <c r="D2635" i="2"/>
  <c r="C2635" i="2"/>
  <c r="B2635" i="2"/>
  <c r="A2635" i="2"/>
  <c r="E2634" i="2"/>
  <c r="D2634" i="2"/>
  <c r="C2634" i="2"/>
  <c r="B2634" i="2"/>
  <c r="A2634" i="2"/>
  <c r="E2633" i="2"/>
  <c r="D2633" i="2"/>
  <c r="C2633" i="2"/>
  <c r="B2633" i="2"/>
  <c r="A2633" i="2"/>
  <c r="E2632" i="2"/>
  <c r="D2632" i="2"/>
  <c r="C2632" i="2"/>
  <c r="B2632" i="2"/>
  <c r="A2632" i="2"/>
  <c r="E2631" i="2"/>
  <c r="D2631" i="2"/>
  <c r="C2631" i="2"/>
  <c r="B2631" i="2"/>
  <c r="A2631" i="2"/>
  <c r="E2630" i="2"/>
  <c r="D2630" i="2"/>
  <c r="C2630" i="2"/>
  <c r="B2630" i="2"/>
  <c r="A2630" i="2"/>
  <c r="E2629" i="2"/>
  <c r="D2629" i="2"/>
  <c r="C2629" i="2"/>
  <c r="B2629" i="2"/>
  <c r="A2629" i="2"/>
  <c r="E2628" i="2"/>
  <c r="D2628" i="2"/>
  <c r="C2628" i="2"/>
  <c r="B2628" i="2"/>
  <c r="A2628" i="2"/>
  <c r="E2627" i="2"/>
  <c r="D2627" i="2"/>
  <c r="C2627" i="2"/>
  <c r="B2627" i="2"/>
  <c r="A2627" i="2"/>
  <c r="E2626" i="2"/>
  <c r="D2626" i="2"/>
  <c r="C2626" i="2"/>
  <c r="B2626" i="2"/>
  <c r="A2626" i="2"/>
  <c r="E2625" i="2"/>
  <c r="D2625" i="2"/>
  <c r="C2625" i="2"/>
  <c r="B2625" i="2"/>
  <c r="A2625" i="2"/>
  <c r="E2624" i="2"/>
  <c r="D2624" i="2"/>
  <c r="C2624" i="2"/>
  <c r="B2624" i="2"/>
  <c r="A2624" i="2"/>
  <c r="E2623" i="2"/>
  <c r="D2623" i="2"/>
  <c r="C2623" i="2"/>
  <c r="B2623" i="2"/>
  <c r="A2623" i="2"/>
  <c r="E2622" i="2"/>
  <c r="D2622" i="2"/>
  <c r="C2622" i="2"/>
  <c r="B2622" i="2"/>
  <c r="A2622" i="2"/>
  <c r="E2621" i="2"/>
  <c r="D2621" i="2"/>
  <c r="C2621" i="2"/>
  <c r="B2621" i="2"/>
  <c r="A2621" i="2"/>
  <c r="E2620" i="2"/>
  <c r="D2620" i="2"/>
  <c r="C2620" i="2"/>
  <c r="B2620" i="2"/>
  <c r="A2620" i="2"/>
  <c r="E2619" i="2"/>
  <c r="D2619" i="2"/>
  <c r="C2619" i="2"/>
  <c r="B2619" i="2"/>
  <c r="A2619" i="2"/>
  <c r="E2618" i="2"/>
  <c r="D2618" i="2"/>
  <c r="C2618" i="2"/>
  <c r="B2618" i="2"/>
  <c r="A2618" i="2"/>
  <c r="E2617" i="2"/>
  <c r="D2617" i="2"/>
  <c r="C2617" i="2"/>
  <c r="B2617" i="2"/>
  <c r="A2617" i="2"/>
  <c r="E2616" i="2"/>
  <c r="D2616" i="2"/>
  <c r="C2616" i="2"/>
  <c r="B2616" i="2"/>
  <c r="A2616" i="2"/>
  <c r="E2615" i="2"/>
  <c r="D2615" i="2"/>
  <c r="C2615" i="2"/>
  <c r="B2615" i="2"/>
  <c r="A2615" i="2"/>
  <c r="E2614" i="2"/>
  <c r="D2614" i="2"/>
  <c r="C2614" i="2"/>
  <c r="B2614" i="2"/>
  <c r="A2614" i="2"/>
  <c r="E2613" i="2"/>
  <c r="D2613" i="2"/>
  <c r="C2613" i="2"/>
  <c r="B2613" i="2"/>
  <c r="A2613" i="2"/>
  <c r="E2612" i="2"/>
  <c r="D2612" i="2"/>
  <c r="C2612" i="2"/>
  <c r="B2612" i="2"/>
  <c r="A2612" i="2"/>
  <c r="E2611" i="2"/>
  <c r="D2611" i="2"/>
  <c r="C2611" i="2"/>
  <c r="B2611" i="2"/>
  <c r="A2611" i="2"/>
  <c r="E2610" i="2"/>
  <c r="D2610" i="2"/>
  <c r="C2610" i="2"/>
  <c r="B2610" i="2"/>
  <c r="A2610" i="2"/>
  <c r="E2609" i="2"/>
  <c r="D2609" i="2"/>
  <c r="C2609" i="2"/>
  <c r="B2609" i="2"/>
  <c r="A2609" i="2"/>
  <c r="E2608" i="2"/>
  <c r="D2608" i="2"/>
  <c r="C2608" i="2"/>
  <c r="B2608" i="2"/>
  <c r="A2608" i="2"/>
  <c r="E2607" i="2"/>
  <c r="D2607" i="2"/>
  <c r="C2607" i="2"/>
  <c r="B2607" i="2"/>
  <c r="A2607" i="2"/>
  <c r="E2606" i="2"/>
  <c r="D2606" i="2"/>
  <c r="C2606" i="2"/>
  <c r="B2606" i="2"/>
  <c r="A2606" i="2"/>
  <c r="E2605" i="2"/>
  <c r="D2605" i="2"/>
  <c r="C2605" i="2"/>
  <c r="B2605" i="2"/>
  <c r="A2605" i="2"/>
  <c r="E2604" i="2"/>
  <c r="D2604" i="2"/>
  <c r="C2604" i="2"/>
  <c r="B2604" i="2"/>
  <c r="A2604" i="2"/>
  <c r="E2603" i="2"/>
  <c r="D2603" i="2"/>
  <c r="C2603" i="2"/>
  <c r="B2603" i="2"/>
  <c r="A2603" i="2"/>
  <c r="E2602" i="2"/>
  <c r="D2602" i="2"/>
  <c r="C2602" i="2"/>
  <c r="B2602" i="2"/>
  <c r="A2602" i="2"/>
  <c r="E2601" i="2"/>
  <c r="D2601" i="2"/>
  <c r="C2601" i="2"/>
  <c r="B2601" i="2"/>
  <c r="A2601" i="2"/>
  <c r="E2600" i="2"/>
  <c r="D2600" i="2"/>
  <c r="C2600" i="2"/>
  <c r="B2600" i="2"/>
  <c r="A2600" i="2"/>
  <c r="E2599" i="2"/>
  <c r="D2599" i="2"/>
  <c r="C2599" i="2"/>
  <c r="B2599" i="2"/>
  <c r="A2599" i="2"/>
  <c r="E2598" i="2"/>
  <c r="D2598" i="2"/>
  <c r="C2598" i="2"/>
  <c r="B2598" i="2"/>
  <c r="A2598" i="2"/>
  <c r="E2597" i="2"/>
  <c r="D2597" i="2"/>
  <c r="C2597" i="2"/>
  <c r="B2597" i="2"/>
  <c r="A2597" i="2"/>
  <c r="E2596" i="2"/>
  <c r="D2596" i="2"/>
  <c r="C2596" i="2"/>
  <c r="B2596" i="2"/>
  <c r="A2596" i="2"/>
  <c r="E2595" i="2"/>
  <c r="D2595" i="2"/>
  <c r="C2595" i="2"/>
  <c r="B2595" i="2"/>
  <c r="A2595" i="2"/>
  <c r="E2594" i="2"/>
  <c r="D2594" i="2"/>
  <c r="C2594" i="2"/>
  <c r="B2594" i="2"/>
  <c r="A2594" i="2"/>
  <c r="E2593" i="2"/>
  <c r="D2593" i="2"/>
  <c r="C2593" i="2"/>
  <c r="B2593" i="2"/>
  <c r="A2593" i="2"/>
  <c r="E2592" i="2"/>
  <c r="D2592" i="2"/>
  <c r="C2592" i="2"/>
  <c r="B2592" i="2"/>
  <c r="A2592" i="2"/>
  <c r="E2591" i="2"/>
  <c r="D2591" i="2"/>
  <c r="C2591" i="2"/>
  <c r="B2591" i="2"/>
  <c r="A2591" i="2"/>
  <c r="E2590" i="2"/>
  <c r="D2590" i="2"/>
  <c r="C2590" i="2"/>
  <c r="B2590" i="2"/>
  <c r="A2590" i="2"/>
  <c r="E2589" i="2"/>
  <c r="D2589" i="2"/>
  <c r="C2589" i="2"/>
  <c r="B2589" i="2"/>
  <c r="A2589" i="2"/>
  <c r="E2588" i="2"/>
  <c r="D2588" i="2"/>
  <c r="C2588" i="2"/>
  <c r="B2588" i="2"/>
  <c r="A2588" i="2"/>
  <c r="E2587" i="2"/>
  <c r="D2587" i="2"/>
  <c r="C2587" i="2"/>
  <c r="B2587" i="2"/>
  <c r="A2587" i="2"/>
  <c r="E2586" i="2"/>
  <c r="D2586" i="2"/>
  <c r="C2586" i="2"/>
  <c r="B2586" i="2"/>
  <c r="A2586" i="2"/>
  <c r="E2585" i="2"/>
  <c r="D2585" i="2"/>
  <c r="C2585" i="2"/>
  <c r="B2585" i="2"/>
  <c r="A2585" i="2"/>
  <c r="E2584" i="2"/>
  <c r="D2584" i="2"/>
  <c r="C2584" i="2"/>
  <c r="B2584" i="2"/>
  <c r="A2584" i="2"/>
  <c r="E2583" i="2"/>
  <c r="D2583" i="2"/>
  <c r="C2583" i="2"/>
  <c r="B2583" i="2"/>
  <c r="A2583" i="2"/>
  <c r="E2582" i="2"/>
  <c r="D2582" i="2"/>
  <c r="C2582" i="2"/>
  <c r="B2582" i="2"/>
  <c r="A2582" i="2"/>
  <c r="E2581" i="2"/>
  <c r="D2581" i="2"/>
  <c r="C2581" i="2"/>
  <c r="B2581" i="2"/>
  <c r="A2581" i="2"/>
  <c r="E2580" i="2"/>
  <c r="D2580" i="2"/>
  <c r="C2580" i="2"/>
  <c r="B2580" i="2"/>
  <c r="A2580" i="2"/>
  <c r="E2579" i="2"/>
  <c r="D2579" i="2"/>
  <c r="C2579" i="2"/>
  <c r="B2579" i="2"/>
  <c r="A2579" i="2"/>
  <c r="E2578" i="2"/>
  <c r="D2578" i="2"/>
  <c r="C2578" i="2"/>
  <c r="B2578" i="2"/>
  <c r="A2578" i="2"/>
  <c r="E2577" i="2"/>
  <c r="D2577" i="2"/>
  <c r="C2577" i="2"/>
  <c r="B2577" i="2"/>
  <c r="A2577" i="2"/>
  <c r="E2576" i="2"/>
  <c r="D2576" i="2"/>
  <c r="C2576" i="2"/>
  <c r="B2576" i="2"/>
  <c r="A2576" i="2"/>
  <c r="E2575" i="2"/>
  <c r="D2575" i="2"/>
  <c r="C2575" i="2"/>
  <c r="B2575" i="2"/>
  <c r="A2575" i="2"/>
  <c r="E2574" i="2"/>
  <c r="D2574" i="2"/>
  <c r="C2574" i="2"/>
  <c r="B2574" i="2"/>
  <c r="A2574" i="2"/>
  <c r="E2573" i="2"/>
  <c r="D2573" i="2"/>
  <c r="C2573" i="2"/>
  <c r="B2573" i="2"/>
  <c r="A2573" i="2"/>
  <c r="E2572" i="2"/>
  <c r="D2572" i="2"/>
  <c r="C2572" i="2"/>
  <c r="B2572" i="2"/>
  <c r="A2572" i="2"/>
  <c r="E2571" i="2"/>
  <c r="D2571" i="2"/>
  <c r="C2571" i="2"/>
  <c r="B2571" i="2"/>
  <c r="A2571" i="2"/>
  <c r="E2570" i="2"/>
  <c r="D2570" i="2"/>
  <c r="C2570" i="2"/>
  <c r="B2570" i="2"/>
  <c r="A2570" i="2"/>
  <c r="E2569" i="2"/>
  <c r="D2569" i="2"/>
  <c r="C2569" i="2"/>
  <c r="B2569" i="2"/>
  <c r="A2569" i="2"/>
  <c r="E2568" i="2"/>
  <c r="D2568" i="2"/>
  <c r="C2568" i="2"/>
  <c r="B2568" i="2"/>
  <c r="A2568" i="2"/>
  <c r="E2567" i="2"/>
  <c r="D2567" i="2"/>
  <c r="C2567" i="2"/>
  <c r="B2567" i="2"/>
  <c r="A2567" i="2"/>
  <c r="E2566" i="2"/>
  <c r="D2566" i="2"/>
  <c r="C2566" i="2"/>
  <c r="B2566" i="2"/>
  <c r="A2566" i="2"/>
  <c r="E2565" i="2"/>
  <c r="D2565" i="2"/>
  <c r="C2565" i="2"/>
  <c r="B2565" i="2"/>
  <c r="A2565" i="2"/>
  <c r="E2564" i="2"/>
  <c r="D2564" i="2"/>
  <c r="C2564" i="2"/>
  <c r="B2564" i="2"/>
  <c r="A2564" i="2"/>
  <c r="E2563" i="2"/>
  <c r="D2563" i="2"/>
  <c r="C2563" i="2"/>
  <c r="B2563" i="2"/>
  <c r="A2563" i="2"/>
  <c r="E2562" i="2"/>
  <c r="D2562" i="2"/>
  <c r="C2562" i="2"/>
  <c r="B2562" i="2"/>
  <c r="A2562" i="2"/>
  <c r="E2561" i="2"/>
  <c r="D2561" i="2"/>
  <c r="C2561" i="2"/>
  <c r="B2561" i="2"/>
  <c r="A2561" i="2"/>
  <c r="E2560" i="2"/>
  <c r="D2560" i="2"/>
  <c r="C2560" i="2"/>
  <c r="B2560" i="2"/>
  <c r="A2560" i="2"/>
  <c r="E2559" i="2"/>
  <c r="D2559" i="2"/>
  <c r="C2559" i="2"/>
  <c r="B2559" i="2"/>
  <c r="A2559" i="2"/>
  <c r="E2558" i="2"/>
  <c r="D2558" i="2"/>
  <c r="C2558" i="2"/>
  <c r="B2558" i="2"/>
  <c r="A2558" i="2"/>
  <c r="E2557" i="2"/>
  <c r="D2557" i="2"/>
  <c r="C2557" i="2"/>
  <c r="B2557" i="2"/>
  <c r="A2557" i="2"/>
  <c r="E2556" i="2"/>
  <c r="D2556" i="2"/>
  <c r="C2556" i="2"/>
  <c r="B2556" i="2"/>
  <c r="A2556" i="2"/>
  <c r="E2555" i="2"/>
  <c r="D2555" i="2"/>
  <c r="C2555" i="2"/>
  <c r="B2555" i="2"/>
  <c r="A2555" i="2"/>
  <c r="E2554" i="2"/>
  <c r="D2554" i="2"/>
  <c r="C2554" i="2"/>
  <c r="B2554" i="2"/>
  <c r="A2554" i="2"/>
  <c r="E2553" i="2"/>
  <c r="D2553" i="2"/>
  <c r="C2553" i="2"/>
  <c r="B2553" i="2"/>
  <c r="A2553" i="2"/>
  <c r="E2552" i="2"/>
  <c r="D2552" i="2"/>
  <c r="C2552" i="2"/>
  <c r="B2552" i="2"/>
  <c r="A2552" i="2"/>
  <c r="E2551" i="2"/>
  <c r="D2551" i="2"/>
  <c r="C2551" i="2"/>
  <c r="B2551" i="2"/>
  <c r="A2551" i="2"/>
  <c r="E2550" i="2"/>
  <c r="D2550" i="2"/>
  <c r="C2550" i="2"/>
  <c r="B2550" i="2"/>
  <c r="A2550" i="2"/>
  <c r="E2549" i="2"/>
  <c r="D2549" i="2"/>
  <c r="C2549" i="2"/>
  <c r="B2549" i="2"/>
  <c r="A2549" i="2"/>
  <c r="E2548" i="2"/>
  <c r="D2548" i="2"/>
  <c r="C2548" i="2"/>
  <c r="B2548" i="2"/>
  <c r="A2548" i="2"/>
  <c r="E2547" i="2"/>
  <c r="D2547" i="2"/>
  <c r="C2547" i="2"/>
  <c r="B2547" i="2"/>
  <c r="A2547" i="2"/>
  <c r="E2546" i="2"/>
  <c r="D2546" i="2"/>
  <c r="C2546" i="2"/>
  <c r="B2546" i="2"/>
  <c r="A2546" i="2"/>
  <c r="E2545" i="2"/>
  <c r="D2545" i="2"/>
  <c r="C2545" i="2"/>
  <c r="B2545" i="2"/>
  <c r="A2545" i="2"/>
  <c r="E2544" i="2"/>
  <c r="D2544" i="2"/>
  <c r="C2544" i="2"/>
  <c r="B2544" i="2"/>
  <c r="A2544" i="2"/>
  <c r="E2543" i="2"/>
  <c r="D2543" i="2"/>
  <c r="C2543" i="2"/>
  <c r="B2543" i="2"/>
  <c r="A2543" i="2"/>
  <c r="E2542" i="2"/>
  <c r="D2542" i="2"/>
  <c r="C2542" i="2"/>
  <c r="B2542" i="2"/>
  <c r="A2542" i="2"/>
  <c r="E2541" i="2"/>
  <c r="D2541" i="2"/>
  <c r="C2541" i="2"/>
  <c r="B2541" i="2"/>
  <c r="A2541" i="2"/>
  <c r="E2540" i="2"/>
  <c r="D2540" i="2"/>
  <c r="C2540" i="2"/>
  <c r="B2540" i="2"/>
  <c r="A2540" i="2"/>
  <c r="E2539" i="2"/>
  <c r="D2539" i="2"/>
  <c r="C2539" i="2"/>
  <c r="B2539" i="2"/>
  <c r="A2539" i="2"/>
  <c r="E2538" i="2"/>
  <c r="D2538" i="2"/>
  <c r="C2538" i="2"/>
  <c r="B2538" i="2"/>
  <c r="A2538" i="2"/>
  <c r="E2537" i="2"/>
  <c r="D2537" i="2"/>
  <c r="C2537" i="2"/>
  <c r="B2537" i="2"/>
  <c r="A2537" i="2"/>
  <c r="E2536" i="2"/>
  <c r="D2536" i="2"/>
  <c r="C2536" i="2"/>
  <c r="B2536" i="2"/>
  <c r="A2536" i="2"/>
  <c r="E2535" i="2"/>
  <c r="D2535" i="2"/>
  <c r="C2535" i="2"/>
  <c r="B2535" i="2"/>
  <c r="A2535" i="2"/>
  <c r="E2534" i="2"/>
  <c r="D2534" i="2"/>
  <c r="C2534" i="2"/>
  <c r="B2534" i="2"/>
  <c r="A2534" i="2"/>
  <c r="E2533" i="2"/>
  <c r="D2533" i="2"/>
  <c r="C2533" i="2"/>
  <c r="B2533" i="2"/>
  <c r="A2533" i="2"/>
  <c r="E2532" i="2"/>
  <c r="D2532" i="2"/>
  <c r="C2532" i="2"/>
  <c r="B2532" i="2"/>
  <c r="A2532" i="2"/>
  <c r="E2531" i="2"/>
  <c r="D2531" i="2"/>
  <c r="C2531" i="2"/>
  <c r="B2531" i="2"/>
  <c r="A2531" i="2"/>
  <c r="E2530" i="2"/>
  <c r="D2530" i="2"/>
  <c r="C2530" i="2"/>
  <c r="B2530" i="2"/>
  <c r="A2530" i="2"/>
  <c r="E2529" i="2"/>
  <c r="D2529" i="2"/>
  <c r="C2529" i="2"/>
  <c r="B2529" i="2"/>
  <c r="A2529" i="2"/>
  <c r="E2528" i="2"/>
  <c r="D2528" i="2"/>
  <c r="C2528" i="2"/>
  <c r="B2528" i="2"/>
  <c r="A2528" i="2"/>
  <c r="E2527" i="2"/>
  <c r="D2527" i="2"/>
  <c r="C2527" i="2"/>
  <c r="B2527" i="2"/>
  <c r="A2527" i="2"/>
  <c r="E2526" i="2"/>
  <c r="D2526" i="2"/>
  <c r="C2526" i="2"/>
  <c r="B2526" i="2"/>
  <c r="A2526" i="2"/>
  <c r="E2525" i="2"/>
  <c r="D2525" i="2"/>
  <c r="C2525" i="2"/>
  <c r="B2525" i="2"/>
  <c r="A2525" i="2"/>
  <c r="E2524" i="2"/>
  <c r="D2524" i="2"/>
  <c r="C2524" i="2"/>
  <c r="B2524" i="2"/>
  <c r="A2524" i="2"/>
  <c r="E2523" i="2"/>
  <c r="D2523" i="2"/>
  <c r="C2523" i="2"/>
  <c r="B2523" i="2"/>
  <c r="A2523" i="2"/>
  <c r="E2522" i="2"/>
  <c r="D2522" i="2"/>
  <c r="C2522" i="2"/>
  <c r="B2522" i="2"/>
  <c r="A2522" i="2"/>
  <c r="E2521" i="2"/>
  <c r="D2521" i="2"/>
  <c r="C2521" i="2"/>
  <c r="B2521" i="2"/>
  <c r="A2521" i="2"/>
  <c r="E2520" i="2"/>
  <c r="D2520" i="2"/>
  <c r="C2520" i="2"/>
  <c r="B2520" i="2"/>
  <c r="A2520" i="2"/>
  <c r="E2519" i="2"/>
  <c r="D2519" i="2"/>
  <c r="C2519" i="2"/>
  <c r="B2519" i="2"/>
  <c r="A2519" i="2"/>
  <c r="E2518" i="2"/>
  <c r="D2518" i="2"/>
  <c r="C2518" i="2"/>
  <c r="B2518" i="2"/>
  <c r="A2518" i="2"/>
  <c r="E2517" i="2"/>
  <c r="D2517" i="2"/>
  <c r="C2517" i="2"/>
  <c r="B2517" i="2"/>
  <c r="A2517" i="2"/>
  <c r="E2516" i="2"/>
  <c r="D2516" i="2"/>
  <c r="C2516" i="2"/>
  <c r="B2516" i="2"/>
  <c r="A2516" i="2"/>
  <c r="E2515" i="2"/>
  <c r="D2515" i="2"/>
  <c r="C2515" i="2"/>
  <c r="B2515" i="2"/>
  <c r="A2515" i="2"/>
  <c r="E2514" i="2"/>
  <c r="D2514" i="2"/>
  <c r="C2514" i="2"/>
  <c r="B2514" i="2"/>
  <c r="A2514" i="2"/>
  <c r="E2513" i="2"/>
  <c r="D2513" i="2"/>
  <c r="C2513" i="2"/>
  <c r="B2513" i="2"/>
  <c r="A2513" i="2"/>
  <c r="E2512" i="2"/>
  <c r="D2512" i="2"/>
  <c r="C2512" i="2"/>
  <c r="B2512" i="2"/>
  <c r="A2512" i="2"/>
  <c r="E2511" i="2"/>
  <c r="D2511" i="2"/>
  <c r="C2511" i="2"/>
  <c r="B2511" i="2"/>
  <c r="A2511" i="2"/>
  <c r="E2510" i="2"/>
  <c r="D2510" i="2"/>
  <c r="C2510" i="2"/>
  <c r="B2510" i="2"/>
  <c r="A2510" i="2"/>
  <c r="E2509" i="2"/>
  <c r="D2509" i="2"/>
  <c r="C2509" i="2"/>
  <c r="B2509" i="2"/>
  <c r="A2509" i="2"/>
  <c r="E2508" i="2"/>
  <c r="D2508" i="2"/>
  <c r="C2508" i="2"/>
  <c r="B2508" i="2"/>
  <c r="A2508" i="2"/>
  <c r="E2507" i="2"/>
  <c r="D2507" i="2"/>
  <c r="C2507" i="2"/>
  <c r="B2507" i="2"/>
  <c r="A2507" i="2"/>
  <c r="E2506" i="2"/>
  <c r="D2506" i="2"/>
  <c r="C2506" i="2"/>
  <c r="B2506" i="2"/>
  <c r="A2506" i="2"/>
  <c r="E2505" i="2"/>
  <c r="D2505" i="2"/>
  <c r="C2505" i="2"/>
  <c r="B2505" i="2"/>
  <c r="A2505" i="2"/>
  <c r="E2504" i="2"/>
  <c r="D2504" i="2"/>
  <c r="C2504" i="2"/>
  <c r="B2504" i="2"/>
  <c r="A2504" i="2"/>
  <c r="E2503" i="2"/>
  <c r="D2503" i="2"/>
  <c r="C2503" i="2"/>
  <c r="B2503" i="2"/>
  <c r="A2503" i="2"/>
  <c r="E2502" i="2"/>
  <c r="D2502" i="2"/>
  <c r="C2502" i="2"/>
  <c r="B2502" i="2"/>
  <c r="A2502" i="2"/>
  <c r="E2501" i="2"/>
  <c r="D2501" i="2"/>
  <c r="C2501" i="2"/>
  <c r="B2501" i="2"/>
  <c r="A2501" i="2"/>
  <c r="E2500" i="2"/>
  <c r="D2500" i="2"/>
  <c r="C2500" i="2"/>
  <c r="B2500" i="2"/>
  <c r="A2500" i="2"/>
  <c r="E2499" i="2"/>
  <c r="D2499" i="2"/>
  <c r="C2499" i="2"/>
  <c r="B2499" i="2"/>
  <c r="A2499" i="2"/>
  <c r="E2498" i="2"/>
  <c r="D2498" i="2"/>
  <c r="C2498" i="2"/>
  <c r="B2498" i="2"/>
  <c r="A2498" i="2"/>
  <c r="E2497" i="2"/>
  <c r="D2497" i="2"/>
  <c r="C2497" i="2"/>
  <c r="B2497" i="2"/>
  <c r="A2497" i="2"/>
  <c r="E2496" i="2"/>
  <c r="D2496" i="2"/>
  <c r="C2496" i="2"/>
  <c r="B2496" i="2"/>
  <c r="A2496" i="2"/>
  <c r="E2495" i="2"/>
  <c r="D2495" i="2"/>
  <c r="C2495" i="2"/>
  <c r="B2495" i="2"/>
  <c r="A2495" i="2"/>
  <c r="E2494" i="2"/>
  <c r="D2494" i="2"/>
  <c r="C2494" i="2"/>
  <c r="B2494" i="2"/>
  <c r="A2494" i="2"/>
  <c r="E2493" i="2"/>
  <c r="D2493" i="2"/>
  <c r="C2493" i="2"/>
  <c r="B2493" i="2"/>
  <c r="A2493" i="2"/>
  <c r="E2492" i="2"/>
  <c r="D2492" i="2"/>
  <c r="C2492" i="2"/>
  <c r="B2492" i="2"/>
  <c r="A2492" i="2"/>
  <c r="E2491" i="2"/>
  <c r="D2491" i="2"/>
  <c r="C2491" i="2"/>
  <c r="B2491" i="2"/>
  <c r="A2491" i="2"/>
  <c r="E2490" i="2"/>
  <c r="D2490" i="2"/>
  <c r="C2490" i="2"/>
  <c r="B2490" i="2"/>
  <c r="A2490" i="2"/>
  <c r="E2489" i="2"/>
  <c r="D2489" i="2"/>
  <c r="C2489" i="2"/>
  <c r="B2489" i="2"/>
  <c r="A2489" i="2"/>
  <c r="E2488" i="2"/>
  <c r="D2488" i="2"/>
  <c r="C2488" i="2"/>
  <c r="B2488" i="2"/>
  <c r="A2488" i="2"/>
  <c r="E2487" i="2"/>
  <c r="D2487" i="2"/>
  <c r="C2487" i="2"/>
  <c r="B2487" i="2"/>
  <c r="A2487" i="2"/>
  <c r="E2486" i="2"/>
  <c r="D2486" i="2"/>
  <c r="C2486" i="2"/>
  <c r="B2486" i="2"/>
  <c r="A2486" i="2"/>
  <c r="E2485" i="2"/>
  <c r="D2485" i="2"/>
  <c r="C2485" i="2"/>
  <c r="B2485" i="2"/>
  <c r="A2485" i="2"/>
  <c r="E2484" i="2"/>
  <c r="D2484" i="2"/>
  <c r="C2484" i="2"/>
  <c r="B2484" i="2"/>
  <c r="A2484" i="2"/>
  <c r="E2483" i="2"/>
  <c r="D2483" i="2"/>
  <c r="C2483" i="2"/>
  <c r="B2483" i="2"/>
  <c r="A2483" i="2"/>
  <c r="E2482" i="2"/>
  <c r="D2482" i="2"/>
  <c r="C2482" i="2"/>
  <c r="B2482" i="2"/>
  <c r="A2482" i="2"/>
  <c r="E2481" i="2"/>
  <c r="D2481" i="2"/>
  <c r="C2481" i="2"/>
  <c r="B2481" i="2"/>
  <c r="A2481" i="2"/>
  <c r="E2480" i="2"/>
  <c r="D2480" i="2"/>
  <c r="C2480" i="2"/>
  <c r="B2480" i="2"/>
  <c r="A2480" i="2"/>
  <c r="E2479" i="2"/>
  <c r="D2479" i="2"/>
  <c r="C2479" i="2"/>
  <c r="B2479" i="2"/>
  <c r="A2479" i="2"/>
  <c r="E2478" i="2"/>
  <c r="D2478" i="2"/>
  <c r="C2478" i="2"/>
  <c r="B2478" i="2"/>
  <c r="A2478" i="2"/>
  <c r="E2477" i="2"/>
  <c r="D2477" i="2"/>
  <c r="C2477" i="2"/>
  <c r="B2477" i="2"/>
  <c r="A2477" i="2"/>
  <c r="E2476" i="2"/>
  <c r="D2476" i="2"/>
  <c r="C2476" i="2"/>
  <c r="B2476" i="2"/>
  <c r="A2476" i="2"/>
  <c r="E2475" i="2"/>
  <c r="D2475" i="2"/>
  <c r="C2475" i="2"/>
  <c r="B2475" i="2"/>
  <c r="A2475" i="2"/>
  <c r="E2474" i="2"/>
  <c r="D2474" i="2"/>
  <c r="C2474" i="2"/>
  <c r="B2474" i="2"/>
  <c r="A2474" i="2"/>
  <c r="E2473" i="2"/>
  <c r="D2473" i="2"/>
  <c r="C2473" i="2"/>
  <c r="B2473" i="2"/>
  <c r="A2473" i="2"/>
  <c r="E2472" i="2"/>
  <c r="D2472" i="2"/>
  <c r="C2472" i="2"/>
  <c r="B2472" i="2"/>
  <c r="A2472" i="2"/>
  <c r="E2471" i="2"/>
  <c r="D2471" i="2"/>
  <c r="C2471" i="2"/>
  <c r="B2471" i="2"/>
  <c r="A2471" i="2"/>
  <c r="E2470" i="2"/>
  <c r="D2470" i="2"/>
  <c r="C2470" i="2"/>
  <c r="B2470" i="2"/>
  <c r="A2470" i="2"/>
  <c r="E2469" i="2"/>
  <c r="D2469" i="2"/>
  <c r="C2469" i="2"/>
  <c r="B2469" i="2"/>
  <c r="A2469" i="2"/>
  <c r="E2468" i="2"/>
  <c r="D2468" i="2"/>
  <c r="C2468" i="2"/>
  <c r="B2468" i="2"/>
  <c r="A2468" i="2"/>
  <c r="E2467" i="2"/>
  <c r="D2467" i="2"/>
  <c r="C2467" i="2"/>
  <c r="B2467" i="2"/>
  <c r="A2467" i="2"/>
  <c r="E2466" i="2"/>
  <c r="D2466" i="2"/>
  <c r="C2466" i="2"/>
  <c r="B2466" i="2"/>
  <c r="A2466" i="2"/>
  <c r="E2465" i="2"/>
  <c r="D2465" i="2"/>
  <c r="C2465" i="2"/>
  <c r="B2465" i="2"/>
  <c r="A2465" i="2"/>
  <c r="E2464" i="2"/>
  <c r="D2464" i="2"/>
  <c r="C2464" i="2"/>
  <c r="B2464" i="2"/>
  <c r="A2464" i="2"/>
  <c r="E2463" i="2"/>
  <c r="D2463" i="2"/>
  <c r="C2463" i="2"/>
  <c r="B2463" i="2"/>
  <c r="A2463" i="2"/>
  <c r="E2462" i="2"/>
  <c r="D2462" i="2"/>
  <c r="C2462" i="2"/>
  <c r="B2462" i="2"/>
  <c r="A2462" i="2"/>
  <c r="E2461" i="2"/>
  <c r="D2461" i="2"/>
  <c r="C2461" i="2"/>
  <c r="B2461" i="2"/>
  <c r="A2461" i="2"/>
  <c r="E2460" i="2"/>
  <c r="D2460" i="2"/>
  <c r="C2460" i="2"/>
  <c r="B2460" i="2"/>
  <c r="A2460" i="2"/>
  <c r="E2459" i="2"/>
  <c r="D2459" i="2"/>
  <c r="C2459" i="2"/>
  <c r="B2459" i="2"/>
  <c r="A2459" i="2"/>
  <c r="E2458" i="2"/>
  <c r="D2458" i="2"/>
  <c r="C2458" i="2"/>
  <c r="B2458" i="2"/>
  <c r="A2458" i="2"/>
  <c r="E2457" i="2"/>
  <c r="D2457" i="2"/>
  <c r="C2457" i="2"/>
  <c r="B2457" i="2"/>
  <c r="A2457" i="2"/>
  <c r="E2456" i="2"/>
  <c r="D2456" i="2"/>
  <c r="C2456" i="2"/>
  <c r="B2456" i="2"/>
  <c r="A2456" i="2"/>
  <c r="E2455" i="2"/>
  <c r="D2455" i="2"/>
  <c r="C2455" i="2"/>
  <c r="B2455" i="2"/>
  <c r="A2455" i="2"/>
  <c r="E2454" i="2"/>
  <c r="D2454" i="2"/>
  <c r="C2454" i="2"/>
  <c r="B2454" i="2"/>
  <c r="A2454" i="2"/>
  <c r="E2453" i="2"/>
  <c r="D2453" i="2"/>
  <c r="C2453" i="2"/>
  <c r="B2453" i="2"/>
  <c r="A2453" i="2"/>
  <c r="E2452" i="2"/>
  <c r="D2452" i="2"/>
  <c r="C2452" i="2"/>
  <c r="B2452" i="2"/>
  <c r="A2452" i="2"/>
  <c r="E2451" i="2"/>
  <c r="D2451" i="2"/>
  <c r="C2451" i="2"/>
  <c r="B2451" i="2"/>
  <c r="A2451" i="2"/>
  <c r="E2450" i="2"/>
  <c r="D2450" i="2"/>
  <c r="C2450" i="2"/>
  <c r="B2450" i="2"/>
  <c r="A2450" i="2"/>
  <c r="E2449" i="2"/>
  <c r="D2449" i="2"/>
  <c r="C2449" i="2"/>
  <c r="B2449" i="2"/>
  <c r="A2449" i="2"/>
  <c r="E2448" i="2"/>
  <c r="D2448" i="2"/>
  <c r="C2448" i="2"/>
  <c r="B2448" i="2"/>
  <c r="A2448" i="2"/>
  <c r="E2447" i="2"/>
  <c r="D2447" i="2"/>
  <c r="C2447" i="2"/>
  <c r="B2447" i="2"/>
  <c r="A2447" i="2"/>
  <c r="E2446" i="2"/>
  <c r="D2446" i="2"/>
  <c r="C2446" i="2"/>
  <c r="B2446" i="2"/>
  <c r="A2446" i="2"/>
  <c r="E2445" i="2"/>
  <c r="D2445" i="2"/>
  <c r="C2445" i="2"/>
  <c r="B2445" i="2"/>
  <c r="A2445" i="2"/>
  <c r="E2444" i="2"/>
  <c r="D2444" i="2"/>
  <c r="C2444" i="2"/>
  <c r="B2444" i="2"/>
  <c r="A2444" i="2"/>
  <c r="E2443" i="2"/>
  <c r="D2443" i="2"/>
  <c r="C2443" i="2"/>
  <c r="B2443" i="2"/>
  <c r="A2443" i="2"/>
  <c r="E2442" i="2"/>
  <c r="D2442" i="2"/>
  <c r="C2442" i="2"/>
  <c r="B2442" i="2"/>
  <c r="A2442" i="2"/>
  <c r="E2441" i="2"/>
  <c r="D2441" i="2"/>
  <c r="C2441" i="2"/>
  <c r="B2441" i="2"/>
  <c r="A2441" i="2"/>
  <c r="E2440" i="2"/>
  <c r="D2440" i="2"/>
  <c r="C2440" i="2"/>
  <c r="B2440" i="2"/>
  <c r="A2440" i="2"/>
  <c r="E2439" i="2"/>
  <c r="D2439" i="2"/>
  <c r="C2439" i="2"/>
  <c r="B2439" i="2"/>
  <c r="A2439" i="2"/>
  <c r="E2438" i="2"/>
  <c r="D2438" i="2"/>
  <c r="C2438" i="2"/>
  <c r="B2438" i="2"/>
  <c r="A2438" i="2"/>
  <c r="E2437" i="2"/>
  <c r="D2437" i="2"/>
  <c r="C2437" i="2"/>
  <c r="B2437" i="2"/>
  <c r="A2437" i="2"/>
  <c r="E2436" i="2"/>
  <c r="D2436" i="2"/>
  <c r="C2436" i="2"/>
  <c r="B2436" i="2"/>
  <c r="A2436" i="2"/>
  <c r="E2435" i="2"/>
  <c r="D2435" i="2"/>
  <c r="C2435" i="2"/>
  <c r="B2435" i="2"/>
  <c r="A2435" i="2"/>
  <c r="E2434" i="2"/>
  <c r="D2434" i="2"/>
  <c r="C2434" i="2"/>
  <c r="B2434" i="2"/>
  <c r="A2434" i="2"/>
  <c r="E2433" i="2"/>
  <c r="D2433" i="2"/>
  <c r="C2433" i="2"/>
  <c r="B2433" i="2"/>
  <c r="A2433" i="2"/>
  <c r="E2432" i="2"/>
  <c r="D2432" i="2"/>
  <c r="C2432" i="2"/>
  <c r="B2432" i="2"/>
  <c r="A2432" i="2"/>
  <c r="E2431" i="2"/>
  <c r="D2431" i="2"/>
  <c r="C2431" i="2"/>
  <c r="B2431" i="2"/>
  <c r="A2431" i="2"/>
  <c r="E2430" i="2"/>
  <c r="D2430" i="2"/>
  <c r="C2430" i="2"/>
  <c r="B2430" i="2"/>
  <c r="A2430" i="2"/>
  <c r="E2429" i="2"/>
  <c r="D2429" i="2"/>
  <c r="C2429" i="2"/>
  <c r="B2429" i="2"/>
  <c r="A2429" i="2"/>
  <c r="E2428" i="2"/>
  <c r="D2428" i="2"/>
  <c r="C2428" i="2"/>
  <c r="B2428" i="2"/>
  <c r="A2428" i="2"/>
  <c r="E2427" i="2"/>
  <c r="D2427" i="2"/>
  <c r="C2427" i="2"/>
  <c r="B2427" i="2"/>
  <c r="A2427" i="2"/>
  <c r="E2426" i="2"/>
  <c r="D2426" i="2"/>
  <c r="C2426" i="2"/>
  <c r="B2426" i="2"/>
  <c r="A2426" i="2"/>
  <c r="E2425" i="2"/>
  <c r="D2425" i="2"/>
  <c r="C2425" i="2"/>
  <c r="B2425" i="2"/>
  <c r="A2425" i="2"/>
  <c r="E2424" i="2"/>
  <c r="D2424" i="2"/>
  <c r="C2424" i="2"/>
  <c r="B2424" i="2"/>
  <c r="A2424" i="2"/>
  <c r="E2423" i="2"/>
  <c r="D2423" i="2"/>
  <c r="C2423" i="2"/>
  <c r="B2423" i="2"/>
  <c r="A2423" i="2"/>
  <c r="E2422" i="2"/>
  <c r="D2422" i="2"/>
  <c r="C2422" i="2"/>
  <c r="B2422" i="2"/>
  <c r="A2422" i="2"/>
  <c r="E2421" i="2"/>
  <c r="D2421" i="2"/>
  <c r="C2421" i="2"/>
  <c r="B2421" i="2"/>
  <c r="A2421" i="2"/>
  <c r="E2420" i="2"/>
  <c r="D2420" i="2"/>
  <c r="C2420" i="2"/>
  <c r="B2420" i="2"/>
  <c r="A2420" i="2"/>
  <c r="E2419" i="2"/>
  <c r="D2419" i="2"/>
  <c r="C2419" i="2"/>
  <c r="B2419" i="2"/>
  <c r="A2419" i="2"/>
  <c r="E2418" i="2"/>
  <c r="D2418" i="2"/>
  <c r="C2418" i="2"/>
  <c r="B2418" i="2"/>
  <c r="A2418" i="2"/>
  <c r="E2417" i="2"/>
  <c r="D2417" i="2"/>
  <c r="C2417" i="2"/>
  <c r="B2417" i="2"/>
  <c r="A2417" i="2"/>
  <c r="E2416" i="2"/>
  <c r="D2416" i="2"/>
  <c r="C2416" i="2"/>
  <c r="B2416" i="2"/>
  <c r="A2416" i="2"/>
  <c r="E2415" i="2"/>
  <c r="D2415" i="2"/>
  <c r="C2415" i="2"/>
  <c r="B2415" i="2"/>
  <c r="A2415" i="2"/>
  <c r="E2414" i="2"/>
  <c r="D2414" i="2"/>
  <c r="C2414" i="2"/>
  <c r="B2414" i="2"/>
  <c r="A2414" i="2"/>
  <c r="E2413" i="2"/>
  <c r="D2413" i="2"/>
  <c r="C2413" i="2"/>
  <c r="B2413" i="2"/>
  <c r="A2413" i="2"/>
  <c r="E2412" i="2"/>
  <c r="D2412" i="2"/>
  <c r="C2412" i="2"/>
  <c r="B2412" i="2"/>
  <c r="A2412" i="2"/>
  <c r="E2411" i="2"/>
  <c r="D2411" i="2"/>
  <c r="C2411" i="2"/>
  <c r="B2411" i="2"/>
  <c r="A2411" i="2"/>
  <c r="E2410" i="2"/>
  <c r="D2410" i="2"/>
  <c r="C2410" i="2"/>
  <c r="B2410" i="2"/>
  <c r="A2410" i="2"/>
  <c r="E2409" i="2"/>
  <c r="D2409" i="2"/>
  <c r="C2409" i="2"/>
  <c r="B2409" i="2"/>
  <c r="A2409" i="2"/>
  <c r="E2408" i="2"/>
  <c r="D2408" i="2"/>
  <c r="C2408" i="2"/>
  <c r="B2408" i="2"/>
  <c r="A2408" i="2"/>
  <c r="E2407" i="2"/>
  <c r="D2407" i="2"/>
  <c r="C2407" i="2"/>
  <c r="B2407" i="2"/>
  <c r="A2407" i="2"/>
  <c r="E2406" i="2"/>
  <c r="D2406" i="2"/>
  <c r="C2406" i="2"/>
  <c r="B2406" i="2"/>
  <c r="A2406" i="2"/>
  <c r="E2405" i="2"/>
  <c r="D2405" i="2"/>
  <c r="C2405" i="2"/>
  <c r="B2405" i="2"/>
  <c r="A2405" i="2"/>
  <c r="E2404" i="2"/>
  <c r="D2404" i="2"/>
  <c r="C2404" i="2"/>
  <c r="B2404" i="2"/>
  <c r="A2404" i="2"/>
  <c r="E2403" i="2"/>
  <c r="D2403" i="2"/>
  <c r="C2403" i="2"/>
  <c r="B2403" i="2"/>
  <c r="A2403" i="2"/>
  <c r="E2402" i="2"/>
  <c r="D2402" i="2"/>
  <c r="C2402" i="2"/>
  <c r="B2402" i="2"/>
  <c r="A2402" i="2"/>
  <c r="E2401" i="2"/>
  <c r="D2401" i="2"/>
  <c r="C2401" i="2"/>
  <c r="B2401" i="2"/>
  <c r="A2401" i="2"/>
  <c r="E2400" i="2"/>
  <c r="D2400" i="2"/>
  <c r="C2400" i="2"/>
  <c r="B2400" i="2"/>
  <c r="A2400" i="2"/>
  <c r="E2399" i="2"/>
  <c r="D2399" i="2"/>
  <c r="C2399" i="2"/>
  <c r="B2399" i="2"/>
  <c r="A2399" i="2"/>
  <c r="E2398" i="2"/>
  <c r="D2398" i="2"/>
  <c r="C2398" i="2"/>
  <c r="B2398" i="2"/>
  <c r="A2398" i="2"/>
  <c r="E2397" i="2"/>
  <c r="D2397" i="2"/>
  <c r="C2397" i="2"/>
  <c r="B2397" i="2"/>
  <c r="A2397" i="2"/>
  <c r="E2396" i="2"/>
  <c r="D2396" i="2"/>
  <c r="C2396" i="2"/>
  <c r="B2396" i="2"/>
  <c r="A2396" i="2"/>
  <c r="E2395" i="2"/>
  <c r="D2395" i="2"/>
  <c r="C2395" i="2"/>
  <c r="B2395" i="2"/>
  <c r="A2395" i="2"/>
  <c r="E2394" i="2"/>
  <c r="D2394" i="2"/>
  <c r="C2394" i="2"/>
  <c r="B2394" i="2"/>
  <c r="A2394" i="2"/>
  <c r="E2393" i="2"/>
  <c r="D2393" i="2"/>
  <c r="C2393" i="2"/>
  <c r="B2393" i="2"/>
  <c r="A2393" i="2"/>
  <c r="E2392" i="2"/>
  <c r="D2392" i="2"/>
  <c r="C2392" i="2"/>
  <c r="B2392" i="2"/>
  <c r="A2392" i="2"/>
  <c r="E2391" i="2"/>
  <c r="D2391" i="2"/>
  <c r="C2391" i="2"/>
  <c r="B2391" i="2"/>
  <c r="A2391" i="2"/>
  <c r="E2390" i="2"/>
  <c r="D2390" i="2"/>
  <c r="C2390" i="2"/>
  <c r="B2390" i="2"/>
  <c r="A2390" i="2"/>
  <c r="E2389" i="2"/>
  <c r="D2389" i="2"/>
  <c r="C2389" i="2"/>
  <c r="B2389" i="2"/>
  <c r="A2389" i="2"/>
  <c r="E2388" i="2"/>
  <c r="D2388" i="2"/>
  <c r="C2388" i="2"/>
  <c r="B2388" i="2"/>
  <c r="A2388" i="2"/>
  <c r="E2387" i="2"/>
  <c r="D2387" i="2"/>
  <c r="C2387" i="2"/>
  <c r="B2387" i="2"/>
  <c r="A2387" i="2"/>
  <c r="E2386" i="2"/>
  <c r="D2386" i="2"/>
  <c r="C2386" i="2"/>
  <c r="B2386" i="2"/>
  <c r="A2386" i="2"/>
  <c r="E2385" i="2"/>
  <c r="D2385" i="2"/>
  <c r="C2385" i="2"/>
  <c r="B2385" i="2"/>
  <c r="A2385" i="2"/>
  <c r="E2384" i="2"/>
  <c r="D2384" i="2"/>
  <c r="C2384" i="2"/>
  <c r="B2384" i="2"/>
  <c r="A2384" i="2"/>
  <c r="E2383" i="2"/>
  <c r="D2383" i="2"/>
  <c r="C2383" i="2"/>
  <c r="B2383" i="2"/>
  <c r="A2383" i="2"/>
  <c r="E2382" i="2"/>
  <c r="D2382" i="2"/>
  <c r="C2382" i="2"/>
  <c r="B2382" i="2"/>
  <c r="A2382" i="2"/>
  <c r="E2381" i="2"/>
  <c r="D2381" i="2"/>
  <c r="C2381" i="2"/>
  <c r="B2381" i="2"/>
  <c r="A2381" i="2"/>
  <c r="E2380" i="2"/>
  <c r="D2380" i="2"/>
  <c r="C2380" i="2"/>
  <c r="B2380" i="2"/>
  <c r="A2380" i="2"/>
  <c r="E2379" i="2"/>
  <c r="D2379" i="2"/>
  <c r="C2379" i="2"/>
  <c r="B2379" i="2"/>
  <c r="A2379" i="2"/>
  <c r="E2378" i="2"/>
  <c r="D2378" i="2"/>
  <c r="C2378" i="2"/>
  <c r="B2378" i="2"/>
  <c r="A2378" i="2"/>
  <c r="E2377" i="2"/>
  <c r="D2377" i="2"/>
  <c r="C2377" i="2"/>
  <c r="B2377" i="2"/>
  <c r="A2377" i="2"/>
  <c r="E2376" i="2"/>
  <c r="D2376" i="2"/>
  <c r="C2376" i="2"/>
  <c r="B2376" i="2"/>
  <c r="A2376" i="2"/>
  <c r="E2375" i="2"/>
  <c r="D2375" i="2"/>
  <c r="C2375" i="2"/>
  <c r="B2375" i="2"/>
  <c r="A2375" i="2"/>
  <c r="E2374" i="2"/>
  <c r="D2374" i="2"/>
  <c r="C2374" i="2"/>
  <c r="B2374" i="2"/>
  <c r="A2374" i="2"/>
  <c r="E2373" i="2"/>
  <c r="D2373" i="2"/>
  <c r="C2373" i="2"/>
  <c r="B2373" i="2"/>
  <c r="A2373" i="2"/>
  <c r="E2372" i="2"/>
  <c r="D2372" i="2"/>
  <c r="C2372" i="2"/>
  <c r="B2372" i="2"/>
  <c r="A2372" i="2"/>
  <c r="E2371" i="2"/>
  <c r="D2371" i="2"/>
  <c r="C2371" i="2"/>
  <c r="B2371" i="2"/>
  <c r="A2371" i="2"/>
  <c r="E2370" i="2"/>
  <c r="D2370" i="2"/>
  <c r="C2370" i="2"/>
  <c r="B2370" i="2"/>
  <c r="A2370" i="2"/>
  <c r="E2369" i="2"/>
  <c r="D2369" i="2"/>
  <c r="C2369" i="2"/>
  <c r="B2369" i="2"/>
  <c r="A2369" i="2"/>
  <c r="E2368" i="2"/>
  <c r="D2368" i="2"/>
  <c r="C2368" i="2"/>
  <c r="B2368" i="2"/>
  <c r="A2368" i="2"/>
  <c r="E2367" i="2"/>
  <c r="D2367" i="2"/>
  <c r="C2367" i="2"/>
  <c r="B2367" i="2"/>
  <c r="A2367" i="2"/>
  <c r="E2366" i="2"/>
  <c r="D2366" i="2"/>
  <c r="C2366" i="2"/>
  <c r="B2366" i="2"/>
  <c r="A2366" i="2"/>
  <c r="E2365" i="2"/>
  <c r="D2365" i="2"/>
  <c r="C2365" i="2"/>
  <c r="B2365" i="2"/>
  <c r="A2365" i="2"/>
  <c r="E2364" i="2"/>
  <c r="D2364" i="2"/>
  <c r="C2364" i="2"/>
  <c r="B2364" i="2"/>
  <c r="A2364" i="2"/>
  <c r="E2363" i="2"/>
  <c r="D2363" i="2"/>
  <c r="C2363" i="2"/>
  <c r="B2363" i="2"/>
  <c r="A2363" i="2"/>
  <c r="E2362" i="2"/>
  <c r="D2362" i="2"/>
  <c r="C2362" i="2"/>
  <c r="B2362" i="2"/>
  <c r="A2362" i="2"/>
  <c r="E2361" i="2"/>
  <c r="D2361" i="2"/>
  <c r="C2361" i="2"/>
  <c r="B2361" i="2"/>
  <c r="A2361" i="2"/>
  <c r="E2360" i="2"/>
  <c r="D2360" i="2"/>
  <c r="C2360" i="2"/>
  <c r="B2360" i="2"/>
  <c r="A2360" i="2"/>
  <c r="E2359" i="2"/>
  <c r="D2359" i="2"/>
  <c r="C2359" i="2"/>
  <c r="B2359" i="2"/>
  <c r="A2359" i="2"/>
  <c r="E2358" i="2"/>
  <c r="D2358" i="2"/>
  <c r="C2358" i="2"/>
  <c r="B2358" i="2"/>
  <c r="A2358" i="2"/>
  <c r="E2357" i="2"/>
  <c r="D2357" i="2"/>
  <c r="C2357" i="2"/>
  <c r="B2357" i="2"/>
  <c r="A2357" i="2"/>
  <c r="E2356" i="2"/>
  <c r="D2356" i="2"/>
  <c r="C2356" i="2"/>
  <c r="B2356" i="2"/>
  <c r="A2356" i="2"/>
  <c r="E2355" i="2"/>
  <c r="D2355" i="2"/>
  <c r="C2355" i="2"/>
  <c r="B2355" i="2"/>
  <c r="A2355" i="2"/>
  <c r="E2354" i="2"/>
  <c r="D2354" i="2"/>
  <c r="C2354" i="2"/>
  <c r="B2354" i="2"/>
  <c r="A2354" i="2"/>
  <c r="E2353" i="2"/>
  <c r="D2353" i="2"/>
  <c r="C2353" i="2"/>
  <c r="B2353" i="2"/>
  <c r="A2353" i="2"/>
  <c r="E2352" i="2"/>
  <c r="D2352" i="2"/>
  <c r="C2352" i="2"/>
  <c r="B2352" i="2"/>
  <c r="A2352" i="2"/>
  <c r="E2351" i="2"/>
  <c r="D2351" i="2"/>
  <c r="C2351" i="2"/>
  <c r="B2351" i="2"/>
  <c r="A2351" i="2"/>
  <c r="E2350" i="2"/>
  <c r="D2350" i="2"/>
  <c r="C2350" i="2"/>
  <c r="B2350" i="2"/>
  <c r="A2350" i="2"/>
  <c r="E2349" i="2"/>
  <c r="D2349" i="2"/>
  <c r="C2349" i="2"/>
  <c r="B2349" i="2"/>
  <c r="A2349" i="2"/>
  <c r="E2348" i="2"/>
  <c r="D2348" i="2"/>
  <c r="C2348" i="2"/>
  <c r="B2348" i="2"/>
  <c r="A2348" i="2"/>
  <c r="E2347" i="2"/>
  <c r="D2347" i="2"/>
  <c r="C2347" i="2"/>
  <c r="B2347" i="2"/>
  <c r="A2347" i="2"/>
  <c r="E2346" i="2"/>
  <c r="D2346" i="2"/>
  <c r="C2346" i="2"/>
  <c r="B2346" i="2"/>
  <c r="A2346" i="2"/>
  <c r="E2345" i="2"/>
  <c r="D2345" i="2"/>
  <c r="C2345" i="2"/>
  <c r="B2345" i="2"/>
  <c r="A2345" i="2"/>
  <c r="E2344" i="2"/>
  <c r="D2344" i="2"/>
  <c r="C2344" i="2"/>
  <c r="B2344" i="2"/>
  <c r="A2344" i="2"/>
  <c r="E2343" i="2"/>
  <c r="D2343" i="2"/>
  <c r="C2343" i="2"/>
  <c r="B2343" i="2"/>
  <c r="A2343" i="2"/>
  <c r="E2342" i="2"/>
  <c r="D2342" i="2"/>
  <c r="C2342" i="2"/>
  <c r="B2342" i="2"/>
  <c r="A2342" i="2"/>
  <c r="E2341" i="2"/>
  <c r="D2341" i="2"/>
  <c r="C2341" i="2"/>
  <c r="B2341" i="2"/>
  <c r="A2341" i="2"/>
  <c r="E2340" i="2"/>
  <c r="D2340" i="2"/>
  <c r="C2340" i="2"/>
  <c r="B2340" i="2"/>
  <c r="A2340" i="2"/>
  <c r="E2339" i="2"/>
  <c r="D2339" i="2"/>
  <c r="C2339" i="2"/>
  <c r="B2339" i="2"/>
  <c r="A2339" i="2"/>
  <c r="E2338" i="2"/>
  <c r="D2338" i="2"/>
  <c r="C2338" i="2"/>
  <c r="B2338" i="2"/>
  <c r="A2338" i="2"/>
  <c r="E2337" i="2"/>
  <c r="D2337" i="2"/>
  <c r="C2337" i="2"/>
  <c r="B2337" i="2"/>
  <c r="A2337" i="2"/>
  <c r="E2336" i="2"/>
  <c r="D2336" i="2"/>
  <c r="C2336" i="2"/>
  <c r="B2336" i="2"/>
  <c r="A2336" i="2"/>
  <c r="E2335" i="2"/>
  <c r="D2335" i="2"/>
  <c r="C2335" i="2"/>
  <c r="B2335" i="2"/>
  <c r="A2335" i="2"/>
  <c r="E2334" i="2"/>
  <c r="D2334" i="2"/>
  <c r="C2334" i="2"/>
  <c r="B2334" i="2"/>
  <c r="A2334" i="2"/>
  <c r="E2333" i="2"/>
  <c r="D2333" i="2"/>
  <c r="C2333" i="2"/>
  <c r="B2333" i="2"/>
  <c r="A2333" i="2"/>
  <c r="E2332" i="2"/>
  <c r="D2332" i="2"/>
  <c r="C2332" i="2"/>
  <c r="B2332" i="2"/>
  <c r="A2332" i="2"/>
  <c r="E2331" i="2"/>
  <c r="D2331" i="2"/>
  <c r="C2331" i="2"/>
  <c r="B2331" i="2"/>
  <c r="A2331" i="2"/>
  <c r="E2330" i="2"/>
  <c r="D2330" i="2"/>
  <c r="C2330" i="2"/>
  <c r="B2330" i="2"/>
  <c r="A2330" i="2"/>
  <c r="E2329" i="2"/>
  <c r="D2329" i="2"/>
  <c r="C2329" i="2"/>
  <c r="B2329" i="2"/>
  <c r="A2329" i="2"/>
  <c r="E2328" i="2"/>
  <c r="D2328" i="2"/>
  <c r="C2328" i="2"/>
  <c r="B2328" i="2"/>
  <c r="A2328" i="2"/>
  <c r="E2327" i="2"/>
  <c r="D2327" i="2"/>
  <c r="C2327" i="2"/>
  <c r="B2327" i="2"/>
  <c r="A2327" i="2"/>
  <c r="E2326" i="2"/>
  <c r="D2326" i="2"/>
  <c r="C2326" i="2"/>
  <c r="B2326" i="2"/>
  <c r="A2326" i="2"/>
  <c r="E2325" i="2"/>
  <c r="D2325" i="2"/>
  <c r="C2325" i="2"/>
  <c r="B2325" i="2"/>
  <c r="A2325" i="2"/>
  <c r="E2324" i="2"/>
  <c r="D2324" i="2"/>
  <c r="C2324" i="2"/>
  <c r="B2324" i="2"/>
  <c r="A2324" i="2"/>
  <c r="E2323" i="2"/>
  <c r="D2323" i="2"/>
  <c r="C2323" i="2"/>
  <c r="B2323" i="2"/>
  <c r="A2323" i="2"/>
  <c r="E2322" i="2"/>
  <c r="D2322" i="2"/>
  <c r="C2322" i="2"/>
  <c r="B2322" i="2"/>
  <c r="A2322" i="2"/>
  <c r="E2321" i="2"/>
  <c r="D2321" i="2"/>
  <c r="C2321" i="2"/>
  <c r="B2321" i="2"/>
  <c r="A2321" i="2"/>
  <c r="E2320" i="2"/>
  <c r="D2320" i="2"/>
  <c r="C2320" i="2"/>
  <c r="B2320" i="2"/>
  <c r="A2320" i="2"/>
  <c r="E2319" i="2"/>
  <c r="D2319" i="2"/>
  <c r="C2319" i="2"/>
  <c r="B2319" i="2"/>
  <c r="A2319" i="2"/>
  <c r="E2318" i="2"/>
  <c r="D2318" i="2"/>
  <c r="C2318" i="2"/>
  <c r="B2318" i="2"/>
  <c r="A2318" i="2"/>
  <c r="E2317" i="2"/>
  <c r="D2317" i="2"/>
  <c r="C2317" i="2"/>
  <c r="B2317" i="2"/>
  <c r="A2317" i="2"/>
  <c r="E2316" i="2"/>
  <c r="D2316" i="2"/>
  <c r="C2316" i="2"/>
  <c r="B2316" i="2"/>
  <c r="A2316" i="2"/>
  <c r="E2315" i="2"/>
  <c r="D2315" i="2"/>
  <c r="C2315" i="2"/>
  <c r="B2315" i="2"/>
  <c r="A2315" i="2"/>
  <c r="E2314" i="2"/>
  <c r="D2314" i="2"/>
  <c r="C2314" i="2"/>
  <c r="B2314" i="2"/>
  <c r="A2314" i="2"/>
  <c r="E2313" i="2"/>
  <c r="D2313" i="2"/>
  <c r="C2313" i="2"/>
  <c r="B2313" i="2"/>
  <c r="A2313" i="2"/>
  <c r="E2312" i="2"/>
  <c r="D2312" i="2"/>
  <c r="C2312" i="2"/>
  <c r="B2312" i="2"/>
  <c r="A2312" i="2"/>
  <c r="E2311" i="2"/>
  <c r="D2311" i="2"/>
  <c r="C2311" i="2"/>
  <c r="B2311" i="2"/>
  <c r="A2311" i="2"/>
  <c r="E2310" i="2"/>
  <c r="D2310" i="2"/>
  <c r="C2310" i="2"/>
  <c r="B2310" i="2"/>
  <c r="A2310" i="2"/>
  <c r="E2309" i="2"/>
  <c r="D2309" i="2"/>
  <c r="C2309" i="2"/>
  <c r="B2309" i="2"/>
  <c r="A2309" i="2"/>
  <c r="E2308" i="2"/>
  <c r="D2308" i="2"/>
  <c r="C2308" i="2"/>
  <c r="B2308" i="2"/>
  <c r="A2308" i="2"/>
  <c r="E2307" i="2"/>
  <c r="D2307" i="2"/>
  <c r="C2307" i="2"/>
  <c r="B2307" i="2"/>
  <c r="A2307" i="2"/>
  <c r="E2306" i="2"/>
  <c r="D2306" i="2"/>
  <c r="C2306" i="2"/>
  <c r="B2306" i="2"/>
  <c r="A2306" i="2"/>
  <c r="E2305" i="2"/>
  <c r="D2305" i="2"/>
  <c r="C2305" i="2"/>
  <c r="B2305" i="2"/>
  <c r="A2305" i="2"/>
  <c r="E2304" i="2"/>
  <c r="D2304" i="2"/>
  <c r="C2304" i="2"/>
  <c r="B2304" i="2"/>
  <c r="A2304" i="2"/>
  <c r="E2303" i="2"/>
  <c r="D2303" i="2"/>
  <c r="C2303" i="2"/>
  <c r="B2303" i="2"/>
  <c r="A2303" i="2"/>
  <c r="E2302" i="2"/>
  <c r="D2302" i="2"/>
  <c r="C2302" i="2"/>
  <c r="B2302" i="2"/>
  <c r="A2302" i="2"/>
  <c r="E2301" i="2"/>
  <c r="D2301" i="2"/>
  <c r="C2301" i="2"/>
  <c r="B2301" i="2"/>
  <c r="A2301" i="2"/>
  <c r="E2300" i="2"/>
  <c r="D2300" i="2"/>
  <c r="C2300" i="2"/>
  <c r="B2300" i="2"/>
  <c r="A2300" i="2"/>
  <c r="E2299" i="2"/>
  <c r="D2299" i="2"/>
  <c r="C2299" i="2"/>
  <c r="B2299" i="2"/>
  <c r="A2299" i="2"/>
  <c r="E2298" i="2"/>
  <c r="D2298" i="2"/>
  <c r="C2298" i="2"/>
  <c r="B2298" i="2"/>
  <c r="A2298" i="2"/>
  <c r="E2297" i="2"/>
  <c r="D2297" i="2"/>
  <c r="C2297" i="2"/>
  <c r="B2297" i="2"/>
  <c r="A2297" i="2"/>
  <c r="E2296" i="2"/>
  <c r="D2296" i="2"/>
  <c r="C2296" i="2"/>
  <c r="B2296" i="2"/>
  <c r="A2296" i="2"/>
  <c r="E2295" i="2"/>
  <c r="D2295" i="2"/>
  <c r="C2295" i="2"/>
  <c r="B2295" i="2"/>
  <c r="A2295" i="2"/>
  <c r="E2294" i="2"/>
  <c r="D2294" i="2"/>
  <c r="C2294" i="2"/>
  <c r="B2294" i="2"/>
  <c r="A2294" i="2"/>
  <c r="E2293" i="2"/>
  <c r="D2293" i="2"/>
  <c r="C2293" i="2"/>
  <c r="B2293" i="2"/>
  <c r="A2293" i="2"/>
  <c r="E2292" i="2"/>
  <c r="D2292" i="2"/>
  <c r="C2292" i="2"/>
  <c r="B2292" i="2"/>
  <c r="A2292" i="2"/>
  <c r="E2291" i="2"/>
  <c r="D2291" i="2"/>
  <c r="C2291" i="2"/>
  <c r="B2291" i="2"/>
  <c r="A2291" i="2"/>
  <c r="E2290" i="2"/>
  <c r="D2290" i="2"/>
  <c r="C2290" i="2"/>
  <c r="B2290" i="2"/>
  <c r="A2290" i="2"/>
  <c r="E2289" i="2"/>
  <c r="D2289" i="2"/>
  <c r="C2289" i="2"/>
  <c r="B2289" i="2"/>
  <c r="A2289" i="2"/>
  <c r="E2288" i="2"/>
  <c r="D2288" i="2"/>
  <c r="C2288" i="2"/>
  <c r="B2288" i="2"/>
  <c r="A2288" i="2"/>
  <c r="E2287" i="2"/>
  <c r="D2287" i="2"/>
  <c r="C2287" i="2"/>
  <c r="B2287" i="2"/>
  <c r="A2287" i="2"/>
  <c r="E2286" i="2"/>
  <c r="D2286" i="2"/>
  <c r="C2286" i="2"/>
  <c r="B2286" i="2"/>
  <c r="A2286" i="2"/>
  <c r="E2285" i="2"/>
  <c r="D2285" i="2"/>
  <c r="C2285" i="2"/>
  <c r="B2285" i="2"/>
  <c r="A2285" i="2"/>
  <c r="E2284" i="2"/>
  <c r="D2284" i="2"/>
  <c r="C2284" i="2"/>
  <c r="B2284" i="2"/>
  <c r="A2284" i="2"/>
  <c r="E2283" i="2"/>
  <c r="D2283" i="2"/>
  <c r="C2283" i="2"/>
  <c r="B2283" i="2"/>
  <c r="A2283" i="2"/>
  <c r="E2282" i="2"/>
  <c r="D2282" i="2"/>
  <c r="C2282" i="2"/>
  <c r="B2282" i="2"/>
  <c r="A2282" i="2"/>
  <c r="E2281" i="2"/>
  <c r="D2281" i="2"/>
  <c r="C2281" i="2"/>
  <c r="B2281" i="2"/>
  <c r="A2281" i="2"/>
  <c r="E2280" i="2"/>
  <c r="D2280" i="2"/>
  <c r="C2280" i="2"/>
  <c r="B2280" i="2"/>
  <c r="A2280" i="2"/>
  <c r="E2279" i="2"/>
  <c r="D2279" i="2"/>
  <c r="C2279" i="2"/>
  <c r="B2279" i="2"/>
  <c r="A2279" i="2"/>
  <c r="E2278" i="2"/>
  <c r="D2278" i="2"/>
  <c r="C2278" i="2"/>
  <c r="B2278" i="2"/>
  <c r="A2278" i="2"/>
  <c r="E2277" i="2"/>
  <c r="D2277" i="2"/>
  <c r="C2277" i="2"/>
  <c r="B2277" i="2"/>
  <c r="A2277" i="2"/>
  <c r="E2276" i="2"/>
  <c r="D2276" i="2"/>
  <c r="C2276" i="2"/>
  <c r="B2276" i="2"/>
  <c r="A2276" i="2"/>
  <c r="E2275" i="2"/>
  <c r="D2275" i="2"/>
  <c r="C2275" i="2"/>
  <c r="B2275" i="2"/>
  <c r="A2275" i="2"/>
  <c r="E2274" i="2"/>
  <c r="D2274" i="2"/>
  <c r="C2274" i="2"/>
  <c r="B2274" i="2"/>
  <c r="A2274" i="2"/>
  <c r="E2273" i="2"/>
  <c r="D2273" i="2"/>
  <c r="C2273" i="2"/>
  <c r="B2273" i="2"/>
  <c r="A2273" i="2"/>
  <c r="E2272" i="2"/>
  <c r="D2272" i="2"/>
  <c r="C2272" i="2"/>
  <c r="B2272" i="2"/>
  <c r="A2272" i="2"/>
  <c r="E2271" i="2"/>
  <c r="D2271" i="2"/>
  <c r="C2271" i="2"/>
  <c r="B2271" i="2"/>
  <c r="A2271" i="2"/>
  <c r="E2270" i="2"/>
  <c r="D2270" i="2"/>
  <c r="C2270" i="2"/>
  <c r="B2270" i="2"/>
  <c r="A2270" i="2"/>
  <c r="E2269" i="2"/>
  <c r="D2269" i="2"/>
  <c r="C2269" i="2"/>
  <c r="B2269" i="2"/>
  <c r="A2269" i="2"/>
  <c r="E2268" i="2"/>
  <c r="D2268" i="2"/>
  <c r="C2268" i="2"/>
  <c r="B2268" i="2"/>
  <c r="A2268" i="2"/>
  <c r="E2267" i="2"/>
  <c r="D2267" i="2"/>
  <c r="C2267" i="2"/>
  <c r="B2267" i="2"/>
  <c r="A2267" i="2"/>
  <c r="E2266" i="2"/>
  <c r="D2266" i="2"/>
  <c r="C2266" i="2"/>
  <c r="B2266" i="2"/>
  <c r="A2266" i="2"/>
  <c r="E2265" i="2"/>
  <c r="D2265" i="2"/>
  <c r="C2265" i="2"/>
  <c r="B2265" i="2"/>
  <c r="A2265" i="2"/>
  <c r="E2264" i="2"/>
  <c r="D2264" i="2"/>
  <c r="C2264" i="2"/>
  <c r="B2264" i="2"/>
  <c r="A2264" i="2"/>
  <c r="E2263" i="2"/>
  <c r="D2263" i="2"/>
  <c r="C2263" i="2"/>
  <c r="B2263" i="2"/>
  <c r="A2263" i="2"/>
  <c r="E2262" i="2"/>
  <c r="D2262" i="2"/>
  <c r="C2262" i="2"/>
  <c r="B2262" i="2"/>
  <c r="A2262" i="2"/>
  <c r="E2261" i="2"/>
  <c r="D2261" i="2"/>
  <c r="C2261" i="2"/>
  <c r="B2261" i="2"/>
  <c r="A2261" i="2"/>
  <c r="E2260" i="2"/>
  <c r="D2260" i="2"/>
  <c r="C2260" i="2"/>
  <c r="B2260" i="2"/>
  <c r="A2260" i="2"/>
  <c r="E2259" i="2"/>
  <c r="D2259" i="2"/>
  <c r="C2259" i="2"/>
  <c r="B2259" i="2"/>
  <c r="A2259" i="2"/>
  <c r="E2258" i="2"/>
  <c r="D2258" i="2"/>
  <c r="C2258" i="2"/>
  <c r="B2258" i="2"/>
  <c r="A2258" i="2"/>
  <c r="E2257" i="2"/>
  <c r="D2257" i="2"/>
  <c r="C2257" i="2"/>
  <c r="B2257" i="2"/>
  <c r="A2257" i="2"/>
  <c r="E2256" i="2"/>
  <c r="D2256" i="2"/>
  <c r="C2256" i="2"/>
  <c r="B2256" i="2"/>
  <c r="A2256" i="2"/>
  <c r="E2255" i="2"/>
  <c r="D2255" i="2"/>
  <c r="C2255" i="2"/>
  <c r="B2255" i="2"/>
  <c r="A2255" i="2"/>
  <c r="E2254" i="2"/>
  <c r="D2254" i="2"/>
  <c r="C2254" i="2"/>
  <c r="B2254" i="2"/>
  <c r="A2254" i="2"/>
  <c r="E2253" i="2"/>
  <c r="D2253" i="2"/>
  <c r="C2253" i="2"/>
  <c r="B2253" i="2"/>
  <c r="A2253" i="2"/>
  <c r="E2252" i="2"/>
  <c r="D2252" i="2"/>
  <c r="C2252" i="2"/>
  <c r="B2252" i="2"/>
  <c r="A2252" i="2"/>
  <c r="E2251" i="2"/>
  <c r="D2251" i="2"/>
  <c r="C2251" i="2"/>
  <c r="B2251" i="2"/>
  <c r="A2251" i="2"/>
  <c r="E2250" i="2"/>
  <c r="D2250" i="2"/>
  <c r="C2250" i="2"/>
  <c r="B2250" i="2"/>
  <c r="A2250" i="2"/>
  <c r="E2249" i="2"/>
  <c r="D2249" i="2"/>
  <c r="C2249" i="2"/>
  <c r="B2249" i="2"/>
  <c r="A2249" i="2"/>
  <c r="E2248" i="2"/>
  <c r="D2248" i="2"/>
  <c r="C2248" i="2"/>
  <c r="B2248" i="2"/>
  <c r="A2248" i="2"/>
  <c r="E2247" i="2"/>
  <c r="D2247" i="2"/>
  <c r="C2247" i="2"/>
  <c r="B2247" i="2"/>
  <c r="A2247" i="2"/>
  <c r="E2246" i="2"/>
  <c r="D2246" i="2"/>
  <c r="C2246" i="2"/>
  <c r="B2246" i="2"/>
  <c r="A2246" i="2"/>
  <c r="E2245" i="2"/>
  <c r="D2245" i="2"/>
  <c r="C2245" i="2"/>
  <c r="B2245" i="2"/>
  <c r="A2245" i="2"/>
  <c r="E2244" i="2"/>
  <c r="D2244" i="2"/>
  <c r="C2244" i="2"/>
  <c r="B2244" i="2"/>
  <c r="A2244" i="2"/>
  <c r="E2243" i="2"/>
  <c r="D2243" i="2"/>
  <c r="C2243" i="2"/>
  <c r="B2243" i="2"/>
  <c r="A2243" i="2"/>
  <c r="E2242" i="2"/>
  <c r="D2242" i="2"/>
  <c r="C2242" i="2"/>
  <c r="B2242" i="2"/>
  <c r="A2242" i="2"/>
  <c r="E2241" i="2"/>
  <c r="D2241" i="2"/>
  <c r="C2241" i="2"/>
  <c r="B2241" i="2"/>
  <c r="A2241" i="2"/>
  <c r="E2240" i="2"/>
  <c r="D2240" i="2"/>
  <c r="C2240" i="2"/>
  <c r="B2240" i="2"/>
  <c r="A2240" i="2"/>
  <c r="E2239" i="2"/>
  <c r="D2239" i="2"/>
  <c r="C2239" i="2"/>
  <c r="B2239" i="2"/>
  <c r="A2239" i="2"/>
  <c r="E2238" i="2"/>
  <c r="D2238" i="2"/>
  <c r="C2238" i="2"/>
  <c r="B2238" i="2"/>
  <c r="A2238" i="2"/>
  <c r="E2237" i="2"/>
  <c r="D2237" i="2"/>
  <c r="C2237" i="2"/>
  <c r="B2237" i="2"/>
  <c r="A2237" i="2"/>
  <c r="E2236" i="2"/>
  <c r="D2236" i="2"/>
  <c r="C2236" i="2"/>
  <c r="B2236" i="2"/>
  <c r="A2236" i="2"/>
  <c r="E2235" i="2"/>
  <c r="D2235" i="2"/>
  <c r="C2235" i="2"/>
  <c r="B2235" i="2"/>
  <c r="A2235" i="2"/>
  <c r="E2234" i="2"/>
  <c r="D2234" i="2"/>
  <c r="C2234" i="2"/>
  <c r="B2234" i="2"/>
  <c r="A2234" i="2"/>
  <c r="E2233" i="2"/>
  <c r="D2233" i="2"/>
  <c r="C2233" i="2"/>
  <c r="B2233" i="2"/>
  <c r="A2233" i="2"/>
  <c r="E2232" i="2"/>
  <c r="D2232" i="2"/>
  <c r="C2232" i="2"/>
  <c r="B2232" i="2"/>
  <c r="A2232" i="2"/>
  <c r="E2231" i="2"/>
  <c r="D2231" i="2"/>
  <c r="C2231" i="2"/>
  <c r="B2231" i="2"/>
  <c r="A2231" i="2"/>
  <c r="E2230" i="2"/>
  <c r="D2230" i="2"/>
  <c r="C2230" i="2"/>
  <c r="B2230" i="2"/>
  <c r="A2230" i="2"/>
  <c r="E2229" i="2"/>
  <c r="D2229" i="2"/>
  <c r="C2229" i="2"/>
  <c r="B2229" i="2"/>
  <c r="A2229" i="2"/>
  <c r="E2228" i="2"/>
  <c r="D2228" i="2"/>
  <c r="C2228" i="2"/>
  <c r="B2228" i="2"/>
  <c r="A2228" i="2"/>
  <c r="E2227" i="2"/>
  <c r="D2227" i="2"/>
  <c r="C2227" i="2"/>
  <c r="B2227" i="2"/>
  <c r="A2227" i="2"/>
  <c r="E2226" i="2"/>
  <c r="D2226" i="2"/>
  <c r="C2226" i="2"/>
  <c r="B2226" i="2"/>
  <c r="A2226" i="2"/>
  <c r="E2225" i="2"/>
  <c r="D2225" i="2"/>
  <c r="C2225" i="2"/>
  <c r="B2225" i="2"/>
  <c r="A2225" i="2"/>
  <c r="E2224" i="2"/>
  <c r="D2224" i="2"/>
  <c r="C2224" i="2"/>
  <c r="B2224" i="2"/>
  <c r="A2224" i="2"/>
  <c r="E2223" i="2"/>
  <c r="D2223" i="2"/>
  <c r="C2223" i="2"/>
  <c r="B2223" i="2"/>
  <c r="A2223" i="2"/>
  <c r="E2222" i="2"/>
  <c r="D2222" i="2"/>
  <c r="C2222" i="2"/>
  <c r="B2222" i="2"/>
  <c r="A2222" i="2"/>
  <c r="E2221" i="2"/>
  <c r="D2221" i="2"/>
  <c r="C2221" i="2"/>
  <c r="B2221" i="2"/>
  <c r="A2221" i="2"/>
  <c r="E2220" i="2"/>
  <c r="D2220" i="2"/>
  <c r="C2220" i="2"/>
  <c r="B2220" i="2"/>
  <c r="A2220" i="2"/>
  <c r="E2219" i="2"/>
  <c r="D2219" i="2"/>
  <c r="C2219" i="2"/>
  <c r="B2219" i="2"/>
  <c r="A2219" i="2"/>
  <c r="E2218" i="2"/>
  <c r="D2218" i="2"/>
  <c r="C2218" i="2"/>
  <c r="B2218" i="2"/>
  <c r="A2218" i="2"/>
  <c r="E2217" i="2"/>
  <c r="D2217" i="2"/>
  <c r="C2217" i="2"/>
  <c r="B2217" i="2"/>
  <c r="A2217" i="2"/>
  <c r="E2216" i="2"/>
  <c r="D2216" i="2"/>
  <c r="C2216" i="2"/>
  <c r="B2216" i="2"/>
  <c r="A2216" i="2"/>
  <c r="E2215" i="2"/>
  <c r="D2215" i="2"/>
  <c r="C2215" i="2"/>
  <c r="B2215" i="2"/>
  <c r="A2215" i="2"/>
  <c r="E2214" i="2"/>
  <c r="D2214" i="2"/>
  <c r="C2214" i="2"/>
  <c r="B2214" i="2"/>
  <c r="A2214" i="2"/>
  <c r="E2213" i="2"/>
  <c r="D2213" i="2"/>
  <c r="C2213" i="2"/>
  <c r="B2213" i="2"/>
  <c r="A2213" i="2"/>
  <c r="E2212" i="2"/>
  <c r="D2212" i="2"/>
  <c r="C2212" i="2"/>
  <c r="B2212" i="2"/>
  <c r="A2212" i="2"/>
  <c r="E2211" i="2"/>
  <c r="D2211" i="2"/>
  <c r="C2211" i="2"/>
  <c r="B2211" i="2"/>
  <c r="A2211" i="2"/>
  <c r="E2210" i="2"/>
  <c r="D2210" i="2"/>
  <c r="C2210" i="2"/>
  <c r="B2210" i="2"/>
  <c r="A2210" i="2"/>
  <c r="E2209" i="2"/>
  <c r="D2209" i="2"/>
  <c r="C2209" i="2"/>
  <c r="B2209" i="2"/>
  <c r="A2209" i="2"/>
  <c r="E2208" i="2"/>
  <c r="D2208" i="2"/>
  <c r="C2208" i="2"/>
  <c r="B2208" i="2"/>
  <c r="A2208" i="2"/>
  <c r="E2207" i="2"/>
  <c r="D2207" i="2"/>
  <c r="C2207" i="2"/>
  <c r="B2207" i="2"/>
  <c r="A2207" i="2"/>
  <c r="E2206" i="2"/>
  <c r="D2206" i="2"/>
  <c r="C2206" i="2"/>
  <c r="B2206" i="2"/>
  <c r="A2206" i="2"/>
  <c r="E2205" i="2"/>
  <c r="D2205" i="2"/>
  <c r="C2205" i="2"/>
  <c r="B2205" i="2"/>
  <c r="A2205" i="2"/>
  <c r="E2204" i="2"/>
  <c r="D2204" i="2"/>
  <c r="C2204" i="2"/>
  <c r="B2204" i="2"/>
  <c r="A2204" i="2"/>
  <c r="E2203" i="2"/>
  <c r="D2203" i="2"/>
  <c r="C2203" i="2"/>
  <c r="B2203" i="2"/>
  <c r="A2203" i="2"/>
  <c r="E2202" i="2"/>
  <c r="D2202" i="2"/>
  <c r="C2202" i="2"/>
  <c r="B2202" i="2"/>
  <c r="A2202" i="2"/>
  <c r="E2201" i="2"/>
  <c r="D2201" i="2"/>
  <c r="C2201" i="2"/>
  <c r="B2201" i="2"/>
  <c r="A2201" i="2"/>
  <c r="E2200" i="2"/>
  <c r="D2200" i="2"/>
  <c r="C2200" i="2"/>
  <c r="B2200" i="2"/>
  <c r="A2200" i="2"/>
  <c r="E2199" i="2"/>
  <c r="D2199" i="2"/>
  <c r="C2199" i="2"/>
  <c r="B2199" i="2"/>
  <c r="A2199" i="2"/>
  <c r="E2198" i="2"/>
  <c r="D2198" i="2"/>
  <c r="C2198" i="2"/>
  <c r="B2198" i="2"/>
  <c r="A2198" i="2"/>
  <c r="E2197" i="2"/>
  <c r="D2197" i="2"/>
  <c r="C2197" i="2"/>
  <c r="B2197" i="2"/>
  <c r="A2197" i="2"/>
  <c r="E2196" i="2"/>
  <c r="D2196" i="2"/>
  <c r="C2196" i="2"/>
  <c r="B2196" i="2"/>
  <c r="A2196" i="2"/>
  <c r="E2195" i="2"/>
  <c r="D2195" i="2"/>
  <c r="C2195" i="2"/>
  <c r="B2195" i="2"/>
  <c r="A2195" i="2"/>
  <c r="E2194" i="2"/>
  <c r="D2194" i="2"/>
  <c r="C2194" i="2"/>
  <c r="B2194" i="2"/>
  <c r="A2194" i="2"/>
  <c r="E2193" i="2"/>
  <c r="D2193" i="2"/>
  <c r="C2193" i="2"/>
  <c r="B2193" i="2"/>
  <c r="A2193" i="2"/>
  <c r="E2192" i="2"/>
  <c r="D2192" i="2"/>
  <c r="C2192" i="2"/>
  <c r="B2192" i="2"/>
  <c r="A2192" i="2"/>
  <c r="E2191" i="2"/>
  <c r="D2191" i="2"/>
  <c r="C2191" i="2"/>
  <c r="B2191" i="2"/>
  <c r="A2191" i="2"/>
  <c r="E2190" i="2"/>
  <c r="D2190" i="2"/>
  <c r="C2190" i="2"/>
  <c r="B2190" i="2"/>
  <c r="A2190" i="2"/>
  <c r="E2189" i="2"/>
  <c r="D2189" i="2"/>
  <c r="C2189" i="2"/>
  <c r="B2189" i="2"/>
  <c r="A2189" i="2"/>
  <c r="E2188" i="2"/>
  <c r="D2188" i="2"/>
  <c r="C2188" i="2"/>
  <c r="B2188" i="2"/>
  <c r="A2188" i="2"/>
  <c r="E2187" i="2"/>
  <c r="D2187" i="2"/>
  <c r="C2187" i="2"/>
  <c r="B2187" i="2"/>
  <c r="A2187" i="2"/>
  <c r="E2186" i="2"/>
  <c r="D2186" i="2"/>
  <c r="C2186" i="2"/>
  <c r="B2186" i="2"/>
  <c r="A2186" i="2"/>
  <c r="E2185" i="2"/>
  <c r="D2185" i="2"/>
  <c r="C2185" i="2"/>
  <c r="B2185" i="2"/>
  <c r="A2185" i="2"/>
  <c r="E2184" i="2"/>
  <c r="D2184" i="2"/>
  <c r="C2184" i="2"/>
  <c r="B2184" i="2"/>
  <c r="A2184" i="2"/>
  <c r="E2183" i="2"/>
  <c r="D2183" i="2"/>
  <c r="C2183" i="2"/>
  <c r="B2183" i="2"/>
  <c r="A2183" i="2"/>
  <c r="E2182" i="2"/>
  <c r="D2182" i="2"/>
  <c r="C2182" i="2"/>
  <c r="B2182" i="2"/>
  <c r="A2182" i="2"/>
  <c r="E2181" i="2"/>
  <c r="D2181" i="2"/>
  <c r="C2181" i="2"/>
  <c r="B2181" i="2"/>
  <c r="A2181" i="2"/>
  <c r="E2180" i="2"/>
  <c r="D2180" i="2"/>
  <c r="C2180" i="2"/>
  <c r="B2180" i="2"/>
  <c r="A2180" i="2"/>
  <c r="E2179" i="2"/>
  <c r="D2179" i="2"/>
  <c r="C2179" i="2"/>
  <c r="B2179" i="2"/>
  <c r="A2179" i="2"/>
  <c r="E2178" i="2"/>
  <c r="D2178" i="2"/>
  <c r="C2178" i="2"/>
  <c r="B2178" i="2"/>
  <c r="A2178" i="2"/>
  <c r="E2177" i="2"/>
  <c r="D2177" i="2"/>
  <c r="C2177" i="2"/>
  <c r="B2177" i="2"/>
  <c r="A2177" i="2"/>
  <c r="E2176" i="2"/>
  <c r="D2176" i="2"/>
  <c r="C2176" i="2"/>
  <c r="B2176" i="2"/>
  <c r="A2176" i="2"/>
  <c r="E2175" i="2"/>
  <c r="D2175" i="2"/>
  <c r="C2175" i="2"/>
  <c r="B2175" i="2"/>
  <c r="A2175" i="2"/>
  <c r="E2174" i="2"/>
  <c r="D2174" i="2"/>
  <c r="C2174" i="2"/>
  <c r="B2174" i="2"/>
  <c r="A2174" i="2"/>
  <c r="E2173" i="2"/>
  <c r="D2173" i="2"/>
  <c r="C2173" i="2"/>
  <c r="B2173" i="2"/>
  <c r="A2173" i="2"/>
  <c r="E2172" i="2"/>
  <c r="D2172" i="2"/>
  <c r="C2172" i="2"/>
  <c r="B2172" i="2"/>
  <c r="A2172" i="2"/>
  <c r="E2171" i="2"/>
  <c r="D2171" i="2"/>
  <c r="C2171" i="2"/>
  <c r="B2171" i="2"/>
  <c r="A2171" i="2"/>
  <c r="E2170" i="2"/>
  <c r="D2170" i="2"/>
  <c r="C2170" i="2"/>
  <c r="B2170" i="2"/>
  <c r="A2170" i="2"/>
  <c r="E2169" i="2"/>
  <c r="D2169" i="2"/>
  <c r="C2169" i="2"/>
  <c r="B2169" i="2"/>
  <c r="A2169" i="2"/>
  <c r="E2168" i="2"/>
  <c r="D2168" i="2"/>
  <c r="C2168" i="2"/>
  <c r="B2168" i="2"/>
  <c r="A2168" i="2"/>
  <c r="E2167" i="2"/>
  <c r="D2167" i="2"/>
  <c r="C2167" i="2"/>
  <c r="B2167" i="2"/>
  <c r="A2167" i="2"/>
  <c r="E2166" i="2"/>
  <c r="D2166" i="2"/>
  <c r="C2166" i="2"/>
  <c r="B2166" i="2"/>
  <c r="A2166" i="2"/>
  <c r="E2165" i="2"/>
  <c r="D2165" i="2"/>
  <c r="C2165" i="2"/>
  <c r="B2165" i="2"/>
  <c r="A2165" i="2"/>
  <c r="E2164" i="2"/>
  <c r="D2164" i="2"/>
  <c r="C2164" i="2"/>
  <c r="B2164" i="2"/>
  <c r="A2164" i="2"/>
  <c r="E2163" i="2"/>
  <c r="D2163" i="2"/>
  <c r="C2163" i="2"/>
  <c r="B2163" i="2"/>
  <c r="A2163" i="2"/>
  <c r="E2162" i="2"/>
  <c r="D2162" i="2"/>
  <c r="C2162" i="2"/>
  <c r="B2162" i="2"/>
  <c r="A2162" i="2"/>
  <c r="E2161" i="2"/>
  <c r="D2161" i="2"/>
  <c r="C2161" i="2"/>
  <c r="B2161" i="2"/>
  <c r="A2161" i="2"/>
  <c r="E2160" i="2"/>
  <c r="D2160" i="2"/>
  <c r="C2160" i="2"/>
  <c r="B2160" i="2"/>
  <c r="A2160" i="2"/>
  <c r="E2159" i="2"/>
  <c r="D2159" i="2"/>
  <c r="C2159" i="2"/>
  <c r="B2159" i="2"/>
  <c r="A2159" i="2"/>
  <c r="E2158" i="2"/>
  <c r="D2158" i="2"/>
  <c r="C2158" i="2"/>
  <c r="B2158" i="2"/>
  <c r="A2158" i="2"/>
  <c r="E2157" i="2"/>
  <c r="D2157" i="2"/>
  <c r="C2157" i="2"/>
  <c r="B2157" i="2"/>
  <c r="A2157" i="2"/>
  <c r="E2156" i="2"/>
  <c r="D2156" i="2"/>
  <c r="C2156" i="2"/>
  <c r="B2156" i="2"/>
  <c r="A2156" i="2"/>
  <c r="E2155" i="2"/>
  <c r="D2155" i="2"/>
  <c r="C2155" i="2"/>
  <c r="B2155" i="2"/>
  <c r="A2155" i="2"/>
  <c r="E2154" i="2"/>
  <c r="D2154" i="2"/>
  <c r="C2154" i="2"/>
  <c r="B2154" i="2"/>
  <c r="A2154" i="2"/>
  <c r="E2153" i="2"/>
  <c r="D2153" i="2"/>
  <c r="C2153" i="2"/>
  <c r="B2153" i="2"/>
  <c r="A2153" i="2"/>
  <c r="E2152" i="2"/>
  <c r="D2152" i="2"/>
  <c r="C2152" i="2"/>
  <c r="B2152" i="2"/>
  <c r="A2152" i="2"/>
  <c r="E2151" i="2"/>
  <c r="D2151" i="2"/>
  <c r="C2151" i="2"/>
  <c r="B2151" i="2"/>
  <c r="A2151" i="2"/>
  <c r="E2150" i="2"/>
  <c r="D2150" i="2"/>
  <c r="C2150" i="2"/>
  <c r="B2150" i="2"/>
  <c r="A2150" i="2"/>
  <c r="E2149" i="2"/>
  <c r="D2149" i="2"/>
  <c r="C2149" i="2"/>
  <c r="B2149" i="2"/>
  <c r="A2149" i="2"/>
  <c r="E2148" i="2"/>
  <c r="D2148" i="2"/>
  <c r="C2148" i="2"/>
  <c r="B2148" i="2"/>
  <c r="A2148" i="2"/>
  <c r="E2147" i="2"/>
  <c r="D2147" i="2"/>
  <c r="C2147" i="2"/>
  <c r="B2147" i="2"/>
  <c r="A2147" i="2"/>
  <c r="E2146" i="2"/>
  <c r="D2146" i="2"/>
  <c r="C2146" i="2"/>
  <c r="B2146" i="2"/>
  <c r="A2146" i="2"/>
  <c r="E2145" i="2"/>
  <c r="D2145" i="2"/>
  <c r="C2145" i="2"/>
  <c r="B2145" i="2"/>
  <c r="A2145" i="2"/>
  <c r="E2144" i="2"/>
  <c r="D2144" i="2"/>
  <c r="C2144" i="2"/>
  <c r="B2144" i="2"/>
  <c r="A2144" i="2"/>
  <c r="E2143" i="2"/>
  <c r="D2143" i="2"/>
  <c r="C2143" i="2"/>
  <c r="B2143" i="2"/>
  <c r="A2143" i="2"/>
  <c r="E2142" i="2"/>
  <c r="D2142" i="2"/>
  <c r="C2142" i="2"/>
  <c r="B2142" i="2"/>
  <c r="A2142" i="2"/>
  <c r="E2141" i="2"/>
  <c r="D2141" i="2"/>
  <c r="C2141" i="2"/>
  <c r="B2141" i="2"/>
  <c r="A2141" i="2"/>
  <c r="E2140" i="2"/>
  <c r="D2140" i="2"/>
  <c r="C2140" i="2"/>
  <c r="B2140" i="2"/>
  <c r="A2140" i="2"/>
  <c r="E2139" i="2"/>
  <c r="D2139" i="2"/>
  <c r="C2139" i="2"/>
  <c r="B2139" i="2"/>
  <c r="A2139" i="2"/>
  <c r="E2138" i="2"/>
  <c r="D2138" i="2"/>
  <c r="C2138" i="2"/>
  <c r="B2138" i="2"/>
  <c r="A2138" i="2"/>
  <c r="E2137" i="2"/>
  <c r="D2137" i="2"/>
  <c r="C2137" i="2"/>
  <c r="B2137" i="2"/>
  <c r="A2137" i="2"/>
  <c r="E2136" i="2"/>
  <c r="D2136" i="2"/>
  <c r="C2136" i="2"/>
  <c r="B2136" i="2"/>
  <c r="A2136" i="2"/>
  <c r="E2135" i="2"/>
  <c r="D2135" i="2"/>
  <c r="C2135" i="2"/>
  <c r="B2135" i="2"/>
  <c r="A2135" i="2"/>
  <c r="E2134" i="2"/>
  <c r="D2134" i="2"/>
  <c r="C2134" i="2"/>
  <c r="B2134" i="2"/>
  <c r="A2134" i="2"/>
  <c r="E2133" i="2"/>
  <c r="D2133" i="2"/>
  <c r="C2133" i="2"/>
  <c r="B2133" i="2"/>
  <c r="A2133" i="2"/>
  <c r="E2132" i="2"/>
  <c r="D2132" i="2"/>
  <c r="C2132" i="2"/>
  <c r="B2132" i="2"/>
  <c r="A2132" i="2"/>
  <c r="E2131" i="2"/>
  <c r="D2131" i="2"/>
  <c r="C2131" i="2"/>
  <c r="B2131" i="2"/>
  <c r="A2131" i="2"/>
  <c r="E2130" i="2"/>
  <c r="D2130" i="2"/>
  <c r="C2130" i="2"/>
  <c r="B2130" i="2"/>
  <c r="A2130" i="2"/>
  <c r="E2129" i="2"/>
  <c r="D2129" i="2"/>
  <c r="C2129" i="2"/>
  <c r="B2129" i="2"/>
  <c r="A2129" i="2"/>
  <c r="E2128" i="2"/>
  <c r="D2128" i="2"/>
  <c r="C2128" i="2"/>
  <c r="B2128" i="2"/>
  <c r="A2128" i="2"/>
  <c r="E2127" i="2"/>
  <c r="D2127" i="2"/>
  <c r="C2127" i="2"/>
  <c r="B2127" i="2"/>
  <c r="A2127" i="2"/>
  <c r="E2126" i="2"/>
  <c r="D2126" i="2"/>
  <c r="C2126" i="2"/>
  <c r="B2126" i="2"/>
  <c r="A2126" i="2"/>
  <c r="E2125" i="2"/>
  <c r="D2125" i="2"/>
  <c r="C2125" i="2"/>
  <c r="B2125" i="2"/>
  <c r="A2125" i="2"/>
  <c r="E2124" i="2"/>
  <c r="D2124" i="2"/>
  <c r="C2124" i="2"/>
  <c r="B2124" i="2"/>
  <c r="A2124" i="2"/>
  <c r="E2123" i="2"/>
  <c r="D2123" i="2"/>
  <c r="C2123" i="2"/>
  <c r="B2123" i="2"/>
  <c r="A2123" i="2"/>
  <c r="E2122" i="2"/>
  <c r="D2122" i="2"/>
  <c r="C2122" i="2"/>
  <c r="B2122" i="2"/>
  <c r="A2122" i="2"/>
  <c r="E2121" i="2"/>
  <c r="D2121" i="2"/>
  <c r="C2121" i="2"/>
  <c r="B2121" i="2"/>
  <c r="A2121" i="2"/>
  <c r="E2120" i="2"/>
  <c r="D2120" i="2"/>
  <c r="C2120" i="2"/>
  <c r="B2120" i="2"/>
  <c r="A2120" i="2"/>
  <c r="E2119" i="2"/>
  <c r="D2119" i="2"/>
  <c r="C2119" i="2"/>
  <c r="B2119" i="2"/>
  <c r="A2119" i="2"/>
  <c r="E2118" i="2"/>
  <c r="D2118" i="2"/>
  <c r="C2118" i="2"/>
  <c r="B2118" i="2"/>
  <c r="A2118" i="2"/>
  <c r="E2117" i="2"/>
  <c r="D2117" i="2"/>
  <c r="C2117" i="2"/>
  <c r="B2117" i="2"/>
  <c r="A2117" i="2"/>
  <c r="E2116" i="2"/>
  <c r="D2116" i="2"/>
  <c r="C2116" i="2"/>
  <c r="B2116" i="2"/>
  <c r="A2116" i="2"/>
  <c r="E2115" i="2"/>
  <c r="D2115" i="2"/>
  <c r="C2115" i="2"/>
  <c r="B2115" i="2"/>
  <c r="A2115" i="2"/>
  <c r="E2114" i="2"/>
  <c r="D2114" i="2"/>
  <c r="C2114" i="2"/>
  <c r="B2114" i="2"/>
  <c r="A2114" i="2"/>
  <c r="E2113" i="2"/>
  <c r="D2113" i="2"/>
  <c r="C2113" i="2"/>
  <c r="B2113" i="2"/>
  <c r="A2113" i="2"/>
  <c r="E2112" i="2"/>
  <c r="D2112" i="2"/>
  <c r="C2112" i="2"/>
  <c r="B2112" i="2"/>
  <c r="A2112" i="2"/>
  <c r="E2111" i="2"/>
  <c r="D2111" i="2"/>
  <c r="C2111" i="2"/>
  <c r="B2111" i="2"/>
  <c r="A2111" i="2"/>
  <c r="E2110" i="2"/>
  <c r="D2110" i="2"/>
  <c r="C2110" i="2"/>
  <c r="B2110" i="2"/>
  <c r="A2110" i="2"/>
  <c r="E2109" i="2"/>
  <c r="D2109" i="2"/>
  <c r="C2109" i="2"/>
  <c r="B2109" i="2"/>
  <c r="A2109" i="2"/>
  <c r="E2108" i="2"/>
  <c r="D2108" i="2"/>
  <c r="C2108" i="2"/>
  <c r="B2108" i="2"/>
  <c r="A2108" i="2"/>
  <c r="E2107" i="2"/>
  <c r="D2107" i="2"/>
  <c r="C2107" i="2"/>
  <c r="B2107" i="2"/>
  <c r="A2107" i="2"/>
  <c r="E2106" i="2"/>
  <c r="D2106" i="2"/>
  <c r="C2106" i="2"/>
  <c r="B2106" i="2"/>
  <c r="A2106" i="2"/>
  <c r="E2105" i="2"/>
  <c r="D2105" i="2"/>
  <c r="C2105" i="2"/>
  <c r="B2105" i="2"/>
  <c r="A2105" i="2"/>
  <c r="E2104" i="2"/>
  <c r="D2104" i="2"/>
  <c r="C2104" i="2"/>
  <c r="B2104" i="2"/>
  <c r="A2104" i="2"/>
  <c r="E2103" i="2"/>
  <c r="D2103" i="2"/>
  <c r="C2103" i="2"/>
  <c r="B2103" i="2"/>
  <c r="A2103" i="2"/>
  <c r="E2102" i="2"/>
  <c r="D2102" i="2"/>
  <c r="C2102" i="2"/>
  <c r="B2102" i="2"/>
  <c r="A2102" i="2"/>
  <c r="E2101" i="2"/>
  <c r="D2101" i="2"/>
  <c r="C2101" i="2"/>
  <c r="B2101" i="2"/>
  <c r="A2101" i="2"/>
  <c r="E2100" i="2"/>
  <c r="D2100" i="2"/>
  <c r="C2100" i="2"/>
  <c r="B2100" i="2"/>
  <c r="A2100" i="2"/>
  <c r="E2099" i="2"/>
  <c r="D2099" i="2"/>
  <c r="C2099" i="2"/>
  <c r="B2099" i="2"/>
  <c r="A2099" i="2"/>
  <c r="E2098" i="2"/>
  <c r="D2098" i="2"/>
  <c r="C2098" i="2"/>
  <c r="B2098" i="2"/>
  <c r="A2098" i="2"/>
  <c r="E2097" i="2"/>
  <c r="D2097" i="2"/>
  <c r="C2097" i="2"/>
  <c r="B2097" i="2"/>
  <c r="A2097" i="2"/>
  <c r="E2096" i="2"/>
  <c r="D2096" i="2"/>
  <c r="C2096" i="2"/>
  <c r="B2096" i="2"/>
  <c r="A2096" i="2"/>
  <c r="E2095" i="2"/>
  <c r="D2095" i="2"/>
  <c r="C2095" i="2"/>
  <c r="B2095" i="2"/>
  <c r="A2095" i="2"/>
  <c r="E2094" i="2"/>
  <c r="D2094" i="2"/>
  <c r="C2094" i="2"/>
  <c r="B2094" i="2"/>
  <c r="A2094" i="2"/>
  <c r="E2093" i="2"/>
  <c r="D2093" i="2"/>
  <c r="C2093" i="2"/>
  <c r="B2093" i="2"/>
  <c r="A2093" i="2"/>
  <c r="E2092" i="2"/>
  <c r="D2092" i="2"/>
  <c r="C2092" i="2"/>
  <c r="B2092" i="2"/>
  <c r="A2092" i="2"/>
  <c r="E2091" i="2"/>
  <c r="D2091" i="2"/>
  <c r="C2091" i="2"/>
  <c r="B2091" i="2"/>
  <c r="A2091" i="2"/>
  <c r="E2090" i="2"/>
  <c r="D2090" i="2"/>
  <c r="C2090" i="2"/>
  <c r="B2090" i="2"/>
  <c r="A2090" i="2"/>
  <c r="E2089" i="2"/>
  <c r="D2089" i="2"/>
  <c r="C2089" i="2"/>
  <c r="B2089" i="2"/>
  <c r="A2089" i="2"/>
  <c r="E2088" i="2"/>
  <c r="D2088" i="2"/>
  <c r="C2088" i="2"/>
  <c r="B2088" i="2"/>
  <c r="A2088" i="2"/>
  <c r="E2087" i="2"/>
  <c r="D2087" i="2"/>
  <c r="C2087" i="2"/>
  <c r="B2087" i="2"/>
  <c r="A2087" i="2"/>
  <c r="E2086" i="2"/>
  <c r="D2086" i="2"/>
  <c r="C2086" i="2"/>
  <c r="B2086" i="2"/>
  <c r="A2086" i="2"/>
  <c r="E2085" i="2"/>
  <c r="D2085" i="2"/>
  <c r="C2085" i="2"/>
  <c r="B2085" i="2"/>
  <c r="A2085" i="2"/>
  <c r="E2084" i="2"/>
  <c r="D2084" i="2"/>
  <c r="C2084" i="2"/>
  <c r="B2084" i="2"/>
  <c r="A2084" i="2"/>
  <c r="E2083" i="2"/>
  <c r="D2083" i="2"/>
  <c r="C2083" i="2"/>
  <c r="B2083" i="2"/>
  <c r="A2083" i="2"/>
  <c r="E2082" i="2"/>
  <c r="D2082" i="2"/>
  <c r="C2082" i="2"/>
  <c r="B2082" i="2"/>
  <c r="A2082" i="2"/>
  <c r="E2081" i="2"/>
  <c r="D2081" i="2"/>
  <c r="C2081" i="2"/>
  <c r="B2081" i="2"/>
  <c r="A2081" i="2"/>
  <c r="E2080" i="2"/>
  <c r="D2080" i="2"/>
  <c r="C2080" i="2"/>
  <c r="B2080" i="2"/>
  <c r="A2080" i="2"/>
  <c r="E2079" i="2"/>
  <c r="D2079" i="2"/>
  <c r="C2079" i="2"/>
  <c r="B2079" i="2"/>
  <c r="A2079" i="2"/>
  <c r="E2078" i="2"/>
  <c r="D2078" i="2"/>
  <c r="C2078" i="2"/>
  <c r="B2078" i="2"/>
  <c r="A2078" i="2"/>
  <c r="E2077" i="2"/>
  <c r="D2077" i="2"/>
  <c r="C2077" i="2"/>
  <c r="B2077" i="2"/>
  <c r="A2077" i="2"/>
  <c r="E2076" i="2"/>
  <c r="D2076" i="2"/>
  <c r="C2076" i="2"/>
  <c r="B2076" i="2"/>
  <c r="A2076" i="2"/>
  <c r="E2075" i="2"/>
  <c r="D2075" i="2"/>
  <c r="C2075" i="2"/>
  <c r="B2075" i="2"/>
  <c r="A2075" i="2"/>
  <c r="E2074" i="2"/>
  <c r="D2074" i="2"/>
  <c r="C2074" i="2"/>
  <c r="B2074" i="2"/>
  <c r="A2074" i="2"/>
  <c r="E2073" i="2"/>
  <c r="D2073" i="2"/>
  <c r="C2073" i="2"/>
  <c r="B2073" i="2"/>
  <c r="A2073" i="2"/>
  <c r="E2072" i="2"/>
  <c r="D2072" i="2"/>
  <c r="C2072" i="2"/>
  <c r="B2072" i="2"/>
  <c r="A2072" i="2"/>
  <c r="E2071" i="2"/>
  <c r="D2071" i="2"/>
  <c r="C2071" i="2"/>
  <c r="B2071" i="2"/>
  <c r="A2071" i="2"/>
  <c r="E2070" i="2"/>
  <c r="D2070" i="2"/>
  <c r="C2070" i="2"/>
  <c r="B2070" i="2"/>
  <c r="A2070" i="2"/>
  <c r="E2069" i="2"/>
  <c r="D2069" i="2"/>
  <c r="C2069" i="2"/>
  <c r="B2069" i="2"/>
  <c r="A2069" i="2"/>
  <c r="E2068" i="2"/>
  <c r="D2068" i="2"/>
  <c r="C2068" i="2"/>
  <c r="B2068" i="2"/>
  <c r="A2068" i="2"/>
  <c r="E2067" i="2"/>
  <c r="D2067" i="2"/>
  <c r="C2067" i="2"/>
  <c r="B2067" i="2"/>
  <c r="A2067" i="2"/>
  <c r="E2066" i="2"/>
  <c r="D2066" i="2"/>
  <c r="C2066" i="2"/>
  <c r="B2066" i="2"/>
  <c r="A2066" i="2"/>
  <c r="E2065" i="2"/>
  <c r="D2065" i="2"/>
  <c r="C2065" i="2"/>
  <c r="B2065" i="2"/>
  <c r="A2065" i="2"/>
  <c r="E2064" i="2"/>
  <c r="D2064" i="2"/>
  <c r="C2064" i="2"/>
  <c r="B2064" i="2"/>
  <c r="A2064" i="2"/>
  <c r="E2063" i="2"/>
  <c r="D2063" i="2"/>
  <c r="C2063" i="2"/>
  <c r="B2063" i="2"/>
  <c r="A2063" i="2"/>
  <c r="E2062" i="2"/>
  <c r="D2062" i="2"/>
  <c r="C2062" i="2"/>
  <c r="B2062" i="2"/>
  <c r="A2062" i="2"/>
  <c r="E2061" i="2"/>
  <c r="D2061" i="2"/>
  <c r="C2061" i="2"/>
  <c r="B2061" i="2"/>
  <c r="A2061" i="2"/>
  <c r="E2060" i="2"/>
  <c r="D2060" i="2"/>
  <c r="C2060" i="2"/>
  <c r="B2060" i="2"/>
  <c r="A2060" i="2"/>
  <c r="E2059" i="2"/>
  <c r="D2059" i="2"/>
  <c r="C2059" i="2"/>
  <c r="B2059" i="2"/>
  <c r="A2059" i="2"/>
  <c r="E2058" i="2"/>
  <c r="D2058" i="2"/>
  <c r="C2058" i="2"/>
  <c r="B2058" i="2"/>
  <c r="A2058" i="2"/>
  <c r="E2057" i="2"/>
  <c r="D2057" i="2"/>
  <c r="C2057" i="2"/>
  <c r="B2057" i="2"/>
  <c r="A2057" i="2"/>
  <c r="E2056" i="2"/>
  <c r="D2056" i="2"/>
  <c r="C2056" i="2"/>
  <c r="B2056" i="2"/>
  <c r="A2056" i="2"/>
  <c r="E2055" i="2"/>
  <c r="D2055" i="2"/>
  <c r="C2055" i="2"/>
  <c r="B2055" i="2"/>
  <c r="A2055" i="2"/>
  <c r="E2054" i="2"/>
  <c r="D2054" i="2"/>
  <c r="C2054" i="2"/>
  <c r="B2054" i="2"/>
  <c r="A2054" i="2"/>
  <c r="E2053" i="2"/>
  <c r="D2053" i="2"/>
  <c r="C2053" i="2"/>
  <c r="B2053" i="2"/>
  <c r="A2053" i="2"/>
  <c r="E2052" i="2"/>
  <c r="D2052" i="2"/>
  <c r="C2052" i="2"/>
  <c r="B2052" i="2"/>
  <c r="A2052" i="2"/>
  <c r="E2051" i="2"/>
  <c r="D2051" i="2"/>
  <c r="C2051" i="2"/>
  <c r="B2051" i="2"/>
  <c r="A2051" i="2"/>
  <c r="E2050" i="2"/>
  <c r="D2050" i="2"/>
  <c r="C2050" i="2"/>
  <c r="B2050" i="2"/>
  <c r="A2050" i="2"/>
  <c r="E2049" i="2"/>
  <c r="D2049" i="2"/>
  <c r="C2049" i="2"/>
  <c r="B2049" i="2"/>
  <c r="A2049" i="2"/>
  <c r="E2048" i="2"/>
  <c r="D2048" i="2"/>
  <c r="C2048" i="2"/>
  <c r="B2048" i="2"/>
  <c r="A2048" i="2"/>
  <c r="E2047" i="2"/>
  <c r="D2047" i="2"/>
  <c r="C2047" i="2"/>
  <c r="B2047" i="2"/>
  <c r="A2047" i="2"/>
  <c r="E2046" i="2"/>
  <c r="D2046" i="2"/>
  <c r="C2046" i="2"/>
  <c r="B2046" i="2"/>
  <c r="A2046" i="2"/>
  <c r="E2045" i="2"/>
  <c r="D2045" i="2"/>
  <c r="C2045" i="2"/>
  <c r="B2045" i="2"/>
  <c r="A2045" i="2"/>
  <c r="E2044" i="2"/>
  <c r="D2044" i="2"/>
  <c r="C2044" i="2"/>
  <c r="B2044" i="2"/>
  <c r="A2044" i="2"/>
  <c r="E2043" i="2"/>
  <c r="D2043" i="2"/>
  <c r="C2043" i="2"/>
  <c r="B2043" i="2"/>
  <c r="A2043" i="2"/>
  <c r="E2042" i="2"/>
  <c r="D2042" i="2"/>
  <c r="C2042" i="2"/>
  <c r="B2042" i="2"/>
  <c r="A2042" i="2"/>
  <c r="E2041" i="2"/>
  <c r="D2041" i="2"/>
  <c r="C2041" i="2"/>
  <c r="B2041" i="2"/>
  <c r="A2041" i="2"/>
  <c r="E2040" i="2"/>
  <c r="D2040" i="2"/>
  <c r="C2040" i="2"/>
  <c r="B2040" i="2"/>
  <c r="A2040" i="2"/>
  <c r="E2039" i="2"/>
  <c r="D2039" i="2"/>
  <c r="C2039" i="2"/>
  <c r="B2039" i="2"/>
  <c r="A2039" i="2"/>
  <c r="E2038" i="2"/>
  <c r="D2038" i="2"/>
  <c r="C2038" i="2"/>
  <c r="B2038" i="2"/>
  <c r="A2038" i="2"/>
  <c r="E2037" i="2"/>
  <c r="D2037" i="2"/>
  <c r="C2037" i="2"/>
  <c r="B2037" i="2"/>
  <c r="A2037" i="2"/>
  <c r="E2036" i="2"/>
  <c r="D2036" i="2"/>
  <c r="C2036" i="2"/>
  <c r="B2036" i="2"/>
  <c r="A2036" i="2"/>
  <c r="E2035" i="2"/>
  <c r="D2035" i="2"/>
  <c r="C2035" i="2"/>
  <c r="B2035" i="2"/>
  <c r="A2035" i="2"/>
  <c r="E2034" i="2"/>
  <c r="D2034" i="2"/>
  <c r="C2034" i="2"/>
  <c r="B2034" i="2"/>
  <c r="A2034" i="2"/>
  <c r="E2033" i="2"/>
  <c r="D2033" i="2"/>
  <c r="C2033" i="2"/>
  <c r="B2033" i="2"/>
  <c r="A2033" i="2"/>
  <c r="E2032" i="2"/>
  <c r="D2032" i="2"/>
  <c r="C2032" i="2"/>
  <c r="B2032" i="2"/>
  <c r="A2032" i="2"/>
  <c r="E2031" i="2"/>
  <c r="D2031" i="2"/>
  <c r="C2031" i="2"/>
  <c r="B2031" i="2"/>
  <c r="A2031" i="2"/>
  <c r="E2030" i="2"/>
  <c r="D2030" i="2"/>
  <c r="C2030" i="2"/>
  <c r="B2030" i="2"/>
  <c r="A2030" i="2"/>
  <c r="E2029" i="2"/>
  <c r="D2029" i="2"/>
  <c r="C2029" i="2"/>
  <c r="B2029" i="2"/>
  <c r="A2029" i="2"/>
  <c r="E2028" i="2"/>
  <c r="D2028" i="2"/>
  <c r="C2028" i="2"/>
  <c r="B2028" i="2"/>
  <c r="A2028" i="2"/>
  <c r="E2027" i="2"/>
  <c r="D2027" i="2"/>
  <c r="C2027" i="2"/>
  <c r="B2027" i="2"/>
  <c r="A2027" i="2"/>
  <c r="E2026" i="2"/>
  <c r="D2026" i="2"/>
  <c r="C2026" i="2"/>
  <c r="B2026" i="2"/>
  <c r="A2026" i="2"/>
  <c r="E2025" i="2"/>
  <c r="D2025" i="2"/>
  <c r="C2025" i="2"/>
  <c r="B2025" i="2"/>
  <c r="A2025" i="2"/>
  <c r="E2024" i="2"/>
  <c r="D2024" i="2"/>
  <c r="C2024" i="2"/>
  <c r="B2024" i="2"/>
  <c r="A2024" i="2"/>
  <c r="E2023" i="2"/>
  <c r="D2023" i="2"/>
  <c r="C2023" i="2"/>
  <c r="B2023" i="2"/>
  <c r="A2023" i="2"/>
  <c r="E2022" i="2"/>
  <c r="D2022" i="2"/>
  <c r="C2022" i="2"/>
  <c r="B2022" i="2"/>
  <c r="A2022" i="2"/>
  <c r="E2021" i="2"/>
  <c r="D2021" i="2"/>
  <c r="C2021" i="2"/>
  <c r="B2021" i="2"/>
  <c r="A2021" i="2"/>
  <c r="E2020" i="2"/>
  <c r="D2020" i="2"/>
  <c r="C2020" i="2"/>
  <c r="B2020" i="2"/>
  <c r="A2020" i="2"/>
  <c r="E2019" i="2"/>
  <c r="D2019" i="2"/>
  <c r="C2019" i="2"/>
  <c r="B2019" i="2"/>
  <c r="A2019" i="2"/>
  <c r="E2018" i="2"/>
  <c r="D2018" i="2"/>
  <c r="C2018" i="2"/>
  <c r="B2018" i="2"/>
  <c r="A2018" i="2"/>
  <c r="E2017" i="2"/>
  <c r="D2017" i="2"/>
  <c r="C2017" i="2"/>
  <c r="B2017" i="2"/>
  <c r="A2017" i="2"/>
  <c r="E2016" i="2"/>
  <c r="D2016" i="2"/>
  <c r="C2016" i="2"/>
  <c r="B2016" i="2"/>
  <c r="A2016" i="2"/>
  <c r="E2015" i="2"/>
  <c r="D2015" i="2"/>
  <c r="C2015" i="2"/>
  <c r="B2015" i="2"/>
  <c r="A2015" i="2"/>
  <c r="E2014" i="2"/>
  <c r="D2014" i="2"/>
  <c r="C2014" i="2"/>
  <c r="B2014" i="2"/>
  <c r="A2014" i="2"/>
  <c r="E2013" i="2"/>
  <c r="D2013" i="2"/>
  <c r="C2013" i="2"/>
  <c r="B2013" i="2"/>
  <c r="A2013" i="2"/>
  <c r="E2012" i="2"/>
  <c r="D2012" i="2"/>
  <c r="C2012" i="2"/>
  <c r="B2012" i="2"/>
  <c r="A2012" i="2"/>
  <c r="E2011" i="2"/>
  <c r="D2011" i="2"/>
  <c r="C2011" i="2"/>
  <c r="B2011" i="2"/>
  <c r="A2011" i="2"/>
  <c r="E2010" i="2"/>
  <c r="D2010" i="2"/>
  <c r="C2010" i="2"/>
  <c r="B2010" i="2"/>
  <c r="A2010" i="2"/>
  <c r="E2009" i="2"/>
  <c r="D2009" i="2"/>
  <c r="C2009" i="2"/>
  <c r="B2009" i="2"/>
  <c r="A2009" i="2"/>
  <c r="E2008" i="2"/>
  <c r="D2008" i="2"/>
  <c r="C2008" i="2"/>
  <c r="B2008" i="2"/>
  <c r="A2008" i="2"/>
  <c r="E2007" i="2"/>
  <c r="D2007" i="2"/>
  <c r="C2007" i="2"/>
  <c r="B2007" i="2"/>
  <c r="A2007" i="2"/>
  <c r="E2006" i="2"/>
  <c r="D2006" i="2"/>
  <c r="C2006" i="2"/>
  <c r="B2006" i="2"/>
  <c r="A2006" i="2"/>
  <c r="E2005" i="2"/>
  <c r="D2005" i="2"/>
  <c r="C2005" i="2"/>
  <c r="B2005" i="2"/>
  <c r="A2005" i="2"/>
  <c r="E2004" i="2"/>
  <c r="D2004" i="2"/>
  <c r="C2004" i="2"/>
  <c r="B2004" i="2"/>
  <c r="A2004" i="2"/>
  <c r="E2003" i="2"/>
  <c r="D2003" i="2"/>
  <c r="C2003" i="2"/>
  <c r="B2003" i="2"/>
  <c r="A2003" i="2"/>
  <c r="E2002" i="2"/>
  <c r="D2002" i="2"/>
  <c r="C2002" i="2"/>
  <c r="B2002" i="2"/>
  <c r="A2002" i="2"/>
  <c r="E2001" i="2"/>
  <c r="D2001" i="2"/>
  <c r="C2001" i="2"/>
  <c r="B2001" i="2"/>
  <c r="A2001" i="2"/>
  <c r="E2000" i="2"/>
  <c r="D2000" i="2"/>
  <c r="C2000" i="2"/>
  <c r="B2000" i="2"/>
  <c r="A2000" i="2"/>
  <c r="G1999" i="2"/>
  <c r="I1999" i="2" s="1"/>
  <c r="F1999" i="2"/>
  <c r="E1999" i="2"/>
  <c r="D1999" i="2"/>
  <c r="C1999" i="2"/>
  <c r="B1999" i="2"/>
  <c r="A1999" i="2"/>
  <c r="E1998" i="2"/>
  <c r="F1998" i="2" s="1"/>
  <c r="D1998" i="2"/>
  <c r="C1998" i="2"/>
  <c r="B1998" i="2"/>
  <c r="G1998" i="2" s="1"/>
  <c r="I1998" i="2" s="1"/>
  <c r="A1998" i="2"/>
  <c r="G1997" i="2"/>
  <c r="I1997" i="2" s="1"/>
  <c r="E1997" i="2"/>
  <c r="F1997" i="2" s="1"/>
  <c r="D1997" i="2"/>
  <c r="C1997" i="2"/>
  <c r="B1997" i="2"/>
  <c r="A1997" i="2"/>
  <c r="G1996" i="2"/>
  <c r="I1996" i="2" s="1"/>
  <c r="F1996" i="2"/>
  <c r="E1996" i="2"/>
  <c r="D1996" i="2"/>
  <c r="C1996" i="2"/>
  <c r="B1996" i="2"/>
  <c r="A1996" i="2"/>
  <c r="F1995" i="2"/>
  <c r="E1995" i="2"/>
  <c r="D1995" i="2"/>
  <c r="C1995" i="2"/>
  <c r="G1995" i="2" s="1"/>
  <c r="I1995" i="2" s="1"/>
  <c r="B1995" i="2"/>
  <c r="A1995" i="2"/>
  <c r="F1994" i="2"/>
  <c r="E1994" i="2"/>
  <c r="D1994" i="2"/>
  <c r="C1994" i="2"/>
  <c r="B1994" i="2"/>
  <c r="A1994" i="2"/>
  <c r="F1993" i="2"/>
  <c r="E1993" i="2"/>
  <c r="D1993" i="2"/>
  <c r="C1993" i="2"/>
  <c r="B1993" i="2"/>
  <c r="G1993" i="2" s="1"/>
  <c r="I1993" i="2" s="1"/>
  <c r="A1993" i="2"/>
  <c r="F1992" i="2"/>
  <c r="E1992" i="2"/>
  <c r="D1992" i="2"/>
  <c r="C1992" i="2"/>
  <c r="B1992" i="2"/>
  <c r="G1992" i="2" s="1"/>
  <c r="I1992" i="2" s="1"/>
  <c r="A1992" i="2"/>
  <c r="E1991" i="2"/>
  <c r="F1991" i="2" s="1"/>
  <c r="D1991" i="2"/>
  <c r="C1991" i="2"/>
  <c r="G1991" i="2" s="1"/>
  <c r="I1991" i="2" s="1"/>
  <c r="B1991" i="2"/>
  <c r="A1991" i="2"/>
  <c r="E1990" i="2"/>
  <c r="F1990" i="2" s="1"/>
  <c r="D1990" i="2"/>
  <c r="C1990" i="2"/>
  <c r="B1990" i="2"/>
  <c r="A1990" i="2"/>
  <c r="F1989" i="2"/>
  <c r="E1989" i="2"/>
  <c r="D1989" i="2"/>
  <c r="C1989" i="2"/>
  <c r="G1989" i="2" s="1"/>
  <c r="I1989" i="2" s="1"/>
  <c r="B1989" i="2"/>
  <c r="A1989" i="2"/>
  <c r="F1988" i="2"/>
  <c r="E1988" i="2"/>
  <c r="D1988" i="2"/>
  <c r="C1988" i="2"/>
  <c r="B1988" i="2"/>
  <c r="G1988" i="2" s="1"/>
  <c r="H1988" i="2" s="1"/>
  <c r="A1988" i="2"/>
  <c r="E1987" i="2"/>
  <c r="F1987" i="2" s="1"/>
  <c r="D1987" i="2"/>
  <c r="C1987" i="2"/>
  <c r="G1987" i="2" s="1"/>
  <c r="I1987" i="2" s="1"/>
  <c r="B1987" i="2"/>
  <c r="A1987" i="2"/>
  <c r="F1986" i="2"/>
  <c r="E1986" i="2"/>
  <c r="D1986" i="2"/>
  <c r="C1986" i="2"/>
  <c r="B1986" i="2"/>
  <c r="G1986" i="2" s="1"/>
  <c r="I1986" i="2" s="1"/>
  <c r="A1986" i="2"/>
  <c r="G1985" i="2"/>
  <c r="I1985" i="2" s="1"/>
  <c r="E1985" i="2"/>
  <c r="F1985" i="2" s="1"/>
  <c r="D1985" i="2"/>
  <c r="C1985" i="2"/>
  <c r="B1985" i="2"/>
  <c r="A1985" i="2"/>
  <c r="G1984" i="2"/>
  <c r="F1984" i="2"/>
  <c r="E1984" i="2"/>
  <c r="D1984" i="2"/>
  <c r="C1984" i="2"/>
  <c r="B1984" i="2"/>
  <c r="A1984" i="2"/>
  <c r="E1983" i="2"/>
  <c r="F1983" i="2" s="1"/>
  <c r="D1983" i="2"/>
  <c r="C1983" i="2"/>
  <c r="G1983" i="2" s="1"/>
  <c r="I1983" i="2" s="1"/>
  <c r="B1983" i="2"/>
  <c r="A1983" i="2"/>
  <c r="F1982" i="2"/>
  <c r="E1982" i="2"/>
  <c r="D1982" i="2"/>
  <c r="C1982" i="2"/>
  <c r="B1982" i="2"/>
  <c r="A1982" i="2"/>
  <c r="G1981" i="2"/>
  <c r="I1981" i="2" s="1"/>
  <c r="E1981" i="2"/>
  <c r="F1981" i="2" s="1"/>
  <c r="D1981" i="2"/>
  <c r="C1981" i="2"/>
  <c r="B1981" i="2"/>
  <c r="A1981" i="2"/>
  <c r="F1980" i="2"/>
  <c r="E1980" i="2"/>
  <c r="D1980" i="2"/>
  <c r="C1980" i="2"/>
  <c r="B1980" i="2"/>
  <c r="G1980" i="2" s="1"/>
  <c r="A1980" i="2"/>
  <c r="G1979" i="2"/>
  <c r="F1979" i="2"/>
  <c r="E1979" i="2"/>
  <c r="D1979" i="2"/>
  <c r="C1979" i="2"/>
  <c r="B1979" i="2"/>
  <c r="A1979" i="2"/>
  <c r="F1978" i="2"/>
  <c r="E1978" i="2"/>
  <c r="D1978" i="2"/>
  <c r="C1978" i="2"/>
  <c r="B1978" i="2"/>
  <c r="A1978" i="2"/>
  <c r="F1977" i="2"/>
  <c r="E1977" i="2"/>
  <c r="D1977" i="2"/>
  <c r="C1977" i="2"/>
  <c r="G1977" i="2" s="1"/>
  <c r="I1977" i="2" s="1"/>
  <c r="B1977" i="2"/>
  <c r="A1977" i="2"/>
  <c r="F1976" i="2"/>
  <c r="E1976" i="2"/>
  <c r="D1976" i="2"/>
  <c r="C1976" i="2"/>
  <c r="G1976" i="2" s="1"/>
  <c r="I1976" i="2" s="1"/>
  <c r="B1976" i="2"/>
  <c r="A1976" i="2"/>
  <c r="E1975" i="2"/>
  <c r="F1975" i="2" s="1"/>
  <c r="D1975" i="2"/>
  <c r="C1975" i="2"/>
  <c r="G1975" i="2" s="1"/>
  <c r="I1975" i="2" s="1"/>
  <c r="B1975" i="2"/>
  <c r="A1975" i="2"/>
  <c r="E1974" i="2"/>
  <c r="F1974" i="2" s="1"/>
  <c r="D1974" i="2"/>
  <c r="C1974" i="2"/>
  <c r="B1974" i="2"/>
  <c r="G1974" i="2" s="1"/>
  <c r="H1974" i="2" s="1"/>
  <c r="A1974" i="2"/>
  <c r="E1973" i="2"/>
  <c r="F1973" i="2" s="1"/>
  <c r="D1973" i="2"/>
  <c r="C1973" i="2"/>
  <c r="G1973" i="2" s="1"/>
  <c r="I1973" i="2" s="1"/>
  <c r="B1973" i="2"/>
  <c r="A1973" i="2"/>
  <c r="F1972" i="2"/>
  <c r="E1972" i="2"/>
  <c r="D1972" i="2"/>
  <c r="C1972" i="2"/>
  <c r="B1972" i="2"/>
  <c r="G1972" i="2" s="1"/>
  <c r="I1972" i="2" s="1"/>
  <c r="A1972" i="2"/>
  <c r="I1971" i="2"/>
  <c r="G1971" i="2"/>
  <c r="F1971" i="2"/>
  <c r="E1971" i="2"/>
  <c r="D1971" i="2"/>
  <c r="C1971" i="2"/>
  <c r="B1971" i="2"/>
  <c r="A1971" i="2"/>
  <c r="E1970" i="2"/>
  <c r="F1970" i="2" s="1"/>
  <c r="D1970" i="2"/>
  <c r="C1970" i="2"/>
  <c r="B1970" i="2"/>
  <c r="G1970" i="2" s="1"/>
  <c r="I1970" i="2" s="1"/>
  <c r="A1970" i="2"/>
  <c r="E1969" i="2"/>
  <c r="F1969" i="2" s="1"/>
  <c r="D1969" i="2"/>
  <c r="C1969" i="2"/>
  <c r="B1969" i="2"/>
  <c r="G1969" i="2" s="1"/>
  <c r="I1969" i="2" s="1"/>
  <c r="A1969" i="2"/>
  <c r="F1968" i="2"/>
  <c r="E1968" i="2"/>
  <c r="D1968" i="2"/>
  <c r="C1968" i="2"/>
  <c r="G1968" i="2" s="1"/>
  <c r="I1968" i="2" s="1"/>
  <c r="B1968" i="2"/>
  <c r="A1968" i="2"/>
  <c r="G1967" i="2"/>
  <c r="I1967" i="2" s="1"/>
  <c r="E1967" i="2"/>
  <c r="F1967" i="2" s="1"/>
  <c r="D1967" i="2"/>
  <c r="C1967" i="2"/>
  <c r="B1967" i="2"/>
  <c r="A1967" i="2"/>
  <c r="E1966" i="2"/>
  <c r="F1966" i="2" s="1"/>
  <c r="D1966" i="2"/>
  <c r="C1966" i="2"/>
  <c r="B1966" i="2"/>
  <c r="A1966" i="2"/>
  <c r="G1965" i="2"/>
  <c r="I1965" i="2" s="1"/>
  <c r="E1965" i="2"/>
  <c r="F1965" i="2" s="1"/>
  <c r="D1965" i="2"/>
  <c r="C1965" i="2"/>
  <c r="B1965" i="2"/>
  <c r="A1965" i="2"/>
  <c r="F1964" i="2"/>
  <c r="E1964" i="2"/>
  <c r="D1964" i="2"/>
  <c r="C1964" i="2"/>
  <c r="B1964" i="2"/>
  <c r="G1964" i="2" s="1"/>
  <c r="I1964" i="2" s="1"/>
  <c r="A1964" i="2"/>
  <c r="F1963" i="2"/>
  <c r="E1963" i="2"/>
  <c r="D1963" i="2"/>
  <c r="C1963" i="2"/>
  <c r="G1963" i="2" s="1"/>
  <c r="I1963" i="2" s="1"/>
  <c r="B1963" i="2"/>
  <c r="A1963" i="2"/>
  <c r="F1962" i="2"/>
  <c r="E1962" i="2"/>
  <c r="D1962" i="2"/>
  <c r="C1962" i="2"/>
  <c r="B1962" i="2"/>
  <c r="G1962" i="2" s="1"/>
  <c r="I1962" i="2" s="1"/>
  <c r="A1962" i="2"/>
  <c r="E1961" i="2"/>
  <c r="F1961" i="2" s="1"/>
  <c r="D1961" i="2"/>
  <c r="C1961" i="2"/>
  <c r="B1961" i="2"/>
  <c r="G1961" i="2" s="1"/>
  <c r="I1961" i="2" s="1"/>
  <c r="A1961" i="2"/>
  <c r="F1960" i="2"/>
  <c r="E1960" i="2"/>
  <c r="D1960" i="2"/>
  <c r="C1960" i="2"/>
  <c r="G1960" i="2" s="1"/>
  <c r="I1960" i="2" s="1"/>
  <c r="B1960" i="2"/>
  <c r="A1960" i="2"/>
  <c r="I1959" i="2"/>
  <c r="G1959" i="2"/>
  <c r="E1959" i="2"/>
  <c r="F1959" i="2" s="1"/>
  <c r="H1959" i="2" s="1"/>
  <c r="D1959" i="2"/>
  <c r="C1959" i="2"/>
  <c r="B1959" i="2"/>
  <c r="A1959" i="2"/>
  <c r="E1958" i="2"/>
  <c r="F1958" i="2" s="1"/>
  <c r="D1958" i="2"/>
  <c r="C1958" i="2"/>
  <c r="B1958" i="2"/>
  <c r="A1958" i="2"/>
  <c r="E1957" i="2"/>
  <c r="F1957" i="2" s="1"/>
  <c r="D1957" i="2"/>
  <c r="C1957" i="2"/>
  <c r="B1957" i="2"/>
  <c r="G1957" i="2" s="1"/>
  <c r="I1957" i="2" s="1"/>
  <c r="A1957" i="2"/>
  <c r="F1956" i="2"/>
  <c r="E1956" i="2"/>
  <c r="D1956" i="2"/>
  <c r="C1956" i="2"/>
  <c r="B1956" i="2"/>
  <c r="G1956" i="2" s="1"/>
  <c r="I1956" i="2" s="1"/>
  <c r="A1956" i="2"/>
  <c r="G1955" i="2"/>
  <c r="I1955" i="2" s="1"/>
  <c r="E1955" i="2"/>
  <c r="F1955" i="2" s="1"/>
  <c r="D1955" i="2"/>
  <c r="C1955" i="2"/>
  <c r="B1955" i="2"/>
  <c r="A1955" i="2"/>
  <c r="F1954" i="2"/>
  <c r="E1954" i="2"/>
  <c r="D1954" i="2"/>
  <c r="C1954" i="2"/>
  <c r="B1954" i="2"/>
  <c r="G1954" i="2" s="1"/>
  <c r="I1954" i="2" s="1"/>
  <c r="A1954" i="2"/>
  <c r="F1953" i="2"/>
  <c r="E1953" i="2"/>
  <c r="D1953" i="2"/>
  <c r="C1953" i="2"/>
  <c r="B1953" i="2"/>
  <c r="A1953" i="2"/>
  <c r="F1952" i="2"/>
  <c r="E1952" i="2"/>
  <c r="D1952" i="2"/>
  <c r="C1952" i="2"/>
  <c r="B1952" i="2"/>
  <c r="G1952" i="2" s="1"/>
  <c r="I1952" i="2" s="1"/>
  <c r="A1952" i="2"/>
  <c r="I1951" i="2"/>
  <c r="E1951" i="2"/>
  <c r="F1951" i="2" s="1"/>
  <c r="H1951" i="2" s="1"/>
  <c r="D1951" i="2"/>
  <c r="C1951" i="2"/>
  <c r="G1951" i="2" s="1"/>
  <c r="B1951" i="2"/>
  <c r="A1951" i="2"/>
  <c r="E1950" i="2"/>
  <c r="F1950" i="2" s="1"/>
  <c r="D1950" i="2"/>
  <c r="C1950" i="2"/>
  <c r="B1950" i="2"/>
  <c r="A1950" i="2"/>
  <c r="E1949" i="2"/>
  <c r="F1949" i="2" s="1"/>
  <c r="D1949" i="2"/>
  <c r="C1949" i="2"/>
  <c r="G1949" i="2" s="1"/>
  <c r="I1949" i="2" s="1"/>
  <c r="B1949" i="2"/>
  <c r="A1949" i="2"/>
  <c r="G1948" i="2"/>
  <c r="F1948" i="2"/>
  <c r="E1948" i="2"/>
  <c r="D1948" i="2"/>
  <c r="C1948" i="2"/>
  <c r="B1948" i="2"/>
  <c r="A1948" i="2"/>
  <c r="G1947" i="2"/>
  <c r="I1947" i="2" s="1"/>
  <c r="E1947" i="2"/>
  <c r="F1947" i="2" s="1"/>
  <c r="H1947" i="2" s="1"/>
  <c r="D1947" i="2"/>
  <c r="C1947" i="2"/>
  <c r="B1947" i="2"/>
  <c r="A1947" i="2"/>
  <c r="E1946" i="2"/>
  <c r="F1946" i="2" s="1"/>
  <c r="D1946" i="2"/>
  <c r="C1946" i="2"/>
  <c r="B1946" i="2"/>
  <c r="G1946" i="2" s="1"/>
  <c r="I1946" i="2" s="1"/>
  <c r="A1946" i="2"/>
  <c r="F1945" i="2"/>
  <c r="E1945" i="2"/>
  <c r="D1945" i="2"/>
  <c r="C1945" i="2"/>
  <c r="G1945" i="2" s="1"/>
  <c r="I1945" i="2" s="1"/>
  <c r="B1945" i="2"/>
  <c r="A1945" i="2"/>
  <c r="F1944" i="2"/>
  <c r="E1944" i="2"/>
  <c r="D1944" i="2"/>
  <c r="C1944" i="2"/>
  <c r="B1944" i="2"/>
  <c r="A1944" i="2"/>
  <c r="E1943" i="2"/>
  <c r="F1943" i="2" s="1"/>
  <c r="D1943" i="2"/>
  <c r="C1943" i="2"/>
  <c r="G1943" i="2" s="1"/>
  <c r="I1943" i="2" s="1"/>
  <c r="B1943" i="2"/>
  <c r="A1943" i="2"/>
  <c r="E1942" i="2"/>
  <c r="F1942" i="2" s="1"/>
  <c r="D1942" i="2"/>
  <c r="C1942" i="2"/>
  <c r="B1942" i="2"/>
  <c r="A1942" i="2"/>
  <c r="E1941" i="2"/>
  <c r="F1941" i="2" s="1"/>
  <c r="D1941" i="2"/>
  <c r="C1941" i="2"/>
  <c r="G1941" i="2" s="1"/>
  <c r="I1941" i="2" s="1"/>
  <c r="B1941" i="2"/>
  <c r="A1941" i="2"/>
  <c r="F1940" i="2"/>
  <c r="E1940" i="2"/>
  <c r="D1940" i="2"/>
  <c r="C1940" i="2"/>
  <c r="B1940" i="2"/>
  <c r="G1940" i="2" s="1"/>
  <c r="I1940" i="2" s="1"/>
  <c r="A1940" i="2"/>
  <c r="G1939" i="2"/>
  <c r="I1939" i="2" s="1"/>
  <c r="F1939" i="2"/>
  <c r="H1939" i="2" s="1"/>
  <c r="E1939" i="2"/>
  <c r="D1939" i="2"/>
  <c r="C1939" i="2"/>
  <c r="B1939" i="2"/>
  <c r="A1939" i="2"/>
  <c r="E1938" i="2"/>
  <c r="F1938" i="2" s="1"/>
  <c r="D1938" i="2"/>
  <c r="C1938" i="2"/>
  <c r="B1938" i="2"/>
  <c r="G1938" i="2" s="1"/>
  <c r="I1938" i="2" s="1"/>
  <c r="A1938" i="2"/>
  <c r="E1937" i="2"/>
  <c r="F1937" i="2" s="1"/>
  <c r="D1937" i="2"/>
  <c r="C1937" i="2"/>
  <c r="G1937" i="2" s="1"/>
  <c r="I1937" i="2" s="1"/>
  <c r="B1937" i="2"/>
  <c r="A1937" i="2"/>
  <c r="G1936" i="2"/>
  <c r="F1936" i="2"/>
  <c r="E1936" i="2"/>
  <c r="D1936" i="2"/>
  <c r="C1936" i="2"/>
  <c r="B1936" i="2"/>
  <c r="A1936" i="2"/>
  <c r="E1935" i="2"/>
  <c r="F1935" i="2" s="1"/>
  <c r="D1935" i="2"/>
  <c r="C1935" i="2"/>
  <c r="G1935" i="2" s="1"/>
  <c r="I1935" i="2" s="1"/>
  <c r="B1935" i="2"/>
  <c r="A1935" i="2"/>
  <c r="E1934" i="2"/>
  <c r="F1934" i="2" s="1"/>
  <c r="D1934" i="2"/>
  <c r="C1934" i="2"/>
  <c r="B1934" i="2"/>
  <c r="A1934" i="2"/>
  <c r="G1933" i="2"/>
  <c r="I1933" i="2" s="1"/>
  <c r="E1933" i="2"/>
  <c r="F1933" i="2" s="1"/>
  <c r="D1933" i="2"/>
  <c r="C1933" i="2"/>
  <c r="B1933" i="2"/>
  <c r="A1933" i="2"/>
  <c r="F1932" i="2"/>
  <c r="E1932" i="2"/>
  <c r="D1932" i="2"/>
  <c r="C1932" i="2"/>
  <c r="B1932" i="2"/>
  <c r="G1932" i="2" s="1"/>
  <c r="I1932" i="2" s="1"/>
  <c r="A1932" i="2"/>
  <c r="E1931" i="2"/>
  <c r="F1931" i="2" s="1"/>
  <c r="D1931" i="2"/>
  <c r="C1931" i="2"/>
  <c r="G1931" i="2" s="1"/>
  <c r="I1931" i="2" s="1"/>
  <c r="B1931" i="2"/>
  <c r="A1931" i="2"/>
  <c r="E1930" i="2"/>
  <c r="F1930" i="2" s="1"/>
  <c r="D1930" i="2"/>
  <c r="C1930" i="2"/>
  <c r="B1930" i="2"/>
  <c r="A1930" i="2"/>
  <c r="E1929" i="2"/>
  <c r="F1929" i="2" s="1"/>
  <c r="D1929" i="2"/>
  <c r="C1929" i="2"/>
  <c r="B1929" i="2"/>
  <c r="G1929" i="2" s="1"/>
  <c r="I1929" i="2" s="1"/>
  <c r="A1929" i="2"/>
  <c r="G1928" i="2"/>
  <c r="H1928" i="2" s="1"/>
  <c r="F1928" i="2"/>
  <c r="E1928" i="2"/>
  <c r="D1928" i="2"/>
  <c r="C1928" i="2"/>
  <c r="B1928" i="2"/>
  <c r="A1928" i="2"/>
  <c r="G1927" i="2"/>
  <c r="I1927" i="2" s="1"/>
  <c r="E1927" i="2"/>
  <c r="F1927" i="2" s="1"/>
  <c r="H1927" i="2" s="1"/>
  <c r="D1927" i="2"/>
  <c r="C1927" i="2"/>
  <c r="B1927" i="2"/>
  <c r="A1927" i="2"/>
  <c r="E1926" i="2"/>
  <c r="F1926" i="2" s="1"/>
  <c r="D1926" i="2"/>
  <c r="C1926" i="2"/>
  <c r="B1926" i="2"/>
  <c r="G1926" i="2" s="1"/>
  <c r="I1926" i="2" s="1"/>
  <c r="A1926" i="2"/>
  <c r="G1925" i="2"/>
  <c r="I1925" i="2" s="1"/>
  <c r="E1925" i="2"/>
  <c r="F1925" i="2" s="1"/>
  <c r="D1925" i="2"/>
  <c r="C1925" i="2"/>
  <c r="B1925" i="2"/>
  <c r="A1925" i="2"/>
  <c r="G1924" i="2"/>
  <c r="I1924" i="2" s="1"/>
  <c r="F1924" i="2"/>
  <c r="E1924" i="2"/>
  <c r="D1924" i="2"/>
  <c r="C1924" i="2"/>
  <c r="B1924" i="2"/>
  <c r="A1924" i="2"/>
  <c r="F1923" i="2"/>
  <c r="E1923" i="2"/>
  <c r="D1923" i="2"/>
  <c r="C1923" i="2"/>
  <c r="G1923" i="2" s="1"/>
  <c r="I1923" i="2" s="1"/>
  <c r="B1923" i="2"/>
  <c r="A1923" i="2"/>
  <c r="F1922" i="2"/>
  <c r="E1922" i="2"/>
  <c r="D1922" i="2"/>
  <c r="C1922" i="2"/>
  <c r="B1922" i="2"/>
  <c r="A1922" i="2"/>
  <c r="E1921" i="2"/>
  <c r="F1921" i="2" s="1"/>
  <c r="D1921" i="2"/>
  <c r="C1921" i="2"/>
  <c r="B1921" i="2"/>
  <c r="G1921" i="2" s="1"/>
  <c r="I1921" i="2" s="1"/>
  <c r="A1921" i="2"/>
  <c r="F1920" i="2"/>
  <c r="E1920" i="2"/>
  <c r="D1920" i="2"/>
  <c r="C1920" i="2"/>
  <c r="B1920" i="2"/>
  <c r="G1920" i="2" s="1"/>
  <c r="I1920" i="2" s="1"/>
  <c r="A1920" i="2"/>
  <c r="E1919" i="2"/>
  <c r="F1919" i="2" s="1"/>
  <c r="D1919" i="2"/>
  <c r="C1919" i="2"/>
  <c r="G1919" i="2" s="1"/>
  <c r="B1919" i="2"/>
  <c r="A1919" i="2"/>
  <c r="E1918" i="2"/>
  <c r="F1918" i="2" s="1"/>
  <c r="D1918" i="2"/>
  <c r="C1918" i="2"/>
  <c r="B1918" i="2"/>
  <c r="A1918" i="2"/>
  <c r="F1917" i="2"/>
  <c r="E1917" i="2"/>
  <c r="D1917" i="2"/>
  <c r="C1917" i="2"/>
  <c r="G1917" i="2" s="1"/>
  <c r="I1917" i="2" s="1"/>
  <c r="B1917" i="2"/>
  <c r="A1917" i="2"/>
  <c r="I1916" i="2"/>
  <c r="F1916" i="2"/>
  <c r="H1916" i="2" s="1"/>
  <c r="E1916" i="2"/>
  <c r="D1916" i="2"/>
  <c r="C1916" i="2"/>
  <c r="B1916" i="2"/>
  <c r="G1916" i="2" s="1"/>
  <c r="A1916" i="2"/>
  <c r="I1915" i="2"/>
  <c r="E1915" i="2"/>
  <c r="F1915" i="2" s="1"/>
  <c r="D1915" i="2"/>
  <c r="C1915" i="2"/>
  <c r="G1915" i="2" s="1"/>
  <c r="B1915" i="2"/>
  <c r="A1915" i="2"/>
  <c r="F1914" i="2"/>
  <c r="H1914" i="2" s="1"/>
  <c r="E1914" i="2"/>
  <c r="D1914" i="2"/>
  <c r="C1914" i="2"/>
  <c r="B1914" i="2"/>
  <c r="G1914" i="2" s="1"/>
  <c r="I1914" i="2" s="1"/>
  <c r="A1914" i="2"/>
  <c r="G1913" i="2"/>
  <c r="I1913" i="2" s="1"/>
  <c r="E1913" i="2"/>
  <c r="F1913" i="2" s="1"/>
  <c r="D1913" i="2"/>
  <c r="C1913" i="2"/>
  <c r="B1913" i="2"/>
  <c r="A1913" i="2"/>
  <c r="G1912" i="2"/>
  <c r="F1912" i="2"/>
  <c r="E1912" i="2"/>
  <c r="D1912" i="2"/>
  <c r="C1912" i="2"/>
  <c r="B1912" i="2"/>
  <c r="A1912" i="2"/>
  <c r="E1911" i="2"/>
  <c r="F1911" i="2" s="1"/>
  <c r="D1911" i="2"/>
  <c r="C1911" i="2"/>
  <c r="G1911" i="2" s="1"/>
  <c r="I1911" i="2" s="1"/>
  <c r="B1911" i="2"/>
  <c r="A1911" i="2"/>
  <c r="E1910" i="2"/>
  <c r="F1910" i="2" s="1"/>
  <c r="D1910" i="2"/>
  <c r="C1910" i="2"/>
  <c r="B1910" i="2"/>
  <c r="A1910" i="2"/>
  <c r="E1909" i="2"/>
  <c r="F1909" i="2" s="1"/>
  <c r="D1909" i="2"/>
  <c r="C1909" i="2"/>
  <c r="B1909" i="2"/>
  <c r="A1909" i="2"/>
  <c r="F1908" i="2"/>
  <c r="E1908" i="2"/>
  <c r="D1908" i="2"/>
  <c r="C1908" i="2"/>
  <c r="B1908" i="2"/>
  <c r="G1908" i="2" s="1"/>
  <c r="I1908" i="2" s="1"/>
  <c r="A1908" i="2"/>
  <c r="G1907" i="2"/>
  <c r="I1907" i="2" s="1"/>
  <c r="F1907" i="2"/>
  <c r="H1907" i="2" s="1"/>
  <c r="E1907" i="2"/>
  <c r="D1907" i="2"/>
  <c r="C1907" i="2"/>
  <c r="B1907" i="2"/>
  <c r="A1907" i="2"/>
  <c r="F1906" i="2"/>
  <c r="E1906" i="2"/>
  <c r="D1906" i="2"/>
  <c r="C1906" i="2"/>
  <c r="B1906" i="2"/>
  <c r="A1906" i="2"/>
  <c r="G1905" i="2"/>
  <c r="I1905" i="2" s="1"/>
  <c r="F1905" i="2"/>
  <c r="E1905" i="2"/>
  <c r="D1905" i="2"/>
  <c r="C1905" i="2"/>
  <c r="B1905" i="2"/>
  <c r="A1905" i="2"/>
  <c r="F1904" i="2"/>
  <c r="E1904" i="2"/>
  <c r="D1904" i="2"/>
  <c r="C1904" i="2"/>
  <c r="G1904" i="2" s="1"/>
  <c r="I1904" i="2" s="1"/>
  <c r="B1904" i="2"/>
  <c r="A1904" i="2"/>
  <c r="E1903" i="2"/>
  <c r="F1903" i="2" s="1"/>
  <c r="H1903" i="2" s="1"/>
  <c r="D1903" i="2"/>
  <c r="C1903" i="2"/>
  <c r="G1903" i="2" s="1"/>
  <c r="I1903" i="2" s="1"/>
  <c r="B1903" i="2"/>
  <c r="A1903" i="2"/>
  <c r="I1902" i="2"/>
  <c r="E1902" i="2"/>
  <c r="F1902" i="2" s="1"/>
  <c r="D1902" i="2"/>
  <c r="C1902" i="2"/>
  <c r="B1902" i="2"/>
  <c r="G1902" i="2" s="1"/>
  <c r="H1902" i="2" s="1"/>
  <c r="A1902" i="2"/>
  <c r="E1901" i="2"/>
  <c r="F1901" i="2" s="1"/>
  <c r="D1901" i="2"/>
  <c r="C1901" i="2"/>
  <c r="G1901" i="2" s="1"/>
  <c r="I1901" i="2" s="1"/>
  <c r="B1901" i="2"/>
  <c r="A1901" i="2"/>
  <c r="F1900" i="2"/>
  <c r="E1900" i="2"/>
  <c r="D1900" i="2"/>
  <c r="C1900" i="2"/>
  <c r="B1900" i="2"/>
  <c r="G1900" i="2" s="1"/>
  <c r="I1900" i="2" s="1"/>
  <c r="A1900" i="2"/>
  <c r="G1899" i="2"/>
  <c r="I1899" i="2" s="1"/>
  <c r="F1899" i="2"/>
  <c r="E1899" i="2"/>
  <c r="D1899" i="2"/>
  <c r="C1899" i="2"/>
  <c r="B1899" i="2"/>
  <c r="A1899" i="2"/>
  <c r="E1898" i="2"/>
  <c r="F1898" i="2" s="1"/>
  <c r="D1898" i="2"/>
  <c r="C1898" i="2"/>
  <c r="B1898" i="2"/>
  <c r="A1898" i="2"/>
  <c r="E1897" i="2"/>
  <c r="F1897" i="2" s="1"/>
  <c r="D1897" i="2"/>
  <c r="C1897" i="2"/>
  <c r="G1897" i="2" s="1"/>
  <c r="I1897" i="2" s="1"/>
  <c r="B1897" i="2"/>
  <c r="A1897" i="2"/>
  <c r="F1896" i="2"/>
  <c r="E1896" i="2"/>
  <c r="D1896" i="2"/>
  <c r="C1896" i="2"/>
  <c r="G1896" i="2" s="1"/>
  <c r="I1896" i="2" s="1"/>
  <c r="B1896" i="2"/>
  <c r="A1896" i="2"/>
  <c r="G1895" i="2"/>
  <c r="E1895" i="2"/>
  <c r="F1895" i="2" s="1"/>
  <c r="D1895" i="2"/>
  <c r="C1895" i="2"/>
  <c r="B1895" i="2"/>
  <c r="A1895" i="2"/>
  <c r="E1894" i="2"/>
  <c r="F1894" i="2" s="1"/>
  <c r="D1894" i="2"/>
  <c r="C1894" i="2"/>
  <c r="B1894" i="2"/>
  <c r="A1894" i="2"/>
  <c r="G1893" i="2"/>
  <c r="I1893" i="2" s="1"/>
  <c r="E1893" i="2"/>
  <c r="F1893" i="2" s="1"/>
  <c r="H1893" i="2" s="1"/>
  <c r="D1893" i="2"/>
  <c r="C1893" i="2"/>
  <c r="B1893" i="2"/>
  <c r="A1893" i="2"/>
  <c r="F1892" i="2"/>
  <c r="E1892" i="2"/>
  <c r="D1892" i="2"/>
  <c r="C1892" i="2"/>
  <c r="B1892" i="2"/>
  <c r="A1892" i="2"/>
  <c r="F1891" i="2"/>
  <c r="E1891" i="2"/>
  <c r="D1891" i="2"/>
  <c r="C1891" i="2"/>
  <c r="G1891" i="2" s="1"/>
  <c r="I1891" i="2" s="1"/>
  <c r="B1891" i="2"/>
  <c r="A1891" i="2"/>
  <c r="E1890" i="2"/>
  <c r="F1890" i="2" s="1"/>
  <c r="D1890" i="2"/>
  <c r="C1890" i="2"/>
  <c r="B1890" i="2"/>
  <c r="G1890" i="2" s="1"/>
  <c r="I1890" i="2" s="1"/>
  <c r="A1890" i="2"/>
  <c r="E1889" i="2"/>
  <c r="F1889" i="2" s="1"/>
  <c r="D1889" i="2"/>
  <c r="C1889" i="2"/>
  <c r="B1889" i="2"/>
  <c r="G1889" i="2" s="1"/>
  <c r="I1889" i="2" s="1"/>
  <c r="A1889" i="2"/>
  <c r="F1888" i="2"/>
  <c r="E1888" i="2"/>
  <c r="D1888" i="2"/>
  <c r="C1888" i="2"/>
  <c r="G1888" i="2" s="1"/>
  <c r="B1888" i="2"/>
  <c r="A1888" i="2"/>
  <c r="G1887" i="2"/>
  <c r="I1887" i="2" s="1"/>
  <c r="E1887" i="2"/>
  <c r="F1887" i="2" s="1"/>
  <c r="D1887" i="2"/>
  <c r="C1887" i="2"/>
  <c r="B1887" i="2"/>
  <c r="A1887" i="2"/>
  <c r="E1886" i="2"/>
  <c r="F1886" i="2" s="1"/>
  <c r="D1886" i="2"/>
  <c r="C1886" i="2"/>
  <c r="B1886" i="2"/>
  <c r="A1886" i="2"/>
  <c r="E1885" i="2"/>
  <c r="F1885" i="2" s="1"/>
  <c r="D1885" i="2"/>
  <c r="C1885" i="2"/>
  <c r="B1885" i="2"/>
  <c r="G1885" i="2" s="1"/>
  <c r="I1885" i="2" s="1"/>
  <c r="A1885" i="2"/>
  <c r="F1884" i="2"/>
  <c r="H1884" i="2" s="1"/>
  <c r="E1884" i="2"/>
  <c r="D1884" i="2"/>
  <c r="C1884" i="2"/>
  <c r="B1884" i="2"/>
  <c r="G1884" i="2" s="1"/>
  <c r="I1884" i="2" s="1"/>
  <c r="A1884" i="2"/>
  <c r="I1883" i="2"/>
  <c r="G1883" i="2"/>
  <c r="E1883" i="2"/>
  <c r="F1883" i="2" s="1"/>
  <c r="H1883" i="2" s="1"/>
  <c r="D1883" i="2"/>
  <c r="C1883" i="2"/>
  <c r="B1883" i="2"/>
  <c r="A1883" i="2"/>
  <c r="F1882" i="2"/>
  <c r="E1882" i="2"/>
  <c r="D1882" i="2"/>
  <c r="C1882" i="2"/>
  <c r="B1882" i="2"/>
  <c r="G1882" i="2" s="1"/>
  <c r="I1882" i="2" s="1"/>
  <c r="A1882" i="2"/>
  <c r="E1881" i="2"/>
  <c r="F1881" i="2" s="1"/>
  <c r="D1881" i="2"/>
  <c r="C1881" i="2"/>
  <c r="B1881" i="2"/>
  <c r="G1881" i="2" s="1"/>
  <c r="I1881" i="2" s="1"/>
  <c r="A1881" i="2"/>
  <c r="F1880" i="2"/>
  <c r="E1880" i="2"/>
  <c r="D1880" i="2"/>
  <c r="C1880" i="2"/>
  <c r="B1880" i="2"/>
  <c r="G1880" i="2" s="1"/>
  <c r="I1880" i="2" s="1"/>
  <c r="A1880" i="2"/>
  <c r="E1879" i="2"/>
  <c r="F1879" i="2" s="1"/>
  <c r="D1879" i="2"/>
  <c r="C1879" i="2"/>
  <c r="G1879" i="2" s="1"/>
  <c r="I1879" i="2" s="1"/>
  <c r="B1879" i="2"/>
  <c r="A1879" i="2"/>
  <c r="E1878" i="2"/>
  <c r="F1878" i="2" s="1"/>
  <c r="D1878" i="2"/>
  <c r="C1878" i="2"/>
  <c r="B1878" i="2"/>
  <c r="A1878" i="2"/>
  <c r="I1877" i="2"/>
  <c r="E1877" i="2"/>
  <c r="F1877" i="2" s="1"/>
  <c r="D1877" i="2"/>
  <c r="C1877" i="2"/>
  <c r="G1877" i="2" s="1"/>
  <c r="B1877" i="2"/>
  <c r="A1877" i="2"/>
  <c r="F1876" i="2"/>
  <c r="E1876" i="2"/>
  <c r="D1876" i="2"/>
  <c r="C1876" i="2"/>
  <c r="B1876" i="2"/>
  <c r="G1876" i="2" s="1"/>
  <c r="H1876" i="2" s="1"/>
  <c r="A1876" i="2"/>
  <c r="F1875" i="2"/>
  <c r="E1875" i="2"/>
  <c r="D1875" i="2"/>
  <c r="C1875" i="2"/>
  <c r="G1875" i="2" s="1"/>
  <c r="I1875" i="2" s="1"/>
  <c r="B1875" i="2"/>
  <c r="A1875" i="2"/>
  <c r="E1874" i="2"/>
  <c r="F1874" i="2" s="1"/>
  <c r="D1874" i="2"/>
  <c r="C1874" i="2"/>
  <c r="B1874" i="2"/>
  <c r="A1874" i="2"/>
  <c r="I1873" i="2"/>
  <c r="G1873" i="2"/>
  <c r="E1873" i="2"/>
  <c r="F1873" i="2" s="1"/>
  <c r="H1873" i="2" s="1"/>
  <c r="D1873" i="2"/>
  <c r="C1873" i="2"/>
  <c r="B1873" i="2"/>
  <c r="A1873" i="2"/>
  <c r="F1872" i="2"/>
  <c r="E1872" i="2"/>
  <c r="D1872" i="2"/>
  <c r="C1872" i="2"/>
  <c r="B1872" i="2"/>
  <c r="G1872" i="2" s="1"/>
  <c r="I1872" i="2" s="1"/>
  <c r="A1872" i="2"/>
  <c r="E1871" i="2"/>
  <c r="F1871" i="2" s="1"/>
  <c r="D1871" i="2"/>
  <c r="C1871" i="2"/>
  <c r="G1871" i="2" s="1"/>
  <c r="I1871" i="2" s="1"/>
  <c r="B1871" i="2"/>
  <c r="A1871" i="2"/>
  <c r="E1870" i="2"/>
  <c r="F1870" i="2" s="1"/>
  <c r="D1870" i="2"/>
  <c r="C1870" i="2"/>
  <c r="B1870" i="2"/>
  <c r="A1870" i="2"/>
  <c r="E1869" i="2"/>
  <c r="F1869" i="2" s="1"/>
  <c r="D1869" i="2"/>
  <c r="C1869" i="2"/>
  <c r="G1869" i="2" s="1"/>
  <c r="I1869" i="2" s="1"/>
  <c r="B1869" i="2"/>
  <c r="A1869" i="2"/>
  <c r="F1868" i="2"/>
  <c r="H1868" i="2" s="1"/>
  <c r="E1868" i="2"/>
  <c r="D1868" i="2"/>
  <c r="C1868" i="2"/>
  <c r="B1868" i="2"/>
  <c r="G1868" i="2" s="1"/>
  <c r="I1868" i="2" s="1"/>
  <c r="A1868" i="2"/>
  <c r="G1867" i="2"/>
  <c r="I1867" i="2" s="1"/>
  <c r="F1867" i="2"/>
  <c r="E1867" i="2"/>
  <c r="D1867" i="2"/>
  <c r="C1867" i="2"/>
  <c r="B1867" i="2"/>
  <c r="A1867" i="2"/>
  <c r="F1866" i="2"/>
  <c r="E1866" i="2"/>
  <c r="D1866" i="2"/>
  <c r="C1866" i="2"/>
  <c r="B1866" i="2"/>
  <c r="A1866" i="2"/>
  <c r="E1865" i="2"/>
  <c r="F1865" i="2" s="1"/>
  <c r="D1865" i="2"/>
  <c r="C1865" i="2"/>
  <c r="G1865" i="2" s="1"/>
  <c r="I1865" i="2" s="1"/>
  <c r="B1865" i="2"/>
  <c r="A1865" i="2"/>
  <c r="F1864" i="2"/>
  <c r="E1864" i="2"/>
  <c r="D1864" i="2"/>
  <c r="C1864" i="2"/>
  <c r="G1864" i="2" s="1"/>
  <c r="B1864" i="2"/>
  <c r="A1864" i="2"/>
  <c r="H1863" i="2"/>
  <c r="E1863" i="2"/>
  <c r="F1863" i="2" s="1"/>
  <c r="D1863" i="2"/>
  <c r="C1863" i="2"/>
  <c r="G1863" i="2" s="1"/>
  <c r="I1863" i="2" s="1"/>
  <c r="B1863" i="2"/>
  <c r="A1863" i="2"/>
  <c r="E1862" i="2"/>
  <c r="F1862" i="2" s="1"/>
  <c r="D1862" i="2"/>
  <c r="C1862" i="2"/>
  <c r="B1862" i="2"/>
  <c r="A1862" i="2"/>
  <c r="G1861" i="2"/>
  <c r="I1861" i="2" s="1"/>
  <c r="E1861" i="2"/>
  <c r="F1861" i="2" s="1"/>
  <c r="D1861" i="2"/>
  <c r="C1861" i="2"/>
  <c r="B1861" i="2"/>
  <c r="A1861" i="2"/>
  <c r="F1860" i="2"/>
  <c r="E1860" i="2"/>
  <c r="D1860" i="2"/>
  <c r="C1860" i="2"/>
  <c r="B1860" i="2"/>
  <c r="G1860" i="2" s="1"/>
  <c r="I1860" i="2" s="1"/>
  <c r="A1860" i="2"/>
  <c r="E1859" i="2"/>
  <c r="F1859" i="2" s="1"/>
  <c r="D1859" i="2"/>
  <c r="C1859" i="2"/>
  <c r="G1859" i="2" s="1"/>
  <c r="B1859" i="2"/>
  <c r="A1859" i="2"/>
  <c r="E1858" i="2"/>
  <c r="F1858" i="2" s="1"/>
  <c r="D1858" i="2"/>
  <c r="C1858" i="2"/>
  <c r="B1858" i="2"/>
  <c r="G1858" i="2" s="1"/>
  <c r="I1858" i="2" s="1"/>
  <c r="A1858" i="2"/>
  <c r="E1857" i="2"/>
  <c r="F1857" i="2" s="1"/>
  <c r="D1857" i="2"/>
  <c r="C1857" i="2"/>
  <c r="B1857" i="2"/>
  <c r="G1857" i="2" s="1"/>
  <c r="I1857" i="2" s="1"/>
  <c r="A1857" i="2"/>
  <c r="G1856" i="2"/>
  <c r="F1856" i="2"/>
  <c r="E1856" i="2"/>
  <c r="D1856" i="2"/>
  <c r="C1856" i="2"/>
  <c r="B1856" i="2"/>
  <c r="A1856" i="2"/>
  <c r="F1855" i="2"/>
  <c r="E1855" i="2"/>
  <c r="D1855" i="2"/>
  <c r="C1855" i="2"/>
  <c r="G1855" i="2" s="1"/>
  <c r="I1855" i="2" s="1"/>
  <c r="B1855" i="2"/>
  <c r="A1855" i="2"/>
  <c r="E1854" i="2"/>
  <c r="F1854" i="2" s="1"/>
  <c r="D1854" i="2"/>
  <c r="C1854" i="2"/>
  <c r="B1854" i="2"/>
  <c r="A1854" i="2"/>
  <c r="G1853" i="2"/>
  <c r="I1853" i="2" s="1"/>
  <c r="E1853" i="2"/>
  <c r="F1853" i="2" s="1"/>
  <c r="D1853" i="2"/>
  <c r="C1853" i="2"/>
  <c r="B1853" i="2"/>
  <c r="A1853" i="2"/>
  <c r="F1852" i="2"/>
  <c r="E1852" i="2"/>
  <c r="D1852" i="2"/>
  <c r="C1852" i="2"/>
  <c r="B1852" i="2"/>
  <c r="G1852" i="2" s="1"/>
  <c r="A1852" i="2"/>
  <c r="F1851" i="2"/>
  <c r="E1851" i="2"/>
  <c r="D1851" i="2"/>
  <c r="C1851" i="2"/>
  <c r="G1851" i="2" s="1"/>
  <c r="I1851" i="2" s="1"/>
  <c r="B1851" i="2"/>
  <c r="A1851" i="2"/>
  <c r="E1850" i="2"/>
  <c r="F1850" i="2" s="1"/>
  <c r="D1850" i="2"/>
  <c r="C1850" i="2"/>
  <c r="B1850" i="2"/>
  <c r="A1850" i="2"/>
  <c r="E1849" i="2"/>
  <c r="F1849" i="2" s="1"/>
  <c r="D1849" i="2"/>
  <c r="C1849" i="2"/>
  <c r="B1849" i="2"/>
  <c r="G1849" i="2" s="1"/>
  <c r="I1849" i="2" s="1"/>
  <c r="A1849" i="2"/>
  <c r="G1848" i="2"/>
  <c r="I1848" i="2" s="1"/>
  <c r="F1848" i="2"/>
  <c r="E1848" i="2"/>
  <c r="D1848" i="2"/>
  <c r="C1848" i="2"/>
  <c r="B1848" i="2"/>
  <c r="A1848" i="2"/>
  <c r="E1847" i="2"/>
  <c r="F1847" i="2" s="1"/>
  <c r="D1847" i="2"/>
  <c r="C1847" i="2"/>
  <c r="G1847" i="2" s="1"/>
  <c r="H1847" i="2" s="1"/>
  <c r="B1847" i="2"/>
  <c r="A1847" i="2"/>
  <c r="E1846" i="2"/>
  <c r="F1846" i="2" s="1"/>
  <c r="D1846" i="2"/>
  <c r="C1846" i="2"/>
  <c r="B1846" i="2"/>
  <c r="A1846" i="2"/>
  <c r="F1845" i="2"/>
  <c r="E1845" i="2"/>
  <c r="D1845" i="2"/>
  <c r="C1845" i="2"/>
  <c r="G1845" i="2" s="1"/>
  <c r="I1845" i="2" s="1"/>
  <c r="B1845" i="2"/>
  <c r="A1845" i="2"/>
  <c r="F1844" i="2"/>
  <c r="E1844" i="2"/>
  <c r="D1844" i="2"/>
  <c r="C1844" i="2"/>
  <c r="B1844" i="2"/>
  <c r="G1844" i="2" s="1"/>
  <c r="I1844" i="2" s="1"/>
  <c r="A1844" i="2"/>
  <c r="E1843" i="2"/>
  <c r="F1843" i="2" s="1"/>
  <c r="D1843" i="2"/>
  <c r="C1843" i="2"/>
  <c r="G1843" i="2" s="1"/>
  <c r="I1843" i="2" s="1"/>
  <c r="B1843" i="2"/>
  <c r="A1843" i="2"/>
  <c r="F1842" i="2"/>
  <c r="E1842" i="2"/>
  <c r="D1842" i="2"/>
  <c r="C1842" i="2"/>
  <c r="B1842" i="2"/>
  <c r="G1842" i="2" s="1"/>
  <c r="I1842" i="2" s="1"/>
  <c r="A1842" i="2"/>
  <c r="G1841" i="2"/>
  <c r="I1841" i="2" s="1"/>
  <c r="E1841" i="2"/>
  <c r="F1841" i="2" s="1"/>
  <c r="D1841" i="2"/>
  <c r="C1841" i="2"/>
  <c r="B1841" i="2"/>
  <c r="A1841" i="2"/>
  <c r="F1840" i="2"/>
  <c r="E1840" i="2"/>
  <c r="D1840" i="2"/>
  <c r="C1840" i="2"/>
  <c r="G1840" i="2" s="1"/>
  <c r="B1840" i="2"/>
  <c r="A1840" i="2"/>
  <c r="E1839" i="2"/>
  <c r="F1839" i="2" s="1"/>
  <c r="D1839" i="2"/>
  <c r="C1839" i="2"/>
  <c r="G1839" i="2" s="1"/>
  <c r="I1839" i="2" s="1"/>
  <c r="B1839" i="2"/>
  <c r="A1839" i="2"/>
  <c r="F1838" i="2"/>
  <c r="E1838" i="2"/>
  <c r="D1838" i="2"/>
  <c r="C1838" i="2"/>
  <c r="B1838" i="2"/>
  <c r="A1838" i="2"/>
  <c r="G1837" i="2"/>
  <c r="I1837" i="2" s="1"/>
  <c r="E1837" i="2"/>
  <c r="F1837" i="2" s="1"/>
  <c r="D1837" i="2"/>
  <c r="C1837" i="2"/>
  <c r="B1837" i="2"/>
  <c r="A1837" i="2"/>
  <c r="F1836" i="2"/>
  <c r="E1836" i="2"/>
  <c r="D1836" i="2"/>
  <c r="C1836" i="2"/>
  <c r="B1836" i="2"/>
  <c r="G1836" i="2" s="1"/>
  <c r="H1836" i="2" s="1"/>
  <c r="A1836" i="2"/>
  <c r="E1835" i="2"/>
  <c r="F1835" i="2" s="1"/>
  <c r="D1835" i="2"/>
  <c r="C1835" i="2"/>
  <c r="G1835" i="2" s="1"/>
  <c r="I1835" i="2" s="1"/>
  <c r="B1835" i="2"/>
  <c r="A1835" i="2"/>
  <c r="F1834" i="2"/>
  <c r="E1834" i="2"/>
  <c r="D1834" i="2"/>
  <c r="C1834" i="2"/>
  <c r="B1834" i="2"/>
  <c r="A1834" i="2"/>
  <c r="F1833" i="2"/>
  <c r="E1833" i="2"/>
  <c r="D1833" i="2"/>
  <c r="C1833" i="2"/>
  <c r="G1833" i="2" s="1"/>
  <c r="I1833" i="2" s="1"/>
  <c r="B1833" i="2"/>
  <c r="A1833" i="2"/>
  <c r="G1832" i="2"/>
  <c r="I1832" i="2" s="1"/>
  <c r="F1832" i="2"/>
  <c r="E1832" i="2"/>
  <c r="D1832" i="2"/>
  <c r="C1832" i="2"/>
  <c r="B1832" i="2"/>
  <c r="A1832" i="2"/>
  <c r="G1831" i="2"/>
  <c r="I1831" i="2" s="1"/>
  <c r="E1831" i="2"/>
  <c r="F1831" i="2" s="1"/>
  <c r="D1831" i="2"/>
  <c r="C1831" i="2"/>
  <c r="B1831" i="2"/>
  <c r="A1831" i="2"/>
  <c r="E1830" i="2"/>
  <c r="F1830" i="2" s="1"/>
  <c r="D1830" i="2"/>
  <c r="C1830" i="2"/>
  <c r="B1830" i="2"/>
  <c r="A1830" i="2"/>
  <c r="E1829" i="2"/>
  <c r="F1829" i="2" s="1"/>
  <c r="D1829" i="2"/>
  <c r="C1829" i="2"/>
  <c r="G1829" i="2" s="1"/>
  <c r="I1829" i="2" s="1"/>
  <c r="B1829" i="2"/>
  <c r="A1829" i="2"/>
  <c r="G1828" i="2"/>
  <c r="I1828" i="2" s="1"/>
  <c r="F1828" i="2"/>
  <c r="E1828" i="2"/>
  <c r="D1828" i="2"/>
  <c r="C1828" i="2"/>
  <c r="B1828" i="2"/>
  <c r="A1828" i="2"/>
  <c r="I1827" i="2"/>
  <c r="F1827" i="2"/>
  <c r="E1827" i="2"/>
  <c r="D1827" i="2"/>
  <c r="C1827" i="2"/>
  <c r="G1827" i="2" s="1"/>
  <c r="B1827" i="2"/>
  <c r="A1827" i="2"/>
  <c r="E1826" i="2"/>
  <c r="F1826" i="2" s="1"/>
  <c r="D1826" i="2"/>
  <c r="C1826" i="2"/>
  <c r="B1826" i="2"/>
  <c r="A1826" i="2"/>
  <c r="F1825" i="2"/>
  <c r="H1825" i="2" s="1"/>
  <c r="E1825" i="2"/>
  <c r="D1825" i="2"/>
  <c r="C1825" i="2"/>
  <c r="B1825" i="2"/>
  <c r="G1825" i="2" s="1"/>
  <c r="I1825" i="2" s="1"/>
  <c r="A1825" i="2"/>
  <c r="F1824" i="2"/>
  <c r="E1824" i="2"/>
  <c r="D1824" i="2"/>
  <c r="C1824" i="2"/>
  <c r="B1824" i="2"/>
  <c r="G1824" i="2" s="1"/>
  <c r="I1824" i="2" s="1"/>
  <c r="A1824" i="2"/>
  <c r="G1823" i="2"/>
  <c r="I1823" i="2" s="1"/>
  <c r="E1823" i="2"/>
  <c r="F1823" i="2" s="1"/>
  <c r="D1823" i="2"/>
  <c r="C1823" i="2"/>
  <c r="B1823" i="2"/>
  <c r="A1823" i="2"/>
  <c r="E1822" i="2"/>
  <c r="F1822" i="2" s="1"/>
  <c r="D1822" i="2"/>
  <c r="C1822" i="2"/>
  <c r="B1822" i="2"/>
  <c r="A1822" i="2"/>
  <c r="G1821" i="2"/>
  <c r="I1821" i="2" s="1"/>
  <c r="E1821" i="2"/>
  <c r="F1821" i="2" s="1"/>
  <c r="H1821" i="2" s="1"/>
  <c r="D1821" i="2"/>
  <c r="C1821" i="2"/>
  <c r="B1821" i="2"/>
  <c r="A1821" i="2"/>
  <c r="F1820" i="2"/>
  <c r="E1820" i="2"/>
  <c r="D1820" i="2"/>
  <c r="C1820" i="2"/>
  <c r="B1820" i="2"/>
  <c r="G1820" i="2" s="1"/>
  <c r="I1820" i="2" s="1"/>
  <c r="A1820" i="2"/>
  <c r="E1819" i="2"/>
  <c r="F1819" i="2" s="1"/>
  <c r="D1819" i="2"/>
  <c r="C1819" i="2"/>
  <c r="G1819" i="2" s="1"/>
  <c r="I1819" i="2" s="1"/>
  <c r="B1819" i="2"/>
  <c r="A1819" i="2"/>
  <c r="I1818" i="2"/>
  <c r="E1818" i="2"/>
  <c r="F1818" i="2" s="1"/>
  <c r="H1818" i="2" s="1"/>
  <c r="D1818" i="2"/>
  <c r="C1818" i="2"/>
  <c r="B1818" i="2"/>
  <c r="G1818" i="2" s="1"/>
  <c r="A1818" i="2"/>
  <c r="G1817" i="2"/>
  <c r="I1817" i="2" s="1"/>
  <c r="E1817" i="2"/>
  <c r="F1817" i="2" s="1"/>
  <c r="D1817" i="2"/>
  <c r="C1817" i="2"/>
  <c r="B1817" i="2"/>
  <c r="A1817" i="2"/>
  <c r="G1816" i="2"/>
  <c r="F1816" i="2"/>
  <c r="E1816" i="2"/>
  <c r="D1816" i="2"/>
  <c r="C1816" i="2"/>
  <c r="B1816" i="2"/>
  <c r="A1816" i="2"/>
  <c r="E1815" i="2"/>
  <c r="F1815" i="2" s="1"/>
  <c r="D1815" i="2"/>
  <c r="C1815" i="2"/>
  <c r="G1815" i="2" s="1"/>
  <c r="B1815" i="2"/>
  <c r="A1815" i="2"/>
  <c r="E1814" i="2"/>
  <c r="F1814" i="2" s="1"/>
  <c r="D1814" i="2"/>
  <c r="C1814" i="2"/>
  <c r="B1814" i="2"/>
  <c r="A1814" i="2"/>
  <c r="E1813" i="2"/>
  <c r="F1813" i="2" s="1"/>
  <c r="D1813" i="2"/>
  <c r="C1813" i="2"/>
  <c r="B1813" i="2"/>
  <c r="G1813" i="2" s="1"/>
  <c r="I1813" i="2" s="1"/>
  <c r="A1813" i="2"/>
  <c r="I1812" i="2"/>
  <c r="F1812" i="2"/>
  <c r="E1812" i="2"/>
  <c r="D1812" i="2"/>
  <c r="C1812" i="2"/>
  <c r="B1812" i="2"/>
  <c r="G1812" i="2" s="1"/>
  <c r="H1812" i="2" s="1"/>
  <c r="A1812" i="2"/>
  <c r="G1811" i="2"/>
  <c r="I1811" i="2" s="1"/>
  <c r="E1811" i="2"/>
  <c r="F1811" i="2" s="1"/>
  <c r="H1811" i="2" s="1"/>
  <c r="D1811" i="2"/>
  <c r="C1811" i="2"/>
  <c r="B1811" i="2"/>
  <c r="A1811" i="2"/>
  <c r="F1810" i="2"/>
  <c r="H1810" i="2" s="1"/>
  <c r="E1810" i="2"/>
  <c r="D1810" i="2"/>
  <c r="C1810" i="2"/>
  <c r="B1810" i="2"/>
  <c r="G1810" i="2" s="1"/>
  <c r="I1810" i="2" s="1"/>
  <c r="A1810" i="2"/>
  <c r="G1809" i="2"/>
  <c r="I1809" i="2" s="1"/>
  <c r="F1809" i="2"/>
  <c r="E1809" i="2"/>
  <c r="D1809" i="2"/>
  <c r="C1809" i="2"/>
  <c r="B1809" i="2"/>
  <c r="A1809" i="2"/>
  <c r="F1808" i="2"/>
  <c r="E1808" i="2"/>
  <c r="D1808" i="2"/>
  <c r="C1808" i="2"/>
  <c r="B1808" i="2"/>
  <c r="G1808" i="2" s="1"/>
  <c r="A1808" i="2"/>
  <c r="E1807" i="2"/>
  <c r="F1807" i="2" s="1"/>
  <c r="D1807" i="2"/>
  <c r="C1807" i="2"/>
  <c r="G1807" i="2" s="1"/>
  <c r="B1807" i="2"/>
  <c r="A1807" i="2"/>
  <c r="E1806" i="2"/>
  <c r="F1806" i="2" s="1"/>
  <c r="H1806" i="2" s="1"/>
  <c r="D1806" i="2"/>
  <c r="C1806" i="2"/>
  <c r="B1806" i="2"/>
  <c r="G1806" i="2" s="1"/>
  <c r="I1806" i="2" s="1"/>
  <c r="A1806" i="2"/>
  <c r="G1805" i="2"/>
  <c r="I1805" i="2" s="1"/>
  <c r="E1805" i="2"/>
  <c r="F1805" i="2" s="1"/>
  <c r="D1805" i="2"/>
  <c r="C1805" i="2"/>
  <c r="B1805" i="2"/>
  <c r="A1805" i="2"/>
  <c r="F1804" i="2"/>
  <c r="E1804" i="2"/>
  <c r="D1804" i="2"/>
  <c r="C1804" i="2"/>
  <c r="B1804" i="2"/>
  <c r="G1804" i="2" s="1"/>
  <c r="I1804" i="2" s="1"/>
  <c r="A1804" i="2"/>
  <c r="G1803" i="2"/>
  <c r="I1803" i="2" s="1"/>
  <c r="F1803" i="2"/>
  <c r="E1803" i="2"/>
  <c r="D1803" i="2"/>
  <c r="C1803" i="2"/>
  <c r="B1803" i="2"/>
  <c r="A1803" i="2"/>
  <c r="H1802" i="2"/>
  <c r="E1802" i="2"/>
  <c r="F1802" i="2" s="1"/>
  <c r="D1802" i="2"/>
  <c r="C1802" i="2"/>
  <c r="B1802" i="2"/>
  <c r="G1802" i="2" s="1"/>
  <c r="I1802" i="2" s="1"/>
  <c r="A1802" i="2"/>
  <c r="E1801" i="2"/>
  <c r="F1801" i="2" s="1"/>
  <c r="D1801" i="2"/>
  <c r="C1801" i="2"/>
  <c r="B1801" i="2"/>
  <c r="G1801" i="2" s="1"/>
  <c r="I1801" i="2" s="1"/>
  <c r="A1801" i="2"/>
  <c r="F1800" i="2"/>
  <c r="E1800" i="2"/>
  <c r="D1800" i="2"/>
  <c r="C1800" i="2"/>
  <c r="B1800" i="2"/>
  <c r="A1800" i="2"/>
  <c r="E1799" i="2"/>
  <c r="F1799" i="2" s="1"/>
  <c r="D1799" i="2"/>
  <c r="C1799" i="2"/>
  <c r="G1799" i="2" s="1"/>
  <c r="I1799" i="2" s="1"/>
  <c r="B1799" i="2"/>
  <c r="A1799" i="2"/>
  <c r="E1798" i="2"/>
  <c r="F1798" i="2" s="1"/>
  <c r="D1798" i="2"/>
  <c r="C1798" i="2"/>
  <c r="B1798" i="2"/>
  <c r="A1798" i="2"/>
  <c r="E1797" i="2"/>
  <c r="F1797" i="2" s="1"/>
  <c r="H1797" i="2" s="1"/>
  <c r="D1797" i="2"/>
  <c r="C1797" i="2"/>
  <c r="G1797" i="2" s="1"/>
  <c r="I1797" i="2" s="1"/>
  <c r="B1797" i="2"/>
  <c r="A1797" i="2"/>
  <c r="F1796" i="2"/>
  <c r="E1796" i="2"/>
  <c r="D1796" i="2"/>
  <c r="C1796" i="2"/>
  <c r="B1796" i="2"/>
  <c r="G1796" i="2" s="1"/>
  <c r="I1796" i="2" s="1"/>
  <c r="A1796" i="2"/>
  <c r="G1795" i="2"/>
  <c r="I1795" i="2" s="1"/>
  <c r="E1795" i="2"/>
  <c r="F1795" i="2" s="1"/>
  <c r="D1795" i="2"/>
  <c r="C1795" i="2"/>
  <c r="B1795" i="2"/>
  <c r="A1795" i="2"/>
  <c r="E1794" i="2"/>
  <c r="F1794" i="2" s="1"/>
  <c r="D1794" i="2"/>
  <c r="C1794" i="2"/>
  <c r="B1794" i="2"/>
  <c r="A1794" i="2"/>
  <c r="G1793" i="2"/>
  <c r="I1793" i="2" s="1"/>
  <c r="E1793" i="2"/>
  <c r="F1793" i="2" s="1"/>
  <c r="D1793" i="2"/>
  <c r="C1793" i="2"/>
  <c r="B1793" i="2"/>
  <c r="A1793" i="2"/>
  <c r="G1792" i="2"/>
  <c r="F1792" i="2"/>
  <c r="E1792" i="2"/>
  <c r="D1792" i="2"/>
  <c r="C1792" i="2"/>
  <c r="B1792" i="2"/>
  <c r="A1792" i="2"/>
  <c r="E1791" i="2"/>
  <c r="F1791" i="2" s="1"/>
  <c r="D1791" i="2"/>
  <c r="C1791" i="2"/>
  <c r="G1791" i="2" s="1"/>
  <c r="H1791" i="2" s="1"/>
  <c r="B1791" i="2"/>
  <c r="A1791" i="2"/>
  <c r="E1790" i="2"/>
  <c r="F1790" i="2" s="1"/>
  <c r="D1790" i="2"/>
  <c r="C1790" i="2"/>
  <c r="B1790" i="2"/>
  <c r="A1790" i="2"/>
  <c r="G1789" i="2"/>
  <c r="I1789" i="2" s="1"/>
  <c r="E1789" i="2"/>
  <c r="F1789" i="2" s="1"/>
  <c r="D1789" i="2"/>
  <c r="C1789" i="2"/>
  <c r="B1789" i="2"/>
  <c r="A1789" i="2"/>
  <c r="F1788" i="2"/>
  <c r="H1788" i="2" s="1"/>
  <c r="E1788" i="2"/>
  <c r="D1788" i="2"/>
  <c r="C1788" i="2"/>
  <c r="B1788" i="2"/>
  <c r="G1788" i="2" s="1"/>
  <c r="I1788" i="2" s="1"/>
  <c r="A1788" i="2"/>
  <c r="E1787" i="2"/>
  <c r="F1787" i="2" s="1"/>
  <c r="D1787" i="2"/>
  <c r="C1787" i="2"/>
  <c r="G1787" i="2" s="1"/>
  <c r="B1787" i="2"/>
  <c r="A1787" i="2"/>
  <c r="E1786" i="2"/>
  <c r="F1786" i="2" s="1"/>
  <c r="D1786" i="2"/>
  <c r="C1786" i="2"/>
  <c r="B1786" i="2"/>
  <c r="A1786" i="2"/>
  <c r="E1785" i="2"/>
  <c r="F1785" i="2" s="1"/>
  <c r="D1785" i="2"/>
  <c r="C1785" i="2"/>
  <c r="B1785" i="2"/>
  <c r="G1785" i="2" s="1"/>
  <c r="I1785" i="2" s="1"/>
  <c r="A1785" i="2"/>
  <c r="F1784" i="2"/>
  <c r="E1784" i="2"/>
  <c r="D1784" i="2"/>
  <c r="C1784" i="2"/>
  <c r="B1784" i="2"/>
  <c r="G1784" i="2" s="1"/>
  <c r="A1784" i="2"/>
  <c r="E1783" i="2"/>
  <c r="F1783" i="2" s="1"/>
  <c r="D1783" i="2"/>
  <c r="C1783" i="2"/>
  <c r="G1783" i="2" s="1"/>
  <c r="I1783" i="2" s="1"/>
  <c r="B1783" i="2"/>
  <c r="A1783" i="2"/>
  <c r="E1782" i="2"/>
  <c r="F1782" i="2" s="1"/>
  <c r="D1782" i="2"/>
  <c r="C1782" i="2"/>
  <c r="B1782" i="2"/>
  <c r="A1782" i="2"/>
  <c r="G1781" i="2"/>
  <c r="I1781" i="2" s="1"/>
  <c r="E1781" i="2"/>
  <c r="F1781" i="2" s="1"/>
  <c r="D1781" i="2"/>
  <c r="C1781" i="2"/>
  <c r="B1781" i="2"/>
  <c r="A1781" i="2"/>
  <c r="F1780" i="2"/>
  <c r="E1780" i="2"/>
  <c r="D1780" i="2"/>
  <c r="C1780" i="2"/>
  <c r="B1780" i="2"/>
  <c r="G1780" i="2" s="1"/>
  <c r="A1780" i="2"/>
  <c r="F1779" i="2"/>
  <c r="E1779" i="2"/>
  <c r="D1779" i="2"/>
  <c r="C1779" i="2"/>
  <c r="G1779" i="2" s="1"/>
  <c r="I1779" i="2" s="1"/>
  <c r="B1779" i="2"/>
  <c r="A1779" i="2"/>
  <c r="E1778" i="2"/>
  <c r="F1778" i="2" s="1"/>
  <c r="D1778" i="2"/>
  <c r="C1778" i="2"/>
  <c r="B1778" i="2"/>
  <c r="A1778" i="2"/>
  <c r="F1777" i="2"/>
  <c r="H1777" i="2" s="1"/>
  <c r="E1777" i="2"/>
  <c r="D1777" i="2"/>
  <c r="C1777" i="2"/>
  <c r="B1777" i="2"/>
  <c r="G1777" i="2" s="1"/>
  <c r="I1777" i="2" s="1"/>
  <c r="A1777" i="2"/>
  <c r="G1776" i="2"/>
  <c r="I1776" i="2" s="1"/>
  <c r="F1776" i="2"/>
  <c r="E1776" i="2"/>
  <c r="D1776" i="2"/>
  <c r="C1776" i="2"/>
  <c r="B1776" i="2"/>
  <c r="A1776" i="2"/>
  <c r="E1775" i="2"/>
  <c r="F1775" i="2" s="1"/>
  <c r="D1775" i="2"/>
  <c r="C1775" i="2"/>
  <c r="G1775" i="2" s="1"/>
  <c r="I1775" i="2" s="1"/>
  <c r="B1775" i="2"/>
  <c r="A1775" i="2"/>
  <c r="E1774" i="2"/>
  <c r="F1774" i="2" s="1"/>
  <c r="D1774" i="2"/>
  <c r="C1774" i="2"/>
  <c r="B1774" i="2"/>
  <c r="A1774" i="2"/>
  <c r="G1773" i="2"/>
  <c r="I1773" i="2" s="1"/>
  <c r="F1773" i="2"/>
  <c r="H1773" i="2" s="1"/>
  <c r="E1773" i="2"/>
  <c r="D1773" i="2"/>
  <c r="C1773" i="2"/>
  <c r="B1773" i="2"/>
  <c r="A1773" i="2"/>
  <c r="F1772" i="2"/>
  <c r="E1772" i="2"/>
  <c r="D1772" i="2"/>
  <c r="C1772" i="2"/>
  <c r="B1772" i="2"/>
  <c r="G1772" i="2" s="1"/>
  <c r="A1772" i="2"/>
  <c r="E1771" i="2"/>
  <c r="F1771" i="2" s="1"/>
  <c r="H1771" i="2" s="1"/>
  <c r="D1771" i="2"/>
  <c r="C1771" i="2"/>
  <c r="G1771" i="2" s="1"/>
  <c r="I1771" i="2" s="1"/>
  <c r="B1771" i="2"/>
  <c r="A1771" i="2"/>
  <c r="F1770" i="2"/>
  <c r="H1770" i="2" s="1"/>
  <c r="E1770" i="2"/>
  <c r="D1770" i="2"/>
  <c r="C1770" i="2"/>
  <c r="B1770" i="2"/>
  <c r="G1770" i="2" s="1"/>
  <c r="I1770" i="2" s="1"/>
  <c r="A1770" i="2"/>
  <c r="F1769" i="2"/>
  <c r="E1769" i="2"/>
  <c r="D1769" i="2"/>
  <c r="C1769" i="2"/>
  <c r="B1769" i="2"/>
  <c r="A1769" i="2"/>
  <c r="F1768" i="2"/>
  <c r="E1768" i="2"/>
  <c r="D1768" i="2"/>
  <c r="C1768" i="2"/>
  <c r="G1768" i="2" s="1"/>
  <c r="I1768" i="2" s="1"/>
  <c r="B1768" i="2"/>
  <c r="A1768" i="2"/>
  <c r="I1767" i="2"/>
  <c r="E1767" i="2"/>
  <c r="F1767" i="2" s="1"/>
  <c r="H1767" i="2" s="1"/>
  <c r="D1767" i="2"/>
  <c r="C1767" i="2"/>
  <c r="G1767" i="2" s="1"/>
  <c r="B1767" i="2"/>
  <c r="A1767" i="2"/>
  <c r="F1766" i="2"/>
  <c r="E1766" i="2"/>
  <c r="D1766" i="2"/>
  <c r="C1766" i="2"/>
  <c r="B1766" i="2"/>
  <c r="G1766" i="2" s="1"/>
  <c r="I1766" i="2" s="1"/>
  <c r="A1766" i="2"/>
  <c r="I1765" i="2"/>
  <c r="E1765" i="2"/>
  <c r="F1765" i="2" s="1"/>
  <c r="H1765" i="2" s="1"/>
  <c r="D1765" i="2"/>
  <c r="C1765" i="2"/>
  <c r="B1765" i="2"/>
  <c r="G1765" i="2" s="1"/>
  <c r="A1765" i="2"/>
  <c r="G1764" i="2"/>
  <c r="I1764" i="2" s="1"/>
  <c r="F1764" i="2"/>
  <c r="E1764" i="2"/>
  <c r="D1764" i="2"/>
  <c r="C1764" i="2"/>
  <c r="B1764" i="2"/>
  <c r="A1764" i="2"/>
  <c r="H1763" i="2"/>
  <c r="F1763" i="2"/>
  <c r="E1763" i="2"/>
  <c r="D1763" i="2"/>
  <c r="C1763" i="2"/>
  <c r="G1763" i="2" s="1"/>
  <c r="I1763" i="2" s="1"/>
  <c r="B1763" i="2"/>
  <c r="A1763" i="2"/>
  <c r="F1762" i="2"/>
  <c r="E1762" i="2"/>
  <c r="D1762" i="2"/>
  <c r="C1762" i="2"/>
  <c r="B1762" i="2"/>
  <c r="A1762" i="2"/>
  <c r="G1761" i="2"/>
  <c r="I1761" i="2" s="1"/>
  <c r="F1761" i="2"/>
  <c r="H1761" i="2" s="1"/>
  <c r="E1761" i="2"/>
  <c r="D1761" i="2"/>
  <c r="C1761" i="2"/>
  <c r="B1761" i="2"/>
  <c r="A1761" i="2"/>
  <c r="F1760" i="2"/>
  <c r="E1760" i="2"/>
  <c r="D1760" i="2"/>
  <c r="C1760" i="2"/>
  <c r="B1760" i="2"/>
  <c r="G1760" i="2" s="1"/>
  <c r="A1760" i="2"/>
  <c r="I1759" i="2"/>
  <c r="G1759" i="2"/>
  <c r="E1759" i="2"/>
  <c r="F1759" i="2" s="1"/>
  <c r="H1759" i="2" s="1"/>
  <c r="D1759" i="2"/>
  <c r="C1759" i="2"/>
  <c r="B1759" i="2"/>
  <c r="A1759" i="2"/>
  <c r="F1758" i="2"/>
  <c r="H1758" i="2" s="1"/>
  <c r="E1758" i="2"/>
  <c r="D1758" i="2"/>
  <c r="C1758" i="2"/>
  <c r="B1758" i="2"/>
  <c r="G1758" i="2" s="1"/>
  <c r="I1758" i="2" s="1"/>
  <c r="A1758" i="2"/>
  <c r="E1757" i="2"/>
  <c r="F1757" i="2" s="1"/>
  <c r="D1757" i="2"/>
  <c r="C1757" i="2"/>
  <c r="B1757" i="2"/>
  <c r="A1757" i="2"/>
  <c r="F1756" i="2"/>
  <c r="E1756" i="2"/>
  <c r="D1756" i="2"/>
  <c r="C1756" i="2"/>
  <c r="G1756" i="2" s="1"/>
  <c r="I1756" i="2" s="1"/>
  <c r="B1756" i="2"/>
  <c r="A1756" i="2"/>
  <c r="F1755" i="2"/>
  <c r="E1755" i="2"/>
  <c r="D1755" i="2"/>
  <c r="C1755" i="2"/>
  <c r="G1755" i="2" s="1"/>
  <c r="I1755" i="2" s="1"/>
  <c r="B1755" i="2"/>
  <c r="A1755" i="2"/>
  <c r="F1754" i="2"/>
  <c r="H1754" i="2" s="1"/>
  <c r="E1754" i="2"/>
  <c r="D1754" i="2"/>
  <c r="C1754" i="2"/>
  <c r="B1754" i="2"/>
  <c r="G1754" i="2" s="1"/>
  <c r="I1754" i="2" s="1"/>
  <c r="A1754" i="2"/>
  <c r="G1753" i="2"/>
  <c r="I1753" i="2" s="1"/>
  <c r="F1753" i="2"/>
  <c r="E1753" i="2"/>
  <c r="D1753" i="2"/>
  <c r="C1753" i="2"/>
  <c r="B1753" i="2"/>
  <c r="A1753" i="2"/>
  <c r="F1752" i="2"/>
  <c r="E1752" i="2"/>
  <c r="D1752" i="2"/>
  <c r="C1752" i="2"/>
  <c r="G1752" i="2" s="1"/>
  <c r="B1752" i="2"/>
  <c r="A1752" i="2"/>
  <c r="G1751" i="2"/>
  <c r="I1751" i="2" s="1"/>
  <c r="F1751" i="2"/>
  <c r="E1751" i="2"/>
  <c r="D1751" i="2"/>
  <c r="C1751" i="2"/>
  <c r="B1751" i="2"/>
  <c r="A1751" i="2"/>
  <c r="F1750" i="2"/>
  <c r="E1750" i="2"/>
  <c r="D1750" i="2"/>
  <c r="C1750" i="2"/>
  <c r="B1750" i="2"/>
  <c r="A1750" i="2"/>
  <c r="F1749" i="2"/>
  <c r="H1749" i="2" s="1"/>
  <c r="E1749" i="2"/>
  <c r="D1749" i="2"/>
  <c r="C1749" i="2"/>
  <c r="B1749" i="2"/>
  <c r="G1749" i="2" s="1"/>
  <c r="I1749" i="2" s="1"/>
  <c r="A1749" i="2"/>
  <c r="G1748" i="2"/>
  <c r="I1748" i="2" s="1"/>
  <c r="F1748" i="2"/>
  <c r="E1748" i="2"/>
  <c r="D1748" i="2"/>
  <c r="C1748" i="2"/>
  <c r="B1748" i="2"/>
  <c r="A1748" i="2"/>
  <c r="F1747" i="2"/>
  <c r="E1747" i="2"/>
  <c r="D1747" i="2"/>
  <c r="C1747" i="2"/>
  <c r="G1747" i="2" s="1"/>
  <c r="B1747" i="2"/>
  <c r="A1747" i="2"/>
  <c r="F1746" i="2"/>
  <c r="E1746" i="2"/>
  <c r="D1746" i="2"/>
  <c r="C1746" i="2"/>
  <c r="B1746" i="2"/>
  <c r="G1746" i="2" s="1"/>
  <c r="I1746" i="2" s="1"/>
  <c r="A1746" i="2"/>
  <c r="G1745" i="2"/>
  <c r="I1745" i="2" s="1"/>
  <c r="F1745" i="2"/>
  <c r="H1745" i="2" s="1"/>
  <c r="E1745" i="2"/>
  <c r="D1745" i="2"/>
  <c r="C1745" i="2"/>
  <c r="B1745" i="2"/>
  <c r="A1745" i="2"/>
  <c r="F1744" i="2"/>
  <c r="E1744" i="2"/>
  <c r="D1744" i="2"/>
  <c r="C1744" i="2"/>
  <c r="G1744" i="2" s="1"/>
  <c r="B1744" i="2"/>
  <c r="A1744" i="2"/>
  <c r="E1743" i="2"/>
  <c r="F1743" i="2" s="1"/>
  <c r="D1743" i="2"/>
  <c r="C1743" i="2"/>
  <c r="G1743" i="2" s="1"/>
  <c r="I1743" i="2" s="1"/>
  <c r="B1743" i="2"/>
  <c r="A1743" i="2"/>
  <c r="E1742" i="2"/>
  <c r="F1742" i="2" s="1"/>
  <c r="D1742" i="2"/>
  <c r="C1742" i="2"/>
  <c r="B1742" i="2"/>
  <c r="G1742" i="2" s="1"/>
  <c r="I1742" i="2" s="1"/>
  <c r="A1742" i="2"/>
  <c r="G1741" i="2"/>
  <c r="I1741" i="2" s="1"/>
  <c r="F1741" i="2"/>
  <c r="E1741" i="2"/>
  <c r="D1741" i="2"/>
  <c r="C1741" i="2"/>
  <c r="B1741" i="2"/>
  <c r="A1741" i="2"/>
  <c r="F1740" i="2"/>
  <c r="E1740" i="2"/>
  <c r="D1740" i="2"/>
  <c r="C1740" i="2"/>
  <c r="G1740" i="2" s="1"/>
  <c r="I1740" i="2" s="1"/>
  <c r="B1740" i="2"/>
  <c r="A1740" i="2"/>
  <c r="G1739" i="2"/>
  <c r="I1739" i="2" s="1"/>
  <c r="F1739" i="2"/>
  <c r="E1739" i="2"/>
  <c r="D1739" i="2"/>
  <c r="C1739" i="2"/>
  <c r="B1739" i="2"/>
  <c r="A1739" i="2"/>
  <c r="F1738" i="2"/>
  <c r="E1738" i="2"/>
  <c r="D1738" i="2"/>
  <c r="C1738" i="2"/>
  <c r="B1738" i="2"/>
  <c r="A1738" i="2"/>
  <c r="E1737" i="2"/>
  <c r="F1737" i="2" s="1"/>
  <c r="D1737" i="2"/>
  <c r="C1737" i="2"/>
  <c r="B1737" i="2"/>
  <c r="A1737" i="2"/>
  <c r="G1736" i="2"/>
  <c r="I1736" i="2" s="1"/>
  <c r="F1736" i="2"/>
  <c r="E1736" i="2"/>
  <c r="D1736" i="2"/>
  <c r="C1736" i="2"/>
  <c r="B1736" i="2"/>
  <c r="A1736" i="2"/>
  <c r="I1735" i="2"/>
  <c r="H1735" i="2"/>
  <c r="G1735" i="2"/>
  <c r="E1735" i="2"/>
  <c r="F1735" i="2" s="1"/>
  <c r="D1735" i="2"/>
  <c r="C1735" i="2"/>
  <c r="B1735" i="2"/>
  <c r="A1735" i="2"/>
  <c r="E1734" i="2"/>
  <c r="F1734" i="2" s="1"/>
  <c r="D1734" i="2"/>
  <c r="C1734" i="2"/>
  <c r="B1734" i="2"/>
  <c r="G1734" i="2" s="1"/>
  <c r="I1734" i="2" s="1"/>
  <c r="A1734" i="2"/>
  <c r="F1733" i="2"/>
  <c r="E1733" i="2"/>
  <c r="D1733" i="2"/>
  <c r="C1733" i="2"/>
  <c r="B1733" i="2"/>
  <c r="G1733" i="2" s="1"/>
  <c r="I1733" i="2" s="1"/>
  <c r="A1733" i="2"/>
  <c r="F1732" i="2"/>
  <c r="E1732" i="2"/>
  <c r="D1732" i="2"/>
  <c r="C1732" i="2"/>
  <c r="B1732" i="2"/>
  <c r="A1732" i="2"/>
  <c r="G1731" i="2"/>
  <c r="I1731" i="2" s="1"/>
  <c r="F1731" i="2"/>
  <c r="E1731" i="2"/>
  <c r="D1731" i="2"/>
  <c r="C1731" i="2"/>
  <c r="B1731" i="2"/>
  <c r="A1731" i="2"/>
  <c r="I1730" i="2"/>
  <c r="H1730" i="2"/>
  <c r="E1730" i="2"/>
  <c r="F1730" i="2" s="1"/>
  <c r="D1730" i="2"/>
  <c r="C1730" i="2"/>
  <c r="B1730" i="2"/>
  <c r="G1730" i="2" s="1"/>
  <c r="A1730" i="2"/>
  <c r="F1729" i="2"/>
  <c r="E1729" i="2"/>
  <c r="D1729" i="2"/>
  <c r="C1729" i="2"/>
  <c r="B1729" i="2"/>
  <c r="A1729" i="2"/>
  <c r="G1728" i="2"/>
  <c r="F1728" i="2"/>
  <c r="E1728" i="2"/>
  <c r="D1728" i="2"/>
  <c r="C1728" i="2"/>
  <c r="B1728" i="2"/>
  <c r="A1728" i="2"/>
  <c r="G1727" i="2"/>
  <c r="I1727" i="2" s="1"/>
  <c r="E1727" i="2"/>
  <c r="F1727" i="2" s="1"/>
  <c r="D1727" i="2"/>
  <c r="C1727" i="2"/>
  <c r="B1727" i="2"/>
  <c r="A1727" i="2"/>
  <c r="E1726" i="2"/>
  <c r="F1726" i="2" s="1"/>
  <c r="H1726" i="2" s="1"/>
  <c r="D1726" i="2"/>
  <c r="C1726" i="2"/>
  <c r="B1726" i="2"/>
  <c r="G1726" i="2" s="1"/>
  <c r="I1726" i="2" s="1"/>
  <c r="A1726" i="2"/>
  <c r="F1725" i="2"/>
  <c r="H1725" i="2" s="1"/>
  <c r="E1725" i="2"/>
  <c r="D1725" i="2"/>
  <c r="C1725" i="2"/>
  <c r="B1725" i="2"/>
  <c r="G1725" i="2" s="1"/>
  <c r="I1725" i="2" s="1"/>
  <c r="A1725" i="2"/>
  <c r="F1724" i="2"/>
  <c r="E1724" i="2"/>
  <c r="D1724" i="2"/>
  <c r="C1724" i="2"/>
  <c r="B1724" i="2"/>
  <c r="G1724" i="2" s="1"/>
  <c r="I1724" i="2" s="1"/>
  <c r="A1724" i="2"/>
  <c r="F1723" i="2"/>
  <c r="E1723" i="2"/>
  <c r="D1723" i="2"/>
  <c r="C1723" i="2"/>
  <c r="G1723" i="2" s="1"/>
  <c r="I1723" i="2" s="1"/>
  <c r="B1723" i="2"/>
  <c r="A1723" i="2"/>
  <c r="F1722" i="2"/>
  <c r="H1722" i="2" s="1"/>
  <c r="E1722" i="2"/>
  <c r="D1722" i="2"/>
  <c r="C1722" i="2"/>
  <c r="B1722" i="2"/>
  <c r="G1722" i="2" s="1"/>
  <c r="I1722" i="2" s="1"/>
  <c r="A1722" i="2"/>
  <c r="F1721" i="2"/>
  <c r="E1721" i="2"/>
  <c r="D1721" i="2"/>
  <c r="C1721" i="2"/>
  <c r="B1721" i="2"/>
  <c r="A1721" i="2"/>
  <c r="F1720" i="2"/>
  <c r="E1720" i="2"/>
  <c r="D1720" i="2"/>
  <c r="C1720" i="2"/>
  <c r="G1720" i="2" s="1"/>
  <c r="I1720" i="2" s="1"/>
  <c r="B1720" i="2"/>
  <c r="A1720" i="2"/>
  <c r="I1719" i="2"/>
  <c r="F1719" i="2"/>
  <c r="H1719" i="2" s="1"/>
  <c r="E1719" i="2"/>
  <c r="D1719" i="2"/>
  <c r="C1719" i="2"/>
  <c r="G1719" i="2" s="1"/>
  <c r="B1719" i="2"/>
  <c r="A1719" i="2"/>
  <c r="F1718" i="2"/>
  <c r="H1718" i="2" s="1"/>
  <c r="E1718" i="2"/>
  <c r="D1718" i="2"/>
  <c r="C1718" i="2"/>
  <c r="B1718" i="2"/>
  <c r="G1718" i="2" s="1"/>
  <c r="I1718" i="2" s="1"/>
  <c r="A1718" i="2"/>
  <c r="F1717" i="2"/>
  <c r="E1717" i="2"/>
  <c r="D1717" i="2"/>
  <c r="C1717" i="2"/>
  <c r="B1717" i="2"/>
  <c r="G1717" i="2" s="1"/>
  <c r="I1717" i="2" s="1"/>
  <c r="A1717" i="2"/>
  <c r="G1716" i="2"/>
  <c r="I1716" i="2" s="1"/>
  <c r="F1716" i="2"/>
  <c r="E1716" i="2"/>
  <c r="D1716" i="2"/>
  <c r="C1716" i="2"/>
  <c r="B1716" i="2"/>
  <c r="A1716" i="2"/>
  <c r="F1715" i="2"/>
  <c r="E1715" i="2"/>
  <c r="D1715" i="2"/>
  <c r="C1715" i="2"/>
  <c r="G1715" i="2" s="1"/>
  <c r="I1715" i="2" s="1"/>
  <c r="B1715" i="2"/>
  <c r="A1715" i="2"/>
  <c r="F1714" i="2"/>
  <c r="E1714" i="2"/>
  <c r="D1714" i="2"/>
  <c r="C1714" i="2"/>
  <c r="B1714" i="2"/>
  <c r="G1714" i="2" s="1"/>
  <c r="I1714" i="2" s="1"/>
  <c r="A1714" i="2"/>
  <c r="E1713" i="2"/>
  <c r="F1713" i="2" s="1"/>
  <c r="D1713" i="2"/>
  <c r="C1713" i="2"/>
  <c r="B1713" i="2"/>
  <c r="G1713" i="2" s="1"/>
  <c r="I1713" i="2" s="1"/>
  <c r="A1713" i="2"/>
  <c r="I1712" i="2"/>
  <c r="G1712" i="2"/>
  <c r="H1712" i="2" s="1"/>
  <c r="F1712" i="2"/>
  <c r="E1712" i="2"/>
  <c r="D1712" i="2"/>
  <c r="C1712" i="2"/>
  <c r="B1712" i="2"/>
  <c r="A1712" i="2"/>
  <c r="G1711" i="2"/>
  <c r="I1711" i="2" s="1"/>
  <c r="F1711" i="2"/>
  <c r="E1711" i="2"/>
  <c r="D1711" i="2"/>
  <c r="C1711" i="2"/>
  <c r="B1711" i="2"/>
  <c r="A1711" i="2"/>
  <c r="F1710" i="2"/>
  <c r="E1710" i="2"/>
  <c r="D1710" i="2"/>
  <c r="C1710" i="2"/>
  <c r="B1710" i="2"/>
  <c r="G1710" i="2" s="1"/>
  <c r="I1710" i="2" s="1"/>
  <c r="A1710" i="2"/>
  <c r="I1709" i="2"/>
  <c r="E1709" i="2"/>
  <c r="F1709" i="2" s="1"/>
  <c r="D1709" i="2"/>
  <c r="C1709" i="2"/>
  <c r="B1709" i="2"/>
  <c r="G1709" i="2" s="1"/>
  <c r="A1709" i="2"/>
  <c r="G1708" i="2"/>
  <c r="I1708" i="2" s="1"/>
  <c r="F1708" i="2"/>
  <c r="E1708" i="2"/>
  <c r="D1708" i="2"/>
  <c r="C1708" i="2"/>
  <c r="B1708" i="2"/>
  <c r="A1708" i="2"/>
  <c r="F1707" i="2"/>
  <c r="E1707" i="2"/>
  <c r="D1707" i="2"/>
  <c r="C1707" i="2"/>
  <c r="G1707" i="2" s="1"/>
  <c r="B1707" i="2"/>
  <c r="A1707" i="2"/>
  <c r="E1706" i="2"/>
  <c r="F1706" i="2" s="1"/>
  <c r="D1706" i="2"/>
  <c r="C1706" i="2"/>
  <c r="B1706" i="2"/>
  <c r="A1706" i="2"/>
  <c r="I1705" i="2"/>
  <c r="G1705" i="2"/>
  <c r="F1705" i="2"/>
  <c r="E1705" i="2"/>
  <c r="D1705" i="2"/>
  <c r="C1705" i="2"/>
  <c r="B1705" i="2"/>
  <c r="A1705" i="2"/>
  <c r="F1704" i="2"/>
  <c r="E1704" i="2"/>
  <c r="D1704" i="2"/>
  <c r="C1704" i="2"/>
  <c r="G1704" i="2" s="1"/>
  <c r="I1704" i="2" s="1"/>
  <c r="B1704" i="2"/>
  <c r="A1704" i="2"/>
  <c r="G1703" i="2"/>
  <c r="I1703" i="2" s="1"/>
  <c r="F1703" i="2"/>
  <c r="E1703" i="2"/>
  <c r="D1703" i="2"/>
  <c r="C1703" i="2"/>
  <c r="B1703" i="2"/>
  <c r="A1703" i="2"/>
  <c r="E1702" i="2"/>
  <c r="F1702" i="2" s="1"/>
  <c r="D1702" i="2"/>
  <c r="C1702" i="2"/>
  <c r="B1702" i="2"/>
  <c r="G1702" i="2" s="1"/>
  <c r="I1702" i="2" s="1"/>
  <c r="A1702" i="2"/>
  <c r="F1701" i="2"/>
  <c r="E1701" i="2"/>
  <c r="D1701" i="2"/>
  <c r="C1701" i="2"/>
  <c r="B1701" i="2"/>
  <c r="G1701" i="2" s="1"/>
  <c r="I1701" i="2" s="1"/>
  <c r="A1701" i="2"/>
  <c r="I1700" i="2"/>
  <c r="G1700" i="2"/>
  <c r="F1700" i="2"/>
  <c r="H1700" i="2" s="1"/>
  <c r="E1700" i="2"/>
  <c r="D1700" i="2"/>
  <c r="C1700" i="2"/>
  <c r="B1700" i="2"/>
  <c r="A1700" i="2"/>
  <c r="G1699" i="2"/>
  <c r="I1699" i="2" s="1"/>
  <c r="E1699" i="2"/>
  <c r="F1699" i="2" s="1"/>
  <c r="H1699" i="2" s="1"/>
  <c r="D1699" i="2"/>
  <c r="C1699" i="2"/>
  <c r="B1699" i="2"/>
  <c r="A1699" i="2"/>
  <c r="F1698" i="2"/>
  <c r="E1698" i="2"/>
  <c r="D1698" i="2"/>
  <c r="C1698" i="2"/>
  <c r="B1698" i="2"/>
  <c r="A1698" i="2"/>
  <c r="G1697" i="2"/>
  <c r="I1697" i="2" s="1"/>
  <c r="F1697" i="2"/>
  <c r="H1697" i="2" s="1"/>
  <c r="E1697" i="2"/>
  <c r="D1697" i="2"/>
  <c r="C1697" i="2"/>
  <c r="B1697" i="2"/>
  <c r="A1697" i="2"/>
  <c r="F1696" i="2"/>
  <c r="H1696" i="2" s="1"/>
  <c r="E1696" i="2"/>
  <c r="D1696" i="2"/>
  <c r="C1696" i="2"/>
  <c r="G1696" i="2" s="1"/>
  <c r="I1696" i="2" s="1"/>
  <c r="B1696" i="2"/>
  <c r="A1696" i="2"/>
  <c r="E1695" i="2"/>
  <c r="F1695" i="2" s="1"/>
  <c r="H1695" i="2" s="1"/>
  <c r="D1695" i="2"/>
  <c r="C1695" i="2"/>
  <c r="G1695" i="2" s="1"/>
  <c r="I1695" i="2" s="1"/>
  <c r="B1695" i="2"/>
  <c r="A1695" i="2"/>
  <c r="I1694" i="2"/>
  <c r="E1694" i="2"/>
  <c r="F1694" i="2" s="1"/>
  <c r="H1694" i="2" s="1"/>
  <c r="D1694" i="2"/>
  <c r="C1694" i="2"/>
  <c r="B1694" i="2"/>
  <c r="G1694" i="2" s="1"/>
  <c r="A1694" i="2"/>
  <c r="E1693" i="2"/>
  <c r="F1693" i="2" s="1"/>
  <c r="D1693" i="2"/>
  <c r="C1693" i="2"/>
  <c r="B1693" i="2"/>
  <c r="G1693" i="2" s="1"/>
  <c r="I1693" i="2" s="1"/>
  <c r="A1693" i="2"/>
  <c r="F1692" i="2"/>
  <c r="E1692" i="2"/>
  <c r="D1692" i="2"/>
  <c r="C1692" i="2"/>
  <c r="B1692" i="2"/>
  <c r="G1692" i="2" s="1"/>
  <c r="I1692" i="2" s="1"/>
  <c r="A1692" i="2"/>
  <c r="G1691" i="2"/>
  <c r="I1691" i="2" s="1"/>
  <c r="F1691" i="2"/>
  <c r="H1691" i="2" s="1"/>
  <c r="E1691" i="2"/>
  <c r="D1691" i="2"/>
  <c r="C1691" i="2"/>
  <c r="B1691" i="2"/>
  <c r="A1691" i="2"/>
  <c r="F1690" i="2"/>
  <c r="E1690" i="2"/>
  <c r="D1690" i="2"/>
  <c r="C1690" i="2"/>
  <c r="B1690" i="2"/>
  <c r="G1690" i="2" s="1"/>
  <c r="A1690" i="2"/>
  <c r="E1689" i="2"/>
  <c r="F1689" i="2" s="1"/>
  <c r="D1689" i="2"/>
  <c r="C1689" i="2"/>
  <c r="B1689" i="2"/>
  <c r="A1689" i="2"/>
  <c r="G1688" i="2"/>
  <c r="F1688" i="2"/>
  <c r="E1688" i="2"/>
  <c r="D1688" i="2"/>
  <c r="C1688" i="2"/>
  <c r="B1688" i="2"/>
  <c r="A1688" i="2"/>
  <c r="G1687" i="2"/>
  <c r="I1687" i="2" s="1"/>
  <c r="E1687" i="2"/>
  <c r="F1687" i="2" s="1"/>
  <c r="D1687" i="2"/>
  <c r="C1687" i="2"/>
  <c r="B1687" i="2"/>
  <c r="A1687" i="2"/>
  <c r="E1686" i="2"/>
  <c r="F1686" i="2" s="1"/>
  <c r="H1686" i="2" s="1"/>
  <c r="D1686" i="2"/>
  <c r="C1686" i="2"/>
  <c r="B1686" i="2"/>
  <c r="G1686" i="2" s="1"/>
  <c r="I1686" i="2" s="1"/>
  <c r="A1686" i="2"/>
  <c r="E1685" i="2"/>
  <c r="F1685" i="2" s="1"/>
  <c r="D1685" i="2"/>
  <c r="C1685" i="2"/>
  <c r="B1685" i="2"/>
  <c r="G1685" i="2" s="1"/>
  <c r="I1685" i="2" s="1"/>
  <c r="A1685" i="2"/>
  <c r="I1684" i="2"/>
  <c r="F1684" i="2"/>
  <c r="E1684" i="2"/>
  <c r="D1684" i="2"/>
  <c r="C1684" i="2"/>
  <c r="B1684" i="2"/>
  <c r="G1684" i="2" s="1"/>
  <c r="A1684" i="2"/>
  <c r="F1683" i="2"/>
  <c r="E1683" i="2"/>
  <c r="D1683" i="2"/>
  <c r="C1683" i="2"/>
  <c r="G1683" i="2" s="1"/>
  <c r="I1683" i="2" s="1"/>
  <c r="B1683" i="2"/>
  <c r="A1683" i="2"/>
  <c r="I1682" i="2"/>
  <c r="F1682" i="2"/>
  <c r="E1682" i="2"/>
  <c r="D1682" i="2"/>
  <c r="C1682" i="2"/>
  <c r="B1682" i="2"/>
  <c r="G1682" i="2" s="1"/>
  <c r="H1682" i="2" s="1"/>
  <c r="A1682" i="2"/>
  <c r="F1681" i="2"/>
  <c r="E1681" i="2"/>
  <c r="D1681" i="2"/>
  <c r="C1681" i="2"/>
  <c r="G1681" i="2" s="1"/>
  <c r="I1681" i="2" s="1"/>
  <c r="B1681" i="2"/>
  <c r="A1681" i="2"/>
  <c r="H1680" i="2"/>
  <c r="G1680" i="2"/>
  <c r="I1680" i="2" s="1"/>
  <c r="F1680" i="2"/>
  <c r="E1680" i="2"/>
  <c r="D1680" i="2"/>
  <c r="C1680" i="2"/>
  <c r="B1680" i="2"/>
  <c r="A1680" i="2"/>
  <c r="G1679" i="2"/>
  <c r="I1679" i="2" s="1"/>
  <c r="E1679" i="2"/>
  <c r="F1679" i="2" s="1"/>
  <c r="D1679" i="2"/>
  <c r="C1679" i="2"/>
  <c r="B1679" i="2"/>
  <c r="A1679" i="2"/>
  <c r="E1678" i="2"/>
  <c r="F1678" i="2" s="1"/>
  <c r="D1678" i="2"/>
  <c r="C1678" i="2"/>
  <c r="B1678" i="2"/>
  <c r="A1678" i="2"/>
  <c r="I1677" i="2"/>
  <c r="F1677" i="2"/>
  <c r="H1677" i="2" s="1"/>
  <c r="E1677" i="2"/>
  <c r="D1677" i="2"/>
  <c r="C1677" i="2"/>
  <c r="B1677" i="2"/>
  <c r="G1677" i="2" s="1"/>
  <c r="A1677" i="2"/>
  <c r="G1676" i="2"/>
  <c r="I1676" i="2" s="1"/>
  <c r="F1676" i="2"/>
  <c r="E1676" i="2"/>
  <c r="D1676" i="2"/>
  <c r="C1676" i="2"/>
  <c r="B1676" i="2"/>
  <c r="A1676" i="2"/>
  <c r="E1675" i="2"/>
  <c r="F1675" i="2" s="1"/>
  <c r="H1675" i="2" s="1"/>
  <c r="D1675" i="2"/>
  <c r="C1675" i="2"/>
  <c r="G1675" i="2" s="1"/>
  <c r="I1675" i="2" s="1"/>
  <c r="B1675" i="2"/>
  <c r="A1675" i="2"/>
  <c r="F1674" i="2"/>
  <c r="H1674" i="2" s="1"/>
  <c r="E1674" i="2"/>
  <c r="D1674" i="2"/>
  <c r="C1674" i="2"/>
  <c r="B1674" i="2"/>
  <c r="G1674" i="2" s="1"/>
  <c r="I1674" i="2" s="1"/>
  <c r="A1674" i="2"/>
  <c r="F1673" i="2"/>
  <c r="E1673" i="2"/>
  <c r="D1673" i="2"/>
  <c r="C1673" i="2"/>
  <c r="B1673" i="2"/>
  <c r="G1673" i="2" s="1"/>
  <c r="I1673" i="2" s="1"/>
  <c r="A1673" i="2"/>
  <c r="I1672" i="2"/>
  <c r="G1672" i="2"/>
  <c r="F1672" i="2"/>
  <c r="E1672" i="2"/>
  <c r="D1672" i="2"/>
  <c r="C1672" i="2"/>
  <c r="B1672" i="2"/>
  <c r="A1672" i="2"/>
  <c r="E1671" i="2"/>
  <c r="F1671" i="2" s="1"/>
  <c r="H1671" i="2" s="1"/>
  <c r="D1671" i="2"/>
  <c r="C1671" i="2"/>
  <c r="G1671" i="2" s="1"/>
  <c r="I1671" i="2" s="1"/>
  <c r="B1671" i="2"/>
  <c r="A1671" i="2"/>
  <c r="F1670" i="2"/>
  <c r="E1670" i="2"/>
  <c r="D1670" i="2"/>
  <c r="C1670" i="2"/>
  <c r="B1670" i="2"/>
  <c r="G1670" i="2" s="1"/>
  <c r="I1670" i="2" s="1"/>
  <c r="A1670" i="2"/>
  <c r="E1669" i="2"/>
  <c r="F1669" i="2" s="1"/>
  <c r="D1669" i="2"/>
  <c r="C1669" i="2"/>
  <c r="B1669" i="2"/>
  <c r="G1669" i="2" s="1"/>
  <c r="I1669" i="2" s="1"/>
  <c r="A1669" i="2"/>
  <c r="G1668" i="2"/>
  <c r="I1668" i="2" s="1"/>
  <c r="F1668" i="2"/>
  <c r="H1668" i="2" s="1"/>
  <c r="E1668" i="2"/>
  <c r="D1668" i="2"/>
  <c r="C1668" i="2"/>
  <c r="B1668" i="2"/>
  <c r="A1668" i="2"/>
  <c r="G1667" i="2"/>
  <c r="F1667" i="2"/>
  <c r="E1667" i="2"/>
  <c r="D1667" i="2"/>
  <c r="C1667" i="2"/>
  <c r="B1667" i="2"/>
  <c r="A1667" i="2"/>
  <c r="F1666" i="2"/>
  <c r="E1666" i="2"/>
  <c r="D1666" i="2"/>
  <c r="C1666" i="2"/>
  <c r="B1666" i="2"/>
  <c r="A1666" i="2"/>
  <c r="G1665" i="2"/>
  <c r="I1665" i="2" s="1"/>
  <c r="F1665" i="2"/>
  <c r="H1665" i="2" s="1"/>
  <c r="E1665" i="2"/>
  <c r="D1665" i="2"/>
  <c r="C1665" i="2"/>
  <c r="B1665" i="2"/>
  <c r="A1665" i="2"/>
  <c r="F1664" i="2"/>
  <c r="E1664" i="2"/>
  <c r="D1664" i="2"/>
  <c r="C1664" i="2"/>
  <c r="G1664" i="2" s="1"/>
  <c r="I1664" i="2" s="1"/>
  <c r="B1664" i="2"/>
  <c r="A1664" i="2"/>
  <c r="G1663" i="2"/>
  <c r="I1663" i="2" s="1"/>
  <c r="F1663" i="2"/>
  <c r="E1663" i="2"/>
  <c r="D1663" i="2"/>
  <c r="C1663" i="2"/>
  <c r="B1663" i="2"/>
  <c r="A1663" i="2"/>
  <c r="F1662" i="2"/>
  <c r="E1662" i="2"/>
  <c r="D1662" i="2"/>
  <c r="C1662" i="2"/>
  <c r="B1662" i="2"/>
  <c r="G1662" i="2" s="1"/>
  <c r="I1662" i="2" s="1"/>
  <c r="A1662" i="2"/>
  <c r="E1661" i="2"/>
  <c r="F1661" i="2" s="1"/>
  <c r="D1661" i="2"/>
  <c r="C1661" i="2"/>
  <c r="B1661" i="2"/>
  <c r="A1661" i="2"/>
  <c r="G1660" i="2"/>
  <c r="I1660" i="2" s="1"/>
  <c r="E1660" i="2"/>
  <c r="F1660" i="2" s="1"/>
  <c r="D1660" i="2"/>
  <c r="C1660" i="2"/>
  <c r="B1660" i="2"/>
  <c r="A1660" i="2"/>
  <c r="F1659" i="2"/>
  <c r="E1659" i="2"/>
  <c r="D1659" i="2"/>
  <c r="C1659" i="2"/>
  <c r="B1659" i="2"/>
  <c r="G1659" i="2" s="1"/>
  <c r="I1659" i="2" s="1"/>
  <c r="A1659" i="2"/>
  <c r="G1658" i="2"/>
  <c r="I1658" i="2" s="1"/>
  <c r="F1658" i="2"/>
  <c r="E1658" i="2"/>
  <c r="D1658" i="2"/>
  <c r="C1658" i="2"/>
  <c r="B1658" i="2"/>
  <c r="A1658" i="2"/>
  <c r="F1657" i="2"/>
  <c r="E1657" i="2"/>
  <c r="D1657" i="2"/>
  <c r="C1657" i="2"/>
  <c r="B1657" i="2"/>
  <c r="A1657" i="2"/>
  <c r="E1656" i="2"/>
  <c r="F1656" i="2" s="1"/>
  <c r="D1656" i="2"/>
  <c r="C1656" i="2"/>
  <c r="G1656" i="2" s="1"/>
  <c r="I1656" i="2" s="1"/>
  <c r="B1656" i="2"/>
  <c r="A1656" i="2"/>
  <c r="F1655" i="2"/>
  <c r="E1655" i="2"/>
  <c r="D1655" i="2"/>
  <c r="C1655" i="2"/>
  <c r="B1655" i="2"/>
  <c r="G1655" i="2" s="1"/>
  <c r="I1655" i="2" s="1"/>
  <c r="A1655" i="2"/>
  <c r="H1654" i="2"/>
  <c r="E1654" i="2"/>
  <c r="F1654" i="2" s="1"/>
  <c r="D1654" i="2"/>
  <c r="C1654" i="2"/>
  <c r="G1654" i="2" s="1"/>
  <c r="I1654" i="2" s="1"/>
  <c r="B1654" i="2"/>
  <c r="A1654" i="2"/>
  <c r="F1653" i="2"/>
  <c r="E1653" i="2"/>
  <c r="D1653" i="2"/>
  <c r="C1653" i="2"/>
  <c r="B1653" i="2"/>
  <c r="A1653" i="2"/>
  <c r="E1652" i="2"/>
  <c r="F1652" i="2" s="1"/>
  <c r="D1652" i="2"/>
  <c r="C1652" i="2"/>
  <c r="B1652" i="2"/>
  <c r="G1652" i="2" s="1"/>
  <c r="I1652" i="2" s="1"/>
  <c r="A1652" i="2"/>
  <c r="F1651" i="2"/>
  <c r="E1651" i="2"/>
  <c r="D1651" i="2"/>
  <c r="C1651" i="2"/>
  <c r="B1651" i="2"/>
  <c r="G1651" i="2" s="1"/>
  <c r="I1651" i="2" s="1"/>
  <c r="A1651" i="2"/>
  <c r="G1650" i="2"/>
  <c r="I1650" i="2" s="1"/>
  <c r="F1650" i="2"/>
  <c r="E1650" i="2"/>
  <c r="D1650" i="2"/>
  <c r="C1650" i="2"/>
  <c r="B1650" i="2"/>
  <c r="A1650" i="2"/>
  <c r="E1649" i="2"/>
  <c r="F1649" i="2" s="1"/>
  <c r="D1649" i="2"/>
  <c r="C1649" i="2"/>
  <c r="B1649" i="2"/>
  <c r="G1649" i="2" s="1"/>
  <c r="I1649" i="2" s="1"/>
  <c r="A1649" i="2"/>
  <c r="G1648" i="2"/>
  <c r="I1648" i="2" s="1"/>
  <c r="E1648" i="2"/>
  <c r="F1648" i="2" s="1"/>
  <c r="D1648" i="2"/>
  <c r="C1648" i="2"/>
  <c r="B1648" i="2"/>
  <c r="A1648" i="2"/>
  <c r="F1647" i="2"/>
  <c r="E1647" i="2"/>
  <c r="D1647" i="2"/>
  <c r="C1647" i="2"/>
  <c r="B1647" i="2"/>
  <c r="G1647" i="2" s="1"/>
  <c r="I1647" i="2" s="1"/>
  <c r="A1647" i="2"/>
  <c r="G1646" i="2"/>
  <c r="I1646" i="2" s="1"/>
  <c r="E1646" i="2"/>
  <c r="F1646" i="2" s="1"/>
  <c r="D1646" i="2"/>
  <c r="C1646" i="2"/>
  <c r="B1646" i="2"/>
  <c r="A1646" i="2"/>
  <c r="E1645" i="2"/>
  <c r="F1645" i="2" s="1"/>
  <c r="D1645" i="2"/>
  <c r="C1645" i="2"/>
  <c r="B1645" i="2"/>
  <c r="G1645" i="2" s="1"/>
  <c r="I1645" i="2" s="1"/>
  <c r="A1645" i="2"/>
  <c r="E1644" i="2"/>
  <c r="F1644" i="2" s="1"/>
  <c r="D1644" i="2"/>
  <c r="C1644" i="2"/>
  <c r="G1644" i="2" s="1"/>
  <c r="I1644" i="2" s="1"/>
  <c r="B1644" i="2"/>
  <c r="A1644" i="2"/>
  <c r="F1643" i="2"/>
  <c r="E1643" i="2"/>
  <c r="D1643" i="2"/>
  <c r="C1643" i="2"/>
  <c r="B1643" i="2"/>
  <c r="G1643" i="2" s="1"/>
  <c r="I1643" i="2" s="1"/>
  <c r="A1643" i="2"/>
  <c r="E1642" i="2"/>
  <c r="F1642" i="2" s="1"/>
  <c r="D1642" i="2"/>
  <c r="C1642" i="2"/>
  <c r="G1642" i="2" s="1"/>
  <c r="I1642" i="2" s="1"/>
  <c r="B1642" i="2"/>
  <c r="A1642" i="2"/>
  <c r="E1641" i="2"/>
  <c r="F1641" i="2" s="1"/>
  <c r="D1641" i="2"/>
  <c r="C1641" i="2"/>
  <c r="B1641" i="2"/>
  <c r="A1641" i="2"/>
  <c r="F1640" i="2"/>
  <c r="E1640" i="2"/>
  <c r="D1640" i="2"/>
  <c r="C1640" i="2"/>
  <c r="B1640" i="2"/>
  <c r="A1640" i="2"/>
  <c r="F1639" i="2"/>
  <c r="E1639" i="2"/>
  <c r="D1639" i="2"/>
  <c r="C1639" i="2"/>
  <c r="B1639" i="2"/>
  <c r="A1639" i="2"/>
  <c r="G1638" i="2"/>
  <c r="I1638" i="2" s="1"/>
  <c r="E1638" i="2"/>
  <c r="F1638" i="2" s="1"/>
  <c r="D1638" i="2"/>
  <c r="C1638" i="2"/>
  <c r="B1638" i="2"/>
  <c r="A1638" i="2"/>
  <c r="E1637" i="2"/>
  <c r="F1637" i="2" s="1"/>
  <c r="D1637" i="2"/>
  <c r="C1637" i="2"/>
  <c r="B1637" i="2"/>
  <c r="A1637" i="2"/>
  <c r="E1636" i="2"/>
  <c r="F1636" i="2" s="1"/>
  <c r="D1636" i="2"/>
  <c r="C1636" i="2"/>
  <c r="G1636" i="2" s="1"/>
  <c r="I1636" i="2" s="1"/>
  <c r="B1636" i="2"/>
  <c r="A1636" i="2"/>
  <c r="F1635" i="2"/>
  <c r="E1635" i="2"/>
  <c r="D1635" i="2"/>
  <c r="C1635" i="2"/>
  <c r="B1635" i="2"/>
  <c r="G1635" i="2" s="1"/>
  <c r="I1635" i="2" s="1"/>
  <c r="A1635" i="2"/>
  <c r="G1634" i="2"/>
  <c r="I1634" i="2" s="1"/>
  <c r="F1634" i="2"/>
  <c r="H1634" i="2" s="1"/>
  <c r="E1634" i="2"/>
  <c r="D1634" i="2"/>
  <c r="C1634" i="2"/>
  <c r="B1634" i="2"/>
  <c r="A1634" i="2"/>
  <c r="F1633" i="2"/>
  <c r="E1633" i="2"/>
  <c r="D1633" i="2"/>
  <c r="C1633" i="2"/>
  <c r="B1633" i="2"/>
  <c r="G1633" i="2" s="1"/>
  <c r="I1633" i="2" s="1"/>
  <c r="A1633" i="2"/>
  <c r="G1632" i="2"/>
  <c r="I1632" i="2" s="1"/>
  <c r="E1632" i="2"/>
  <c r="F1632" i="2" s="1"/>
  <c r="D1632" i="2"/>
  <c r="C1632" i="2"/>
  <c r="B1632" i="2"/>
  <c r="A1632" i="2"/>
  <c r="F1631" i="2"/>
  <c r="E1631" i="2"/>
  <c r="D1631" i="2"/>
  <c r="C1631" i="2"/>
  <c r="B1631" i="2"/>
  <c r="G1631" i="2" s="1"/>
  <c r="I1631" i="2" s="1"/>
  <c r="A1631" i="2"/>
  <c r="E1630" i="2"/>
  <c r="F1630" i="2" s="1"/>
  <c r="D1630" i="2"/>
  <c r="C1630" i="2"/>
  <c r="G1630" i="2" s="1"/>
  <c r="I1630" i="2" s="1"/>
  <c r="B1630" i="2"/>
  <c r="A1630" i="2"/>
  <c r="E1629" i="2"/>
  <c r="F1629" i="2" s="1"/>
  <c r="D1629" i="2"/>
  <c r="C1629" i="2"/>
  <c r="B1629" i="2"/>
  <c r="A1629" i="2"/>
  <c r="E1628" i="2"/>
  <c r="F1628" i="2" s="1"/>
  <c r="D1628" i="2"/>
  <c r="C1628" i="2"/>
  <c r="G1628" i="2" s="1"/>
  <c r="I1628" i="2" s="1"/>
  <c r="B1628" i="2"/>
  <c r="A1628" i="2"/>
  <c r="F1627" i="2"/>
  <c r="H1627" i="2" s="1"/>
  <c r="E1627" i="2"/>
  <c r="D1627" i="2"/>
  <c r="C1627" i="2"/>
  <c r="B1627" i="2"/>
  <c r="G1627" i="2" s="1"/>
  <c r="I1627" i="2" s="1"/>
  <c r="A1627" i="2"/>
  <c r="F1626" i="2"/>
  <c r="E1626" i="2"/>
  <c r="D1626" i="2"/>
  <c r="C1626" i="2"/>
  <c r="G1626" i="2" s="1"/>
  <c r="H1626" i="2" s="1"/>
  <c r="B1626" i="2"/>
  <c r="A1626" i="2"/>
  <c r="E1625" i="2"/>
  <c r="F1625" i="2" s="1"/>
  <c r="D1625" i="2"/>
  <c r="C1625" i="2"/>
  <c r="B1625" i="2"/>
  <c r="A1625" i="2"/>
  <c r="E1624" i="2"/>
  <c r="F1624" i="2" s="1"/>
  <c r="D1624" i="2"/>
  <c r="C1624" i="2"/>
  <c r="G1624" i="2" s="1"/>
  <c r="I1624" i="2" s="1"/>
  <c r="B1624" i="2"/>
  <c r="A1624" i="2"/>
  <c r="G1623" i="2"/>
  <c r="F1623" i="2"/>
  <c r="E1623" i="2"/>
  <c r="D1623" i="2"/>
  <c r="C1623" i="2"/>
  <c r="B1623" i="2"/>
  <c r="A1623" i="2"/>
  <c r="E1622" i="2"/>
  <c r="F1622" i="2" s="1"/>
  <c r="D1622" i="2"/>
  <c r="C1622" i="2"/>
  <c r="G1622" i="2" s="1"/>
  <c r="I1622" i="2" s="1"/>
  <c r="B1622" i="2"/>
  <c r="A1622" i="2"/>
  <c r="F1621" i="2"/>
  <c r="H1621" i="2" s="1"/>
  <c r="E1621" i="2"/>
  <c r="D1621" i="2"/>
  <c r="C1621" i="2"/>
  <c r="B1621" i="2"/>
  <c r="G1621" i="2" s="1"/>
  <c r="I1621" i="2" s="1"/>
  <c r="A1621" i="2"/>
  <c r="G1620" i="2"/>
  <c r="I1620" i="2" s="1"/>
  <c r="E1620" i="2"/>
  <c r="F1620" i="2" s="1"/>
  <c r="D1620" i="2"/>
  <c r="C1620" i="2"/>
  <c r="B1620" i="2"/>
  <c r="A1620" i="2"/>
  <c r="F1619" i="2"/>
  <c r="H1619" i="2" s="1"/>
  <c r="E1619" i="2"/>
  <c r="D1619" i="2"/>
  <c r="C1619" i="2"/>
  <c r="B1619" i="2"/>
  <c r="G1619" i="2" s="1"/>
  <c r="I1619" i="2" s="1"/>
  <c r="A1619" i="2"/>
  <c r="E1618" i="2"/>
  <c r="F1618" i="2" s="1"/>
  <c r="D1618" i="2"/>
  <c r="C1618" i="2"/>
  <c r="G1618" i="2" s="1"/>
  <c r="I1618" i="2" s="1"/>
  <c r="B1618" i="2"/>
  <c r="A1618" i="2"/>
  <c r="F1617" i="2"/>
  <c r="E1617" i="2"/>
  <c r="D1617" i="2"/>
  <c r="C1617" i="2"/>
  <c r="B1617" i="2"/>
  <c r="A1617" i="2"/>
  <c r="F1616" i="2"/>
  <c r="E1616" i="2"/>
  <c r="D1616" i="2"/>
  <c r="C1616" i="2"/>
  <c r="B1616" i="2"/>
  <c r="A1616" i="2"/>
  <c r="H1615" i="2"/>
  <c r="F1615" i="2"/>
  <c r="E1615" i="2"/>
  <c r="D1615" i="2"/>
  <c r="C1615" i="2"/>
  <c r="B1615" i="2"/>
  <c r="G1615" i="2" s="1"/>
  <c r="I1615" i="2" s="1"/>
  <c r="A1615" i="2"/>
  <c r="G1614" i="2"/>
  <c r="I1614" i="2" s="1"/>
  <c r="F1614" i="2"/>
  <c r="E1614" i="2"/>
  <c r="D1614" i="2"/>
  <c r="C1614" i="2"/>
  <c r="B1614" i="2"/>
  <c r="A1614" i="2"/>
  <c r="E1613" i="2"/>
  <c r="F1613" i="2" s="1"/>
  <c r="D1613" i="2"/>
  <c r="C1613" i="2"/>
  <c r="B1613" i="2"/>
  <c r="G1613" i="2" s="1"/>
  <c r="A1613" i="2"/>
  <c r="F1612" i="2"/>
  <c r="E1612" i="2"/>
  <c r="D1612" i="2"/>
  <c r="C1612" i="2"/>
  <c r="G1612" i="2" s="1"/>
  <c r="I1612" i="2" s="1"/>
  <c r="B1612" i="2"/>
  <c r="A1612" i="2"/>
  <c r="F1611" i="2"/>
  <c r="E1611" i="2"/>
  <c r="D1611" i="2"/>
  <c r="C1611" i="2"/>
  <c r="G1611" i="2" s="1"/>
  <c r="I1611" i="2" s="1"/>
  <c r="B1611" i="2"/>
  <c r="A1611" i="2"/>
  <c r="F1610" i="2"/>
  <c r="E1610" i="2"/>
  <c r="D1610" i="2"/>
  <c r="C1610" i="2"/>
  <c r="G1610" i="2" s="1"/>
  <c r="I1610" i="2" s="1"/>
  <c r="B1610" i="2"/>
  <c r="A1610" i="2"/>
  <c r="F1609" i="2"/>
  <c r="E1609" i="2"/>
  <c r="D1609" i="2"/>
  <c r="C1609" i="2"/>
  <c r="B1609" i="2"/>
  <c r="G1609" i="2" s="1"/>
  <c r="I1609" i="2" s="1"/>
  <c r="A1609" i="2"/>
  <c r="G1608" i="2"/>
  <c r="I1608" i="2" s="1"/>
  <c r="E1608" i="2"/>
  <c r="F1608" i="2" s="1"/>
  <c r="D1608" i="2"/>
  <c r="C1608" i="2"/>
  <c r="B1608" i="2"/>
  <c r="A1608" i="2"/>
  <c r="F1607" i="2"/>
  <c r="E1607" i="2"/>
  <c r="D1607" i="2"/>
  <c r="C1607" i="2"/>
  <c r="B1607" i="2"/>
  <c r="G1607" i="2" s="1"/>
  <c r="I1607" i="2" s="1"/>
  <c r="A1607" i="2"/>
  <c r="I1606" i="2"/>
  <c r="G1606" i="2"/>
  <c r="E1606" i="2"/>
  <c r="F1606" i="2" s="1"/>
  <c r="D1606" i="2"/>
  <c r="C1606" i="2"/>
  <c r="B1606" i="2"/>
  <c r="A1606" i="2"/>
  <c r="E1605" i="2"/>
  <c r="F1605" i="2" s="1"/>
  <c r="D1605" i="2"/>
  <c r="C1605" i="2"/>
  <c r="B1605" i="2"/>
  <c r="A1605" i="2"/>
  <c r="F1604" i="2"/>
  <c r="H1604" i="2" s="1"/>
  <c r="E1604" i="2"/>
  <c r="D1604" i="2"/>
  <c r="C1604" i="2"/>
  <c r="B1604" i="2"/>
  <c r="G1604" i="2" s="1"/>
  <c r="I1604" i="2" s="1"/>
  <c r="A1604" i="2"/>
  <c r="F1603" i="2"/>
  <c r="E1603" i="2"/>
  <c r="D1603" i="2"/>
  <c r="C1603" i="2"/>
  <c r="B1603" i="2"/>
  <c r="G1603" i="2" s="1"/>
  <c r="H1603" i="2" s="1"/>
  <c r="A1603" i="2"/>
  <c r="G1602" i="2"/>
  <c r="I1602" i="2" s="1"/>
  <c r="E1602" i="2"/>
  <c r="F1602" i="2" s="1"/>
  <c r="D1602" i="2"/>
  <c r="C1602" i="2"/>
  <c r="B1602" i="2"/>
  <c r="A1602" i="2"/>
  <c r="E1601" i="2"/>
  <c r="F1601" i="2" s="1"/>
  <c r="D1601" i="2"/>
  <c r="C1601" i="2"/>
  <c r="B1601" i="2"/>
  <c r="G1601" i="2" s="1"/>
  <c r="I1601" i="2" s="1"/>
  <c r="A1601" i="2"/>
  <c r="G1600" i="2"/>
  <c r="I1600" i="2" s="1"/>
  <c r="E1600" i="2"/>
  <c r="F1600" i="2" s="1"/>
  <c r="D1600" i="2"/>
  <c r="C1600" i="2"/>
  <c r="B1600" i="2"/>
  <c r="A1600" i="2"/>
  <c r="F1599" i="2"/>
  <c r="E1599" i="2"/>
  <c r="D1599" i="2"/>
  <c r="C1599" i="2"/>
  <c r="B1599" i="2"/>
  <c r="G1599" i="2" s="1"/>
  <c r="I1599" i="2" s="1"/>
  <c r="A1599" i="2"/>
  <c r="H1598" i="2"/>
  <c r="F1598" i="2"/>
  <c r="E1598" i="2"/>
  <c r="D1598" i="2"/>
  <c r="C1598" i="2"/>
  <c r="G1598" i="2" s="1"/>
  <c r="I1598" i="2" s="1"/>
  <c r="B1598" i="2"/>
  <c r="A1598" i="2"/>
  <c r="E1597" i="2"/>
  <c r="F1597" i="2" s="1"/>
  <c r="D1597" i="2"/>
  <c r="C1597" i="2"/>
  <c r="B1597" i="2"/>
  <c r="G1597" i="2" s="1"/>
  <c r="I1597" i="2" s="1"/>
  <c r="A1597" i="2"/>
  <c r="F1596" i="2"/>
  <c r="E1596" i="2"/>
  <c r="D1596" i="2"/>
  <c r="C1596" i="2"/>
  <c r="G1596" i="2" s="1"/>
  <c r="I1596" i="2" s="1"/>
  <c r="B1596" i="2"/>
  <c r="A1596" i="2"/>
  <c r="F1595" i="2"/>
  <c r="E1595" i="2"/>
  <c r="D1595" i="2"/>
  <c r="C1595" i="2"/>
  <c r="B1595" i="2"/>
  <c r="A1595" i="2"/>
  <c r="F1594" i="2"/>
  <c r="E1594" i="2"/>
  <c r="D1594" i="2"/>
  <c r="C1594" i="2"/>
  <c r="G1594" i="2" s="1"/>
  <c r="I1594" i="2" s="1"/>
  <c r="B1594" i="2"/>
  <c r="A1594" i="2"/>
  <c r="E1593" i="2"/>
  <c r="F1593" i="2" s="1"/>
  <c r="D1593" i="2"/>
  <c r="C1593" i="2"/>
  <c r="B1593" i="2"/>
  <c r="G1593" i="2" s="1"/>
  <c r="I1593" i="2" s="1"/>
  <c r="A1593" i="2"/>
  <c r="E1592" i="2"/>
  <c r="F1592" i="2" s="1"/>
  <c r="D1592" i="2"/>
  <c r="C1592" i="2"/>
  <c r="G1592" i="2" s="1"/>
  <c r="I1592" i="2" s="1"/>
  <c r="B1592" i="2"/>
  <c r="A1592" i="2"/>
  <c r="E1591" i="2"/>
  <c r="F1591" i="2" s="1"/>
  <c r="D1591" i="2"/>
  <c r="C1591" i="2"/>
  <c r="B1591" i="2"/>
  <c r="G1591" i="2" s="1"/>
  <c r="I1591" i="2" s="1"/>
  <c r="A1591" i="2"/>
  <c r="G1590" i="2"/>
  <c r="I1590" i="2" s="1"/>
  <c r="E1590" i="2"/>
  <c r="F1590" i="2" s="1"/>
  <c r="D1590" i="2"/>
  <c r="C1590" i="2"/>
  <c r="B1590" i="2"/>
  <c r="A1590" i="2"/>
  <c r="F1589" i="2"/>
  <c r="E1589" i="2"/>
  <c r="D1589" i="2"/>
  <c r="C1589" i="2"/>
  <c r="B1589" i="2"/>
  <c r="A1589" i="2"/>
  <c r="E1588" i="2"/>
  <c r="F1588" i="2" s="1"/>
  <c r="D1588" i="2"/>
  <c r="C1588" i="2"/>
  <c r="B1588" i="2"/>
  <c r="A1588" i="2"/>
  <c r="F1587" i="2"/>
  <c r="E1587" i="2"/>
  <c r="D1587" i="2"/>
  <c r="C1587" i="2"/>
  <c r="B1587" i="2"/>
  <c r="G1587" i="2" s="1"/>
  <c r="I1587" i="2" s="1"/>
  <c r="A1587" i="2"/>
  <c r="F1586" i="2"/>
  <c r="E1586" i="2"/>
  <c r="D1586" i="2"/>
  <c r="C1586" i="2"/>
  <c r="B1586" i="2"/>
  <c r="A1586" i="2"/>
  <c r="E1585" i="2"/>
  <c r="F1585" i="2" s="1"/>
  <c r="D1585" i="2"/>
  <c r="C1585" i="2"/>
  <c r="B1585" i="2"/>
  <c r="G1585" i="2" s="1"/>
  <c r="I1585" i="2" s="1"/>
  <c r="A1585" i="2"/>
  <c r="F1584" i="2"/>
  <c r="E1584" i="2"/>
  <c r="D1584" i="2"/>
  <c r="C1584" i="2"/>
  <c r="B1584" i="2"/>
  <c r="G1584" i="2" s="1"/>
  <c r="I1584" i="2" s="1"/>
  <c r="A1584" i="2"/>
  <c r="E1583" i="2"/>
  <c r="F1583" i="2" s="1"/>
  <c r="D1583" i="2"/>
  <c r="C1583" i="2"/>
  <c r="G1583" i="2" s="1"/>
  <c r="I1583" i="2" s="1"/>
  <c r="B1583" i="2"/>
  <c r="A1583" i="2"/>
  <c r="G1582" i="2"/>
  <c r="I1582" i="2" s="1"/>
  <c r="E1582" i="2"/>
  <c r="F1582" i="2" s="1"/>
  <c r="D1582" i="2"/>
  <c r="C1582" i="2"/>
  <c r="B1582" i="2"/>
  <c r="A1582" i="2"/>
  <c r="E1581" i="2"/>
  <c r="F1581" i="2" s="1"/>
  <c r="D1581" i="2"/>
  <c r="C1581" i="2"/>
  <c r="B1581" i="2"/>
  <c r="A1581" i="2"/>
  <c r="E1580" i="2"/>
  <c r="F1580" i="2" s="1"/>
  <c r="D1580" i="2"/>
  <c r="C1580" i="2"/>
  <c r="B1580" i="2"/>
  <c r="G1580" i="2" s="1"/>
  <c r="I1580" i="2" s="1"/>
  <c r="A1580" i="2"/>
  <c r="G1579" i="2"/>
  <c r="I1579" i="2" s="1"/>
  <c r="E1579" i="2"/>
  <c r="F1579" i="2" s="1"/>
  <c r="D1579" i="2"/>
  <c r="C1579" i="2"/>
  <c r="B1579" i="2"/>
  <c r="A1579" i="2"/>
  <c r="G1578" i="2"/>
  <c r="I1578" i="2" s="1"/>
  <c r="F1578" i="2"/>
  <c r="E1578" i="2"/>
  <c r="D1578" i="2"/>
  <c r="C1578" i="2"/>
  <c r="B1578" i="2"/>
  <c r="A1578" i="2"/>
  <c r="E1577" i="2"/>
  <c r="F1577" i="2" s="1"/>
  <c r="H1577" i="2" s="1"/>
  <c r="D1577" i="2"/>
  <c r="C1577" i="2"/>
  <c r="B1577" i="2"/>
  <c r="G1577" i="2" s="1"/>
  <c r="I1577" i="2" s="1"/>
  <c r="A1577" i="2"/>
  <c r="F1576" i="2"/>
  <c r="E1576" i="2"/>
  <c r="D1576" i="2"/>
  <c r="C1576" i="2"/>
  <c r="B1576" i="2"/>
  <c r="G1576" i="2" s="1"/>
  <c r="I1576" i="2" s="1"/>
  <c r="A1576" i="2"/>
  <c r="F1575" i="2"/>
  <c r="E1575" i="2"/>
  <c r="D1575" i="2"/>
  <c r="C1575" i="2"/>
  <c r="B1575" i="2"/>
  <c r="A1575" i="2"/>
  <c r="E1574" i="2"/>
  <c r="F1574" i="2" s="1"/>
  <c r="D1574" i="2"/>
  <c r="C1574" i="2"/>
  <c r="G1574" i="2" s="1"/>
  <c r="I1574" i="2" s="1"/>
  <c r="B1574" i="2"/>
  <c r="A1574" i="2"/>
  <c r="I1573" i="2"/>
  <c r="F1573" i="2"/>
  <c r="E1573" i="2"/>
  <c r="D1573" i="2"/>
  <c r="C1573" i="2"/>
  <c r="B1573" i="2"/>
  <c r="G1573" i="2" s="1"/>
  <c r="A1573" i="2"/>
  <c r="E1572" i="2"/>
  <c r="F1572" i="2" s="1"/>
  <c r="D1572" i="2"/>
  <c r="C1572" i="2"/>
  <c r="B1572" i="2"/>
  <c r="G1572" i="2" s="1"/>
  <c r="I1572" i="2" s="1"/>
  <c r="A1572" i="2"/>
  <c r="E1571" i="2"/>
  <c r="F1571" i="2" s="1"/>
  <c r="D1571" i="2"/>
  <c r="C1571" i="2"/>
  <c r="B1571" i="2"/>
  <c r="G1571" i="2" s="1"/>
  <c r="I1571" i="2" s="1"/>
  <c r="A1571" i="2"/>
  <c r="I1570" i="2"/>
  <c r="E1570" i="2"/>
  <c r="F1570" i="2" s="1"/>
  <c r="D1570" i="2"/>
  <c r="C1570" i="2"/>
  <c r="B1570" i="2"/>
  <c r="G1570" i="2" s="1"/>
  <c r="A1570" i="2"/>
  <c r="E1569" i="2"/>
  <c r="F1569" i="2" s="1"/>
  <c r="D1569" i="2"/>
  <c r="C1569" i="2"/>
  <c r="B1569" i="2"/>
  <c r="G1569" i="2" s="1"/>
  <c r="I1569" i="2" s="1"/>
  <c r="A1569" i="2"/>
  <c r="G1568" i="2"/>
  <c r="I1568" i="2" s="1"/>
  <c r="F1568" i="2"/>
  <c r="H1568" i="2" s="1"/>
  <c r="E1568" i="2"/>
  <c r="D1568" i="2"/>
  <c r="C1568" i="2"/>
  <c r="B1568" i="2"/>
  <c r="A1568" i="2"/>
  <c r="G1567" i="2"/>
  <c r="I1567" i="2" s="1"/>
  <c r="F1567" i="2"/>
  <c r="H1567" i="2" s="1"/>
  <c r="E1567" i="2"/>
  <c r="D1567" i="2"/>
  <c r="C1567" i="2"/>
  <c r="B1567" i="2"/>
  <c r="A1567" i="2"/>
  <c r="E1566" i="2"/>
  <c r="F1566" i="2" s="1"/>
  <c r="D1566" i="2"/>
  <c r="C1566" i="2"/>
  <c r="B1566" i="2"/>
  <c r="A1566" i="2"/>
  <c r="F1565" i="2"/>
  <c r="H1565" i="2" s="1"/>
  <c r="E1565" i="2"/>
  <c r="D1565" i="2"/>
  <c r="C1565" i="2"/>
  <c r="B1565" i="2"/>
  <c r="G1565" i="2" s="1"/>
  <c r="I1565" i="2" s="1"/>
  <c r="A1565" i="2"/>
  <c r="F1564" i="2"/>
  <c r="E1564" i="2"/>
  <c r="D1564" i="2"/>
  <c r="C1564" i="2"/>
  <c r="B1564" i="2"/>
  <c r="A1564" i="2"/>
  <c r="E1563" i="2"/>
  <c r="F1563" i="2" s="1"/>
  <c r="D1563" i="2"/>
  <c r="C1563" i="2"/>
  <c r="G1563" i="2" s="1"/>
  <c r="I1563" i="2" s="1"/>
  <c r="B1563" i="2"/>
  <c r="A1563" i="2"/>
  <c r="E1562" i="2"/>
  <c r="F1562" i="2" s="1"/>
  <c r="D1562" i="2"/>
  <c r="C1562" i="2"/>
  <c r="G1562" i="2" s="1"/>
  <c r="I1562" i="2" s="1"/>
  <c r="B1562" i="2"/>
  <c r="A1562" i="2"/>
  <c r="E1561" i="2"/>
  <c r="F1561" i="2" s="1"/>
  <c r="D1561" i="2"/>
  <c r="C1561" i="2"/>
  <c r="B1561" i="2"/>
  <c r="A1561" i="2"/>
  <c r="E1560" i="2"/>
  <c r="F1560" i="2" s="1"/>
  <c r="D1560" i="2"/>
  <c r="C1560" i="2"/>
  <c r="B1560" i="2"/>
  <c r="G1560" i="2" s="1"/>
  <c r="I1560" i="2" s="1"/>
  <c r="A1560" i="2"/>
  <c r="E1559" i="2"/>
  <c r="F1559" i="2" s="1"/>
  <c r="D1559" i="2"/>
  <c r="C1559" i="2"/>
  <c r="B1559" i="2"/>
  <c r="G1559" i="2" s="1"/>
  <c r="I1559" i="2" s="1"/>
  <c r="A1559" i="2"/>
  <c r="F1558" i="2"/>
  <c r="E1558" i="2"/>
  <c r="D1558" i="2"/>
  <c r="C1558" i="2"/>
  <c r="B1558" i="2"/>
  <c r="G1558" i="2" s="1"/>
  <c r="A1558" i="2"/>
  <c r="E1557" i="2"/>
  <c r="F1557" i="2" s="1"/>
  <c r="H1557" i="2" s="1"/>
  <c r="D1557" i="2"/>
  <c r="C1557" i="2"/>
  <c r="B1557" i="2"/>
  <c r="G1557" i="2" s="1"/>
  <c r="I1557" i="2" s="1"/>
  <c r="A1557" i="2"/>
  <c r="G1556" i="2"/>
  <c r="I1556" i="2" s="1"/>
  <c r="F1556" i="2"/>
  <c r="H1556" i="2" s="1"/>
  <c r="E1556" i="2"/>
  <c r="D1556" i="2"/>
  <c r="C1556" i="2"/>
  <c r="B1556" i="2"/>
  <c r="A1556" i="2"/>
  <c r="E1555" i="2"/>
  <c r="F1555" i="2" s="1"/>
  <c r="D1555" i="2"/>
  <c r="C1555" i="2"/>
  <c r="B1555" i="2"/>
  <c r="A1555" i="2"/>
  <c r="G1554" i="2"/>
  <c r="I1554" i="2" s="1"/>
  <c r="E1554" i="2"/>
  <c r="F1554" i="2" s="1"/>
  <c r="D1554" i="2"/>
  <c r="C1554" i="2"/>
  <c r="B1554" i="2"/>
  <c r="A1554" i="2"/>
  <c r="F1553" i="2"/>
  <c r="E1553" i="2"/>
  <c r="D1553" i="2"/>
  <c r="C1553" i="2"/>
  <c r="B1553" i="2"/>
  <c r="A1553" i="2"/>
  <c r="F1552" i="2"/>
  <c r="E1552" i="2"/>
  <c r="D1552" i="2"/>
  <c r="C1552" i="2"/>
  <c r="G1552" i="2" s="1"/>
  <c r="I1552" i="2" s="1"/>
  <c r="B1552" i="2"/>
  <c r="A1552" i="2"/>
  <c r="I1551" i="2"/>
  <c r="G1551" i="2"/>
  <c r="E1551" i="2"/>
  <c r="F1551" i="2" s="1"/>
  <c r="D1551" i="2"/>
  <c r="C1551" i="2"/>
  <c r="B1551" i="2"/>
  <c r="A1551" i="2"/>
  <c r="F1550" i="2"/>
  <c r="E1550" i="2"/>
  <c r="D1550" i="2"/>
  <c r="C1550" i="2"/>
  <c r="B1550" i="2"/>
  <c r="G1550" i="2" s="1"/>
  <c r="I1550" i="2" s="1"/>
  <c r="A1550" i="2"/>
  <c r="E1549" i="2"/>
  <c r="F1549" i="2" s="1"/>
  <c r="H1549" i="2" s="1"/>
  <c r="D1549" i="2"/>
  <c r="C1549" i="2"/>
  <c r="B1549" i="2"/>
  <c r="G1549" i="2" s="1"/>
  <c r="I1549" i="2" s="1"/>
  <c r="A1549" i="2"/>
  <c r="I1548" i="2"/>
  <c r="E1548" i="2"/>
  <c r="F1548" i="2" s="1"/>
  <c r="H1548" i="2" s="1"/>
  <c r="D1548" i="2"/>
  <c r="C1548" i="2"/>
  <c r="B1548" i="2"/>
  <c r="G1548" i="2" s="1"/>
  <c r="A1548" i="2"/>
  <c r="F1547" i="2"/>
  <c r="E1547" i="2"/>
  <c r="D1547" i="2"/>
  <c r="C1547" i="2"/>
  <c r="B1547" i="2"/>
  <c r="G1547" i="2" s="1"/>
  <c r="I1547" i="2" s="1"/>
  <c r="A1547" i="2"/>
  <c r="E1546" i="2"/>
  <c r="F1546" i="2" s="1"/>
  <c r="D1546" i="2"/>
  <c r="C1546" i="2"/>
  <c r="B1546" i="2"/>
  <c r="A1546" i="2"/>
  <c r="F1545" i="2"/>
  <c r="E1545" i="2"/>
  <c r="D1545" i="2"/>
  <c r="C1545" i="2"/>
  <c r="B1545" i="2"/>
  <c r="G1545" i="2" s="1"/>
  <c r="I1545" i="2" s="1"/>
  <c r="A1545" i="2"/>
  <c r="E1544" i="2"/>
  <c r="F1544" i="2" s="1"/>
  <c r="D1544" i="2"/>
  <c r="C1544" i="2"/>
  <c r="B1544" i="2"/>
  <c r="A1544" i="2"/>
  <c r="E1543" i="2"/>
  <c r="F1543" i="2" s="1"/>
  <c r="D1543" i="2"/>
  <c r="C1543" i="2"/>
  <c r="B1543" i="2"/>
  <c r="G1543" i="2" s="1"/>
  <c r="I1543" i="2" s="1"/>
  <c r="A1543" i="2"/>
  <c r="E1542" i="2"/>
  <c r="F1542" i="2" s="1"/>
  <c r="D1542" i="2"/>
  <c r="C1542" i="2"/>
  <c r="B1542" i="2"/>
  <c r="G1542" i="2" s="1"/>
  <c r="I1542" i="2" s="1"/>
  <c r="A1542" i="2"/>
  <c r="F1541" i="2"/>
  <c r="E1541" i="2"/>
  <c r="D1541" i="2"/>
  <c r="C1541" i="2"/>
  <c r="B1541" i="2"/>
  <c r="A1541" i="2"/>
  <c r="G1540" i="2"/>
  <c r="I1540" i="2" s="1"/>
  <c r="E1540" i="2"/>
  <c r="F1540" i="2" s="1"/>
  <c r="D1540" i="2"/>
  <c r="C1540" i="2"/>
  <c r="B1540" i="2"/>
  <c r="A1540" i="2"/>
  <c r="I1539" i="2"/>
  <c r="F1539" i="2"/>
  <c r="H1539" i="2" s="1"/>
  <c r="E1539" i="2"/>
  <c r="D1539" i="2"/>
  <c r="C1539" i="2"/>
  <c r="B1539" i="2"/>
  <c r="G1539" i="2" s="1"/>
  <c r="A1539" i="2"/>
  <c r="H1538" i="2"/>
  <c r="F1538" i="2"/>
  <c r="E1538" i="2"/>
  <c r="D1538" i="2"/>
  <c r="C1538" i="2"/>
  <c r="B1538" i="2"/>
  <c r="G1538" i="2" s="1"/>
  <c r="I1538" i="2" s="1"/>
  <c r="A1538" i="2"/>
  <c r="F1537" i="2"/>
  <c r="E1537" i="2"/>
  <c r="D1537" i="2"/>
  <c r="C1537" i="2"/>
  <c r="B1537" i="2"/>
  <c r="G1537" i="2" s="1"/>
  <c r="I1537" i="2" s="1"/>
  <c r="A1537" i="2"/>
  <c r="F1536" i="2"/>
  <c r="E1536" i="2"/>
  <c r="D1536" i="2"/>
  <c r="C1536" i="2"/>
  <c r="B1536" i="2"/>
  <c r="A1536" i="2"/>
  <c r="E1535" i="2"/>
  <c r="F1535" i="2" s="1"/>
  <c r="H1535" i="2" s="1"/>
  <c r="D1535" i="2"/>
  <c r="C1535" i="2"/>
  <c r="B1535" i="2"/>
  <c r="G1535" i="2" s="1"/>
  <c r="I1535" i="2" s="1"/>
  <c r="A1535" i="2"/>
  <c r="G1534" i="2"/>
  <c r="I1534" i="2" s="1"/>
  <c r="E1534" i="2"/>
  <c r="F1534" i="2" s="1"/>
  <c r="D1534" i="2"/>
  <c r="C1534" i="2"/>
  <c r="B1534" i="2"/>
  <c r="A1534" i="2"/>
  <c r="E1533" i="2"/>
  <c r="F1533" i="2" s="1"/>
  <c r="D1533" i="2"/>
  <c r="C1533" i="2"/>
  <c r="B1533" i="2"/>
  <c r="A1533" i="2"/>
  <c r="G1532" i="2"/>
  <c r="I1532" i="2" s="1"/>
  <c r="E1532" i="2"/>
  <c r="F1532" i="2" s="1"/>
  <c r="H1532" i="2" s="1"/>
  <c r="D1532" i="2"/>
  <c r="C1532" i="2"/>
  <c r="B1532" i="2"/>
  <c r="A1532" i="2"/>
  <c r="I1531" i="2"/>
  <c r="E1531" i="2"/>
  <c r="F1531" i="2" s="1"/>
  <c r="D1531" i="2"/>
  <c r="C1531" i="2"/>
  <c r="B1531" i="2"/>
  <c r="G1531" i="2" s="1"/>
  <c r="A1531" i="2"/>
  <c r="G1530" i="2"/>
  <c r="I1530" i="2" s="1"/>
  <c r="F1530" i="2"/>
  <c r="H1530" i="2" s="1"/>
  <c r="E1530" i="2"/>
  <c r="D1530" i="2"/>
  <c r="C1530" i="2"/>
  <c r="B1530" i="2"/>
  <c r="A1530" i="2"/>
  <c r="E1529" i="2"/>
  <c r="F1529" i="2" s="1"/>
  <c r="D1529" i="2"/>
  <c r="C1529" i="2"/>
  <c r="B1529" i="2"/>
  <c r="G1529" i="2" s="1"/>
  <c r="I1529" i="2" s="1"/>
  <c r="A1529" i="2"/>
  <c r="F1528" i="2"/>
  <c r="E1528" i="2"/>
  <c r="D1528" i="2"/>
  <c r="C1528" i="2"/>
  <c r="B1528" i="2"/>
  <c r="G1528" i="2" s="1"/>
  <c r="I1528" i="2" s="1"/>
  <c r="A1528" i="2"/>
  <c r="F1527" i="2"/>
  <c r="E1527" i="2"/>
  <c r="D1527" i="2"/>
  <c r="C1527" i="2"/>
  <c r="B1527" i="2"/>
  <c r="A1527" i="2"/>
  <c r="G1526" i="2"/>
  <c r="I1526" i="2" s="1"/>
  <c r="E1526" i="2"/>
  <c r="F1526" i="2" s="1"/>
  <c r="D1526" i="2"/>
  <c r="C1526" i="2"/>
  <c r="B1526" i="2"/>
  <c r="A1526" i="2"/>
  <c r="F1525" i="2"/>
  <c r="E1525" i="2"/>
  <c r="D1525" i="2"/>
  <c r="C1525" i="2"/>
  <c r="B1525" i="2"/>
  <c r="G1525" i="2" s="1"/>
  <c r="I1525" i="2" s="1"/>
  <c r="A1525" i="2"/>
  <c r="E1524" i="2"/>
  <c r="F1524" i="2" s="1"/>
  <c r="D1524" i="2"/>
  <c r="C1524" i="2"/>
  <c r="B1524" i="2"/>
  <c r="A1524" i="2"/>
  <c r="E1523" i="2"/>
  <c r="F1523" i="2" s="1"/>
  <c r="D1523" i="2"/>
  <c r="C1523" i="2"/>
  <c r="B1523" i="2"/>
  <c r="G1523" i="2" s="1"/>
  <c r="A1523" i="2"/>
  <c r="F1522" i="2"/>
  <c r="E1522" i="2"/>
  <c r="D1522" i="2"/>
  <c r="C1522" i="2"/>
  <c r="B1522" i="2"/>
  <c r="G1522" i="2" s="1"/>
  <c r="I1522" i="2" s="1"/>
  <c r="A1522" i="2"/>
  <c r="F1521" i="2"/>
  <c r="E1521" i="2"/>
  <c r="D1521" i="2"/>
  <c r="C1521" i="2"/>
  <c r="B1521" i="2"/>
  <c r="G1521" i="2" s="1"/>
  <c r="I1521" i="2" s="1"/>
  <c r="A1521" i="2"/>
  <c r="E1520" i="2"/>
  <c r="F1520" i="2" s="1"/>
  <c r="D1520" i="2"/>
  <c r="C1520" i="2"/>
  <c r="B1520" i="2"/>
  <c r="A1520" i="2"/>
  <c r="G1519" i="2"/>
  <c r="I1519" i="2" s="1"/>
  <c r="E1519" i="2"/>
  <c r="F1519" i="2" s="1"/>
  <c r="D1519" i="2"/>
  <c r="C1519" i="2"/>
  <c r="B1519" i="2"/>
  <c r="A1519" i="2"/>
  <c r="F1518" i="2"/>
  <c r="E1518" i="2"/>
  <c r="D1518" i="2"/>
  <c r="C1518" i="2"/>
  <c r="B1518" i="2"/>
  <c r="G1518" i="2" s="1"/>
  <c r="I1518" i="2" s="1"/>
  <c r="A1518" i="2"/>
  <c r="F1517" i="2"/>
  <c r="E1517" i="2"/>
  <c r="D1517" i="2"/>
  <c r="C1517" i="2"/>
  <c r="B1517" i="2"/>
  <c r="A1517" i="2"/>
  <c r="E1516" i="2"/>
  <c r="F1516" i="2" s="1"/>
  <c r="D1516" i="2"/>
  <c r="C1516" i="2"/>
  <c r="B1516" i="2"/>
  <c r="G1516" i="2" s="1"/>
  <c r="I1516" i="2" s="1"/>
  <c r="A1516" i="2"/>
  <c r="G1515" i="2"/>
  <c r="I1515" i="2" s="1"/>
  <c r="E1515" i="2"/>
  <c r="F1515" i="2" s="1"/>
  <c r="D1515" i="2"/>
  <c r="C1515" i="2"/>
  <c r="B1515" i="2"/>
  <c r="A1515" i="2"/>
  <c r="E1514" i="2"/>
  <c r="F1514" i="2" s="1"/>
  <c r="D1514" i="2"/>
  <c r="C1514" i="2"/>
  <c r="B1514" i="2"/>
  <c r="G1514" i="2" s="1"/>
  <c r="I1514" i="2" s="1"/>
  <c r="A1514" i="2"/>
  <c r="F1513" i="2"/>
  <c r="H1513" i="2" s="1"/>
  <c r="E1513" i="2"/>
  <c r="D1513" i="2"/>
  <c r="C1513" i="2"/>
  <c r="B1513" i="2"/>
  <c r="G1513" i="2" s="1"/>
  <c r="I1513" i="2" s="1"/>
  <c r="A1513" i="2"/>
  <c r="E1512" i="2"/>
  <c r="F1512" i="2" s="1"/>
  <c r="D1512" i="2"/>
  <c r="C1512" i="2"/>
  <c r="B1512" i="2"/>
  <c r="A1512" i="2"/>
  <c r="E1511" i="2"/>
  <c r="F1511" i="2" s="1"/>
  <c r="D1511" i="2"/>
  <c r="C1511" i="2"/>
  <c r="B1511" i="2"/>
  <c r="G1511" i="2" s="1"/>
  <c r="A1511" i="2"/>
  <c r="F1510" i="2"/>
  <c r="E1510" i="2"/>
  <c r="D1510" i="2"/>
  <c r="C1510" i="2"/>
  <c r="B1510" i="2"/>
  <c r="G1510" i="2" s="1"/>
  <c r="I1510" i="2" s="1"/>
  <c r="A1510" i="2"/>
  <c r="F1509" i="2"/>
  <c r="H1509" i="2" s="1"/>
  <c r="E1509" i="2"/>
  <c r="D1509" i="2"/>
  <c r="C1509" i="2"/>
  <c r="B1509" i="2"/>
  <c r="G1509" i="2" s="1"/>
  <c r="I1509" i="2" s="1"/>
  <c r="A1509" i="2"/>
  <c r="E1508" i="2"/>
  <c r="F1508" i="2" s="1"/>
  <c r="D1508" i="2"/>
  <c r="C1508" i="2"/>
  <c r="B1508" i="2"/>
  <c r="A1508" i="2"/>
  <c r="E1507" i="2"/>
  <c r="F1507" i="2" s="1"/>
  <c r="D1507" i="2"/>
  <c r="C1507" i="2"/>
  <c r="B1507" i="2"/>
  <c r="G1507" i="2" s="1"/>
  <c r="I1507" i="2" s="1"/>
  <c r="A1507" i="2"/>
  <c r="F1506" i="2"/>
  <c r="E1506" i="2"/>
  <c r="D1506" i="2"/>
  <c r="C1506" i="2"/>
  <c r="B1506" i="2"/>
  <c r="G1506" i="2" s="1"/>
  <c r="I1506" i="2" s="1"/>
  <c r="A1506" i="2"/>
  <c r="H1505" i="2"/>
  <c r="G1505" i="2"/>
  <c r="I1505" i="2" s="1"/>
  <c r="F1505" i="2"/>
  <c r="E1505" i="2"/>
  <c r="D1505" i="2"/>
  <c r="C1505" i="2"/>
  <c r="B1505" i="2"/>
  <c r="A1505" i="2"/>
  <c r="G1504" i="2"/>
  <c r="I1504" i="2" s="1"/>
  <c r="E1504" i="2"/>
  <c r="F1504" i="2" s="1"/>
  <c r="D1504" i="2"/>
  <c r="C1504" i="2"/>
  <c r="B1504" i="2"/>
  <c r="A1504" i="2"/>
  <c r="G1503" i="2"/>
  <c r="I1503" i="2" s="1"/>
  <c r="E1503" i="2"/>
  <c r="F1503" i="2" s="1"/>
  <c r="D1503" i="2"/>
  <c r="C1503" i="2"/>
  <c r="B1503" i="2"/>
  <c r="A1503" i="2"/>
  <c r="F1502" i="2"/>
  <c r="E1502" i="2"/>
  <c r="D1502" i="2"/>
  <c r="C1502" i="2"/>
  <c r="B1502" i="2"/>
  <c r="G1502" i="2" s="1"/>
  <c r="I1502" i="2" s="1"/>
  <c r="A1502" i="2"/>
  <c r="F1501" i="2"/>
  <c r="E1501" i="2"/>
  <c r="D1501" i="2"/>
  <c r="C1501" i="2"/>
  <c r="G1501" i="2" s="1"/>
  <c r="I1501" i="2" s="1"/>
  <c r="B1501" i="2"/>
  <c r="A1501" i="2"/>
  <c r="G1500" i="2"/>
  <c r="I1500" i="2" s="1"/>
  <c r="E1500" i="2"/>
  <c r="F1500" i="2" s="1"/>
  <c r="D1500" i="2"/>
  <c r="C1500" i="2"/>
  <c r="B1500" i="2"/>
  <c r="A1500" i="2"/>
  <c r="E1499" i="2"/>
  <c r="F1499" i="2" s="1"/>
  <c r="D1499" i="2"/>
  <c r="C1499" i="2"/>
  <c r="B1499" i="2"/>
  <c r="G1499" i="2" s="1"/>
  <c r="I1499" i="2" s="1"/>
  <c r="A1499" i="2"/>
  <c r="F1498" i="2"/>
  <c r="E1498" i="2"/>
  <c r="D1498" i="2"/>
  <c r="C1498" i="2"/>
  <c r="B1498" i="2"/>
  <c r="G1498" i="2" s="1"/>
  <c r="I1498" i="2" s="1"/>
  <c r="A1498" i="2"/>
  <c r="F1497" i="2"/>
  <c r="H1497" i="2" s="1"/>
  <c r="E1497" i="2"/>
  <c r="D1497" i="2"/>
  <c r="C1497" i="2"/>
  <c r="G1497" i="2" s="1"/>
  <c r="I1497" i="2" s="1"/>
  <c r="B1497" i="2"/>
  <c r="A1497" i="2"/>
  <c r="E1496" i="2"/>
  <c r="F1496" i="2" s="1"/>
  <c r="D1496" i="2"/>
  <c r="C1496" i="2"/>
  <c r="G1496" i="2" s="1"/>
  <c r="I1496" i="2" s="1"/>
  <c r="B1496" i="2"/>
  <c r="A1496" i="2"/>
  <c r="G1495" i="2"/>
  <c r="I1495" i="2" s="1"/>
  <c r="E1495" i="2"/>
  <c r="F1495" i="2" s="1"/>
  <c r="H1495" i="2" s="1"/>
  <c r="D1495" i="2"/>
  <c r="C1495" i="2"/>
  <c r="B1495" i="2"/>
  <c r="A1495" i="2"/>
  <c r="F1494" i="2"/>
  <c r="E1494" i="2"/>
  <c r="D1494" i="2"/>
  <c r="C1494" i="2"/>
  <c r="B1494" i="2"/>
  <c r="G1494" i="2" s="1"/>
  <c r="I1494" i="2" s="1"/>
  <c r="A1494" i="2"/>
  <c r="G1493" i="2"/>
  <c r="F1493" i="2"/>
  <c r="E1493" i="2"/>
  <c r="D1493" i="2"/>
  <c r="C1493" i="2"/>
  <c r="B1493" i="2"/>
  <c r="A1493" i="2"/>
  <c r="G1492" i="2"/>
  <c r="I1492" i="2" s="1"/>
  <c r="E1492" i="2"/>
  <c r="F1492" i="2" s="1"/>
  <c r="D1492" i="2"/>
  <c r="C1492" i="2"/>
  <c r="B1492" i="2"/>
  <c r="A1492" i="2"/>
  <c r="G1491" i="2"/>
  <c r="I1491" i="2" s="1"/>
  <c r="E1491" i="2"/>
  <c r="F1491" i="2" s="1"/>
  <c r="D1491" i="2"/>
  <c r="C1491" i="2"/>
  <c r="B1491" i="2"/>
  <c r="A1491" i="2"/>
  <c r="I1490" i="2"/>
  <c r="G1490" i="2"/>
  <c r="F1490" i="2"/>
  <c r="E1490" i="2"/>
  <c r="D1490" i="2"/>
  <c r="C1490" i="2"/>
  <c r="B1490" i="2"/>
  <c r="A1490" i="2"/>
  <c r="F1489" i="2"/>
  <c r="E1489" i="2"/>
  <c r="D1489" i="2"/>
  <c r="C1489" i="2"/>
  <c r="G1489" i="2" s="1"/>
  <c r="I1489" i="2" s="1"/>
  <c r="B1489" i="2"/>
  <c r="A1489" i="2"/>
  <c r="G1488" i="2"/>
  <c r="I1488" i="2" s="1"/>
  <c r="E1488" i="2"/>
  <c r="F1488" i="2" s="1"/>
  <c r="D1488" i="2"/>
  <c r="C1488" i="2"/>
  <c r="B1488" i="2"/>
  <c r="A1488" i="2"/>
  <c r="E1487" i="2"/>
  <c r="F1487" i="2" s="1"/>
  <c r="D1487" i="2"/>
  <c r="C1487" i="2"/>
  <c r="B1487" i="2"/>
  <c r="G1487" i="2" s="1"/>
  <c r="I1487" i="2" s="1"/>
  <c r="A1487" i="2"/>
  <c r="F1486" i="2"/>
  <c r="E1486" i="2"/>
  <c r="D1486" i="2"/>
  <c r="C1486" i="2"/>
  <c r="B1486" i="2"/>
  <c r="G1486" i="2" s="1"/>
  <c r="I1486" i="2" s="1"/>
  <c r="A1486" i="2"/>
  <c r="G1485" i="2"/>
  <c r="I1485" i="2" s="1"/>
  <c r="F1485" i="2"/>
  <c r="E1485" i="2"/>
  <c r="D1485" i="2"/>
  <c r="C1485" i="2"/>
  <c r="B1485" i="2"/>
  <c r="A1485" i="2"/>
  <c r="E1484" i="2"/>
  <c r="F1484" i="2" s="1"/>
  <c r="D1484" i="2"/>
  <c r="C1484" i="2"/>
  <c r="G1484" i="2" s="1"/>
  <c r="I1484" i="2" s="1"/>
  <c r="B1484" i="2"/>
  <c r="A1484" i="2"/>
  <c r="G1483" i="2"/>
  <c r="I1483" i="2" s="1"/>
  <c r="F1483" i="2"/>
  <c r="E1483" i="2"/>
  <c r="D1483" i="2"/>
  <c r="C1483" i="2"/>
  <c r="B1483" i="2"/>
  <c r="A1483" i="2"/>
  <c r="F1482" i="2"/>
  <c r="E1482" i="2"/>
  <c r="D1482" i="2"/>
  <c r="C1482" i="2"/>
  <c r="B1482" i="2"/>
  <c r="G1482" i="2" s="1"/>
  <c r="I1482" i="2" s="1"/>
  <c r="A1482" i="2"/>
  <c r="G1481" i="2"/>
  <c r="F1481" i="2"/>
  <c r="E1481" i="2"/>
  <c r="D1481" i="2"/>
  <c r="C1481" i="2"/>
  <c r="B1481" i="2"/>
  <c r="A1481" i="2"/>
  <c r="G1480" i="2"/>
  <c r="I1480" i="2" s="1"/>
  <c r="E1480" i="2"/>
  <c r="F1480" i="2" s="1"/>
  <c r="D1480" i="2"/>
  <c r="C1480" i="2"/>
  <c r="B1480" i="2"/>
  <c r="A1480" i="2"/>
  <c r="F1479" i="2"/>
  <c r="E1479" i="2"/>
  <c r="D1479" i="2"/>
  <c r="C1479" i="2"/>
  <c r="B1479" i="2"/>
  <c r="G1479" i="2" s="1"/>
  <c r="I1479" i="2" s="1"/>
  <c r="A1479" i="2"/>
  <c r="I1478" i="2"/>
  <c r="F1478" i="2"/>
  <c r="H1478" i="2" s="1"/>
  <c r="E1478" i="2"/>
  <c r="D1478" i="2"/>
  <c r="C1478" i="2"/>
  <c r="B1478" i="2"/>
  <c r="G1478" i="2" s="1"/>
  <c r="A1478" i="2"/>
  <c r="F1477" i="2"/>
  <c r="E1477" i="2"/>
  <c r="D1477" i="2"/>
  <c r="C1477" i="2"/>
  <c r="G1477" i="2" s="1"/>
  <c r="B1477" i="2"/>
  <c r="A1477" i="2"/>
  <c r="G1476" i="2"/>
  <c r="I1476" i="2" s="1"/>
  <c r="E1476" i="2"/>
  <c r="F1476" i="2" s="1"/>
  <c r="D1476" i="2"/>
  <c r="C1476" i="2"/>
  <c r="B1476" i="2"/>
  <c r="A1476" i="2"/>
  <c r="G1475" i="2"/>
  <c r="I1475" i="2" s="1"/>
  <c r="E1475" i="2"/>
  <c r="F1475" i="2" s="1"/>
  <c r="H1475" i="2" s="1"/>
  <c r="D1475" i="2"/>
  <c r="C1475" i="2"/>
  <c r="B1475" i="2"/>
  <c r="A1475" i="2"/>
  <c r="F1474" i="2"/>
  <c r="E1474" i="2"/>
  <c r="D1474" i="2"/>
  <c r="C1474" i="2"/>
  <c r="B1474" i="2"/>
  <c r="G1474" i="2" s="1"/>
  <c r="I1474" i="2" s="1"/>
  <c r="A1474" i="2"/>
  <c r="G1473" i="2"/>
  <c r="F1473" i="2"/>
  <c r="E1473" i="2"/>
  <c r="D1473" i="2"/>
  <c r="C1473" i="2"/>
  <c r="B1473" i="2"/>
  <c r="A1473" i="2"/>
  <c r="E1472" i="2"/>
  <c r="F1472" i="2" s="1"/>
  <c r="H1472" i="2" s="1"/>
  <c r="D1472" i="2"/>
  <c r="C1472" i="2"/>
  <c r="G1472" i="2" s="1"/>
  <c r="I1472" i="2" s="1"/>
  <c r="B1472" i="2"/>
  <c r="A1472" i="2"/>
  <c r="E1471" i="2"/>
  <c r="F1471" i="2" s="1"/>
  <c r="D1471" i="2"/>
  <c r="C1471" i="2"/>
  <c r="B1471" i="2"/>
  <c r="G1471" i="2" s="1"/>
  <c r="I1471" i="2" s="1"/>
  <c r="A1471" i="2"/>
  <c r="I1470" i="2"/>
  <c r="F1470" i="2"/>
  <c r="H1470" i="2" s="1"/>
  <c r="E1470" i="2"/>
  <c r="D1470" i="2"/>
  <c r="C1470" i="2"/>
  <c r="B1470" i="2"/>
  <c r="G1470" i="2" s="1"/>
  <c r="A1470" i="2"/>
  <c r="F1469" i="2"/>
  <c r="E1469" i="2"/>
  <c r="D1469" i="2"/>
  <c r="C1469" i="2"/>
  <c r="G1469" i="2" s="1"/>
  <c r="B1469" i="2"/>
  <c r="A1469" i="2"/>
  <c r="G1468" i="2"/>
  <c r="I1468" i="2" s="1"/>
  <c r="E1468" i="2"/>
  <c r="F1468" i="2" s="1"/>
  <c r="D1468" i="2"/>
  <c r="C1468" i="2"/>
  <c r="B1468" i="2"/>
  <c r="A1468" i="2"/>
  <c r="E1467" i="2"/>
  <c r="F1467" i="2" s="1"/>
  <c r="D1467" i="2"/>
  <c r="C1467" i="2"/>
  <c r="B1467" i="2"/>
  <c r="G1467" i="2" s="1"/>
  <c r="I1467" i="2" s="1"/>
  <c r="A1467" i="2"/>
  <c r="I1466" i="2"/>
  <c r="F1466" i="2"/>
  <c r="H1466" i="2" s="1"/>
  <c r="E1466" i="2"/>
  <c r="D1466" i="2"/>
  <c r="C1466" i="2"/>
  <c r="B1466" i="2"/>
  <c r="G1466" i="2" s="1"/>
  <c r="A1466" i="2"/>
  <c r="F1465" i="2"/>
  <c r="E1465" i="2"/>
  <c r="D1465" i="2"/>
  <c r="C1465" i="2"/>
  <c r="G1465" i="2" s="1"/>
  <c r="B1465" i="2"/>
  <c r="A1465" i="2"/>
  <c r="G1464" i="2"/>
  <c r="I1464" i="2" s="1"/>
  <c r="E1464" i="2"/>
  <c r="F1464" i="2" s="1"/>
  <c r="D1464" i="2"/>
  <c r="C1464" i="2"/>
  <c r="B1464" i="2"/>
  <c r="A1464" i="2"/>
  <c r="G1463" i="2"/>
  <c r="I1463" i="2" s="1"/>
  <c r="E1463" i="2"/>
  <c r="F1463" i="2" s="1"/>
  <c r="D1463" i="2"/>
  <c r="C1463" i="2"/>
  <c r="B1463" i="2"/>
  <c r="A1463" i="2"/>
  <c r="F1462" i="2"/>
  <c r="E1462" i="2"/>
  <c r="D1462" i="2"/>
  <c r="C1462" i="2"/>
  <c r="B1462" i="2"/>
  <c r="G1462" i="2" s="1"/>
  <c r="I1462" i="2" s="1"/>
  <c r="A1462" i="2"/>
  <c r="H1461" i="2"/>
  <c r="G1461" i="2"/>
  <c r="I1461" i="2" s="1"/>
  <c r="F1461" i="2"/>
  <c r="E1461" i="2"/>
  <c r="D1461" i="2"/>
  <c r="C1461" i="2"/>
  <c r="B1461" i="2"/>
  <c r="A1461" i="2"/>
  <c r="E1460" i="2"/>
  <c r="F1460" i="2" s="1"/>
  <c r="D1460" i="2"/>
  <c r="C1460" i="2"/>
  <c r="G1460" i="2" s="1"/>
  <c r="I1460" i="2" s="1"/>
  <c r="B1460" i="2"/>
  <c r="A1460" i="2"/>
  <c r="E1459" i="2"/>
  <c r="F1459" i="2" s="1"/>
  <c r="H1459" i="2" s="1"/>
  <c r="D1459" i="2"/>
  <c r="C1459" i="2"/>
  <c r="B1459" i="2"/>
  <c r="G1459" i="2" s="1"/>
  <c r="I1459" i="2" s="1"/>
  <c r="A1459" i="2"/>
  <c r="I1458" i="2"/>
  <c r="F1458" i="2"/>
  <c r="E1458" i="2"/>
  <c r="D1458" i="2"/>
  <c r="C1458" i="2"/>
  <c r="B1458" i="2"/>
  <c r="G1458" i="2" s="1"/>
  <c r="A1458" i="2"/>
  <c r="F1457" i="2"/>
  <c r="E1457" i="2"/>
  <c r="D1457" i="2"/>
  <c r="C1457" i="2"/>
  <c r="G1457" i="2" s="1"/>
  <c r="I1457" i="2" s="1"/>
  <c r="B1457" i="2"/>
  <c r="A1457" i="2"/>
  <c r="G1456" i="2"/>
  <c r="I1456" i="2" s="1"/>
  <c r="E1456" i="2"/>
  <c r="F1456" i="2" s="1"/>
  <c r="D1456" i="2"/>
  <c r="C1456" i="2"/>
  <c r="B1456" i="2"/>
  <c r="A1456" i="2"/>
  <c r="E1455" i="2"/>
  <c r="F1455" i="2" s="1"/>
  <c r="D1455" i="2"/>
  <c r="C1455" i="2"/>
  <c r="B1455" i="2"/>
  <c r="G1455" i="2" s="1"/>
  <c r="I1455" i="2" s="1"/>
  <c r="A1455" i="2"/>
  <c r="I1454" i="2"/>
  <c r="F1454" i="2"/>
  <c r="H1454" i="2" s="1"/>
  <c r="E1454" i="2"/>
  <c r="D1454" i="2"/>
  <c r="C1454" i="2"/>
  <c r="B1454" i="2"/>
  <c r="G1454" i="2" s="1"/>
  <c r="A1454" i="2"/>
  <c r="G1453" i="2"/>
  <c r="F1453" i="2"/>
  <c r="E1453" i="2"/>
  <c r="D1453" i="2"/>
  <c r="C1453" i="2"/>
  <c r="B1453" i="2"/>
  <c r="A1453" i="2"/>
  <c r="G1452" i="2"/>
  <c r="I1452" i="2" s="1"/>
  <c r="E1452" i="2"/>
  <c r="F1452" i="2" s="1"/>
  <c r="D1452" i="2"/>
  <c r="C1452" i="2"/>
  <c r="B1452" i="2"/>
  <c r="A1452" i="2"/>
  <c r="G1451" i="2"/>
  <c r="I1451" i="2" s="1"/>
  <c r="E1451" i="2"/>
  <c r="F1451" i="2" s="1"/>
  <c r="H1451" i="2" s="1"/>
  <c r="D1451" i="2"/>
  <c r="C1451" i="2"/>
  <c r="B1451" i="2"/>
  <c r="A1451" i="2"/>
  <c r="F1450" i="2"/>
  <c r="E1450" i="2"/>
  <c r="D1450" i="2"/>
  <c r="C1450" i="2"/>
  <c r="B1450" i="2"/>
  <c r="G1450" i="2" s="1"/>
  <c r="I1450" i="2" s="1"/>
  <c r="A1450" i="2"/>
  <c r="G1449" i="2"/>
  <c r="I1449" i="2" s="1"/>
  <c r="F1449" i="2"/>
  <c r="E1449" i="2"/>
  <c r="D1449" i="2"/>
  <c r="C1449" i="2"/>
  <c r="B1449" i="2"/>
  <c r="A1449" i="2"/>
  <c r="E1448" i="2"/>
  <c r="F1448" i="2" s="1"/>
  <c r="D1448" i="2"/>
  <c r="C1448" i="2"/>
  <c r="G1448" i="2" s="1"/>
  <c r="I1448" i="2" s="1"/>
  <c r="B1448" i="2"/>
  <c r="A1448" i="2"/>
  <c r="E1447" i="2"/>
  <c r="F1447" i="2" s="1"/>
  <c r="D1447" i="2"/>
  <c r="C1447" i="2"/>
  <c r="B1447" i="2"/>
  <c r="G1447" i="2" s="1"/>
  <c r="I1447" i="2" s="1"/>
  <c r="A1447" i="2"/>
  <c r="I1446" i="2"/>
  <c r="F1446" i="2"/>
  <c r="E1446" i="2"/>
  <c r="D1446" i="2"/>
  <c r="C1446" i="2"/>
  <c r="B1446" i="2"/>
  <c r="G1446" i="2" s="1"/>
  <c r="A1446" i="2"/>
  <c r="F1445" i="2"/>
  <c r="E1445" i="2"/>
  <c r="D1445" i="2"/>
  <c r="C1445" i="2"/>
  <c r="G1445" i="2" s="1"/>
  <c r="I1445" i="2" s="1"/>
  <c r="B1445" i="2"/>
  <c r="A1445" i="2"/>
  <c r="G1444" i="2"/>
  <c r="I1444" i="2" s="1"/>
  <c r="E1444" i="2"/>
  <c r="F1444" i="2" s="1"/>
  <c r="D1444" i="2"/>
  <c r="C1444" i="2"/>
  <c r="B1444" i="2"/>
  <c r="A1444" i="2"/>
  <c r="E1443" i="2"/>
  <c r="F1443" i="2" s="1"/>
  <c r="D1443" i="2"/>
  <c r="C1443" i="2"/>
  <c r="B1443" i="2"/>
  <c r="G1443" i="2" s="1"/>
  <c r="I1443" i="2" s="1"/>
  <c r="A1443" i="2"/>
  <c r="G1442" i="2"/>
  <c r="I1442" i="2" s="1"/>
  <c r="F1442" i="2"/>
  <c r="E1442" i="2"/>
  <c r="D1442" i="2"/>
  <c r="C1442" i="2"/>
  <c r="B1442" i="2"/>
  <c r="A1442" i="2"/>
  <c r="F1441" i="2"/>
  <c r="E1441" i="2"/>
  <c r="D1441" i="2"/>
  <c r="C1441" i="2"/>
  <c r="G1441" i="2" s="1"/>
  <c r="I1441" i="2" s="1"/>
  <c r="B1441" i="2"/>
  <c r="A1441" i="2"/>
  <c r="E1440" i="2"/>
  <c r="F1440" i="2" s="1"/>
  <c r="D1440" i="2"/>
  <c r="C1440" i="2"/>
  <c r="G1440" i="2" s="1"/>
  <c r="I1440" i="2" s="1"/>
  <c r="B1440" i="2"/>
  <c r="A1440" i="2"/>
  <c r="G1439" i="2"/>
  <c r="I1439" i="2" s="1"/>
  <c r="F1439" i="2"/>
  <c r="H1439" i="2" s="1"/>
  <c r="E1439" i="2"/>
  <c r="D1439" i="2"/>
  <c r="C1439" i="2"/>
  <c r="B1439" i="2"/>
  <c r="A1439" i="2"/>
  <c r="I1438" i="2"/>
  <c r="G1438" i="2"/>
  <c r="F1438" i="2"/>
  <c r="H1438" i="2" s="1"/>
  <c r="E1438" i="2"/>
  <c r="D1438" i="2"/>
  <c r="C1438" i="2"/>
  <c r="B1438" i="2"/>
  <c r="A1438" i="2"/>
  <c r="G1437" i="2"/>
  <c r="F1437" i="2"/>
  <c r="E1437" i="2"/>
  <c r="D1437" i="2"/>
  <c r="C1437" i="2"/>
  <c r="B1437" i="2"/>
  <c r="A1437" i="2"/>
  <c r="G1436" i="2"/>
  <c r="I1436" i="2" s="1"/>
  <c r="E1436" i="2"/>
  <c r="F1436" i="2" s="1"/>
  <c r="D1436" i="2"/>
  <c r="C1436" i="2"/>
  <c r="B1436" i="2"/>
  <c r="A1436" i="2"/>
  <c r="E1435" i="2"/>
  <c r="F1435" i="2" s="1"/>
  <c r="D1435" i="2"/>
  <c r="C1435" i="2"/>
  <c r="B1435" i="2"/>
  <c r="G1435" i="2" s="1"/>
  <c r="I1435" i="2" s="1"/>
  <c r="A1435" i="2"/>
  <c r="G1434" i="2"/>
  <c r="I1434" i="2" s="1"/>
  <c r="F1434" i="2"/>
  <c r="E1434" i="2"/>
  <c r="D1434" i="2"/>
  <c r="C1434" i="2"/>
  <c r="B1434" i="2"/>
  <c r="A1434" i="2"/>
  <c r="G1433" i="2"/>
  <c r="F1433" i="2"/>
  <c r="E1433" i="2"/>
  <c r="D1433" i="2"/>
  <c r="C1433" i="2"/>
  <c r="B1433" i="2"/>
  <c r="A1433" i="2"/>
  <c r="G1432" i="2"/>
  <c r="I1432" i="2" s="1"/>
  <c r="E1432" i="2"/>
  <c r="F1432" i="2" s="1"/>
  <c r="D1432" i="2"/>
  <c r="C1432" i="2"/>
  <c r="B1432" i="2"/>
  <c r="A1432" i="2"/>
  <c r="G1431" i="2"/>
  <c r="I1431" i="2" s="1"/>
  <c r="E1431" i="2"/>
  <c r="F1431" i="2" s="1"/>
  <c r="D1431" i="2"/>
  <c r="C1431" i="2"/>
  <c r="B1431" i="2"/>
  <c r="A1431" i="2"/>
  <c r="G1430" i="2"/>
  <c r="I1430" i="2" s="1"/>
  <c r="F1430" i="2"/>
  <c r="E1430" i="2"/>
  <c r="D1430" i="2"/>
  <c r="C1430" i="2"/>
  <c r="B1430" i="2"/>
  <c r="A1430" i="2"/>
  <c r="G1429" i="2"/>
  <c r="I1429" i="2" s="1"/>
  <c r="F1429" i="2"/>
  <c r="E1429" i="2"/>
  <c r="D1429" i="2"/>
  <c r="C1429" i="2"/>
  <c r="B1429" i="2"/>
  <c r="A1429" i="2"/>
  <c r="E1428" i="2"/>
  <c r="F1428" i="2" s="1"/>
  <c r="D1428" i="2"/>
  <c r="C1428" i="2"/>
  <c r="G1428" i="2" s="1"/>
  <c r="I1428" i="2" s="1"/>
  <c r="B1428" i="2"/>
  <c r="A1428" i="2"/>
  <c r="G1427" i="2"/>
  <c r="I1427" i="2" s="1"/>
  <c r="E1427" i="2"/>
  <c r="F1427" i="2" s="1"/>
  <c r="D1427" i="2"/>
  <c r="C1427" i="2"/>
  <c r="B1427" i="2"/>
  <c r="A1427" i="2"/>
  <c r="I1426" i="2"/>
  <c r="G1426" i="2"/>
  <c r="F1426" i="2"/>
  <c r="H1426" i="2" s="1"/>
  <c r="E1426" i="2"/>
  <c r="D1426" i="2"/>
  <c r="C1426" i="2"/>
  <c r="B1426" i="2"/>
  <c r="A1426" i="2"/>
  <c r="F1425" i="2"/>
  <c r="E1425" i="2"/>
  <c r="D1425" i="2"/>
  <c r="C1425" i="2"/>
  <c r="G1425" i="2" s="1"/>
  <c r="I1425" i="2" s="1"/>
  <c r="B1425" i="2"/>
  <c r="A1425" i="2"/>
  <c r="G1424" i="2"/>
  <c r="I1424" i="2" s="1"/>
  <c r="E1424" i="2"/>
  <c r="F1424" i="2" s="1"/>
  <c r="D1424" i="2"/>
  <c r="C1424" i="2"/>
  <c r="B1424" i="2"/>
  <c r="A1424" i="2"/>
  <c r="G1423" i="2"/>
  <c r="I1423" i="2" s="1"/>
  <c r="E1423" i="2"/>
  <c r="F1423" i="2" s="1"/>
  <c r="D1423" i="2"/>
  <c r="C1423" i="2"/>
  <c r="B1423" i="2"/>
  <c r="A1423" i="2"/>
  <c r="I1422" i="2"/>
  <c r="G1422" i="2"/>
  <c r="F1422" i="2"/>
  <c r="E1422" i="2"/>
  <c r="D1422" i="2"/>
  <c r="C1422" i="2"/>
  <c r="B1422" i="2"/>
  <c r="A1422" i="2"/>
  <c r="G1421" i="2"/>
  <c r="F1421" i="2"/>
  <c r="E1421" i="2"/>
  <c r="D1421" i="2"/>
  <c r="C1421" i="2"/>
  <c r="B1421" i="2"/>
  <c r="A1421" i="2"/>
  <c r="E1420" i="2"/>
  <c r="F1420" i="2" s="1"/>
  <c r="D1420" i="2"/>
  <c r="C1420" i="2"/>
  <c r="G1420" i="2" s="1"/>
  <c r="I1420" i="2" s="1"/>
  <c r="B1420" i="2"/>
  <c r="A1420" i="2"/>
  <c r="I1419" i="2"/>
  <c r="G1419" i="2"/>
  <c r="E1419" i="2"/>
  <c r="F1419" i="2" s="1"/>
  <c r="D1419" i="2"/>
  <c r="C1419" i="2"/>
  <c r="B1419" i="2"/>
  <c r="A1419" i="2"/>
  <c r="G1418" i="2"/>
  <c r="I1418" i="2" s="1"/>
  <c r="F1418" i="2"/>
  <c r="H1418" i="2" s="1"/>
  <c r="E1418" i="2"/>
  <c r="D1418" i="2"/>
  <c r="C1418" i="2"/>
  <c r="B1418" i="2"/>
  <c r="A1418" i="2"/>
  <c r="H1417" i="2"/>
  <c r="F1417" i="2"/>
  <c r="E1417" i="2"/>
  <c r="D1417" i="2"/>
  <c r="C1417" i="2"/>
  <c r="G1417" i="2" s="1"/>
  <c r="I1417" i="2" s="1"/>
  <c r="B1417" i="2"/>
  <c r="A1417" i="2"/>
  <c r="G1416" i="2"/>
  <c r="I1416" i="2" s="1"/>
  <c r="E1416" i="2"/>
  <c r="F1416" i="2" s="1"/>
  <c r="D1416" i="2"/>
  <c r="C1416" i="2"/>
  <c r="B1416" i="2"/>
  <c r="A1416" i="2"/>
  <c r="E1415" i="2"/>
  <c r="F1415" i="2" s="1"/>
  <c r="D1415" i="2"/>
  <c r="C1415" i="2"/>
  <c r="B1415" i="2"/>
  <c r="G1415" i="2" s="1"/>
  <c r="I1415" i="2" s="1"/>
  <c r="A1415" i="2"/>
  <c r="I1414" i="2"/>
  <c r="G1414" i="2"/>
  <c r="F1414" i="2"/>
  <c r="H1414" i="2" s="1"/>
  <c r="E1414" i="2"/>
  <c r="D1414" i="2"/>
  <c r="C1414" i="2"/>
  <c r="B1414" i="2"/>
  <c r="A1414" i="2"/>
  <c r="F1413" i="2"/>
  <c r="H1413" i="2" s="1"/>
  <c r="E1413" i="2"/>
  <c r="D1413" i="2"/>
  <c r="C1413" i="2"/>
  <c r="G1413" i="2" s="1"/>
  <c r="I1413" i="2" s="1"/>
  <c r="B1413" i="2"/>
  <c r="A1413" i="2"/>
  <c r="E1412" i="2"/>
  <c r="F1412" i="2" s="1"/>
  <c r="D1412" i="2"/>
  <c r="C1412" i="2"/>
  <c r="G1412" i="2" s="1"/>
  <c r="I1412" i="2" s="1"/>
  <c r="B1412" i="2"/>
  <c r="A1412" i="2"/>
  <c r="E1411" i="2"/>
  <c r="F1411" i="2" s="1"/>
  <c r="D1411" i="2"/>
  <c r="C1411" i="2"/>
  <c r="B1411" i="2"/>
  <c r="G1411" i="2" s="1"/>
  <c r="I1411" i="2" s="1"/>
  <c r="A1411" i="2"/>
  <c r="G1410" i="2"/>
  <c r="I1410" i="2" s="1"/>
  <c r="F1410" i="2"/>
  <c r="E1410" i="2"/>
  <c r="D1410" i="2"/>
  <c r="C1410" i="2"/>
  <c r="B1410" i="2"/>
  <c r="A1410" i="2"/>
  <c r="F1409" i="2"/>
  <c r="H1409" i="2" s="1"/>
  <c r="E1409" i="2"/>
  <c r="D1409" i="2"/>
  <c r="C1409" i="2"/>
  <c r="G1409" i="2" s="1"/>
  <c r="I1409" i="2" s="1"/>
  <c r="B1409" i="2"/>
  <c r="A1409" i="2"/>
  <c r="E1408" i="2"/>
  <c r="F1408" i="2" s="1"/>
  <c r="D1408" i="2"/>
  <c r="C1408" i="2"/>
  <c r="G1408" i="2" s="1"/>
  <c r="I1408" i="2" s="1"/>
  <c r="B1408" i="2"/>
  <c r="A1408" i="2"/>
  <c r="E1407" i="2"/>
  <c r="F1407" i="2" s="1"/>
  <c r="D1407" i="2"/>
  <c r="C1407" i="2"/>
  <c r="B1407" i="2"/>
  <c r="G1407" i="2" s="1"/>
  <c r="I1407" i="2" s="1"/>
  <c r="A1407" i="2"/>
  <c r="G1406" i="2"/>
  <c r="I1406" i="2" s="1"/>
  <c r="F1406" i="2"/>
  <c r="E1406" i="2"/>
  <c r="D1406" i="2"/>
  <c r="C1406" i="2"/>
  <c r="B1406" i="2"/>
  <c r="A1406" i="2"/>
  <c r="F1405" i="2"/>
  <c r="E1405" i="2"/>
  <c r="D1405" i="2"/>
  <c r="C1405" i="2"/>
  <c r="G1405" i="2" s="1"/>
  <c r="I1405" i="2" s="1"/>
  <c r="B1405" i="2"/>
  <c r="A1405" i="2"/>
  <c r="G1404" i="2"/>
  <c r="I1404" i="2" s="1"/>
  <c r="E1404" i="2"/>
  <c r="F1404" i="2" s="1"/>
  <c r="H1404" i="2" s="1"/>
  <c r="D1404" i="2"/>
  <c r="C1404" i="2"/>
  <c r="B1404" i="2"/>
  <c r="A1404" i="2"/>
  <c r="E1403" i="2"/>
  <c r="F1403" i="2" s="1"/>
  <c r="D1403" i="2"/>
  <c r="C1403" i="2"/>
  <c r="B1403" i="2"/>
  <c r="G1403" i="2" s="1"/>
  <c r="I1403" i="2" s="1"/>
  <c r="A1403" i="2"/>
  <c r="I1402" i="2"/>
  <c r="G1402" i="2"/>
  <c r="F1402" i="2"/>
  <c r="E1402" i="2"/>
  <c r="D1402" i="2"/>
  <c r="C1402" i="2"/>
  <c r="B1402" i="2"/>
  <c r="A1402" i="2"/>
  <c r="H1401" i="2"/>
  <c r="G1401" i="2"/>
  <c r="I1401" i="2" s="1"/>
  <c r="F1401" i="2"/>
  <c r="E1401" i="2"/>
  <c r="D1401" i="2"/>
  <c r="C1401" i="2"/>
  <c r="B1401" i="2"/>
  <c r="A1401" i="2"/>
  <c r="E1400" i="2"/>
  <c r="F1400" i="2" s="1"/>
  <c r="D1400" i="2"/>
  <c r="C1400" i="2"/>
  <c r="G1400" i="2" s="1"/>
  <c r="I1400" i="2" s="1"/>
  <c r="B1400" i="2"/>
  <c r="A1400" i="2"/>
  <c r="I1399" i="2"/>
  <c r="G1399" i="2"/>
  <c r="E1399" i="2"/>
  <c r="F1399" i="2" s="1"/>
  <c r="H1399" i="2" s="1"/>
  <c r="D1399" i="2"/>
  <c r="C1399" i="2"/>
  <c r="B1399" i="2"/>
  <c r="A1399" i="2"/>
  <c r="G1398" i="2"/>
  <c r="I1398" i="2" s="1"/>
  <c r="F1398" i="2"/>
  <c r="E1398" i="2"/>
  <c r="D1398" i="2"/>
  <c r="C1398" i="2"/>
  <c r="B1398" i="2"/>
  <c r="A1398" i="2"/>
  <c r="F1397" i="2"/>
  <c r="E1397" i="2"/>
  <c r="D1397" i="2"/>
  <c r="C1397" i="2"/>
  <c r="G1397" i="2" s="1"/>
  <c r="I1397" i="2" s="1"/>
  <c r="B1397" i="2"/>
  <c r="A1397" i="2"/>
  <c r="G1396" i="2"/>
  <c r="I1396" i="2" s="1"/>
  <c r="F1396" i="2"/>
  <c r="E1396" i="2"/>
  <c r="D1396" i="2"/>
  <c r="C1396" i="2"/>
  <c r="B1396" i="2"/>
  <c r="A1396" i="2"/>
  <c r="F1395" i="2"/>
  <c r="E1395" i="2"/>
  <c r="D1395" i="2"/>
  <c r="C1395" i="2"/>
  <c r="B1395" i="2"/>
  <c r="G1395" i="2" s="1"/>
  <c r="I1395" i="2" s="1"/>
  <c r="A1395" i="2"/>
  <c r="E1394" i="2"/>
  <c r="F1394" i="2" s="1"/>
  <c r="D1394" i="2"/>
  <c r="C1394" i="2"/>
  <c r="B1394" i="2"/>
  <c r="A1394" i="2"/>
  <c r="G1393" i="2"/>
  <c r="F1393" i="2"/>
  <c r="E1393" i="2"/>
  <c r="D1393" i="2"/>
  <c r="C1393" i="2"/>
  <c r="B1393" i="2"/>
  <c r="A1393" i="2"/>
  <c r="G1392" i="2"/>
  <c r="F1392" i="2"/>
  <c r="E1392" i="2"/>
  <c r="D1392" i="2"/>
  <c r="C1392" i="2"/>
  <c r="B1392" i="2"/>
  <c r="A1392" i="2"/>
  <c r="E1391" i="2"/>
  <c r="F1391" i="2" s="1"/>
  <c r="D1391" i="2"/>
  <c r="C1391" i="2"/>
  <c r="B1391" i="2"/>
  <c r="G1391" i="2" s="1"/>
  <c r="I1391" i="2" s="1"/>
  <c r="A1391" i="2"/>
  <c r="E1390" i="2"/>
  <c r="F1390" i="2" s="1"/>
  <c r="D1390" i="2"/>
  <c r="C1390" i="2"/>
  <c r="B1390" i="2"/>
  <c r="A1390" i="2"/>
  <c r="G1389" i="2"/>
  <c r="F1389" i="2"/>
  <c r="E1389" i="2"/>
  <c r="D1389" i="2"/>
  <c r="C1389" i="2"/>
  <c r="B1389" i="2"/>
  <c r="A1389" i="2"/>
  <c r="G1388" i="2"/>
  <c r="I1388" i="2" s="1"/>
  <c r="F1388" i="2"/>
  <c r="E1388" i="2"/>
  <c r="D1388" i="2"/>
  <c r="C1388" i="2"/>
  <c r="B1388" i="2"/>
  <c r="A1388" i="2"/>
  <c r="F1387" i="2"/>
  <c r="E1387" i="2"/>
  <c r="D1387" i="2"/>
  <c r="C1387" i="2"/>
  <c r="B1387" i="2"/>
  <c r="G1387" i="2" s="1"/>
  <c r="I1387" i="2" s="1"/>
  <c r="A1387" i="2"/>
  <c r="E1386" i="2"/>
  <c r="F1386" i="2" s="1"/>
  <c r="D1386" i="2"/>
  <c r="C1386" i="2"/>
  <c r="B1386" i="2"/>
  <c r="G1386" i="2" s="1"/>
  <c r="I1386" i="2" s="1"/>
  <c r="A1386" i="2"/>
  <c r="E1385" i="2"/>
  <c r="F1385" i="2" s="1"/>
  <c r="D1385" i="2"/>
  <c r="C1385" i="2"/>
  <c r="B1385" i="2"/>
  <c r="G1385" i="2" s="1"/>
  <c r="I1385" i="2" s="1"/>
  <c r="A1385" i="2"/>
  <c r="G1384" i="2"/>
  <c r="F1384" i="2"/>
  <c r="E1384" i="2"/>
  <c r="D1384" i="2"/>
  <c r="C1384" i="2"/>
  <c r="B1384" i="2"/>
  <c r="A1384" i="2"/>
  <c r="F1383" i="2"/>
  <c r="E1383" i="2"/>
  <c r="D1383" i="2"/>
  <c r="C1383" i="2"/>
  <c r="B1383" i="2"/>
  <c r="G1383" i="2" s="1"/>
  <c r="A1383" i="2"/>
  <c r="E1382" i="2"/>
  <c r="F1382" i="2" s="1"/>
  <c r="D1382" i="2"/>
  <c r="C1382" i="2"/>
  <c r="B1382" i="2"/>
  <c r="G1382" i="2" s="1"/>
  <c r="I1382" i="2" s="1"/>
  <c r="A1382" i="2"/>
  <c r="G1381" i="2"/>
  <c r="I1381" i="2" s="1"/>
  <c r="E1381" i="2"/>
  <c r="F1381" i="2" s="1"/>
  <c r="D1381" i="2"/>
  <c r="C1381" i="2"/>
  <c r="B1381" i="2"/>
  <c r="A1381" i="2"/>
  <c r="G1380" i="2"/>
  <c r="I1380" i="2" s="1"/>
  <c r="F1380" i="2"/>
  <c r="E1380" i="2"/>
  <c r="D1380" i="2"/>
  <c r="C1380" i="2"/>
  <c r="B1380" i="2"/>
  <c r="A1380" i="2"/>
  <c r="E1379" i="2"/>
  <c r="F1379" i="2" s="1"/>
  <c r="D1379" i="2"/>
  <c r="C1379" i="2"/>
  <c r="B1379" i="2"/>
  <c r="G1379" i="2" s="1"/>
  <c r="I1379" i="2" s="1"/>
  <c r="A1379" i="2"/>
  <c r="E1378" i="2"/>
  <c r="F1378" i="2" s="1"/>
  <c r="D1378" i="2"/>
  <c r="C1378" i="2"/>
  <c r="B1378" i="2"/>
  <c r="A1378" i="2"/>
  <c r="E1377" i="2"/>
  <c r="F1377" i="2" s="1"/>
  <c r="D1377" i="2"/>
  <c r="C1377" i="2"/>
  <c r="B1377" i="2"/>
  <c r="G1377" i="2" s="1"/>
  <c r="I1377" i="2" s="1"/>
  <c r="A1377" i="2"/>
  <c r="G1376" i="2"/>
  <c r="I1376" i="2" s="1"/>
  <c r="F1376" i="2"/>
  <c r="E1376" i="2"/>
  <c r="D1376" i="2"/>
  <c r="C1376" i="2"/>
  <c r="B1376" i="2"/>
  <c r="A1376" i="2"/>
  <c r="E1375" i="2"/>
  <c r="F1375" i="2" s="1"/>
  <c r="D1375" i="2"/>
  <c r="C1375" i="2"/>
  <c r="B1375" i="2"/>
  <c r="G1375" i="2" s="1"/>
  <c r="I1375" i="2" s="1"/>
  <c r="A1375" i="2"/>
  <c r="E1374" i="2"/>
  <c r="F1374" i="2" s="1"/>
  <c r="H1374" i="2" s="1"/>
  <c r="D1374" i="2"/>
  <c r="C1374" i="2"/>
  <c r="B1374" i="2"/>
  <c r="G1374" i="2" s="1"/>
  <c r="I1374" i="2" s="1"/>
  <c r="A1374" i="2"/>
  <c r="E1373" i="2"/>
  <c r="F1373" i="2" s="1"/>
  <c r="D1373" i="2"/>
  <c r="C1373" i="2"/>
  <c r="B1373" i="2"/>
  <c r="G1373" i="2" s="1"/>
  <c r="I1373" i="2" s="1"/>
  <c r="A1373" i="2"/>
  <c r="G1372" i="2"/>
  <c r="I1372" i="2" s="1"/>
  <c r="F1372" i="2"/>
  <c r="E1372" i="2"/>
  <c r="D1372" i="2"/>
  <c r="C1372" i="2"/>
  <c r="B1372" i="2"/>
  <c r="A1372" i="2"/>
  <c r="F1371" i="2"/>
  <c r="E1371" i="2"/>
  <c r="D1371" i="2"/>
  <c r="C1371" i="2"/>
  <c r="B1371" i="2"/>
  <c r="G1371" i="2" s="1"/>
  <c r="I1371" i="2" s="1"/>
  <c r="A1371" i="2"/>
  <c r="E1370" i="2"/>
  <c r="F1370" i="2" s="1"/>
  <c r="D1370" i="2"/>
  <c r="C1370" i="2"/>
  <c r="B1370" i="2"/>
  <c r="G1370" i="2" s="1"/>
  <c r="I1370" i="2" s="1"/>
  <c r="A1370" i="2"/>
  <c r="E1369" i="2"/>
  <c r="F1369" i="2" s="1"/>
  <c r="D1369" i="2"/>
  <c r="C1369" i="2"/>
  <c r="B1369" i="2"/>
  <c r="G1369" i="2" s="1"/>
  <c r="I1369" i="2" s="1"/>
  <c r="A1369" i="2"/>
  <c r="G1368" i="2"/>
  <c r="F1368" i="2"/>
  <c r="E1368" i="2"/>
  <c r="D1368" i="2"/>
  <c r="C1368" i="2"/>
  <c r="B1368" i="2"/>
  <c r="A1368" i="2"/>
  <c r="F1367" i="2"/>
  <c r="E1367" i="2"/>
  <c r="D1367" i="2"/>
  <c r="C1367" i="2"/>
  <c r="B1367" i="2"/>
  <c r="G1367" i="2" s="1"/>
  <c r="I1367" i="2" s="1"/>
  <c r="A1367" i="2"/>
  <c r="E1366" i="2"/>
  <c r="F1366" i="2" s="1"/>
  <c r="D1366" i="2"/>
  <c r="C1366" i="2"/>
  <c r="B1366" i="2"/>
  <c r="G1366" i="2" s="1"/>
  <c r="I1366" i="2" s="1"/>
  <c r="A1366" i="2"/>
  <c r="G1365" i="2"/>
  <c r="I1365" i="2" s="1"/>
  <c r="E1365" i="2"/>
  <c r="F1365" i="2" s="1"/>
  <c r="D1365" i="2"/>
  <c r="C1365" i="2"/>
  <c r="B1365" i="2"/>
  <c r="A1365" i="2"/>
  <c r="G1364" i="2"/>
  <c r="I1364" i="2" s="1"/>
  <c r="F1364" i="2"/>
  <c r="E1364" i="2"/>
  <c r="D1364" i="2"/>
  <c r="C1364" i="2"/>
  <c r="B1364" i="2"/>
  <c r="A1364" i="2"/>
  <c r="E1363" i="2"/>
  <c r="F1363" i="2" s="1"/>
  <c r="H1363" i="2" s="1"/>
  <c r="D1363" i="2"/>
  <c r="C1363" i="2"/>
  <c r="B1363" i="2"/>
  <c r="G1363" i="2" s="1"/>
  <c r="I1363" i="2" s="1"/>
  <c r="A1363" i="2"/>
  <c r="E1362" i="2"/>
  <c r="F1362" i="2" s="1"/>
  <c r="D1362" i="2"/>
  <c r="C1362" i="2"/>
  <c r="B1362" i="2"/>
  <c r="G1362" i="2" s="1"/>
  <c r="I1362" i="2" s="1"/>
  <c r="A1362" i="2"/>
  <c r="E1361" i="2"/>
  <c r="F1361" i="2" s="1"/>
  <c r="D1361" i="2"/>
  <c r="C1361" i="2"/>
  <c r="B1361" i="2"/>
  <c r="G1361" i="2" s="1"/>
  <c r="I1361" i="2" s="1"/>
  <c r="A1361" i="2"/>
  <c r="H1360" i="2"/>
  <c r="G1360" i="2"/>
  <c r="I1360" i="2" s="1"/>
  <c r="F1360" i="2"/>
  <c r="E1360" i="2"/>
  <c r="D1360" i="2"/>
  <c r="C1360" i="2"/>
  <c r="B1360" i="2"/>
  <c r="A1360" i="2"/>
  <c r="E1359" i="2"/>
  <c r="F1359" i="2" s="1"/>
  <c r="H1359" i="2" s="1"/>
  <c r="D1359" i="2"/>
  <c r="C1359" i="2"/>
  <c r="B1359" i="2"/>
  <c r="G1359" i="2" s="1"/>
  <c r="I1359" i="2" s="1"/>
  <c r="A1359" i="2"/>
  <c r="E1358" i="2"/>
  <c r="F1358" i="2" s="1"/>
  <c r="H1358" i="2" s="1"/>
  <c r="D1358" i="2"/>
  <c r="C1358" i="2"/>
  <c r="B1358" i="2"/>
  <c r="G1358" i="2" s="1"/>
  <c r="I1358" i="2" s="1"/>
  <c r="A1358" i="2"/>
  <c r="E1357" i="2"/>
  <c r="F1357" i="2" s="1"/>
  <c r="D1357" i="2"/>
  <c r="C1357" i="2"/>
  <c r="B1357" i="2"/>
  <c r="G1357" i="2" s="1"/>
  <c r="I1357" i="2" s="1"/>
  <c r="A1357" i="2"/>
  <c r="G1356" i="2"/>
  <c r="I1356" i="2" s="1"/>
  <c r="F1356" i="2"/>
  <c r="E1356" i="2"/>
  <c r="D1356" i="2"/>
  <c r="C1356" i="2"/>
  <c r="B1356" i="2"/>
  <c r="A1356" i="2"/>
  <c r="F1355" i="2"/>
  <c r="E1355" i="2"/>
  <c r="D1355" i="2"/>
  <c r="C1355" i="2"/>
  <c r="B1355" i="2"/>
  <c r="G1355" i="2" s="1"/>
  <c r="I1355" i="2" s="1"/>
  <c r="A1355" i="2"/>
  <c r="E1354" i="2"/>
  <c r="F1354" i="2" s="1"/>
  <c r="D1354" i="2"/>
  <c r="C1354" i="2"/>
  <c r="B1354" i="2"/>
  <c r="G1354" i="2" s="1"/>
  <c r="I1354" i="2" s="1"/>
  <c r="A1354" i="2"/>
  <c r="E1353" i="2"/>
  <c r="F1353" i="2" s="1"/>
  <c r="D1353" i="2"/>
  <c r="C1353" i="2"/>
  <c r="B1353" i="2"/>
  <c r="G1353" i="2" s="1"/>
  <c r="I1353" i="2" s="1"/>
  <c r="A1353" i="2"/>
  <c r="G1352" i="2"/>
  <c r="F1352" i="2"/>
  <c r="E1352" i="2"/>
  <c r="D1352" i="2"/>
  <c r="C1352" i="2"/>
  <c r="B1352" i="2"/>
  <c r="A1352" i="2"/>
  <c r="F1351" i="2"/>
  <c r="E1351" i="2"/>
  <c r="D1351" i="2"/>
  <c r="C1351" i="2"/>
  <c r="G1351" i="2" s="1"/>
  <c r="I1351" i="2" s="1"/>
  <c r="B1351" i="2"/>
  <c r="A1351" i="2"/>
  <c r="E1350" i="2"/>
  <c r="F1350" i="2" s="1"/>
  <c r="D1350" i="2"/>
  <c r="C1350" i="2"/>
  <c r="B1350" i="2"/>
  <c r="G1350" i="2" s="1"/>
  <c r="I1350" i="2" s="1"/>
  <c r="A1350" i="2"/>
  <c r="G1349" i="2"/>
  <c r="I1349" i="2" s="1"/>
  <c r="E1349" i="2"/>
  <c r="F1349" i="2" s="1"/>
  <c r="D1349" i="2"/>
  <c r="C1349" i="2"/>
  <c r="B1349" i="2"/>
  <c r="A1349" i="2"/>
  <c r="G1348" i="2"/>
  <c r="I1348" i="2" s="1"/>
  <c r="F1348" i="2"/>
  <c r="E1348" i="2"/>
  <c r="D1348" i="2"/>
  <c r="C1348" i="2"/>
  <c r="B1348" i="2"/>
  <c r="A1348" i="2"/>
  <c r="E1347" i="2"/>
  <c r="F1347" i="2" s="1"/>
  <c r="D1347" i="2"/>
  <c r="C1347" i="2"/>
  <c r="G1347" i="2" s="1"/>
  <c r="I1347" i="2" s="1"/>
  <c r="B1347" i="2"/>
  <c r="A1347" i="2"/>
  <c r="E1346" i="2"/>
  <c r="F1346" i="2" s="1"/>
  <c r="D1346" i="2"/>
  <c r="C1346" i="2"/>
  <c r="B1346" i="2"/>
  <c r="G1346" i="2" s="1"/>
  <c r="I1346" i="2" s="1"/>
  <c r="A1346" i="2"/>
  <c r="E1345" i="2"/>
  <c r="F1345" i="2" s="1"/>
  <c r="D1345" i="2"/>
  <c r="C1345" i="2"/>
  <c r="B1345" i="2"/>
  <c r="G1345" i="2" s="1"/>
  <c r="I1345" i="2" s="1"/>
  <c r="A1345" i="2"/>
  <c r="I1344" i="2"/>
  <c r="H1344" i="2"/>
  <c r="G1344" i="2"/>
  <c r="F1344" i="2"/>
  <c r="E1344" i="2"/>
  <c r="D1344" i="2"/>
  <c r="C1344" i="2"/>
  <c r="B1344" i="2"/>
  <c r="A1344" i="2"/>
  <c r="E1343" i="2"/>
  <c r="F1343" i="2" s="1"/>
  <c r="D1343" i="2"/>
  <c r="C1343" i="2"/>
  <c r="G1343" i="2" s="1"/>
  <c r="I1343" i="2" s="1"/>
  <c r="B1343" i="2"/>
  <c r="A1343" i="2"/>
  <c r="E1342" i="2"/>
  <c r="F1342" i="2" s="1"/>
  <c r="D1342" i="2"/>
  <c r="C1342" i="2"/>
  <c r="B1342" i="2"/>
  <c r="G1342" i="2" s="1"/>
  <c r="I1342" i="2" s="1"/>
  <c r="A1342" i="2"/>
  <c r="E1341" i="2"/>
  <c r="F1341" i="2" s="1"/>
  <c r="D1341" i="2"/>
  <c r="C1341" i="2"/>
  <c r="B1341" i="2"/>
  <c r="G1341" i="2" s="1"/>
  <c r="I1341" i="2" s="1"/>
  <c r="A1341" i="2"/>
  <c r="G1340" i="2"/>
  <c r="I1340" i="2" s="1"/>
  <c r="F1340" i="2"/>
  <c r="E1340" i="2"/>
  <c r="D1340" i="2"/>
  <c r="C1340" i="2"/>
  <c r="B1340" i="2"/>
  <c r="A1340" i="2"/>
  <c r="F1339" i="2"/>
  <c r="E1339" i="2"/>
  <c r="D1339" i="2"/>
  <c r="C1339" i="2"/>
  <c r="G1339" i="2" s="1"/>
  <c r="I1339" i="2" s="1"/>
  <c r="B1339" i="2"/>
  <c r="A1339" i="2"/>
  <c r="E1338" i="2"/>
  <c r="F1338" i="2" s="1"/>
  <c r="D1338" i="2"/>
  <c r="C1338" i="2"/>
  <c r="B1338" i="2"/>
  <c r="G1338" i="2" s="1"/>
  <c r="I1338" i="2" s="1"/>
  <c r="A1338" i="2"/>
  <c r="E1337" i="2"/>
  <c r="F1337" i="2" s="1"/>
  <c r="D1337" i="2"/>
  <c r="C1337" i="2"/>
  <c r="B1337" i="2"/>
  <c r="G1337" i="2" s="1"/>
  <c r="I1337" i="2" s="1"/>
  <c r="A1337" i="2"/>
  <c r="G1336" i="2"/>
  <c r="F1336" i="2"/>
  <c r="E1336" i="2"/>
  <c r="D1336" i="2"/>
  <c r="C1336" i="2"/>
  <c r="B1336" i="2"/>
  <c r="A1336" i="2"/>
  <c r="H1335" i="2"/>
  <c r="F1335" i="2"/>
  <c r="E1335" i="2"/>
  <c r="D1335" i="2"/>
  <c r="C1335" i="2"/>
  <c r="G1335" i="2" s="1"/>
  <c r="I1335" i="2" s="1"/>
  <c r="B1335" i="2"/>
  <c r="A1335" i="2"/>
  <c r="E1334" i="2"/>
  <c r="F1334" i="2" s="1"/>
  <c r="D1334" i="2"/>
  <c r="C1334" i="2"/>
  <c r="B1334" i="2"/>
  <c r="G1334" i="2" s="1"/>
  <c r="I1334" i="2" s="1"/>
  <c r="A1334" i="2"/>
  <c r="G1333" i="2"/>
  <c r="I1333" i="2" s="1"/>
  <c r="E1333" i="2"/>
  <c r="F1333" i="2" s="1"/>
  <c r="D1333" i="2"/>
  <c r="C1333" i="2"/>
  <c r="B1333" i="2"/>
  <c r="A1333" i="2"/>
  <c r="G1332" i="2"/>
  <c r="I1332" i="2" s="1"/>
  <c r="F1332" i="2"/>
  <c r="E1332" i="2"/>
  <c r="D1332" i="2"/>
  <c r="C1332" i="2"/>
  <c r="B1332" i="2"/>
  <c r="A1332" i="2"/>
  <c r="E1331" i="2"/>
  <c r="F1331" i="2" s="1"/>
  <c r="D1331" i="2"/>
  <c r="C1331" i="2"/>
  <c r="G1331" i="2" s="1"/>
  <c r="I1331" i="2" s="1"/>
  <c r="B1331" i="2"/>
  <c r="A1331" i="2"/>
  <c r="E1330" i="2"/>
  <c r="F1330" i="2" s="1"/>
  <c r="D1330" i="2"/>
  <c r="C1330" i="2"/>
  <c r="B1330" i="2"/>
  <c r="A1330" i="2"/>
  <c r="G1329" i="2"/>
  <c r="I1329" i="2" s="1"/>
  <c r="E1329" i="2"/>
  <c r="F1329" i="2" s="1"/>
  <c r="D1329" i="2"/>
  <c r="C1329" i="2"/>
  <c r="B1329" i="2"/>
  <c r="A1329" i="2"/>
  <c r="G1328" i="2"/>
  <c r="I1328" i="2" s="1"/>
  <c r="F1328" i="2"/>
  <c r="H1328" i="2" s="1"/>
  <c r="E1328" i="2"/>
  <c r="D1328" i="2"/>
  <c r="C1328" i="2"/>
  <c r="B1328" i="2"/>
  <c r="A1328" i="2"/>
  <c r="E1327" i="2"/>
  <c r="F1327" i="2" s="1"/>
  <c r="H1327" i="2" s="1"/>
  <c r="D1327" i="2"/>
  <c r="C1327" i="2"/>
  <c r="G1327" i="2" s="1"/>
  <c r="I1327" i="2" s="1"/>
  <c r="B1327" i="2"/>
  <c r="A1327" i="2"/>
  <c r="E1326" i="2"/>
  <c r="F1326" i="2" s="1"/>
  <c r="D1326" i="2"/>
  <c r="C1326" i="2"/>
  <c r="B1326" i="2"/>
  <c r="G1326" i="2" s="1"/>
  <c r="I1326" i="2" s="1"/>
  <c r="A1326" i="2"/>
  <c r="G1325" i="2"/>
  <c r="I1325" i="2" s="1"/>
  <c r="E1325" i="2"/>
  <c r="F1325" i="2" s="1"/>
  <c r="D1325" i="2"/>
  <c r="C1325" i="2"/>
  <c r="B1325" i="2"/>
  <c r="A1325" i="2"/>
  <c r="G1324" i="2"/>
  <c r="I1324" i="2" s="1"/>
  <c r="F1324" i="2"/>
  <c r="E1324" i="2"/>
  <c r="D1324" i="2"/>
  <c r="C1324" i="2"/>
  <c r="B1324" i="2"/>
  <c r="A1324" i="2"/>
  <c r="G1323" i="2"/>
  <c r="I1323" i="2" s="1"/>
  <c r="E1323" i="2"/>
  <c r="F1323" i="2" s="1"/>
  <c r="D1323" i="2"/>
  <c r="C1323" i="2"/>
  <c r="B1323" i="2"/>
  <c r="A1323" i="2"/>
  <c r="E1322" i="2"/>
  <c r="F1322" i="2" s="1"/>
  <c r="D1322" i="2"/>
  <c r="C1322" i="2"/>
  <c r="B1322" i="2"/>
  <c r="A1322" i="2"/>
  <c r="E1321" i="2"/>
  <c r="F1321" i="2" s="1"/>
  <c r="D1321" i="2"/>
  <c r="C1321" i="2"/>
  <c r="B1321" i="2"/>
  <c r="G1321" i="2" s="1"/>
  <c r="I1321" i="2" s="1"/>
  <c r="A1321" i="2"/>
  <c r="G1320" i="2"/>
  <c r="I1320" i="2" s="1"/>
  <c r="F1320" i="2"/>
  <c r="E1320" i="2"/>
  <c r="D1320" i="2"/>
  <c r="C1320" i="2"/>
  <c r="B1320" i="2"/>
  <c r="A1320" i="2"/>
  <c r="E1319" i="2"/>
  <c r="F1319" i="2" s="1"/>
  <c r="D1319" i="2"/>
  <c r="C1319" i="2"/>
  <c r="G1319" i="2" s="1"/>
  <c r="I1319" i="2" s="1"/>
  <c r="B1319" i="2"/>
  <c r="A1319" i="2"/>
  <c r="E1318" i="2"/>
  <c r="F1318" i="2" s="1"/>
  <c r="D1318" i="2"/>
  <c r="C1318" i="2"/>
  <c r="B1318" i="2"/>
  <c r="G1318" i="2" s="1"/>
  <c r="I1318" i="2" s="1"/>
  <c r="A1318" i="2"/>
  <c r="E1317" i="2"/>
  <c r="F1317" i="2" s="1"/>
  <c r="D1317" i="2"/>
  <c r="C1317" i="2"/>
  <c r="B1317" i="2"/>
  <c r="G1317" i="2" s="1"/>
  <c r="I1317" i="2" s="1"/>
  <c r="A1317" i="2"/>
  <c r="G1316" i="2"/>
  <c r="I1316" i="2" s="1"/>
  <c r="E1316" i="2"/>
  <c r="F1316" i="2" s="1"/>
  <c r="D1316" i="2"/>
  <c r="C1316" i="2"/>
  <c r="B1316" i="2"/>
  <c r="A1316" i="2"/>
  <c r="G1315" i="2"/>
  <c r="I1315" i="2" s="1"/>
  <c r="E1315" i="2"/>
  <c r="F1315" i="2" s="1"/>
  <c r="D1315" i="2"/>
  <c r="C1315" i="2"/>
  <c r="B1315" i="2"/>
  <c r="A1315" i="2"/>
  <c r="E1314" i="2"/>
  <c r="F1314" i="2" s="1"/>
  <c r="D1314" i="2"/>
  <c r="C1314" i="2"/>
  <c r="B1314" i="2"/>
  <c r="A1314" i="2"/>
  <c r="G1313" i="2"/>
  <c r="E1313" i="2"/>
  <c r="F1313" i="2" s="1"/>
  <c r="D1313" i="2"/>
  <c r="C1313" i="2"/>
  <c r="B1313" i="2"/>
  <c r="A1313" i="2"/>
  <c r="G1312" i="2"/>
  <c r="I1312" i="2" s="1"/>
  <c r="F1312" i="2"/>
  <c r="E1312" i="2"/>
  <c r="D1312" i="2"/>
  <c r="C1312" i="2"/>
  <c r="B1312" i="2"/>
  <c r="A1312" i="2"/>
  <c r="F1311" i="2"/>
  <c r="E1311" i="2"/>
  <c r="D1311" i="2"/>
  <c r="C1311" i="2"/>
  <c r="B1311" i="2"/>
  <c r="G1311" i="2" s="1"/>
  <c r="I1311" i="2" s="1"/>
  <c r="A1311" i="2"/>
  <c r="E1310" i="2"/>
  <c r="F1310" i="2" s="1"/>
  <c r="D1310" i="2"/>
  <c r="C1310" i="2"/>
  <c r="B1310" i="2"/>
  <c r="G1310" i="2" s="1"/>
  <c r="I1310" i="2" s="1"/>
  <c r="A1310" i="2"/>
  <c r="G1309" i="2"/>
  <c r="I1309" i="2" s="1"/>
  <c r="E1309" i="2"/>
  <c r="F1309" i="2" s="1"/>
  <c r="D1309" i="2"/>
  <c r="C1309" i="2"/>
  <c r="B1309" i="2"/>
  <c r="A1309" i="2"/>
  <c r="G1308" i="2"/>
  <c r="I1308" i="2" s="1"/>
  <c r="E1308" i="2"/>
  <c r="F1308" i="2" s="1"/>
  <c r="D1308" i="2"/>
  <c r="C1308" i="2"/>
  <c r="B1308" i="2"/>
  <c r="A1308" i="2"/>
  <c r="E1307" i="2"/>
  <c r="F1307" i="2" s="1"/>
  <c r="D1307" i="2"/>
  <c r="C1307" i="2"/>
  <c r="B1307" i="2"/>
  <c r="G1307" i="2" s="1"/>
  <c r="I1307" i="2" s="1"/>
  <c r="A1307" i="2"/>
  <c r="G1306" i="2"/>
  <c r="I1306" i="2" s="1"/>
  <c r="F1306" i="2"/>
  <c r="E1306" i="2"/>
  <c r="D1306" i="2"/>
  <c r="C1306" i="2"/>
  <c r="B1306" i="2"/>
  <c r="A1306" i="2"/>
  <c r="E1305" i="2"/>
  <c r="F1305" i="2" s="1"/>
  <c r="D1305" i="2"/>
  <c r="C1305" i="2"/>
  <c r="B1305" i="2"/>
  <c r="G1305" i="2" s="1"/>
  <c r="I1305" i="2" s="1"/>
  <c r="A1305" i="2"/>
  <c r="G1304" i="2"/>
  <c r="I1304" i="2" s="1"/>
  <c r="E1304" i="2"/>
  <c r="F1304" i="2" s="1"/>
  <c r="D1304" i="2"/>
  <c r="C1304" i="2"/>
  <c r="B1304" i="2"/>
  <c r="A1304" i="2"/>
  <c r="G1303" i="2"/>
  <c r="I1303" i="2" s="1"/>
  <c r="E1303" i="2"/>
  <c r="F1303" i="2" s="1"/>
  <c r="D1303" i="2"/>
  <c r="C1303" i="2"/>
  <c r="B1303" i="2"/>
  <c r="A1303" i="2"/>
  <c r="F1302" i="2"/>
  <c r="E1302" i="2"/>
  <c r="D1302" i="2"/>
  <c r="C1302" i="2"/>
  <c r="B1302" i="2"/>
  <c r="G1302" i="2" s="1"/>
  <c r="I1302" i="2" s="1"/>
  <c r="A1302" i="2"/>
  <c r="E1301" i="2"/>
  <c r="F1301" i="2" s="1"/>
  <c r="D1301" i="2"/>
  <c r="C1301" i="2"/>
  <c r="B1301" i="2"/>
  <c r="G1301" i="2" s="1"/>
  <c r="I1301" i="2" s="1"/>
  <c r="A1301" i="2"/>
  <c r="G1300" i="2"/>
  <c r="I1300" i="2" s="1"/>
  <c r="E1300" i="2"/>
  <c r="F1300" i="2" s="1"/>
  <c r="D1300" i="2"/>
  <c r="C1300" i="2"/>
  <c r="B1300" i="2"/>
  <c r="A1300" i="2"/>
  <c r="H1299" i="2"/>
  <c r="E1299" i="2"/>
  <c r="F1299" i="2" s="1"/>
  <c r="D1299" i="2"/>
  <c r="C1299" i="2"/>
  <c r="B1299" i="2"/>
  <c r="G1299" i="2" s="1"/>
  <c r="I1299" i="2" s="1"/>
  <c r="A1299" i="2"/>
  <c r="E1298" i="2"/>
  <c r="F1298" i="2" s="1"/>
  <c r="D1298" i="2"/>
  <c r="C1298" i="2"/>
  <c r="B1298" i="2"/>
  <c r="G1298" i="2" s="1"/>
  <c r="I1298" i="2" s="1"/>
  <c r="A1298" i="2"/>
  <c r="G1297" i="2"/>
  <c r="I1297" i="2" s="1"/>
  <c r="E1297" i="2"/>
  <c r="F1297" i="2" s="1"/>
  <c r="D1297" i="2"/>
  <c r="C1297" i="2"/>
  <c r="B1297" i="2"/>
  <c r="A1297" i="2"/>
  <c r="G1296" i="2"/>
  <c r="I1296" i="2" s="1"/>
  <c r="F1296" i="2"/>
  <c r="E1296" i="2"/>
  <c r="D1296" i="2"/>
  <c r="C1296" i="2"/>
  <c r="B1296" i="2"/>
  <c r="A1296" i="2"/>
  <c r="E1295" i="2"/>
  <c r="F1295" i="2" s="1"/>
  <c r="D1295" i="2"/>
  <c r="C1295" i="2"/>
  <c r="B1295" i="2"/>
  <c r="G1295" i="2" s="1"/>
  <c r="I1295" i="2" s="1"/>
  <c r="A1295" i="2"/>
  <c r="E1294" i="2"/>
  <c r="F1294" i="2" s="1"/>
  <c r="D1294" i="2"/>
  <c r="C1294" i="2"/>
  <c r="B1294" i="2"/>
  <c r="A1294" i="2"/>
  <c r="G1293" i="2"/>
  <c r="I1293" i="2" s="1"/>
  <c r="E1293" i="2"/>
  <c r="F1293" i="2" s="1"/>
  <c r="D1293" i="2"/>
  <c r="C1293" i="2"/>
  <c r="B1293" i="2"/>
  <c r="A1293" i="2"/>
  <c r="G1292" i="2"/>
  <c r="I1292" i="2" s="1"/>
  <c r="F1292" i="2"/>
  <c r="E1292" i="2"/>
  <c r="D1292" i="2"/>
  <c r="C1292" i="2"/>
  <c r="B1292" i="2"/>
  <c r="A1292" i="2"/>
  <c r="E1291" i="2"/>
  <c r="F1291" i="2" s="1"/>
  <c r="D1291" i="2"/>
  <c r="C1291" i="2"/>
  <c r="B1291" i="2"/>
  <c r="G1291" i="2" s="1"/>
  <c r="I1291" i="2" s="1"/>
  <c r="A1291" i="2"/>
  <c r="E1290" i="2"/>
  <c r="F1290" i="2" s="1"/>
  <c r="D1290" i="2"/>
  <c r="C1290" i="2"/>
  <c r="B1290" i="2"/>
  <c r="A1290" i="2"/>
  <c r="E1289" i="2"/>
  <c r="F1289" i="2" s="1"/>
  <c r="D1289" i="2"/>
  <c r="C1289" i="2"/>
  <c r="B1289" i="2"/>
  <c r="G1289" i="2" s="1"/>
  <c r="I1289" i="2" s="1"/>
  <c r="A1289" i="2"/>
  <c r="G1288" i="2"/>
  <c r="H1288" i="2" s="1"/>
  <c r="F1288" i="2"/>
  <c r="E1288" i="2"/>
  <c r="D1288" i="2"/>
  <c r="C1288" i="2"/>
  <c r="B1288" i="2"/>
  <c r="A1288" i="2"/>
  <c r="E1287" i="2"/>
  <c r="F1287" i="2" s="1"/>
  <c r="H1287" i="2" s="1"/>
  <c r="D1287" i="2"/>
  <c r="C1287" i="2"/>
  <c r="B1287" i="2"/>
  <c r="G1287" i="2" s="1"/>
  <c r="I1287" i="2" s="1"/>
  <c r="A1287" i="2"/>
  <c r="E1286" i="2"/>
  <c r="F1286" i="2" s="1"/>
  <c r="D1286" i="2"/>
  <c r="C1286" i="2"/>
  <c r="B1286" i="2"/>
  <c r="G1286" i="2" s="1"/>
  <c r="I1286" i="2" s="1"/>
  <c r="A1286" i="2"/>
  <c r="E1285" i="2"/>
  <c r="F1285" i="2" s="1"/>
  <c r="D1285" i="2"/>
  <c r="C1285" i="2"/>
  <c r="B1285" i="2"/>
  <c r="G1285" i="2" s="1"/>
  <c r="I1285" i="2" s="1"/>
  <c r="A1285" i="2"/>
  <c r="G1284" i="2"/>
  <c r="H1284" i="2" s="1"/>
  <c r="F1284" i="2"/>
  <c r="E1284" i="2"/>
  <c r="D1284" i="2"/>
  <c r="C1284" i="2"/>
  <c r="B1284" i="2"/>
  <c r="A1284" i="2"/>
  <c r="E1283" i="2"/>
  <c r="F1283" i="2" s="1"/>
  <c r="H1283" i="2" s="1"/>
  <c r="D1283" i="2"/>
  <c r="C1283" i="2"/>
  <c r="B1283" i="2"/>
  <c r="G1283" i="2" s="1"/>
  <c r="I1283" i="2" s="1"/>
  <c r="A1283" i="2"/>
  <c r="E1282" i="2"/>
  <c r="F1282" i="2" s="1"/>
  <c r="D1282" i="2"/>
  <c r="C1282" i="2"/>
  <c r="B1282" i="2"/>
  <c r="G1282" i="2" s="1"/>
  <c r="I1282" i="2" s="1"/>
  <c r="A1282" i="2"/>
  <c r="G1281" i="2"/>
  <c r="I1281" i="2" s="1"/>
  <c r="E1281" i="2"/>
  <c r="F1281" i="2" s="1"/>
  <c r="D1281" i="2"/>
  <c r="C1281" i="2"/>
  <c r="B1281" i="2"/>
  <c r="A1281" i="2"/>
  <c r="G1280" i="2"/>
  <c r="I1280" i="2" s="1"/>
  <c r="F1280" i="2"/>
  <c r="E1280" i="2"/>
  <c r="D1280" i="2"/>
  <c r="C1280" i="2"/>
  <c r="B1280" i="2"/>
  <c r="A1280" i="2"/>
  <c r="E1279" i="2"/>
  <c r="F1279" i="2" s="1"/>
  <c r="D1279" i="2"/>
  <c r="C1279" i="2"/>
  <c r="B1279" i="2"/>
  <c r="G1279" i="2" s="1"/>
  <c r="I1279" i="2" s="1"/>
  <c r="A1279" i="2"/>
  <c r="E1278" i="2"/>
  <c r="F1278" i="2" s="1"/>
  <c r="D1278" i="2"/>
  <c r="C1278" i="2"/>
  <c r="B1278" i="2"/>
  <c r="A1278" i="2"/>
  <c r="G1277" i="2"/>
  <c r="I1277" i="2" s="1"/>
  <c r="E1277" i="2"/>
  <c r="F1277" i="2" s="1"/>
  <c r="D1277" i="2"/>
  <c r="C1277" i="2"/>
  <c r="B1277" i="2"/>
  <c r="A1277" i="2"/>
  <c r="G1276" i="2"/>
  <c r="I1276" i="2" s="1"/>
  <c r="F1276" i="2"/>
  <c r="E1276" i="2"/>
  <c r="D1276" i="2"/>
  <c r="C1276" i="2"/>
  <c r="B1276" i="2"/>
  <c r="A1276" i="2"/>
  <c r="E1275" i="2"/>
  <c r="F1275" i="2" s="1"/>
  <c r="D1275" i="2"/>
  <c r="C1275" i="2"/>
  <c r="B1275" i="2"/>
  <c r="G1275" i="2" s="1"/>
  <c r="I1275" i="2" s="1"/>
  <c r="A1275" i="2"/>
  <c r="E1274" i="2"/>
  <c r="F1274" i="2" s="1"/>
  <c r="D1274" i="2"/>
  <c r="C1274" i="2"/>
  <c r="B1274" i="2"/>
  <c r="A1274" i="2"/>
  <c r="E1273" i="2"/>
  <c r="F1273" i="2" s="1"/>
  <c r="D1273" i="2"/>
  <c r="C1273" i="2"/>
  <c r="B1273" i="2"/>
  <c r="G1273" i="2" s="1"/>
  <c r="I1273" i="2" s="1"/>
  <c r="A1273" i="2"/>
  <c r="I1272" i="2"/>
  <c r="G1272" i="2"/>
  <c r="H1272" i="2" s="1"/>
  <c r="F1272" i="2"/>
  <c r="E1272" i="2"/>
  <c r="D1272" i="2"/>
  <c r="C1272" i="2"/>
  <c r="B1272" i="2"/>
  <c r="A1272" i="2"/>
  <c r="F1271" i="2"/>
  <c r="E1271" i="2"/>
  <c r="D1271" i="2"/>
  <c r="C1271" i="2"/>
  <c r="B1271" i="2"/>
  <c r="G1271" i="2" s="1"/>
  <c r="I1271" i="2" s="1"/>
  <c r="A1271" i="2"/>
  <c r="E1270" i="2"/>
  <c r="F1270" i="2" s="1"/>
  <c r="D1270" i="2"/>
  <c r="C1270" i="2"/>
  <c r="B1270" i="2"/>
  <c r="G1270" i="2" s="1"/>
  <c r="I1270" i="2" s="1"/>
  <c r="A1270" i="2"/>
  <c r="E1269" i="2"/>
  <c r="F1269" i="2" s="1"/>
  <c r="D1269" i="2"/>
  <c r="C1269" i="2"/>
  <c r="B1269" i="2"/>
  <c r="G1269" i="2" s="1"/>
  <c r="I1269" i="2" s="1"/>
  <c r="A1269" i="2"/>
  <c r="G1268" i="2"/>
  <c r="I1268" i="2" s="1"/>
  <c r="F1268" i="2"/>
  <c r="E1268" i="2"/>
  <c r="D1268" i="2"/>
  <c r="C1268" i="2"/>
  <c r="B1268" i="2"/>
  <c r="A1268" i="2"/>
  <c r="E1267" i="2"/>
  <c r="F1267" i="2" s="1"/>
  <c r="D1267" i="2"/>
  <c r="C1267" i="2"/>
  <c r="B1267" i="2"/>
  <c r="G1267" i="2" s="1"/>
  <c r="I1267" i="2" s="1"/>
  <c r="A1267" i="2"/>
  <c r="E1266" i="2"/>
  <c r="F1266" i="2" s="1"/>
  <c r="D1266" i="2"/>
  <c r="C1266" i="2"/>
  <c r="B1266" i="2"/>
  <c r="G1266" i="2" s="1"/>
  <c r="I1266" i="2" s="1"/>
  <c r="A1266" i="2"/>
  <c r="G1265" i="2"/>
  <c r="I1265" i="2" s="1"/>
  <c r="E1265" i="2"/>
  <c r="F1265" i="2" s="1"/>
  <c r="D1265" i="2"/>
  <c r="C1265" i="2"/>
  <c r="B1265" i="2"/>
  <c r="A1265" i="2"/>
  <c r="G1264" i="2"/>
  <c r="I1264" i="2" s="1"/>
  <c r="F1264" i="2"/>
  <c r="E1264" i="2"/>
  <c r="D1264" i="2"/>
  <c r="C1264" i="2"/>
  <c r="B1264" i="2"/>
  <c r="A1264" i="2"/>
  <c r="E1263" i="2"/>
  <c r="F1263" i="2" s="1"/>
  <c r="D1263" i="2"/>
  <c r="C1263" i="2"/>
  <c r="B1263" i="2"/>
  <c r="G1263" i="2" s="1"/>
  <c r="I1263" i="2" s="1"/>
  <c r="A1263" i="2"/>
  <c r="E1262" i="2"/>
  <c r="F1262" i="2" s="1"/>
  <c r="D1262" i="2"/>
  <c r="C1262" i="2"/>
  <c r="B1262" i="2"/>
  <c r="A1262" i="2"/>
  <c r="G1261" i="2"/>
  <c r="I1261" i="2" s="1"/>
  <c r="E1261" i="2"/>
  <c r="F1261" i="2" s="1"/>
  <c r="D1261" i="2"/>
  <c r="C1261" i="2"/>
  <c r="B1261" i="2"/>
  <c r="A1261" i="2"/>
  <c r="G1260" i="2"/>
  <c r="I1260" i="2" s="1"/>
  <c r="F1260" i="2"/>
  <c r="E1260" i="2"/>
  <c r="D1260" i="2"/>
  <c r="C1260" i="2"/>
  <c r="B1260" i="2"/>
  <c r="A1260" i="2"/>
  <c r="E1259" i="2"/>
  <c r="F1259" i="2" s="1"/>
  <c r="H1259" i="2" s="1"/>
  <c r="D1259" i="2"/>
  <c r="C1259" i="2"/>
  <c r="B1259" i="2"/>
  <c r="G1259" i="2" s="1"/>
  <c r="I1259" i="2" s="1"/>
  <c r="A1259" i="2"/>
  <c r="E1258" i="2"/>
  <c r="F1258" i="2" s="1"/>
  <c r="D1258" i="2"/>
  <c r="C1258" i="2"/>
  <c r="B1258" i="2"/>
  <c r="A1258" i="2"/>
  <c r="E1257" i="2"/>
  <c r="F1257" i="2" s="1"/>
  <c r="D1257" i="2"/>
  <c r="C1257" i="2"/>
  <c r="B1257" i="2"/>
  <c r="G1257" i="2" s="1"/>
  <c r="I1257" i="2" s="1"/>
  <c r="A1257" i="2"/>
  <c r="G1256" i="2"/>
  <c r="H1256" i="2" s="1"/>
  <c r="F1256" i="2"/>
  <c r="E1256" i="2"/>
  <c r="D1256" i="2"/>
  <c r="C1256" i="2"/>
  <c r="B1256" i="2"/>
  <c r="A1256" i="2"/>
  <c r="E1255" i="2"/>
  <c r="F1255" i="2" s="1"/>
  <c r="D1255" i="2"/>
  <c r="C1255" i="2"/>
  <c r="B1255" i="2"/>
  <c r="G1255" i="2" s="1"/>
  <c r="I1255" i="2" s="1"/>
  <c r="A1255" i="2"/>
  <c r="E1254" i="2"/>
  <c r="F1254" i="2" s="1"/>
  <c r="D1254" i="2"/>
  <c r="C1254" i="2"/>
  <c r="B1254" i="2"/>
  <c r="G1254" i="2" s="1"/>
  <c r="I1254" i="2" s="1"/>
  <c r="A1254" i="2"/>
  <c r="E1253" i="2"/>
  <c r="F1253" i="2" s="1"/>
  <c r="D1253" i="2"/>
  <c r="C1253" i="2"/>
  <c r="B1253" i="2"/>
  <c r="G1253" i="2" s="1"/>
  <c r="I1253" i="2" s="1"/>
  <c r="A1253" i="2"/>
  <c r="G1252" i="2"/>
  <c r="I1252" i="2" s="1"/>
  <c r="F1252" i="2"/>
  <c r="E1252" i="2"/>
  <c r="D1252" i="2"/>
  <c r="C1252" i="2"/>
  <c r="B1252" i="2"/>
  <c r="A1252" i="2"/>
  <c r="E1251" i="2"/>
  <c r="F1251" i="2" s="1"/>
  <c r="D1251" i="2"/>
  <c r="C1251" i="2"/>
  <c r="B1251" i="2"/>
  <c r="G1251" i="2" s="1"/>
  <c r="I1251" i="2" s="1"/>
  <c r="A1251" i="2"/>
  <c r="E1250" i="2"/>
  <c r="F1250" i="2" s="1"/>
  <c r="D1250" i="2"/>
  <c r="C1250" i="2"/>
  <c r="B1250" i="2"/>
  <c r="G1250" i="2" s="1"/>
  <c r="I1250" i="2" s="1"/>
  <c r="A1250" i="2"/>
  <c r="G1249" i="2"/>
  <c r="I1249" i="2" s="1"/>
  <c r="E1249" i="2"/>
  <c r="F1249" i="2" s="1"/>
  <c r="D1249" i="2"/>
  <c r="C1249" i="2"/>
  <c r="B1249" i="2"/>
  <c r="A1249" i="2"/>
  <c r="G1248" i="2"/>
  <c r="I1248" i="2" s="1"/>
  <c r="F1248" i="2"/>
  <c r="E1248" i="2"/>
  <c r="D1248" i="2"/>
  <c r="C1248" i="2"/>
  <c r="B1248" i="2"/>
  <c r="A1248" i="2"/>
  <c r="E1247" i="2"/>
  <c r="F1247" i="2" s="1"/>
  <c r="D1247" i="2"/>
  <c r="C1247" i="2"/>
  <c r="B1247" i="2"/>
  <c r="G1247" i="2" s="1"/>
  <c r="I1247" i="2" s="1"/>
  <c r="A1247" i="2"/>
  <c r="E1246" i="2"/>
  <c r="F1246" i="2" s="1"/>
  <c r="D1246" i="2"/>
  <c r="C1246" i="2"/>
  <c r="B1246" i="2"/>
  <c r="A1246" i="2"/>
  <c r="G1245" i="2"/>
  <c r="I1245" i="2" s="1"/>
  <c r="E1245" i="2"/>
  <c r="F1245" i="2" s="1"/>
  <c r="D1245" i="2"/>
  <c r="C1245" i="2"/>
  <c r="B1245" i="2"/>
  <c r="A1245" i="2"/>
  <c r="G1244" i="2"/>
  <c r="I1244" i="2" s="1"/>
  <c r="F1244" i="2"/>
  <c r="E1244" i="2"/>
  <c r="D1244" i="2"/>
  <c r="C1244" i="2"/>
  <c r="B1244" i="2"/>
  <c r="A1244" i="2"/>
  <c r="E1243" i="2"/>
  <c r="F1243" i="2" s="1"/>
  <c r="D1243" i="2"/>
  <c r="C1243" i="2"/>
  <c r="B1243" i="2"/>
  <c r="G1243" i="2" s="1"/>
  <c r="I1243" i="2" s="1"/>
  <c r="A1243" i="2"/>
  <c r="E1242" i="2"/>
  <c r="F1242" i="2" s="1"/>
  <c r="D1242" i="2"/>
  <c r="C1242" i="2"/>
  <c r="B1242" i="2"/>
  <c r="A1242" i="2"/>
  <c r="E1241" i="2"/>
  <c r="F1241" i="2" s="1"/>
  <c r="D1241" i="2"/>
  <c r="C1241" i="2"/>
  <c r="B1241" i="2"/>
  <c r="G1241" i="2" s="1"/>
  <c r="I1241" i="2" s="1"/>
  <c r="A1241" i="2"/>
  <c r="I1240" i="2"/>
  <c r="G1240" i="2"/>
  <c r="H1240" i="2" s="1"/>
  <c r="F1240" i="2"/>
  <c r="E1240" i="2"/>
  <c r="D1240" i="2"/>
  <c r="C1240" i="2"/>
  <c r="B1240" i="2"/>
  <c r="A1240" i="2"/>
  <c r="E1239" i="2"/>
  <c r="F1239" i="2" s="1"/>
  <c r="H1239" i="2" s="1"/>
  <c r="D1239" i="2"/>
  <c r="C1239" i="2"/>
  <c r="B1239" i="2"/>
  <c r="G1239" i="2" s="1"/>
  <c r="I1239" i="2" s="1"/>
  <c r="A1239" i="2"/>
  <c r="E1238" i="2"/>
  <c r="F1238" i="2" s="1"/>
  <c r="D1238" i="2"/>
  <c r="C1238" i="2"/>
  <c r="B1238" i="2"/>
  <c r="G1238" i="2" s="1"/>
  <c r="I1238" i="2" s="1"/>
  <c r="A1238" i="2"/>
  <c r="E1237" i="2"/>
  <c r="F1237" i="2" s="1"/>
  <c r="D1237" i="2"/>
  <c r="C1237" i="2"/>
  <c r="B1237" i="2"/>
  <c r="G1237" i="2" s="1"/>
  <c r="I1237" i="2" s="1"/>
  <c r="A1237" i="2"/>
  <c r="G1236" i="2"/>
  <c r="I1236" i="2" s="1"/>
  <c r="F1236" i="2"/>
  <c r="E1236" i="2"/>
  <c r="D1236" i="2"/>
  <c r="C1236" i="2"/>
  <c r="B1236" i="2"/>
  <c r="A1236" i="2"/>
  <c r="E1235" i="2"/>
  <c r="F1235" i="2" s="1"/>
  <c r="H1235" i="2" s="1"/>
  <c r="D1235" i="2"/>
  <c r="C1235" i="2"/>
  <c r="B1235" i="2"/>
  <c r="G1235" i="2" s="1"/>
  <c r="I1235" i="2" s="1"/>
  <c r="A1235" i="2"/>
  <c r="E1234" i="2"/>
  <c r="F1234" i="2" s="1"/>
  <c r="D1234" i="2"/>
  <c r="C1234" i="2"/>
  <c r="B1234" i="2"/>
  <c r="G1234" i="2" s="1"/>
  <c r="I1234" i="2" s="1"/>
  <c r="A1234" i="2"/>
  <c r="G1233" i="2"/>
  <c r="I1233" i="2" s="1"/>
  <c r="E1233" i="2"/>
  <c r="F1233" i="2" s="1"/>
  <c r="D1233" i="2"/>
  <c r="C1233" i="2"/>
  <c r="B1233" i="2"/>
  <c r="A1233" i="2"/>
  <c r="G1232" i="2"/>
  <c r="I1232" i="2" s="1"/>
  <c r="F1232" i="2"/>
  <c r="E1232" i="2"/>
  <c r="D1232" i="2"/>
  <c r="C1232" i="2"/>
  <c r="B1232" i="2"/>
  <c r="A1232" i="2"/>
  <c r="E1231" i="2"/>
  <c r="F1231" i="2" s="1"/>
  <c r="H1231" i="2" s="1"/>
  <c r="D1231" i="2"/>
  <c r="C1231" i="2"/>
  <c r="B1231" i="2"/>
  <c r="G1231" i="2" s="1"/>
  <c r="I1231" i="2" s="1"/>
  <c r="A1231" i="2"/>
  <c r="E1230" i="2"/>
  <c r="F1230" i="2" s="1"/>
  <c r="D1230" i="2"/>
  <c r="C1230" i="2"/>
  <c r="B1230" i="2"/>
  <c r="A1230" i="2"/>
  <c r="E1229" i="2"/>
  <c r="F1229" i="2" s="1"/>
  <c r="D1229" i="2"/>
  <c r="C1229" i="2"/>
  <c r="B1229" i="2"/>
  <c r="G1229" i="2" s="1"/>
  <c r="I1229" i="2" s="1"/>
  <c r="A1229" i="2"/>
  <c r="I1228" i="2"/>
  <c r="G1228" i="2"/>
  <c r="H1228" i="2" s="1"/>
  <c r="F1228" i="2"/>
  <c r="E1228" i="2"/>
  <c r="D1228" i="2"/>
  <c r="C1228" i="2"/>
  <c r="B1228" i="2"/>
  <c r="A1228" i="2"/>
  <c r="F1227" i="2"/>
  <c r="E1227" i="2"/>
  <c r="D1227" i="2"/>
  <c r="C1227" i="2"/>
  <c r="B1227" i="2"/>
  <c r="A1227" i="2"/>
  <c r="E1226" i="2"/>
  <c r="F1226" i="2" s="1"/>
  <c r="D1226" i="2"/>
  <c r="C1226" i="2"/>
  <c r="B1226" i="2"/>
  <c r="G1226" i="2" s="1"/>
  <c r="I1226" i="2" s="1"/>
  <c r="A1226" i="2"/>
  <c r="E1225" i="2"/>
  <c r="F1225" i="2" s="1"/>
  <c r="D1225" i="2"/>
  <c r="C1225" i="2"/>
  <c r="B1225" i="2"/>
  <c r="G1225" i="2" s="1"/>
  <c r="I1225" i="2" s="1"/>
  <c r="A1225" i="2"/>
  <c r="G1224" i="2"/>
  <c r="I1224" i="2" s="1"/>
  <c r="F1224" i="2"/>
  <c r="H1224" i="2" s="1"/>
  <c r="E1224" i="2"/>
  <c r="D1224" i="2"/>
  <c r="C1224" i="2"/>
  <c r="B1224" i="2"/>
  <c r="A1224" i="2"/>
  <c r="F1223" i="2"/>
  <c r="E1223" i="2"/>
  <c r="D1223" i="2"/>
  <c r="C1223" i="2"/>
  <c r="B1223" i="2"/>
  <c r="A1223" i="2"/>
  <c r="E1222" i="2"/>
  <c r="F1222" i="2" s="1"/>
  <c r="D1222" i="2"/>
  <c r="C1222" i="2"/>
  <c r="B1222" i="2"/>
  <c r="A1222" i="2"/>
  <c r="G1221" i="2"/>
  <c r="I1221" i="2" s="1"/>
  <c r="E1221" i="2"/>
  <c r="F1221" i="2" s="1"/>
  <c r="D1221" i="2"/>
  <c r="C1221" i="2"/>
  <c r="B1221" i="2"/>
  <c r="A1221" i="2"/>
  <c r="G1220" i="2"/>
  <c r="I1220" i="2" s="1"/>
  <c r="F1220" i="2"/>
  <c r="E1220" i="2"/>
  <c r="D1220" i="2"/>
  <c r="C1220" i="2"/>
  <c r="B1220" i="2"/>
  <c r="A1220" i="2"/>
  <c r="E1219" i="2"/>
  <c r="F1219" i="2" s="1"/>
  <c r="H1219" i="2" s="1"/>
  <c r="D1219" i="2"/>
  <c r="C1219" i="2"/>
  <c r="B1219" i="2"/>
  <c r="G1219" i="2" s="1"/>
  <c r="I1219" i="2" s="1"/>
  <c r="A1219" i="2"/>
  <c r="E1218" i="2"/>
  <c r="F1218" i="2" s="1"/>
  <c r="D1218" i="2"/>
  <c r="C1218" i="2"/>
  <c r="B1218" i="2"/>
  <c r="A1218" i="2"/>
  <c r="E1217" i="2"/>
  <c r="F1217" i="2" s="1"/>
  <c r="D1217" i="2"/>
  <c r="C1217" i="2"/>
  <c r="B1217" i="2"/>
  <c r="G1217" i="2" s="1"/>
  <c r="I1217" i="2" s="1"/>
  <c r="A1217" i="2"/>
  <c r="I1216" i="2"/>
  <c r="G1216" i="2"/>
  <c r="H1216" i="2" s="1"/>
  <c r="F1216" i="2"/>
  <c r="E1216" i="2"/>
  <c r="D1216" i="2"/>
  <c r="C1216" i="2"/>
  <c r="B1216" i="2"/>
  <c r="A1216" i="2"/>
  <c r="F1215" i="2"/>
  <c r="E1215" i="2"/>
  <c r="D1215" i="2"/>
  <c r="C1215" i="2"/>
  <c r="B1215" i="2"/>
  <c r="G1215" i="2" s="1"/>
  <c r="I1215" i="2" s="1"/>
  <c r="A1215" i="2"/>
  <c r="E1214" i="2"/>
  <c r="F1214" i="2" s="1"/>
  <c r="D1214" i="2"/>
  <c r="C1214" i="2"/>
  <c r="B1214" i="2"/>
  <c r="G1214" i="2" s="1"/>
  <c r="I1214" i="2" s="1"/>
  <c r="A1214" i="2"/>
  <c r="E1213" i="2"/>
  <c r="F1213" i="2" s="1"/>
  <c r="D1213" i="2"/>
  <c r="C1213" i="2"/>
  <c r="B1213" i="2"/>
  <c r="G1213" i="2" s="1"/>
  <c r="I1213" i="2" s="1"/>
  <c r="A1213" i="2"/>
  <c r="G1212" i="2"/>
  <c r="I1212" i="2" s="1"/>
  <c r="F1212" i="2"/>
  <c r="H1212" i="2" s="1"/>
  <c r="E1212" i="2"/>
  <c r="D1212" i="2"/>
  <c r="C1212" i="2"/>
  <c r="B1212" i="2"/>
  <c r="A1212" i="2"/>
  <c r="F1211" i="2"/>
  <c r="E1211" i="2"/>
  <c r="D1211" i="2"/>
  <c r="C1211" i="2"/>
  <c r="B1211" i="2"/>
  <c r="A1211" i="2"/>
  <c r="E1210" i="2"/>
  <c r="F1210" i="2" s="1"/>
  <c r="D1210" i="2"/>
  <c r="C1210" i="2"/>
  <c r="B1210" i="2"/>
  <c r="A1210" i="2"/>
  <c r="G1209" i="2"/>
  <c r="I1209" i="2" s="1"/>
  <c r="E1209" i="2"/>
  <c r="F1209" i="2" s="1"/>
  <c r="D1209" i="2"/>
  <c r="C1209" i="2"/>
  <c r="B1209" i="2"/>
  <c r="A1209" i="2"/>
  <c r="G1208" i="2"/>
  <c r="I1208" i="2" s="1"/>
  <c r="F1208" i="2"/>
  <c r="E1208" i="2"/>
  <c r="D1208" i="2"/>
  <c r="C1208" i="2"/>
  <c r="B1208" i="2"/>
  <c r="A1208" i="2"/>
  <c r="E1207" i="2"/>
  <c r="F1207" i="2" s="1"/>
  <c r="H1207" i="2" s="1"/>
  <c r="D1207" i="2"/>
  <c r="C1207" i="2"/>
  <c r="B1207" i="2"/>
  <c r="G1207" i="2" s="1"/>
  <c r="I1207" i="2" s="1"/>
  <c r="A1207" i="2"/>
  <c r="E1206" i="2"/>
  <c r="F1206" i="2" s="1"/>
  <c r="D1206" i="2"/>
  <c r="C1206" i="2"/>
  <c r="B1206" i="2"/>
  <c r="A1206" i="2"/>
  <c r="E1205" i="2"/>
  <c r="F1205" i="2" s="1"/>
  <c r="D1205" i="2"/>
  <c r="C1205" i="2"/>
  <c r="B1205" i="2"/>
  <c r="G1205" i="2" s="1"/>
  <c r="I1205" i="2" s="1"/>
  <c r="A1205" i="2"/>
  <c r="H1204" i="2"/>
  <c r="G1204" i="2"/>
  <c r="I1204" i="2" s="1"/>
  <c r="F1204" i="2"/>
  <c r="E1204" i="2"/>
  <c r="D1204" i="2"/>
  <c r="C1204" i="2"/>
  <c r="B1204" i="2"/>
  <c r="A1204" i="2"/>
  <c r="F1203" i="2"/>
  <c r="E1203" i="2"/>
  <c r="D1203" i="2"/>
  <c r="C1203" i="2"/>
  <c r="B1203" i="2"/>
  <c r="G1203" i="2" s="1"/>
  <c r="I1203" i="2" s="1"/>
  <c r="A1203" i="2"/>
  <c r="E1202" i="2"/>
  <c r="F1202" i="2" s="1"/>
  <c r="D1202" i="2"/>
  <c r="C1202" i="2"/>
  <c r="B1202" i="2"/>
  <c r="G1202" i="2" s="1"/>
  <c r="I1202" i="2" s="1"/>
  <c r="A1202" i="2"/>
  <c r="E1201" i="2"/>
  <c r="F1201" i="2" s="1"/>
  <c r="D1201" i="2"/>
  <c r="C1201" i="2"/>
  <c r="B1201" i="2"/>
  <c r="G1201" i="2" s="1"/>
  <c r="I1201" i="2" s="1"/>
  <c r="A1201" i="2"/>
  <c r="I1200" i="2"/>
  <c r="G1200" i="2"/>
  <c r="F1200" i="2"/>
  <c r="H1200" i="2" s="1"/>
  <c r="E1200" i="2"/>
  <c r="D1200" i="2"/>
  <c r="C1200" i="2"/>
  <c r="B1200" i="2"/>
  <c r="A1200" i="2"/>
  <c r="F1199" i="2"/>
  <c r="E1199" i="2"/>
  <c r="D1199" i="2"/>
  <c r="C1199" i="2"/>
  <c r="B1199" i="2"/>
  <c r="A1199" i="2"/>
  <c r="E1198" i="2"/>
  <c r="F1198" i="2" s="1"/>
  <c r="D1198" i="2"/>
  <c r="C1198" i="2"/>
  <c r="B1198" i="2"/>
  <c r="A1198" i="2"/>
  <c r="G1197" i="2"/>
  <c r="I1197" i="2" s="1"/>
  <c r="E1197" i="2"/>
  <c r="F1197" i="2" s="1"/>
  <c r="D1197" i="2"/>
  <c r="C1197" i="2"/>
  <c r="B1197" i="2"/>
  <c r="A1197" i="2"/>
  <c r="G1196" i="2"/>
  <c r="I1196" i="2" s="1"/>
  <c r="F1196" i="2"/>
  <c r="E1196" i="2"/>
  <c r="D1196" i="2"/>
  <c r="C1196" i="2"/>
  <c r="B1196" i="2"/>
  <c r="A1196" i="2"/>
  <c r="E1195" i="2"/>
  <c r="F1195" i="2" s="1"/>
  <c r="D1195" i="2"/>
  <c r="C1195" i="2"/>
  <c r="B1195" i="2"/>
  <c r="G1195" i="2" s="1"/>
  <c r="I1195" i="2" s="1"/>
  <c r="A1195" i="2"/>
  <c r="E1194" i="2"/>
  <c r="F1194" i="2" s="1"/>
  <c r="D1194" i="2"/>
  <c r="C1194" i="2"/>
  <c r="B1194" i="2"/>
  <c r="A1194" i="2"/>
  <c r="E1193" i="2"/>
  <c r="F1193" i="2" s="1"/>
  <c r="D1193" i="2"/>
  <c r="C1193" i="2"/>
  <c r="B1193" i="2"/>
  <c r="G1193" i="2" s="1"/>
  <c r="I1193" i="2" s="1"/>
  <c r="A1193" i="2"/>
  <c r="H1192" i="2"/>
  <c r="G1192" i="2"/>
  <c r="I1192" i="2" s="1"/>
  <c r="F1192" i="2"/>
  <c r="E1192" i="2"/>
  <c r="D1192" i="2"/>
  <c r="C1192" i="2"/>
  <c r="B1192" i="2"/>
  <c r="A1192" i="2"/>
  <c r="F1191" i="2"/>
  <c r="H1191" i="2" s="1"/>
  <c r="E1191" i="2"/>
  <c r="D1191" i="2"/>
  <c r="C1191" i="2"/>
  <c r="B1191" i="2"/>
  <c r="G1191" i="2" s="1"/>
  <c r="I1191" i="2" s="1"/>
  <c r="A1191" i="2"/>
  <c r="E1190" i="2"/>
  <c r="F1190" i="2" s="1"/>
  <c r="D1190" i="2"/>
  <c r="C1190" i="2"/>
  <c r="B1190" i="2"/>
  <c r="G1190" i="2" s="1"/>
  <c r="I1190" i="2" s="1"/>
  <c r="A1190" i="2"/>
  <c r="E1189" i="2"/>
  <c r="F1189" i="2" s="1"/>
  <c r="D1189" i="2"/>
  <c r="C1189" i="2"/>
  <c r="B1189" i="2"/>
  <c r="G1189" i="2" s="1"/>
  <c r="I1189" i="2" s="1"/>
  <c r="A1189" i="2"/>
  <c r="I1188" i="2"/>
  <c r="G1188" i="2"/>
  <c r="F1188" i="2"/>
  <c r="H1188" i="2" s="1"/>
  <c r="E1188" i="2"/>
  <c r="D1188" i="2"/>
  <c r="C1188" i="2"/>
  <c r="B1188" i="2"/>
  <c r="A1188" i="2"/>
  <c r="F1187" i="2"/>
  <c r="E1187" i="2"/>
  <c r="D1187" i="2"/>
  <c r="C1187" i="2"/>
  <c r="B1187" i="2"/>
  <c r="A1187" i="2"/>
  <c r="E1186" i="2"/>
  <c r="F1186" i="2" s="1"/>
  <c r="D1186" i="2"/>
  <c r="C1186" i="2"/>
  <c r="B1186" i="2"/>
  <c r="A1186" i="2"/>
  <c r="G1185" i="2"/>
  <c r="I1185" i="2" s="1"/>
  <c r="E1185" i="2"/>
  <c r="F1185" i="2" s="1"/>
  <c r="D1185" i="2"/>
  <c r="C1185" i="2"/>
  <c r="B1185" i="2"/>
  <c r="A1185" i="2"/>
  <c r="G1184" i="2"/>
  <c r="I1184" i="2" s="1"/>
  <c r="F1184" i="2"/>
  <c r="E1184" i="2"/>
  <c r="D1184" i="2"/>
  <c r="C1184" i="2"/>
  <c r="B1184" i="2"/>
  <c r="A1184" i="2"/>
  <c r="E1183" i="2"/>
  <c r="F1183" i="2" s="1"/>
  <c r="D1183" i="2"/>
  <c r="C1183" i="2"/>
  <c r="B1183" i="2"/>
  <c r="G1183" i="2" s="1"/>
  <c r="I1183" i="2" s="1"/>
  <c r="A1183" i="2"/>
  <c r="E1182" i="2"/>
  <c r="F1182" i="2" s="1"/>
  <c r="D1182" i="2"/>
  <c r="C1182" i="2"/>
  <c r="B1182" i="2"/>
  <c r="A1182" i="2"/>
  <c r="E1181" i="2"/>
  <c r="F1181" i="2" s="1"/>
  <c r="D1181" i="2"/>
  <c r="C1181" i="2"/>
  <c r="B1181" i="2"/>
  <c r="G1181" i="2" s="1"/>
  <c r="I1181" i="2" s="1"/>
  <c r="A1181" i="2"/>
  <c r="G1180" i="2"/>
  <c r="F1180" i="2"/>
  <c r="E1180" i="2"/>
  <c r="D1180" i="2"/>
  <c r="C1180" i="2"/>
  <c r="B1180" i="2"/>
  <c r="A1180" i="2"/>
  <c r="F1179" i="2"/>
  <c r="E1179" i="2"/>
  <c r="D1179" i="2"/>
  <c r="C1179" i="2"/>
  <c r="B1179" i="2"/>
  <c r="A1179" i="2"/>
  <c r="E1178" i="2"/>
  <c r="F1178" i="2" s="1"/>
  <c r="D1178" i="2"/>
  <c r="C1178" i="2"/>
  <c r="B1178" i="2"/>
  <c r="G1178" i="2" s="1"/>
  <c r="I1178" i="2" s="1"/>
  <c r="A1178" i="2"/>
  <c r="E1177" i="2"/>
  <c r="F1177" i="2" s="1"/>
  <c r="D1177" i="2"/>
  <c r="C1177" i="2"/>
  <c r="B1177" i="2"/>
  <c r="G1177" i="2" s="1"/>
  <c r="I1177" i="2" s="1"/>
  <c r="A1177" i="2"/>
  <c r="I1176" i="2"/>
  <c r="G1176" i="2"/>
  <c r="F1176" i="2"/>
  <c r="E1176" i="2"/>
  <c r="D1176" i="2"/>
  <c r="C1176" i="2"/>
  <c r="B1176" i="2"/>
  <c r="A1176" i="2"/>
  <c r="F1175" i="2"/>
  <c r="E1175" i="2"/>
  <c r="D1175" i="2"/>
  <c r="C1175" i="2"/>
  <c r="B1175" i="2"/>
  <c r="A1175" i="2"/>
  <c r="E1174" i="2"/>
  <c r="F1174" i="2" s="1"/>
  <c r="D1174" i="2"/>
  <c r="C1174" i="2"/>
  <c r="B1174" i="2"/>
  <c r="A1174" i="2"/>
  <c r="I1173" i="2"/>
  <c r="G1173" i="2"/>
  <c r="E1173" i="2"/>
  <c r="F1173" i="2" s="1"/>
  <c r="D1173" i="2"/>
  <c r="C1173" i="2"/>
  <c r="B1173" i="2"/>
  <c r="A1173" i="2"/>
  <c r="G1172" i="2"/>
  <c r="I1172" i="2" s="1"/>
  <c r="F1172" i="2"/>
  <c r="E1172" i="2"/>
  <c r="D1172" i="2"/>
  <c r="C1172" i="2"/>
  <c r="B1172" i="2"/>
  <c r="A1172" i="2"/>
  <c r="E1171" i="2"/>
  <c r="F1171" i="2" s="1"/>
  <c r="D1171" i="2"/>
  <c r="C1171" i="2"/>
  <c r="B1171" i="2"/>
  <c r="G1171" i="2" s="1"/>
  <c r="I1171" i="2" s="1"/>
  <c r="A1171" i="2"/>
  <c r="E1170" i="2"/>
  <c r="F1170" i="2" s="1"/>
  <c r="D1170" i="2"/>
  <c r="C1170" i="2"/>
  <c r="B1170" i="2"/>
  <c r="A1170" i="2"/>
  <c r="E1169" i="2"/>
  <c r="F1169" i="2" s="1"/>
  <c r="D1169" i="2"/>
  <c r="C1169" i="2"/>
  <c r="B1169" i="2"/>
  <c r="G1169" i="2" s="1"/>
  <c r="I1169" i="2" s="1"/>
  <c r="A1169" i="2"/>
  <c r="I1168" i="2"/>
  <c r="G1168" i="2"/>
  <c r="H1168" i="2" s="1"/>
  <c r="F1168" i="2"/>
  <c r="E1168" i="2"/>
  <c r="D1168" i="2"/>
  <c r="C1168" i="2"/>
  <c r="B1168" i="2"/>
  <c r="A1168" i="2"/>
  <c r="F1167" i="2"/>
  <c r="E1167" i="2"/>
  <c r="D1167" i="2"/>
  <c r="C1167" i="2"/>
  <c r="B1167" i="2"/>
  <c r="A1167" i="2"/>
  <c r="E1166" i="2"/>
  <c r="F1166" i="2" s="1"/>
  <c r="D1166" i="2"/>
  <c r="C1166" i="2"/>
  <c r="B1166" i="2"/>
  <c r="G1166" i="2" s="1"/>
  <c r="I1166" i="2" s="1"/>
  <c r="A1166" i="2"/>
  <c r="E1165" i="2"/>
  <c r="F1165" i="2" s="1"/>
  <c r="D1165" i="2"/>
  <c r="C1165" i="2"/>
  <c r="B1165" i="2"/>
  <c r="G1165" i="2" s="1"/>
  <c r="I1165" i="2" s="1"/>
  <c r="A1165" i="2"/>
  <c r="I1164" i="2"/>
  <c r="G1164" i="2"/>
  <c r="F1164" i="2"/>
  <c r="E1164" i="2"/>
  <c r="D1164" i="2"/>
  <c r="C1164" i="2"/>
  <c r="B1164" i="2"/>
  <c r="A1164" i="2"/>
  <c r="F1163" i="2"/>
  <c r="E1163" i="2"/>
  <c r="D1163" i="2"/>
  <c r="C1163" i="2"/>
  <c r="B1163" i="2"/>
  <c r="A1163" i="2"/>
  <c r="E1162" i="2"/>
  <c r="F1162" i="2" s="1"/>
  <c r="D1162" i="2"/>
  <c r="C1162" i="2"/>
  <c r="B1162" i="2"/>
  <c r="A1162" i="2"/>
  <c r="I1161" i="2"/>
  <c r="G1161" i="2"/>
  <c r="E1161" i="2"/>
  <c r="F1161" i="2" s="1"/>
  <c r="D1161" i="2"/>
  <c r="C1161" i="2"/>
  <c r="B1161" i="2"/>
  <c r="A1161" i="2"/>
  <c r="G1160" i="2"/>
  <c r="I1160" i="2" s="1"/>
  <c r="F1160" i="2"/>
  <c r="E1160" i="2"/>
  <c r="D1160" i="2"/>
  <c r="C1160" i="2"/>
  <c r="B1160" i="2"/>
  <c r="A1160" i="2"/>
  <c r="E1159" i="2"/>
  <c r="F1159" i="2" s="1"/>
  <c r="D1159" i="2"/>
  <c r="C1159" i="2"/>
  <c r="B1159" i="2"/>
  <c r="G1159" i="2" s="1"/>
  <c r="I1159" i="2" s="1"/>
  <c r="A1159" i="2"/>
  <c r="E1158" i="2"/>
  <c r="F1158" i="2" s="1"/>
  <c r="D1158" i="2"/>
  <c r="C1158" i="2"/>
  <c r="B1158" i="2"/>
  <c r="A1158" i="2"/>
  <c r="E1157" i="2"/>
  <c r="F1157" i="2" s="1"/>
  <c r="D1157" i="2"/>
  <c r="C1157" i="2"/>
  <c r="B1157" i="2"/>
  <c r="G1157" i="2" s="1"/>
  <c r="I1157" i="2" s="1"/>
  <c r="A1157" i="2"/>
  <c r="I1156" i="2"/>
  <c r="H1156" i="2"/>
  <c r="G1156" i="2"/>
  <c r="F1156" i="2"/>
  <c r="E1156" i="2"/>
  <c r="D1156" i="2"/>
  <c r="C1156" i="2"/>
  <c r="B1156" i="2"/>
  <c r="A1156" i="2"/>
  <c r="F1155" i="2"/>
  <c r="E1155" i="2"/>
  <c r="D1155" i="2"/>
  <c r="C1155" i="2"/>
  <c r="B1155" i="2"/>
  <c r="A1155" i="2"/>
  <c r="E1154" i="2"/>
  <c r="F1154" i="2" s="1"/>
  <c r="D1154" i="2"/>
  <c r="C1154" i="2"/>
  <c r="B1154" i="2"/>
  <c r="G1154" i="2" s="1"/>
  <c r="I1154" i="2" s="1"/>
  <c r="A1154" i="2"/>
  <c r="E1153" i="2"/>
  <c r="F1153" i="2" s="1"/>
  <c r="D1153" i="2"/>
  <c r="C1153" i="2"/>
  <c r="B1153" i="2"/>
  <c r="G1153" i="2" s="1"/>
  <c r="I1153" i="2" s="1"/>
  <c r="A1153" i="2"/>
  <c r="I1152" i="2"/>
  <c r="G1152" i="2"/>
  <c r="F1152" i="2"/>
  <c r="H1152" i="2" s="1"/>
  <c r="E1152" i="2"/>
  <c r="D1152" i="2"/>
  <c r="C1152" i="2"/>
  <c r="B1152" i="2"/>
  <c r="A1152" i="2"/>
  <c r="F1151" i="2"/>
  <c r="E1151" i="2"/>
  <c r="D1151" i="2"/>
  <c r="C1151" i="2"/>
  <c r="B1151" i="2"/>
  <c r="A1151" i="2"/>
  <c r="E1150" i="2"/>
  <c r="F1150" i="2" s="1"/>
  <c r="D1150" i="2"/>
  <c r="C1150" i="2"/>
  <c r="B1150" i="2"/>
  <c r="A1150" i="2"/>
  <c r="G1149" i="2"/>
  <c r="I1149" i="2" s="1"/>
  <c r="E1149" i="2"/>
  <c r="F1149" i="2" s="1"/>
  <c r="D1149" i="2"/>
  <c r="C1149" i="2"/>
  <c r="B1149" i="2"/>
  <c r="A1149" i="2"/>
  <c r="G1148" i="2"/>
  <c r="I1148" i="2" s="1"/>
  <c r="F1148" i="2"/>
  <c r="E1148" i="2"/>
  <c r="D1148" i="2"/>
  <c r="C1148" i="2"/>
  <c r="B1148" i="2"/>
  <c r="A1148" i="2"/>
  <c r="E1147" i="2"/>
  <c r="F1147" i="2" s="1"/>
  <c r="D1147" i="2"/>
  <c r="C1147" i="2"/>
  <c r="B1147" i="2"/>
  <c r="G1147" i="2" s="1"/>
  <c r="I1147" i="2" s="1"/>
  <c r="A1147" i="2"/>
  <c r="E1146" i="2"/>
  <c r="F1146" i="2" s="1"/>
  <c r="D1146" i="2"/>
  <c r="C1146" i="2"/>
  <c r="B1146" i="2"/>
  <c r="A1146" i="2"/>
  <c r="E1145" i="2"/>
  <c r="F1145" i="2" s="1"/>
  <c r="D1145" i="2"/>
  <c r="C1145" i="2"/>
  <c r="B1145" i="2"/>
  <c r="G1145" i="2" s="1"/>
  <c r="I1145" i="2" s="1"/>
  <c r="A1145" i="2"/>
  <c r="H1144" i="2"/>
  <c r="G1144" i="2"/>
  <c r="I1144" i="2" s="1"/>
  <c r="F1144" i="2"/>
  <c r="E1144" i="2"/>
  <c r="D1144" i="2"/>
  <c r="C1144" i="2"/>
  <c r="B1144" i="2"/>
  <c r="A1144" i="2"/>
  <c r="F1143" i="2"/>
  <c r="E1143" i="2"/>
  <c r="D1143" i="2"/>
  <c r="C1143" i="2"/>
  <c r="B1143" i="2"/>
  <c r="G1143" i="2" s="1"/>
  <c r="I1143" i="2" s="1"/>
  <c r="A1143" i="2"/>
  <c r="E1142" i="2"/>
  <c r="F1142" i="2" s="1"/>
  <c r="D1142" i="2"/>
  <c r="C1142" i="2"/>
  <c r="B1142" i="2"/>
  <c r="G1142" i="2" s="1"/>
  <c r="I1142" i="2" s="1"/>
  <c r="A1142" i="2"/>
  <c r="E1141" i="2"/>
  <c r="F1141" i="2" s="1"/>
  <c r="D1141" i="2"/>
  <c r="C1141" i="2"/>
  <c r="B1141" i="2"/>
  <c r="G1141" i="2" s="1"/>
  <c r="I1141" i="2" s="1"/>
  <c r="A1141" i="2"/>
  <c r="I1140" i="2"/>
  <c r="G1140" i="2"/>
  <c r="F1140" i="2"/>
  <c r="E1140" i="2"/>
  <c r="D1140" i="2"/>
  <c r="C1140" i="2"/>
  <c r="B1140" i="2"/>
  <c r="A1140" i="2"/>
  <c r="F1139" i="2"/>
  <c r="E1139" i="2"/>
  <c r="D1139" i="2"/>
  <c r="C1139" i="2"/>
  <c r="B1139" i="2"/>
  <c r="A1139" i="2"/>
  <c r="E1138" i="2"/>
  <c r="F1138" i="2" s="1"/>
  <c r="D1138" i="2"/>
  <c r="C1138" i="2"/>
  <c r="B1138" i="2"/>
  <c r="A1138" i="2"/>
  <c r="G1137" i="2"/>
  <c r="I1137" i="2" s="1"/>
  <c r="E1137" i="2"/>
  <c r="F1137" i="2" s="1"/>
  <c r="D1137" i="2"/>
  <c r="C1137" i="2"/>
  <c r="B1137" i="2"/>
  <c r="A1137" i="2"/>
  <c r="G1136" i="2"/>
  <c r="I1136" i="2" s="1"/>
  <c r="F1136" i="2"/>
  <c r="E1136" i="2"/>
  <c r="D1136" i="2"/>
  <c r="C1136" i="2"/>
  <c r="B1136" i="2"/>
  <c r="A1136" i="2"/>
  <c r="E1135" i="2"/>
  <c r="F1135" i="2" s="1"/>
  <c r="D1135" i="2"/>
  <c r="C1135" i="2"/>
  <c r="B1135" i="2"/>
  <c r="G1135" i="2" s="1"/>
  <c r="I1135" i="2" s="1"/>
  <c r="A1135" i="2"/>
  <c r="E1134" i="2"/>
  <c r="F1134" i="2" s="1"/>
  <c r="D1134" i="2"/>
  <c r="C1134" i="2"/>
  <c r="B1134" i="2"/>
  <c r="A1134" i="2"/>
  <c r="E1133" i="2"/>
  <c r="F1133" i="2" s="1"/>
  <c r="D1133" i="2"/>
  <c r="C1133" i="2"/>
  <c r="B1133" i="2"/>
  <c r="G1133" i="2" s="1"/>
  <c r="I1133" i="2" s="1"/>
  <c r="A1133" i="2"/>
  <c r="G1132" i="2"/>
  <c r="I1132" i="2" s="1"/>
  <c r="F1132" i="2"/>
  <c r="E1132" i="2"/>
  <c r="D1132" i="2"/>
  <c r="C1132" i="2"/>
  <c r="B1132" i="2"/>
  <c r="A1132" i="2"/>
  <c r="F1131" i="2"/>
  <c r="E1131" i="2"/>
  <c r="D1131" i="2"/>
  <c r="C1131" i="2"/>
  <c r="B1131" i="2"/>
  <c r="G1131" i="2" s="1"/>
  <c r="I1131" i="2" s="1"/>
  <c r="A1131" i="2"/>
  <c r="E1130" i="2"/>
  <c r="F1130" i="2" s="1"/>
  <c r="D1130" i="2"/>
  <c r="C1130" i="2"/>
  <c r="B1130" i="2"/>
  <c r="G1130" i="2" s="1"/>
  <c r="I1130" i="2" s="1"/>
  <c r="A1130" i="2"/>
  <c r="E1129" i="2"/>
  <c r="F1129" i="2" s="1"/>
  <c r="D1129" i="2"/>
  <c r="C1129" i="2"/>
  <c r="B1129" i="2"/>
  <c r="G1129" i="2" s="1"/>
  <c r="I1129" i="2" s="1"/>
  <c r="A1129" i="2"/>
  <c r="G1128" i="2"/>
  <c r="I1128" i="2" s="1"/>
  <c r="F1128" i="2"/>
  <c r="E1128" i="2"/>
  <c r="D1128" i="2"/>
  <c r="C1128" i="2"/>
  <c r="B1128" i="2"/>
  <c r="A1128" i="2"/>
  <c r="F1127" i="2"/>
  <c r="E1127" i="2"/>
  <c r="D1127" i="2"/>
  <c r="C1127" i="2"/>
  <c r="B1127" i="2"/>
  <c r="A1127" i="2"/>
  <c r="E1126" i="2"/>
  <c r="F1126" i="2" s="1"/>
  <c r="D1126" i="2"/>
  <c r="C1126" i="2"/>
  <c r="B1126" i="2"/>
  <c r="G1126" i="2" s="1"/>
  <c r="I1126" i="2" s="1"/>
  <c r="A1126" i="2"/>
  <c r="E1125" i="2"/>
  <c r="F1125" i="2" s="1"/>
  <c r="D1125" i="2"/>
  <c r="C1125" i="2"/>
  <c r="B1125" i="2"/>
  <c r="G1125" i="2" s="1"/>
  <c r="I1125" i="2" s="1"/>
  <c r="A1125" i="2"/>
  <c r="G1124" i="2"/>
  <c r="I1124" i="2" s="1"/>
  <c r="F1124" i="2"/>
  <c r="E1124" i="2"/>
  <c r="D1124" i="2"/>
  <c r="C1124" i="2"/>
  <c r="B1124" i="2"/>
  <c r="A1124" i="2"/>
  <c r="F1123" i="2"/>
  <c r="E1123" i="2"/>
  <c r="D1123" i="2"/>
  <c r="C1123" i="2"/>
  <c r="B1123" i="2"/>
  <c r="A1123" i="2"/>
  <c r="E1122" i="2"/>
  <c r="F1122" i="2" s="1"/>
  <c r="H1122" i="2" s="1"/>
  <c r="D1122" i="2"/>
  <c r="C1122" i="2"/>
  <c r="G1122" i="2" s="1"/>
  <c r="I1122" i="2" s="1"/>
  <c r="B1122" i="2"/>
  <c r="A1122" i="2"/>
  <c r="E1121" i="2"/>
  <c r="F1121" i="2" s="1"/>
  <c r="D1121" i="2"/>
  <c r="C1121" i="2"/>
  <c r="B1121" i="2"/>
  <c r="G1121" i="2" s="1"/>
  <c r="I1121" i="2" s="1"/>
  <c r="A1121" i="2"/>
  <c r="G1120" i="2"/>
  <c r="F1120" i="2"/>
  <c r="E1120" i="2"/>
  <c r="D1120" i="2"/>
  <c r="C1120" i="2"/>
  <c r="B1120" i="2"/>
  <c r="A1120" i="2"/>
  <c r="F1119" i="2"/>
  <c r="E1119" i="2"/>
  <c r="D1119" i="2"/>
  <c r="C1119" i="2"/>
  <c r="B1119" i="2"/>
  <c r="G1119" i="2" s="1"/>
  <c r="I1119" i="2" s="1"/>
  <c r="A1119" i="2"/>
  <c r="E1118" i="2"/>
  <c r="F1118" i="2" s="1"/>
  <c r="H1118" i="2" s="1"/>
  <c r="D1118" i="2"/>
  <c r="C1118" i="2"/>
  <c r="B1118" i="2"/>
  <c r="G1118" i="2" s="1"/>
  <c r="I1118" i="2" s="1"/>
  <c r="A1118" i="2"/>
  <c r="G1117" i="2"/>
  <c r="I1117" i="2" s="1"/>
  <c r="E1117" i="2"/>
  <c r="F1117" i="2" s="1"/>
  <c r="D1117" i="2"/>
  <c r="C1117" i="2"/>
  <c r="B1117" i="2"/>
  <c r="A1117" i="2"/>
  <c r="I1116" i="2"/>
  <c r="G1116" i="2"/>
  <c r="F1116" i="2"/>
  <c r="E1116" i="2"/>
  <c r="D1116" i="2"/>
  <c r="C1116" i="2"/>
  <c r="B1116" i="2"/>
  <c r="A1116" i="2"/>
  <c r="F1115" i="2"/>
  <c r="E1115" i="2"/>
  <c r="D1115" i="2"/>
  <c r="C1115" i="2"/>
  <c r="B1115" i="2"/>
  <c r="G1115" i="2" s="1"/>
  <c r="I1115" i="2" s="1"/>
  <c r="A1115" i="2"/>
  <c r="E1114" i="2"/>
  <c r="F1114" i="2" s="1"/>
  <c r="D1114" i="2"/>
  <c r="C1114" i="2"/>
  <c r="B1114" i="2"/>
  <c r="G1114" i="2" s="1"/>
  <c r="I1114" i="2" s="1"/>
  <c r="A1114" i="2"/>
  <c r="E1113" i="2"/>
  <c r="F1113" i="2" s="1"/>
  <c r="D1113" i="2"/>
  <c r="C1113" i="2"/>
  <c r="B1113" i="2"/>
  <c r="G1113" i="2" s="1"/>
  <c r="I1113" i="2" s="1"/>
  <c r="A1113" i="2"/>
  <c r="I1112" i="2"/>
  <c r="G1112" i="2"/>
  <c r="H1112" i="2" s="1"/>
  <c r="F1112" i="2"/>
  <c r="E1112" i="2"/>
  <c r="D1112" i="2"/>
  <c r="C1112" i="2"/>
  <c r="B1112" i="2"/>
  <c r="A1112" i="2"/>
  <c r="F1111" i="2"/>
  <c r="E1111" i="2"/>
  <c r="D1111" i="2"/>
  <c r="C1111" i="2"/>
  <c r="B1111" i="2"/>
  <c r="A1111" i="2"/>
  <c r="G1110" i="2"/>
  <c r="I1110" i="2" s="1"/>
  <c r="E1110" i="2"/>
  <c r="F1110" i="2" s="1"/>
  <c r="D1110" i="2"/>
  <c r="C1110" i="2"/>
  <c r="B1110" i="2"/>
  <c r="A1110" i="2"/>
  <c r="E1109" i="2"/>
  <c r="F1109" i="2" s="1"/>
  <c r="D1109" i="2"/>
  <c r="C1109" i="2"/>
  <c r="B1109" i="2"/>
  <c r="G1109" i="2" s="1"/>
  <c r="I1109" i="2" s="1"/>
  <c r="A1109" i="2"/>
  <c r="G1108" i="2"/>
  <c r="F1108" i="2"/>
  <c r="E1108" i="2"/>
  <c r="D1108" i="2"/>
  <c r="C1108" i="2"/>
  <c r="B1108" i="2"/>
  <c r="A1108" i="2"/>
  <c r="F1107" i="2"/>
  <c r="H1107" i="2" s="1"/>
  <c r="E1107" i="2"/>
  <c r="D1107" i="2"/>
  <c r="C1107" i="2"/>
  <c r="B1107" i="2"/>
  <c r="G1107" i="2" s="1"/>
  <c r="I1107" i="2" s="1"/>
  <c r="A1107" i="2"/>
  <c r="E1106" i="2"/>
  <c r="F1106" i="2" s="1"/>
  <c r="D1106" i="2"/>
  <c r="C1106" i="2"/>
  <c r="B1106" i="2"/>
  <c r="G1106" i="2" s="1"/>
  <c r="I1106" i="2" s="1"/>
  <c r="A1106" i="2"/>
  <c r="G1105" i="2"/>
  <c r="I1105" i="2" s="1"/>
  <c r="E1105" i="2"/>
  <c r="F1105" i="2" s="1"/>
  <c r="D1105" i="2"/>
  <c r="C1105" i="2"/>
  <c r="B1105" i="2"/>
  <c r="A1105" i="2"/>
  <c r="G1104" i="2"/>
  <c r="I1104" i="2" s="1"/>
  <c r="F1104" i="2"/>
  <c r="H1104" i="2" s="1"/>
  <c r="E1104" i="2"/>
  <c r="D1104" i="2"/>
  <c r="C1104" i="2"/>
  <c r="B1104" i="2"/>
  <c r="A1104" i="2"/>
  <c r="E1103" i="2"/>
  <c r="F1103" i="2" s="1"/>
  <c r="D1103" i="2"/>
  <c r="C1103" i="2"/>
  <c r="B1103" i="2"/>
  <c r="G1103" i="2" s="1"/>
  <c r="I1103" i="2" s="1"/>
  <c r="A1103" i="2"/>
  <c r="G1102" i="2"/>
  <c r="I1102" i="2" s="1"/>
  <c r="E1102" i="2"/>
  <c r="F1102" i="2" s="1"/>
  <c r="D1102" i="2"/>
  <c r="C1102" i="2"/>
  <c r="B1102" i="2"/>
  <c r="A1102" i="2"/>
  <c r="E1101" i="2"/>
  <c r="F1101" i="2" s="1"/>
  <c r="D1101" i="2"/>
  <c r="C1101" i="2"/>
  <c r="B1101" i="2"/>
  <c r="G1101" i="2" s="1"/>
  <c r="I1101" i="2" s="1"/>
  <c r="A1101" i="2"/>
  <c r="G1100" i="2"/>
  <c r="I1100" i="2" s="1"/>
  <c r="F1100" i="2"/>
  <c r="E1100" i="2"/>
  <c r="D1100" i="2"/>
  <c r="C1100" i="2"/>
  <c r="B1100" i="2"/>
  <c r="A1100" i="2"/>
  <c r="E1099" i="2"/>
  <c r="F1099" i="2" s="1"/>
  <c r="D1099" i="2"/>
  <c r="C1099" i="2"/>
  <c r="B1099" i="2"/>
  <c r="A1099" i="2"/>
  <c r="G1098" i="2"/>
  <c r="I1098" i="2" s="1"/>
  <c r="E1098" i="2"/>
  <c r="F1098" i="2" s="1"/>
  <c r="D1098" i="2"/>
  <c r="C1098" i="2"/>
  <c r="B1098" i="2"/>
  <c r="A1098" i="2"/>
  <c r="G1097" i="2"/>
  <c r="I1097" i="2" s="1"/>
  <c r="E1097" i="2"/>
  <c r="F1097" i="2" s="1"/>
  <c r="D1097" i="2"/>
  <c r="C1097" i="2"/>
  <c r="B1097" i="2"/>
  <c r="A1097" i="2"/>
  <c r="G1096" i="2"/>
  <c r="I1096" i="2" s="1"/>
  <c r="F1096" i="2"/>
  <c r="E1096" i="2"/>
  <c r="D1096" i="2"/>
  <c r="C1096" i="2"/>
  <c r="B1096" i="2"/>
  <c r="A1096" i="2"/>
  <c r="E1095" i="2"/>
  <c r="F1095" i="2" s="1"/>
  <c r="H1095" i="2" s="1"/>
  <c r="D1095" i="2"/>
  <c r="C1095" i="2"/>
  <c r="B1095" i="2"/>
  <c r="G1095" i="2" s="1"/>
  <c r="I1095" i="2" s="1"/>
  <c r="A1095" i="2"/>
  <c r="E1094" i="2"/>
  <c r="F1094" i="2" s="1"/>
  <c r="D1094" i="2"/>
  <c r="C1094" i="2"/>
  <c r="B1094" i="2"/>
  <c r="G1094" i="2" s="1"/>
  <c r="I1094" i="2" s="1"/>
  <c r="A1094" i="2"/>
  <c r="G1093" i="2"/>
  <c r="I1093" i="2" s="1"/>
  <c r="E1093" i="2"/>
  <c r="F1093" i="2" s="1"/>
  <c r="D1093" i="2"/>
  <c r="C1093" i="2"/>
  <c r="B1093" i="2"/>
  <c r="A1093" i="2"/>
  <c r="G1092" i="2"/>
  <c r="I1092" i="2" s="1"/>
  <c r="F1092" i="2"/>
  <c r="E1092" i="2"/>
  <c r="D1092" i="2"/>
  <c r="C1092" i="2"/>
  <c r="B1092" i="2"/>
  <c r="A1092" i="2"/>
  <c r="E1091" i="2"/>
  <c r="F1091" i="2" s="1"/>
  <c r="D1091" i="2"/>
  <c r="C1091" i="2"/>
  <c r="B1091" i="2"/>
  <c r="A1091" i="2"/>
  <c r="E1090" i="2"/>
  <c r="F1090" i="2" s="1"/>
  <c r="D1090" i="2"/>
  <c r="C1090" i="2"/>
  <c r="B1090" i="2"/>
  <c r="G1090" i="2" s="1"/>
  <c r="I1090" i="2" s="1"/>
  <c r="A1090" i="2"/>
  <c r="E1089" i="2"/>
  <c r="F1089" i="2" s="1"/>
  <c r="D1089" i="2"/>
  <c r="C1089" i="2"/>
  <c r="B1089" i="2"/>
  <c r="G1089" i="2" s="1"/>
  <c r="I1089" i="2" s="1"/>
  <c r="A1089" i="2"/>
  <c r="G1088" i="2"/>
  <c r="I1088" i="2" s="1"/>
  <c r="F1088" i="2"/>
  <c r="E1088" i="2"/>
  <c r="D1088" i="2"/>
  <c r="C1088" i="2"/>
  <c r="B1088" i="2"/>
  <c r="A1088" i="2"/>
  <c r="F1087" i="2"/>
  <c r="E1087" i="2"/>
  <c r="D1087" i="2"/>
  <c r="C1087" i="2"/>
  <c r="B1087" i="2"/>
  <c r="A1087" i="2"/>
  <c r="E1086" i="2"/>
  <c r="F1086" i="2" s="1"/>
  <c r="D1086" i="2"/>
  <c r="C1086" i="2"/>
  <c r="B1086" i="2"/>
  <c r="G1086" i="2" s="1"/>
  <c r="I1086" i="2" s="1"/>
  <c r="A1086" i="2"/>
  <c r="I1085" i="2"/>
  <c r="E1085" i="2"/>
  <c r="F1085" i="2" s="1"/>
  <c r="D1085" i="2"/>
  <c r="C1085" i="2"/>
  <c r="B1085" i="2"/>
  <c r="G1085" i="2" s="1"/>
  <c r="A1085" i="2"/>
  <c r="G1084" i="2"/>
  <c r="I1084" i="2" s="1"/>
  <c r="F1084" i="2"/>
  <c r="E1084" i="2"/>
  <c r="D1084" i="2"/>
  <c r="C1084" i="2"/>
  <c r="B1084" i="2"/>
  <c r="A1084" i="2"/>
  <c r="E1083" i="2"/>
  <c r="F1083" i="2" s="1"/>
  <c r="D1083" i="2"/>
  <c r="C1083" i="2"/>
  <c r="B1083" i="2"/>
  <c r="G1083" i="2" s="1"/>
  <c r="I1083" i="2" s="1"/>
  <c r="A1083" i="2"/>
  <c r="G1082" i="2"/>
  <c r="I1082" i="2" s="1"/>
  <c r="E1082" i="2"/>
  <c r="F1082" i="2" s="1"/>
  <c r="D1082" i="2"/>
  <c r="C1082" i="2"/>
  <c r="B1082" i="2"/>
  <c r="A1082" i="2"/>
  <c r="E1081" i="2"/>
  <c r="F1081" i="2" s="1"/>
  <c r="D1081" i="2"/>
  <c r="C1081" i="2"/>
  <c r="B1081" i="2"/>
  <c r="G1081" i="2" s="1"/>
  <c r="I1081" i="2" s="1"/>
  <c r="A1081" i="2"/>
  <c r="G1080" i="2"/>
  <c r="I1080" i="2" s="1"/>
  <c r="F1080" i="2"/>
  <c r="E1080" i="2"/>
  <c r="D1080" i="2"/>
  <c r="C1080" i="2"/>
  <c r="B1080" i="2"/>
  <c r="A1080" i="2"/>
  <c r="F1079" i="2"/>
  <c r="E1079" i="2"/>
  <c r="D1079" i="2"/>
  <c r="C1079" i="2"/>
  <c r="B1079" i="2"/>
  <c r="A1079" i="2"/>
  <c r="E1078" i="2"/>
  <c r="F1078" i="2" s="1"/>
  <c r="D1078" i="2"/>
  <c r="C1078" i="2"/>
  <c r="B1078" i="2"/>
  <c r="G1078" i="2" s="1"/>
  <c r="I1078" i="2" s="1"/>
  <c r="A1078" i="2"/>
  <c r="G1077" i="2"/>
  <c r="I1077" i="2" s="1"/>
  <c r="E1077" i="2"/>
  <c r="F1077" i="2" s="1"/>
  <c r="D1077" i="2"/>
  <c r="C1077" i="2"/>
  <c r="B1077" i="2"/>
  <c r="A1077" i="2"/>
  <c r="I1076" i="2"/>
  <c r="G1076" i="2"/>
  <c r="F1076" i="2"/>
  <c r="H1076" i="2" s="1"/>
  <c r="E1076" i="2"/>
  <c r="D1076" i="2"/>
  <c r="C1076" i="2"/>
  <c r="B1076" i="2"/>
  <c r="A1076" i="2"/>
  <c r="F1075" i="2"/>
  <c r="E1075" i="2"/>
  <c r="D1075" i="2"/>
  <c r="C1075" i="2"/>
  <c r="B1075" i="2"/>
  <c r="A1075" i="2"/>
  <c r="G1074" i="2"/>
  <c r="I1074" i="2" s="1"/>
  <c r="E1074" i="2"/>
  <c r="F1074" i="2" s="1"/>
  <c r="H1074" i="2" s="1"/>
  <c r="D1074" i="2"/>
  <c r="C1074" i="2"/>
  <c r="B1074" i="2"/>
  <c r="A1074" i="2"/>
  <c r="I1073" i="2"/>
  <c r="E1073" i="2"/>
  <c r="F1073" i="2" s="1"/>
  <c r="D1073" i="2"/>
  <c r="C1073" i="2"/>
  <c r="B1073" i="2"/>
  <c r="G1073" i="2" s="1"/>
  <c r="A1073" i="2"/>
  <c r="I1072" i="2"/>
  <c r="H1072" i="2"/>
  <c r="G1072" i="2"/>
  <c r="F1072" i="2"/>
  <c r="E1072" i="2"/>
  <c r="D1072" i="2"/>
  <c r="C1072" i="2"/>
  <c r="B1072" i="2"/>
  <c r="A1072" i="2"/>
  <c r="F1071" i="2"/>
  <c r="E1071" i="2"/>
  <c r="D1071" i="2"/>
  <c r="C1071" i="2"/>
  <c r="B1071" i="2"/>
  <c r="G1071" i="2" s="1"/>
  <c r="I1071" i="2" s="1"/>
  <c r="A1071" i="2"/>
  <c r="E1070" i="2"/>
  <c r="F1070" i="2" s="1"/>
  <c r="D1070" i="2"/>
  <c r="C1070" i="2"/>
  <c r="B1070" i="2"/>
  <c r="G1070" i="2" s="1"/>
  <c r="I1070" i="2" s="1"/>
  <c r="A1070" i="2"/>
  <c r="G1069" i="2"/>
  <c r="I1069" i="2" s="1"/>
  <c r="E1069" i="2"/>
  <c r="F1069" i="2" s="1"/>
  <c r="D1069" i="2"/>
  <c r="C1069" i="2"/>
  <c r="B1069" i="2"/>
  <c r="A1069" i="2"/>
  <c r="G1068" i="2"/>
  <c r="I1068" i="2" s="1"/>
  <c r="F1068" i="2"/>
  <c r="E1068" i="2"/>
  <c r="D1068" i="2"/>
  <c r="C1068" i="2"/>
  <c r="B1068" i="2"/>
  <c r="A1068" i="2"/>
  <c r="F1067" i="2"/>
  <c r="E1067" i="2"/>
  <c r="D1067" i="2"/>
  <c r="C1067" i="2"/>
  <c r="B1067" i="2"/>
  <c r="G1067" i="2" s="1"/>
  <c r="I1067" i="2" s="1"/>
  <c r="A1067" i="2"/>
  <c r="E1066" i="2"/>
  <c r="F1066" i="2" s="1"/>
  <c r="H1066" i="2" s="1"/>
  <c r="D1066" i="2"/>
  <c r="C1066" i="2"/>
  <c r="B1066" i="2"/>
  <c r="G1066" i="2" s="1"/>
  <c r="I1066" i="2" s="1"/>
  <c r="A1066" i="2"/>
  <c r="E1065" i="2"/>
  <c r="F1065" i="2" s="1"/>
  <c r="H1065" i="2" s="1"/>
  <c r="D1065" i="2"/>
  <c r="C1065" i="2"/>
  <c r="B1065" i="2"/>
  <c r="G1065" i="2" s="1"/>
  <c r="I1065" i="2" s="1"/>
  <c r="A1065" i="2"/>
  <c r="G1064" i="2"/>
  <c r="F1064" i="2"/>
  <c r="E1064" i="2"/>
  <c r="D1064" i="2"/>
  <c r="C1064" i="2"/>
  <c r="B1064" i="2"/>
  <c r="A1064" i="2"/>
  <c r="F1063" i="2"/>
  <c r="E1063" i="2"/>
  <c r="D1063" i="2"/>
  <c r="C1063" i="2"/>
  <c r="B1063" i="2"/>
  <c r="A1063" i="2"/>
  <c r="G1062" i="2"/>
  <c r="I1062" i="2" s="1"/>
  <c r="E1062" i="2"/>
  <c r="F1062" i="2" s="1"/>
  <c r="D1062" i="2"/>
  <c r="C1062" i="2"/>
  <c r="B1062" i="2"/>
  <c r="A1062" i="2"/>
  <c r="I1061" i="2"/>
  <c r="E1061" i="2"/>
  <c r="F1061" i="2" s="1"/>
  <c r="D1061" i="2"/>
  <c r="C1061" i="2"/>
  <c r="B1061" i="2"/>
  <c r="G1061" i="2" s="1"/>
  <c r="A1061" i="2"/>
  <c r="E1060" i="2"/>
  <c r="F1060" i="2" s="1"/>
  <c r="D1060" i="2"/>
  <c r="C1060" i="2"/>
  <c r="B1060" i="2"/>
  <c r="G1060" i="2" s="1"/>
  <c r="I1060" i="2" s="1"/>
  <c r="A1060" i="2"/>
  <c r="F1059" i="2"/>
  <c r="E1059" i="2"/>
  <c r="D1059" i="2"/>
  <c r="C1059" i="2"/>
  <c r="B1059" i="2"/>
  <c r="G1059" i="2" s="1"/>
  <c r="A1059" i="2"/>
  <c r="E1058" i="2"/>
  <c r="F1058" i="2" s="1"/>
  <c r="D1058" i="2"/>
  <c r="C1058" i="2"/>
  <c r="G1058" i="2" s="1"/>
  <c r="B1058" i="2"/>
  <c r="A1058" i="2"/>
  <c r="E1057" i="2"/>
  <c r="F1057" i="2" s="1"/>
  <c r="D1057" i="2"/>
  <c r="C1057" i="2"/>
  <c r="B1057" i="2"/>
  <c r="G1057" i="2" s="1"/>
  <c r="I1057" i="2" s="1"/>
  <c r="A1057" i="2"/>
  <c r="F1056" i="2"/>
  <c r="E1056" i="2"/>
  <c r="D1056" i="2"/>
  <c r="C1056" i="2"/>
  <c r="B1056" i="2"/>
  <c r="G1056" i="2" s="1"/>
  <c r="A1056" i="2"/>
  <c r="E1055" i="2"/>
  <c r="F1055" i="2" s="1"/>
  <c r="H1055" i="2" s="1"/>
  <c r="D1055" i="2"/>
  <c r="C1055" i="2"/>
  <c r="B1055" i="2"/>
  <c r="G1055" i="2" s="1"/>
  <c r="I1055" i="2" s="1"/>
  <c r="A1055" i="2"/>
  <c r="E1054" i="2"/>
  <c r="F1054" i="2" s="1"/>
  <c r="D1054" i="2"/>
  <c r="C1054" i="2"/>
  <c r="B1054" i="2"/>
  <c r="G1054" i="2" s="1"/>
  <c r="I1054" i="2" s="1"/>
  <c r="A1054" i="2"/>
  <c r="I1053" i="2"/>
  <c r="G1053" i="2"/>
  <c r="H1053" i="2" s="1"/>
  <c r="E1053" i="2"/>
  <c r="F1053" i="2" s="1"/>
  <c r="D1053" i="2"/>
  <c r="C1053" i="2"/>
  <c r="B1053" i="2"/>
  <c r="A1053" i="2"/>
  <c r="E1052" i="2"/>
  <c r="F1052" i="2" s="1"/>
  <c r="D1052" i="2"/>
  <c r="C1052" i="2"/>
  <c r="B1052" i="2"/>
  <c r="G1052" i="2" s="1"/>
  <c r="I1052" i="2" s="1"/>
  <c r="A1052" i="2"/>
  <c r="G1051" i="2"/>
  <c r="I1051" i="2" s="1"/>
  <c r="E1051" i="2"/>
  <c r="F1051" i="2" s="1"/>
  <c r="D1051" i="2"/>
  <c r="C1051" i="2"/>
  <c r="B1051" i="2"/>
  <c r="A1051" i="2"/>
  <c r="G1050" i="2"/>
  <c r="I1050" i="2" s="1"/>
  <c r="F1050" i="2"/>
  <c r="E1050" i="2"/>
  <c r="D1050" i="2"/>
  <c r="C1050" i="2"/>
  <c r="B1050" i="2"/>
  <c r="A1050" i="2"/>
  <c r="H1049" i="2"/>
  <c r="G1049" i="2"/>
  <c r="I1049" i="2" s="1"/>
  <c r="F1049" i="2"/>
  <c r="E1049" i="2"/>
  <c r="D1049" i="2"/>
  <c r="C1049" i="2"/>
  <c r="B1049" i="2"/>
  <c r="A1049" i="2"/>
  <c r="E1048" i="2"/>
  <c r="F1048" i="2" s="1"/>
  <c r="D1048" i="2"/>
  <c r="C1048" i="2"/>
  <c r="B1048" i="2"/>
  <c r="G1048" i="2" s="1"/>
  <c r="I1048" i="2" s="1"/>
  <c r="A1048" i="2"/>
  <c r="G1047" i="2"/>
  <c r="I1047" i="2" s="1"/>
  <c r="E1047" i="2"/>
  <c r="F1047" i="2" s="1"/>
  <c r="D1047" i="2"/>
  <c r="C1047" i="2"/>
  <c r="B1047" i="2"/>
  <c r="A1047" i="2"/>
  <c r="G1046" i="2"/>
  <c r="I1046" i="2" s="1"/>
  <c r="F1046" i="2"/>
  <c r="E1046" i="2"/>
  <c r="D1046" i="2"/>
  <c r="C1046" i="2"/>
  <c r="B1046" i="2"/>
  <c r="A1046" i="2"/>
  <c r="G1045" i="2"/>
  <c r="I1045" i="2" s="1"/>
  <c r="F1045" i="2"/>
  <c r="E1045" i="2"/>
  <c r="D1045" i="2"/>
  <c r="C1045" i="2"/>
  <c r="B1045" i="2"/>
  <c r="A1045" i="2"/>
  <c r="E1044" i="2"/>
  <c r="F1044" i="2" s="1"/>
  <c r="D1044" i="2"/>
  <c r="C1044" i="2"/>
  <c r="B1044" i="2"/>
  <c r="G1044" i="2" s="1"/>
  <c r="I1044" i="2" s="1"/>
  <c r="A1044" i="2"/>
  <c r="G1043" i="2"/>
  <c r="I1043" i="2" s="1"/>
  <c r="E1043" i="2"/>
  <c r="F1043" i="2" s="1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I1041" i="2" s="1"/>
  <c r="F1041" i="2"/>
  <c r="H1041" i="2" s="1"/>
  <c r="E1041" i="2"/>
  <c r="D1041" i="2"/>
  <c r="C1041" i="2"/>
  <c r="B1041" i="2"/>
  <c r="A1041" i="2"/>
  <c r="E1040" i="2"/>
  <c r="F1040" i="2" s="1"/>
  <c r="H1040" i="2" s="1"/>
  <c r="D1040" i="2"/>
  <c r="C1040" i="2"/>
  <c r="B1040" i="2"/>
  <c r="G1040" i="2" s="1"/>
  <c r="I1040" i="2" s="1"/>
  <c r="A1040" i="2"/>
  <c r="G1039" i="2"/>
  <c r="I1039" i="2" s="1"/>
  <c r="E1039" i="2"/>
  <c r="F1039" i="2" s="1"/>
  <c r="D1039" i="2"/>
  <c r="C1039" i="2"/>
  <c r="B1039" i="2"/>
  <c r="A1039" i="2"/>
  <c r="H1038" i="2"/>
  <c r="G1038" i="2"/>
  <c r="I1038" i="2" s="1"/>
  <c r="F1038" i="2"/>
  <c r="E1038" i="2"/>
  <c r="D1038" i="2"/>
  <c r="C1038" i="2"/>
  <c r="B1038" i="2"/>
  <c r="A1038" i="2"/>
  <c r="G1037" i="2"/>
  <c r="I1037" i="2" s="1"/>
  <c r="F1037" i="2"/>
  <c r="H1037" i="2" s="1"/>
  <c r="E1037" i="2"/>
  <c r="D1037" i="2"/>
  <c r="C1037" i="2"/>
  <c r="B1037" i="2"/>
  <c r="A1037" i="2"/>
  <c r="E1036" i="2"/>
  <c r="F1036" i="2" s="1"/>
  <c r="D1036" i="2"/>
  <c r="C1036" i="2"/>
  <c r="G1036" i="2" s="1"/>
  <c r="I1036" i="2" s="1"/>
  <c r="B1036" i="2"/>
  <c r="A1036" i="2"/>
  <c r="E1035" i="2"/>
  <c r="F1035" i="2" s="1"/>
  <c r="D1035" i="2"/>
  <c r="C1035" i="2"/>
  <c r="B1035" i="2"/>
  <c r="G1035" i="2" s="1"/>
  <c r="I1035" i="2" s="1"/>
  <c r="A1035" i="2"/>
  <c r="I1034" i="2"/>
  <c r="H1034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E1032" i="2"/>
  <c r="F1032" i="2" s="1"/>
  <c r="D1032" i="2"/>
  <c r="C1032" i="2"/>
  <c r="G1032" i="2" s="1"/>
  <c r="I1032" i="2" s="1"/>
  <c r="B1032" i="2"/>
  <c r="A1032" i="2"/>
  <c r="E1031" i="2"/>
  <c r="F1031" i="2" s="1"/>
  <c r="D1031" i="2"/>
  <c r="C1031" i="2"/>
  <c r="B1031" i="2"/>
  <c r="G1031" i="2" s="1"/>
  <c r="I1031" i="2" s="1"/>
  <c r="A1031" i="2"/>
  <c r="H1030" i="2"/>
  <c r="G1030" i="2"/>
  <c r="I1030" i="2" s="1"/>
  <c r="F1030" i="2"/>
  <c r="E1030" i="2"/>
  <c r="D1030" i="2"/>
  <c r="C1030" i="2"/>
  <c r="B1030" i="2"/>
  <c r="A1030" i="2"/>
  <c r="G1029" i="2"/>
  <c r="I1029" i="2" s="1"/>
  <c r="E1029" i="2"/>
  <c r="F1029" i="2" s="1"/>
  <c r="D1029" i="2"/>
  <c r="C1029" i="2"/>
  <c r="B1029" i="2"/>
  <c r="A1029" i="2"/>
  <c r="G1028" i="2"/>
  <c r="I1028" i="2" s="1"/>
  <c r="E1028" i="2"/>
  <c r="F1028" i="2" s="1"/>
  <c r="D1028" i="2"/>
  <c r="C1028" i="2"/>
  <c r="B1028" i="2"/>
  <c r="A1028" i="2"/>
  <c r="E1027" i="2"/>
  <c r="F1027" i="2" s="1"/>
  <c r="D1027" i="2"/>
  <c r="C1027" i="2"/>
  <c r="B1027" i="2"/>
  <c r="G1027" i="2" s="1"/>
  <c r="I1027" i="2" s="1"/>
  <c r="A1027" i="2"/>
  <c r="G1026" i="2"/>
  <c r="I1026" i="2" s="1"/>
  <c r="F1026" i="2"/>
  <c r="E1026" i="2"/>
  <c r="D1026" i="2"/>
  <c r="C1026" i="2"/>
  <c r="B1026" i="2"/>
  <c r="A1026" i="2"/>
  <c r="G1025" i="2"/>
  <c r="I1025" i="2" s="1"/>
  <c r="E1025" i="2"/>
  <c r="F1025" i="2" s="1"/>
  <c r="D1025" i="2"/>
  <c r="C1025" i="2"/>
  <c r="B1025" i="2"/>
  <c r="A1025" i="2"/>
  <c r="G1024" i="2"/>
  <c r="I1024" i="2" s="1"/>
  <c r="E1024" i="2"/>
  <c r="F1024" i="2" s="1"/>
  <c r="D1024" i="2"/>
  <c r="C1024" i="2"/>
  <c r="B1024" i="2"/>
  <c r="A1024" i="2"/>
  <c r="E1023" i="2"/>
  <c r="F1023" i="2" s="1"/>
  <c r="D1023" i="2"/>
  <c r="C1023" i="2"/>
  <c r="B1023" i="2"/>
  <c r="G1023" i="2" s="1"/>
  <c r="I1023" i="2" s="1"/>
  <c r="A1023" i="2"/>
  <c r="G1022" i="2"/>
  <c r="I1022" i="2" s="1"/>
  <c r="F1022" i="2"/>
  <c r="E1022" i="2"/>
  <c r="D1022" i="2"/>
  <c r="C1022" i="2"/>
  <c r="B1022" i="2"/>
  <c r="A1022" i="2"/>
  <c r="G1021" i="2"/>
  <c r="I1021" i="2" s="1"/>
  <c r="E1021" i="2"/>
  <c r="F1021" i="2" s="1"/>
  <c r="D1021" i="2"/>
  <c r="C1021" i="2"/>
  <c r="B1021" i="2"/>
  <c r="A1021" i="2"/>
  <c r="G1020" i="2"/>
  <c r="I1020" i="2" s="1"/>
  <c r="E1020" i="2"/>
  <c r="F1020" i="2" s="1"/>
  <c r="D1020" i="2"/>
  <c r="C1020" i="2"/>
  <c r="B1020" i="2"/>
  <c r="A1020" i="2"/>
  <c r="E1019" i="2"/>
  <c r="F1019" i="2" s="1"/>
  <c r="D1019" i="2"/>
  <c r="C1019" i="2"/>
  <c r="B1019" i="2"/>
  <c r="G1019" i="2" s="1"/>
  <c r="I1019" i="2" s="1"/>
  <c r="A1019" i="2"/>
  <c r="G1018" i="2"/>
  <c r="H1018" i="2" s="1"/>
  <c r="F1018" i="2"/>
  <c r="E1018" i="2"/>
  <c r="D1018" i="2"/>
  <c r="C1018" i="2"/>
  <c r="B1018" i="2"/>
  <c r="A1018" i="2"/>
  <c r="G1017" i="2"/>
  <c r="I1017" i="2" s="1"/>
  <c r="E1017" i="2"/>
  <c r="F1017" i="2" s="1"/>
  <c r="D1017" i="2"/>
  <c r="C1017" i="2"/>
  <c r="B1017" i="2"/>
  <c r="A1017" i="2"/>
  <c r="G1016" i="2"/>
  <c r="I1016" i="2" s="1"/>
  <c r="E1016" i="2"/>
  <c r="F1016" i="2" s="1"/>
  <c r="D1016" i="2"/>
  <c r="C1016" i="2"/>
  <c r="B1016" i="2"/>
  <c r="A1016" i="2"/>
  <c r="E1015" i="2"/>
  <c r="F1015" i="2" s="1"/>
  <c r="D1015" i="2"/>
  <c r="C1015" i="2"/>
  <c r="B1015" i="2"/>
  <c r="G1015" i="2" s="1"/>
  <c r="I1015" i="2" s="1"/>
  <c r="A1015" i="2"/>
  <c r="I1014" i="2"/>
  <c r="G1014" i="2"/>
  <c r="H1014" i="2" s="1"/>
  <c r="F1014" i="2"/>
  <c r="E1014" i="2"/>
  <c r="D1014" i="2"/>
  <c r="C1014" i="2"/>
  <c r="B1014" i="2"/>
  <c r="A1014" i="2"/>
  <c r="G1013" i="2"/>
  <c r="I1013" i="2" s="1"/>
  <c r="E1013" i="2"/>
  <c r="F1013" i="2" s="1"/>
  <c r="H1013" i="2" s="1"/>
  <c r="D1013" i="2"/>
  <c r="C1013" i="2"/>
  <c r="B1013" i="2"/>
  <c r="A1013" i="2"/>
  <c r="E1012" i="2"/>
  <c r="F1012" i="2" s="1"/>
  <c r="D1012" i="2"/>
  <c r="C1012" i="2"/>
  <c r="B1012" i="2"/>
  <c r="G1012" i="2" s="1"/>
  <c r="I1012" i="2" s="1"/>
  <c r="A1012" i="2"/>
  <c r="G1011" i="2"/>
  <c r="I1011" i="2" s="1"/>
  <c r="E1011" i="2"/>
  <c r="F1011" i="2" s="1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I1009" i="2" s="1"/>
  <c r="F1009" i="2"/>
  <c r="H1009" i="2" s="1"/>
  <c r="E1009" i="2"/>
  <c r="D1009" i="2"/>
  <c r="C1009" i="2"/>
  <c r="B1009" i="2"/>
  <c r="A1009" i="2"/>
  <c r="E1008" i="2"/>
  <c r="F1008" i="2" s="1"/>
  <c r="D1008" i="2"/>
  <c r="C1008" i="2"/>
  <c r="B1008" i="2"/>
  <c r="G1008" i="2" s="1"/>
  <c r="I1008" i="2" s="1"/>
  <c r="A1008" i="2"/>
  <c r="G1007" i="2"/>
  <c r="I1007" i="2" s="1"/>
  <c r="E1007" i="2"/>
  <c r="F1007" i="2" s="1"/>
  <c r="D1007" i="2"/>
  <c r="C1007" i="2"/>
  <c r="B1007" i="2"/>
  <c r="A1007" i="2"/>
  <c r="G1006" i="2"/>
  <c r="I1006" i="2" s="1"/>
  <c r="F1006" i="2"/>
  <c r="E1006" i="2"/>
  <c r="D1006" i="2"/>
  <c r="C1006" i="2"/>
  <c r="B1006" i="2"/>
  <c r="A1006" i="2"/>
  <c r="H1005" i="2"/>
  <c r="G1005" i="2"/>
  <c r="I1005" i="2" s="1"/>
  <c r="F1005" i="2"/>
  <c r="E1005" i="2"/>
  <c r="D1005" i="2"/>
  <c r="C1005" i="2"/>
  <c r="B1005" i="2"/>
  <c r="A1005" i="2"/>
  <c r="E1004" i="2"/>
  <c r="F1004" i="2" s="1"/>
  <c r="H1004" i="2" s="1"/>
  <c r="D1004" i="2"/>
  <c r="C1004" i="2"/>
  <c r="G1004" i="2" s="1"/>
  <c r="I1004" i="2" s="1"/>
  <c r="B1004" i="2"/>
  <c r="A1004" i="2"/>
  <c r="E1003" i="2"/>
  <c r="F1003" i="2" s="1"/>
  <c r="D1003" i="2"/>
  <c r="C1003" i="2"/>
  <c r="B1003" i="2"/>
  <c r="G1003" i="2" s="1"/>
  <c r="I1003" i="2" s="1"/>
  <c r="A1003" i="2"/>
  <c r="F1002" i="2"/>
  <c r="E1002" i="2"/>
  <c r="D1002" i="2"/>
  <c r="C1002" i="2"/>
  <c r="B1002" i="2"/>
  <c r="G1002" i="2" s="1"/>
  <c r="A1002" i="2"/>
  <c r="G1001" i="2"/>
  <c r="I1001" i="2" s="1"/>
  <c r="E1001" i="2"/>
  <c r="F1001" i="2" s="1"/>
  <c r="D1001" i="2"/>
  <c r="C1001" i="2"/>
  <c r="B1001" i="2"/>
  <c r="A1001" i="2"/>
  <c r="E1000" i="2"/>
  <c r="F1000" i="2" s="1"/>
  <c r="D1000" i="2"/>
  <c r="C1000" i="2"/>
  <c r="B1000" i="2"/>
  <c r="G1000" i="2" s="1"/>
  <c r="I1000" i="2" s="1"/>
  <c r="A1000" i="2"/>
  <c r="G999" i="2"/>
  <c r="I999" i="2" s="1"/>
  <c r="E999" i="2"/>
  <c r="F999" i="2" s="1"/>
  <c r="D999" i="2"/>
  <c r="C999" i="2"/>
  <c r="B999" i="2"/>
  <c r="A999" i="2"/>
  <c r="G998" i="2"/>
  <c r="I998" i="2" s="1"/>
  <c r="F998" i="2"/>
  <c r="E998" i="2"/>
  <c r="D998" i="2"/>
  <c r="C998" i="2"/>
  <c r="B998" i="2"/>
  <c r="A998" i="2"/>
  <c r="G997" i="2"/>
  <c r="I997" i="2" s="1"/>
  <c r="F997" i="2"/>
  <c r="E997" i="2"/>
  <c r="D997" i="2"/>
  <c r="C997" i="2"/>
  <c r="B997" i="2"/>
  <c r="A997" i="2"/>
  <c r="E996" i="2"/>
  <c r="F996" i="2" s="1"/>
  <c r="D996" i="2"/>
  <c r="C996" i="2"/>
  <c r="G996" i="2" s="1"/>
  <c r="I996" i="2" s="1"/>
  <c r="B996" i="2"/>
  <c r="A996" i="2"/>
  <c r="E995" i="2"/>
  <c r="F995" i="2" s="1"/>
  <c r="D995" i="2"/>
  <c r="C995" i="2"/>
  <c r="B995" i="2"/>
  <c r="G995" i="2" s="1"/>
  <c r="I995" i="2" s="1"/>
  <c r="A995" i="2"/>
  <c r="F994" i="2"/>
  <c r="E994" i="2"/>
  <c r="D994" i="2"/>
  <c r="C994" i="2"/>
  <c r="B994" i="2"/>
  <c r="G994" i="2" s="1"/>
  <c r="A994" i="2"/>
  <c r="G993" i="2"/>
  <c r="I993" i="2" s="1"/>
  <c r="E993" i="2"/>
  <c r="F993" i="2" s="1"/>
  <c r="H993" i="2" s="1"/>
  <c r="D993" i="2"/>
  <c r="C993" i="2"/>
  <c r="B993" i="2"/>
  <c r="A993" i="2"/>
  <c r="E992" i="2"/>
  <c r="F992" i="2" s="1"/>
  <c r="D992" i="2"/>
  <c r="C992" i="2"/>
  <c r="B992" i="2"/>
  <c r="G992" i="2" s="1"/>
  <c r="I992" i="2" s="1"/>
  <c r="A992" i="2"/>
  <c r="G991" i="2"/>
  <c r="I991" i="2" s="1"/>
  <c r="E991" i="2"/>
  <c r="F991" i="2" s="1"/>
  <c r="D991" i="2"/>
  <c r="C991" i="2"/>
  <c r="B991" i="2"/>
  <c r="A991" i="2"/>
  <c r="G990" i="2"/>
  <c r="I990" i="2" s="1"/>
  <c r="F990" i="2"/>
  <c r="E990" i="2"/>
  <c r="D990" i="2"/>
  <c r="C990" i="2"/>
  <c r="B990" i="2"/>
  <c r="A990" i="2"/>
  <c r="G989" i="2"/>
  <c r="I989" i="2" s="1"/>
  <c r="F989" i="2"/>
  <c r="H989" i="2" s="1"/>
  <c r="E989" i="2"/>
  <c r="D989" i="2"/>
  <c r="C989" i="2"/>
  <c r="B989" i="2"/>
  <c r="A989" i="2"/>
  <c r="E988" i="2"/>
  <c r="F988" i="2" s="1"/>
  <c r="D988" i="2"/>
  <c r="C988" i="2"/>
  <c r="G988" i="2" s="1"/>
  <c r="I988" i="2" s="1"/>
  <c r="B988" i="2"/>
  <c r="A988" i="2"/>
  <c r="E987" i="2"/>
  <c r="F987" i="2" s="1"/>
  <c r="D987" i="2"/>
  <c r="C987" i="2"/>
  <c r="B987" i="2"/>
  <c r="G987" i="2" s="1"/>
  <c r="I987" i="2" s="1"/>
  <c r="A987" i="2"/>
  <c r="F986" i="2"/>
  <c r="E986" i="2"/>
  <c r="D986" i="2"/>
  <c r="C986" i="2"/>
  <c r="B986" i="2"/>
  <c r="G986" i="2" s="1"/>
  <c r="A986" i="2"/>
  <c r="G985" i="2"/>
  <c r="I985" i="2" s="1"/>
  <c r="E985" i="2"/>
  <c r="F985" i="2" s="1"/>
  <c r="D985" i="2"/>
  <c r="C985" i="2"/>
  <c r="B985" i="2"/>
  <c r="A985" i="2"/>
  <c r="E984" i="2"/>
  <c r="F984" i="2" s="1"/>
  <c r="D984" i="2"/>
  <c r="C984" i="2"/>
  <c r="B984" i="2"/>
  <c r="G984" i="2" s="1"/>
  <c r="I984" i="2" s="1"/>
  <c r="A984" i="2"/>
  <c r="G983" i="2"/>
  <c r="I983" i="2" s="1"/>
  <c r="E983" i="2"/>
  <c r="F983" i="2" s="1"/>
  <c r="D983" i="2"/>
  <c r="C983" i="2"/>
  <c r="B983" i="2"/>
  <c r="A983" i="2"/>
  <c r="G982" i="2"/>
  <c r="I982" i="2" s="1"/>
  <c r="F982" i="2"/>
  <c r="E982" i="2"/>
  <c r="D982" i="2"/>
  <c r="C982" i="2"/>
  <c r="B982" i="2"/>
  <c r="A982" i="2"/>
  <c r="G981" i="2"/>
  <c r="I981" i="2" s="1"/>
  <c r="F981" i="2"/>
  <c r="E981" i="2"/>
  <c r="D981" i="2"/>
  <c r="C981" i="2"/>
  <c r="B981" i="2"/>
  <c r="A981" i="2"/>
  <c r="E980" i="2"/>
  <c r="F980" i="2" s="1"/>
  <c r="D980" i="2"/>
  <c r="C980" i="2"/>
  <c r="G980" i="2" s="1"/>
  <c r="I980" i="2" s="1"/>
  <c r="B980" i="2"/>
  <c r="A980" i="2"/>
  <c r="E979" i="2"/>
  <c r="F979" i="2" s="1"/>
  <c r="D979" i="2"/>
  <c r="C979" i="2"/>
  <c r="B979" i="2"/>
  <c r="G979" i="2" s="1"/>
  <c r="I979" i="2" s="1"/>
  <c r="A979" i="2"/>
  <c r="F978" i="2"/>
  <c r="E978" i="2"/>
  <c r="D978" i="2"/>
  <c r="C978" i="2"/>
  <c r="B978" i="2"/>
  <c r="G978" i="2" s="1"/>
  <c r="A978" i="2"/>
  <c r="G977" i="2"/>
  <c r="I977" i="2" s="1"/>
  <c r="E977" i="2"/>
  <c r="F977" i="2" s="1"/>
  <c r="D977" i="2"/>
  <c r="C977" i="2"/>
  <c r="B977" i="2"/>
  <c r="A977" i="2"/>
  <c r="E976" i="2"/>
  <c r="F976" i="2" s="1"/>
  <c r="D976" i="2"/>
  <c r="C976" i="2"/>
  <c r="B976" i="2"/>
  <c r="G976" i="2" s="1"/>
  <c r="I976" i="2" s="1"/>
  <c r="A976" i="2"/>
  <c r="G975" i="2"/>
  <c r="I975" i="2" s="1"/>
  <c r="E975" i="2"/>
  <c r="F975" i="2" s="1"/>
  <c r="D975" i="2"/>
  <c r="C975" i="2"/>
  <c r="B975" i="2"/>
  <c r="A975" i="2"/>
  <c r="G974" i="2"/>
  <c r="I974" i="2" s="1"/>
  <c r="F974" i="2"/>
  <c r="E974" i="2"/>
  <c r="D974" i="2"/>
  <c r="C974" i="2"/>
  <c r="B974" i="2"/>
  <c r="A974" i="2"/>
  <c r="H973" i="2"/>
  <c r="G973" i="2"/>
  <c r="I973" i="2" s="1"/>
  <c r="F973" i="2"/>
  <c r="E973" i="2"/>
  <c r="D973" i="2"/>
  <c r="C973" i="2"/>
  <c r="B973" i="2"/>
  <c r="A973" i="2"/>
  <c r="E972" i="2"/>
  <c r="F972" i="2" s="1"/>
  <c r="D972" i="2"/>
  <c r="C972" i="2"/>
  <c r="G972" i="2" s="1"/>
  <c r="I972" i="2" s="1"/>
  <c r="B972" i="2"/>
  <c r="A972" i="2"/>
  <c r="E971" i="2"/>
  <c r="F971" i="2" s="1"/>
  <c r="D971" i="2"/>
  <c r="C971" i="2"/>
  <c r="B971" i="2"/>
  <c r="G971" i="2" s="1"/>
  <c r="I971" i="2" s="1"/>
  <c r="A971" i="2"/>
  <c r="F970" i="2"/>
  <c r="E970" i="2"/>
  <c r="D970" i="2"/>
  <c r="C970" i="2"/>
  <c r="B970" i="2"/>
  <c r="G970" i="2" s="1"/>
  <c r="A970" i="2"/>
  <c r="G969" i="2"/>
  <c r="I969" i="2" s="1"/>
  <c r="E969" i="2"/>
  <c r="F969" i="2" s="1"/>
  <c r="D969" i="2"/>
  <c r="C969" i="2"/>
  <c r="B969" i="2"/>
  <c r="A969" i="2"/>
  <c r="E968" i="2"/>
  <c r="F968" i="2" s="1"/>
  <c r="D968" i="2"/>
  <c r="C968" i="2"/>
  <c r="B968" i="2"/>
  <c r="G968" i="2" s="1"/>
  <c r="I968" i="2" s="1"/>
  <c r="A968" i="2"/>
  <c r="G967" i="2"/>
  <c r="I967" i="2" s="1"/>
  <c r="E967" i="2"/>
  <c r="F967" i="2" s="1"/>
  <c r="D967" i="2"/>
  <c r="C967" i="2"/>
  <c r="B967" i="2"/>
  <c r="A967" i="2"/>
  <c r="G966" i="2"/>
  <c r="I966" i="2" s="1"/>
  <c r="F966" i="2"/>
  <c r="E966" i="2"/>
  <c r="D966" i="2"/>
  <c r="C966" i="2"/>
  <c r="B966" i="2"/>
  <c r="A966" i="2"/>
  <c r="H965" i="2"/>
  <c r="G965" i="2"/>
  <c r="I965" i="2" s="1"/>
  <c r="F965" i="2"/>
  <c r="E965" i="2"/>
  <c r="D965" i="2"/>
  <c r="C965" i="2"/>
  <c r="B965" i="2"/>
  <c r="A965" i="2"/>
  <c r="E964" i="2"/>
  <c r="F964" i="2" s="1"/>
  <c r="D964" i="2"/>
  <c r="C964" i="2"/>
  <c r="G964" i="2" s="1"/>
  <c r="I964" i="2" s="1"/>
  <c r="B964" i="2"/>
  <c r="A964" i="2"/>
  <c r="E963" i="2"/>
  <c r="F963" i="2" s="1"/>
  <c r="D963" i="2"/>
  <c r="C963" i="2"/>
  <c r="B963" i="2"/>
  <c r="G963" i="2" s="1"/>
  <c r="I963" i="2" s="1"/>
  <c r="A963" i="2"/>
  <c r="F962" i="2"/>
  <c r="E962" i="2"/>
  <c r="D962" i="2"/>
  <c r="C962" i="2"/>
  <c r="B962" i="2"/>
  <c r="G962" i="2" s="1"/>
  <c r="A962" i="2"/>
  <c r="G961" i="2"/>
  <c r="I961" i="2" s="1"/>
  <c r="E961" i="2"/>
  <c r="F961" i="2" s="1"/>
  <c r="D961" i="2"/>
  <c r="C961" i="2"/>
  <c r="B961" i="2"/>
  <c r="A961" i="2"/>
  <c r="E960" i="2"/>
  <c r="F960" i="2" s="1"/>
  <c r="D960" i="2"/>
  <c r="C960" i="2"/>
  <c r="B960" i="2"/>
  <c r="G960" i="2" s="1"/>
  <c r="A960" i="2"/>
  <c r="G959" i="2"/>
  <c r="I959" i="2" s="1"/>
  <c r="E959" i="2"/>
  <c r="F959" i="2" s="1"/>
  <c r="D959" i="2"/>
  <c r="C959" i="2"/>
  <c r="B959" i="2"/>
  <c r="A959" i="2"/>
  <c r="G958" i="2"/>
  <c r="I958" i="2" s="1"/>
  <c r="F958" i="2"/>
  <c r="E958" i="2"/>
  <c r="D958" i="2"/>
  <c r="C958" i="2"/>
  <c r="B958" i="2"/>
  <c r="A958" i="2"/>
  <c r="H957" i="2"/>
  <c r="G957" i="2"/>
  <c r="I957" i="2" s="1"/>
  <c r="F957" i="2"/>
  <c r="E957" i="2"/>
  <c r="D957" i="2"/>
  <c r="C957" i="2"/>
  <c r="B957" i="2"/>
  <c r="A957" i="2"/>
  <c r="E956" i="2"/>
  <c r="F956" i="2" s="1"/>
  <c r="D956" i="2"/>
  <c r="C956" i="2"/>
  <c r="G956" i="2" s="1"/>
  <c r="I956" i="2" s="1"/>
  <c r="B956" i="2"/>
  <c r="A956" i="2"/>
  <c r="E955" i="2"/>
  <c r="F955" i="2" s="1"/>
  <c r="D955" i="2"/>
  <c r="C955" i="2"/>
  <c r="B955" i="2"/>
  <c r="G955" i="2" s="1"/>
  <c r="I955" i="2" s="1"/>
  <c r="A955" i="2"/>
  <c r="F954" i="2"/>
  <c r="E954" i="2"/>
  <c r="D954" i="2"/>
  <c r="C954" i="2"/>
  <c r="B954" i="2"/>
  <c r="G954" i="2" s="1"/>
  <c r="H954" i="2" s="1"/>
  <c r="A954" i="2"/>
  <c r="G953" i="2"/>
  <c r="I953" i="2" s="1"/>
  <c r="E953" i="2"/>
  <c r="F953" i="2" s="1"/>
  <c r="D953" i="2"/>
  <c r="C953" i="2"/>
  <c r="B953" i="2"/>
  <c r="A953" i="2"/>
  <c r="E952" i="2"/>
  <c r="F952" i="2" s="1"/>
  <c r="D952" i="2"/>
  <c r="C952" i="2"/>
  <c r="B952" i="2"/>
  <c r="G952" i="2" s="1"/>
  <c r="I952" i="2" s="1"/>
  <c r="A952" i="2"/>
  <c r="G951" i="2"/>
  <c r="I951" i="2" s="1"/>
  <c r="E951" i="2"/>
  <c r="F951" i="2" s="1"/>
  <c r="D951" i="2"/>
  <c r="C951" i="2"/>
  <c r="B951" i="2"/>
  <c r="A951" i="2"/>
  <c r="G950" i="2"/>
  <c r="I950" i="2" s="1"/>
  <c r="F950" i="2"/>
  <c r="E950" i="2"/>
  <c r="D950" i="2"/>
  <c r="C950" i="2"/>
  <c r="B950" i="2"/>
  <c r="A950" i="2"/>
  <c r="G949" i="2"/>
  <c r="I949" i="2" s="1"/>
  <c r="F949" i="2"/>
  <c r="E949" i="2"/>
  <c r="D949" i="2"/>
  <c r="C949" i="2"/>
  <c r="B949" i="2"/>
  <c r="A949" i="2"/>
  <c r="G948" i="2"/>
  <c r="I948" i="2" s="1"/>
  <c r="E948" i="2"/>
  <c r="F948" i="2" s="1"/>
  <c r="D948" i="2"/>
  <c r="C948" i="2"/>
  <c r="B948" i="2"/>
  <c r="A948" i="2"/>
  <c r="E947" i="2"/>
  <c r="F947" i="2" s="1"/>
  <c r="D947" i="2"/>
  <c r="C947" i="2"/>
  <c r="B947" i="2"/>
  <c r="G947" i="2" s="1"/>
  <c r="I947" i="2" s="1"/>
  <c r="A947" i="2"/>
  <c r="F946" i="2"/>
  <c r="E946" i="2"/>
  <c r="D946" i="2"/>
  <c r="C946" i="2"/>
  <c r="B946" i="2"/>
  <c r="G946" i="2" s="1"/>
  <c r="A946" i="2"/>
  <c r="G945" i="2"/>
  <c r="I945" i="2" s="1"/>
  <c r="E945" i="2"/>
  <c r="F945" i="2" s="1"/>
  <c r="D945" i="2"/>
  <c r="C945" i="2"/>
  <c r="B945" i="2"/>
  <c r="A945" i="2"/>
  <c r="E944" i="2"/>
  <c r="F944" i="2" s="1"/>
  <c r="D944" i="2"/>
  <c r="C944" i="2"/>
  <c r="B944" i="2"/>
  <c r="G944" i="2" s="1"/>
  <c r="A944" i="2"/>
  <c r="G943" i="2"/>
  <c r="I943" i="2" s="1"/>
  <c r="E943" i="2"/>
  <c r="F943" i="2" s="1"/>
  <c r="D943" i="2"/>
  <c r="C943" i="2"/>
  <c r="B943" i="2"/>
  <c r="A943" i="2"/>
  <c r="G942" i="2"/>
  <c r="F942" i="2"/>
  <c r="E942" i="2"/>
  <c r="D942" i="2"/>
  <c r="C942" i="2"/>
  <c r="B942" i="2"/>
  <c r="A942" i="2"/>
  <c r="G941" i="2"/>
  <c r="I941" i="2" s="1"/>
  <c r="F941" i="2"/>
  <c r="E941" i="2"/>
  <c r="D941" i="2"/>
  <c r="C941" i="2"/>
  <c r="B941" i="2"/>
  <c r="A941" i="2"/>
  <c r="E940" i="2"/>
  <c r="F940" i="2" s="1"/>
  <c r="D940" i="2"/>
  <c r="C940" i="2"/>
  <c r="G940" i="2" s="1"/>
  <c r="I940" i="2" s="1"/>
  <c r="B940" i="2"/>
  <c r="A940" i="2"/>
  <c r="E939" i="2"/>
  <c r="F939" i="2" s="1"/>
  <c r="D939" i="2"/>
  <c r="C939" i="2"/>
  <c r="B939" i="2"/>
  <c r="G939" i="2" s="1"/>
  <c r="I939" i="2" s="1"/>
  <c r="A939" i="2"/>
  <c r="F938" i="2"/>
  <c r="E938" i="2"/>
  <c r="D938" i="2"/>
  <c r="C938" i="2"/>
  <c r="B938" i="2"/>
  <c r="G938" i="2" s="1"/>
  <c r="I938" i="2" s="1"/>
  <c r="A938" i="2"/>
  <c r="G937" i="2"/>
  <c r="I937" i="2" s="1"/>
  <c r="E937" i="2"/>
  <c r="F937" i="2" s="1"/>
  <c r="H937" i="2" s="1"/>
  <c r="D937" i="2"/>
  <c r="C937" i="2"/>
  <c r="B937" i="2"/>
  <c r="A937" i="2"/>
  <c r="E936" i="2"/>
  <c r="F936" i="2" s="1"/>
  <c r="D936" i="2"/>
  <c r="C936" i="2"/>
  <c r="B936" i="2"/>
  <c r="G936" i="2" s="1"/>
  <c r="I936" i="2" s="1"/>
  <c r="A936" i="2"/>
  <c r="E935" i="2"/>
  <c r="F935" i="2" s="1"/>
  <c r="D935" i="2"/>
  <c r="C935" i="2"/>
  <c r="B935" i="2"/>
  <c r="G935" i="2" s="1"/>
  <c r="I935" i="2" s="1"/>
  <c r="A935" i="2"/>
  <c r="F934" i="2"/>
  <c r="E934" i="2"/>
  <c r="D934" i="2"/>
  <c r="C934" i="2"/>
  <c r="B934" i="2"/>
  <c r="G934" i="2" s="1"/>
  <c r="I934" i="2" s="1"/>
  <c r="A934" i="2"/>
  <c r="G933" i="2"/>
  <c r="I933" i="2" s="1"/>
  <c r="E933" i="2"/>
  <c r="F933" i="2" s="1"/>
  <c r="D933" i="2"/>
  <c r="C933" i="2"/>
  <c r="B933" i="2"/>
  <c r="A933" i="2"/>
  <c r="E932" i="2"/>
  <c r="F932" i="2" s="1"/>
  <c r="D932" i="2"/>
  <c r="C932" i="2"/>
  <c r="B932" i="2"/>
  <c r="G932" i="2" s="1"/>
  <c r="I932" i="2" s="1"/>
  <c r="A932" i="2"/>
  <c r="G931" i="2"/>
  <c r="I931" i="2" s="1"/>
  <c r="E931" i="2"/>
  <c r="F931" i="2" s="1"/>
  <c r="D931" i="2"/>
  <c r="C931" i="2"/>
  <c r="B931" i="2"/>
  <c r="A931" i="2"/>
  <c r="G930" i="2"/>
  <c r="I930" i="2" s="1"/>
  <c r="F930" i="2"/>
  <c r="H930" i="2" s="1"/>
  <c r="E930" i="2"/>
  <c r="D930" i="2"/>
  <c r="C930" i="2"/>
  <c r="B930" i="2"/>
  <c r="A930" i="2"/>
  <c r="G929" i="2"/>
  <c r="I929" i="2" s="1"/>
  <c r="F929" i="2"/>
  <c r="E929" i="2"/>
  <c r="D929" i="2"/>
  <c r="C929" i="2"/>
  <c r="B929" i="2"/>
  <c r="A929" i="2"/>
  <c r="G928" i="2"/>
  <c r="E928" i="2"/>
  <c r="F928" i="2" s="1"/>
  <c r="D928" i="2"/>
  <c r="C928" i="2"/>
  <c r="B928" i="2"/>
  <c r="A928" i="2"/>
  <c r="G927" i="2"/>
  <c r="I927" i="2" s="1"/>
  <c r="E927" i="2"/>
  <c r="F927" i="2" s="1"/>
  <c r="D927" i="2"/>
  <c r="C927" i="2"/>
  <c r="B927" i="2"/>
  <c r="A927" i="2"/>
  <c r="F926" i="2"/>
  <c r="E926" i="2"/>
  <c r="D926" i="2"/>
  <c r="C926" i="2"/>
  <c r="B926" i="2"/>
  <c r="G926" i="2" s="1"/>
  <c r="I926" i="2" s="1"/>
  <c r="A926" i="2"/>
  <c r="G925" i="2"/>
  <c r="I925" i="2" s="1"/>
  <c r="F925" i="2"/>
  <c r="E925" i="2"/>
  <c r="D925" i="2"/>
  <c r="C925" i="2"/>
  <c r="B925" i="2"/>
  <c r="A925" i="2"/>
  <c r="G924" i="2"/>
  <c r="I924" i="2" s="1"/>
  <c r="E924" i="2"/>
  <c r="F924" i="2" s="1"/>
  <c r="D924" i="2"/>
  <c r="C924" i="2"/>
  <c r="B924" i="2"/>
  <c r="A924" i="2"/>
  <c r="G923" i="2"/>
  <c r="I923" i="2" s="1"/>
  <c r="E923" i="2"/>
  <c r="F923" i="2" s="1"/>
  <c r="D923" i="2"/>
  <c r="C923" i="2"/>
  <c r="B923" i="2"/>
  <c r="A923" i="2"/>
  <c r="F922" i="2"/>
  <c r="E922" i="2"/>
  <c r="D922" i="2"/>
  <c r="C922" i="2"/>
  <c r="B922" i="2"/>
  <c r="G922" i="2" s="1"/>
  <c r="I922" i="2" s="1"/>
  <c r="A922" i="2"/>
  <c r="F921" i="2"/>
  <c r="E921" i="2"/>
  <c r="D921" i="2"/>
  <c r="C921" i="2"/>
  <c r="G921" i="2" s="1"/>
  <c r="I921" i="2" s="1"/>
  <c r="B921" i="2"/>
  <c r="A921" i="2"/>
  <c r="G920" i="2"/>
  <c r="I920" i="2" s="1"/>
  <c r="E920" i="2"/>
  <c r="F920" i="2" s="1"/>
  <c r="D920" i="2"/>
  <c r="C920" i="2"/>
  <c r="B920" i="2"/>
  <c r="A920" i="2"/>
  <c r="G919" i="2"/>
  <c r="I919" i="2" s="1"/>
  <c r="E919" i="2"/>
  <c r="F919" i="2" s="1"/>
  <c r="D919" i="2"/>
  <c r="C919" i="2"/>
  <c r="B919" i="2"/>
  <c r="A919" i="2"/>
  <c r="H918" i="2"/>
  <c r="G918" i="2"/>
  <c r="I918" i="2" s="1"/>
  <c r="F918" i="2"/>
  <c r="E918" i="2"/>
  <c r="D918" i="2"/>
  <c r="C918" i="2"/>
  <c r="B918" i="2"/>
  <c r="A918" i="2"/>
  <c r="F917" i="2"/>
  <c r="E917" i="2"/>
  <c r="D917" i="2"/>
  <c r="C917" i="2"/>
  <c r="G917" i="2" s="1"/>
  <c r="I917" i="2" s="1"/>
  <c r="B917" i="2"/>
  <c r="A917" i="2"/>
  <c r="G916" i="2"/>
  <c r="E916" i="2"/>
  <c r="F916" i="2" s="1"/>
  <c r="D916" i="2"/>
  <c r="C916" i="2"/>
  <c r="B916" i="2"/>
  <c r="A916" i="2"/>
  <c r="G915" i="2"/>
  <c r="I915" i="2" s="1"/>
  <c r="E915" i="2"/>
  <c r="F915" i="2" s="1"/>
  <c r="D915" i="2"/>
  <c r="C915" i="2"/>
  <c r="B915" i="2"/>
  <c r="A915" i="2"/>
  <c r="G914" i="2"/>
  <c r="F914" i="2"/>
  <c r="E914" i="2"/>
  <c r="D914" i="2"/>
  <c r="C914" i="2"/>
  <c r="B914" i="2"/>
  <c r="A914" i="2"/>
  <c r="F913" i="2"/>
  <c r="E913" i="2"/>
  <c r="D913" i="2"/>
  <c r="C913" i="2"/>
  <c r="G913" i="2" s="1"/>
  <c r="I913" i="2" s="1"/>
  <c r="B913" i="2"/>
  <c r="A913" i="2"/>
  <c r="G912" i="2"/>
  <c r="I912" i="2" s="1"/>
  <c r="E912" i="2"/>
  <c r="F912" i="2" s="1"/>
  <c r="D912" i="2"/>
  <c r="C912" i="2"/>
  <c r="B912" i="2"/>
  <c r="A912" i="2"/>
  <c r="G911" i="2"/>
  <c r="I911" i="2" s="1"/>
  <c r="E911" i="2"/>
  <c r="F911" i="2" s="1"/>
  <c r="H911" i="2" s="1"/>
  <c r="D911" i="2"/>
  <c r="C911" i="2"/>
  <c r="B911" i="2"/>
  <c r="A911" i="2"/>
  <c r="F910" i="2"/>
  <c r="E910" i="2"/>
  <c r="D910" i="2"/>
  <c r="C910" i="2"/>
  <c r="B910" i="2"/>
  <c r="G910" i="2" s="1"/>
  <c r="I910" i="2" s="1"/>
  <c r="A910" i="2"/>
  <c r="F909" i="2"/>
  <c r="E909" i="2"/>
  <c r="D909" i="2"/>
  <c r="C909" i="2"/>
  <c r="G909" i="2" s="1"/>
  <c r="I909" i="2" s="1"/>
  <c r="B909" i="2"/>
  <c r="A909" i="2"/>
  <c r="E908" i="2"/>
  <c r="F908" i="2" s="1"/>
  <c r="H908" i="2" s="1"/>
  <c r="D908" i="2"/>
  <c r="C908" i="2"/>
  <c r="G908" i="2" s="1"/>
  <c r="I908" i="2" s="1"/>
  <c r="B908" i="2"/>
  <c r="A908" i="2"/>
  <c r="E907" i="2"/>
  <c r="F907" i="2" s="1"/>
  <c r="D907" i="2"/>
  <c r="C907" i="2"/>
  <c r="B907" i="2"/>
  <c r="G907" i="2" s="1"/>
  <c r="I907" i="2" s="1"/>
  <c r="A907" i="2"/>
  <c r="F906" i="2"/>
  <c r="E906" i="2"/>
  <c r="D906" i="2"/>
  <c r="C906" i="2"/>
  <c r="B906" i="2"/>
  <c r="G906" i="2" s="1"/>
  <c r="I906" i="2" s="1"/>
  <c r="A906" i="2"/>
  <c r="E905" i="2"/>
  <c r="F905" i="2" s="1"/>
  <c r="D905" i="2"/>
  <c r="C905" i="2"/>
  <c r="G905" i="2" s="1"/>
  <c r="I905" i="2" s="1"/>
  <c r="B905" i="2"/>
  <c r="A905" i="2"/>
  <c r="E904" i="2"/>
  <c r="F904" i="2" s="1"/>
  <c r="D904" i="2"/>
  <c r="C904" i="2"/>
  <c r="B904" i="2"/>
  <c r="A904" i="2"/>
  <c r="E903" i="2"/>
  <c r="F903" i="2" s="1"/>
  <c r="D903" i="2"/>
  <c r="C903" i="2"/>
  <c r="B903" i="2"/>
  <c r="G903" i="2" s="1"/>
  <c r="I903" i="2" s="1"/>
  <c r="A903" i="2"/>
  <c r="F902" i="2"/>
  <c r="E902" i="2"/>
  <c r="D902" i="2"/>
  <c r="C902" i="2"/>
  <c r="B902" i="2"/>
  <c r="G902" i="2" s="1"/>
  <c r="A902" i="2"/>
  <c r="E901" i="2"/>
  <c r="F901" i="2" s="1"/>
  <c r="H901" i="2" s="1"/>
  <c r="D901" i="2"/>
  <c r="C901" i="2"/>
  <c r="G901" i="2" s="1"/>
  <c r="I901" i="2" s="1"/>
  <c r="B901" i="2"/>
  <c r="A901" i="2"/>
  <c r="E900" i="2"/>
  <c r="F900" i="2" s="1"/>
  <c r="D900" i="2"/>
  <c r="C900" i="2"/>
  <c r="B900" i="2"/>
  <c r="G900" i="2" s="1"/>
  <c r="I900" i="2" s="1"/>
  <c r="A900" i="2"/>
  <c r="E899" i="2"/>
  <c r="F899" i="2" s="1"/>
  <c r="H899" i="2" s="1"/>
  <c r="D899" i="2"/>
  <c r="C899" i="2"/>
  <c r="B899" i="2"/>
  <c r="G899" i="2" s="1"/>
  <c r="I899" i="2" s="1"/>
  <c r="A899" i="2"/>
  <c r="F898" i="2"/>
  <c r="E898" i="2"/>
  <c r="D898" i="2"/>
  <c r="C898" i="2"/>
  <c r="B898" i="2"/>
  <c r="G898" i="2" s="1"/>
  <c r="I898" i="2" s="1"/>
  <c r="A898" i="2"/>
  <c r="G897" i="2"/>
  <c r="I897" i="2" s="1"/>
  <c r="E897" i="2"/>
  <c r="F897" i="2" s="1"/>
  <c r="H897" i="2" s="1"/>
  <c r="D897" i="2"/>
  <c r="C897" i="2"/>
  <c r="B897" i="2"/>
  <c r="A897" i="2"/>
  <c r="E896" i="2"/>
  <c r="F896" i="2" s="1"/>
  <c r="H896" i="2" s="1"/>
  <c r="D896" i="2"/>
  <c r="C896" i="2"/>
  <c r="B896" i="2"/>
  <c r="G896" i="2" s="1"/>
  <c r="I896" i="2" s="1"/>
  <c r="A896" i="2"/>
  <c r="E895" i="2"/>
  <c r="F895" i="2" s="1"/>
  <c r="D895" i="2"/>
  <c r="C895" i="2"/>
  <c r="B895" i="2"/>
  <c r="G895" i="2" s="1"/>
  <c r="I895" i="2" s="1"/>
  <c r="A895" i="2"/>
  <c r="F894" i="2"/>
  <c r="E894" i="2"/>
  <c r="D894" i="2"/>
  <c r="C894" i="2"/>
  <c r="B894" i="2"/>
  <c r="G894" i="2" s="1"/>
  <c r="I894" i="2" s="1"/>
  <c r="A894" i="2"/>
  <c r="G893" i="2"/>
  <c r="I893" i="2" s="1"/>
  <c r="E893" i="2"/>
  <c r="F893" i="2" s="1"/>
  <c r="D893" i="2"/>
  <c r="C893" i="2"/>
  <c r="B893" i="2"/>
  <c r="A893" i="2"/>
  <c r="E892" i="2"/>
  <c r="F892" i="2" s="1"/>
  <c r="D892" i="2"/>
  <c r="C892" i="2"/>
  <c r="B892" i="2"/>
  <c r="G892" i="2" s="1"/>
  <c r="I892" i="2" s="1"/>
  <c r="A892" i="2"/>
  <c r="E891" i="2"/>
  <c r="F891" i="2" s="1"/>
  <c r="D891" i="2"/>
  <c r="C891" i="2"/>
  <c r="B891" i="2"/>
  <c r="G891" i="2" s="1"/>
  <c r="I891" i="2" s="1"/>
  <c r="A891" i="2"/>
  <c r="F890" i="2"/>
  <c r="E890" i="2"/>
  <c r="D890" i="2"/>
  <c r="C890" i="2"/>
  <c r="B890" i="2"/>
  <c r="G890" i="2" s="1"/>
  <c r="I890" i="2" s="1"/>
  <c r="A890" i="2"/>
  <c r="G889" i="2"/>
  <c r="I889" i="2" s="1"/>
  <c r="E889" i="2"/>
  <c r="F889" i="2" s="1"/>
  <c r="D889" i="2"/>
  <c r="C889" i="2"/>
  <c r="B889" i="2"/>
  <c r="A889" i="2"/>
  <c r="E888" i="2"/>
  <c r="F888" i="2" s="1"/>
  <c r="D888" i="2"/>
  <c r="C888" i="2"/>
  <c r="B888" i="2"/>
  <c r="G888" i="2" s="1"/>
  <c r="I888" i="2" s="1"/>
  <c r="A888" i="2"/>
  <c r="E887" i="2"/>
  <c r="F887" i="2" s="1"/>
  <c r="D887" i="2"/>
  <c r="C887" i="2"/>
  <c r="B887" i="2"/>
  <c r="G887" i="2" s="1"/>
  <c r="I887" i="2" s="1"/>
  <c r="A887" i="2"/>
  <c r="F886" i="2"/>
  <c r="E886" i="2"/>
  <c r="D886" i="2"/>
  <c r="C886" i="2"/>
  <c r="B886" i="2"/>
  <c r="G886" i="2" s="1"/>
  <c r="A886" i="2"/>
  <c r="G885" i="2"/>
  <c r="I885" i="2" s="1"/>
  <c r="E885" i="2"/>
  <c r="F885" i="2" s="1"/>
  <c r="D885" i="2"/>
  <c r="C885" i="2"/>
  <c r="B885" i="2"/>
  <c r="A885" i="2"/>
  <c r="E884" i="2"/>
  <c r="F884" i="2" s="1"/>
  <c r="D884" i="2"/>
  <c r="C884" i="2"/>
  <c r="B884" i="2"/>
  <c r="G884" i="2" s="1"/>
  <c r="A884" i="2"/>
  <c r="E883" i="2"/>
  <c r="F883" i="2" s="1"/>
  <c r="D883" i="2"/>
  <c r="C883" i="2"/>
  <c r="B883" i="2"/>
  <c r="G883" i="2" s="1"/>
  <c r="I883" i="2" s="1"/>
  <c r="A883" i="2"/>
  <c r="G882" i="2"/>
  <c r="I882" i="2" s="1"/>
  <c r="F882" i="2"/>
  <c r="E882" i="2"/>
  <c r="D882" i="2"/>
  <c r="C882" i="2"/>
  <c r="B882" i="2"/>
  <c r="A882" i="2"/>
  <c r="F881" i="2"/>
  <c r="E881" i="2"/>
  <c r="D881" i="2"/>
  <c r="C881" i="2"/>
  <c r="B881" i="2"/>
  <c r="G881" i="2" s="1"/>
  <c r="I881" i="2" s="1"/>
  <c r="A881" i="2"/>
  <c r="G880" i="2"/>
  <c r="E880" i="2"/>
  <c r="F880" i="2" s="1"/>
  <c r="D880" i="2"/>
  <c r="C880" i="2"/>
  <c r="B880" i="2"/>
  <c r="A880" i="2"/>
  <c r="E879" i="2"/>
  <c r="F879" i="2" s="1"/>
  <c r="D879" i="2"/>
  <c r="C879" i="2"/>
  <c r="B879" i="2"/>
  <c r="G879" i="2" s="1"/>
  <c r="I879" i="2" s="1"/>
  <c r="A879" i="2"/>
  <c r="G878" i="2"/>
  <c r="I878" i="2" s="1"/>
  <c r="F878" i="2"/>
  <c r="E878" i="2"/>
  <c r="D878" i="2"/>
  <c r="C878" i="2"/>
  <c r="B878" i="2"/>
  <c r="A878" i="2"/>
  <c r="E877" i="2"/>
  <c r="F877" i="2" s="1"/>
  <c r="D877" i="2"/>
  <c r="C877" i="2"/>
  <c r="G877" i="2" s="1"/>
  <c r="I877" i="2" s="1"/>
  <c r="B877" i="2"/>
  <c r="A877" i="2"/>
  <c r="I876" i="2"/>
  <c r="G876" i="2"/>
  <c r="H876" i="2" s="1"/>
  <c r="E876" i="2"/>
  <c r="F876" i="2" s="1"/>
  <c r="D876" i="2"/>
  <c r="C876" i="2"/>
  <c r="B876" i="2"/>
  <c r="A876" i="2"/>
  <c r="E875" i="2"/>
  <c r="F875" i="2" s="1"/>
  <c r="H875" i="2" s="1"/>
  <c r="D875" i="2"/>
  <c r="C875" i="2"/>
  <c r="G875" i="2" s="1"/>
  <c r="I875" i="2" s="1"/>
  <c r="B875" i="2"/>
  <c r="A875" i="2"/>
  <c r="E874" i="2"/>
  <c r="F874" i="2" s="1"/>
  <c r="D874" i="2"/>
  <c r="C874" i="2"/>
  <c r="B874" i="2"/>
  <c r="G874" i="2" s="1"/>
  <c r="I874" i="2" s="1"/>
  <c r="A874" i="2"/>
  <c r="F873" i="2"/>
  <c r="E873" i="2"/>
  <c r="D873" i="2"/>
  <c r="C873" i="2"/>
  <c r="B873" i="2"/>
  <c r="G873" i="2" s="1"/>
  <c r="I873" i="2" s="1"/>
  <c r="A873" i="2"/>
  <c r="F872" i="2"/>
  <c r="E872" i="2"/>
  <c r="D872" i="2"/>
  <c r="C872" i="2"/>
  <c r="G872" i="2" s="1"/>
  <c r="I872" i="2" s="1"/>
  <c r="B872" i="2"/>
  <c r="A872" i="2"/>
  <c r="E871" i="2"/>
  <c r="F871" i="2" s="1"/>
  <c r="D871" i="2"/>
  <c r="C871" i="2"/>
  <c r="G871" i="2" s="1"/>
  <c r="I871" i="2" s="1"/>
  <c r="B871" i="2"/>
  <c r="A871" i="2"/>
  <c r="E870" i="2"/>
  <c r="F870" i="2" s="1"/>
  <c r="D870" i="2"/>
  <c r="C870" i="2"/>
  <c r="B870" i="2"/>
  <c r="G870" i="2" s="1"/>
  <c r="I870" i="2" s="1"/>
  <c r="A870" i="2"/>
  <c r="F869" i="2"/>
  <c r="H869" i="2" s="1"/>
  <c r="E869" i="2"/>
  <c r="D869" i="2"/>
  <c r="C869" i="2"/>
  <c r="B869" i="2"/>
  <c r="G869" i="2" s="1"/>
  <c r="I869" i="2" s="1"/>
  <c r="A869" i="2"/>
  <c r="F868" i="2"/>
  <c r="E868" i="2"/>
  <c r="D868" i="2"/>
  <c r="C868" i="2"/>
  <c r="G868" i="2" s="1"/>
  <c r="I868" i="2" s="1"/>
  <c r="B868" i="2"/>
  <c r="A868" i="2"/>
  <c r="E867" i="2"/>
  <c r="F867" i="2" s="1"/>
  <c r="D867" i="2"/>
  <c r="C867" i="2"/>
  <c r="G867" i="2" s="1"/>
  <c r="I867" i="2" s="1"/>
  <c r="B867" i="2"/>
  <c r="A867" i="2"/>
  <c r="G866" i="2"/>
  <c r="I866" i="2" s="1"/>
  <c r="E866" i="2"/>
  <c r="F866" i="2" s="1"/>
  <c r="H866" i="2" s="1"/>
  <c r="D866" i="2"/>
  <c r="C866" i="2"/>
  <c r="B866" i="2"/>
  <c r="A866" i="2"/>
  <c r="F865" i="2"/>
  <c r="E865" i="2"/>
  <c r="D865" i="2"/>
  <c r="C865" i="2"/>
  <c r="B865" i="2"/>
  <c r="G865" i="2" s="1"/>
  <c r="I865" i="2" s="1"/>
  <c r="A865" i="2"/>
  <c r="H864" i="2"/>
  <c r="F864" i="2"/>
  <c r="E864" i="2"/>
  <c r="D864" i="2"/>
  <c r="C864" i="2"/>
  <c r="G864" i="2" s="1"/>
  <c r="I864" i="2" s="1"/>
  <c r="B864" i="2"/>
  <c r="A864" i="2"/>
  <c r="E863" i="2"/>
  <c r="F863" i="2" s="1"/>
  <c r="D863" i="2"/>
  <c r="C863" i="2"/>
  <c r="G863" i="2" s="1"/>
  <c r="I863" i="2" s="1"/>
  <c r="B863" i="2"/>
  <c r="A863" i="2"/>
  <c r="G862" i="2"/>
  <c r="I862" i="2" s="1"/>
  <c r="E862" i="2"/>
  <c r="F862" i="2" s="1"/>
  <c r="D862" i="2"/>
  <c r="C862" i="2"/>
  <c r="B862" i="2"/>
  <c r="A862" i="2"/>
  <c r="F861" i="2"/>
  <c r="E861" i="2"/>
  <c r="D861" i="2"/>
  <c r="C861" i="2"/>
  <c r="B861" i="2"/>
  <c r="G861" i="2" s="1"/>
  <c r="I861" i="2" s="1"/>
  <c r="A861" i="2"/>
  <c r="F860" i="2"/>
  <c r="E860" i="2"/>
  <c r="D860" i="2"/>
  <c r="C860" i="2"/>
  <c r="G860" i="2" s="1"/>
  <c r="I860" i="2" s="1"/>
  <c r="B860" i="2"/>
  <c r="A860" i="2"/>
  <c r="E859" i="2"/>
  <c r="F859" i="2" s="1"/>
  <c r="H859" i="2" s="1"/>
  <c r="D859" i="2"/>
  <c r="C859" i="2"/>
  <c r="G859" i="2" s="1"/>
  <c r="I859" i="2" s="1"/>
  <c r="B859" i="2"/>
  <c r="A859" i="2"/>
  <c r="E858" i="2"/>
  <c r="F858" i="2" s="1"/>
  <c r="D858" i="2"/>
  <c r="C858" i="2"/>
  <c r="B858" i="2"/>
  <c r="G858" i="2" s="1"/>
  <c r="I858" i="2" s="1"/>
  <c r="A858" i="2"/>
  <c r="F857" i="2"/>
  <c r="E857" i="2"/>
  <c r="D857" i="2"/>
  <c r="C857" i="2"/>
  <c r="B857" i="2"/>
  <c r="G857" i="2" s="1"/>
  <c r="I857" i="2" s="1"/>
  <c r="A857" i="2"/>
  <c r="F856" i="2"/>
  <c r="E856" i="2"/>
  <c r="D856" i="2"/>
  <c r="C856" i="2"/>
  <c r="G856" i="2" s="1"/>
  <c r="I856" i="2" s="1"/>
  <c r="B856" i="2"/>
  <c r="A856" i="2"/>
  <c r="E855" i="2"/>
  <c r="F855" i="2" s="1"/>
  <c r="D855" i="2"/>
  <c r="C855" i="2"/>
  <c r="G855" i="2" s="1"/>
  <c r="I855" i="2" s="1"/>
  <c r="B855" i="2"/>
  <c r="A855" i="2"/>
  <c r="E854" i="2"/>
  <c r="F854" i="2" s="1"/>
  <c r="D854" i="2"/>
  <c r="C854" i="2"/>
  <c r="B854" i="2"/>
  <c r="G854" i="2" s="1"/>
  <c r="I854" i="2" s="1"/>
  <c r="A854" i="2"/>
  <c r="F853" i="2"/>
  <c r="H853" i="2" s="1"/>
  <c r="E853" i="2"/>
  <c r="D853" i="2"/>
  <c r="C853" i="2"/>
  <c r="B853" i="2"/>
  <c r="G853" i="2" s="1"/>
  <c r="I853" i="2" s="1"/>
  <c r="A853" i="2"/>
  <c r="G852" i="2"/>
  <c r="I852" i="2" s="1"/>
  <c r="F852" i="2"/>
  <c r="H852" i="2" s="1"/>
  <c r="E852" i="2"/>
  <c r="D852" i="2"/>
  <c r="C852" i="2"/>
  <c r="B852" i="2"/>
  <c r="A852" i="2"/>
  <c r="E851" i="2"/>
  <c r="F851" i="2" s="1"/>
  <c r="D851" i="2"/>
  <c r="C851" i="2"/>
  <c r="G851" i="2" s="1"/>
  <c r="I851" i="2" s="1"/>
  <c r="B851" i="2"/>
  <c r="A851" i="2"/>
  <c r="G850" i="2"/>
  <c r="I850" i="2" s="1"/>
  <c r="E850" i="2"/>
  <c r="F850" i="2" s="1"/>
  <c r="D850" i="2"/>
  <c r="C850" i="2"/>
  <c r="B850" i="2"/>
  <c r="A850" i="2"/>
  <c r="F849" i="2"/>
  <c r="E849" i="2"/>
  <c r="D849" i="2"/>
  <c r="C849" i="2"/>
  <c r="B849" i="2"/>
  <c r="G849" i="2" s="1"/>
  <c r="I849" i="2" s="1"/>
  <c r="A849" i="2"/>
  <c r="H848" i="2"/>
  <c r="G848" i="2"/>
  <c r="I848" i="2" s="1"/>
  <c r="F848" i="2"/>
  <c r="E848" i="2"/>
  <c r="D848" i="2"/>
  <c r="C848" i="2"/>
  <c r="B848" i="2"/>
  <c r="A848" i="2"/>
  <c r="E847" i="2"/>
  <c r="F847" i="2" s="1"/>
  <c r="D847" i="2"/>
  <c r="C847" i="2"/>
  <c r="G847" i="2" s="1"/>
  <c r="I847" i="2" s="1"/>
  <c r="B847" i="2"/>
  <c r="A847" i="2"/>
  <c r="E846" i="2"/>
  <c r="F846" i="2" s="1"/>
  <c r="D846" i="2"/>
  <c r="C846" i="2"/>
  <c r="B846" i="2"/>
  <c r="G846" i="2" s="1"/>
  <c r="I846" i="2" s="1"/>
  <c r="A846" i="2"/>
  <c r="F845" i="2"/>
  <c r="H845" i="2" s="1"/>
  <c r="E845" i="2"/>
  <c r="D845" i="2"/>
  <c r="C845" i="2"/>
  <c r="B845" i="2"/>
  <c r="G845" i="2" s="1"/>
  <c r="I845" i="2" s="1"/>
  <c r="A845" i="2"/>
  <c r="F844" i="2"/>
  <c r="E844" i="2"/>
  <c r="D844" i="2"/>
  <c r="C844" i="2"/>
  <c r="G844" i="2" s="1"/>
  <c r="I844" i="2" s="1"/>
  <c r="B844" i="2"/>
  <c r="A844" i="2"/>
  <c r="E843" i="2"/>
  <c r="F843" i="2" s="1"/>
  <c r="D843" i="2"/>
  <c r="C843" i="2"/>
  <c r="G843" i="2" s="1"/>
  <c r="I843" i="2" s="1"/>
  <c r="B843" i="2"/>
  <c r="A843" i="2"/>
  <c r="E842" i="2"/>
  <c r="F842" i="2" s="1"/>
  <c r="D842" i="2"/>
  <c r="C842" i="2"/>
  <c r="B842" i="2"/>
  <c r="G842" i="2" s="1"/>
  <c r="I842" i="2" s="1"/>
  <c r="A842" i="2"/>
  <c r="F841" i="2"/>
  <c r="E841" i="2"/>
  <c r="D841" i="2"/>
  <c r="C841" i="2"/>
  <c r="B841" i="2"/>
  <c r="G841" i="2" s="1"/>
  <c r="I841" i="2" s="1"/>
  <c r="A841" i="2"/>
  <c r="G840" i="2"/>
  <c r="I840" i="2" s="1"/>
  <c r="F840" i="2"/>
  <c r="E840" i="2"/>
  <c r="D840" i="2"/>
  <c r="C840" i="2"/>
  <c r="B840" i="2"/>
  <c r="A840" i="2"/>
  <c r="E839" i="2"/>
  <c r="F839" i="2" s="1"/>
  <c r="H839" i="2" s="1"/>
  <c r="D839" i="2"/>
  <c r="C839" i="2"/>
  <c r="G839" i="2" s="1"/>
  <c r="I839" i="2" s="1"/>
  <c r="B839" i="2"/>
  <c r="A839" i="2"/>
  <c r="I838" i="2"/>
  <c r="G838" i="2"/>
  <c r="E838" i="2"/>
  <c r="F838" i="2" s="1"/>
  <c r="H838" i="2" s="1"/>
  <c r="D838" i="2"/>
  <c r="C838" i="2"/>
  <c r="B838" i="2"/>
  <c r="A838" i="2"/>
  <c r="F837" i="2"/>
  <c r="E837" i="2"/>
  <c r="D837" i="2"/>
  <c r="C837" i="2"/>
  <c r="B837" i="2"/>
  <c r="G837" i="2" s="1"/>
  <c r="I837" i="2" s="1"/>
  <c r="A837" i="2"/>
  <c r="G836" i="2"/>
  <c r="F836" i="2"/>
  <c r="E836" i="2"/>
  <c r="D836" i="2"/>
  <c r="C836" i="2"/>
  <c r="B836" i="2"/>
  <c r="A836" i="2"/>
  <c r="E835" i="2"/>
  <c r="F835" i="2" s="1"/>
  <c r="D835" i="2"/>
  <c r="C835" i="2"/>
  <c r="G835" i="2" s="1"/>
  <c r="I835" i="2" s="1"/>
  <c r="B835" i="2"/>
  <c r="A835" i="2"/>
  <c r="E834" i="2"/>
  <c r="F834" i="2" s="1"/>
  <c r="D834" i="2"/>
  <c r="C834" i="2"/>
  <c r="B834" i="2"/>
  <c r="G834" i="2" s="1"/>
  <c r="I834" i="2" s="1"/>
  <c r="A834" i="2"/>
  <c r="F833" i="2"/>
  <c r="E833" i="2"/>
  <c r="D833" i="2"/>
  <c r="C833" i="2"/>
  <c r="B833" i="2"/>
  <c r="G833" i="2" s="1"/>
  <c r="I833" i="2" s="1"/>
  <c r="A833" i="2"/>
  <c r="F832" i="2"/>
  <c r="H832" i="2" s="1"/>
  <c r="E832" i="2"/>
  <c r="D832" i="2"/>
  <c r="C832" i="2"/>
  <c r="G832" i="2" s="1"/>
  <c r="I832" i="2" s="1"/>
  <c r="B832" i="2"/>
  <c r="A832" i="2"/>
  <c r="G831" i="2"/>
  <c r="I831" i="2" s="1"/>
  <c r="E831" i="2"/>
  <c r="F831" i="2" s="1"/>
  <c r="D831" i="2"/>
  <c r="C831" i="2"/>
  <c r="B831" i="2"/>
  <c r="A831" i="2"/>
  <c r="G830" i="2"/>
  <c r="I830" i="2" s="1"/>
  <c r="E830" i="2"/>
  <c r="F830" i="2" s="1"/>
  <c r="H830" i="2" s="1"/>
  <c r="D830" i="2"/>
  <c r="C830" i="2"/>
  <c r="B830" i="2"/>
  <c r="A830" i="2"/>
  <c r="F829" i="2"/>
  <c r="E829" i="2"/>
  <c r="D829" i="2"/>
  <c r="C829" i="2"/>
  <c r="B829" i="2"/>
  <c r="G829" i="2" s="1"/>
  <c r="I829" i="2" s="1"/>
  <c r="A829" i="2"/>
  <c r="G828" i="2"/>
  <c r="I828" i="2" s="1"/>
  <c r="F828" i="2"/>
  <c r="E828" i="2"/>
  <c r="D828" i="2"/>
  <c r="C828" i="2"/>
  <c r="B828" i="2"/>
  <c r="A828" i="2"/>
  <c r="E827" i="2"/>
  <c r="F827" i="2" s="1"/>
  <c r="D827" i="2"/>
  <c r="C827" i="2"/>
  <c r="G827" i="2" s="1"/>
  <c r="I827" i="2" s="1"/>
  <c r="B827" i="2"/>
  <c r="A827" i="2"/>
  <c r="G826" i="2"/>
  <c r="I826" i="2" s="1"/>
  <c r="E826" i="2"/>
  <c r="F826" i="2" s="1"/>
  <c r="D826" i="2"/>
  <c r="C826" i="2"/>
  <c r="B826" i="2"/>
  <c r="A826" i="2"/>
  <c r="F825" i="2"/>
  <c r="E825" i="2"/>
  <c r="D825" i="2"/>
  <c r="C825" i="2"/>
  <c r="B825" i="2"/>
  <c r="G825" i="2" s="1"/>
  <c r="I825" i="2" s="1"/>
  <c r="A825" i="2"/>
  <c r="F824" i="2"/>
  <c r="E824" i="2"/>
  <c r="D824" i="2"/>
  <c r="C824" i="2"/>
  <c r="G824" i="2" s="1"/>
  <c r="B824" i="2"/>
  <c r="A824" i="2"/>
  <c r="G823" i="2"/>
  <c r="E823" i="2"/>
  <c r="F823" i="2" s="1"/>
  <c r="D823" i="2"/>
  <c r="C823" i="2"/>
  <c r="B823" i="2"/>
  <c r="A823" i="2"/>
  <c r="E822" i="2"/>
  <c r="F822" i="2" s="1"/>
  <c r="D822" i="2"/>
  <c r="C822" i="2"/>
  <c r="B822" i="2"/>
  <c r="G822" i="2" s="1"/>
  <c r="I822" i="2" s="1"/>
  <c r="A822" i="2"/>
  <c r="F821" i="2"/>
  <c r="E821" i="2"/>
  <c r="D821" i="2"/>
  <c r="C821" i="2"/>
  <c r="B821" i="2"/>
  <c r="G821" i="2" s="1"/>
  <c r="I821" i="2" s="1"/>
  <c r="A821" i="2"/>
  <c r="G820" i="2"/>
  <c r="I820" i="2" s="1"/>
  <c r="F820" i="2"/>
  <c r="E820" i="2"/>
  <c r="D820" i="2"/>
  <c r="C820" i="2"/>
  <c r="B820" i="2"/>
  <c r="A820" i="2"/>
  <c r="E819" i="2"/>
  <c r="F819" i="2" s="1"/>
  <c r="D819" i="2"/>
  <c r="C819" i="2"/>
  <c r="G819" i="2" s="1"/>
  <c r="I819" i="2" s="1"/>
  <c r="B819" i="2"/>
  <c r="A819" i="2"/>
  <c r="G818" i="2"/>
  <c r="I818" i="2" s="1"/>
  <c r="E818" i="2"/>
  <c r="F818" i="2" s="1"/>
  <c r="D818" i="2"/>
  <c r="C818" i="2"/>
  <c r="B818" i="2"/>
  <c r="A818" i="2"/>
  <c r="F817" i="2"/>
  <c r="E817" i="2"/>
  <c r="D817" i="2"/>
  <c r="C817" i="2"/>
  <c r="B817" i="2"/>
  <c r="G817" i="2" s="1"/>
  <c r="I817" i="2" s="1"/>
  <c r="A817" i="2"/>
  <c r="G816" i="2"/>
  <c r="I816" i="2" s="1"/>
  <c r="F816" i="2"/>
  <c r="E816" i="2"/>
  <c r="D816" i="2"/>
  <c r="C816" i="2"/>
  <c r="B816" i="2"/>
  <c r="A816" i="2"/>
  <c r="G815" i="2"/>
  <c r="I815" i="2" s="1"/>
  <c r="E815" i="2"/>
  <c r="F815" i="2" s="1"/>
  <c r="H815" i="2" s="1"/>
  <c r="D815" i="2"/>
  <c r="C815" i="2"/>
  <c r="B815" i="2"/>
  <c r="A815" i="2"/>
  <c r="E814" i="2"/>
  <c r="F814" i="2" s="1"/>
  <c r="D814" i="2"/>
  <c r="C814" i="2"/>
  <c r="B814" i="2"/>
  <c r="G814" i="2" s="1"/>
  <c r="I814" i="2" s="1"/>
  <c r="A814" i="2"/>
  <c r="G813" i="2"/>
  <c r="I813" i="2" s="1"/>
  <c r="F813" i="2"/>
  <c r="E813" i="2"/>
  <c r="D813" i="2"/>
  <c r="C813" i="2"/>
  <c r="B813" i="2"/>
  <c r="A813" i="2"/>
  <c r="F812" i="2"/>
  <c r="E812" i="2"/>
  <c r="D812" i="2"/>
  <c r="C812" i="2"/>
  <c r="G812" i="2" s="1"/>
  <c r="B812" i="2"/>
  <c r="A812" i="2"/>
  <c r="E811" i="2"/>
  <c r="F811" i="2" s="1"/>
  <c r="D811" i="2"/>
  <c r="C811" i="2"/>
  <c r="G811" i="2" s="1"/>
  <c r="B811" i="2"/>
  <c r="A811" i="2"/>
  <c r="I810" i="2"/>
  <c r="G810" i="2"/>
  <c r="E810" i="2"/>
  <c r="F810" i="2" s="1"/>
  <c r="D810" i="2"/>
  <c r="C810" i="2"/>
  <c r="B810" i="2"/>
  <c r="A810" i="2"/>
  <c r="F809" i="2"/>
  <c r="E809" i="2"/>
  <c r="D809" i="2"/>
  <c r="C809" i="2"/>
  <c r="B809" i="2"/>
  <c r="G809" i="2" s="1"/>
  <c r="I809" i="2" s="1"/>
  <c r="A809" i="2"/>
  <c r="G808" i="2"/>
  <c r="I808" i="2" s="1"/>
  <c r="F808" i="2"/>
  <c r="E808" i="2"/>
  <c r="D808" i="2"/>
  <c r="C808" i="2"/>
  <c r="B808" i="2"/>
  <c r="A808" i="2"/>
  <c r="G807" i="2"/>
  <c r="I807" i="2" s="1"/>
  <c r="E807" i="2"/>
  <c r="F807" i="2" s="1"/>
  <c r="D807" i="2"/>
  <c r="C807" i="2"/>
  <c r="B807" i="2"/>
  <c r="A807" i="2"/>
  <c r="E806" i="2"/>
  <c r="F806" i="2" s="1"/>
  <c r="D806" i="2"/>
  <c r="C806" i="2"/>
  <c r="B806" i="2"/>
  <c r="G806" i="2" s="1"/>
  <c r="I806" i="2" s="1"/>
  <c r="A806" i="2"/>
  <c r="G805" i="2"/>
  <c r="I805" i="2" s="1"/>
  <c r="F805" i="2"/>
  <c r="E805" i="2"/>
  <c r="D805" i="2"/>
  <c r="C805" i="2"/>
  <c r="B805" i="2"/>
  <c r="A805" i="2"/>
  <c r="F804" i="2"/>
  <c r="E804" i="2"/>
  <c r="D804" i="2"/>
  <c r="C804" i="2"/>
  <c r="G804" i="2" s="1"/>
  <c r="B804" i="2"/>
  <c r="A804" i="2"/>
  <c r="E803" i="2"/>
  <c r="F803" i="2" s="1"/>
  <c r="D803" i="2"/>
  <c r="C803" i="2"/>
  <c r="G803" i="2" s="1"/>
  <c r="B803" i="2"/>
  <c r="A803" i="2"/>
  <c r="I802" i="2"/>
  <c r="G802" i="2"/>
  <c r="E802" i="2"/>
  <c r="F802" i="2" s="1"/>
  <c r="H802" i="2" s="1"/>
  <c r="D802" i="2"/>
  <c r="C802" i="2"/>
  <c r="B802" i="2"/>
  <c r="A802" i="2"/>
  <c r="F801" i="2"/>
  <c r="E801" i="2"/>
  <c r="D801" i="2"/>
  <c r="C801" i="2"/>
  <c r="B801" i="2"/>
  <c r="G801" i="2" s="1"/>
  <c r="I801" i="2" s="1"/>
  <c r="A801" i="2"/>
  <c r="G800" i="2"/>
  <c r="I800" i="2" s="1"/>
  <c r="F800" i="2"/>
  <c r="E800" i="2"/>
  <c r="D800" i="2"/>
  <c r="C800" i="2"/>
  <c r="B800" i="2"/>
  <c r="A800" i="2"/>
  <c r="G799" i="2"/>
  <c r="I799" i="2" s="1"/>
  <c r="E799" i="2"/>
  <c r="F799" i="2" s="1"/>
  <c r="H799" i="2" s="1"/>
  <c r="D799" i="2"/>
  <c r="C799" i="2"/>
  <c r="B799" i="2"/>
  <c r="A799" i="2"/>
  <c r="E798" i="2"/>
  <c r="F798" i="2" s="1"/>
  <c r="D798" i="2"/>
  <c r="C798" i="2"/>
  <c r="B798" i="2"/>
  <c r="G798" i="2" s="1"/>
  <c r="I798" i="2" s="1"/>
  <c r="A798" i="2"/>
  <c r="G797" i="2"/>
  <c r="I797" i="2" s="1"/>
  <c r="F797" i="2"/>
  <c r="E797" i="2"/>
  <c r="D797" i="2"/>
  <c r="C797" i="2"/>
  <c r="B797" i="2"/>
  <c r="A797" i="2"/>
  <c r="F796" i="2"/>
  <c r="E796" i="2"/>
  <c r="D796" i="2"/>
  <c r="C796" i="2"/>
  <c r="G796" i="2" s="1"/>
  <c r="B796" i="2"/>
  <c r="A796" i="2"/>
  <c r="E795" i="2"/>
  <c r="F795" i="2" s="1"/>
  <c r="D795" i="2"/>
  <c r="C795" i="2"/>
  <c r="G795" i="2" s="1"/>
  <c r="B795" i="2"/>
  <c r="A795" i="2"/>
  <c r="G794" i="2"/>
  <c r="I794" i="2" s="1"/>
  <c r="E794" i="2"/>
  <c r="F794" i="2" s="1"/>
  <c r="D794" i="2"/>
  <c r="C794" i="2"/>
  <c r="B794" i="2"/>
  <c r="A794" i="2"/>
  <c r="F793" i="2"/>
  <c r="E793" i="2"/>
  <c r="D793" i="2"/>
  <c r="C793" i="2"/>
  <c r="B793" i="2"/>
  <c r="G793" i="2" s="1"/>
  <c r="I793" i="2" s="1"/>
  <c r="A793" i="2"/>
  <c r="G792" i="2"/>
  <c r="I792" i="2" s="1"/>
  <c r="F792" i="2"/>
  <c r="E792" i="2"/>
  <c r="D792" i="2"/>
  <c r="C792" i="2"/>
  <c r="B792" i="2"/>
  <c r="A792" i="2"/>
  <c r="G791" i="2"/>
  <c r="I791" i="2" s="1"/>
  <c r="E791" i="2"/>
  <c r="F791" i="2" s="1"/>
  <c r="D791" i="2"/>
  <c r="C791" i="2"/>
  <c r="B791" i="2"/>
  <c r="A791" i="2"/>
  <c r="E790" i="2"/>
  <c r="F790" i="2" s="1"/>
  <c r="D790" i="2"/>
  <c r="C790" i="2"/>
  <c r="B790" i="2"/>
  <c r="G790" i="2" s="1"/>
  <c r="I790" i="2" s="1"/>
  <c r="A790" i="2"/>
  <c r="G789" i="2"/>
  <c r="I789" i="2" s="1"/>
  <c r="F789" i="2"/>
  <c r="E789" i="2"/>
  <c r="D789" i="2"/>
  <c r="C789" i="2"/>
  <c r="B789" i="2"/>
  <c r="A789" i="2"/>
  <c r="F788" i="2"/>
  <c r="E788" i="2"/>
  <c r="D788" i="2"/>
  <c r="C788" i="2"/>
  <c r="G788" i="2" s="1"/>
  <c r="B788" i="2"/>
  <c r="A788" i="2"/>
  <c r="E787" i="2"/>
  <c r="F787" i="2" s="1"/>
  <c r="D787" i="2"/>
  <c r="C787" i="2"/>
  <c r="G787" i="2" s="1"/>
  <c r="B787" i="2"/>
  <c r="A787" i="2"/>
  <c r="I786" i="2"/>
  <c r="G786" i="2"/>
  <c r="E786" i="2"/>
  <c r="F786" i="2" s="1"/>
  <c r="D786" i="2"/>
  <c r="C786" i="2"/>
  <c r="B786" i="2"/>
  <c r="A786" i="2"/>
  <c r="F785" i="2"/>
  <c r="E785" i="2"/>
  <c r="D785" i="2"/>
  <c r="C785" i="2"/>
  <c r="B785" i="2"/>
  <c r="G785" i="2" s="1"/>
  <c r="I785" i="2" s="1"/>
  <c r="A785" i="2"/>
  <c r="G784" i="2"/>
  <c r="I784" i="2" s="1"/>
  <c r="F784" i="2"/>
  <c r="E784" i="2"/>
  <c r="D784" i="2"/>
  <c r="C784" i="2"/>
  <c r="B784" i="2"/>
  <c r="A784" i="2"/>
  <c r="G783" i="2"/>
  <c r="I783" i="2" s="1"/>
  <c r="E783" i="2"/>
  <c r="F783" i="2" s="1"/>
  <c r="D783" i="2"/>
  <c r="C783" i="2"/>
  <c r="B783" i="2"/>
  <c r="A783" i="2"/>
  <c r="E782" i="2"/>
  <c r="F782" i="2" s="1"/>
  <c r="D782" i="2"/>
  <c r="C782" i="2"/>
  <c r="B782" i="2"/>
  <c r="G782" i="2" s="1"/>
  <c r="I782" i="2" s="1"/>
  <c r="A782" i="2"/>
  <c r="G781" i="2"/>
  <c r="I781" i="2" s="1"/>
  <c r="F781" i="2"/>
  <c r="E781" i="2"/>
  <c r="D781" i="2"/>
  <c r="C781" i="2"/>
  <c r="B781" i="2"/>
  <c r="A781" i="2"/>
  <c r="F780" i="2"/>
  <c r="E780" i="2"/>
  <c r="D780" i="2"/>
  <c r="C780" i="2"/>
  <c r="G780" i="2" s="1"/>
  <c r="B780" i="2"/>
  <c r="A780" i="2"/>
  <c r="E779" i="2"/>
  <c r="F779" i="2" s="1"/>
  <c r="D779" i="2"/>
  <c r="C779" i="2"/>
  <c r="G779" i="2" s="1"/>
  <c r="B779" i="2"/>
  <c r="A779" i="2"/>
  <c r="I778" i="2"/>
  <c r="G778" i="2"/>
  <c r="E778" i="2"/>
  <c r="F778" i="2" s="1"/>
  <c r="H778" i="2" s="1"/>
  <c r="D778" i="2"/>
  <c r="C778" i="2"/>
  <c r="B778" i="2"/>
  <c r="A778" i="2"/>
  <c r="F777" i="2"/>
  <c r="E777" i="2"/>
  <c r="D777" i="2"/>
  <c r="C777" i="2"/>
  <c r="B777" i="2"/>
  <c r="G777" i="2" s="1"/>
  <c r="I777" i="2" s="1"/>
  <c r="A777" i="2"/>
  <c r="G776" i="2"/>
  <c r="I776" i="2" s="1"/>
  <c r="F776" i="2"/>
  <c r="E776" i="2"/>
  <c r="D776" i="2"/>
  <c r="C776" i="2"/>
  <c r="B776" i="2"/>
  <c r="A776" i="2"/>
  <c r="G775" i="2"/>
  <c r="I775" i="2" s="1"/>
  <c r="E775" i="2"/>
  <c r="F775" i="2" s="1"/>
  <c r="D775" i="2"/>
  <c r="C775" i="2"/>
  <c r="B775" i="2"/>
  <c r="A775" i="2"/>
  <c r="E774" i="2"/>
  <c r="F774" i="2" s="1"/>
  <c r="D774" i="2"/>
  <c r="C774" i="2"/>
  <c r="B774" i="2"/>
  <c r="G774" i="2" s="1"/>
  <c r="I774" i="2" s="1"/>
  <c r="A774" i="2"/>
  <c r="G773" i="2"/>
  <c r="I773" i="2" s="1"/>
  <c r="F773" i="2"/>
  <c r="E773" i="2"/>
  <c r="D773" i="2"/>
  <c r="C773" i="2"/>
  <c r="B773" i="2"/>
  <c r="A773" i="2"/>
  <c r="F772" i="2"/>
  <c r="E772" i="2"/>
  <c r="D772" i="2"/>
  <c r="C772" i="2"/>
  <c r="G772" i="2" s="1"/>
  <c r="B772" i="2"/>
  <c r="A772" i="2"/>
  <c r="E771" i="2"/>
  <c r="F771" i="2" s="1"/>
  <c r="D771" i="2"/>
  <c r="C771" i="2"/>
  <c r="G771" i="2" s="1"/>
  <c r="B771" i="2"/>
  <c r="A771" i="2"/>
  <c r="G770" i="2"/>
  <c r="I770" i="2" s="1"/>
  <c r="E770" i="2"/>
  <c r="F770" i="2" s="1"/>
  <c r="D770" i="2"/>
  <c r="C770" i="2"/>
  <c r="B770" i="2"/>
  <c r="A770" i="2"/>
  <c r="F769" i="2"/>
  <c r="E769" i="2"/>
  <c r="D769" i="2"/>
  <c r="C769" i="2"/>
  <c r="B769" i="2"/>
  <c r="G769" i="2" s="1"/>
  <c r="I769" i="2" s="1"/>
  <c r="A769" i="2"/>
  <c r="G768" i="2"/>
  <c r="I768" i="2" s="1"/>
  <c r="F768" i="2"/>
  <c r="E768" i="2"/>
  <c r="D768" i="2"/>
  <c r="C768" i="2"/>
  <c r="B768" i="2"/>
  <c r="A768" i="2"/>
  <c r="G767" i="2"/>
  <c r="I767" i="2" s="1"/>
  <c r="E767" i="2"/>
  <c r="F767" i="2" s="1"/>
  <c r="D767" i="2"/>
  <c r="C767" i="2"/>
  <c r="B767" i="2"/>
  <c r="A767" i="2"/>
  <c r="E766" i="2"/>
  <c r="F766" i="2" s="1"/>
  <c r="D766" i="2"/>
  <c r="C766" i="2"/>
  <c r="B766" i="2"/>
  <c r="G766" i="2" s="1"/>
  <c r="I766" i="2" s="1"/>
  <c r="A766" i="2"/>
  <c r="G765" i="2"/>
  <c r="I765" i="2" s="1"/>
  <c r="F765" i="2"/>
  <c r="E765" i="2"/>
  <c r="D765" i="2"/>
  <c r="C765" i="2"/>
  <c r="B765" i="2"/>
  <c r="A765" i="2"/>
  <c r="E764" i="2"/>
  <c r="F764" i="2" s="1"/>
  <c r="D764" i="2"/>
  <c r="C764" i="2"/>
  <c r="G764" i="2" s="1"/>
  <c r="I764" i="2" s="1"/>
  <c r="B764" i="2"/>
  <c r="A764" i="2"/>
  <c r="E763" i="2"/>
  <c r="F763" i="2" s="1"/>
  <c r="D763" i="2"/>
  <c r="C763" i="2"/>
  <c r="B763" i="2"/>
  <c r="G763" i="2" s="1"/>
  <c r="A763" i="2"/>
  <c r="G762" i="2"/>
  <c r="I762" i="2" s="1"/>
  <c r="E762" i="2"/>
  <c r="F762" i="2" s="1"/>
  <c r="D762" i="2"/>
  <c r="C762" i="2"/>
  <c r="B762" i="2"/>
  <c r="A762" i="2"/>
  <c r="F761" i="2"/>
  <c r="E761" i="2"/>
  <c r="D761" i="2"/>
  <c r="C761" i="2"/>
  <c r="B761" i="2"/>
  <c r="G761" i="2" s="1"/>
  <c r="A761" i="2"/>
  <c r="E760" i="2"/>
  <c r="F760" i="2" s="1"/>
  <c r="D760" i="2"/>
  <c r="C760" i="2"/>
  <c r="G760" i="2" s="1"/>
  <c r="I760" i="2" s="1"/>
  <c r="B760" i="2"/>
  <c r="A760" i="2"/>
  <c r="H759" i="2"/>
  <c r="G759" i="2"/>
  <c r="I759" i="2" s="1"/>
  <c r="E759" i="2"/>
  <c r="F759" i="2" s="1"/>
  <c r="D759" i="2"/>
  <c r="C759" i="2"/>
  <c r="B759" i="2"/>
  <c r="A759" i="2"/>
  <c r="E758" i="2"/>
  <c r="F758" i="2" s="1"/>
  <c r="D758" i="2"/>
  <c r="C758" i="2"/>
  <c r="B758" i="2"/>
  <c r="G758" i="2" s="1"/>
  <c r="I758" i="2" s="1"/>
  <c r="A758" i="2"/>
  <c r="I757" i="2"/>
  <c r="F757" i="2"/>
  <c r="E757" i="2"/>
  <c r="D757" i="2"/>
  <c r="C757" i="2"/>
  <c r="B757" i="2"/>
  <c r="G757" i="2" s="1"/>
  <c r="H757" i="2" s="1"/>
  <c r="A757" i="2"/>
  <c r="G756" i="2"/>
  <c r="I756" i="2" s="1"/>
  <c r="E756" i="2"/>
  <c r="F756" i="2" s="1"/>
  <c r="D756" i="2"/>
  <c r="C756" i="2"/>
  <c r="B756" i="2"/>
  <c r="A756" i="2"/>
  <c r="E755" i="2"/>
  <c r="F755" i="2" s="1"/>
  <c r="H755" i="2" s="1"/>
  <c r="D755" i="2"/>
  <c r="C755" i="2"/>
  <c r="B755" i="2"/>
  <c r="G755" i="2" s="1"/>
  <c r="I755" i="2" s="1"/>
  <c r="A755" i="2"/>
  <c r="G754" i="2"/>
  <c r="I754" i="2" s="1"/>
  <c r="E754" i="2"/>
  <c r="F754" i="2" s="1"/>
  <c r="D754" i="2"/>
  <c r="C754" i="2"/>
  <c r="B754" i="2"/>
  <c r="A754" i="2"/>
  <c r="F753" i="2"/>
  <c r="H753" i="2" s="1"/>
  <c r="E753" i="2"/>
  <c r="D753" i="2"/>
  <c r="C753" i="2"/>
  <c r="B753" i="2"/>
  <c r="G753" i="2" s="1"/>
  <c r="I753" i="2" s="1"/>
  <c r="A753" i="2"/>
  <c r="E752" i="2"/>
  <c r="F752" i="2" s="1"/>
  <c r="D752" i="2"/>
  <c r="C752" i="2"/>
  <c r="G752" i="2" s="1"/>
  <c r="I752" i="2" s="1"/>
  <c r="B752" i="2"/>
  <c r="A752" i="2"/>
  <c r="H751" i="2"/>
  <c r="G751" i="2"/>
  <c r="I751" i="2" s="1"/>
  <c r="E751" i="2"/>
  <c r="F751" i="2" s="1"/>
  <c r="D751" i="2"/>
  <c r="C751" i="2"/>
  <c r="B751" i="2"/>
  <c r="A751" i="2"/>
  <c r="E750" i="2"/>
  <c r="F750" i="2" s="1"/>
  <c r="D750" i="2"/>
  <c r="C750" i="2"/>
  <c r="B750" i="2"/>
  <c r="G750" i="2" s="1"/>
  <c r="I750" i="2" s="1"/>
  <c r="A750" i="2"/>
  <c r="F749" i="2"/>
  <c r="E749" i="2"/>
  <c r="D749" i="2"/>
  <c r="C749" i="2"/>
  <c r="B749" i="2"/>
  <c r="G749" i="2" s="1"/>
  <c r="A749" i="2"/>
  <c r="G748" i="2"/>
  <c r="I748" i="2" s="1"/>
  <c r="E748" i="2"/>
  <c r="F748" i="2" s="1"/>
  <c r="H748" i="2" s="1"/>
  <c r="D748" i="2"/>
  <c r="C748" i="2"/>
  <c r="B748" i="2"/>
  <c r="A748" i="2"/>
  <c r="E747" i="2"/>
  <c r="F747" i="2" s="1"/>
  <c r="D747" i="2"/>
  <c r="C747" i="2"/>
  <c r="B747" i="2"/>
  <c r="G747" i="2" s="1"/>
  <c r="A747" i="2"/>
  <c r="E746" i="2"/>
  <c r="F746" i="2" s="1"/>
  <c r="D746" i="2"/>
  <c r="C746" i="2"/>
  <c r="B746" i="2"/>
  <c r="G746" i="2" s="1"/>
  <c r="I746" i="2" s="1"/>
  <c r="A746" i="2"/>
  <c r="G745" i="2"/>
  <c r="F745" i="2"/>
  <c r="E745" i="2"/>
  <c r="D745" i="2"/>
  <c r="C745" i="2"/>
  <c r="B745" i="2"/>
  <c r="A745" i="2"/>
  <c r="E744" i="2"/>
  <c r="F744" i="2" s="1"/>
  <c r="D744" i="2"/>
  <c r="C744" i="2"/>
  <c r="G744" i="2" s="1"/>
  <c r="I744" i="2" s="1"/>
  <c r="B744" i="2"/>
  <c r="A744" i="2"/>
  <c r="E743" i="2"/>
  <c r="F743" i="2" s="1"/>
  <c r="D743" i="2"/>
  <c r="C743" i="2"/>
  <c r="B743" i="2"/>
  <c r="G743" i="2" s="1"/>
  <c r="A743" i="2"/>
  <c r="G742" i="2"/>
  <c r="I742" i="2" s="1"/>
  <c r="E742" i="2"/>
  <c r="F742" i="2" s="1"/>
  <c r="D742" i="2"/>
  <c r="C742" i="2"/>
  <c r="B742" i="2"/>
  <c r="A742" i="2"/>
  <c r="F741" i="2"/>
  <c r="H741" i="2" s="1"/>
  <c r="E741" i="2"/>
  <c r="D741" i="2"/>
  <c r="C741" i="2"/>
  <c r="B741" i="2"/>
  <c r="G741" i="2" s="1"/>
  <c r="I741" i="2" s="1"/>
  <c r="A741" i="2"/>
  <c r="G740" i="2"/>
  <c r="I740" i="2" s="1"/>
  <c r="F740" i="2"/>
  <c r="E740" i="2"/>
  <c r="D740" i="2"/>
  <c r="C740" i="2"/>
  <c r="B740" i="2"/>
  <c r="A740" i="2"/>
  <c r="G739" i="2"/>
  <c r="I739" i="2" s="1"/>
  <c r="E739" i="2"/>
  <c r="F739" i="2" s="1"/>
  <c r="D739" i="2"/>
  <c r="C739" i="2"/>
  <c r="B739" i="2"/>
  <c r="A739" i="2"/>
  <c r="E738" i="2"/>
  <c r="F738" i="2" s="1"/>
  <c r="D738" i="2"/>
  <c r="C738" i="2"/>
  <c r="B738" i="2"/>
  <c r="G738" i="2" s="1"/>
  <c r="I738" i="2" s="1"/>
  <c r="A738" i="2"/>
  <c r="H737" i="2"/>
  <c r="F737" i="2"/>
  <c r="E737" i="2"/>
  <c r="D737" i="2"/>
  <c r="C737" i="2"/>
  <c r="B737" i="2"/>
  <c r="G737" i="2" s="1"/>
  <c r="I737" i="2" s="1"/>
  <c r="A737" i="2"/>
  <c r="G736" i="2"/>
  <c r="I736" i="2" s="1"/>
  <c r="F736" i="2"/>
  <c r="E736" i="2"/>
  <c r="D736" i="2"/>
  <c r="C736" i="2"/>
  <c r="B736" i="2"/>
  <c r="A736" i="2"/>
  <c r="E735" i="2"/>
  <c r="F735" i="2" s="1"/>
  <c r="H735" i="2" s="1"/>
  <c r="D735" i="2"/>
  <c r="C735" i="2"/>
  <c r="B735" i="2"/>
  <c r="G735" i="2" s="1"/>
  <c r="I735" i="2" s="1"/>
  <c r="A735" i="2"/>
  <c r="F734" i="2"/>
  <c r="E734" i="2"/>
  <c r="D734" i="2"/>
  <c r="C734" i="2"/>
  <c r="B734" i="2"/>
  <c r="G734" i="2" s="1"/>
  <c r="I734" i="2" s="1"/>
  <c r="A734" i="2"/>
  <c r="G733" i="2"/>
  <c r="I733" i="2" s="1"/>
  <c r="F733" i="2"/>
  <c r="E733" i="2"/>
  <c r="D733" i="2"/>
  <c r="C733" i="2"/>
  <c r="B733" i="2"/>
  <c r="A733" i="2"/>
  <c r="F732" i="2"/>
  <c r="E732" i="2"/>
  <c r="D732" i="2"/>
  <c r="C732" i="2"/>
  <c r="G732" i="2" s="1"/>
  <c r="I732" i="2" s="1"/>
  <c r="B732" i="2"/>
  <c r="A732" i="2"/>
  <c r="E731" i="2"/>
  <c r="F731" i="2" s="1"/>
  <c r="D731" i="2"/>
  <c r="C731" i="2"/>
  <c r="B731" i="2"/>
  <c r="G731" i="2" s="1"/>
  <c r="A731" i="2"/>
  <c r="G730" i="2"/>
  <c r="I730" i="2" s="1"/>
  <c r="F730" i="2"/>
  <c r="E730" i="2"/>
  <c r="D730" i="2"/>
  <c r="C730" i="2"/>
  <c r="B730" i="2"/>
  <c r="A730" i="2"/>
  <c r="E729" i="2"/>
  <c r="F729" i="2" s="1"/>
  <c r="D729" i="2"/>
  <c r="C729" i="2"/>
  <c r="B729" i="2"/>
  <c r="A729" i="2"/>
  <c r="E728" i="2"/>
  <c r="F728" i="2" s="1"/>
  <c r="D728" i="2"/>
  <c r="C728" i="2"/>
  <c r="B728" i="2"/>
  <c r="G728" i="2" s="1"/>
  <c r="I728" i="2" s="1"/>
  <c r="A728" i="2"/>
  <c r="G727" i="2"/>
  <c r="I727" i="2" s="1"/>
  <c r="E727" i="2"/>
  <c r="F727" i="2" s="1"/>
  <c r="D727" i="2"/>
  <c r="C727" i="2"/>
  <c r="B727" i="2"/>
  <c r="A727" i="2"/>
  <c r="F726" i="2"/>
  <c r="E726" i="2"/>
  <c r="D726" i="2"/>
  <c r="C726" i="2"/>
  <c r="B726" i="2"/>
  <c r="G726" i="2" s="1"/>
  <c r="I726" i="2" s="1"/>
  <c r="A726" i="2"/>
  <c r="F725" i="2"/>
  <c r="E725" i="2"/>
  <c r="D725" i="2"/>
  <c r="C725" i="2"/>
  <c r="B725" i="2"/>
  <c r="G725" i="2" s="1"/>
  <c r="I725" i="2" s="1"/>
  <c r="A725" i="2"/>
  <c r="F724" i="2"/>
  <c r="E724" i="2"/>
  <c r="D724" i="2"/>
  <c r="C724" i="2"/>
  <c r="B724" i="2"/>
  <c r="G724" i="2" s="1"/>
  <c r="A724" i="2"/>
  <c r="G723" i="2"/>
  <c r="I723" i="2" s="1"/>
  <c r="E723" i="2"/>
  <c r="F723" i="2" s="1"/>
  <c r="D723" i="2"/>
  <c r="C723" i="2"/>
  <c r="B723" i="2"/>
  <c r="A723" i="2"/>
  <c r="E722" i="2"/>
  <c r="F722" i="2" s="1"/>
  <c r="D722" i="2"/>
  <c r="C722" i="2"/>
  <c r="B722" i="2"/>
  <c r="G722" i="2" s="1"/>
  <c r="I722" i="2" s="1"/>
  <c r="A722" i="2"/>
  <c r="E721" i="2"/>
  <c r="F721" i="2" s="1"/>
  <c r="H721" i="2" s="1"/>
  <c r="D721" i="2"/>
  <c r="C721" i="2"/>
  <c r="B721" i="2"/>
  <c r="G721" i="2" s="1"/>
  <c r="I721" i="2" s="1"/>
  <c r="A721" i="2"/>
  <c r="F720" i="2"/>
  <c r="E720" i="2"/>
  <c r="D720" i="2"/>
  <c r="C720" i="2"/>
  <c r="B720" i="2"/>
  <c r="G720" i="2" s="1"/>
  <c r="I720" i="2" s="1"/>
  <c r="A720" i="2"/>
  <c r="G719" i="2"/>
  <c r="I719" i="2" s="1"/>
  <c r="E719" i="2"/>
  <c r="F719" i="2" s="1"/>
  <c r="D719" i="2"/>
  <c r="C719" i="2"/>
  <c r="B719" i="2"/>
  <c r="A719" i="2"/>
  <c r="E718" i="2"/>
  <c r="F718" i="2" s="1"/>
  <c r="D718" i="2"/>
  <c r="C718" i="2"/>
  <c r="B718" i="2"/>
  <c r="G718" i="2" s="1"/>
  <c r="I718" i="2" s="1"/>
  <c r="A718" i="2"/>
  <c r="E717" i="2"/>
  <c r="F717" i="2" s="1"/>
  <c r="D717" i="2"/>
  <c r="C717" i="2"/>
  <c r="B717" i="2"/>
  <c r="G717" i="2" s="1"/>
  <c r="I717" i="2" s="1"/>
  <c r="A717" i="2"/>
  <c r="F716" i="2"/>
  <c r="E716" i="2"/>
  <c r="D716" i="2"/>
  <c r="C716" i="2"/>
  <c r="B716" i="2"/>
  <c r="G716" i="2" s="1"/>
  <c r="A716" i="2"/>
  <c r="G715" i="2"/>
  <c r="I715" i="2" s="1"/>
  <c r="E715" i="2"/>
  <c r="F715" i="2" s="1"/>
  <c r="D715" i="2"/>
  <c r="C715" i="2"/>
  <c r="B715" i="2"/>
  <c r="A715" i="2"/>
  <c r="E714" i="2"/>
  <c r="F714" i="2" s="1"/>
  <c r="D714" i="2"/>
  <c r="C714" i="2"/>
  <c r="B714" i="2"/>
  <c r="G714" i="2" s="1"/>
  <c r="I714" i="2" s="1"/>
  <c r="A714" i="2"/>
  <c r="E713" i="2"/>
  <c r="F713" i="2" s="1"/>
  <c r="H713" i="2" s="1"/>
  <c r="D713" i="2"/>
  <c r="C713" i="2"/>
  <c r="B713" i="2"/>
  <c r="G713" i="2" s="1"/>
  <c r="I713" i="2" s="1"/>
  <c r="A713" i="2"/>
  <c r="F712" i="2"/>
  <c r="E712" i="2"/>
  <c r="D712" i="2"/>
  <c r="C712" i="2"/>
  <c r="B712" i="2"/>
  <c r="G712" i="2" s="1"/>
  <c r="I712" i="2" s="1"/>
  <c r="A712" i="2"/>
  <c r="G711" i="2"/>
  <c r="I711" i="2" s="1"/>
  <c r="E711" i="2"/>
  <c r="F711" i="2" s="1"/>
  <c r="D711" i="2"/>
  <c r="C711" i="2"/>
  <c r="B711" i="2"/>
  <c r="A711" i="2"/>
  <c r="E710" i="2"/>
  <c r="F710" i="2" s="1"/>
  <c r="D710" i="2"/>
  <c r="C710" i="2"/>
  <c r="B710" i="2"/>
  <c r="G710" i="2" s="1"/>
  <c r="I710" i="2" s="1"/>
  <c r="A710" i="2"/>
  <c r="E709" i="2"/>
  <c r="F709" i="2" s="1"/>
  <c r="H709" i="2" s="1"/>
  <c r="D709" i="2"/>
  <c r="C709" i="2"/>
  <c r="B709" i="2"/>
  <c r="G709" i="2" s="1"/>
  <c r="I709" i="2" s="1"/>
  <c r="A709" i="2"/>
  <c r="F708" i="2"/>
  <c r="E708" i="2"/>
  <c r="D708" i="2"/>
  <c r="C708" i="2"/>
  <c r="B708" i="2"/>
  <c r="G708" i="2" s="1"/>
  <c r="A708" i="2"/>
  <c r="G707" i="2"/>
  <c r="I707" i="2" s="1"/>
  <c r="E707" i="2"/>
  <c r="F707" i="2" s="1"/>
  <c r="D707" i="2"/>
  <c r="C707" i="2"/>
  <c r="B707" i="2"/>
  <c r="A707" i="2"/>
  <c r="E706" i="2"/>
  <c r="F706" i="2" s="1"/>
  <c r="D706" i="2"/>
  <c r="C706" i="2"/>
  <c r="B706" i="2"/>
  <c r="G706" i="2" s="1"/>
  <c r="I706" i="2" s="1"/>
  <c r="A706" i="2"/>
  <c r="E705" i="2"/>
  <c r="F705" i="2" s="1"/>
  <c r="D705" i="2"/>
  <c r="C705" i="2"/>
  <c r="B705" i="2"/>
  <c r="G705" i="2" s="1"/>
  <c r="I705" i="2" s="1"/>
  <c r="A705" i="2"/>
  <c r="F704" i="2"/>
  <c r="E704" i="2"/>
  <c r="D704" i="2"/>
  <c r="C704" i="2"/>
  <c r="B704" i="2"/>
  <c r="G704" i="2" s="1"/>
  <c r="I704" i="2" s="1"/>
  <c r="A704" i="2"/>
  <c r="G703" i="2"/>
  <c r="I703" i="2" s="1"/>
  <c r="E703" i="2"/>
  <c r="F703" i="2" s="1"/>
  <c r="D703" i="2"/>
  <c r="C703" i="2"/>
  <c r="B703" i="2"/>
  <c r="A703" i="2"/>
  <c r="E702" i="2"/>
  <c r="F702" i="2" s="1"/>
  <c r="D702" i="2"/>
  <c r="C702" i="2"/>
  <c r="B702" i="2"/>
  <c r="G702" i="2" s="1"/>
  <c r="I702" i="2" s="1"/>
  <c r="A702" i="2"/>
  <c r="E701" i="2"/>
  <c r="F701" i="2" s="1"/>
  <c r="H701" i="2" s="1"/>
  <c r="D701" i="2"/>
  <c r="C701" i="2"/>
  <c r="B701" i="2"/>
  <c r="G701" i="2" s="1"/>
  <c r="I701" i="2" s="1"/>
  <c r="A701" i="2"/>
  <c r="F700" i="2"/>
  <c r="E700" i="2"/>
  <c r="D700" i="2"/>
  <c r="C700" i="2"/>
  <c r="B700" i="2"/>
  <c r="G700" i="2" s="1"/>
  <c r="I700" i="2" s="1"/>
  <c r="A700" i="2"/>
  <c r="G699" i="2"/>
  <c r="I699" i="2" s="1"/>
  <c r="E699" i="2"/>
  <c r="F699" i="2" s="1"/>
  <c r="D699" i="2"/>
  <c r="C699" i="2"/>
  <c r="B699" i="2"/>
  <c r="A699" i="2"/>
  <c r="E698" i="2"/>
  <c r="F698" i="2" s="1"/>
  <c r="D698" i="2"/>
  <c r="C698" i="2"/>
  <c r="B698" i="2"/>
  <c r="G698" i="2" s="1"/>
  <c r="I698" i="2" s="1"/>
  <c r="A698" i="2"/>
  <c r="E697" i="2"/>
  <c r="F697" i="2" s="1"/>
  <c r="D697" i="2"/>
  <c r="C697" i="2"/>
  <c r="B697" i="2"/>
  <c r="G697" i="2" s="1"/>
  <c r="I697" i="2" s="1"/>
  <c r="A697" i="2"/>
  <c r="F696" i="2"/>
  <c r="E696" i="2"/>
  <c r="D696" i="2"/>
  <c r="C696" i="2"/>
  <c r="B696" i="2"/>
  <c r="G696" i="2" s="1"/>
  <c r="I696" i="2" s="1"/>
  <c r="A696" i="2"/>
  <c r="G695" i="2"/>
  <c r="I695" i="2" s="1"/>
  <c r="E695" i="2"/>
  <c r="F695" i="2" s="1"/>
  <c r="H695" i="2" s="1"/>
  <c r="D695" i="2"/>
  <c r="C695" i="2"/>
  <c r="B695" i="2"/>
  <c r="A695" i="2"/>
  <c r="E694" i="2"/>
  <c r="F694" i="2" s="1"/>
  <c r="H694" i="2" s="1"/>
  <c r="D694" i="2"/>
  <c r="C694" i="2"/>
  <c r="B694" i="2"/>
  <c r="G694" i="2" s="1"/>
  <c r="I694" i="2" s="1"/>
  <c r="A694" i="2"/>
  <c r="E693" i="2"/>
  <c r="F693" i="2" s="1"/>
  <c r="D693" i="2"/>
  <c r="C693" i="2"/>
  <c r="B693" i="2"/>
  <c r="G693" i="2" s="1"/>
  <c r="I693" i="2" s="1"/>
  <c r="A693" i="2"/>
  <c r="F692" i="2"/>
  <c r="E692" i="2"/>
  <c r="D692" i="2"/>
  <c r="C692" i="2"/>
  <c r="B692" i="2"/>
  <c r="G692" i="2" s="1"/>
  <c r="I692" i="2" s="1"/>
  <c r="A692" i="2"/>
  <c r="G691" i="2"/>
  <c r="I691" i="2" s="1"/>
  <c r="E691" i="2"/>
  <c r="F691" i="2" s="1"/>
  <c r="H691" i="2" s="1"/>
  <c r="D691" i="2"/>
  <c r="C691" i="2"/>
  <c r="B691" i="2"/>
  <c r="A691" i="2"/>
  <c r="E690" i="2"/>
  <c r="F690" i="2" s="1"/>
  <c r="D690" i="2"/>
  <c r="C690" i="2"/>
  <c r="B690" i="2"/>
  <c r="G690" i="2" s="1"/>
  <c r="I690" i="2" s="1"/>
  <c r="A690" i="2"/>
  <c r="E689" i="2"/>
  <c r="F689" i="2" s="1"/>
  <c r="D689" i="2"/>
  <c r="C689" i="2"/>
  <c r="B689" i="2"/>
  <c r="G689" i="2" s="1"/>
  <c r="I689" i="2" s="1"/>
  <c r="A689" i="2"/>
  <c r="F688" i="2"/>
  <c r="E688" i="2"/>
  <c r="D688" i="2"/>
  <c r="C688" i="2"/>
  <c r="B688" i="2"/>
  <c r="G688" i="2" s="1"/>
  <c r="I688" i="2" s="1"/>
  <c r="A688" i="2"/>
  <c r="G687" i="2"/>
  <c r="I687" i="2" s="1"/>
  <c r="E687" i="2"/>
  <c r="F687" i="2" s="1"/>
  <c r="H687" i="2" s="1"/>
  <c r="D687" i="2"/>
  <c r="C687" i="2"/>
  <c r="B687" i="2"/>
  <c r="A687" i="2"/>
  <c r="E686" i="2"/>
  <c r="F686" i="2" s="1"/>
  <c r="D686" i="2"/>
  <c r="C686" i="2"/>
  <c r="B686" i="2"/>
  <c r="A686" i="2"/>
  <c r="E685" i="2"/>
  <c r="F685" i="2" s="1"/>
  <c r="D685" i="2"/>
  <c r="C685" i="2"/>
  <c r="B685" i="2"/>
  <c r="G685" i="2" s="1"/>
  <c r="I685" i="2" s="1"/>
  <c r="A685" i="2"/>
  <c r="F684" i="2"/>
  <c r="E684" i="2"/>
  <c r="D684" i="2"/>
  <c r="C684" i="2"/>
  <c r="B684" i="2"/>
  <c r="G684" i="2" s="1"/>
  <c r="H684" i="2" s="1"/>
  <c r="A684" i="2"/>
  <c r="G683" i="2"/>
  <c r="I683" i="2" s="1"/>
  <c r="F683" i="2"/>
  <c r="E683" i="2"/>
  <c r="D683" i="2"/>
  <c r="C683" i="2"/>
  <c r="B683" i="2"/>
  <c r="A683" i="2"/>
  <c r="E682" i="2"/>
  <c r="F682" i="2" s="1"/>
  <c r="D682" i="2"/>
  <c r="C682" i="2"/>
  <c r="B682" i="2"/>
  <c r="G682" i="2" s="1"/>
  <c r="I682" i="2" s="1"/>
  <c r="A682" i="2"/>
  <c r="E681" i="2"/>
  <c r="F681" i="2" s="1"/>
  <c r="D681" i="2"/>
  <c r="C681" i="2"/>
  <c r="B681" i="2"/>
  <c r="G681" i="2" s="1"/>
  <c r="I681" i="2" s="1"/>
  <c r="A681" i="2"/>
  <c r="F680" i="2"/>
  <c r="E680" i="2"/>
  <c r="D680" i="2"/>
  <c r="C680" i="2"/>
  <c r="B680" i="2"/>
  <c r="G680" i="2" s="1"/>
  <c r="I680" i="2" s="1"/>
  <c r="A680" i="2"/>
  <c r="G679" i="2"/>
  <c r="I679" i="2" s="1"/>
  <c r="E679" i="2"/>
  <c r="F679" i="2" s="1"/>
  <c r="H679" i="2" s="1"/>
  <c r="D679" i="2"/>
  <c r="C679" i="2"/>
  <c r="B679" i="2"/>
  <c r="A679" i="2"/>
  <c r="E678" i="2"/>
  <c r="F678" i="2" s="1"/>
  <c r="D678" i="2"/>
  <c r="C678" i="2"/>
  <c r="B678" i="2"/>
  <c r="A678" i="2"/>
  <c r="E677" i="2"/>
  <c r="F677" i="2" s="1"/>
  <c r="H677" i="2" s="1"/>
  <c r="D677" i="2"/>
  <c r="C677" i="2"/>
  <c r="B677" i="2"/>
  <c r="G677" i="2" s="1"/>
  <c r="I677" i="2" s="1"/>
  <c r="A677" i="2"/>
  <c r="F676" i="2"/>
  <c r="E676" i="2"/>
  <c r="D676" i="2"/>
  <c r="C676" i="2"/>
  <c r="B676" i="2"/>
  <c r="G676" i="2" s="1"/>
  <c r="I676" i="2" s="1"/>
  <c r="A676" i="2"/>
  <c r="G675" i="2"/>
  <c r="I675" i="2" s="1"/>
  <c r="F675" i="2"/>
  <c r="H675" i="2" s="1"/>
  <c r="E675" i="2"/>
  <c r="D675" i="2"/>
  <c r="C675" i="2"/>
  <c r="B675" i="2"/>
  <c r="A675" i="2"/>
  <c r="E674" i="2"/>
  <c r="F674" i="2" s="1"/>
  <c r="D674" i="2"/>
  <c r="C674" i="2"/>
  <c r="B674" i="2"/>
  <c r="G674" i="2" s="1"/>
  <c r="I674" i="2" s="1"/>
  <c r="A674" i="2"/>
  <c r="E673" i="2"/>
  <c r="F673" i="2" s="1"/>
  <c r="D673" i="2"/>
  <c r="C673" i="2"/>
  <c r="B673" i="2"/>
  <c r="G673" i="2" s="1"/>
  <c r="I673" i="2" s="1"/>
  <c r="A673" i="2"/>
  <c r="F672" i="2"/>
  <c r="E672" i="2"/>
  <c r="D672" i="2"/>
  <c r="C672" i="2"/>
  <c r="B672" i="2"/>
  <c r="G672" i="2" s="1"/>
  <c r="A672" i="2"/>
  <c r="G671" i="2"/>
  <c r="I671" i="2" s="1"/>
  <c r="F671" i="2"/>
  <c r="E671" i="2"/>
  <c r="D671" i="2"/>
  <c r="C671" i="2"/>
  <c r="B671" i="2"/>
  <c r="A671" i="2"/>
  <c r="E670" i="2"/>
  <c r="F670" i="2" s="1"/>
  <c r="D670" i="2"/>
  <c r="C670" i="2"/>
  <c r="B670" i="2"/>
  <c r="G670" i="2" s="1"/>
  <c r="I670" i="2" s="1"/>
  <c r="A670" i="2"/>
  <c r="E669" i="2"/>
  <c r="F669" i="2" s="1"/>
  <c r="H669" i="2" s="1"/>
  <c r="D669" i="2"/>
  <c r="C669" i="2"/>
  <c r="B669" i="2"/>
  <c r="G669" i="2" s="1"/>
  <c r="I669" i="2" s="1"/>
  <c r="A669" i="2"/>
  <c r="F668" i="2"/>
  <c r="E668" i="2"/>
  <c r="D668" i="2"/>
  <c r="C668" i="2"/>
  <c r="B668" i="2"/>
  <c r="G668" i="2" s="1"/>
  <c r="I668" i="2" s="1"/>
  <c r="A668" i="2"/>
  <c r="G667" i="2"/>
  <c r="I667" i="2" s="1"/>
  <c r="F667" i="2"/>
  <c r="E667" i="2"/>
  <c r="D667" i="2"/>
  <c r="C667" i="2"/>
  <c r="B667" i="2"/>
  <c r="A667" i="2"/>
  <c r="E666" i="2"/>
  <c r="F666" i="2" s="1"/>
  <c r="D666" i="2"/>
  <c r="C666" i="2"/>
  <c r="B666" i="2"/>
  <c r="A666" i="2"/>
  <c r="E665" i="2"/>
  <c r="F665" i="2" s="1"/>
  <c r="D665" i="2"/>
  <c r="C665" i="2"/>
  <c r="B665" i="2"/>
  <c r="G665" i="2" s="1"/>
  <c r="I665" i="2" s="1"/>
  <c r="A665" i="2"/>
  <c r="F664" i="2"/>
  <c r="E664" i="2"/>
  <c r="D664" i="2"/>
  <c r="C664" i="2"/>
  <c r="B664" i="2"/>
  <c r="G664" i="2" s="1"/>
  <c r="A664" i="2"/>
  <c r="G663" i="2"/>
  <c r="I663" i="2" s="1"/>
  <c r="F663" i="2"/>
  <c r="E663" i="2"/>
  <c r="D663" i="2"/>
  <c r="C663" i="2"/>
  <c r="B663" i="2"/>
  <c r="A663" i="2"/>
  <c r="E662" i="2"/>
  <c r="F662" i="2" s="1"/>
  <c r="D662" i="2"/>
  <c r="C662" i="2"/>
  <c r="B662" i="2"/>
  <c r="G662" i="2" s="1"/>
  <c r="I662" i="2" s="1"/>
  <c r="A662" i="2"/>
  <c r="E661" i="2"/>
  <c r="F661" i="2" s="1"/>
  <c r="D661" i="2"/>
  <c r="C661" i="2"/>
  <c r="B661" i="2"/>
  <c r="G661" i="2" s="1"/>
  <c r="I661" i="2" s="1"/>
  <c r="A661" i="2"/>
  <c r="F660" i="2"/>
  <c r="E660" i="2"/>
  <c r="D660" i="2"/>
  <c r="C660" i="2"/>
  <c r="B660" i="2"/>
  <c r="G660" i="2" s="1"/>
  <c r="I660" i="2" s="1"/>
  <c r="A660" i="2"/>
  <c r="G659" i="2"/>
  <c r="I659" i="2" s="1"/>
  <c r="E659" i="2"/>
  <c r="F659" i="2" s="1"/>
  <c r="D659" i="2"/>
  <c r="C659" i="2"/>
  <c r="B659" i="2"/>
  <c r="A659" i="2"/>
  <c r="E658" i="2"/>
  <c r="F658" i="2" s="1"/>
  <c r="D658" i="2"/>
  <c r="C658" i="2"/>
  <c r="B658" i="2"/>
  <c r="A658" i="2"/>
  <c r="E657" i="2"/>
  <c r="F657" i="2" s="1"/>
  <c r="H657" i="2" s="1"/>
  <c r="D657" i="2"/>
  <c r="C657" i="2"/>
  <c r="B657" i="2"/>
  <c r="G657" i="2" s="1"/>
  <c r="I657" i="2" s="1"/>
  <c r="A657" i="2"/>
  <c r="F656" i="2"/>
  <c r="E656" i="2"/>
  <c r="D656" i="2"/>
  <c r="C656" i="2"/>
  <c r="B656" i="2"/>
  <c r="G656" i="2" s="1"/>
  <c r="A656" i="2"/>
  <c r="G655" i="2"/>
  <c r="I655" i="2" s="1"/>
  <c r="F655" i="2"/>
  <c r="E655" i="2"/>
  <c r="D655" i="2"/>
  <c r="C655" i="2"/>
  <c r="B655" i="2"/>
  <c r="A655" i="2"/>
  <c r="E654" i="2"/>
  <c r="F654" i="2" s="1"/>
  <c r="D654" i="2"/>
  <c r="C654" i="2"/>
  <c r="B654" i="2"/>
  <c r="A654" i="2"/>
  <c r="E653" i="2"/>
  <c r="F653" i="2" s="1"/>
  <c r="D653" i="2"/>
  <c r="C653" i="2"/>
  <c r="B653" i="2"/>
  <c r="G653" i="2" s="1"/>
  <c r="I653" i="2" s="1"/>
  <c r="A653" i="2"/>
  <c r="F652" i="2"/>
  <c r="E652" i="2"/>
  <c r="D652" i="2"/>
  <c r="C652" i="2"/>
  <c r="B652" i="2"/>
  <c r="G652" i="2" s="1"/>
  <c r="A652" i="2"/>
  <c r="G651" i="2"/>
  <c r="I651" i="2" s="1"/>
  <c r="E651" i="2"/>
  <c r="F651" i="2" s="1"/>
  <c r="D651" i="2"/>
  <c r="C651" i="2"/>
  <c r="B651" i="2"/>
  <c r="A651" i="2"/>
  <c r="E650" i="2"/>
  <c r="F650" i="2" s="1"/>
  <c r="D650" i="2"/>
  <c r="C650" i="2"/>
  <c r="B650" i="2"/>
  <c r="A650" i="2"/>
  <c r="E649" i="2"/>
  <c r="F649" i="2" s="1"/>
  <c r="D649" i="2"/>
  <c r="C649" i="2"/>
  <c r="B649" i="2"/>
  <c r="G649" i="2" s="1"/>
  <c r="I649" i="2" s="1"/>
  <c r="A649" i="2"/>
  <c r="F648" i="2"/>
  <c r="E648" i="2"/>
  <c r="D648" i="2"/>
  <c r="C648" i="2"/>
  <c r="B648" i="2"/>
  <c r="G648" i="2" s="1"/>
  <c r="A648" i="2"/>
  <c r="G647" i="2"/>
  <c r="I647" i="2" s="1"/>
  <c r="F647" i="2"/>
  <c r="E647" i="2"/>
  <c r="D647" i="2"/>
  <c r="C647" i="2"/>
  <c r="B647" i="2"/>
  <c r="A647" i="2"/>
  <c r="E646" i="2"/>
  <c r="F646" i="2" s="1"/>
  <c r="D646" i="2"/>
  <c r="C646" i="2"/>
  <c r="B646" i="2"/>
  <c r="A646" i="2"/>
  <c r="E645" i="2"/>
  <c r="F645" i="2" s="1"/>
  <c r="D645" i="2"/>
  <c r="C645" i="2"/>
  <c r="B645" i="2"/>
  <c r="G645" i="2" s="1"/>
  <c r="I645" i="2" s="1"/>
  <c r="A645" i="2"/>
  <c r="F644" i="2"/>
  <c r="E644" i="2"/>
  <c r="D644" i="2"/>
  <c r="C644" i="2"/>
  <c r="B644" i="2"/>
  <c r="G644" i="2" s="1"/>
  <c r="I644" i="2" s="1"/>
  <c r="A644" i="2"/>
  <c r="G643" i="2"/>
  <c r="I643" i="2" s="1"/>
  <c r="E643" i="2"/>
  <c r="F643" i="2" s="1"/>
  <c r="H643" i="2" s="1"/>
  <c r="D643" i="2"/>
  <c r="C643" i="2"/>
  <c r="B643" i="2"/>
  <c r="A643" i="2"/>
  <c r="E642" i="2"/>
  <c r="F642" i="2" s="1"/>
  <c r="D642" i="2"/>
  <c r="C642" i="2"/>
  <c r="B642" i="2"/>
  <c r="G642" i="2" s="1"/>
  <c r="I642" i="2" s="1"/>
  <c r="A642" i="2"/>
  <c r="E641" i="2"/>
  <c r="F641" i="2" s="1"/>
  <c r="D641" i="2"/>
  <c r="C641" i="2"/>
  <c r="B641" i="2"/>
  <c r="G641" i="2" s="1"/>
  <c r="I641" i="2" s="1"/>
  <c r="A641" i="2"/>
  <c r="F640" i="2"/>
  <c r="E640" i="2"/>
  <c r="D640" i="2"/>
  <c r="C640" i="2"/>
  <c r="B640" i="2"/>
  <c r="G640" i="2" s="1"/>
  <c r="I640" i="2" s="1"/>
  <c r="A640" i="2"/>
  <c r="G639" i="2"/>
  <c r="I639" i="2" s="1"/>
  <c r="E639" i="2"/>
  <c r="F639" i="2" s="1"/>
  <c r="H639" i="2" s="1"/>
  <c r="D639" i="2"/>
  <c r="C639" i="2"/>
  <c r="B639" i="2"/>
  <c r="A639" i="2"/>
  <c r="E638" i="2"/>
  <c r="F638" i="2" s="1"/>
  <c r="D638" i="2"/>
  <c r="C638" i="2"/>
  <c r="B638" i="2"/>
  <c r="A638" i="2"/>
  <c r="E637" i="2"/>
  <c r="F637" i="2" s="1"/>
  <c r="D637" i="2"/>
  <c r="C637" i="2"/>
  <c r="B637" i="2"/>
  <c r="G637" i="2" s="1"/>
  <c r="I637" i="2" s="1"/>
  <c r="A637" i="2"/>
  <c r="F636" i="2"/>
  <c r="E636" i="2"/>
  <c r="D636" i="2"/>
  <c r="C636" i="2"/>
  <c r="B636" i="2"/>
  <c r="G636" i="2" s="1"/>
  <c r="I636" i="2" s="1"/>
  <c r="A636" i="2"/>
  <c r="G635" i="2"/>
  <c r="I635" i="2" s="1"/>
  <c r="F635" i="2"/>
  <c r="E635" i="2"/>
  <c r="D635" i="2"/>
  <c r="C635" i="2"/>
  <c r="B635" i="2"/>
  <c r="A635" i="2"/>
  <c r="E634" i="2"/>
  <c r="F634" i="2" s="1"/>
  <c r="D634" i="2"/>
  <c r="C634" i="2"/>
  <c r="B634" i="2"/>
  <c r="G634" i="2" s="1"/>
  <c r="I634" i="2" s="1"/>
  <c r="A634" i="2"/>
  <c r="E633" i="2"/>
  <c r="F633" i="2" s="1"/>
  <c r="D633" i="2"/>
  <c r="C633" i="2"/>
  <c r="B633" i="2"/>
  <c r="G633" i="2" s="1"/>
  <c r="I633" i="2" s="1"/>
  <c r="A633" i="2"/>
  <c r="F632" i="2"/>
  <c r="E632" i="2"/>
  <c r="D632" i="2"/>
  <c r="C632" i="2"/>
  <c r="B632" i="2"/>
  <c r="G632" i="2" s="1"/>
  <c r="I632" i="2" s="1"/>
  <c r="A632" i="2"/>
  <c r="G631" i="2"/>
  <c r="I631" i="2" s="1"/>
  <c r="E631" i="2"/>
  <c r="F631" i="2" s="1"/>
  <c r="D631" i="2"/>
  <c r="C631" i="2"/>
  <c r="B631" i="2"/>
  <c r="A631" i="2"/>
  <c r="E630" i="2"/>
  <c r="F630" i="2" s="1"/>
  <c r="D630" i="2"/>
  <c r="C630" i="2"/>
  <c r="B630" i="2"/>
  <c r="A630" i="2"/>
  <c r="E629" i="2"/>
  <c r="F629" i="2" s="1"/>
  <c r="H629" i="2" s="1"/>
  <c r="D629" i="2"/>
  <c r="C629" i="2"/>
  <c r="B629" i="2"/>
  <c r="G629" i="2" s="1"/>
  <c r="I629" i="2" s="1"/>
  <c r="A629" i="2"/>
  <c r="F628" i="2"/>
  <c r="E628" i="2"/>
  <c r="D628" i="2"/>
  <c r="C628" i="2"/>
  <c r="B628" i="2"/>
  <c r="G628" i="2" s="1"/>
  <c r="I628" i="2" s="1"/>
  <c r="A628" i="2"/>
  <c r="G627" i="2"/>
  <c r="I627" i="2" s="1"/>
  <c r="F627" i="2"/>
  <c r="H627" i="2" s="1"/>
  <c r="E627" i="2"/>
  <c r="D627" i="2"/>
  <c r="C627" i="2"/>
  <c r="B627" i="2"/>
  <c r="A627" i="2"/>
  <c r="E626" i="2"/>
  <c r="F626" i="2" s="1"/>
  <c r="D626" i="2"/>
  <c r="C626" i="2"/>
  <c r="B626" i="2"/>
  <c r="G626" i="2" s="1"/>
  <c r="I626" i="2" s="1"/>
  <c r="A626" i="2"/>
  <c r="E625" i="2"/>
  <c r="F625" i="2" s="1"/>
  <c r="D625" i="2"/>
  <c r="C625" i="2"/>
  <c r="B625" i="2"/>
  <c r="G625" i="2" s="1"/>
  <c r="I625" i="2" s="1"/>
  <c r="A625" i="2"/>
  <c r="F624" i="2"/>
  <c r="E624" i="2"/>
  <c r="D624" i="2"/>
  <c r="C624" i="2"/>
  <c r="B624" i="2"/>
  <c r="G624" i="2" s="1"/>
  <c r="A624" i="2"/>
  <c r="G623" i="2"/>
  <c r="I623" i="2" s="1"/>
  <c r="F623" i="2"/>
  <c r="E623" i="2"/>
  <c r="D623" i="2"/>
  <c r="C623" i="2"/>
  <c r="B623" i="2"/>
  <c r="A623" i="2"/>
  <c r="E622" i="2"/>
  <c r="F622" i="2" s="1"/>
  <c r="D622" i="2"/>
  <c r="C622" i="2"/>
  <c r="B622" i="2"/>
  <c r="G622" i="2" s="1"/>
  <c r="I622" i="2" s="1"/>
  <c r="A622" i="2"/>
  <c r="E621" i="2"/>
  <c r="F621" i="2" s="1"/>
  <c r="D621" i="2"/>
  <c r="C621" i="2"/>
  <c r="B621" i="2"/>
  <c r="G621" i="2" s="1"/>
  <c r="I621" i="2" s="1"/>
  <c r="A621" i="2"/>
  <c r="F620" i="2"/>
  <c r="E620" i="2"/>
  <c r="D620" i="2"/>
  <c r="C620" i="2"/>
  <c r="B620" i="2"/>
  <c r="G620" i="2" s="1"/>
  <c r="I620" i="2" s="1"/>
  <c r="A620" i="2"/>
  <c r="G619" i="2"/>
  <c r="I619" i="2" s="1"/>
  <c r="F619" i="2"/>
  <c r="E619" i="2"/>
  <c r="D619" i="2"/>
  <c r="C619" i="2"/>
  <c r="B619" i="2"/>
  <c r="A619" i="2"/>
  <c r="E618" i="2"/>
  <c r="F618" i="2" s="1"/>
  <c r="D618" i="2"/>
  <c r="C618" i="2"/>
  <c r="B618" i="2"/>
  <c r="A618" i="2"/>
  <c r="E617" i="2"/>
  <c r="F617" i="2" s="1"/>
  <c r="D617" i="2"/>
  <c r="C617" i="2"/>
  <c r="B617" i="2"/>
  <c r="G617" i="2" s="1"/>
  <c r="I617" i="2" s="1"/>
  <c r="A617" i="2"/>
  <c r="F616" i="2"/>
  <c r="E616" i="2"/>
  <c r="D616" i="2"/>
  <c r="C616" i="2"/>
  <c r="B616" i="2"/>
  <c r="G616" i="2" s="1"/>
  <c r="A616" i="2"/>
  <c r="G615" i="2"/>
  <c r="I615" i="2" s="1"/>
  <c r="F615" i="2"/>
  <c r="E615" i="2"/>
  <c r="D615" i="2"/>
  <c r="C615" i="2"/>
  <c r="B615" i="2"/>
  <c r="A615" i="2"/>
  <c r="E614" i="2"/>
  <c r="F614" i="2" s="1"/>
  <c r="D614" i="2"/>
  <c r="C614" i="2"/>
  <c r="B614" i="2"/>
  <c r="G614" i="2" s="1"/>
  <c r="I614" i="2" s="1"/>
  <c r="A614" i="2"/>
  <c r="E613" i="2"/>
  <c r="F613" i="2" s="1"/>
  <c r="H613" i="2" s="1"/>
  <c r="D613" i="2"/>
  <c r="C613" i="2"/>
  <c r="B613" i="2"/>
  <c r="G613" i="2" s="1"/>
  <c r="I613" i="2" s="1"/>
  <c r="A613" i="2"/>
  <c r="I612" i="2"/>
  <c r="F612" i="2"/>
  <c r="E612" i="2"/>
  <c r="D612" i="2"/>
  <c r="C612" i="2"/>
  <c r="B612" i="2"/>
  <c r="G612" i="2" s="1"/>
  <c r="H612" i="2" s="1"/>
  <c r="A612" i="2"/>
  <c r="G611" i="2"/>
  <c r="I611" i="2" s="1"/>
  <c r="E611" i="2"/>
  <c r="F611" i="2" s="1"/>
  <c r="D611" i="2"/>
  <c r="C611" i="2"/>
  <c r="B611" i="2"/>
  <c r="A611" i="2"/>
  <c r="G610" i="2"/>
  <c r="I610" i="2" s="1"/>
  <c r="E610" i="2"/>
  <c r="F610" i="2" s="1"/>
  <c r="D610" i="2"/>
  <c r="C610" i="2"/>
  <c r="B610" i="2"/>
  <c r="A610" i="2"/>
  <c r="E609" i="2"/>
  <c r="F609" i="2" s="1"/>
  <c r="D609" i="2"/>
  <c r="C609" i="2"/>
  <c r="B609" i="2"/>
  <c r="G609" i="2" s="1"/>
  <c r="I609" i="2" s="1"/>
  <c r="A609" i="2"/>
  <c r="I608" i="2"/>
  <c r="H608" i="2"/>
  <c r="F608" i="2"/>
  <c r="E608" i="2"/>
  <c r="D608" i="2"/>
  <c r="C608" i="2"/>
  <c r="B608" i="2"/>
  <c r="G608" i="2" s="1"/>
  <c r="A608" i="2"/>
  <c r="G607" i="2"/>
  <c r="I607" i="2" s="1"/>
  <c r="E607" i="2"/>
  <c r="F607" i="2" s="1"/>
  <c r="H607" i="2" s="1"/>
  <c r="D607" i="2"/>
  <c r="C607" i="2"/>
  <c r="B607" i="2"/>
  <c r="A607" i="2"/>
  <c r="G606" i="2"/>
  <c r="I606" i="2" s="1"/>
  <c r="E606" i="2"/>
  <c r="F606" i="2" s="1"/>
  <c r="D606" i="2"/>
  <c r="C606" i="2"/>
  <c r="B606" i="2"/>
  <c r="A606" i="2"/>
  <c r="E605" i="2"/>
  <c r="F605" i="2" s="1"/>
  <c r="D605" i="2"/>
  <c r="C605" i="2"/>
  <c r="B605" i="2"/>
  <c r="G605" i="2" s="1"/>
  <c r="I605" i="2" s="1"/>
  <c r="A605" i="2"/>
  <c r="I604" i="2"/>
  <c r="F604" i="2"/>
  <c r="E604" i="2"/>
  <c r="D604" i="2"/>
  <c r="C604" i="2"/>
  <c r="B604" i="2"/>
  <c r="G604" i="2" s="1"/>
  <c r="H604" i="2" s="1"/>
  <c r="A604" i="2"/>
  <c r="G603" i="2"/>
  <c r="I603" i="2" s="1"/>
  <c r="E603" i="2"/>
  <c r="F603" i="2" s="1"/>
  <c r="D603" i="2"/>
  <c r="C603" i="2"/>
  <c r="B603" i="2"/>
  <c r="A603" i="2"/>
  <c r="G602" i="2"/>
  <c r="I602" i="2" s="1"/>
  <c r="E602" i="2"/>
  <c r="F602" i="2" s="1"/>
  <c r="D602" i="2"/>
  <c r="C602" i="2"/>
  <c r="B602" i="2"/>
  <c r="A602" i="2"/>
  <c r="E601" i="2"/>
  <c r="F601" i="2" s="1"/>
  <c r="D601" i="2"/>
  <c r="C601" i="2"/>
  <c r="B601" i="2"/>
  <c r="G601" i="2" s="1"/>
  <c r="I601" i="2" s="1"/>
  <c r="A601" i="2"/>
  <c r="F600" i="2"/>
  <c r="E600" i="2"/>
  <c r="D600" i="2"/>
  <c r="C600" i="2"/>
  <c r="B600" i="2"/>
  <c r="G600" i="2" s="1"/>
  <c r="I600" i="2" s="1"/>
  <c r="A600" i="2"/>
  <c r="G599" i="2"/>
  <c r="I599" i="2" s="1"/>
  <c r="F599" i="2"/>
  <c r="H599" i="2" s="1"/>
  <c r="E599" i="2"/>
  <c r="D599" i="2"/>
  <c r="C599" i="2"/>
  <c r="B599" i="2"/>
  <c r="A599" i="2"/>
  <c r="E598" i="2"/>
  <c r="F598" i="2" s="1"/>
  <c r="D598" i="2"/>
  <c r="C598" i="2"/>
  <c r="B598" i="2"/>
  <c r="G598" i="2" s="1"/>
  <c r="I598" i="2" s="1"/>
  <c r="A598" i="2"/>
  <c r="E597" i="2"/>
  <c r="F597" i="2" s="1"/>
  <c r="D597" i="2"/>
  <c r="C597" i="2"/>
  <c r="B597" i="2"/>
  <c r="G597" i="2" s="1"/>
  <c r="I597" i="2" s="1"/>
  <c r="A597" i="2"/>
  <c r="F596" i="2"/>
  <c r="E596" i="2"/>
  <c r="D596" i="2"/>
  <c r="C596" i="2"/>
  <c r="B596" i="2"/>
  <c r="G596" i="2" s="1"/>
  <c r="I596" i="2" s="1"/>
  <c r="A596" i="2"/>
  <c r="G595" i="2"/>
  <c r="I595" i="2" s="1"/>
  <c r="F595" i="2"/>
  <c r="E595" i="2"/>
  <c r="D595" i="2"/>
  <c r="C595" i="2"/>
  <c r="B595" i="2"/>
  <c r="A595" i="2"/>
  <c r="E594" i="2"/>
  <c r="F594" i="2" s="1"/>
  <c r="D594" i="2"/>
  <c r="C594" i="2"/>
  <c r="B594" i="2"/>
  <c r="G594" i="2" s="1"/>
  <c r="I594" i="2" s="1"/>
  <c r="A594" i="2"/>
  <c r="E593" i="2"/>
  <c r="F593" i="2" s="1"/>
  <c r="H593" i="2" s="1"/>
  <c r="D593" i="2"/>
  <c r="C593" i="2"/>
  <c r="B593" i="2"/>
  <c r="G593" i="2" s="1"/>
  <c r="I593" i="2" s="1"/>
  <c r="A593" i="2"/>
  <c r="F592" i="2"/>
  <c r="E592" i="2"/>
  <c r="D592" i="2"/>
  <c r="C592" i="2"/>
  <c r="B592" i="2"/>
  <c r="G592" i="2" s="1"/>
  <c r="I592" i="2" s="1"/>
  <c r="A592" i="2"/>
  <c r="G591" i="2"/>
  <c r="I591" i="2" s="1"/>
  <c r="F591" i="2"/>
  <c r="E591" i="2"/>
  <c r="D591" i="2"/>
  <c r="C591" i="2"/>
  <c r="B591" i="2"/>
  <c r="A591" i="2"/>
  <c r="E590" i="2"/>
  <c r="F590" i="2" s="1"/>
  <c r="D590" i="2"/>
  <c r="C590" i="2"/>
  <c r="B590" i="2"/>
  <c r="G590" i="2" s="1"/>
  <c r="I590" i="2" s="1"/>
  <c r="A590" i="2"/>
  <c r="E589" i="2"/>
  <c r="F589" i="2" s="1"/>
  <c r="D589" i="2"/>
  <c r="C589" i="2"/>
  <c r="B589" i="2"/>
  <c r="G589" i="2" s="1"/>
  <c r="I589" i="2" s="1"/>
  <c r="A589" i="2"/>
  <c r="I588" i="2"/>
  <c r="F588" i="2"/>
  <c r="E588" i="2"/>
  <c r="D588" i="2"/>
  <c r="C588" i="2"/>
  <c r="B588" i="2"/>
  <c r="G588" i="2" s="1"/>
  <c r="H588" i="2" s="1"/>
  <c r="A588" i="2"/>
  <c r="G587" i="2"/>
  <c r="I587" i="2" s="1"/>
  <c r="E587" i="2"/>
  <c r="F587" i="2" s="1"/>
  <c r="H587" i="2" s="1"/>
  <c r="D587" i="2"/>
  <c r="C587" i="2"/>
  <c r="B587" i="2"/>
  <c r="A587" i="2"/>
  <c r="G586" i="2"/>
  <c r="I586" i="2" s="1"/>
  <c r="E586" i="2"/>
  <c r="F586" i="2" s="1"/>
  <c r="D586" i="2"/>
  <c r="C586" i="2"/>
  <c r="B586" i="2"/>
  <c r="A586" i="2"/>
  <c r="E585" i="2"/>
  <c r="F585" i="2" s="1"/>
  <c r="D585" i="2"/>
  <c r="C585" i="2"/>
  <c r="B585" i="2"/>
  <c r="G585" i="2" s="1"/>
  <c r="I585" i="2" s="1"/>
  <c r="A585" i="2"/>
  <c r="I584" i="2"/>
  <c r="H584" i="2"/>
  <c r="F584" i="2"/>
  <c r="E584" i="2"/>
  <c r="D584" i="2"/>
  <c r="C584" i="2"/>
  <c r="B584" i="2"/>
  <c r="G584" i="2" s="1"/>
  <c r="A584" i="2"/>
  <c r="G583" i="2"/>
  <c r="I583" i="2" s="1"/>
  <c r="E583" i="2"/>
  <c r="F583" i="2" s="1"/>
  <c r="D583" i="2"/>
  <c r="C583" i="2"/>
  <c r="B583" i="2"/>
  <c r="A583" i="2"/>
  <c r="G582" i="2"/>
  <c r="I582" i="2" s="1"/>
  <c r="E582" i="2"/>
  <c r="F582" i="2" s="1"/>
  <c r="D582" i="2"/>
  <c r="C582" i="2"/>
  <c r="B582" i="2"/>
  <c r="A582" i="2"/>
  <c r="E581" i="2"/>
  <c r="F581" i="2" s="1"/>
  <c r="D581" i="2"/>
  <c r="C581" i="2"/>
  <c r="B581" i="2"/>
  <c r="G581" i="2" s="1"/>
  <c r="I581" i="2" s="1"/>
  <c r="A581" i="2"/>
  <c r="I580" i="2"/>
  <c r="H580" i="2"/>
  <c r="F580" i="2"/>
  <c r="E580" i="2"/>
  <c r="D580" i="2"/>
  <c r="C580" i="2"/>
  <c r="B580" i="2"/>
  <c r="G580" i="2" s="1"/>
  <c r="A580" i="2"/>
  <c r="G579" i="2"/>
  <c r="I579" i="2" s="1"/>
  <c r="E579" i="2"/>
  <c r="F579" i="2" s="1"/>
  <c r="H579" i="2" s="1"/>
  <c r="D579" i="2"/>
  <c r="C579" i="2"/>
  <c r="B579" i="2"/>
  <c r="A579" i="2"/>
  <c r="E578" i="2"/>
  <c r="F578" i="2" s="1"/>
  <c r="D578" i="2"/>
  <c r="C578" i="2"/>
  <c r="B578" i="2"/>
  <c r="G578" i="2" s="1"/>
  <c r="A578" i="2"/>
  <c r="E577" i="2"/>
  <c r="F577" i="2" s="1"/>
  <c r="D577" i="2"/>
  <c r="C577" i="2"/>
  <c r="B577" i="2"/>
  <c r="G577" i="2" s="1"/>
  <c r="I577" i="2" s="1"/>
  <c r="A577" i="2"/>
  <c r="I576" i="2"/>
  <c r="F576" i="2"/>
  <c r="E576" i="2"/>
  <c r="D576" i="2"/>
  <c r="C576" i="2"/>
  <c r="B576" i="2"/>
  <c r="G576" i="2" s="1"/>
  <c r="H576" i="2" s="1"/>
  <c r="A576" i="2"/>
  <c r="H575" i="2"/>
  <c r="G575" i="2"/>
  <c r="I575" i="2" s="1"/>
  <c r="F575" i="2"/>
  <c r="E575" i="2"/>
  <c r="D575" i="2"/>
  <c r="C575" i="2"/>
  <c r="B575" i="2"/>
  <c r="A575" i="2"/>
  <c r="E574" i="2"/>
  <c r="F574" i="2" s="1"/>
  <c r="D574" i="2"/>
  <c r="C574" i="2"/>
  <c r="G574" i="2" s="1"/>
  <c r="I574" i="2" s="1"/>
  <c r="B574" i="2"/>
  <c r="A574" i="2"/>
  <c r="E573" i="2"/>
  <c r="F573" i="2" s="1"/>
  <c r="D573" i="2"/>
  <c r="C573" i="2"/>
  <c r="B573" i="2"/>
  <c r="G573" i="2" s="1"/>
  <c r="I573" i="2" s="1"/>
  <c r="A573" i="2"/>
  <c r="F572" i="2"/>
  <c r="E572" i="2"/>
  <c r="D572" i="2"/>
  <c r="C572" i="2"/>
  <c r="B572" i="2"/>
  <c r="G572" i="2" s="1"/>
  <c r="A572" i="2"/>
  <c r="E571" i="2"/>
  <c r="F571" i="2" s="1"/>
  <c r="D571" i="2"/>
  <c r="C571" i="2"/>
  <c r="G571" i="2" s="1"/>
  <c r="I571" i="2" s="1"/>
  <c r="B571" i="2"/>
  <c r="A571" i="2"/>
  <c r="G570" i="2"/>
  <c r="I570" i="2" s="1"/>
  <c r="E570" i="2"/>
  <c r="F570" i="2" s="1"/>
  <c r="D570" i="2"/>
  <c r="C570" i="2"/>
  <c r="B570" i="2"/>
  <c r="A570" i="2"/>
  <c r="E569" i="2"/>
  <c r="F569" i="2" s="1"/>
  <c r="D569" i="2"/>
  <c r="C569" i="2"/>
  <c r="B569" i="2"/>
  <c r="G569" i="2" s="1"/>
  <c r="I569" i="2" s="1"/>
  <c r="A569" i="2"/>
  <c r="I568" i="2"/>
  <c r="H568" i="2"/>
  <c r="F568" i="2"/>
  <c r="E568" i="2"/>
  <c r="D568" i="2"/>
  <c r="C568" i="2"/>
  <c r="B568" i="2"/>
  <c r="G568" i="2" s="1"/>
  <c r="A568" i="2"/>
  <c r="H567" i="2"/>
  <c r="E567" i="2"/>
  <c r="F567" i="2" s="1"/>
  <c r="D567" i="2"/>
  <c r="C567" i="2"/>
  <c r="G567" i="2" s="1"/>
  <c r="I567" i="2" s="1"/>
  <c r="B567" i="2"/>
  <c r="A567" i="2"/>
  <c r="E566" i="2"/>
  <c r="F566" i="2" s="1"/>
  <c r="D566" i="2"/>
  <c r="C566" i="2"/>
  <c r="B566" i="2"/>
  <c r="G566" i="2" s="1"/>
  <c r="I566" i="2" s="1"/>
  <c r="A566" i="2"/>
  <c r="E565" i="2"/>
  <c r="F565" i="2" s="1"/>
  <c r="H565" i="2" s="1"/>
  <c r="D565" i="2"/>
  <c r="C565" i="2"/>
  <c r="B565" i="2"/>
  <c r="G565" i="2" s="1"/>
  <c r="I565" i="2" s="1"/>
  <c r="A565" i="2"/>
  <c r="F564" i="2"/>
  <c r="E564" i="2"/>
  <c r="D564" i="2"/>
  <c r="C564" i="2"/>
  <c r="B564" i="2"/>
  <c r="G564" i="2" s="1"/>
  <c r="A564" i="2"/>
  <c r="G563" i="2"/>
  <c r="I563" i="2" s="1"/>
  <c r="F563" i="2"/>
  <c r="E563" i="2"/>
  <c r="D563" i="2"/>
  <c r="C563" i="2"/>
  <c r="B563" i="2"/>
  <c r="A563" i="2"/>
  <c r="E562" i="2"/>
  <c r="F562" i="2" s="1"/>
  <c r="D562" i="2"/>
  <c r="C562" i="2"/>
  <c r="G562" i="2" s="1"/>
  <c r="I562" i="2" s="1"/>
  <c r="B562" i="2"/>
  <c r="A562" i="2"/>
  <c r="E561" i="2"/>
  <c r="F561" i="2" s="1"/>
  <c r="D561" i="2"/>
  <c r="C561" i="2"/>
  <c r="B561" i="2"/>
  <c r="G561" i="2" s="1"/>
  <c r="I561" i="2" s="1"/>
  <c r="A561" i="2"/>
  <c r="I560" i="2"/>
  <c r="H560" i="2"/>
  <c r="F560" i="2"/>
  <c r="E560" i="2"/>
  <c r="D560" i="2"/>
  <c r="C560" i="2"/>
  <c r="B560" i="2"/>
  <c r="G560" i="2" s="1"/>
  <c r="A560" i="2"/>
  <c r="F559" i="2"/>
  <c r="E559" i="2"/>
  <c r="D559" i="2"/>
  <c r="C559" i="2"/>
  <c r="G559" i="2" s="1"/>
  <c r="I559" i="2" s="1"/>
  <c r="B559" i="2"/>
  <c r="A559" i="2"/>
  <c r="H558" i="2"/>
  <c r="G558" i="2"/>
  <c r="I558" i="2" s="1"/>
  <c r="E558" i="2"/>
  <c r="F558" i="2" s="1"/>
  <c r="D558" i="2"/>
  <c r="C558" i="2"/>
  <c r="B558" i="2"/>
  <c r="A558" i="2"/>
  <c r="E557" i="2"/>
  <c r="F557" i="2" s="1"/>
  <c r="D557" i="2"/>
  <c r="C557" i="2"/>
  <c r="B557" i="2"/>
  <c r="G557" i="2" s="1"/>
  <c r="I557" i="2" s="1"/>
  <c r="A557" i="2"/>
  <c r="F556" i="2"/>
  <c r="E556" i="2"/>
  <c r="D556" i="2"/>
  <c r="C556" i="2"/>
  <c r="B556" i="2"/>
  <c r="G556" i="2" s="1"/>
  <c r="H556" i="2" s="1"/>
  <c r="A556" i="2"/>
  <c r="H555" i="2"/>
  <c r="G555" i="2"/>
  <c r="I555" i="2" s="1"/>
  <c r="F555" i="2"/>
  <c r="E555" i="2"/>
  <c r="D555" i="2"/>
  <c r="C555" i="2"/>
  <c r="B555" i="2"/>
  <c r="A555" i="2"/>
  <c r="E554" i="2"/>
  <c r="F554" i="2" s="1"/>
  <c r="D554" i="2"/>
  <c r="C554" i="2"/>
  <c r="G554" i="2" s="1"/>
  <c r="I554" i="2" s="1"/>
  <c r="B554" i="2"/>
  <c r="A554" i="2"/>
  <c r="I553" i="2"/>
  <c r="E553" i="2"/>
  <c r="F553" i="2" s="1"/>
  <c r="H553" i="2" s="1"/>
  <c r="D553" i="2"/>
  <c r="C553" i="2"/>
  <c r="B553" i="2"/>
  <c r="G553" i="2" s="1"/>
  <c r="A553" i="2"/>
  <c r="F552" i="2"/>
  <c r="E552" i="2"/>
  <c r="D552" i="2"/>
  <c r="C552" i="2"/>
  <c r="B552" i="2"/>
  <c r="G552" i="2" s="1"/>
  <c r="I552" i="2" s="1"/>
  <c r="A552" i="2"/>
  <c r="F551" i="2"/>
  <c r="H551" i="2" s="1"/>
  <c r="E551" i="2"/>
  <c r="D551" i="2"/>
  <c r="C551" i="2"/>
  <c r="G551" i="2" s="1"/>
  <c r="I551" i="2" s="1"/>
  <c r="B551" i="2"/>
  <c r="A551" i="2"/>
  <c r="G550" i="2"/>
  <c r="E550" i="2"/>
  <c r="F550" i="2" s="1"/>
  <c r="D550" i="2"/>
  <c r="C550" i="2"/>
  <c r="B550" i="2"/>
  <c r="A550" i="2"/>
  <c r="E549" i="2"/>
  <c r="F549" i="2" s="1"/>
  <c r="D549" i="2"/>
  <c r="C549" i="2"/>
  <c r="B549" i="2"/>
  <c r="G549" i="2" s="1"/>
  <c r="I549" i="2" s="1"/>
  <c r="A549" i="2"/>
  <c r="F548" i="2"/>
  <c r="E548" i="2"/>
  <c r="D548" i="2"/>
  <c r="C548" i="2"/>
  <c r="B548" i="2"/>
  <c r="G548" i="2" s="1"/>
  <c r="I548" i="2" s="1"/>
  <c r="A548" i="2"/>
  <c r="G547" i="2"/>
  <c r="I547" i="2" s="1"/>
  <c r="F547" i="2"/>
  <c r="E547" i="2"/>
  <c r="D547" i="2"/>
  <c r="C547" i="2"/>
  <c r="B547" i="2"/>
  <c r="A547" i="2"/>
  <c r="E546" i="2"/>
  <c r="F546" i="2" s="1"/>
  <c r="H546" i="2" s="1"/>
  <c r="D546" i="2"/>
  <c r="C546" i="2"/>
  <c r="B546" i="2"/>
  <c r="G546" i="2" s="1"/>
  <c r="I546" i="2" s="1"/>
  <c r="A546" i="2"/>
  <c r="I545" i="2"/>
  <c r="E545" i="2"/>
  <c r="F545" i="2" s="1"/>
  <c r="H545" i="2" s="1"/>
  <c r="D545" i="2"/>
  <c r="C545" i="2"/>
  <c r="B545" i="2"/>
  <c r="G545" i="2" s="1"/>
  <c r="A545" i="2"/>
  <c r="G544" i="2"/>
  <c r="I544" i="2" s="1"/>
  <c r="F544" i="2"/>
  <c r="E544" i="2"/>
  <c r="D544" i="2"/>
  <c r="C544" i="2"/>
  <c r="B544" i="2"/>
  <c r="A544" i="2"/>
  <c r="E543" i="2"/>
  <c r="F543" i="2" s="1"/>
  <c r="D543" i="2"/>
  <c r="C543" i="2"/>
  <c r="G543" i="2" s="1"/>
  <c r="I543" i="2" s="1"/>
  <c r="B543" i="2"/>
  <c r="A543" i="2"/>
  <c r="G542" i="2"/>
  <c r="I542" i="2" s="1"/>
  <c r="E542" i="2"/>
  <c r="F542" i="2" s="1"/>
  <c r="H542" i="2" s="1"/>
  <c r="D542" i="2"/>
  <c r="C542" i="2"/>
  <c r="B542" i="2"/>
  <c r="A542" i="2"/>
  <c r="E541" i="2"/>
  <c r="F541" i="2" s="1"/>
  <c r="D541" i="2"/>
  <c r="C541" i="2"/>
  <c r="B541" i="2"/>
  <c r="G541" i="2" s="1"/>
  <c r="I541" i="2" s="1"/>
  <c r="A541" i="2"/>
  <c r="G540" i="2"/>
  <c r="I540" i="2" s="1"/>
  <c r="F540" i="2"/>
  <c r="E540" i="2"/>
  <c r="D540" i="2"/>
  <c r="C540" i="2"/>
  <c r="B540" i="2"/>
  <c r="A540" i="2"/>
  <c r="G539" i="2"/>
  <c r="I539" i="2" s="1"/>
  <c r="F539" i="2"/>
  <c r="E539" i="2"/>
  <c r="D539" i="2"/>
  <c r="C539" i="2"/>
  <c r="B539" i="2"/>
  <c r="A539" i="2"/>
  <c r="E538" i="2"/>
  <c r="F538" i="2" s="1"/>
  <c r="D538" i="2"/>
  <c r="C538" i="2"/>
  <c r="B538" i="2"/>
  <c r="G538" i="2" s="1"/>
  <c r="I538" i="2" s="1"/>
  <c r="A538" i="2"/>
  <c r="E537" i="2"/>
  <c r="F537" i="2" s="1"/>
  <c r="D537" i="2"/>
  <c r="C537" i="2"/>
  <c r="B537" i="2"/>
  <c r="G537" i="2" s="1"/>
  <c r="I537" i="2" s="1"/>
  <c r="A537" i="2"/>
  <c r="G536" i="2"/>
  <c r="I536" i="2" s="1"/>
  <c r="F536" i="2"/>
  <c r="E536" i="2"/>
  <c r="D536" i="2"/>
  <c r="C536" i="2"/>
  <c r="B536" i="2"/>
  <c r="A536" i="2"/>
  <c r="E535" i="2"/>
  <c r="F535" i="2" s="1"/>
  <c r="D535" i="2"/>
  <c r="C535" i="2"/>
  <c r="G535" i="2" s="1"/>
  <c r="I535" i="2" s="1"/>
  <c r="B535" i="2"/>
  <c r="A535" i="2"/>
  <c r="G534" i="2"/>
  <c r="I534" i="2" s="1"/>
  <c r="E534" i="2"/>
  <c r="F534" i="2" s="1"/>
  <c r="D534" i="2"/>
  <c r="C534" i="2"/>
  <c r="B534" i="2"/>
  <c r="A534" i="2"/>
  <c r="E533" i="2"/>
  <c r="F533" i="2" s="1"/>
  <c r="D533" i="2"/>
  <c r="C533" i="2"/>
  <c r="B533" i="2"/>
  <c r="G533" i="2" s="1"/>
  <c r="I533" i="2" s="1"/>
  <c r="A533" i="2"/>
  <c r="H532" i="2"/>
  <c r="G532" i="2"/>
  <c r="I532" i="2" s="1"/>
  <c r="F532" i="2"/>
  <c r="E532" i="2"/>
  <c r="D532" i="2"/>
  <c r="C532" i="2"/>
  <c r="B532" i="2"/>
  <c r="A532" i="2"/>
  <c r="G531" i="2"/>
  <c r="I531" i="2" s="1"/>
  <c r="F531" i="2"/>
  <c r="E531" i="2"/>
  <c r="D531" i="2"/>
  <c r="C531" i="2"/>
  <c r="B531" i="2"/>
  <c r="A531" i="2"/>
  <c r="E530" i="2"/>
  <c r="F530" i="2" s="1"/>
  <c r="H530" i="2" s="1"/>
  <c r="D530" i="2"/>
  <c r="C530" i="2"/>
  <c r="B530" i="2"/>
  <c r="G530" i="2" s="1"/>
  <c r="I530" i="2" s="1"/>
  <c r="A530" i="2"/>
  <c r="E529" i="2"/>
  <c r="F529" i="2" s="1"/>
  <c r="D529" i="2"/>
  <c r="C529" i="2"/>
  <c r="B529" i="2"/>
  <c r="G529" i="2" s="1"/>
  <c r="I529" i="2" s="1"/>
  <c r="A529" i="2"/>
  <c r="F528" i="2"/>
  <c r="E528" i="2"/>
  <c r="D528" i="2"/>
  <c r="C528" i="2"/>
  <c r="B528" i="2"/>
  <c r="G528" i="2" s="1"/>
  <c r="I528" i="2" s="1"/>
  <c r="A528" i="2"/>
  <c r="E527" i="2"/>
  <c r="F527" i="2" s="1"/>
  <c r="D527" i="2"/>
  <c r="C527" i="2"/>
  <c r="G527" i="2" s="1"/>
  <c r="I527" i="2" s="1"/>
  <c r="B527" i="2"/>
  <c r="A527" i="2"/>
  <c r="G526" i="2"/>
  <c r="I526" i="2" s="1"/>
  <c r="E526" i="2"/>
  <c r="F526" i="2" s="1"/>
  <c r="H526" i="2" s="1"/>
  <c r="D526" i="2"/>
  <c r="C526" i="2"/>
  <c r="B526" i="2"/>
  <c r="A526" i="2"/>
  <c r="E525" i="2"/>
  <c r="F525" i="2" s="1"/>
  <c r="D525" i="2"/>
  <c r="C525" i="2"/>
  <c r="B525" i="2"/>
  <c r="G525" i="2" s="1"/>
  <c r="I525" i="2" s="1"/>
  <c r="A525" i="2"/>
  <c r="G524" i="2"/>
  <c r="H524" i="2" s="1"/>
  <c r="F524" i="2"/>
  <c r="E524" i="2"/>
  <c r="D524" i="2"/>
  <c r="C524" i="2"/>
  <c r="B524" i="2"/>
  <c r="A524" i="2"/>
  <c r="G523" i="2"/>
  <c r="I523" i="2" s="1"/>
  <c r="F523" i="2"/>
  <c r="H523" i="2" s="1"/>
  <c r="E523" i="2"/>
  <c r="D523" i="2"/>
  <c r="C523" i="2"/>
  <c r="B523" i="2"/>
  <c r="A523" i="2"/>
  <c r="E522" i="2"/>
  <c r="F522" i="2" s="1"/>
  <c r="D522" i="2"/>
  <c r="C522" i="2"/>
  <c r="B522" i="2"/>
  <c r="G522" i="2" s="1"/>
  <c r="I522" i="2" s="1"/>
  <c r="A522" i="2"/>
  <c r="I521" i="2"/>
  <c r="H521" i="2"/>
  <c r="G521" i="2"/>
  <c r="E521" i="2"/>
  <c r="F521" i="2" s="1"/>
  <c r="D521" i="2"/>
  <c r="C521" i="2"/>
  <c r="B521" i="2"/>
  <c r="A521" i="2"/>
  <c r="I520" i="2"/>
  <c r="G520" i="2"/>
  <c r="F520" i="2"/>
  <c r="H520" i="2" s="1"/>
  <c r="E520" i="2"/>
  <c r="D520" i="2"/>
  <c r="C520" i="2"/>
  <c r="B520" i="2"/>
  <c r="A520" i="2"/>
  <c r="E519" i="2"/>
  <c r="F519" i="2" s="1"/>
  <c r="D519" i="2"/>
  <c r="C519" i="2"/>
  <c r="B519" i="2"/>
  <c r="G519" i="2" s="1"/>
  <c r="I519" i="2" s="1"/>
  <c r="A519" i="2"/>
  <c r="G518" i="2"/>
  <c r="I518" i="2" s="1"/>
  <c r="E518" i="2"/>
  <c r="F518" i="2" s="1"/>
  <c r="D518" i="2"/>
  <c r="C518" i="2"/>
  <c r="B518" i="2"/>
  <c r="A518" i="2"/>
  <c r="G517" i="2"/>
  <c r="I517" i="2" s="1"/>
  <c r="E517" i="2"/>
  <c r="F517" i="2" s="1"/>
  <c r="D517" i="2"/>
  <c r="C517" i="2"/>
  <c r="B517" i="2"/>
  <c r="A517" i="2"/>
  <c r="E516" i="2"/>
  <c r="F516" i="2" s="1"/>
  <c r="H516" i="2" s="1"/>
  <c r="D516" i="2"/>
  <c r="C516" i="2"/>
  <c r="B516" i="2"/>
  <c r="G516" i="2" s="1"/>
  <c r="I516" i="2" s="1"/>
  <c r="A516" i="2"/>
  <c r="G515" i="2"/>
  <c r="F515" i="2"/>
  <c r="E515" i="2"/>
  <c r="D515" i="2"/>
  <c r="C515" i="2"/>
  <c r="B515" i="2"/>
  <c r="A515" i="2"/>
  <c r="E514" i="2"/>
  <c r="F514" i="2" s="1"/>
  <c r="D514" i="2"/>
  <c r="C514" i="2"/>
  <c r="G514" i="2" s="1"/>
  <c r="I514" i="2" s="1"/>
  <c r="B514" i="2"/>
  <c r="A514" i="2"/>
  <c r="E513" i="2"/>
  <c r="F513" i="2" s="1"/>
  <c r="D513" i="2"/>
  <c r="C513" i="2"/>
  <c r="B513" i="2"/>
  <c r="G513" i="2" s="1"/>
  <c r="I513" i="2" s="1"/>
  <c r="A513" i="2"/>
  <c r="I512" i="2"/>
  <c r="H512" i="2"/>
  <c r="G512" i="2"/>
  <c r="F512" i="2"/>
  <c r="E512" i="2"/>
  <c r="D512" i="2"/>
  <c r="C512" i="2"/>
  <c r="B512" i="2"/>
  <c r="A512" i="2"/>
  <c r="G511" i="2"/>
  <c r="I511" i="2" s="1"/>
  <c r="F511" i="2"/>
  <c r="E511" i="2"/>
  <c r="D511" i="2"/>
  <c r="C511" i="2"/>
  <c r="B511" i="2"/>
  <c r="A511" i="2"/>
  <c r="E510" i="2"/>
  <c r="F510" i="2" s="1"/>
  <c r="D510" i="2"/>
  <c r="C510" i="2"/>
  <c r="B510" i="2"/>
  <c r="G510" i="2" s="1"/>
  <c r="I510" i="2" s="1"/>
  <c r="A510" i="2"/>
  <c r="I509" i="2"/>
  <c r="H509" i="2"/>
  <c r="G509" i="2"/>
  <c r="E509" i="2"/>
  <c r="F509" i="2" s="1"/>
  <c r="D509" i="2"/>
  <c r="C509" i="2"/>
  <c r="B509" i="2"/>
  <c r="A509" i="2"/>
  <c r="I508" i="2"/>
  <c r="G508" i="2"/>
  <c r="F508" i="2"/>
  <c r="H508" i="2" s="1"/>
  <c r="E508" i="2"/>
  <c r="D508" i="2"/>
  <c r="C508" i="2"/>
  <c r="B508" i="2"/>
  <c r="A508" i="2"/>
  <c r="E507" i="2"/>
  <c r="F507" i="2" s="1"/>
  <c r="H507" i="2" s="1"/>
  <c r="D507" i="2"/>
  <c r="C507" i="2"/>
  <c r="B507" i="2"/>
  <c r="G507" i="2" s="1"/>
  <c r="I507" i="2" s="1"/>
  <c r="A507" i="2"/>
  <c r="G506" i="2"/>
  <c r="I506" i="2" s="1"/>
  <c r="E506" i="2"/>
  <c r="F506" i="2" s="1"/>
  <c r="D506" i="2"/>
  <c r="C506" i="2"/>
  <c r="B506" i="2"/>
  <c r="A506" i="2"/>
  <c r="I505" i="2"/>
  <c r="G505" i="2"/>
  <c r="E505" i="2"/>
  <c r="F505" i="2" s="1"/>
  <c r="H505" i="2" s="1"/>
  <c r="D505" i="2"/>
  <c r="C505" i="2"/>
  <c r="B505" i="2"/>
  <c r="A505" i="2"/>
  <c r="E504" i="2"/>
  <c r="F504" i="2" s="1"/>
  <c r="H504" i="2" s="1"/>
  <c r="D504" i="2"/>
  <c r="C504" i="2"/>
  <c r="B504" i="2"/>
  <c r="G504" i="2" s="1"/>
  <c r="I504" i="2" s="1"/>
  <c r="A504" i="2"/>
  <c r="H503" i="2"/>
  <c r="G503" i="2"/>
  <c r="I503" i="2" s="1"/>
  <c r="F503" i="2"/>
  <c r="E503" i="2"/>
  <c r="D503" i="2"/>
  <c r="C503" i="2"/>
  <c r="B503" i="2"/>
  <c r="A503" i="2"/>
  <c r="E502" i="2"/>
  <c r="F502" i="2" s="1"/>
  <c r="D502" i="2"/>
  <c r="C502" i="2"/>
  <c r="B502" i="2"/>
  <c r="A502" i="2"/>
  <c r="E501" i="2"/>
  <c r="F501" i="2" s="1"/>
  <c r="D501" i="2"/>
  <c r="C501" i="2"/>
  <c r="B501" i="2"/>
  <c r="G501" i="2" s="1"/>
  <c r="I501" i="2" s="1"/>
  <c r="A501" i="2"/>
  <c r="I500" i="2"/>
  <c r="H500" i="2"/>
  <c r="G500" i="2"/>
  <c r="F500" i="2"/>
  <c r="E500" i="2"/>
  <c r="D500" i="2"/>
  <c r="C500" i="2"/>
  <c r="B500" i="2"/>
  <c r="A500" i="2"/>
  <c r="F499" i="2"/>
  <c r="E499" i="2"/>
  <c r="D499" i="2"/>
  <c r="C499" i="2"/>
  <c r="G499" i="2" s="1"/>
  <c r="I499" i="2" s="1"/>
  <c r="B499" i="2"/>
  <c r="A499" i="2"/>
  <c r="E498" i="2"/>
  <c r="F498" i="2" s="1"/>
  <c r="D498" i="2"/>
  <c r="C498" i="2"/>
  <c r="B498" i="2"/>
  <c r="G498" i="2" s="1"/>
  <c r="I498" i="2" s="1"/>
  <c r="A498" i="2"/>
  <c r="I497" i="2"/>
  <c r="G497" i="2"/>
  <c r="H497" i="2" s="1"/>
  <c r="E497" i="2"/>
  <c r="F497" i="2" s="1"/>
  <c r="D497" i="2"/>
  <c r="C497" i="2"/>
  <c r="B497" i="2"/>
  <c r="A497" i="2"/>
  <c r="G496" i="2"/>
  <c r="I496" i="2" s="1"/>
  <c r="F496" i="2"/>
  <c r="E496" i="2"/>
  <c r="D496" i="2"/>
  <c r="C496" i="2"/>
  <c r="B496" i="2"/>
  <c r="A496" i="2"/>
  <c r="E495" i="2"/>
  <c r="F495" i="2" s="1"/>
  <c r="D495" i="2"/>
  <c r="C495" i="2"/>
  <c r="B495" i="2"/>
  <c r="G495" i="2" s="1"/>
  <c r="I495" i="2" s="1"/>
  <c r="A495" i="2"/>
  <c r="H494" i="2"/>
  <c r="G494" i="2"/>
  <c r="I494" i="2" s="1"/>
  <c r="E494" i="2"/>
  <c r="F494" i="2" s="1"/>
  <c r="D494" i="2"/>
  <c r="C494" i="2"/>
  <c r="B494" i="2"/>
  <c r="A494" i="2"/>
  <c r="E493" i="2"/>
  <c r="F493" i="2" s="1"/>
  <c r="H493" i="2" s="1"/>
  <c r="D493" i="2"/>
  <c r="C493" i="2"/>
  <c r="B493" i="2"/>
  <c r="G493" i="2" s="1"/>
  <c r="I493" i="2" s="1"/>
  <c r="A493" i="2"/>
  <c r="E492" i="2"/>
  <c r="F492" i="2" s="1"/>
  <c r="D492" i="2"/>
  <c r="C492" i="2"/>
  <c r="B492" i="2"/>
  <c r="G492" i="2" s="1"/>
  <c r="I492" i="2" s="1"/>
  <c r="A492" i="2"/>
  <c r="H491" i="2"/>
  <c r="G491" i="2"/>
  <c r="I491" i="2" s="1"/>
  <c r="F491" i="2"/>
  <c r="E491" i="2"/>
  <c r="D491" i="2"/>
  <c r="C491" i="2"/>
  <c r="B491" i="2"/>
  <c r="A491" i="2"/>
  <c r="E490" i="2"/>
  <c r="F490" i="2" s="1"/>
  <c r="D490" i="2"/>
  <c r="C490" i="2"/>
  <c r="B490" i="2"/>
  <c r="A490" i="2"/>
  <c r="E489" i="2"/>
  <c r="F489" i="2" s="1"/>
  <c r="D489" i="2"/>
  <c r="C489" i="2"/>
  <c r="B489" i="2"/>
  <c r="G489" i="2" s="1"/>
  <c r="I489" i="2" s="1"/>
  <c r="A489" i="2"/>
  <c r="G488" i="2"/>
  <c r="I488" i="2" s="1"/>
  <c r="F488" i="2"/>
  <c r="E488" i="2"/>
  <c r="D488" i="2"/>
  <c r="C488" i="2"/>
  <c r="B488" i="2"/>
  <c r="A488" i="2"/>
  <c r="F487" i="2"/>
  <c r="H487" i="2" s="1"/>
  <c r="E487" i="2"/>
  <c r="D487" i="2"/>
  <c r="C487" i="2"/>
  <c r="G487" i="2" s="1"/>
  <c r="I487" i="2" s="1"/>
  <c r="B487" i="2"/>
  <c r="A487" i="2"/>
  <c r="E486" i="2"/>
  <c r="F486" i="2" s="1"/>
  <c r="H486" i="2" s="1"/>
  <c r="D486" i="2"/>
  <c r="C486" i="2"/>
  <c r="B486" i="2"/>
  <c r="G486" i="2" s="1"/>
  <c r="I486" i="2" s="1"/>
  <c r="A486" i="2"/>
  <c r="H485" i="2"/>
  <c r="G485" i="2"/>
  <c r="I485" i="2" s="1"/>
  <c r="E485" i="2"/>
  <c r="F485" i="2" s="1"/>
  <c r="D485" i="2"/>
  <c r="C485" i="2"/>
  <c r="B485" i="2"/>
  <c r="A485" i="2"/>
  <c r="I484" i="2"/>
  <c r="G484" i="2"/>
  <c r="F484" i="2"/>
  <c r="H484" i="2" s="1"/>
  <c r="E484" i="2"/>
  <c r="D484" i="2"/>
  <c r="C484" i="2"/>
  <c r="B484" i="2"/>
  <c r="A484" i="2"/>
  <c r="E483" i="2"/>
  <c r="F483" i="2" s="1"/>
  <c r="D483" i="2"/>
  <c r="C483" i="2"/>
  <c r="B483" i="2"/>
  <c r="G483" i="2" s="1"/>
  <c r="I483" i="2" s="1"/>
  <c r="A483" i="2"/>
  <c r="G482" i="2"/>
  <c r="E482" i="2"/>
  <c r="F482" i="2" s="1"/>
  <c r="D482" i="2"/>
  <c r="C482" i="2"/>
  <c r="B482" i="2"/>
  <c r="A482" i="2"/>
  <c r="I481" i="2"/>
  <c r="E481" i="2"/>
  <c r="F481" i="2" s="1"/>
  <c r="D481" i="2"/>
  <c r="C481" i="2"/>
  <c r="B481" i="2"/>
  <c r="G481" i="2" s="1"/>
  <c r="A481" i="2"/>
  <c r="E480" i="2"/>
  <c r="F480" i="2" s="1"/>
  <c r="D480" i="2"/>
  <c r="C480" i="2"/>
  <c r="B480" i="2"/>
  <c r="G480" i="2" s="1"/>
  <c r="I480" i="2" s="1"/>
  <c r="A480" i="2"/>
  <c r="G479" i="2"/>
  <c r="I479" i="2" s="1"/>
  <c r="F479" i="2"/>
  <c r="E479" i="2"/>
  <c r="D479" i="2"/>
  <c r="C479" i="2"/>
  <c r="B479" i="2"/>
  <c r="A479" i="2"/>
  <c r="E478" i="2"/>
  <c r="F478" i="2" s="1"/>
  <c r="D478" i="2"/>
  <c r="C478" i="2"/>
  <c r="B478" i="2"/>
  <c r="G478" i="2" s="1"/>
  <c r="I478" i="2" s="1"/>
  <c r="A478" i="2"/>
  <c r="E477" i="2"/>
  <c r="F477" i="2" s="1"/>
  <c r="D477" i="2"/>
  <c r="C477" i="2"/>
  <c r="B477" i="2"/>
  <c r="G477" i="2" s="1"/>
  <c r="I477" i="2" s="1"/>
  <c r="A477" i="2"/>
  <c r="G476" i="2"/>
  <c r="I476" i="2" s="1"/>
  <c r="F476" i="2"/>
  <c r="E476" i="2"/>
  <c r="D476" i="2"/>
  <c r="C476" i="2"/>
  <c r="B476" i="2"/>
  <c r="A476" i="2"/>
  <c r="F475" i="2"/>
  <c r="E475" i="2"/>
  <c r="D475" i="2"/>
  <c r="C475" i="2"/>
  <c r="G475" i="2" s="1"/>
  <c r="I475" i="2" s="1"/>
  <c r="B475" i="2"/>
  <c r="A475" i="2"/>
  <c r="E474" i="2"/>
  <c r="F474" i="2" s="1"/>
  <c r="D474" i="2"/>
  <c r="C474" i="2"/>
  <c r="B474" i="2"/>
  <c r="G474" i="2" s="1"/>
  <c r="I474" i="2" s="1"/>
  <c r="A474" i="2"/>
  <c r="G473" i="2"/>
  <c r="I473" i="2" s="1"/>
  <c r="E473" i="2"/>
  <c r="F473" i="2" s="1"/>
  <c r="D473" i="2"/>
  <c r="C473" i="2"/>
  <c r="B473" i="2"/>
  <c r="A473" i="2"/>
  <c r="G472" i="2"/>
  <c r="I472" i="2" s="1"/>
  <c r="F472" i="2"/>
  <c r="E472" i="2"/>
  <c r="D472" i="2"/>
  <c r="C472" i="2"/>
  <c r="B472" i="2"/>
  <c r="A472" i="2"/>
  <c r="E471" i="2"/>
  <c r="F471" i="2" s="1"/>
  <c r="D471" i="2"/>
  <c r="C471" i="2"/>
  <c r="B471" i="2"/>
  <c r="G471" i="2" s="1"/>
  <c r="I471" i="2" s="1"/>
  <c r="A471" i="2"/>
  <c r="G470" i="2"/>
  <c r="I470" i="2" s="1"/>
  <c r="E470" i="2"/>
  <c r="F470" i="2" s="1"/>
  <c r="D470" i="2"/>
  <c r="C470" i="2"/>
  <c r="B470" i="2"/>
  <c r="A470" i="2"/>
  <c r="I469" i="2"/>
  <c r="E469" i="2"/>
  <c r="F469" i="2" s="1"/>
  <c r="D469" i="2"/>
  <c r="C469" i="2"/>
  <c r="B469" i="2"/>
  <c r="G469" i="2" s="1"/>
  <c r="A469" i="2"/>
  <c r="E468" i="2"/>
  <c r="F468" i="2" s="1"/>
  <c r="D468" i="2"/>
  <c r="C468" i="2"/>
  <c r="B468" i="2"/>
  <c r="G468" i="2" s="1"/>
  <c r="I468" i="2" s="1"/>
  <c r="A468" i="2"/>
  <c r="I467" i="2"/>
  <c r="H467" i="2"/>
  <c r="F467" i="2"/>
  <c r="E467" i="2"/>
  <c r="D467" i="2"/>
  <c r="C467" i="2"/>
  <c r="B467" i="2"/>
  <c r="G467" i="2" s="1"/>
  <c r="A467" i="2"/>
  <c r="G466" i="2"/>
  <c r="E466" i="2"/>
  <c r="F466" i="2" s="1"/>
  <c r="D466" i="2"/>
  <c r="C466" i="2"/>
  <c r="B466" i="2"/>
  <c r="A466" i="2"/>
  <c r="E465" i="2"/>
  <c r="F465" i="2" s="1"/>
  <c r="D465" i="2"/>
  <c r="C465" i="2"/>
  <c r="B465" i="2"/>
  <c r="G465" i="2" s="1"/>
  <c r="A465" i="2"/>
  <c r="E464" i="2"/>
  <c r="F464" i="2" s="1"/>
  <c r="D464" i="2"/>
  <c r="C464" i="2"/>
  <c r="B464" i="2"/>
  <c r="G464" i="2" s="1"/>
  <c r="I464" i="2" s="1"/>
  <c r="A464" i="2"/>
  <c r="H463" i="2"/>
  <c r="F463" i="2"/>
  <c r="E463" i="2"/>
  <c r="D463" i="2"/>
  <c r="C463" i="2"/>
  <c r="B463" i="2"/>
  <c r="G463" i="2" s="1"/>
  <c r="I463" i="2" s="1"/>
  <c r="A463" i="2"/>
  <c r="G462" i="2"/>
  <c r="I462" i="2" s="1"/>
  <c r="F462" i="2"/>
  <c r="H462" i="2" s="1"/>
  <c r="E462" i="2"/>
  <c r="D462" i="2"/>
  <c r="C462" i="2"/>
  <c r="B462" i="2"/>
  <c r="A462" i="2"/>
  <c r="E461" i="2"/>
  <c r="F461" i="2" s="1"/>
  <c r="D461" i="2"/>
  <c r="C461" i="2"/>
  <c r="B461" i="2"/>
  <c r="G461" i="2" s="1"/>
  <c r="I461" i="2" s="1"/>
  <c r="A461" i="2"/>
  <c r="E460" i="2"/>
  <c r="F460" i="2" s="1"/>
  <c r="D460" i="2"/>
  <c r="C460" i="2"/>
  <c r="B460" i="2"/>
  <c r="G460" i="2" s="1"/>
  <c r="I460" i="2" s="1"/>
  <c r="A460" i="2"/>
  <c r="F459" i="2"/>
  <c r="E459" i="2"/>
  <c r="D459" i="2"/>
  <c r="C459" i="2"/>
  <c r="B459" i="2"/>
  <c r="G459" i="2" s="1"/>
  <c r="I459" i="2" s="1"/>
  <c r="A459" i="2"/>
  <c r="G458" i="2"/>
  <c r="I458" i="2" s="1"/>
  <c r="F458" i="2"/>
  <c r="E458" i="2"/>
  <c r="D458" i="2"/>
  <c r="C458" i="2"/>
  <c r="B458" i="2"/>
  <c r="A458" i="2"/>
  <c r="E457" i="2"/>
  <c r="F457" i="2" s="1"/>
  <c r="D457" i="2"/>
  <c r="C457" i="2"/>
  <c r="B457" i="2"/>
  <c r="A457" i="2"/>
  <c r="E456" i="2"/>
  <c r="F456" i="2" s="1"/>
  <c r="D456" i="2"/>
  <c r="C456" i="2"/>
  <c r="B456" i="2"/>
  <c r="G456" i="2" s="1"/>
  <c r="I456" i="2" s="1"/>
  <c r="A456" i="2"/>
  <c r="I455" i="2"/>
  <c r="H455" i="2"/>
  <c r="F455" i="2"/>
  <c r="E455" i="2"/>
  <c r="D455" i="2"/>
  <c r="C455" i="2"/>
  <c r="B455" i="2"/>
  <c r="G455" i="2" s="1"/>
  <c r="A455" i="2"/>
  <c r="G454" i="2"/>
  <c r="I454" i="2" s="1"/>
  <c r="E454" i="2"/>
  <c r="F454" i="2" s="1"/>
  <c r="H454" i="2" s="1"/>
  <c r="D454" i="2"/>
  <c r="C454" i="2"/>
  <c r="B454" i="2"/>
  <c r="A454" i="2"/>
  <c r="E453" i="2"/>
  <c r="F453" i="2" s="1"/>
  <c r="D453" i="2"/>
  <c r="C453" i="2"/>
  <c r="B453" i="2"/>
  <c r="A453" i="2"/>
  <c r="E452" i="2"/>
  <c r="F452" i="2" s="1"/>
  <c r="D452" i="2"/>
  <c r="C452" i="2"/>
  <c r="B452" i="2"/>
  <c r="G452" i="2" s="1"/>
  <c r="I452" i="2" s="1"/>
  <c r="A452" i="2"/>
  <c r="I451" i="2"/>
  <c r="H451" i="2"/>
  <c r="F451" i="2"/>
  <c r="E451" i="2"/>
  <c r="D451" i="2"/>
  <c r="C451" i="2"/>
  <c r="B451" i="2"/>
  <c r="G451" i="2" s="1"/>
  <c r="A451" i="2"/>
  <c r="G450" i="2"/>
  <c r="I450" i="2" s="1"/>
  <c r="E450" i="2"/>
  <c r="F450" i="2" s="1"/>
  <c r="H450" i="2" s="1"/>
  <c r="D450" i="2"/>
  <c r="C450" i="2"/>
  <c r="B450" i="2"/>
  <c r="A450" i="2"/>
  <c r="E449" i="2"/>
  <c r="F449" i="2" s="1"/>
  <c r="D449" i="2"/>
  <c r="C449" i="2"/>
  <c r="B449" i="2"/>
  <c r="G449" i="2" s="1"/>
  <c r="A449" i="2"/>
  <c r="E448" i="2"/>
  <c r="F448" i="2" s="1"/>
  <c r="D448" i="2"/>
  <c r="C448" i="2"/>
  <c r="B448" i="2"/>
  <c r="G448" i="2" s="1"/>
  <c r="I448" i="2" s="1"/>
  <c r="A448" i="2"/>
  <c r="H447" i="2"/>
  <c r="F447" i="2"/>
  <c r="E447" i="2"/>
  <c r="D447" i="2"/>
  <c r="C447" i="2"/>
  <c r="B447" i="2"/>
  <c r="G447" i="2" s="1"/>
  <c r="I447" i="2" s="1"/>
  <c r="A447" i="2"/>
  <c r="G446" i="2"/>
  <c r="I446" i="2" s="1"/>
  <c r="F446" i="2"/>
  <c r="E446" i="2"/>
  <c r="D446" i="2"/>
  <c r="C446" i="2"/>
  <c r="B446" i="2"/>
  <c r="A446" i="2"/>
  <c r="E445" i="2"/>
  <c r="F445" i="2" s="1"/>
  <c r="D445" i="2"/>
  <c r="C445" i="2"/>
  <c r="B445" i="2"/>
  <c r="G445" i="2" s="1"/>
  <c r="I445" i="2" s="1"/>
  <c r="A445" i="2"/>
  <c r="E444" i="2"/>
  <c r="F444" i="2" s="1"/>
  <c r="D444" i="2"/>
  <c r="C444" i="2"/>
  <c r="B444" i="2"/>
  <c r="G444" i="2" s="1"/>
  <c r="I444" i="2" s="1"/>
  <c r="A444" i="2"/>
  <c r="F443" i="2"/>
  <c r="E443" i="2"/>
  <c r="D443" i="2"/>
  <c r="C443" i="2"/>
  <c r="B443" i="2"/>
  <c r="G443" i="2" s="1"/>
  <c r="I443" i="2" s="1"/>
  <c r="A443" i="2"/>
  <c r="G442" i="2"/>
  <c r="I442" i="2" s="1"/>
  <c r="F442" i="2"/>
  <c r="H442" i="2" s="1"/>
  <c r="E442" i="2"/>
  <c r="D442" i="2"/>
  <c r="C442" i="2"/>
  <c r="B442" i="2"/>
  <c r="A442" i="2"/>
  <c r="E441" i="2"/>
  <c r="F441" i="2" s="1"/>
  <c r="D441" i="2"/>
  <c r="C441" i="2"/>
  <c r="B441" i="2"/>
  <c r="A441" i="2"/>
  <c r="E440" i="2"/>
  <c r="F440" i="2" s="1"/>
  <c r="D440" i="2"/>
  <c r="C440" i="2"/>
  <c r="B440" i="2"/>
  <c r="G440" i="2" s="1"/>
  <c r="I440" i="2" s="1"/>
  <c r="A440" i="2"/>
  <c r="I439" i="2"/>
  <c r="H439" i="2"/>
  <c r="F439" i="2"/>
  <c r="E439" i="2"/>
  <c r="D439" i="2"/>
  <c r="C439" i="2"/>
  <c r="B439" i="2"/>
  <c r="G439" i="2" s="1"/>
  <c r="A439" i="2"/>
  <c r="G438" i="2"/>
  <c r="I438" i="2" s="1"/>
  <c r="E438" i="2"/>
  <c r="F438" i="2" s="1"/>
  <c r="D438" i="2"/>
  <c r="C438" i="2"/>
  <c r="B438" i="2"/>
  <c r="A438" i="2"/>
  <c r="E437" i="2"/>
  <c r="F437" i="2" s="1"/>
  <c r="D437" i="2"/>
  <c r="C437" i="2"/>
  <c r="B437" i="2"/>
  <c r="A437" i="2"/>
  <c r="E436" i="2"/>
  <c r="F436" i="2" s="1"/>
  <c r="D436" i="2"/>
  <c r="C436" i="2"/>
  <c r="B436" i="2"/>
  <c r="G436" i="2" s="1"/>
  <c r="I436" i="2" s="1"/>
  <c r="A436" i="2"/>
  <c r="I435" i="2"/>
  <c r="H435" i="2"/>
  <c r="F435" i="2"/>
  <c r="E435" i="2"/>
  <c r="D435" i="2"/>
  <c r="C435" i="2"/>
  <c r="B435" i="2"/>
  <c r="G435" i="2" s="1"/>
  <c r="A435" i="2"/>
  <c r="G434" i="2"/>
  <c r="I434" i="2" s="1"/>
  <c r="E434" i="2"/>
  <c r="F434" i="2" s="1"/>
  <c r="D434" i="2"/>
  <c r="C434" i="2"/>
  <c r="B434" i="2"/>
  <c r="A434" i="2"/>
  <c r="E433" i="2"/>
  <c r="F433" i="2" s="1"/>
  <c r="D433" i="2"/>
  <c r="C433" i="2"/>
  <c r="B433" i="2"/>
  <c r="G433" i="2" s="1"/>
  <c r="A433" i="2"/>
  <c r="E432" i="2"/>
  <c r="F432" i="2" s="1"/>
  <c r="D432" i="2"/>
  <c r="C432" i="2"/>
  <c r="B432" i="2"/>
  <c r="G432" i="2" s="1"/>
  <c r="I432" i="2" s="1"/>
  <c r="A432" i="2"/>
  <c r="H431" i="2"/>
  <c r="F431" i="2"/>
  <c r="E431" i="2"/>
  <c r="D431" i="2"/>
  <c r="C431" i="2"/>
  <c r="B431" i="2"/>
  <c r="G431" i="2" s="1"/>
  <c r="I431" i="2" s="1"/>
  <c r="A431" i="2"/>
  <c r="G430" i="2"/>
  <c r="I430" i="2" s="1"/>
  <c r="F430" i="2"/>
  <c r="H430" i="2" s="1"/>
  <c r="E430" i="2"/>
  <c r="D430" i="2"/>
  <c r="C430" i="2"/>
  <c r="B430" i="2"/>
  <c r="A430" i="2"/>
  <c r="E429" i="2"/>
  <c r="F429" i="2" s="1"/>
  <c r="D429" i="2"/>
  <c r="C429" i="2"/>
  <c r="B429" i="2"/>
  <c r="G429" i="2" s="1"/>
  <c r="I429" i="2" s="1"/>
  <c r="A429" i="2"/>
  <c r="E428" i="2"/>
  <c r="F428" i="2" s="1"/>
  <c r="D428" i="2"/>
  <c r="C428" i="2"/>
  <c r="B428" i="2"/>
  <c r="G428" i="2" s="1"/>
  <c r="I428" i="2" s="1"/>
  <c r="A428" i="2"/>
  <c r="F427" i="2"/>
  <c r="E427" i="2"/>
  <c r="D427" i="2"/>
  <c r="C427" i="2"/>
  <c r="B427" i="2"/>
  <c r="G427" i="2" s="1"/>
  <c r="I427" i="2" s="1"/>
  <c r="A427" i="2"/>
  <c r="G426" i="2"/>
  <c r="I426" i="2" s="1"/>
  <c r="F426" i="2"/>
  <c r="E426" i="2"/>
  <c r="D426" i="2"/>
  <c r="C426" i="2"/>
  <c r="B426" i="2"/>
  <c r="A426" i="2"/>
  <c r="E425" i="2"/>
  <c r="F425" i="2" s="1"/>
  <c r="D425" i="2"/>
  <c r="C425" i="2"/>
  <c r="B425" i="2"/>
  <c r="A425" i="2"/>
  <c r="E424" i="2"/>
  <c r="F424" i="2" s="1"/>
  <c r="H424" i="2" s="1"/>
  <c r="D424" i="2"/>
  <c r="C424" i="2"/>
  <c r="B424" i="2"/>
  <c r="G424" i="2" s="1"/>
  <c r="I424" i="2" s="1"/>
  <c r="A424" i="2"/>
  <c r="I423" i="2"/>
  <c r="F423" i="2"/>
  <c r="E423" i="2"/>
  <c r="D423" i="2"/>
  <c r="C423" i="2"/>
  <c r="B423" i="2"/>
  <c r="G423" i="2" s="1"/>
  <c r="H423" i="2" s="1"/>
  <c r="A423" i="2"/>
  <c r="G422" i="2"/>
  <c r="I422" i="2" s="1"/>
  <c r="E422" i="2"/>
  <c r="F422" i="2" s="1"/>
  <c r="H422" i="2" s="1"/>
  <c r="D422" i="2"/>
  <c r="C422" i="2"/>
  <c r="B422" i="2"/>
  <c r="A422" i="2"/>
  <c r="E421" i="2"/>
  <c r="F421" i="2" s="1"/>
  <c r="D421" i="2"/>
  <c r="C421" i="2"/>
  <c r="B421" i="2"/>
  <c r="A421" i="2"/>
  <c r="E420" i="2"/>
  <c r="F420" i="2" s="1"/>
  <c r="D420" i="2"/>
  <c r="C420" i="2"/>
  <c r="B420" i="2"/>
  <c r="G420" i="2" s="1"/>
  <c r="I420" i="2" s="1"/>
  <c r="A420" i="2"/>
  <c r="I419" i="2"/>
  <c r="F419" i="2"/>
  <c r="E419" i="2"/>
  <c r="D419" i="2"/>
  <c r="C419" i="2"/>
  <c r="B419" i="2"/>
  <c r="G419" i="2" s="1"/>
  <c r="H419" i="2" s="1"/>
  <c r="A419" i="2"/>
  <c r="G418" i="2"/>
  <c r="I418" i="2" s="1"/>
  <c r="E418" i="2"/>
  <c r="F418" i="2" s="1"/>
  <c r="H418" i="2" s="1"/>
  <c r="D418" i="2"/>
  <c r="C418" i="2"/>
  <c r="B418" i="2"/>
  <c r="A418" i="2"/>
  <c r="E417" i="2"/>
  <c r="F417" i="2" s="1"/>
  <c r="D417" i="2"/>
  <c r="C417" i="2"/>
  <c r="B417" i="2"/>
  <c r="G417" i="2" s="1"/>
  <c r="A417" i="2"/>
  <c r="E416" i="2"/>
  <c r="F416" i="2" s="1"/>
  <c r="D416" i="2"/>
  <c r="C416" i="2"/>
  <c r="B416" i="2"/>
  <c r="G416" i="2" s="1"/>
  <c r="I416" i="2" s="1"/>
  <c r="A416" i="2"/>
  <c r="H415" i="2"/>
  <c r="F415" i="2"/>
  <c r="E415" i="2"/>
  <c r="D415" i="2"/>
  <c r="C415" i="2"/>
  <c r="B415" i="2"/>
  <c r="G415" i="2" s="1"/>
  <c r="I415" i="2" s="1"/>
  <c r="A415" i="2"/>
  <c r="G414" i="2"/>
  <c r="I414" i="2" s="1"/>
  <c r="F414" i="2"/>
  <c r="E414" i="2"/>
  <c r="D414" i="2"/>
  <c r="C414" i="2"/>
  <c r="B414" i="2"/>
  <c r="A414" i="2"/>
  <c r="E413" i="2"/>
  <c r="F413" i="2" s="1"/>
  <c r="D413" i="2"/>
  <c r="C413" i="2"/>
  <c r="B413" i="2"/>
  <c r="G413" i="2" s="1"/>
  <c r="I413" i="2" s="1"/>
  <c r="A413" i="2"/>
  <c r="E412" i="2"/>
  <c r="F412" i="2" s="1"/>
  <c r="H412" i="2" s="1"/>
  <c r="D412" i="2"/>
  <c r="C412" i="2"/>
  <c r="B412" i="2"/>
  <c r="G412" i="2" s="1"/>
  <c r="I412" i="2" s="1"/>
  <c r="A412" i="2"/>
  <c r="F411" i="2"/>
  <c r="E411" i="2"/>
  <c r="D411" i="2"/>
  <c r="C411" i="2"/>
  <c r="B411" i="2"/>
  <c r="G411" i="2" s="1"/>
  <c r="I411" i="2" s="1"/>
  <c r="A411" i="2"/>
  <c r="G410" i="2"/>
  <c r="I410" i="2" s="1"/>
  <c r="F410" i="2"/>
  <c r="E410" i="2"/>
  <c r="D410" i="2"/>
  <c r="C410" i="2"/>
  <c r="B410" i="2"/>
  <c r="A410" i="2"/>
  <c r="E409" i="2"/>
  <c r="F409" i="2" s="1"/>
  <c r="D409" i="2"/>
  <c r="C409" i="2"/>
  <c r="B409" i="2"/>
  <c r="A409" i="2"/>
  <c r="E408" i="2"/>
  <c r="F408" i="2" s="1"/>
  <c r="D408" i="2"/>
  <c r="C408" i="2"/>
  <c r="B408" i="2"/>
  <c r="G408" i="2" s="1"/>
  <c r="I408" i="2" s="1"/>
  <c r="A408" i="2"/>
  <c r="I407" i="2"/>
  <c r="H407" i="2"/>
  <c r="F407" i="2"/>
  <c r="E407" i="2"/>
  <c r="D407" i="2"/>
  <c r="C407" i="2"/>
  <c r="B407" i="2"/>
  <c r="G407" i="2" s="1"/>
  <c r="A407" i="2"/>
  <c r="G406" i="2"/>
  <c r="I406" i="2" s="1"/>
  <c r="F406" i="2"/>
  <c r="E406" i="2"/>
  <c r="D406" i="2"/>
  <c r="C406" i="2"/>
  <c r="B406" i="2"/>
  <c r="A406" i="2"/>
  <c r="E405" i="2"/>
  <c r="F405" i="2" s="1"/>
  <c r="H405" i="2" s="1"/>
  <c r="D405" i="2"/>
  <c r="C405" i="2"/>
  <c r="B405" i="2"/>
  <c r="G405" i="2" s="1"/>
  <c r="I405" i="2" s="1"/>
  <c r="A405" i="2"/>
  <c r="E404" i="2"/>
  <c r="F404" i="2" s="1"/>
  <c r="D404" i="2"/>
  <c r="C404" i="2"/>
  <c r="B404" i="2"/>
  <c r="A404" i="2"/>
  <c r="F403" i="2"/>
  <c r="E403" i="2"/>
  <c r="D403" i="2"/>
  <c r="C403" i="2"/>
  <c r="B403" i="2"/>
  <c r="G403" i="2" s="1"/>
  <c r="A403" i="2"/>
  <c r="G402" i="2"/>
  <c r="I402" i="2" s="1"/>
  <c r="F402" i="2"/>
  <c r="E402" i="2"/>
  <c r="D402" i="2"/>
  <c r="C402" i="2"/>
  <c r="B402" i="2"/>
  <c r="A402" i="2"/>
  <c r="F401" i="2"/>
  <c r="E401" i="2"/>
  <c r="D401" i="2"/>
  <c r="C401" i="2"/>
  <c r="B401" i="2"/>
  <c r="A401" i="2"/>
  <c r="E400" i="2"/>
  <c r="F400" i="2" s="1"/>
  <c r="D400" i="2"/>
  <c r="C400" i="2"/>
  <c r="B400" i="2"/>
  <c r="A400" i="2"/>
  <c r="F399" i="2"/>
  <c r="E399" i="2"/>
  <c r="D399" i="2"/>
  <c r="C399" i="2"/>
  <c r="B399" i="2"/>
  <c r="G399" i="2" s="1"/>
  <c r="I399" i="2" s="1"/>
  <c r="A399" i="2"/>
  <c r="I398" i="2"/>
  <c r="G398" i="2"/>
  <c r="E398" i="2"/>
  <c r="F398" i="2" s="1"/>
  <c r="D398" i="2"/>
  <c r="C398" i="2"/>
  <c r="B398" i="2"/>
  <c r="A398" i="2"/>
  <c r="F397" i="2"/>
  <c r="E397" i="2"/>
  <c r="D397" i="2"/>
  <c r="C397" i="2"/>
  <c r="B397" i="2"/>
  <c r="A397" i="2"/>
  <c r="E396" i="2"/>
  <c r="F396" i="2" s="1"/>
  <c r="D396" i="2"/>
  <c r="C396" i="2"/>
  <c r="B396" i="2"/>
  <c r="G396" i="2" s="1"/>
  <c r="I396" i="2" s="1"/>
  <c r="A396" i="2"/>
  <c r="I395" i="2"/>
  <c r="F395" i="2"/>
  <c r="E395" i="2"/>
  <c r="D395" i="2"/>
  <c r="C395" i="2"/>
  <c r="B395" i="2"/>
  <c r="G395" i="2" s="1"/>
  <c r="H395" i="2" s="1"/>
  <c r="A395" i="2"/>
  <c r="G394" i="2"/>
  <c r="I394" i="2" s="1"/>
  <c r="F394" i="2"/>
  <c r="E394" i="2"/>
  <c r="D394" i="2"/>
  <c r="C394" i="2"/>
  <c r="B394" i="2"/>
  <c r="A394" i="2"/>
  <c r="E393" i="2"/>
  <c r="F393" i="2" s="1"/>
  <c r="D393" i="2"/>
  <c r="C393" i="2"/>
  <c r="B393" i="2"/>
  <c r="G393" i="2" s="1"/>
  <c r="I393" i="2" s="1"/>
  <c r="A393" i="2"/>
  <c r="E392" i="2"/>
  <c r="F392" i="2" s="1"/>
  <c r="D392" i="2"/>
  <c r="C392" i="2"/>
  <c r="B392" i="2"/>
  <c r="A392" i="2"/>
  <c r="F391" i="2"/>
  <c r="E391" i="2"/>
  <c r="D391" i="2"/>
  <c r="C391" i="2"/>
  <c r="B391" i="2"/>
  <c r="G391" i="2" s="1"/>
  <c r="A391" i="2"/>
  <c r="G390" i="2"/>
  <c r="I390" i="2" s="1"/>
  <c r="F390" i="2"/>
  <c r="E390" i="2"/>
  <c r="D390" i="2"/>
  <c r="C390" i="2"/>
  <c r="B390" i="2"/>
  <c r="A390" i="2"/>
  <c r="F389" i="2"/>
  <c r="E389" i="2"/>
  <c r="D389" i="2"/>
  <c r="C389" i="2"/>
  <c r="B389" i="2"/>
  <c r="A389" i="2"/>
  <c r="E388" i="2"/>
  <c r="F388" i="2" s="1"/>
  <c r="D388" i="2"/>
  <c r="C388" i="2"/>
  <c r="B388" i="2"/>
  <c r="G388" i="2" s="1"/>
  <c r="I388" i="2" s="1"/>
  <c r="A388" i="2"/>
  <c r="F387" i="2"/>
  <c r="E387" i="2"/>
  <c r="D387" i="2"/>
  <c r="C387" i="2"/>
  <c r="B387" i="2"/>
  <c r="G387" i="2" s="1"/>
  <c r="H387" i="2" s="1"/>
  <c r="A387" i="2"/>
  <c r="G386" i="2"/>
  <c r="I386" i="2" s="1"/>
  <c r="E386" i="2"/>
  <c r="F386" i="2" s="1"/>
  <c r="D386" i="2"/>
  <c r="C386" i="2"/>
  <c r="B386" i="2"/>
  <c r="A386" i="2"/>
  <c r="F385" i="2"/>
  <c r="E385" i="2"/>
  <c r="D385" i="2"/>
  <c r="C385" i="2"/>
  <c r="B385" i="2"/>
  <c r="G385" i="2" s="1"/>
  <c r="I385" i="2" s="1"/>
  <c r="A385" i="2"/>
  <c r="E384" i="2"/>
  <c r="F384" i="2" s="1"/>
  <c r="D384" i="2"/>
  <c r="C384" i="2"/>
  <c r="B384" i="2"/>
  <c r="G384" i="2" s="1"/>
  <c r="I384" i="2" s="1"/>
  <c r="A384" i="2"/>
  <c r="F383" i="2"/>
  <c r="E383" i="2"/>
  <c r="D383" i="2"/>
  <c r="C383" i="2"/>
  <c r="B383" i="2"/>
  <c r="G383" i="2" s="1"/>
  <c r="A383" i="2"/>
  <c r="G382" i="2"/>
  <c r="H382" i="2" s="1"/>
  <c r="F382" i="2"/>
  <c r="E382" i="2"/>
  <c r="D382" i="2"/>
  <c r="C382" i="2"/>
  <c r="B382" i="2"/>
  <c r="A382" i="2"/>
  <c r="E381" i="2"/>
  <c r="F381" i="2" s="1"/>
  <c r="D381" i="2"/>
  <c r="C381" i="2"/>
  <c r="B381" i="2"/>
  <c r="G381" i="2" s="1"/>
  <c r="I381" i="2" s="1"/>
  <c r="A381" i="2"/>
  <c r="E380" i="2"/>
  <c r="F380" i="2" s="1"/>
  <c r="D380" i="2"/>
  <c r="C380" i="2"/>
  <c r="B380" i="2"/>
  <c r="G380" i="2" s="1"/>
  <c r="I380" i="2" s="1"/>
  <c r="A380" i="2"/>
  <c r="F379" i="2"/>
  <c r="E379" i="2"/>
  <c r="D379" i="2"/>
  <c r="C379" i="2"/>
  <c r="B379" i="2"/>
  <c r="G379" i="2" s="1"/>
  <c r="A379" i="2"/>
  <c r="I378" i="2"/>
  <c r="G378" i="2"/>
  <c r="E378" i="2"/>
  <c r="F378" i="2" s="1"/>
  <c r="H378" i="2" s="1"/>
  <c r="D378" i="2"/>
  <c r="C378" i="2"/>
  <c r="B378" i="2"/>
  <c r="A378" i="2"/>
  <c r="F377" i="2"/>
  <c r="E377" i="2"/>
  <c r="D377" i="2"/>
  <c r="C377" i="2"/>
  <c r="B377" i="2"/>
  <c r="G377" i="2" s="1"/>
  <c r="I377" i="2" s="1"/>
  <c r="A377" i="2"/>
  <c r="E376" i="2"/>
  <c r="F376" i="2" s="1"/>
  <c r="H376" i="2" s="1"/>
  <c r="D376" i="2"/>
  <c r="C376" i="2"/>
  <c r="B376" i="2"/>
  <c r="G376" i="2" s="1"/>
  <c r="I376" i="2" s="1"/>
  <c r="A376" i="2"/>
  <c r="F375" i="2"/>
  <c r="E375" i="2"/>
  <c r="D375" i="2"/>
  <c r="C375" i="2"/>
  <c r="B375" i="2"/>
  <c r="G375" i="2" s="1"/>
  <c r="H375" i="2" s="1"/>
  <c r="A375" i="2"/>
  <c r="G374" i="2"/>
  <c r="I374" i="2" s="1"/>
  <c r="E374" i="2"/>
  <c r="F374" i="2" s="1"/>
  <c r="D374" i="2"/>
  <c r="C374" i="2"/>
  <c r="B374" i="2"/>
  <c r="A374" i="2"/>
  <c r="E373" i="2"/>
  <c r="F373" i="2" s="1"/>
  <c r="H373" i="2" s="1"/>
  <c r="D373" i="2"/>
  <c r="C373" i="2"/>
  <c r="B373" i="2"/>
  <c r="G373" i="2" s="1"/>
  <c r="I373" i="2" s="1"/>
  <c r="A373" i="2"/>
  <c r="E372" i="2"/>
  <c r="F372" i="2" s="1"/>
  <c r="H372" i="2" s="1"/>
  <c r="D372" i="2"/>
  <c r="C372" i="2"/>
  <c r="B372" i="2"/>
  <c r="G372" i="2" s="1"/>
  <c r="I372" i="2" s="1"/>
  <c r="A372" i="2"/>
  <c r="F371" i="2"/>
  <c r="E371" i="2"/>
  <c r="D371" i="2"/>
  <c r="C371" i="2"/>
  <c r="B371" i="2"/>
  <c r="G371" i="2" s="1"/>
  <c r="I371" i="2" s="1"/>
  <c r="A371" i="2"/>
  <c r="G370" i="2"/>
  <c r="I370" i="2" s="1"/>
  <c r="E370" i="2"/>
  <c r="F370" i="2" s="1"/>
  <c r="D370" i="2"/>
  <c r="C370" i="2"/>
  <c r="B370" i="2"/>
  <c r="A370" i="2"/>
  <c r="E369" i="2"/>
  <c r="F369" i="2" s="1"/>
  <c r="D369" i="2"/>
  <c r="C369" i="2"/>
  <c r="B369" i="2"/>
  <c r="G369" i="2" s="1"/>
  <c r="I369" i="2" s="1"/>
  <c r="A369" i="2"/>
  <c r="E368" i="2"/>
  <c r="F368" i="2" s="1"/>
  <c r="D368" i="2"/>
  <c r="C368" i="2"/>
  <c r="B368" i="2"/>
  <c r="A368" i="2"/>
  <c r="F367" i="2"/>
  <c r="E367" i="2"/>
  <c r="D367" i="2"/>
  <c r="C367" i="2"/>
  <c r="B367" i="2"/>
  <c r="G367" i="2" s="1"/>
  <c r="H367" i="2" s="1"/>
  <c r="A367" i="2"/>
  <c r="G366" i="2"/>
  <c r="I366" i="2" s="1"/>
  <c r="E366" i="2"/>
  <c r="F366" i="2" s="1"/>
  <c r="D366" i="2"/>
  <c r="C366" i="2"/>
  <c r="B366" i="2"/>
  <c r="A366" i="2"/>
  <c r="E365" i="2"/>
  <c r="F365" i="2" s="1"/>
  <c r="D365" i="2"/>
  <c r="C365" i="2"/>
  <c r="B365" i="2"/>
  <c r="A365" i="2"/>
  <c r="E364" i="2"/>
  <c r="F364" i="2" s="1"/>
  <c r="D364" i="2"/>
  <c r="C364" i="2"/>
  <c r="B364" i="2"/>
  <c r="A364" i="2"/>
  <c r="F363" i="2"/>
  <c r="E363" i="2"/>
  <c r="D363" i="2"/>
  <c r="C363" i="2"/>
  <c r="B363" i="2"/>
  <c r="G363" i="2" s="1"/>
  <c r="I363" i="2" s="1"/>
  <c r="A363" i="2"/>
  <c r="G362" i="2"/>
  <c r="I362" i="2" s="1"/>
  <c r="E362" i="2"/>
  <c r="F362" i="2" s="1"/>
  <c r="H362" i="2" s="1"/>
  <c r="D362" i="2"/>
  <c r="C362" i="2"/>
  <c r="B362" i="2"/>
  <c r="A362" i="2"/>
  <c r="E361" i="2"/>
  <c r="F361" i="2" s="1"/>
  <c r="D361" i="2"/>
  <c r="C361" i="2"/>
  <c r="B361" i="2"/>
  <c r="A361" i="2"/>
  <c r="E360" i="2"/>
  <c r="F360" i="2" s="1"/>
  <c r="D360" i="2"/>
  <c r="C360" i="2"/>
  <c r="B360" i="2"/>
  <c r="G360" i="2" s="1"/>
  <c r="I360" i="2" s="1"/>
  <c r="A360" i="2"/>
  <c r="I359" i="2"/>
  <c r="F359" i="2"/>
  <c r="E359" i="2"/>
  <c r="D359" i="2"/>
  <c r="C359" i="2"/>
  <c r="B359" i="2"/>
  <c r="G359" i="2" s="1"/>
  <c r="H359" i="2" s="1"/>
  <c r="A359" i="2"/>
  <c r="G358" i="2"/>
  <c r="I358" i="2" s="1"/>
  <c r="F358" i="2"/>
  <c r="E358" i="2"/>
  <c r="D358" i="2"/>
  <c r="C358" i="2"/>
  <c r="B358" i="2"/>
  <c r="A358" i="2"/>
  <c r="E357" i="2"/>
  <c r="F357" i="2" s="1"/>
  <c r="D357" i="2"/>
  <c r="C357" i="2"/>
  <c r="B357" i="2"/>
  <c r="G357" i="2" s="1"/>
  <c r="I357" i="2" s="1"/>
  <c r="A357" i="2"/>
  <c r="E356" i="2"/>
  <c r="F356" i="2" s="1"/>
  <c r="D356" i="2"/>
  <c r="C356" i="2"/>
  <c r="B356" i="2"/>
  <c r="A356" i="2"/>
  <c r="F355" i="2"/>
  <c r="E355" i="2"/>
  <c r="D355" i="2"/>
  <c r="C355" i="2"/>
  <c r="B355" i="2"/>
  <c r="G355" i="2" s="1"/>
  <c r="A355" i="2"/>
  <c r="G354" i="2"/>
  <c r="I354" i="2" s="1"/>
  <c r="F354" i="2"/>
  <c r="H354" i="2" s="1"/>
  <c r="E354" i="2"/>
  <c r="D354" i="2"/>
  <c r="C354" i="2"/>
  <c r="B354" i="2"/>
  <c r="A354" i="2"/>
  <c r="F353" i="2"/>
  <c r="E353" i="2"/>
  <c r="D353" i="2"/>
  <c r="C353" i="2"/>
  <c r="B353" i="2"/>
  <c r="A353" i="2"/>
  <c r="E352" i="2"/>
  <c r="F352" i="2" s="1"/>
  <c r="D352" i="2"/>
  <c r="C352" i="2"/>
  <c r="B352" i="2"/>
  <c r="A352" i="2"/>
  <c r="F351" i="2"/>
  <c r="E351" i="2"/>
  <c r="D351" i="2"/>
  <c r="C351" i="2"/>
  <c r="B351" i="2"/>
  <c r="G351" i="2" s="1"/>
  <c r="I351" i="2" s="1"/>
  <c r="A351" i="2"/>
  <c r="G350" i="2"/>
  <c r="I350" i="2" s="1"/>
  <c r="E350" i="2"/>
  <c r="F350" i="2" s="1"/>
  <c r="H350" i="2" s="1"/>
  <c r="D350" i="2"/>
  <c r="C350" i="2"/>
  <c r="B350" i="2"/>
  <c r="A350" i="2"/>
  <c r="F349" i="2"/>
  <c r="E349" i="2"/>
  <c r="D349" i="2"/>
  <c r="C349" i="2"/>
  <c r="B349" i="2"/>
  <c r="A349" i="2"/>
  <c r="E348" i="2"/>
  <c r="F348" i="2" s="1"/>
  <c r="D348" i="2"/>
  <c r="C348" i="2"/>
  <c r="B348" i="2"/>
  <c r="G348" i="2" s="1"/>
  <c r="I348" i="2" s="1"/>
  <c r="A348" i="2"/>
  <c r="F347" i="2"/>
  <c r="E347" i="2"/>
  <c r="D347" i="2"/>
  <c r="C347" i="2"/>
  <c r="B347" i="2"/>
  <c r="G347" i="2" s="1"/>
  <c r="I347" i="2" s="1"/>
  <c r="A347" i="2"/>
  <c r="I346" i="2"/>
  <c r="G346" i="2"/>
  <c r="F346" i="2"/>
  <c r="H346" i="2" s="1"/>
  <c r="E346" i="2"/>
  <c r="D346" i="2"/>
  <c r="C346" i="2"/>
  <c r="B346" i="2"/>
  <c r="A346" i="2"/>
  <c r="E345" i="2"/>
  <c r="F345" i="2" s="1"/>
  <c r="D345" i="2"/>
  <c r="C345" i="2"/>
  <c r="B345" i="2"/>
  <c r="G345" i="2" s="1"/>
  <c r="I345" i="2" s="1"/>
  <c r="A345" i="2"/>
  <c r="E344" i="2"/>
  <c r="F344" i="2" s="1"/>
  <c r="D344" i="2"/>
  <c r="C344" i="2"/>
  <c r="B344" i="2"/>
  <c r="A344" i="2"/>
  <c r="F343" i="2"/>
  <c r="E343" i="2"/>
  <c r="D343" i="2"/>
  <c r="C343" i="2"/>
  <c r="B343" i="2"/>
  <c r="G343" i="2" s="1"/>
  <c r="A343" i="2"/>
  <c r="G342" i="2"/>
  <c r="I342" i="2" s="1"/>
  <c r="F342" i="2"/>
  <c r="H342" i="2" s="1"/>
  <c r="E342" i="2"/>
  <c r="D342" i="2"/>
  <c r="C342" i="2"/>
  <c r="B342" i="2"/>
  <c r="A342" i="2"/>
  <c r="F341" i="2"/>
  <c r="E341" i="2"/>
  <c r="D341" i="2"/>
  <c r="C341" i="2"/>
  <c r="B341" i="2"/>
  <c r="A341" i="2"/>
  <c r="E340" i="2"/>
  <c r="F340" i="2" s="1"/>
  <c r="D340" i="2"/>
  <c r="C340" i="2"/>
  <c r="B340" i="2"/>
  <c r="G340" i="2" s="1"/>
  <c r="I340" i="2" s="1"/>
  <c r="A340" i="2"/>
  <c r="I339" i="2"/>
  <c r="F339" i="2"/>
  <c r="E339" i="2"/>
  <c r="D339" i="2"/>
  <c r="C339" i="2"/>
  <c r="B339" i="2"/>
  <c r="G339" i="2" s="1"/>
  <c r="H339" i="2" s="1"/>
  <c r="A339" i="2"/>
  <c r="G338" i="2"/>
  <c r="I338" i="2" s="1"/>
  <c r="E338" i="2"/>
  <c r="F338" i="2" s="1"/>
  <c r="D338" i="2"/>
  <c r="C338" i="2"/>
  <c r="B338" i="2"/>
  <c r="A338" i="2"/>
  <c r="F337" i="2"/>
  <c r="E337" i="2"/>
  <c r="D337" i="2"/>
  <c r="C337" i="2"/>
  <c r="B337" i="2"/>
  <c r="G337" i="2" s="1"/>
  <c r="I337" i="2" s="1"/>
  <c r="A337" i="2"/>
  <c r="E336" i="2"/>
  <c r="F336" i="2" s="1"/>
  <c r="D336" i="2"/>
  <c r="C336" i="2"/>
  <c r="B336" i="2"/>
  <c r="G336" i="2" s="1"/>
  <c r="I336" i="2" s="1"/>
  <c r="A336" i="2"/>
  <c r="F335" i="2"/>
  <c r="E335" i="2"/>
  <c r="D335" i="2"/>
  <c r="C335" i="2"/>
  <c r="B335" i="2"/>
  <c r="G335" i="2" s="1"/>
  <c r="A335" i="2"/>
  <c r="G334" i="2"/>
  <c r="H334" i="2" s="1"/>
  <c r="F334" i="2"/>
  <c r="E334" i="2"/>
  <c r="D334" i="2"/>
  <c r="C334" i="2"/>
  <c r="B334" i="2"/>
  <c r="A334" i="2"/>
  <c r="E333" i="2"/>
  <c r="F333" i="2" s="1"/>
  <c r="D333" i="2"/>
  <c r="C333" i="2"/>
  <c r="B333" i="2"/>
  <c r="G333" i="2" s="1"/>
  <c r="I333" i="2" s="1"/>
  <c r="A333" i="2"/>
  <c r="E332" i="2"/>
  <c r="F332" i="2" s="1"/>
  <c r="D332" i="2"/>
  <c r="C332" i="2"/>
  <c r="B332" i="2"/>
  <c r="G332" i="2" s="1"/>
  <c r="I332" i="2" s="1"/>
  <c r="A332" i="2"/>
  <c r="F331" i="2"/>
  <c r="E331" i="2"/>
  <c r="D331" i="2"/>
  <c r="C331" i="2"/>
  <c r="B331" i="2"/>
  <c r="G331" i="2" s="1"/>
  <c r="A331" i="2"/>
  <c r="I330" i="2"/>
  <c r="G330" i="2"/>
  <c r="E330" i="2"/>
  <c r="F330" i="2" s="1"/>
  <c r="D330" i="2"/>
  <c r="C330" i="2"/>
  <c r="B330" i="2"/>
  <c r="A330" i="2"/>
  <c r="F329" i="2"/>
  <c r="E329" i="2"/>
  <c r="D329" i="2"/>
  <c r="C329" i="2"/>
  <c r="B329" i="2"/>
  <c r="G329" i="2" s="1"/>
  <c r="A329" i="2"/>
  <c r="E328" i="2"/>
  <c r="F328" i="2" s="1"/>
  <c r="D328" i="2"/>
  <c r="C328" i="2"/>
  <c r="B328" i="2"/>
  <c r="G328" i="2" s="1"/>
  <c r="I328" i="2" s="1"/>
  <c r="A328" i="2"/>
  <c r="F327" i="2"/>
  <c r="E327" i="2"/>
  <c r="D327" i="2"/>
  <c r="C327" i="2"/>
  <c r="B327" i="2"/>
  <c r="G327" i="2" s="1"/>
  <c r="A327" i="2"/>
  <c r="G326" i="2"/>
  <c r="I326" i="2" s="1"/>
  <c r="E326" i="2"/>
  <c r="F326" i="2" s="1"/>
  <c r="D326" i="2"/>
  <c r="C326" i="2"/>
  <c r="B326" i="2"/>
  <c r="A326" i="2"/>
  <c r="E325" i="2"/>
  <c r="F325" i="2" s="1"/>
  <c r="H325" i="2" s="1"/>
  <c r="D325" i="2"/>
  <c r="C325" i="2"/>
  <c r="B325" i="2"/>
  <c r="G325" i="2" s="1"/>
  <c r="I325" i="2" s="1"/>
  <c r="A325" i="2"/>
  <c r="E324" i="2"/>
  <c r="F324" i="2" s="1"/>
  <c r="D324" i="2"/>
  <c r="C324" i="2"/>
  <c r="B324" i="2"/>
  <c r="G324" i="2" s="1"/>
  <c r="I324" i="2" s="1"/>
  <c r="A324" i="2"/>
  <c r="F323" i="2"/>
  <c r="E323" i="2"/>
  <c r="D323" i="2"/>
  <c r="C323" i="2"/>
  <c r="B323" i="2"/>
  <c r="G323" i="2" s="1"/>
  <c r="A323" i="2"/>
  <c r="I322" i="2"/>
  <c r="G322" i="2"/>
  <c r="E322" i="2"/>
  <c r="F322" i="2" s="1"/>
  <c r="D322" i="2"/>
  <c r="C322" i="2"/>
  <c r="B322" i="2"/>
  <c r="A322" i="2"/>
  <c r="F321" i="2"/>
  <c r="E321" i="2"/>
  <c r="D321" i="2"/>
  <c r="C321" i="2"/>
  <c r="B321" i="2"/>
  <c r="A321" i="2"/>
  <c r="E320" i="2"/>
  <c r="F320" i="2" s="1"/>
  <c r="D320" i="2"/>
  <c r="C320" i="2"/>
  <c r="B320" i="2"/>
  <c r="G320" i="2" s="1"/>
  <c r="I320" i="2" s="1"/>
  <c r="A320" i="2"/>
  <c r="F319" i="2"/>
  <c r="E319" i="2"/>
  <c r="D319" i="2"/>
  <c r="C319" i="2"/>
  <c r="B319" i="2"/>
  <c r="G319" i="2" s="1"/>
  <c r="I319" i="2" s="1"/>
  <c r="A319" i="2"/>
  <c r="G318" i="2"/>
  <c r="I318" i="2" s="1"/>
  <c r="E318" i="2"/>
  <c r="F318" i="2" s="1"/>
  <c r="D318" i="2"/>
  <c r="C318" i="2"/>
  <c r="B318" i="2"/>
  <c r="A318" i="2"/>
  <c r="F317" i="2"/>
  <c r="E317" i="2"/>
  <c r="D317" i="2"/>
  <c r="C317" i="2"/>
  <c r="B317" i="2"/>
  <c r="G317" i="2" s="1"/>
  <c r="I317" i="2" s="1"/>
  <c r="A317" i="2"/>
  <c r="E316" i="2"/>
  <c r="F316" i="2" s="1"/>
  <c r="D316" i="2"/>
  <c r="C316" i="2"/>
  <c r="B316" i="2"/>
  <c r="A316" i="2"/>
  <c r="F315" i="2"/>
  <c r="E315" i="2"/>
  <c r="D315" i="2"/>
  <c r="C315" i="2"/>
  <c r="B315" i="2"/>
  <c r="G315" i="2" s="1"/>
  <c r="I315" i="2" s="1"/>
  <c r="A315" i="2"/>
  <c r="G314" i="2"/>
  <c r="I314" i="2" s="1"/>
  <c r="E314" i="2"/>
  <c r="F314" i="2" s="1"/>
  <c r="D314" i="2"/>
  <c r="C314" i="2"/>
  <c r="B314" i="2"/>
  <c r="A314" i="2"/>
  <c r="E313" i="2"/>
  <c r="F313" i="2" s="1"/>
  <c r="D313" i="2"/>
  <c r="C313" i="2"/>
  <c r="B313" i="2"/>
  <c r="G313" i="2" s="1"/>
  <c r="I313" i="2" s="1"/>
  <c r="A313" i="2"/>
  <c r="E312" i="2"/>
  <c r="F312" i="2" s="1"/>
  <c r="D312" i="2"/>
  <c r="C312" i="2"/>
  <c r="B312" i="2"/>
  <c r="A312" i="2"/>
  <c r="G311" i="2"/>
  <c r="I311" i="2" s="1"/>
  <c r="F311" i="2"/>
  <c r="E311" i="2"/>
  <c r="D311" i="2"/>
  <c r="C311" i="2"/>
  <c r="B311" i="2"/>
  <c r="A311" i="2"/>
  <c r="G310" i="2"/>
  <c r="H310" i="2" s="1"/>
  <c r="F310" i="2"/>
  <c r="E310" i="2"/>
  <c r="D310" i="2"/>
  <c r="C310" i="2"/>
  <c r="B310" i="2"/>
  <c r="A310" i="2"/>
  <c r="E309" i="2"/>
  <c r="F309" i="2" s="1"/>
  <c r="D309" i="2"/>
  <c r="C309" i="2"/>
  <c r="B309" i="2"/>
  <c r="G309" i="2" s="1"/>
  <c r="I309" i="2" s="1"/>
  <c r="A309" i="2"/>
  <c r="E308" i="2"/>
  <c r="F308" i="2" s="1"/>
  <c r="H308" i="2" s="1"/>
  <c r="D308" i="2"/>
  <c r="C308" i="2"/>
  <c r="B308" i="2"/>
  <c r="G308" i="2" s="1"/>
  <c r="I308" i="2" s="1"/>
  <c r="A308" i="2"/>
  <c r="G307" i="2"/>
  <c r="F307" i="2"/>
  <c r="E307" i="2"/>
  <c r="D307" i="2"/>
  <c r="C307" i="2"/>
  <c r="B307" i="2"/>
  <c r="A307" i="2"/>
  <c r="G306" i="2"/>
  <c r="I306" i="2" s="1"/>
  <c r="E306" i="2"/>
  <c r="F306" i="2" s="1"/>
  <c r="D306" i="2"/>
  <c r="C306" i="2"/>
  <c r="B306" i="2"/>
  <c r="A306" i="2"/>
  <c r="E305" i="2"/>
  <c r="F305" i="2" s="1"/>
  <c r="D305" i="2"/>
  <c r="C305" i="2"/>
  <c r="G305" i="2" s="1"/>
  <c r="I305" i="2" s="1"/>
  <c r="B305" i="2"/>
  <c r="A305" i="2"/>
  <c r="E304" i="2"/>
  <c r="F304" i="2" s="1"/>
  <c r="D304" i="2"/>
  <c r="C304" i="2"/>
  <c r="B304" i="2"/>
  <c r="A304" i="2"/>
  <c r="F303" i="2"/>
  <c r="E303" i="2"/>
  <c r="D303" i="2"/>
  <c r="C303" i="2"/>
  <c r="B303" i="2"/>
  <c r="G303" i="2" s="1"/>
  <c r="A303" i="2"/>
  <c r="I302" i="2"/>
  <c r="G302" i="2"/>
  <c r="F302" i="2"/>
  <c r="H302" i="2" s="1"/>
  <c r="E302" i="2"/>
  <c r="D302" i="2"/>
  <c r="C302" i="2"/>
  <c r="B302" i="2"/>
  <c r="A302" i="2"/>
  <c r="G301" i="2"/>
  <c r="I301" i="2" s="1"/>
  <c r="E301" i="2"/>
  <c r="F301" i="2" s="1"/>
  <c r="D301" i="2"/>
  <c r="C301" i="2"/>
  <c r="B301" i="2"/>
  <c r="A301" i="2"/>
  <c r="E300" i="2"/>
  <c r="F300" i="2" s="1"/>
  <c r="D300" i="2"/>
  <c r="C300" i="2"/>
  <c r="B300" i="2"/>
  <c r="A300" i="2"/>
  <c r="G299" i="2"/>
  <c r="H299" i="2" s="1"/>
  <c r="F299" i="2"/>
  <c r="E299" i="2"/>
  <c r="D299" i="2"/>
  <c r="C299" i="2"/>
  <c r="B299" i="2"/>
  <c r="A299" i="2"/>
  <c r="I298" i="2"/>
  <c r="G298" i="2"/>
  <c r="F298" i="2"/>
  <c r="E298" i="2"/>
  <c r="D298" i="2"/>
  <c r="C298" i="2"/>
  <c r="B298" i="2"/>
  <c r="A298" i="2"/>
  <c r="E297" i="2"/>
  <c r="F297" i="2" s="1"/>
  <c r="D297" i="2"/>
  <c r="C297" i="2"/>
  <c r="B297" i="2"/>
  <c r="G297" i="2" s="1"/>
  <c r="I297" i="2" s="1"/>
  <c r="A297" i="2"/>
  <c r="E296" i="2"/>
  <c r="F296" i="2" s="1"/>
  <c r="D296" i="2"/>
  <c r="C296" i="2"/>
  <c r="B296" i="2"/>
  <c r="G296" i="2" s="1"/>
  <c r="I296" i="2" s="1"/>
  <c r="A296" i="2"/>
  <c r="F295" i="2"/>
  <c r="E295" i="2"/>
  <c r="D295" i="2"/>
  <c r="C295" i="2"/>
  <c r="B295" i="2"/>
  <c r="G295" i="2" s="1"/>
  <c r="A295" i="2"/>
  <c r="G294" i="2"/>
  <c r="I294" i="2" s="1"/>
  <c r="E294" i="2"/>
  <c r="F294" i="2" s="1"/>
  <c r="D294" i="2"/>
  <c r="C294" i="2"/>
  <c r="B294" i="2"/>
  <c r="A294" i="2"/>
  <c r="G293" i="2"/>
  <c r="F293" i="2"/>
  <c r="E293" i="2"/>
  <c r="D293" i="2"/>
  <c r="C293" i="2"/>
  <c r="B293" i="2"/>
  <c r="A293" i="2"/>
  <c r="E292" i="2"/>
  <c r="F292" i="2" s="1"/>
  <c r="D292" i="2"/>
  <c r="C292" i="2"/>
  <c r="B292" i="2"/>
  <c r="G292" i="2" s="1"/>
  <c r="I292" i="2" s="1"/>
  <c r="A292" i="2"/>
  <c r="F291" i="2"/>
  <c r="E291" i="2"/>
  <c r="D291" i="2"/>
  <c r="C291" i="2"/>
  <c r="B291" i="2"/>
  <c r="G291" i="2" s="1"/>
  <c r="H291" i="2" s="1"/>
  <c r="A291" i="2"/>
  <c r="H290" i="2"/>
  <c r="G290" i="2"/>
  <c r="I290" i="2" s="1"/>
  <c r="F290" i="2"/>
  <c r="E290" i="2"/>
  <c r="D290" i="2"/>
  <c r="C290" i="2"/>
  <c r="B290" i="2"/>
  <c r="A290" i="2"/>
  <c r="G289" i="2"/>
  <c r="I289" i="2" s="1"/>
  <c r="E289" i="2"/>
  <c r="F289" i="2" s="1"/>
  <c r="D289" i="2"/>
  <c r="C289" i="2"/>
  <c r="B289" i="2"/>
  <c r="A289" i="2"/>
  <c r="E288" i="2"/>
  <c r="F288" i="2" s="1"/>
  <c r="D288" i="2"/>
  <c r="C288" i="2"/>
  <c r="B288" i="2"/>
  <c r="G288" i="2" s="1"/>
  <c r="I288" i="2" s="1"/>
  <c r="A288" i="2"/>
  <c r="G287" i="2"/>
  <c r="H287" i="2" s="1"/>
  <c r="F287" i="2"/>
  <c r="E287" i="2"/>
  <c r="D287" i="2"/>
  <c r="C287" i="2"/>
  <c r="B287" i="2"/>
  <c r="A287" i="2"/>
  <c r="G286" i="2"/>
  <c r="I286" i="2" s="1"/>
  <c r="F286" i="2"/>
  <c r="E286" i="2"/>
  <c r="D286" i="2"/>
  <c r="C286" i="2"/>
  <c r="B286" i="2"/>
  <c r="A286" i="2"/>
  <c r="F285" i="2"/>
  <c r="H285" i="2" s="1"/>
  <c r="E285" i="2"/>
  <c r="D285" i="2"/>
  <c r="C285" i="2"/>
  <c r="B285" i="2"/>
  <c r="G285" i="2" s="1"/>
  <c r="I285" i="2" s="1"/>
  <c r="A285" i="2"/>
  <c r="E284" i="2"/>
  <c r="F284" i="2" s="1"/>
  <c r="D284" i="2"/>
  <c r="C284" i="2"/>
  <c r="B284" i="2"/>
  <c r="G284" i="2" s="1"/>
  <c r="I284" i="2" s="1"/>
  <c r="A284" i="2"/>
  <c r="F283" i="2"/>
  <c r="E283" i="2"/>
  <c r="D283" i="2"/>
  <c r="C283" i="2"/>
  <c r="B283" i="2"/>
  <c r="G283" i="2" s="1"/>
  <c r="A283" i="2"/>
  <c r="I282" i="2"/>
  <c r="G282" i="2"/>
  <c r="E282" i="2"/>
  <c r="F282" i="2" s="1"/>
  <c r="H282" i="2" s="1"/>
  <c r="D282" i="2"/>
  <c r="C282" i="2"/>
  <c r="B282" i="2"/>
  <c r="A282" i="2"/>
  <c r="G281" i="2"/>
  <c r="I281" i="2" s="1"/>
  <c r="F281" i="2"/>
  <c r="H281" i="2" s="1"/>
  <c r="E281" i="2"/>
  <c r="D281" i="2"/>
  <c r="C281" i="2"/>
  <c r="B281" i="2"/>
  <c r="A281" i="2"/>
  <c r="E280" i="2"/>
  <c r="F280" i="2" s="1"/>
  <c r="D280" i="2"/>
  <c r="C280" i="2"/>
  <c r="B280" i="2"/>
  <c r="G280" i="2" s="1"/>
  <c r="I280" i="2" s="1"/>
  <c r="A280" i="2"/>
  <c r="G279" i="2"/>
  <c r="I279" i="2" s="1"/>
  <c r="F279" i="2"/>
  <c r="E279" i="2"/>
  <c r="D279" i="2"/>
  <c r="C279" i="2"/>
  <c r="B279" i="2"/>
  <c r="A279" i="2"/>
  <c r="H278" i="2"/>
  <c r="G278" i="2"/>
  <c r="I278" i="2" s="1"/>
  <c r="E278" i="2"/>
  <c r="F278" i="2" s="1"/>
  <c r="D278" i="2"/>
  <c r="C278" i="2"/>
  <c r="B278" i="2"/>
  <c r="A278" i="2"/>
  <c r="E277" i="2"/>
  <c r="F277" i="2" s="1"/>
  <c r="D277" i="2"/>
  <c r="C277" i="2"/>
  <c r="B277" i="2"/>
  <c r="G277" i="2" s="1"/>
  <c r="I277" i="2" s="1"/>
  <c r="A277" i="2"/>
  <c r="E276" i="2"/>
  <c r="F276" i="2" s="1"/>
  <c r="D276" i="2"/>
  <c r="C276" i="2"/>
  <c r="B276" i="2"/>
  <c r="A276" i="2"/>
  <c r="F275" i="2"/>
  <c r="E275" i="2"/>
  <c r="D275" i="2"/>
  <c r="C275" i="2"/>
  <c r="B275" i="2"/>
  <c r="G275" i="2" s="1"/>
  <c r="A275" i="2"/>
  <c r="G274" i="2"/>
  <c r="I274" i="2" s="1"/>
  <c r="E274" i="2"/>
  <c r="F274" i="2" s="1"/>
  <c r="H274" i="2" s="1"/>
  <c r="D274" i="2"/>
  <c r="C274" i="2"/>
  <c r="B274" i="2"/>
  <c r="A274" i="2"/>
  <c r="H273" i="2"/>
  <c r="G273" i="2"/>
  <c r="I273" i="2" s="1"/>
  <c r="F273" i="2"/>
  <c r="E273" i="2"/>
  <c r="D273" i="2"/>
  <c r="C273" i="2"/>
  <c r="B273" i="2"/>
  <c r="A273" i="2"/>
  <c r="E272" i="2"/>
  <c r="F272" i="2" s="1"/>
  <c r="D272" i="2"/>
  <c r="C272" i="2"/>
  <c r="B272" i="2"/>
  <c r="G272" i="2" s="1"/>
  <c r="I272" i="2" s="1"/>
  <c r="A272" i="2"/>
  <c r="F271" i="2"/>
  <c r="E271" i="2"/>
  <c r="D271" i="2"/>
  <c r="C271" i="2"/>
  <c r="B271" i="2"/>
  <c r="G271" i="2" s="1"/>
  <c r="I271" i="2" s="1"/>
  <c r="A271" i="2"/>
  <c r="G270" i="2"/>
  <c r="I270" i="2" s="1"/>
  <c r="E270" i="2"/>
  <c r="F270" i="2" s="1"/>
  <c r="D270" i="2"/>
  <c r="C270" i="2"/>
  <c r="B270" i="2"/>
  <c r="A270" i="2"/>
  <c r="F269" i="2"/>
  <c r="E269" i="2"/>
  <c r="D269" i="2"/>
  <c r="C269" i="2"/>
  <c r="B269" i="2"/>
  <c r="G269" i="2" s="1"/>
  <c r="I269" i="2" s="1"/>
  <c r="A269" i="2"/>
  <c r="E268" i="2"/>
  <c r="F268" i="2" s="1"/>
  <c r="D268" i="2"/>
  <c r="C268" i="2"/>
  <c r="B268" i="2"/>
  <c r="A268" i="2"/>
  <c r="F267" i="2"/>
  <c r="E267" i="2"/>
  <c r="D267" i="2"/>
  <c r="C267" i="2"/>
  <c r="B267" i="2"/>
  <c r="G267" i="2" s="1"/>
  <c r="I267" i="2" s="1"/>
  <c r="A267" i="2"/>
  <c r="G266" i="2"/>
  <c r="I266" i="2" s="1"/>
  <c r="E266" i="2"/>
  <c r="F266" i="2" s="1"/>
  <c r="H266" i="2" s="1"/>
  <c r="D266" i="2"/>
  <c r="C266" i="2"/>
  <c r="B266" i="2"/>
  <c r="A266" i="2"/>
  <c r="E265" i="2"/>
  <c r="F265" i="2" s="1"/>
  <c r="D265" i="2"/>
  <c r="C265" i="2"/>
  <c r="B265" i="2"/>
  <c r="G265" i="2" s="1"/>
  <c r="I265" i="2" s="1"/>
  <c r="A265" i="2"/>
  <c r="E264" i="2"/>
  <c r="F264" i="2" s="1"/>
  <c r="D264" i="2"/>
  <c r="C264" i="2"/>
  <c r="B264" i="2"/>
  <c r="A264" i="2"/>
  <c r="G263" i="2"/>
  <c r="I263" i="2" s="1"/>
  <c r="F263" i="2"/>
  <c r="E263" i="2"/>
  <c r="D263" i="2"/>
  <c r="C263" i="2"/>
  <c r="B263" i="2"/>
  <c r="A263" i="2"/>
  <c r="G262" i="2"/>
  <c r="H262" i="2" s="1"/>
  <c r="F262" i="2"/>
  <c r="E262" i="2"/>
  <c r="D262" i="2"/>
  <c r="C262" i="2"/>
  <c r="B262" i="2"/>
  <c r="A262" i="2"/>
  <c r="E261" i="2"/>
  <c r="F261" i="2" s="1"/>
  <c r="D261" i="2"/>
  <c r="C261" i="2"/>
  <c r="B261" i="2"/>
  <c r="A261" i="2"/>
  <c r="E260" i="2"/>
  <c r="F260" i="2" s="1"/>
  <c r="D260" i="2"/>
  <c r="C260" i="2"/>
  <c r="B260" i="2"/>
  <c r="G260" i="2" s="1"/>
  <c r="I260" i="2" s="1"/>
  <c r="A260" i="2"/>
  <c r="G259" i="2"/>
  <c r="F259" i="2"/>
  <c r="E259" i="2"/>
  <c r="D259" i="2"/>
  <c r="C259" i="2"/>
  <c r="B259" i="2"/>
  <c r="A259" i="2"/>
  <c r="G258" i="2"/>
  <c r="I258" i="2" s="1"/>
  <c r="E258" i="2"/>
  <c r="F258" i="2" s="1"/>
  <c r="H258" i="2" s="1"/>
  <c r="D258" i="2"/>
  <c r="C258" i="2"/>
  <c r="B258" i="2"/>
  <c r="A258" i="2"/>
  <c r="E257" i="2"/>
  <c r="F257" i="2" s="1"/>
  <c r="D257" i="2"/>
  <c r="C257" i="2"/>
  <c r="G257" i="2" s="1"/>
  <c r="I257" i="2" s="1"/>
  <c r="B257" i="2"/>
  <c r="A257" i="2"/>
  <c r="E256" i="2"/>
  <c r="F256" i="2" s="1"/>
  <c r="D256" i="2"/>
  <c r="C256" i="2"/>
  <c r="B256" i="2"/>
  <c r="A256" i="2"/>
  <c r="F255" i="2"/>
  <c r="E255" i="2"/>
  <c r="D255" i="2"/>
  <c r="C255" i="2"/>
  <c r="B255" i="2"/>
  <c r="G255" i="2" s="1"/>
  <c r="A255" i="2"/>
  <c r="G254" i="2"/>
  <c r="I254" i="2" s="1"/>
  <c r="F254" i="2"/>
  <c r="E254" i="2"/>
  <c r="D254" i="2"/>
  <c r="C254" i="2"/>
  <c r="B254" i="2"/>
  <c r="A254" i="2"/>
  <c r="G253" i="2"/>
  <c r="I253" i="2" s="1"/>
  <c r="E253" i="2"/>
  <c r="F253" i="2" s="1"/>
  <c r="D253" i="2"/>
  <c r="C253" i="2"/>
  <c r="B253" i="2"/>
  <c r="A253" i="2"/>
  <c r="E252" i="2"/>
  <c r="F252" i="2" s="1"/>
  <c r="D252" i="2"/>
  <c r="C252" i="2"/>
  <c r="B252" i="2"/>
  <c r="A252" i="2"/>
  <c r="I251" i="2"/>
  <c r="G251" i="2"/>
  <c r="H251" i="2" s="1"/>
  <c r="F251" i="2"/>
  <c r="E251" i="2"/>
  <c r="D251" i="2"/>
  <c r="C251" i="2"/>
  <c r="B251" i="2"/>
  <c r="A251" i="2"/>
  <c r="G250" i="2"/>
  <c r="I250" i="2" s="1"/>
  <c r="F250" i="2"/>
  <c r="E250" i="2"/>
  <c r="D250" i="2"/>
  <c r="C250" i="2"/>
  <c r="B250" i="2"/>
  <c r="A250" i="2"/>
  <c r="E249" i="2"/>
  <c r="F249" i="2" s="1"/>
  <c r="H249" i="2" s="1"/>
  <c r="D249" i="2"/>
  <c r="C249" i="2"/>
  <c r="B249" i="2"/>
  <c r="G249" i="2" s="1"/>
  <c r="I249" i="2" s="1"/>
  <c r="A249" i="2"/>
  <c r="E248" i="2"/>
  <c r="F248" i="2" s="1"/>
  <c r="H248" i="2" s="1"/>
  <c r="D248" i="2"/>
  <c r="C248" i="2"/>
  <c r="B248" i="2"/>
  <c r="G248" i="2" s="1"/>
  <c r="I248" i="2" s="1"/>
  <c r="A248" i="2"/>
  <c r="G247" i="2"/>
  <c r="F247" i="2"/>
  <c r="E247" i="2"/>
  <c r="D247" i="2"/>
  <c r="C247" i="2"/>
  <c r="B247" i="2"/>
  <c r="A247" i="2"/>
  <c r="G246" i="2"/>
  <c r="I246" i="2" s="1"/>
  <c r="E246" i="2"/>
  <c r="F246" i="2" s="1"/>
  <c r="D246" i="2"/>
  <c r="C246" i="2"/>
  <c r="B246" i="2"/>
  <c r="A246" i="2"/>
  <c r="G245" i="2"/>
  <c r="F245" i="2"/>
  <c r="E245" i="2"/>
  <c r="D245" i="2"/>
  <c r="C245" i="2"/>
  <c r="B245" i="2"/>
  <c r="A245" i="2"/>
  <c r="E244" i="2"/>
  <c r="F244" i="2" s="1"/>
  <c r="D244" i="2"/>
  <c r="C244" i="2"/>
  <c r="B244" i="2"/>
  <c r="G244" i="2" s="1"/>
  <c r="I244" i="2" s="1"/>
  <c r="A244" i="2"/>
  <c r="I243" i="2"/>
  <c r="F243" i="2"/>
  <c r="E243" i="2"/>
  <c r="D243" i="2"/>
  <c r="C243" i="2"/>
  <c r="B243" i="2"/>
  <c r="G243" i="2" s="1"/>
  <c r="H243" i="2" s="1"/>
  <c r="A243" i="2"/>
  <c r="G242" i="2"/>
  <c r="I242" i="2" s="1"/>
  <c r="F242" i="2"/>
  <c r="H242" i="2" s="1"/>
  <c r="E242" i="2"/>
  <c r="D242" i="2"/>
  <c r="C242" i="2"/>
  <c r="B242" i="2"/>
  <c r="A242" i="2"/>
  <c r="E241" i="2"/>
  <c r="F241" i="2" s="1"/>
  <c r="D241" i="2"/>
  <c r="C241" i="2"/>
  <c r="B241" i="2"/>
  <c r="G241" i="2" s="1"/>
  <c r="I241" i="2" s="1"/>
  <c r="A241" i="2"/>
  <c r="E240" i="2"/>
  <c r="F240" i="2" s="1"/>
  <c r="D240" i="2"/>
  <c r="C240" i="2"/>
  <c r="B240" i="2"/>
  <c r="G240" i="2" s="1"/>
  <c r="I240" i="2" s="1"/>
  <c r="A240" i="2"/>
  <c r="I239" i="2"/>
  <c r="G239" i="2"/>
  <c r="H239" i="2" s="1"/>
  <c r="F239" i="2"/>
  <c r="E239" i="2"/>
  <c r="D239" i="2"/>
  <c r="C239" i="2"/>
  <c r="B239" i="2"/>
  <c r="A239" i="2"/>
  <c r="G238" i="2"/>
  <c r="I238" i="2" s="1"/>
  <c r="F238" i="2"/>
  <c r="E238" i="2"/>
  <c r="D238" i="2"/>
  <c r="C238" i="2"/>
  <c r="B238" i="2"/>
  <c r="A238" i="2"/>
  <c r="F237" i="2"/>
  <c r="E237" i="2"/>
  <c r="D237" i="2"/>
  <c r="C237" i="2"/>
  <c r="B237" i="2"/>
  <c r="G237" i="2" s="1"/>
  <c r="I237" i="2" s="1"/>
  <c r="A237" i="2"/>
  <c r="E236" i="2"/>
  <c r="F236" i="2" s="1"/>
  <c r="D236" i="2"/>
  <c r="C236" i="2"/>
  <c r="B236" i="2"/>
  <c r="G236" i="2" s="1"/>
  <c r="I236" i="2" s="1"/>
  <c r="A236" i="2"/>
  <c r="F235" i="2"/>
  <c r="E235" i="2"/>
  <c r="D235" i="2"/>
  <c r="C235" i="2"/>
  <c r="B235" i="2"/>
  <c r="G235" i="2" s="1"/>
  <c r="A235" i="2"/>
  <c r="I234" i="2"/>
  <c r="G234" i="2"/>
  <c r="E234" i="2"/>
  <c r="F234" i="2" s="1"/>
  <c r="D234" i="2"/>
  <c r="C234" i="2"/>
  <c r="B234" i="2"/>
  <c r="A234" i="2"/>
  <c r="G233" i="2"/>
  <c r="I233" i="2" s="1"/>
  <c r="F233" i="2"/>
  <c r="E233" i="2"/>
  <c r="D233" i="2"/>
  <c r="C233" i="2"/>
  <c r="B233" i="2"/>
  <c r="A233" i="2"/>
  <c r="E232" i="2"/>
  <c r="F232" i="2" s="1"/>
  <c r="D232" i="2"/>
  <c r="C232" i="2"/>
  <c r="G232" i="2" s="1"/>
  <c r="I232" i="2" s="1"/>
  <c r="B232" i="2"/>
  <c r="A232" i="2"/>
  <c r="G231" i="2"/>
  <c r="H231" i="2" s="1"/>
  <c r="F231" i="2"/>
  <c r="E231" i="2"/>
  <c r="D231" i="2"/>
  <c r="C231" i="2"/>
  <c r="B231" i="2"/>
  <c r="A231" i="2"/>
  <c r="I230" i="2"/>
  <c r="G230" i="2"/>
  <c r="F230" i="2"/>
  <c r="H230" i="2" s="1"/>
  <c r="E230" i="2"/>
  <c r="D230" i="2"/>
  <c r="C230" i="2"/>
  <c r="B230" i="2"/>
  <c r="A230" i="2"/>
  <c r="E229" i="2"/>
  <c r="F229" i="2" s="1"/>
  <c r="D229" i="2"/>
  <c r="C229" i="2"/>
  <c r="B229" i="2"/>
  <c r="G229" i="2" s="1"/>
  <c r="I229" i="2" s="1"/>
  <c r="A229" i="2"/>
  <c r="E228" i="2"/>
  <c r="F228" i="2" s="1"/>
  <c r="D228" i="2"/>
  <c r="C228" i="2"/>
  <c r="B228" i="2"/>
  <c r="G228" i="2" s="1"/>
  <c r="I228" i="2" s="1"/>
  <c r="A228" i="2"/>
  <c r="G227" i="2"/>
  <c r="I227" i="2" s="1"/>
  <c r="F227" i="2"/>
  <c r="H227" i="2" s="1"/>
  <c r="E227" i="2"/>
  <c r="D227" i="2"/>
  <c r="C227" i="2"/>
  <c r="B227" i="2"/>
  <c r="A227" i="2"/>
  <c r="F226" i="2"/>
  <c r="H226" i="2" s="1"/>
  <c r="E226" i="2"/>
  <c r="D226" i="2"/>
  <c r="C226" i="2"/>
  <c r="G226" i="2" s="1"/>
  <c r="I226" i="2" s="1"/>
  <c r="B226" i="2"/>
  <c r="A226" i="2"/>
  <c r="F225" i="2"/>
  <c r="H225" i="2" s="1"/>
  <c r="E225" i="2"/>
  <c r="D225" i="2"/>
  <c r="C225" i="2"/>
  <c r="B225" i="2"/>
  <c r="G225" i="2" s="1"/>
  <c r="I225" i="2" s="1"/>
  <c r="A225" i="2"/>
  <c r="G224" i="2"/>
  <c r="I224" i="2" s="1"/>
  <c r="E224" i="2"/>
  <c r="F224" i="2" s="1"/>
  <c r="D224" i="2"/>
  <c r="C224" i="2"/>
  <c r="B224" i="2"/>
  <c r="A224" i="2"/>
  <c r="F223" i="2"/>
  <c r="H223" i="2" s="1"/>
  <c r="E223" i="2"/>
  <c r="D223" i="2"/>
  <c r="C223" i="2"/>
  <c r="B223" i="2"/>
  <c r="G223" i="2" s="1"/>
  <c r="I223" i="2" s="1"/>
  <c r="A223" i="2"/>
  <c r="E222" i="2"/>
  <c r="F222" i="2" s="1"/>
  <c r="H222" i="2" s="1"/>
  <c r="D222" i="2"/>
  <c r="C222" i="2"/>
  <c r="G222" i="2" s="1"/>
  <c r="I222" i="2" s="1"/>
  <c r="B222" i="2"/>
  <c r="A222" i="2"/>
  <c r="G221" i="2"/>
  <c r="I221" i="2" s="1"/>
  <c r="F221" i="2"/>
  <c r="E221" i="2"/>
  <c r="D221" i="2"/>
  <c r="C221" i="2"/>
  <c r="B221" i="2"/>
  <c r="A221" i="2"/>
  <c r="E220" i="2"/>
  <c r="F220" i="2" s="1"/>
  <c r="D220" i="2"/>
  <c r="C220" i="2"/>
  <c r="G220" i="2" s="1"/>
  <c r="I220" i="2" s="1"/>
  <c r="B220" i="2"/>
  <c r="A220" i="2"/>
  <c r="G219" i="2"/>
  <c r="I219" i="2" s="1"/>
  <c r="F219" i="2"/>
  <c r="E219" i="2"/>
  <c r="D219" i="2"/>
  <c r="C219" i="2"/>
  <c r="B219" i="2"/>
  <c r="A219" i="2"/>
  <c r="G218" i="2"/>
  <c r="I218" i="2" s="1"/>
  <c r="E218" i="2"/>
  <c r="F218" i="2" s="1"/>
  <c r="H218" i="2" s="1"/>
  <c r="D218" i="2"/>
  <c r="C218" i="2"/>
  <c r="B218" i="2"/>
  <c r="A218" i="2"/>
  <c r="E217" i="2"/>
  <c r="F217" i="2" s="1"/>
  <c r="H217" i="2" s="1"/>
  <c r="D217" i="2"/>
  <c r="C217" i="2"/>
  <c r="G217" i="2" s="1"/>
  <c r="I217" i="2" s="1"/>
  <c r="B217" i="2"/>
  <c r="A217" i="2"/>
  <c r="E216" i="2"/>
  <c r="F216" i="2" s="1"/>
  <c r="D216" i="2"/>
  <c r="C216" i="2"/>
  <c r="B216" i="2"/>
  <c r="G216" i="2" s="1"/>
  <c r="I216" i="2" s="1"/>
  <c r="A216" i="2"/>
  <c r="I215" i="2"/>
  <c r="G215" i="2"/>
  <c r="H215" i="2" s="1"/>
  <c r="F215" i="2"/>
  <c r="E215" i="2"/>
  <c r="D215" i="2"/>
  <c r="C215" i="2"/>
  <c r="B215" i="2"/>
  <c r="A215" i="2"/>
  <c r="G214" i="2"/>
  <c r="I214" i="2" s="1"/>
  <c r="F214" i="2"/>
  <c r="E214" i="2"/>
  <c r="D214" i="2"/>
  <c r="C214" i="2"/>
  <c r="B214" i="2"/>
  <c r="A214" i="2"/>
  <c r="E213" i="2"/>
  <c r="F213" i="2" s="1"/>
  <c r="D213" i="2"/>
  <c r="C213" i="2"/>
  <c r="B213" i="2"/>
  <c r="G213" i="2" s="1"/>
  <c r="I213" i="2" s="1"/>
  <c r="A213" i="2"/>
  <c r="I212" i="2"/>
  <c r="E212" i="2"/>
  <c r="F212" i="2" s="1"/>
  <c r="D212" i="2"/>
  <c r="C212" i="2"/>
  <c r="B212" i="2"/>
  <c r="G212" i="2" s="1"/>
  <c r="A212" i="2"/>
  <c r="G211" i="2"/>
  <c r="I211" i="2" s="1"/>
  <c r="E211" i="2"/>
  <c r="F211" i="2" s="1"/>
  <c r="D211" i="2"/>
  <c r="C211" i="2"/>
  <c r="B211" i="2"/>
  <c r="A211" i="2"/>
  <c r="G210" i="2"/>
  <c r="I210" i="2" s="1"/>
  <c r="E210" i="2"/>
  <c r="F210" i="2" s="1"/>
  <c r="D210" i="2"/>
  <c r="C210" i="2"/>
  <c r="B210" i="2"/>
  <c r="A210" i="2"/>
  <c r="E209" i="2"/>
  <c r="F209" i="2" s="1"/>
  <c r="D209" i="2"/>
  <c r="C209" i="2"/>
  <c r="B209" i="2"/>
  <c r="G209" i="2" s="1"/>
  <c r="I209" i="2" s="1"/>
  <c r="A209" i="2"/>
  <c r="E208" i="2"/>
  <c r="F208" i="2" s="1"/>
  <c r="D208" i="2"/>
  <c r="C208" i="2"/>
  <c r="B208" i="2"/>
  <c r="G208" i="2" s="1"/>
  <c r="I208" i="2" s="1"/>
  <c r="A208" i="2"/>
  <c r="G207" i="2"/>
  <c r="I207" i="2" s="1"/>
  <c r="E207" i="2"/>
  <c r="F207" i="2" s="1"/>
  <c r="D207" i="2"/>
  <c r="C207" i="2"/>
  <c r="B207" i="2"/>
  <c r="A207" i="2"/>
  <c r="G206" i="2"/>
  <c r="I206" i="2" s="1"/>
  <c r="E206" i="2"/>
  <c r="F206" i="2" s="1"/>
  <c r="D206" i="2"/>
  <c r="C206" i="2"/>
  <c r="B206" i="2"/>
  <c r="A206" i="2"/>
  <c r="E205" i="2"/>
  <c r="F205" i="2" s="1"/>
  <c r="H205" i="2" s="1"/>
  <c r="D205" i="2"/>
  <c r="C205" i="2"/>
  <c r="B205" i="2"/>
  <c r="G205" i="2" s="1"/>
  <c r="I205" i="2" s="1"/>
  <c r="A205" i="2"/>
  <c r="E204" i="2"/>
  <c r="F204" i="2" s="1"/>
  <c r="D204" i="2"/>
  <c r="C204" i="2"/>
  <c r="B204" i="2"/>
  <c r="G204" i="2" s="1"/>
  <c r="I204" i="2" s="1"/>
  <c r="A204" i="2"/>
  <c r="G203" i="2"/>
  <c r="I203" i="2" s="1"/>
  <c r="E203" i="2"/>
  <c r="F203" i="2" s="1"/>
  <c r="D203" i="2"/>
  <c r="C203" i="2"/>
  <c r="B203" i="2"/>
  <c r="A203" i="2"/>
  <c r="E202" i="2"/>
  <c r="F202" i="2" s="1"/>
  <c r="D202" i="2"/>
  <c r="C202" i="2"/>
  <c r="B202" i="2"/>
  <c r="G202" i="2" s="1"/>
  <c r="I202" i="2" s="1"/>
  <c r="A202" i="2"/>
  <c r="E201" i="2"/>
  <c r="F201" i="2" s="1"/>
  <c r="D201" i="2"/>
  <c r="C201" i="2"/>
  <c r="B201" i="2"/>
  <c r="G201" i="2" s="1"/>
  <c r="I201" i="2" s="1"/>
  <c r="A201" i="2"/>
  <c r="E200" i="2"/>
  <c r="F200" i="2" s="1"/>
  <c r="H200" i="2" s="1"/>
  <c r="D200" i="2"/>
  <c r="C200" i="2"/>
  <c r="B200" i="2"/>
  <c r="G200" i="2" s="1"/>
  <c r="I200" i="2" s="1"/>
  <c r="A200" i="2"/>
  <c r="G199" i="2"/>
  <c r="I199" i="2" s="1"/>
  <c r="E199" i="2"/>
  <c r="F199" i="2" s="1"/>
  <c r="D199" i="2"/>
  <c r="C199" i="2"/>
  <c r="B199" i="2"/>
  <c r="A199" i="2"/>
  <c r="E198" i="2"/>
  <c r="F198" i="2" s="1"/>
  <c r="D198" i="2"/>
  <c r="C198" i="2"/>
  <c r="B198" i="2"/>
  <c r="G198" i="2" s="1"/>
  <c r="I198" i="2" s="1"/>
  <c r="A198" i="2"/>
  <c r="E197" i="2"/>
  <c r="F197" i="2" s="1"/>
  <c r="D197" i="2"/>
  <c r="C197" i="2"/>
  <c r="B197" i="2"/>
  <c r="G197" i="2" s="1"/>
  <c r="I197" i="2" s="1"/>
  <c r="A197" i="2"/>
  <c r="E196" i="2"/>
  <c r="F196" i="2" s="1"/>
  <c r="H196" i="2" s="1"/>
  <c r="D196" i="2"/>
  <c r="C196" i="2"/>
  <c r="B196" i="2"/>
  <c r="G196" i="2" s="1"/>
  <c r="I196" i="2" s="1"/>
  <c r="A196" i="2"/>
  <c r="G195" i="2"/>
  <c r="I195" i="2" s="1"/>
  <c r="E195" i="2"/>
  <c r="F195" i="2" s="1"/>
  <c r="D195" i="2"/>
  <c r="C195" i="2"/>
  <c r="B195" i="2"/>
  <c r="A195" i="2"/>
  <c r="E194" i="2"/>
  <c r="F194" i="2" s="1"/>
  <c r="D194" i="2"/>
  <c r="C194" i="2"/>
  <c r="B194" i="2"/>
  <c r="G194" i="2" s="1"/>
  <c r="I194" i="2" s="1"/>
  <c r="A194" i="2"/>
  <c r="E193" i="2"/>
  <c r="F193" i="2" s="1"/>
  <c r="D193" i="2"/>
  <c r="C193" i="2"/>
  <c r="B193" i="2"/>
  <c r="G193" i="2" s="1"/>
  <c r="I193" i="2" s="1"/>
  <c r="A193" i="2"/>
  <c r="E192" i="2"/>
  <c r="F192" i="2" s="1"/>
  <c r="D192" i="2"/>
  <c r="C192" i="2"/>
  <c r="B192" i="2"/>
  <c r="G192" i="2" s="1"/>
  <c r="I192" i="2" s="1"/>
  <c r="A192" i="2"/>
  <c r="G191" i="2"/>
  <c r="I191" i="2" s="1"/>
  <c r="E191" i="2"/>
  <c r="F191" i="2" s="1"/>
  <c r="D191" i="2"/>
  <c r="C191" i="2"/>
  <c r="B191" i="2"/>
  <c r="A191" i="2"/>
  <c r="E190" i="2"/>
  <c r="F190" i="2" s="1"/>
  <c r="D190" i="2"/>
  <c r="C190" i="2"/>
  <c r="B190" i="2"/>
  <c r="G190" i="2" s="1"/>
  <c r="I190" i="2" s="1"/>
  <c r="A190" i="2"/>
  <c r="E189" i="2"/>
  <c r="F189" i="2" s="1"/>
  <c r="H189" i="2" s="1"/>
  <c r="D189" i="2"/>
  <c r="C189" i="2"/>
  <c r="B189" i="2"/>
  <c r="G189" i="2" s="1"/>
  <c r="I189" i="2" s="1"/>
  <c r="A189" i="2"/>
  <c r="E188" i="2"/>
  <c r="F188" i="2" s="1"/>
  <c r="D188" i="2"/>
  <c r="C188" i="2"/>
  <c r="B188" i="2"/>
  <c r="G188" i="2" s="1"/>
  <c r="I188" i="2" s="1"/>
  <c r="A188" i="2"/>
  <c r="G187" i="2"/>
  <c r="I187" i="2" s="1"/>
  <c r="E187" i="2"/>
  <c r="F187" i="2" s="1"/>
  <c r="D187" i="2"/>
  <c r="C187" i="2"/>
  <c r="B187" i="2"/>
  <c r="A187" i="2"/>
  <c r="E186" i="2"/>
  <c r="F186" i="2" s="1"/>
  <c r="D186" i="2"/>
  <c r="C186" i="2"/>
  <c r="B186" i="2"/>
  <c r="G186" i="2" s="1"/>
  <c r="I186" i="2" s="1"/>
  <c r="A186" i="2"/>
  <c r="E185" i="2"/>
  <c r="F185" i="2" s="1"/>
  <c r="D185" i="2"/>
  <c r="C185" i="2"/>
  <c r="B185" i="2"/>
  <c r="G185" i="2" s="1"/>
  <c r="I185" i="2" s="1"/>
  <c r="A185" i="2"/>
  <c r="E184" i="2"/>
  <c r="F184" i="2" s="1"/>
  <c r="D184" i="2"/>
  <c r="C184" i="2"/>
  <c r="B184" i="2"/>
  <c r="G184" i="2" s="1"/>
  <c r="I184" i="2" s="1"/>
  <c r="A184" i="2"/>
  <c r="G183" i="2"/>
  <c r="I183" i="2" s="1"/>
  <c r="E183" i="2"/>
  <c r="F183" i="2" s="1"/>
  <c r="D183" i="2"/>
  <c r="C183" i="2"/>
  <c r="B183" i="2"/>
  <c r="A183" i="2"/>
  <c r="G182" i="2"/>
  <c r="I182" i="2" s="1"/>
  <c r="E182" i="2"/>
  <c r="F182" i="2" s="1"/>
  <c r="D182" i="2"/>
  <c r="C182" i="2"/>
  <c r="B182" i="2"/>
  <c r="A182" i="2"/>
  <c r="E181" i="2"/>
  <c r="F181" i="2" s="1"/>
  <c r="D181" i="2"/>
  <c r="C181" i="2"/>
  <c r="B181" i="2"/>
  <c r="G181" i="2" s="1"/>
  <c r="I181" i="2" s="1"/>
  <c r="A181" i="2"/>
  <c r="E180" i="2"/>
  <c r="F180" i="2" s="1"/>
  <c r="D180" i="2"/>
  <c r="C180" i="2"/>
  <c r="B180" i="2"/>
  <c r="G180" i="2" s="1"/>
  <c r="I180" i="2" s="1"/>
  <c r="A180" i="2"/>
  <c r="G179" i="2"/>
  <c r="I179" i="2" s="1"/>
  <c r="E179" i="2"/>
  <c r="F179" i="2" s="1"/>
  <c r="H179" i="2" s="1"/>
  <c r="D179" i="2"/>
  <c r="C179" i="2"/>
  <c r="B179" i="2"/>
  <c r="A179" i="2"/>
  <c r="E178" i="2"/>
  <c r="F178" i="2" s="1"/>
  <c r="D178" i="2"/>
  <c r="C178" i="2"/>
  <c r="B178" i="2"/>
  <c r="G178" i="2" s="1"/>
  <c r="I178" i="2" s="1"/>
  <c r="A178" i="2"/>
  <c r="E177" i="2"/>
  <c r="F177" i="2" s="1"/>
  <c r="D177" i="2"/>
  <c r="C177" i="2"/>
  <c r="B177" i="2"/>
  <c r="G177" i="2" s="1"/>
  <c r="I177" i="2" s="1"/>
  <c r="A177" i="2"/>
  <c r="H176" i="2"/>
  <c r="E176" i="2"/>
  <c r="F176" i="2" s="1"/>
  <c r="D176" i="2"/>
  <c r="C176" i="2"/>
  <c r="B176" i="2"/>
  <c r="G176" i="2" s="1"/>
  <c r="I176" i="2" s="1"/>
  <c r="A176" i="2"/>
  <c r="G175" i="2"/>
  <c r="I175" i="2" s="1"/>
  <c r="E175" i="2"/>
  <c r="F175" i="2" s="1"/>
  <c r="D175" i="2"/>
  <c r="C175" i="2"/>
  <c r="B175" i="2"/>
  <c r="A175" i="2"/>
  <c r="G174" i="2"/>
  <c r="I174" i="2" s="1"/>
  <c r="E174" i="2"/>
  <c r="F174" i="2" s="1"/>
  <c r="D174" i="2"/>
  <c r="C174" i="2"/>
  <c r="B174" i="2"/>
  <c r="A174" i="2"/>
  <c r="E173" i="2"/>
  <c r="F173" i="2" s="1"/>
  <c r="D173" i="2"/>
  <c r="C173" i="2"/>
  <c r="B173" i="2"/>
  <c r="G173" i="2" s="1"/>
  <c r="I173" i="2" s="1"/>
  <c r="A173" i="2"/>
  <c r="E172" i="2"/>
  <c r="F172" i="2" s="1"/>
  <c r="D172" i="2"/>
  <c r="C172" i="2"/>
  <c r="B172" i="2"/>
  <c r="G172" i="2" s="1"/>
  <c r="I172" i="2" s="1"/>
  <c r="A172" i="2"/>
  <c r="G171" i="2"/>
  <c r="I171" i="2" s="1"/>
  <c r="E171" i="2"/>
  <c r="F171" i="2" s="1"/>
  <c r="D171" i="2"/>
  <c r="C171" i="2"/>
  <c r="B171" i="2"/>
  <c r="A171" i="2"/>
  <c r="G170" i="2"/>
  <c r="I170" i="2" s="1"/>
  <c r="E170" i="2"/>
  <c r="F170" i="2" s="1"/>
  <c r="H170" i="2" s="1"/>
  <c r="D170" i="2"/>
  <c r="C170" i="2"/>
  <c r="B170" i="2"/>
  <c r="A170" i="2"/>
  <c r="E169" i="2"/>
  <c r="F169" i="2" s="1"/>
  <c r="D169" i="2"/>
  <c r="C169" i="2"/>
  <c r="B169" i="2"/>
  <c r="G169" i="2" s="1"/>
  <c r="I169" i="2" s="1"/>
  <c r="A169" i="2"/>
  <c r="H168" i="2"/>
  <c r="E168" i="2"/>
  <c r="F168" i="2" s="1"/>
  <c r="D168" i="2"/>
  <c r="C168" i="2"/>
  <c r="B168" i="2"/>
  <c r="G168" i="2" s="1"/>
  <c r="I168" i="2" s="1"/>
  <c r="A168" i="2"/>
  <c r="G167" i="2"/>
  <c r="I167" i="2" s="1"/>
  <c r="E167" i="2"/>
  <c r="F167" i="2" s="1"/>
  <c r="D167" i="2"/>
  <c r="C167" i="2"/>
  <c r="B167" i="2"/>
  <c r="A167" i="2"/>
  <c r="G166" i="2"/>
  <c r="I166" i="2" s="1"/>
  <c r="E166" i="2"/>
  <c r="F166" i="2" s="1"/>
  <c r="D166" i="2"/>
  <c r="C166" i="2"/>
  <c r="B166" i="2"/>
  <c r="A166" i="2"/>
  <c r="E165" i="2"/>
  <c r="F165" i="2" s="1"/>
  <c r="D165" i="2"/>
  <c r="C165" i="2"/>
  <c r="B165" i="2"/>
  <c r="G165" i="2" s="1"/>
  <c r="I165" i="2" s="1"/>
  <c r="A165" i="2"/>
  <c r="E164" i="2"/>
  <c r="F164" i="2" s="1"/>
  <c r="D164" i="2"/>
  <c r="C164" i="2"/>
  <c r="B164" i="2"/>
  <c r="G164" i="2" s="1"/>
  <c r="I164" i="2" s="1"/>
  <c r="A164" i="2"/>
  <c r="G163" i="2"/>
  <c r="I163" i="2" s="1"/>
  <c r="E163" i="2"/>
  <c r="F163" i="2" s="1"/>
  <c r="H163" i="2" s="1"/>
  <c r="D163" i="2"/>
  <c r="C163" i="2"/>
  <c r="B163" i="2"/>
  <c r="A163" i="2"/>
  <c r="G162" i="2"/>
  <c r="I162" i="2" s="1"/>
  <c r="E162" i="2"/>
  <c r="F162" i="2" s="1"/>
  <c r="H162" i="2" s="1"/>
  <c r="D162" i="2"/>
  <c r="C162" i="2"/>
  <c r="B162" i="2"/>
  <c r="A162" i="2"/>
  <c r="E161" i="2"/>
  <c r="F161" i="2" s="1"/>
  <c r="H161" i="2" s="1"/>
  <c r="D161" i="2"/>
  <c r="C161" i="2"/>
  <c r="B161" i="2"/>
  <c r="G161" i="2" s="1"/>
  <c r="I161" i="2" s="1"/>
  <c r="A161" i="2"/>
  <c r="H160" i="2"/>
  <c r="E160" i="2"/>
  <c r="F160" i="2" s="1"/>
  <c r="D160" i="2"/>
  <c r="C160" i="2"/>
  <c r="B160" i="2"/>
  <c r="G160" i="2" s="1"/>
  <c r="I160" i="2" s="1"/>
  <c r="A160" i="2"/>
  <c r="G159" i="2"/>
  <c r="I159" i="2" s="1"/>
  <c r="E159" i="2"/>
  <c r="F159" i="2" s="1"/>
  <c r="D159" i="2"/>
  <c r="C159" i="2"/>
  <c r="B159" i="2"/>
  <c r="A159" i="2"/>
  <c r="G158" i="2"/>
  <c r="I158" i="2" s="1"/>
  <c r="E158" i="2"/>
  <c r="F158" i="2" s="1"/>
  <c r="D158" i="2"/>
  <c r="C158" i="2"/>
  <c r="B158" i="2"/>
  <c r="A158" i="2"/>
  <c r="E157" i="2"/>
  <c r="F157" i="2" s="1"/>
  <c r="H157" i="2" s="1"/>
  <c r="D157" i="2"/>
  <c r="C157" i="2"/>
  <c r="B157" i="2"/>
  <c r="G157" i="2" s="1"/>
  <c r="I157" i="2" s="1"/>
  <c r="A157" i="2"/>
  <c r="E156" i="2"/>
  <c r="F156" i="2" s="1"/>
  <c r="D156" i="2"/>
  <c r="C156" i="2"/>
  <c r="B156" i="2"/>
  <c r="G156" i="2" s="1"/>
  <c r="I156" i="2" s="1"/>
  <c r="A156" i="2"/>
  <c r="G155" i="2"/>
  <c r="I155" i="2" s="1"/>
  <c r="E155" i="2"/>
  <c r="F155" i="2" s="1"/>
  <c r="H155" i="2" s="1"/>
  <c r="D155" i="2"/>
  <c r="C155" i="2"/>
  <c r="B155" i="2"/>
  <c r="A155" i="2"/>
  <c r="E154" i="2"/>
  <c r="F154" i="2" s="1"/>
  <c r="D154" i="2"/>
  <c r="C154" i="2"/>
  <c r="B154" i="2"/>
  <c r="G154" i="2" s="1"/>
  <c r="I154" i="2" s="1"/>
  <c r="A154" i="2"/>
  <c r="E153" i="2"/>
  <c r="F153" i="2" s="1"/>
  <c r="D153" i="2"/>
  <c r="C153" i="2"/>
  <c r="B153" i="2"/>
  <c r="G153" i="2" s="1"/>
  <c r="I153" i="2" s="1"/>
  <c r="A153" i="2"/>
  <c r="E152" i="2"/>
  <c r="F152" i="2" s="1"/>
  <c r="H152" i="2" s="1"/>
  <c r="D152" i="2"/>
  <c r="C152" i="2"/>
  <c r="B152" i="2"/>
  <c r="G152" i="2" s="1"/>
  <c r="I152" i="2" s="1"/>
  <c r="A152" i="2"/>
  <c r="G151" i="2"/>
  <c r="I151" i="2" s="1"/>
  <c r="E151" i="2"/>
  <c r="F151" i="2" s="1"/>
  <c r="D151" i="2"/>
  <c r="C151" i="2"/>
  <c r="B151" i="2"/>
  <c r="A151" i="2"/>
  <c r="E150" i="2"/>
  <c r="F150" i="2" s="1"/>
  <c r="D150" i="2"/>
  <c r="C150" i="2"/>
  <c r="B150" i="2"/>
  <c r="G150" i="2" s="1"/>
  <c r="I150" i="2" s="1"/>
  <c r="A150" i="2"/>
  <c r="E149" i="2"/>
  <c r="F149" i="2" s="1"/>
  <c r="H149" i="2" s="1"/>
  <c r="D149" i="2"/>
  <c r="C149" i="2"/>
  <c r="B149" i="2"/>
  <c r="G149" i="2" s="1"/>
  <c r="I149" i="2" s="1"/>
  <c r="A149" i="2"/>
  <c r="E148" i="2"/>
  <c r="F148" i="2" s="1"/>
  <c r="D148" i="2"/>
  <c r="C148" i="2"/>
  <c r="B148" i="2"/>
  <c r="G148" i="2" s="1"/>
  <c r="I148" i="2" s="1"/>
  <c r="A148" i="2"/>
  <c r="G147" i="2"/>
  <c r="I147" i="2" s="1"/>
  <c r="E147" i="2"/>
  <c r="F147" i="2" s="1"/>
  <c r="D147" i="2"/>
  <c r="C147" i="2"/>
  <c r="B147" i="2"/>
  <c r="A147" i="2"/>
  <c r="E146" i="2"/>
  <c r="F146" i="2" s="1"/>
  <c r="D146" i="2"/>
  <c r="C146" i="2"/>
  <c r="B146" i="2"/>
  <c r="G146" i="2" s="1"/>
  <c r="I146" i="2" s="1"/>
  <c r="A146" i="2"/>
  <c r="E145" i="2"/>
  <c r="F145" i="2" s="1"/>
  <c r="D145" i="2"/>
  <c r="C145" i="2"/>
  <c r="B145" i="2"/>
  <c r="G145" i="2" s="1"/>
  <c r="I145" i="2" s="1"/>
  <c r="A145" i="2"/>
  <c r="E144" i="2"/>
  <c r="F144" i="2" s="1"/>
  <c r="D144" i="2"/>
  <c r="C144" i="2"/>
  <c r="B144" i="2"/>
  <c r="G144" i="2" s="1"/>
  <c r="I144" i="2" s="1"/>
  <c r="A144" i="2"/>
  <c r="G143" i="2"/>
  <c r="I143" i="2" s="1"/>
  <c r="E143" i="2"/>
  <c r="F143" i="2" s="1"/>
  <c r="D143" i="2"/>
  <c r="C143" i="2"/>
  <c r="B143" i="2"/>
  <c r="A143" i="2"/>
  <c r="E142" i="2"/>
  <c r="F142" i="2" s="1"/>
  <c r="D142" i="2"/>
  <c r="C142" i="2"/>
  <c r="B142" i="2"/>
  <c r="G142" i="2" s="1"/>
  <c r="I142" i="2" s="1"/>
  <c r="A142" i="2"/>
  <c r="E141" i="2"/>
  <c r="F141" i="2" s="1"/>
  <c r="H141" i="2" s="1"/>
  <c r="D141" i="2"/>
  <c r="C141" i="2"/>
  <c r="B141" i="2"/>
  <c r="G141" i="2" s="1"/>
  <c r="I141" i="2" s="1"/>
  <c r="A141" i="2"/>
  <c r="E140" i="2"/>
  <c r="F140" i="2" s="1"/>
  <c r="D140" i="2"/>
  <c r="C140" i="2"/>
  <c r="B140" i="2"/>
  <c r="G140" i="2" s="1"/>
  <c r="I140" i="2" s="1"/>
  <c r="A140" i="2"/>
  <c r="G139" i="2"/>
  <c r="I139" i="2" s="1"/>
  <c r="E139" i="2"/>
  <c r="F139" i="2" s="1"/>
  <c r="D139" i="2"/>
  <c r="C139" i="2"/>
  <c r="B139" i="2"/>
  <c r="A139" i="2"/>
  <c r="E138" i="2"/>
  <c r="F138" i="2" s="1"/>
  <c r="D138" i="2"/>
  <c r="C138" i="2"/>
  <c r="B138" i="2"/>
  <c r="G138" i="2" s="1"/>
  <c r="I138" i="2" s="1"/>
  <c r="A138" i="2"/>
  <c r="E137" i="2"/>
  <c r="F137" i="2" s="1"/>
  <c r="D137" i="2"/>
  <c r="C137" i="2"/>
  <c r="B137" i="2"/>
  <c r="G137" i="2" s="1"/>
  <c r="I137" i="2" s="1"/>
  <c r="A137" i="2"/>
  <c r="E136" i="2"/>
  <c r="F136" i="2" s="1"/>
  <c r="D136" i="2"/>
  <c r="C136" i="2"/>
  <c r="B136" i="2"/>
  <c r="G136" i="2" s="1"/>
  <c r="I136" i="2" s="1"/>
  <c r="A136" i="2"/>
  <c r="G135" i="2"/>
  <c r="I135" i="2" s="1"/>
  <c r="E135" i="2"/>
  <c r="F135" i="2" s="1"/>
  <c r="D135" i="2"/>
  <c r="C135" i="2"/>
  <c r="B135" i="2"/>
  <c r="A135" i="2"/>
  <c r="G134" i="2"/>
  <c r="I134" i="2" s="1"/>
  <c r="E134" i="2"/>
  <c r="F134" i="2" s="1"/>
  <c r="D134" i="2"/>
  <c r="C134" i="2"/>
  <c r="B134" i="2"/>
  <c r="A134" i="2"/>
  <c r="E133" i="2"/>
  <c r="F133" i="2" s="1"/>
  <c r="H133" i="2" s="1"/>
  <c r="D133" i="2"/>
  <c r="C133" i="2"/>
  <c r="B133" i="2"/>
  <c r="G133" i="2" s="1"/>
  <c r="I133" i="2" s="1"/>
  <c r="A133" i="2"/>
  <c r="E132" i="2"/>
  <c r="F132" i="2" s="1"/>
  <c r="H132" i="2" s="1"/>
  <c r="D132" i="2"/>
  <c r="C132" i="2"/>
  <c r="B132" i="2"/>
  <c r="G132" i="2" s="1"/>
  <c r="I132" i="2" s="1"/>
  <c r="A132" i="2"/>
  <c r="G131" i="2"/>
  <c r="I131" i="2" s="1"/>
  <c r="E131" i="2"/>
  <c r="F131" i="2" s="1"/>
  <c r="D131" i="2"/>
  <c r="C131" i="2"/>
  <c r="B131" i="2"/>
  <c r="A131" i="2"/>
  <c r="E130" i="2"/>
  <c r="F130" i="2" s="1"/>
  <c r="D130" i="2"/>
  <c r="C130" i="2"/>
  <c r="B130" i="2"/>
  <c r="G130" i="2" s="1"/>
  <c r="I130" i="2" s="1"/>
  <c r="A130" i="2"/>
  <c r="E129" i="2"/>
  <c r="F129" i="2" s="1"/>
  <c r="D129" i="2"/>
  <c r="C129" i="2"/>
  <c r="B129" i="2"/>
  <c r="G129" i="2" s="1"/>
  <c r="I129" i="2" s="1"/>
  <c r="A129" i="2"/>
  <c r="E128" i="2"/>
  <c r="F128" i="2" s="1"/>
  <c r="D128" i="2"/>
  <c r="C128" i="2"/>
  <c r="B128" i="2"/>
  <c r="G128" i="2" s="1"/>
  <c r="I128" i="2" s="1"/>
  <c r="A128" i="2"/>
  <c r="G127" i="2"/>
  <c r="I127" i="2" s="1"/>
  <c r="E127" i="2"/>
  <c r="F127" i="2" s="1"/>
  <c r="D127" i="2"/>
  <c r="C127" i="2"/>
  <c r="B127" i="2"/>
  <c r="A127" i="2"/>
  <c r="G126" i="2"/>
  <c r="I126" i="2" s="1"/>
  <c r="E126" i="2"/>
  <c r="F126" i="2" s="1"/>
  <c r="D126" i="2"/>
  <c r="C126" i="2"/>
  <c r="B126" i="2"/>
  <c r="A126" i="2"/>
  <c r="E125" i="2"/>
  <c r="F125" i="2" s="1"/>
  <c r="D125" i="2"/>
  <c r="C125" i="2"/>
  <c r="B125" i="2"/>
  <c r="G125" i="2" s="1"/>
  <c r="I125" i="2" s="1"/>
  <c r="A125" i="2"/>
  <c r="E124" i="2"/>
  <c r="F124" i="2" s="1"/>
  <c r="D124" i="2"/>
  <c r="C124" i="2"/>
  <c r="B124" i="2"/>
  <c r="G124" i="2" s="1"/>
  <c r="I124" i="2" s="1"/>
  <c r="A124" i="2"/>
  <c r="G123" i="2"/>
  <c r="I123" i="2" s="1"/>
  <c r="E123" i="2"/>
  <c r="F123" i="2" s="1"/>
  <c r="D123" i="2"/>
  <c r="C123" i="2"/>
  <c r="B123" i="2"/>
  <c r="A123" i="2"/>
  <c r="G122" i="2"/>
  <c r="I122" i="2" s="1"/>
  <c r="E122" i="2"/>
  <c r="F122" i="2" s="1"/>
  <c r="H122" i="2" s="1"/>
  <c r="D122" i="2"/>
  <c r="C122" i="2"/>
  <c r="B122" i="2"/>
  <c r="A122" i="2"/>
  <c r="E121" i="2"/>
  <c r="F121" i="2" s="1"/>
  <c r="D121" i="2"/>
  <c r="C121" i="2"/>
  <c r="B121" i="2"/>
  <c r="G121" i="2" s="1"/>
  <c r="I121" i="2" s="1"/>
  <c r="A121" i="2"/>
  <c r="E120" i="2"/>
  <c r="F120" i="2" s="1"/>
  <c r="D120" i="2"/>
  <c r="C120" i="2"/>
  <c r="B120" i="2"/>
  <c r="G120" i="2" s="1"/>
  <c r="I120" i="2" s="1"/>
  <c r="A120" i="2"/>
  <c r="G119" i="2"/>
  <c r="I119" i="2" s="1"/>
  <c r="E119" i="2"/>
  <c r="F119" i="2" s="1"/>
  <c r="D119" i="2"/>
  <c r="C119" i="2"/>
  <c r="B119" i="2"/>
  <c r="A119" i="2"/>
  <c r="G118" i="2"/>
  <c r="I118" i="2" s="1"/>
  <c r="E118" i="2"/>
  <c r="F118" i="2" s="1"/>
  <c r="D118" i="2"/>
  <c r="C118" i="2"/>
  <c r="B118" i="2"/>
  <c r="A118" i="2"/>
  <c r="E117" i="2"/>
  <c r="F117" i="2" s="1"/>
  <c r="H117" i="2" s="1"/>
  <c r="D117" i="2"/>
  <c r="C117" i="2"/>
  <c r="B117" i="2"/>
  <c r="G117" i="2" s="1"/>
  <c r="I117" i="2" s="1"/>
  <c r="A117" i="2"/>
  <c r="E116" i="2"/>
  <c r="F116" i="2" s="1"/>
  <c r="H116" i="2" s="1"/>
  <c r="D116" i="2"/>
  <c r="C116" i="2"/>
  <c r="B116" i="2"/>
  <c r="G116" i="2" s="1"/>
  <c r="I116" i="2" s="1"/>
  <c r="A116" i="2"/>
  <c r="G115" i="2"/>
  <c r="I115" i="2" s="1"/>
  <c r="E115" i="2"/>
  <c r="F115" i="2" s="1"/>
  <c r="H115" i="2" s="1"/>
  <c r="D115" i="2"/>
  <c r="C115" i="2"/>
  <c r="B115" i="2"/>
  <c r="A115" i="2"/>
  <c r="G114" i="2"/>
  <c r="I114" i="2" s="1"/>
  <c r="E114" i="2"/>
  <c r="F114" i="2" s="1"/>
  <c r="H114" i="2" s="1"/>
  <c r="D114" i="2"/>
  <c r="C114" i="2"/>
  <c r="B114" i="2"/>
  <c r="A114" i="2"/>
  <c r="E113" i="2"/>
  <c r="F113" i="2" s="1"/>
  <c r="D113" i="2"/>
  <c r="C113" i="2"/>
  <c r="B113" i="2"/>
  <c r="G113" i="2" s="1"/>
  <c r="I113" i="2" s="1"/>
  <c r="A113" i="2"/>
  <c r="H112" i="2"/>
  <c r="E112" i="2"/>
  <c r="F112" i="2" s="1"/>
  <c r="D112" i="2"/>
  <c r="C112" i="2"/>
  <c r="B112" i="2"/>
  <c r="G112" i="2" s="1"/>
  <c r="I112" i="2" s="1"/>
  <c r="A112" i="2"/>
  <c r="G111" i="2"/>
  <c r="I111" i="2" s="1"/>
  <c r="E111" i="2"/>
  <c r="F111" i="2" s="1"/>
  <c r="D111" i="2"/>
  <c r="C111" i="2"/>
  <c r="B111" i="2"/>
  <c r="A111" i="2"/>
  <c r="G110" i="2"/>
  <c r="I110" i="2" s="1"/>
  <c r="E110" i="2"/>
  <c r="F110" i="2" s="1"/>
  <c r="D110" i="2"/>
  <c r="C110" i="2"/>
  <c r="B110" i="2"/>
  <c r="A110" i="2"/>
  <c r="E109" i="2"/>
  <c r="F109" i="2" s="1"/>
  <c r="D109" i="2"/>
  <c r="C109" i="2"/>
  <c r="B109" i="2"/>
  <c r="G109" i="2" s="1"/>
  <c r="I109" i="2" s="1"/>
  <c r="A109" i="2"/>
  <c r="E108" i="2"/>
  <c r="F108" i="2" s="1"/>
  <c r="D108" i="2"/>
  <c r="C108" i="2"/>
  <c r="B108" i="2"/>
  <c r="G108" i="2" s="1"/>
  <c r="I108" i="2" s="1"/>
  <c r="A108" i="2"/>
  <c r="G107" i="2"/>
  <c r="I107" i="2" s="1"/>
  <c r="E107" i="2"/>
  <c r="F107" i="2" s="1"/>
  <c r="H107" i="2" s="1"/>
  <c r="D107" i="2"/>
  <c r="C107" i="2"/>
  <c r="B107" i="2"/>
  <c r="A107" i="2"/>
  <c r="E106" i="2"/>
  <c r="F106" i="2" s="1"/>
  <c r="D106" i="2"/>
  <c r="C106" i="2"/>
  <c r="B106" i="2"/>
  <c r="G106" i="2" s="1"/>
  <c r="I106" i="2" s="1"/>
  <c r="A106" i="2"/>
  <c r="E105" i="2"/>
  <c r="F105" i="2" s="1"/>
  <c r="D105" i="2"/>
  <c r="C105" i="2"/>
  <c r="B105" i="2"/>
  <c r="G105" i="2" s="1"/>
  <c r="I105" i="2" s="1"/>
  <c r="A105" i="2"/>
  <c r="E104" i="2"/>
  <c r="F104" i="2" s="1"/>
  <c r="H104" i="2" s="1"/>
  <c r="D104" i="2"/>
  <c r="C104" i="2"/>
  <c r="B104" i="2"/>
  <c r="G104" i="2" s="1"/>
  <c r="I104" i="2" s="1"/>
  <c r="A104" i="2"/>
  <c r="G103" i="2"/>
  <c r="I103" i="2" s="1"/>
  <c r="E103" i="2"/>
  <c r="F103" i="2" s="1"/>
  <c r="D103" i="2"/>
  <c r="C103" i="2"/>
  <c r="B103" i="2"/>
  <c r="A103" i="2"/>
  <c r="E102" i="2"/>
  <c r="F102" i="2" s="1"/>
  <c r="D102" i="2"/>
  <c r="C102" i="2"/>
  <c r="B102" i="2"/>
  <c r="G102" i="2" s="1"/>
  <c r="I102" i="2" s="1"/>
  <c r="A102" i="2"/>
  <c r="E101" i="2"/>
  <c r="F101" i="2" s="1"/>
  <c r="H101" i="2" s="1"/>
  <c r="D101" i="2"/>
  <c r="C101" i="2"/>
  <c r="B101" i="2"/>
  <c r="G101" i="2" s="1"/>
  <c r="I101" i="2" s="1"/>
  <c r="A101" i="2"/>
  <c r="E100" i="2"/>
  <c r="F100" i="2" s="1"/>
  <c r="D100" i="2"/>
  <c r="C100" i="2"/>
  <c r="B100" i="2"/>
  <c r="G100" i="2" s="1"/>
  <c r="I100" i="2" s="1"/>
  <c r="A100" i="2"/>
  <c r="G99" i="2"/>
  <c r="I99" i="2" s="1"/>
  <c r="E99" i="2"/>
  <c r="F99" i="2" s="1"/>
  <c r="D99" i="2"/>
  <c r="C99" i="2"/>
  <c r="B99" i="2"/>
  <c r="A99" i="2"/>
  <c r="E98" i="2"/>
  <c r="F98" i="2" s="1"/>
  <c r="D98" i="2"/>
  <c r="C98" i="2"/>
  <c r="B98" i="2"/>
  <c r="G98" i="2" s="1"/>
  <c r="I98" i="2" s="1"/>
  <c r="A98" i="2"/>
  <c r="E97" i="2"/>
  <c r="F97" i="2" s="1"/>
  <c r="D97" i="2"/>
  <c r="C97" i="2"/>
  <c r="B97" i="2"/>
  <c r="G97" i="2" s="1"/>
  <c r="I97" i="2" s="1"/>
  <c r="A97" i="2"/>
  <c r="E96" i="2"/>
  <c r="F96" i="2" s="1"/>
  <c r="D96" i="2"/>
  <c r="C96" i="2"/>
  <c r="B96" i="2"/>
  <c r="G96" i="2" s="1"/>
  <c r="I96" i="2" s="1"/>
  <c r="A96" i="2"/>
  <c r="G95" i="2"/>
  <c r="I95" i="2" s="1"/>
  <c r="E95" i="2"/>
  <c r="F95" i="2" s="1"/>
  <c r="D95" i="2"/>
  <c r="C95" i="2"/>
  <c r="B95" i="2"/>
  <c r="A95" i="2"/>
  <c r="E94" i="2"/>
  <c r="F94" i="2" s="1"/>
  <c r="D94" i="2"/>
  <c r="C94" i="2"/>
  <c r="B94" i="2"/>
  <c r="G94" i="2" s="1"/>
  <c r="I94" i="2" s="1"/>
  <c r="A94" i="2"/>
  <c r="E93" i="2"/>
  <c r="F93" i="2" s="1"/>
  <c r="D93" i="2"/>
  <c r="C93" i="2"/>
  <c r="B93" i="2"/>
  <c r="G93" i="2" s="1"/>
  <c r="I93" i="2" s="1"/>
  <c r="A93" i="2"/>
  <c r="E92" i="2"/>
  <c r="F92" i="2" s="1"/>
  <c r="D92" i="2"/>
  <c r="C92" i="2"/>
  <c r="B92" i="2"/>
  <c r="G92" i="2" s="1"/>
  <c r="I92" i="2" s="1"/>
  <c r="A92" i="2"/>
  <c r="G91" i="2"/>
  <c r="I91" i="2" s="1"/>
  <c r="E91" i="2"/>
  <c r="F91" i="2" s="1"/>
  <c r="H91" i="2" s="1"/>
  <c r="D91" i="2"/>
  <c r="C91" i="2"/>
  <c r="B91" i="2"/>
  <c r="A91" i="2"/>
  <c r="E90" i="2"/>
  <c r="F90" i="2" s="1"/>
  <c r="D90" i="2"/>
  <c r="C90" i="2"/>
  <c r="B90" i="2"/>
  <c r="G90" i="2" s="1"/>
  <c r="I90" i="2" s="1"/>
  <c r="A90" i="2"/>
  <c r="E89" i="2"/>
  <c r="F89" i="2" s="1"/>
  <c r="D89" i="2"/>
  <c r="C89" i="2"/>
  <c r="B89" i="2"/>
  <c r="G89" i="2" s="1"/>
  <c r="I89" i="2" s="1"/>
  <c r="A89" i="2"/>
  <c r="H88" i="2"/>
  <c r="E88" i="2"/>
  <c r="F88" i="2" s="1"/>
  <c r="D88" i="2"/>
  <c r="C88" i="2"/>
  <c r="B88" i="2"/>
  <c r="G88" i="2" s="1"/>
  <c r="I88" i="2" s="1"/>
  <c r="A88" i="2"/>
  <c r="G87" i="2"/>
  <c r="I87" i="2" s="1"/>
  <c r="E87" i="2"/>
  <c r="F87" i="2" s="1"/>
  <c r="D87" i="2"/>
  <c r="C87" i="2"/>
  <c r="B87" i="2"/>
  <c r="A87" i="2"/>
  <c r="G86" i="2"/>
  <c r="I86" i="2" s="1"/>
  <c r="E86" i="2"/>
  <c r="F86" i="2" s="1"/>
  <c r="D86" i="2"/>
  <c r="C86" i="2"/>
  <c r="B86" i="2"/>
  <c r="A86" i="2"/>
  <c r="E85" i="2"/>
  <c r="F85" i="2" s="1"/>
  <c r="H85" i="2" s="1"/>
  <c r="D85" i="2"/>
  <c r="C85" i="2"/>
  <c r="B85" i="2"/>
  <c r="G85" i="2" s="1"/>
  <c r="I85" i="2" s="1"/>
  <c r="A85" i="2"/>
  <c r="E84" i="2"/>
  <c r="F84" i="2" s="1"/>
  <c r="D84" i="2"/>
  <c r="C84" i="2"/>
  <c r="B84" i="2"/>
  <c r="G84" i="2" s="1"/>
  <c r="I84" i="2" s="1"/>
  <c r="A84" i="2"/>
  <c r="G83" i="2"/>
  <c r="I83" i="2" s="1"/>
  <c r="E83" i="2"/>
  <c r="F83" i="2" s="1"/>
  <c r="D83" i="2"/>
  <c r="C83" i="2"/>
  <c r="B83" i="2"/>
  <c r="A83" i="2"/>
  <c r="E82" i="2"/>
  <c r="F82" i="2" s="1"/>
  <c r="D82" i="2"/>
  <c r="C82" i="2"/>
  <c r="B82" i="2"/>
  <c r="G82" i="2" s="1"/>
  <c r="I82" i="2" s="1"/>
  <c r="A82" i="2"/>
  <c r="E81" i="2"/>
  <c r="F81" i="2" s="1"/>
  <c r="D81" i="2"/>
  <c r="C81" i="2"/>
  <c r="B81" i="2"/>
  <c r="G81" i="2" s="1"/>
  <c r="I81" i="2" s="1"/>
  <c r="A81" i="2"/>
  <c r="E80" i="2"/>
  <c r="F80" i="2" s="1"/>
  <c r="D80" i="2"/>
  <c r="C80" i="2"/>
  <c r="B80" i="2"/>
  <c r="G80" i="2" s="1"/>
  <c r="I80" i="2" s="1"/>
  <c r="A80" i="2"/>
  <c r="G79" i="2"/>
  <c r="I79" i="2" s="1"/>
  <c r="E79" i="2"/>
  <c r="F79" i="2" s="1"/>
  <c r="D79" i="2"/>
  <c r="C79" i="2"/>
  <c r="B79" i="2"/>
  <c r="A79" i="2"/>
  <c r="G78" i="2"/>
  <c r="I78" i="2" s="1"/>
  <c r="E78" i="2"/>
  <c r="F78" i="2" s="1"/>
  <c r="D78" i="2"/>
  <c r="C78" i="2"/>
  <c r="B78" i="2"/>
  <c r="A78" i="2"/>
  <c r="E77" i="2"/>
  <c r="F77" i="2" s="1"/>
  <c r="D77" i="2"/>
  <c r="C77" i="2"/>
  <c r="B77" i="2"/>
  <c r="G77" i="2" s="1"/>
  <c r="I77" i="2" s="1"/>
  <c r="A77" i="2"/>
  <c r="E76" i="2"/>
  <c r="F76" i="2" s="1"/>
  <c r="D76" i="2"/>
  <c r="C76" i="2"/>
  <c r="B76" i="2"/>
  <c r="G76" i="2" s="1"/>
  <c r="I76" i="2" s="1"/>
  <c r="A76" i="2"/>
  <c r="G75" i="2"/>
  <c r="I75" i="2" s="1"/>
  <c r="E75" i="2"/>
  <c r="F75" i="2" s="1"/>
  <c r="D75" i="2"/>
  <c r="C75" i="2"/>
  <c r="B75" i="2"/>
  <c r="A75" i="2"/>
  <c r="G74" i="2"/>
  <c r="I74" i="2" s="1"/>
  <c r="E74" i="2"/>
  <c r="F74" i="2" s="1"/>
  <c r="D74" i="2"/>
  <c r="C74" i="2"/>
  <c r="B74" i="2"/>
  <c r="A74" i="2"/>
  <c r="E73" i="2"/>
  <c r="F73" i="2" s="1"/>
  <c r="D73" i="2"/>
  <c r="C73" i="2"/>
  <c r="B73" i="2"/>
  <c r="G73" i="2" s="1"/>
  <c r="I73" i="2" s="1"/>
  <c r="A73" i="2"/>
  <c r="E72" i="2"/>
  <c r="F72" i="2" s="1"/>
  <c r="D72" i="2"/>
  <c r="C72" i="2"/>
  <c r="B72" i="2"/>
  <c r="G72" i="2" s="1"/>
  <c r="I72" i="2" s="1"/>
  <c r="A72" i="2"/>
  <c r="G71" i="2"/>
  <c r="I71" i="2" s="1"/>
  <c r="E71" i="2"/>
  <c r="F71" i="2" s="1"/>
  <c r="D71" i="2"/>
  <c r="C71" i="2"/>
  <c r="B71" i="2"/>
  <c r="A71" i="2"/>
  <c r="G70" i="2"/>
  <c r="I70" i="2" s="1"/>
  <c r="E70" i="2"/>
  <c r="F70" i="2" s="1"/>
  <c r="D70" i="2"/>
  <c r="C70" i="2"/>
  <c r="B70" i="2"/>
  <c r="A70" i="2"/>
  <c r="E69" i="2"/>
  <c r="F69" i="2" s="1"/>
  <c r="D69" i="2"/>
  <c r="C69" i="2"/>
  <c r="B69" i="2"/>
  <c r="G69" i="2" s="1"/>
  <c r="I69" i="2" s="1"/>
  <c r="A69" i="2"/>
  <c r="E68" i="2"/>
  <c r="F68" i="2" s="1"/>
  <c r="H68" i="2" s="1"/>
  <c r="D68" i="2"/>
  <c r="C68" i="2"/>
  <c r="B68" i="2"/>
  <c r="G68" i="2" s="1"/>
  <c r="I68" i="2" s="1"/>
  <c r="A68" i="2"/>
  <c r="G67" i="2"/>
  <c r="I67" i="2" s="1"/>
  <c r="E67" i="2"/>
  <c r="F67" i="2" s="1"/>
  <c r="D67" i="2"/>
  <c r="C67" i="2"/>
  <c r="B67" i="2"/>
  <c r="A67" i="2"/>
  <c r="G66" i="2"/>
  <c r="I66" i="2" s="1"/>
  <c r="E66" i="2"/>
  <c r="F66" i="2" s="1"/>
  <c r="H66" i="2" s="1"/>
  <c r="D66" i="2"/>
  <c r="C66" i="2"/>
  <c r="B66" i="2"/>
  <c r="A66" i="2"/>
  <c r="E65" i="2"/>
  <c r="F65" i="2" s="1"/>
  <c r="D65" i="2"/>
  <c r="C65" i="2"/>
  <c r="B65" i="2"/>
  <c r="G65" i="2" s="1"/>
  <c r="I65" i="2" s="1"/>
  <c r="A65" i="2"/>
  <c r="E64" i="2"/>
  <c r="F64" i="2" s="1"/>
  <c r="D64" i="2"/>
  <c r="C64" i="2"/>
  <c r="B64" i="2"/>
  <c r="G64" i="2" s="1"/>
  <c r="I64" i="2" s="1"/>
  <c r="A64" i="2"/>
  <c r="G63" i="2"/>
  <c r="I63" i="2" s="1"/>
  <c r="E63" i="2"/>
  <c r="F63" i="2" s="1"/>
  <c r="D63" i="2"/>
  <c r="C63" i="2"/>
  <c r="B63" i="2"/>
  <c r="A63" i="2"/>
  <c r="G62" i="2"/>
  <c r="I62" i="2" s="1"/>
  <c r="E62" i="2"/>
  <c r="F62" i="2" s="1"/>
  <c r="D62" i="2"/>
  <c r="C62" i="2"/>
  <c r="B62" i="2"/>
  <c r="A62" i="2"/>
  <c r="E61" i="2"/>
  <c r="F61" i="2" s="1"/>
  <c r="H61" i="2" s="1"/>
  <c r="D61" i="2"/>
  <c r="C61" i="2"/>
  <c r="B61" i="2"/>
  <c r="G61" i="2" s="1"/>
  <c r="I61" i="2" s="1"/>
  <c r="A61" i="2"/>
  <c r="E60" i="2"/>
  <c r="F60" i="2" s="1"/>
  <c r="D60" i="2"/>
  <c r="C60" i="2"/>
  <c r="B60" i="2"/>
  <c r="G60" i="2" s="1"/>
  <c r="I60" i="2" s="1"/>
  <c r="A60" i="2"/>
  <c r="G59" i="2"/>
  <c r="I59" i="2" s="1"/>
  <c r="E59" i="2"/>
  <c r="F59" i="2" s="1"/>
  <c r="D59" i="2"/>
  <c r="C59" i="2"/>
  <c r="B59" i="2"/>
  <c r="A59" i="2"/>
  <c r="E58" i="2"/>
  <c r="F58" i="2" s="1"/>
  <c r="D58" i="2"/>
  <c r="C58" i="2"/>
  <c r="B58" i="2"/>
  <c r="G58" i="2" s="1"/>
  <c r="I58" i="2" s="1"/>
  <c r="A58" i="2"/>
  <c r="E57" i="2"/>
  <c r="F57" i="2" s="1"/>
  <c r="D57" i="2"/>
  <c r="C57" i="2"/>
  <c r="B57" i="2"/>
  <c r="G57" i="2" s="1"/>
  <c r="I57" i="2" s="1"/>
  <c r="A57" i="2"/>
  <c r="E56" i="2"/>
  <c r="F56" i="2" s="1"/>
  <c r="D56" i="2"/>
  <c r="C56" i="2"/>
  <c r="B56" i="2"/>
  <c r="G56" i="2" s="1"/>
  <c r="I56" i="2" s="1"/>
  <c r="A56" i="2"/>
  <c r="G55" i="2"/>
  <c r="I55" i="2" s="1"/>
  <c r="E55" i="2"/>
  <c r="F55" i="2" s="1"/>
  <c r="D55" i="2"/>
  <c r="C55" i="2"/>
  <c r="B55" i="2"/>
  <c r="A55" i="2"/>
  <c r="E54" i="2"/>
  <c r="F54" i="2" s="1"/>
  <c r="D54" i="2"/>
  <c r="C54" i="2"/>
  <c r="B54" i="2"/>
  <c r="G54" i="2" s="1"/>
  <c r="I54" i="2" s="1"/>
  <c r="A54" i="2"/>
  <c r="E53" i="2"/>
  <c r="F53" i="2" s="1"/>
  <c r="H53" i="2" s="1"/>
  <c r="D53" i="2"/>
  <c r="C53" i="2"/>
  <c r="B53" i="2"/>
  <c r="G53" i="2" s="1"/>
  <c r="I53" i="2" s="1"/>
  <c r="A53" i="2"/>
  <c r="E52" i="2"/>
  <c r="F52" i="2" s="1"/>
  <c r="D52" i="2"/>
  <c r="C52" i="2"/>
  <c r="B52" i="2"/>
  <c r="G52" i="2" s="1"/>
  <c r="I52" i="2" s="1"/>
  <c r="A52" i="2"/>
  <c r="G51" i="2"/>
  <c r="I51" i="2" s="1"/>
  <c r="E51" i="2"/>
  <c r="F51" i="2" s="1"/>
  <c r="D51" i="2"/>
  <c r="C51" i="2"/>
  <c r="B51" i="2"/>
  <c r="A51" i="2"/>
  <c r="E50" i="2"/>
  <c r="F50" i="2" s="1"/>
  <c r="D50" i="2"/>
  <c r="C50" i="2"/>
  <c r="B50" i="2"/>
  <c r="G50" i="2" s="1"/>
  <c r="I50" i="2" s="1"/>
  <c r="A50" i="2"/>
  <c r="E49" i="2"/>
  <c r="F49" i="2" s="1"/>
  <c r="D49" i="2"/>
  <c r="C49" i="2"/>
  <c r="B49" i="2"/>
  <c r="G49" i="2" s="1"/>
  <c r="I49" i="2" s="1"/>
  <c r="A49" i="2"/>
  <c r="E48" i="2"/>
  <c r="F48" i="2" s="1"/>
  <c r="H48" i="2" s="1"/>
  <c r="D48" i="2"/>
  <c r="C48" i="2"/>
  <c r="B48" i="2"/>
  <c r="G48" i="2" s="1"/>
  <c r="I48" i="2" s="1"/>
  <c r="A48" i="2"/>
  <c r="G47" i="2"/>
  <c r="I47" i="2" s="1"/>
  <c r="E47" i="2"/>
  <c r="F47" i="2" s="1"/>
  <c r="D47" i="2"/>
  <c r="C47" i="2"/>
  <c r="B47" i="2"/>
  <c r="A47" i="2"/>
  <c r="E46" i="2"/>
  <c r="F46" i="2" s="1"/>
  <c r="D46" i="2"/>
  <c r="C46" i="2"/>
  <c r="B46" i="2"/>
  <c r="G46" i="2" s="1"/>
  <c r="I46" i="2" s="1"/>
  <c r="A46" i="2"/>
  <c r="E45" i="2"/>
  <c r="F45" i="2" s="1"/>
  <c r="H45" i="2" s="1"/>
  <c r="D45" i="2"/>
  <c r="C45" i="2"/>
  <c r="B45" i="2"/>
  <c r="G45" i="2" s="1"/>
  <c r="I45" i="2" s="1"/>
  <c r="A45" i="2"/>
  <c r="E44" i="2"/>
  <c r="F44" i="2" s="1"/>
  <c r="D44" i="2"/>
  <c r="C44" i="2"/>
  <c r="B44" i="2"/>
  <c r="G44" i="2" s="1"/>
  <c r="I44" i="2" s="1"/>
  <c r="A44" i="2"/>
  <c r="G43" i="2"/>
  <c r="I43" i="2" s="1"/>
  <c r="E43" i="2"/>
  <c r="F43" i="2" s="1"/>
  <c r="D43" i="2"/>
  <c r="C43" i="2"/>
  <c r="B43" i="2"/>
  <c r="A43" i="2"/>
  <c r="E42" i="2"/>
  <c r="F42" i="2" s="1"/>
  <c r="D42" i="2"/>
  <c r="C42" i="2"/>
  <c r="B42" i="2"/>
  <c r="G42" i="2" s="1"/>
  <c r="I42" i="2" s="1"/>
  <c r="A42" i="2"/>
  <c r="E41" i="2"/>
  <c r="F41" i="2" s="1"/>
  <c r="D41" i="2"/>
  <c r="C41" i="2"/>
  <c r="B41" i="2"/>
  <c r="G41" i="2" s="1"/>
  <c r="I41" i="2" s="1"/>
  <c r="A41" i="2"/>
  <c r="E40" i="2"/>
  <c r="F40" i="2" s="1"/>
  <c r="D40" i="2"/>
  <c r="C40" i="2"/>
  <c r="B40" i="2"/>
  <c r="G40" i="2" s="1"/>
  <c r="I40" i="2" s="1"/>
  <c r="A40" i="2"/>
  <c r="G39" i="2"/>
  <c r="I39" i="2" s="1"/>
  <c r="E39" i="2"/>
  <c r="F39" i="2" s="1"/>
  <c r="D39" i="2"/>
  <c r="C39" i="2"/>
  <c r="B39" i="2"/>
  <c r="A39" i="2"/>
  <c r="G38" i="2"/>
  <c r="I38" i="2" s="1"/>
  <c r="E38" i="2"/>
  <c r="F38" i="2" s="1"/>
  <c r="D38" i="2"/>
  <c r="C38" i="2"/>
  <c r="B38" i="2"/>
  <c r="A38" i="2"/>
  <c r="E37" i="2"/>
  <c r="F37" i="2" s="1"/>
  <c r="H37" i="2" s="1"/>
  <c r="D37" i="2"/>
  <c r="C37" i="2"/>
  <c r="B37" i="2"/>
  <c r="G37" i="2" s="1"/>
  <c r="I37" i="2" s="1"/>
  <c r="A37" i="2"/>
  <c r="E36" i="2"/>
  <c r="F36" i="2" s="1"/>
  <c r="D36" i="2"/>
  <c r="C36" i="2"/>
  <c r="B36" i="2"/>
  <c r="G36" i="2" s="1"/>
  <c r="I36" i="2" s="1"/>
  <c r="A36" i="2"/>
  <c r="G35" i="2"/>
  <c r="I35" i="2" s="1"/>
  <c r="E35" i="2"/>
  <c r="F35" i="2" s="1"/>
  <c r="D35" i="2"/>
  <c r="C35" i="2"/>
  <c r="B35" i="2"/>
  <c r="A35" i="2"/>
  <c r="E34" i="2"/>
  <c r="F34" i="2" s="1"/>
  <c r="D34" i="2"/>
  <c r="C34" i="2"/>
  <c r="B34" i="2"/>
  <c r="G34" i="2" s="1"/>
  <c r="I34" i="2" s="1"/>
  <c r="A34" i="2"/>
  <c r="E33" i="2"/>
  <c r="F33" i="2" s="1"/>
  <c r="D33" i="2"/>
  <c r="C33" i="2"/>
  <c r="B33" i="2"/>
  <c r="G33" i="2" s="1"/>
  <c r="I33" i="2" s="1"/>
  <c r="A33" i="2"/>
  <c r="H32" i="2"/>
  <c r="E32" i="2"/>
  <c r="F32" i="2" s="1"/>
  <c r="D32" i="2"/>
  <c r="C32" i="2"/>
  <c r="B32" i="2"/>
  <c r="G32" i="2" s="1"/>
  <c r="I32" i="2" s="1"/>
  <c r="A32" i="2"/>
  <c r="G31" i="2"/>
  <c r="I31" i="2" s="1"/>
  <c r="E31" i="2"/>
  <c r="F31" i="2" s="1"/>
  <c r="D31" i="2"/>
  <c r="C31" i="2"/>
  <c r="B31" i="2"/>
  <c r="A31" i="2"/>
  <c r="G30" i="2"/>
  <c r="I30" i="2" s="1"/>
  <c r="E30" i="2"/>
  <c r="F30" i="2" s="1"/>
  <c r="D30" i="2"/>
  <c r="C30" i="2"/>
  <c r="B30" i="2"/>
  <c r="A30" i="2"/>
  <c r="E29" i="2"/>
  <c r="F29" i="2" s="1"/>
  <c r="D29" i="2"/>
  <c r="C29" i="2"/>
  <c r="B29" i="2"/>
  <c r="G29" i="2" s="1"/>
  <c r="I29" i="2" s="1"/>
  <c r="A29" i="2"/>
  <c r="E28" i="2"/>
  <c r="F28" i="2" s="1"/>
  <c r="D28" i="2"/>
  <c r="C28" i="2"/>
  <c r="B28" i="2"/>
  <c r="G28" i="2" s="1"/>
  <c r="I28" i="2" s="1"/>
  <c r="A28" i="2"/>
  <c r="G27" i="2"/>
  <c r="I27" i="2" s="1"/>
  <c r="E27" i="2"/>
  <c r="F27" i="2" s="1"/>
  <c r="D27" i="2"/>
  <c r="C27" i="2"/>
  <c r="B27" i="2"/>
  <c r="A27" i="2"/>
  <c r="G26" i="2"/>
  <c r="I26" i="2" s="1"/>
  <c r="E26" i="2"/>
  <c r="F26" i="2" s="1"/>
  <c r="D26" i="2"/>
  <c r="C26" i="2"/>
  <c r="B26" i="2"/>
  <c r="A26" i="2"/>
  <c r="E25" i="2"/>
  <c r="F25" i="2" s="1"/>
  <c r="D25" i="2"/>
  <c r="C25" i="2"/>
  <c r="B25" i="2"/>
  <c r="G25" i="2" s="1"/>
  <c r="I25" i="2" s="1"/>
  <c r="A25" i="2"/>
  <c r="H24" i="2"/>
  <c r="E24" i="2"/>
  <c r="F24" i="2" s="1"/>
  <c r="D24" i="2"/>
  <c r="C24" i="2"/>
  <c r="B24" i="2"/>
  <c r="G24" i="2" s="1"/>
  <c r="I24" i="2" s="1"/>
  <c r="A24" i="2"/>
  <c r="G23" i="2"/>
  <c r="I23" i="2" s="1"/>
  <c r="E23" i="2"/>
  <c r="F23" i="2" s="1"/>
  <c r="D23" i="2"/>
  <c r="C23" i="2"/>
  <c r="B23" i="2"/>
  <c r="A23" i="2"/>
  <c r="G22" i="2"/>
  <c r="I22" i="2" s="1"/>
  <c r="E22" i="2"/>
  <c r="F22" i="2" s="1"/>
  <c r="D22" i="2"/>
  <c r="C22" i="2"/>
  <c r="B22" i="2"/>
  <c r="A22" i="2"/>
  <c r="E21" i="2"/>
  <c r="F21" i="2" s="1"/>
  <c r="D21" i="2"/>
  <c r="C21" i="2"/>
  <c r="B21" i="2"/>
  <c r="G21" i="2" s="1"/>
  <c r="I21" i="2" s="1"/>
  <c r="A21" i="2"/>
  <c r="E20" i="2"/>
  <c r="F20" i="2" s="1"/>
  <c r="H20" i="2" s="1"/>
  <c r="D20" i="2"/>
  <c r="C20" i="2"/>
  <c r="B20" i="2"/>
  <c r="G20" i="2" s="1"/>
  <c r="I20" i="2" s="1"/>
  <c r="A20" i="2"/>
  <c r="G19" i="2"/>
  <c r="I19" i="2" s="1"/>
  <c r="E19" i="2"/>
  <c r="F19" i="2" s="1"/>
  <c r="H19" i="2" s="1"/>
  <c r="D19" i="2"/>
  <c r="C19" i="2"/>
  <c r="B19" i="2"/>
  <c r="A19" i="2"/>
  <c r="G18" i="2"/>
  <c r="I18" i="2" s="1"/>
  <c r="E18" i="2"/>
  <c r="F18" i="2" s="1"/>
  <c r="H18" i="2" s="1"/>
  <c r="D18" i="2"/>
  <c r="C18" i="2"/>
  <c r="B18" i="2"/>
  <c r="A18" i="2"/>
  <c r="E17" i="2"/>
  <c r="F17" i="2" s="1"/>
  <c r="D17" i="2"/>
  <c r="C17" i="2"/>
  <c r="B17" i="2"/>
  <c r="G17" i="2" s="1"/>
  <c r="I17" i="2" s="1"/>
  <c r="A17" i="2"/>
  <c r="E16" i="2"/>
  <c r="F16" i="2" s="1"/>
  <c r="D16" i="2"/>
  <c r="C16" i="2"/>
  <c r="B16" i="2"/>
  <c r="G16" i="2" s="1"/>
  <c r="I16" i="2" s="1"/>
  <c r="A16" i="2"/>
  <c r="G15" i="2"/>
  <c r="I15" i="2" s="1"/>
  <c r="E15" i="2"/>
  <c r="F15" i="2" s="1"/>
  <c r="D15" i="2"/>
  <c r="C15" i="2"/>
  <c r="B15" i="2"/>
  <c r="A15" i="2"/>
  <c r="G14" i="2"/>
  <c r="I14" i="2" s="1"/>
  <c r="E14" i="2"/>
  <c r="F14" i="2" s="1"/>
  <c r="D14" i="2"/>
  <c r="C14" i="2"/>
  <c r="B14" i="2"/>
  <c r="A14" i="2"/>
  <c r="E13" i="2"/>
  <c r="F13" i="2" s="1"/>
  <c r="H13" i="2" s="1"/>
  <c r="D13" i="2"/>
  <c r="C13" i="2"/>
  <c r="B13" i="2"/>
  <c r="G13" i="2" s="1"/>
  <c r="I13" i="2" s="1"/>
  <c r="A13" i="2"/>
  <c r="E12" i="2"/>
  <c r="F12" i="2" s="1"/>
  <c r="D12" i="2"/>
  <c r="C12" i="2"/>
  <c r="B12" i="2"/>
  <c r="G12" i="2" s="1"/>
  <c r="I12" i="2" s="1"/>
  <c r="A12" i="2"/>
  <c r="G11" i="2"/>
  <c r="I11" i="2" s="1"/>
  <c r="E11" i="2"/>
  <c r="F11" i="2" s="1"/>
  <c r="D11" i="2"/>
  <c r="C11" i="2"/>
  <c r="B11" i="2"/>
  <c r="A11" i="2"/>
  <c r="E10" i="2"/>
  <c r="F10" i="2" s="1"/>
  <c r="D10" i="2"/>
  <c r="C10" i="2"/>
  <c r="B10" i="2"/>
  <c r="G10" i="2" s="1"/>
  <c r="I10" i="2" s="1"/>
  <c r="A10" i="2"/>
  <c r="E9" i="2"/>
  <c r="F9" i="2" s="1"/>
  <c r="D9" i="2"/>
  <c r="C9" i="2"/>
  <c r="B9" i="2"/>
  <c r="G9" i="2" s="1"/>
  <c r="I9" i="2" s="1"/>
  <c r="A9" i="2"/>
  <c r="E8" i="2"/>
  <c r="F8" i="2" s="1"/>
  <c r="D8" i="2"/>
  <c r="C8" i="2"/>
  <c r="B8" i="2"/>
  <c r="G8" i="2" s="1"/>
  <c r="I8" i="2" s="1"/>
  <c r="A8" i="2"/>
  <c r="G7" i="2"/>
  <c r="I7" i="2" s="1"/>
  <c r="E7" i="2"/>
  <c r="F7" i="2" s="1"/>
  <c r="D7" i="2"/>
  <c r="C7" i="2"/>
  <c r="B7" i="2"/>
  <c r="A7" i="2"/>
  <c r="E6" i="2"/>
  <c r="F6" i="2" s="1"/>
  <c r="D6" i="2"/>
  <c r="C6" i="2"/>
  <c r="B6" i="2"/>
  <c r="G6" i="2" s="1"/>
  <c r="I6" i="2" s="1"/>
  <c r="A6" i="2"/>
  <c r="E5" i="2"/>
  <c r="F5" i="2" s="1"/>
  <c r="H5" i="2" s="1"/>
  <c r="D5" i="2"/>
  <c r="C5" i="2"/>
  <c r="B5" i="2"/>
  <c r="G5" i="2" s="1"/>
  <c r="I5" i="2" s="1"/>
  <c r="A5" i="2"/>
  <c r="E4" i="2"/>
  <c r="F4" i="2" s="1"/>
  <c r="D4" i="2"/>
  <c r="C4" i="2"/>
  <c r="B4" i="2"/>
  <c r="G4" i="2" s="1"/>
  <c r="I4" i="2" s="1"/>
  <c r="A4" i="2"/>
  <c r="G3" i="2"/>
  <c r="I3" i="2" s="1"/>
  <c r="E3" i="2"/>
  <c r="F3" i="2" s="1"/>
  <c r="D3" i="2"/>
  <c r="C3" i="2"/>
  <c r="B3" i="2"/>
  <c r="A3" i="2"/>
  <c r="E2" i="2"/>
  <c r="F2" i="2" s="1"/>
  <c r="D2" i="2"/>
  <c r="C2" i="2"/>
  <c r="B2" i="2"/>
  <c r="G2" i="2" s="1"/>
  <c r="I2" i="2" s="1"/>
  <c r="A2" i="2"/>
  <c r="I329" i="2" l="1"/>
  <c r="H329" i="2"/>
  <c r="I335" i="2"/>
  <c r="H335" i="2"/>
  <c r="H4" i="2"/>
  <c r="H11" i="2"/>
  <c r="H26" i="2"/>
  <c r="H28" i="2"/>
  <c r="H72" i="2"/>
  <c r="H83" i="2"/>
  <c r="H127" i="2"/>
  <c r="H327" i="2"/>
  <c r="I327" i="2"/>
  <c r="H331" i="2"/>
  <c r="I331" i="2"/>
  <c r="I466" i="2"/>
  <c r="H466" i="2"/>
  <c r="H480" i="2"/>
  <c r="I482" i="2"/>
  <c r="H482" i="2"/>
  <c r="I836" i="2"/>
  <c r="H836" i="2"/>
  <c r="H184" i="2"/>
  <c r="H211" i="2"/>
  <c r="H279" i="2"/>
  <c r="I310" i="2"/>
  <c r="H357" i="2"/>
  <c r="I367" i="2"/>
  <c r="H828" i="2"/>
  <c r="H9" i="2"/>
  <c r="H35" i="2"/>
  <c r="H79" i="2"/>
  <c r="H92" i="2"/>
  <c r="H99" i="2"/>
  <c r="H108" i="2"/>
  <c r="H123" i="2"/>
  <c r="H165" i="2"/>
  <c r="H180" i="2"/>
  <c r="H209" i="2"/>
  <c r="H238" i="2"/>
  <c r="H289" i="2"/>
  <c r="H337" i="2"/>
  <c r="H374" i="2"/>
  <c r="H444" i="2"/>
  <c r="H456" i="2"/>
  <c r="H517" i="2"/>
  <c r="I524" i="2"/>
  <c r="H882" i="2"/>
  <c r="H136" i="2"/>
  <c r="I656" i="2"/>
  <c r="H656" i="2"/>
  <c r="I1383" i="2"/>
  <c r="H1383" i="2"/>
  <c r="H31" i="2"/>
  <c r="H44" i="2"/>
  <c r="H51" i="2"/>
  <c r="H60" i="2"/>
  <c r="H75" i="2"/>
  <c r="H187" i="2"/>
  <c r="H203" i="2"/>
  <c r="H246" i="2"/>
  <c r="H250" i="2"/>
  <c r="I287" i="2"/>
  <c r="H366" i="2"/>
  <c r="H370" i="2"/>
  <c r="H402" i="2"/>
  <c r="H410" i="2"/>
  <c r="I515" i="2"/>
  <c r="H515" i="2"/>
  <c r="H547" i="2"/>
  <c r="I652" i="2"/>
  <c r="H652" i="2"/>
  <c r="H1132" i="2"/>
  <c r="H1376" i="2"/>
  <c r="H408" i="2"/>
  <c r="H506" i="2"/>
  <c r="H64" i="2"/>
  <c r="H3" i="2"/>
  <c r="H12" i="2"/>
  <c r="H27" i="2"/>
  <c r="H69" i="2"/>
  <c r="H84" i="2"/>
  <c r="H113" i="2"/>
  <c r="H139" i="2"/>
  <c r="H148" i="2"/>
  <c r="H172" i="2"/>
  <c r="H221" i="2"/>
  <c r="I291" i="2"/>
  <c r="I383" i="2"/>
  <c r="H383" i="2"/>
  <c r="H475" i="2"/>
  <c r="I648" i="2"/>
  <c r="H648" i="2"/>
  <c r="I1042" i="2"/>
  <c r="H1042" i="2"/>
  <c r="H1456" i="2"/>
  <c r="H40" i="2"/>
  <c r="H56" i="2"/>
  <c r="H67" i="2"/>
  <c r="H93" i="2"/>
  <c r="H109" i="2"/>
  <c r="H128" i="2"/>
  <c r="H181" i="2"/>
  <c r="H210" i="2"/>
  <c r="H212" i="2"/>
  <c r="H214" i="2"/>
  <c r="H358" i="2"/>
  <c r="H379" i="2"/>
  <c r="I379" i="2"/>
  <c r="H479" i="2"/>
  <c r="H733" i="2"/>
  <c r="I1493" i="2"/>
  <c r="H1493" i="2"/>
  <c r="H65" i="2"/>
  <c r="H100" i="2"/>
  <c r="H124" i="2"/>
  <c r="I745" i="2"/>
  <c r="H745" i="2"/>
  <c r="H16" i="2"/>
  <c r="H21" i="2"/>
  <c r="H80" i="2"/>
  <c r="H164" i="2"/>
  <c r="H197" i="2"/>
  <c r="H208" i="2"/>
  <c r="H381" i="2"/>
  <c r="H727" i="2"/>
  <c r="H946" i="2"/>
  <c r="I946" i="2"/>
  <c r="H36" i="2"/>
  <c r="H43" i="2"/>
  <c r="H52" i="2"/>
  <c r="H59" i="2"/>
  <c r="H74" i="2"/>
  <c r="H76" i="2"/>
  <c r="H120" i="2"/>
  <c r="H131" i="2"/>
  <c r="H175" i="2"/>
  <c r="H188" i="2"/>
  <c r="H195" i="2"/>
  <c r="H204" i="2"/>
  <c r="I375" i="2"/>
  <c r="H377" i="2"/>
  <c r="I387" i="2"/>
  <c r="H570" i="2"/>
  <c r="I944" i="2"/>
  <c r="H944" i="2"/>
  <c r="H519" i="2"/>
  <c r="H603" i="2"/>
  <c r="H625" i="2"/>
  <c r="H683" i="2"/>
  <c r="H840" i="2"/>
  <c r="H844" i="2"/>
  <c r="H850" i="2"/>
  <c r="H860" i="2"/>
  <c r="H895" i="2"/>
  <c r="H920" i="2"/>
  <c r="H1068" i="2"/>
  <c r="H1103" i="2"/>
  <c r="H1183" i="2"/>
  <c r="H1195" i="2"/>
  <c r="H1398" i="2"/>
  <c r="H1534" i="2"/>
  <c r="H1563" i="2"/>
  <c r="H1579" i="2"/>
  <c r="H1602" i="2"/>
  <c r="H1638" i="2"/>
  <c r="H1679" i="2"/>
  <c r="H1711" i="2"/>
  <c r="H1741" i="2"/>
  <c r="H1823" i="2"/>
  <c r="H1841" i="2"/>
  <c r="H1843" i="2"/>
  <c r="H1855" i="2"/>
  <c r="H1931" i="2"/>
  <c r="H1933" i="2"/>
  <c r="H1965" i="2"/>
  <c r="H1985" i="2"/>
  <c r="H1991" i="2"/>
  <c r="H1995" i="2"/>
  <c r="H621" i="2"/>
  <c r="H642" i="2"/>
  <c r="H717" i="2"/>
  <c r="H856" i="2"/>
  <c r="H972" i="2"/>
  <c r="H980" i="2"/>
  <c r="H1048" i="2"/>
  <c r="H1147" i="2"/>
  <c r="H1159" i="2"/>
  <c r="H1171" i="2"/>
  <c r="H1279" i="2"/>
  <c r="H1285" i="2"/>
  <c r="H1630" i="2"/>
  <c r="H1743" i="2"/>
  <c r="H1829" i="2"/>
  <c r="H1833" i="2"/>
  <c r="H1851" i="2"/>
  <c r="H1923" i="2"/>
  <c r="H1935" i="2"/>
  <c r="H1937" i="2"/>
  <c r="H1941" i="2"/>
  <c r="H1989" i="2"/>
  <c r="H233" i="2"/>
  <c r="H254" i="2"/>
  <c r="H260" i="2"/>
  <c r="H301" i="2"/>
  <c r="H309" i="2"/>
  <c r="H333" i="2"/>
  <c r="H360" i="2"/>
  <c r="H390" i="2"/>
  <c r="H394" i="2"/>
  <c r="H434" i="2"/>
  <c r="H438" i="2"/>
  <c r="H446" i="2"/>
  <c r="H458" i="2"/>
  <c r="H460" i="2"/>
  <c r="H472" i="2"/>
  <c r="H499" i="2"/>
  <c r="H510" i="2"/>
  <c r="H534" i="2"/>
  <c r="H559" i="2"/>
  <c r="H573" i="2"/>
  <c r="H583" i="2"/>
  <c r="H595" i="2"/>
  <c r="H597" i="2"/>
  <c r="H611" i="2"/>
  <c r="H617" i="2"/>
  <c r="H640" i="2"/>
  <c r="H644" i="2"/>
  <c r="H754" i="2"/>
  <c r="H756" i="2"/>
  <c r="H762" i="2"/>
  <c r="H770" i="2"/>
  <c r="H819" i="2"/>
  <c r="H926" i="2"/>
  <c r="H1046" i="2"/>
  <c r="H1115" i="2"/>
  <c r="H1135" i="2"/>
  <c r="I1256" i="2"/>
  <c r="H1308" i="2"/>
  <c r="H1310" i="2"/>
  <c r="H1320" i="2"/>
  <c r="H1342" i="2"/>
  <c r="H1400" i="2"/>
  <c r="H1430" i="2"/>
  <c r="H1482" i="2"/>
  <c r="H1490" i="2"/>
  <c r="H1516" i="2"/>
  <c r="H1518" i="2"/>
  <c r="H1592" i="2"/>
  <c r="H1614" i="2"/>
  <c r="H1636" i="2"/>
  <c r="H1649" i="2"/>
  <c r="H1672" i="2"/>
  <c r="H1734" i="2"/>
  <c r="H1819" i="2"/>
  <c r="I1847" i="2"/>
  <c r="H1849" i="2"/>
  <c r="H1929" i="2"/>
  <c r="H1999" i="2"/>
  <c r="H821" i="2"/>
  <c r="H825" i="2"/>
  <c r="H1119" i="2"/>
  <c r="H1375" i="2"/>
  <c r="H1379" i="2"/>
  <c r="H1387" i="2"/>
  <c r="H1441" i="2"/>
  <c r="H1486" i="2"/>
  <c r="H1622" i="2"/>
  <c r="I1626" i="2"/>
  <c r="H1645" i="2"/>
  <c r="H1655" i="2"/>
  <c r="H1659" i="2"/>
  <c r="H1663" i="2"/>
  <c r="H1687" i="2"/>
  <c r="H1708" i="2"/>
  <c r="H1717" i="2"/>
  <c r="H1727" i="2"/>
  <c r="H1795" i="2"/>
  <c r="H1803" i="2"/>
  <c r="H1805" i="2"/>
  <c r="I1876" i="2"/>
  <c r="H286" i="2"/>
  <c r="H345" i="2"/>
  <c r="H398" i="2"/>
  <c r="H406" i="2"/>
  <c r="H414" i="2"/>
  <c r="H426" i="2"/>
  <c r="H428" i="2"/>
  <c r="H440" i="2"/>
  <c r="H501" i="2"/>
  <c r="H514" i="2"/>
  <c r="H529" i="2"/>
  <c r="H531" i="2"/>
  <c r="H540" i="2"/>
  <c r="H563" i="2"/>
  <c r="H589" i="2"/>
  <c r="H673" i="2"/>
  <c r="H722" i="2"/>
  <c r="H726" i="2"/>
  <c r="H730" i="2"/>
  <c r="H736" i="2"/>
  <c r="H786" i="2"/>
  <c r="H879" i="2"/>
  <c r="H900" i="2"/>
  <c r="H1026" i="2"/>
  <c r="H1054" i="2"/>
  <c r="H1133" i="2"/>
  <c r="H1263" i="2"/>
  <c r="H1267" i="2"/>
  <c r="H1269" i="2"/>
  <c r="H1300" i="2"/>
  <c r="H1312" i="2"/>
  <c r="H1316" i="2"/>
  <c r="H1324" i="2"/>
  <c r="H1340" i="2"/>
  <c r="H1385" i="2"/>
  <c r="H1391" i="2"/>
  <c r="H1651" i="2"/>
  <c r="H1723" i="2"/>
  <c r="H1768" i="2"/>
  <c r="I1791" i="2"/>
  <c r="H1891" i="2"/>
  <c r="H1917" i="2"/>
  <c r="H496" i="2"/>
  <c r="H527" i="2"/>
  <c r="H548" i="2"/>
  <c r="H552" i="2"/>
  <c r="H794" i="2"/>
  <c r="H833" i="2"/>
  <c r="H847" i="2"/>
  <c r="H863" i="2"/>
  <c r="H871" i="2"/>
  <c r="H873" i="2"/>
  <c r="H997" i="2"/>
  <c r="H1001" i="2"/>
  <c r="H1045" i="2"/>
  <c r="H1050" i="2"/>
  <c r="H1080" i="2"/>
  <c r="H1082" i="2"/>
  <c r="H1084" i="2"/>
  <c r="H1292" i="2"/>
  <c r="H1371" i="2"/>
  <c r="H1395" i="2"/>
  <c r="H1406" i="2"/>
  <c r="H1410" i="2"/>
  <c r="H1434" i="2"/>
  <c r="H1498" i="2"/>
  <c r="H1502" i="2"/>
  <c r="H1537" i="2"/>
  <c r="H1545" i="2"/>
  <c r="H1572" i="2"/>
  <c r="H1946" i="2"/>
  <c r="H1970" i="2"/>
  <c r="H492" i="2"/>
  <c r="H665" i="2"/>
  <c r="H690" i="2"/>
  <c r="H696" i="2"/>
  <c r="H843" i="2"/>
  <c r="H867" i="2"/>
  <c r="H1067" i="2"/>
  <c r="H1214" i="2"/>
  <c r="H1226" i="2"/>
  <c r="H1255" i="2"/>
  <c r="H1367" i="2"/>
  <c r="H1369" i="2"/>
  <c r="H1397" i="2"/>
  <c r="H1547" i="2"/>
  <c r="H1584" i="2"/>
  <c r="H1597" i="2"/>
  <c r="H1731" i="2"/>
  <c r="H1736" i="2"/>
  <c r="H1751" i="2"/>
  <c r="H1832" i="2"/>
  <c r="H1952" i="2"/>
  <c r="I1974" i="2"/>
  <c r="H1996" i="2"/>
  <c r="H140" i="2"/>
  <c r="H147" i="2"/>
  <c r="H156" i="2"/>
  <c r="H171" i="2"/>
  <c r="H193" i="2"/>
  <c r="H253" i="2"/>
  <c r="H265" i="2"/>
  <c r="H298" i="2"/>
  <c r="H322" i="2"/>
  <c r="H330" i="2"/>
  <c r="H347" i="2"/>
  <c r="H369" i="2"/>
  <c r="H385" i="2"/>
  <c r="H461" i="2"/>
  <c r="H488" i="2"/>
  <c r="H518" i="2"/>
  <c r="H537" i="2"/>
  <c r="H539" i="2"/>
  <c r="H647" i="2"/>
  <c r="H651" i="2"/>
  <c r="H659" i="2"/>
  <c r="H661" i="2"/>
  <c r="H688" i="2"/>
  <c r="H692" i="2"/>
  <c r="H703" i="2"/>
  <c r="H705" i="2"/>
  <c r="H810" i="2"/>
  <c r="H841" i="2"/>
  <c r="H851" i="2"/>
  <c r="H855" i="2"/>
  <c r="H857" i="2"/>
  <c r="H925" i="2"/>
  <c r="H941" i="2"/>
  <c r="H945" i="2"/>
  <c r="H981" i="2"/>
  <c r="H985" i="2"/>
  <c r="H1011" i="2"/>
  <c r="H1017" i="2"/>
  <c r="H1021" i="2"/>
  <c r="H1025" i="2"/>
  <c r="H1071" i="2"/>
  <c r="H1088" i="2"/>
  <c r="H1092" i="2"/>
  <c r="H1100" i="2"/>
  <c r="H1154" i="2"/>
  <c r="H1190" i="2"/>
  <c r="H1202" i="2"/>
  <c r="H1323" i="2"/>
  <c r="H1343" i="2"/>
  <c r="H1347" i="2"/>
  <c r="H1355" i="2"/>
  <c r="H1578" i="2"/>
  <c r="H1580" i="2"/>
  <c r="H1593" i="2"/>
  <c r="H1599" i="2"/>
  <c r="H1601" i="2"/>
  <c r="H1742" i="2"/>
  <c r="H1755" i="2"/>
  <c r="I1836" i="2"/>
  <c r="H1844" i="2"/>
  <c r="H1879" i="2"/>
  <c r="H1956" i="2"/>
  <c r="H1962" i="2"/>
  <c r="H1986" i="2"/>
  <c r="I1988" i="2"/>
  <c r="H213" i="2"/>
  <c r="H234" i="2"/>
  <c r="H257" i="2"/>
  <c r="H292" i="2"/>
  <c r="H294" i="2"/>
  <c r="H296" i="2"/>
  <c r="H314" i="2"/>
  <c r="H318" i="2"/>
  <c r="H324" i="2"/>
  <c r="H393" i="2"/>
  <c r="H445" i="2"/>
  <c r="H469" i="2"/>
  <c r="H471" i="2"/>
  <c r="H481" i="2"/>
  <c r="H511" i="2"/>
  <c r="I556" i="2"/>
  <c r="H635" i="2"/>
  <c r="H655" i="2"/>
  <c r="I684" i="2"/>
  <c r="H820" i="2"/>
  <c r="H949" i="2"/>
  <c r="H953" i="2"/>
  <c r="H961" i="2"/>
  <c r="H969" i="2"/>
  <c r="H977" i="2"/>
  <c r="H1116" i="2"/>
  <c r="H1140" i="2"/>
  <c r="H1142" i="2"/>
  <c r="H1164" i="2"/>
  <c r="H1166" i="2"/>
  <c r="H1176" i="2"/>
  <c r="H1178" i="2"/>
  <c r="H1232" i="2"/>
  <c r="H1247" i="2"/>
  <c r="H1251" i="2"/>
  <c r="H1253" i="2"/>
  <c r="I1284" i="2"/>
  <c r="H1315" i="2"/>
  <c r="H1331" i="2"/>
  <c r="H1339" i="2"/>
  <c r="H1351" i="2"/>
  <c r="H1353" i="2"/>
  <c r="H1429" i="2"/>
  <c r="H1485" i="2"/>
  <c r="H1515" i="2"/>
  <c r="H1521" i="2"/>
  <c r="H1609" i="2"/>
  <c r="H1650" i="2"/>
  <c r="H1660" i="2"/>
  <c r="H1662" i="2"/>
  <c r="H1705" i="2"/>
  <c r="H1733" i="2"/>
  <c r="H1783" i="2"/>
  <c r="H1820" i="2"/>
  <c r="H1848" i="2"/>
  <c r="H1877" i="2"/>
  <c r="H1924" i="2"/>
  <c r="H1940" i="2"/>
  <c r="H1960" i="2"/>
  <c r="H1998" i="2"/>
  <c r="H723" i="2"/>
  <c r="H783" i="2"/>
  <c r="H912" i="2"/>
  <c r="H1029" i="2"/>
  <c r="H1124" i="2"/>
  <c r="H1128" i="2"/>
  <c r="H1243" i="2"/>
  <c r="H1291" i="2"/>
  <c r="H1295" i="2"/>
  <c r="H1303" i="2"/>
  <c r="H1321" i="2"/>
  <c r="H1337" i="2"/>
  <c r="H1422" i="2"/>
  <c r="H1431" i="2"/>
  <c r="H1442" i="2"/>
  <c r="H1444" i="2"/>
  <c r="H1635" i="2"/>
  <c r="H1746" i="2"/>
  <c r="H1867" i="2"/>
  <c r="I295" i="2"/>
  <c r="H295" i="2"/>
  <c r="I323" i="2"/>
  <c r="H323" i="2"/>
  <c r="I275" i="2"/>
  <c r="H275" i="2"/>
  <c r="I293" i="2"/>
  <c r="H293" i="2"/>
  <c r="I355" i="2"/>
  <c r="H355" i="2"/>
  <c r="I343" i="2"/>
  <c r="H343" i="2"/>
  <c r="H1120" i="2"/>
  <c r="I1120" i="2"/>
  <c r="H22" i="2"/>
  <c r="H47" i="2"/>
  <c r="H49" i="2"/>
  <c r="H70" i="2"/>
  <c r="H95" i="2"/>
  <c r="H97" i="2"/>
  <c r="H118" i="2"/>
  <c r="H143" i="2"/>
  <c r="H145" i="2"/>
  <c r="H166" i="2"/>
  <c r="H191" i="2"/>
  <c r="I245" i="2"/>
  <c r="H245" i="2"/>
  <c r="I255" i="2"/>
  <c r="H255" i="2"/>
  <c r="I247" i="2"/>
  <c r="H247" i="2"/>
  <c r="H326" i="2"/>
  <c r="H14" i="2"/>
  <c r="H39" i="2"/>
  <c r="H41" i="2"/>
  <c r="H62" i="2"/>
  <c r="H87" i="2"/>
  <c r="H89" i="2"/>
  <c r="H110" i="2"/>
  <c r="H135" i="2"/>
  <c r="H137" i="2"/>
  <c r="H158" i="2"/>
  <c r="H183" i="2"/>
  <c r="H185" i="2"/>
  <c r="H206" i="2"/>
  <c r="H229" i="2"/>
  <c r="H297" i="2"/>
  <c r="H328" i="2"/>
  <c r="I403" i="2"/>
  <c r="H403" i="2"/>
  <c r="I417" i="2"/>
  <c r="H417" i="2"/>
  <c r="H154" i="2"/>
  <c r="H106" i="2"/>
  <c r="H6" i="2"/>
  <c r="H33" i="2"/>
  <c r="H54" i="2"/>
  <c r="H81" i="2"/>
  <c r="H102" i="2"/>
  <c r="H129" i="2"/>
  <c r="H150" i="2"/>
  <c r="H177" i="2"/>
  <c r="H198" i="2"/>
  <c r="I235" i="2"/>
  <c r="H235" i="2"/>
  <c r="H386" i="2"/>
  <c r="H413" i="2"/>
  <c r="I449" i="2"/>
  <c r="H449" i="2"/>
  <c r="I624" i="2"/>
  <c r="H624" i="2"/>
  <c r="H29" i="2"/>
  <c r="H50" i="2"/>
  <c r="H77" i="2"/>
  <c r="H98" i="2"/>
  <c r="H125" i="2"/>
  <c r="H146" i="2"/>
  <c r="H173" i="2"/>
  <c r="H194" i="2"/>
  <c r="H244" i="2"/>
  <c r="H269" i="2"/>
  <c r="H277" i="2"/>
  <c r="H305" i="2"/>
  <c r="H338" i="2"/>
  <c r="I382" i="2"/>
  <c r="H399" i="2"/>
  <c r="I465" i="2"/>
  <c r="H465" i="2"/>
  <c r="I259" i="2"/>
  <c r="H259" i="2"/>
  <c r="H23" i="2"/>
  <c r="H25" i="2"/>
  <c r="H46" i="2"/>
  <c r="H71" i="2"/>
  <c r="H73" i="2"/>
  <c r="H94" i="2"/>
  <c r="H119" i="2"/>
  <c r="H121" i="2"/>
  <c r="H142" i="2"/>
  <c r="H167" i="2"/>
  <c r="H169" i="2"/>
  <c r="H190" i="2"/>
  <c r="I231" i="2"/>
  <c r="H267" i="2"/>
  <c r="H271" i="2"/>
  <c r="I299" i="2"/>
  <c r="I307" i="2"/>
  <c r="H307" i="2"/>
  <c r="I334" i="2"/>
  <c r="H351" i="2"/>
  <c r="H429" i="2"/>
  <c r="I572" i="2"/>
  <c r="H572" i="2"/>
  <c r="H2" i="2"/>
  <c r="H42" i="2"/>
  <c r="H90" i="2"/>
  <c r="H96" i="2"/>
  <c r="H138" i="2"/>
  <c r="H144" i="2"/>
  <c r="H186" i="2"/>
  <c r="H192" i="2"/>
  <c r="H237" i="2"/>
  <c r="I283" i="2"/>
  <c r="H283" i="2"/>
  <c r="H313" i="2"/>
  <c r="I564" i="2"/>
  <c r="H564" i="2"/>
  <c r="H10" i="2"/>
  <c r="H58" i="2"/>
  <c r="H202" i="2"/>
  <c r="H8" i="2"/>
  <c r="H15" i="2"/>
  <c r="H17" i="2"/>
  <c r="H38" i="2"/>
  <c r="H63" i="2"/>
  <c r="H86" i="2"/>
  <c r="H111" i="2"/>
  <c r="H134" i="2"/>
  <c r="H159" i="2"/>
  <c r="H182" i="2"/>
  <c r="H207" i="2"/>
  <c r="H241" i="2"/>
  <c r="H317" i="2"/>
  <c r="I303" i="2"/>
  <c r="H303" i="2"/>
  <c r="I433" i="2"/>
  <c r="H433" i="2"/>
  <c r="H34" i="2"/>
  <c r="H82" i="2"/>
  <c r="H178" i="2"/>
  <c r="H256" i="2"/>
  <c r="H315" i="2"/>
  <c r="H319" i="2"/>
  <c r="H130" i="2"/>
  <c r="H7" i="2"/>
  <c r="H30" i="2"/>
  <c r="H55" i="2"/>
  <c r="H57" i="2"/>
  <c r="H78" i="2"/>
  <c r="H103" i="2"/>
  <c r="H105" i="2"/>
  <c r="H126" i="2"/>
  <c r="H151" i="2"/>
  <c r="H153" i="2"/>
  <c r="H174" i="2"/>
  <c r="H199" i="2"/>
  <c r="H201" i="2"/>
  <c r="G261" i="2"/>
  <c r="I261" i="2" s="1"/>
  <c r="I262" i="2"/>
  <c r="H270" i="2"/>
  <c r="H306" i="2"/>
  <c r="I391" i="2"/>
  <c r="H391" i="2"/>
  <c r="H224" i="2"/>
  <c r="G264" i="2"/>
  <c r="I264" i="2" s="1"/>
  <c r="G312" i="2"/>
  <c r="I312" i="2" s="1"/>
  <c r="G353" i="2"/>
  <c r="I353" i="2" s="1"/>
  <c r="G356" i="2"/>
  <c r="I356" i="2" s="1"/>
  <c r="G401" i="2"/>
  <c r="I401" i="2" s="1"/>
  <c r="G404" i="2"/>
  <c r="I404" i="2" s="1"/>
  <c r="G502" i="2"/>
  <c r="I502" i="2" s="1"/>
  <c r="H544" i="2"/>
  <c r="I803" i="2"/>
  <c r="H803" i="2"/>
  <c r="H902" i="2"/>
  <c r="I902" i="2"/>
  <c r="I914" i="2"/>
  <c r="H914" i="2"/>
  <c r="I916" i="2"/>
  <c r="H916" i="2"/>
  <c r="I962" i="2"/>
  <c r="H962" i="2"/>
  <c r="I1772" i="2"/>
  <c r="H1772" i="2"/>
  <c r="I1780" i="2"/>
  <c r="H1780" i="2"/>
  <c r="H236" i="2"/>
  <c r="H284" i="2"/>
  <c r="H336" i="2"/>
  <c r="H384" i="2"/>
  <c r="H416" i="2"/>
  <c r="H432" i="2"/>
  <c r="H448" i="2"/>
  <c r="H464" i="2"/>
  <c r="H473" i="2"/>
  <c r="H477" i="2"/>
  <c r="H483" i="2"/>
  <c r="H498" i="2"/>
  <c r="I550" i="2"/>
  <c r="H550" i="2"/>
  <c r="H554" i="2"/>
  <c r="H571" i="2"/>
  <c r="I780" i="2"/>
  <c r="H780" i="2"/>
  <c r="H956" i="2"/>
  <c r="H220" i="2"/>
  <c r="G252" i="2"/>
  <c r="I252" i="2" s="1"/>
  <c r="G300" i="2"/>
  <c r="I300" i="2" s="1"/>
  <c r="G365" i="2"/>
  <c r="I365" i="2" s="1"/>
  <c r="G368" i="2"/>
  <c r="I368" i="2" s="1"/>
  <c r="H522" i="2"/>
  <c r="H535" i="2"/>
  <c r="H272" i="2"/>
  <c r="H320" i="2"/>
  <c r="H348" i="2"/>
  <c r="H371" i="2"/>
  <c r="H396" i="2"/>
  <c r="H411" i="2"/>
  <c r="H420" i="2"/>
  <c r="H427" i="2"/>
  <c r="H436" i="2"/>
  <c r="H443" i="2"/>
  <c r="H452" i="2"/>
  <c r="H459" i="2"/>
  <c r="H468" i="2"/>
  <c r="H489" i="2"/>
  <c r="H495" i="2"/>
  <c r="H513" i="2"/>
  <c r="I716" i="2"/>
  <c r="H716" i="2"/>
  <c r="H216" i="2"/>
  <c r="H232" i="2"/>
  <c r="H470" i="2"/>
  <c r="H528" i="2"/>
  <c r="H543" i="2"/>
  <c r="H562" i="2"/>
  <c r="I578" i="2"/>
  <c r="H578" i="2"/>
  <c r="I616" i="2"/>
  <c r="H616" i="2"/>
  <c r="G268" i="2"/>
  <c r="I268" i="2" s="1"/>
  <c r="H280" i="2"/>
  <c r="G316" i="2"/>
  <c r="I316" i="2" s="1"/>
  <c r="G321" i="2"/>
  <c r="I321" i="2" s="1"/>
  <c r="H340" i="2"/>
  <c r="G349" i="2"/>
  <c r="I349" i="2" s="1"/>
  <c r="G352" i="2"/>
  <c r="I352" i="2" s="1"/>
  <c r="H363" i="2"/>
  <c r="H388" i="2"/>
  <c r="G397" i="2"/>
  <c r="I397" i="2" s="1"/>
  <c r="G400" i="2"/>
  <c r="I400" i="2" s="1"/>
  <c r="G421" i="2"/>
  <c r="G437" i="2"/>
  <c r="G453" i="2"/>
  <c r="H474" i="2"/>
  <c r="H478" i="2"/>
  <c r="G490" i="2"/>
  <c r="I490" i="2" s="1"/>
  <c r="H566" i="2"/>
  <c r="H574" i="2"/>
  <c r="H549" i="2"/>
  <c r="I672" i="2"/>
  <c r="H672" i="2"/>
  <c r="H219" i="2"/>
  <c r="H228" i="2"/>
  <c r="H240" i="2"/>
  <c r="H263" i="2"/>
  <c r="G276" i="2"/>
  <c r="I276" i="2" s="1"/>
  <c r="H288" i="2"/>
  <c r="H311" i="2"/>
  <c r="H332" i="2"/>
  <c r="G341" i="2"/>
  <c r="I341" i="2" s="1"/>
  <c r="G344" i="2"/>
  <c r="I344" i="2" s="1"/>
  <c r="H380" i="2"/>
  <c r="G389" i="2"/>
  <c r="I389" i="2" s="1"/>
  <c r="G392" i="2"/>
  <c r="I392" i="2" s="1"/>
  <c r="H476" i="2"/>
  <c r="H536" i="2"/>
  <c r="H538" i="2"/>
  <c r="I708" i="2"/>
  <c r="H708" i="2"/>
  <c r="G256" i="2"/>
  <c r="I256" i="2" s="1"/>
  <c r="G304" i="2"/>
  <c r="I304" i="2" s="1"/>
  <c r="G361" i="2"/>
  <c r="I361" i="2" s="1"/>
  <c r="G364" i="2"/>
  <c r="I364" i="2" s="1"/>
  <c r="H400" i="2"/>
  <c r="G409" i="2"/>
  <c r="I409" i="2" s="1"/>
  <c r="G425" i="2"/>
  <c r="I425" i="2" s="1"/>
  <c r="G441" i="2"/>
  <c r="I441" i="2" s="1"/>
  <c r="G457" i="2"/>
  <c r="I457" i="2" s="1"/>
  <c r="H490" i="2"/>
  <c r="H631" i="2"/>
  <c r="I664" i="2"/>
  <c r="H664" i="2"/>
  <c r="H586" i="2"/>
  <c r="H610" i="2"/>
  <c r="G618" i="2"/>
  <c r="I618" i="2" s="1"/>
  <c r="G666" i="2"/>
  <c r="I666" i="2" s="1"/>
  <c r="H699" i="2"/>
  <c r="I772" i="2"/>
  <c r="H772" i="2"/>
  <c r="H807" i="2"/>
  <c r="I811" i="2"/>
  <c r="H811" i="2"/>
  <c r="I960" i="2"/>
  <c r="H960" i="2"/>
  <c r="I1056" i="2"/>
  <c r="H1056" i="2"/>
  <c r="I1058" i="2"/>
  <c r="H1058" i="2"/>
  <c r="H557" i="2"/>
  <c r="H577" i="2"/>
  <c r="H590" i="2"/>
  <c r="H614" i="2"/>
  <c r="H633" i="2"/>
  <c r="H662" i="2"/>
  <c r="H681" i="2"/>
  <c r="H697" i="2"/>
  <c r="H718" i="2"/>
  <c r="H764" i="2"/>
  <c r="I788" i="2"/>
  <c r="H788" i="2"/>
  <c r="I942" i="2"/>
  <c r="H942" i="2"/>
  <c r="H1064" i="2"/>
  <c r="I1064" i="2"/>
  <c r="H601" i="2"/>
  <c r="G630" i="2"/>
  <c r="I630" i="2" s="1"/>
  <c r="H637" i="2"/>
  <c r="H660" i="2"/>
  <c r="G678" i="2"/>
  <c r="I678" i="2" s="1"/>
  <c r="H685" i="2"/>
  <c r="H693" i="2"/>
  <c r="H714" i="2"/>
  <c r="H720" i="2"/>
  <c r="H728" i="2"/>
  <c r="H732" i="2"/>
  <c r="H752" i="2"/>
  <c r="H760" i="2"/>
  <c r="I796" i="2"/>
  <c r="H796" i="2"/>
  <c r="I823" i="2"/>
  <c r="H823" i="2"/>
  <c r="H827" i="2"/>
  <c r="H594" i="2"/>
  <c r="H622" i="2"/>
  <c r="H641" i="2"/>
  <c r="H670" i="2"/>
  <c r="H689" i="2"/>
  <c r="H710" i="2"/>
  <c r="H744" i="2"/>
  <c r="I804" i="2"/>
  <c r="H804" i="2"/>
  <c r="H835" i="2"/>
  <c r="H525" i="2"/>
  <c r="H533" i="2"/>
  <c r="H541" i="2"/>
  <c r="H569" i="2"/>
  <c r="H581" i="2"/>
  <c r="H592" i="2"/>
  <c r="H605" i="2"/>
  <c r="H620" i="2"/>
  <c r="H626" i="2"/>
  <c r="G638" i="2"/>
  <c r="I638" i="2" s="1"/>
  <c r="H645" i="2"/>
  <c r="H668" i="2"/>
  <c r="H674" i="2"/>
  <c r="G686" i="2"/>
  <c r="I686" i="2" s="1"/>
  <c r="H706" i="2"/>
  <c r="H712" i="2"/>
  <c r="G729" i="2"/>
  <c r="I729" i="2" s="1"/>
  <c r="I761" i="2"/>
  <c r="H761" i="2"/>
  <c r="I812" i="2"/>
  <c r="H812" i="2"/>
  <c r="I886" i="2"/>
  <c r="H886" i="2"/>
  <c r="H598" i="2"/>
  <c r="H630" i="2"/>
  <c r="H649" i="2"/>
  <c r="H702" i="2"/>
  <c r="I731" i="2"/>
  <c r="H731" i="2"/>
  <c r="I749" i="2"/>
  <c r="H749" i="2"/>
  <c r="I763" i="2"/>
  <c r="H763" i="2"/>
  <c r="I824" i="2"/>
  <c r="H824" i="2"/>
  <c r="I884" i="2"/>
  <c r="H884" i="2"/>
  <c r="H561" i="2"/>
  <c r="H585" i="2"/>
  <c r="H596" i="2"/>
  <c r="H609" i="2"/>
  <c r="H628" i="2"/>
  <c r="H634" i="2"/>
  <c r="G646" i="2"/>
  <c r="I646" i="2" s="1"/>
  <c r="H653" i="2"/>
  <c r="H676" i="2"/>
  <c r="H682" i="2"/>
  <c r="H698" i="2"/>
  <c r="H704" i="2"/>
  <c r="H719" i="2"/>
  <c r="I747" i="2"/>
  <c r="H747" i="2"/>
  <c r="H767" i="2"/>
  <c r="I771" i="2"/>
  <c r="H771" i="2"/>
  <c r="H892" i="2"/>
  <c r="H602" i="2"/>
  <c r="H615" i="2"/>
  <c r="H632" i="2"/>
  <c r="H638" i="2"/>
  <c r="G650" i="2"/>
  <c r="I650" i="2" s="1"/>
  <c r="H663" i="2"/>
  <c r="H680" i="2"/>
  <c r="H700" i="2"/>
  <c r="H715" i="2"/>
  <c r="H725" i="2"/>
  <c r="I743" i="2"/>
  <c r="H743" i="2"/>
  <c r="H775" i="2"/>
  <c r="I779" i="2"/>
  <c r="H779" i="2"/>
  <c r="H591" i="2"/>
  <c r="H600" i="2"/>
  <c r="H619" i="2"/>
  <c r="H636" i="2"/>
  <c r="G654" i="2"/>
  <c r="I654" i="2" s="1"/>
  <c r="H667" i="2"/>
  <c r="H711" i="2"/>
  <c r="I787" i="2"/>
  <c r="H787" i="2"/>
  <c r="H582" i="2"/>
  <c r="H606" i="2"/>
  <c r="H623" i="2"/>
  <c r="H646" i="2"/>
  <c r="G658" i="2"/>
  <c r="I658" i="2" s="1"/>
  <c r="H671" i="2"/>
  <c r="H707" i="2"/>
  <c r="I724" i="2"/>
  <c r="H724" i="2"/>
  <c r="H739" i="2"/>
  <c r="H791" i="2"/>
  <c r="I795" i="2"/>
  <c r="H795" i="2"/>
  <c r="H742" i="2"/>
  <c r="I880" i="2"/>
  <c r="H880" i="2"/>
  <c r="H933" i="2"/>
  <c r="I1010" i="2"/>
  <c r="H1010" i="2"/>
  <c r="I1033" i="2"/>
  <c r="H1033" i="2"/>
  <c r="H750" i="2"/>
  <c r="H909" i="2"/>
  <c r="H924" i="2"/>
  <c r="H952" i="2"/>
  <c r="I970" i="2"/>
  <c r="H970" i="2"/>
  <c r="H1151" i="2"/>
  <c r="H822" i="2"/>
  <c r="H842" i="2"/>
  <c r="H854" i="2"/>
  <c r="H877" i="2"/>
  <c r="H903" i="2"/>
  <c r="H905" i="2"/>
  <c r="H907" i="2"/>
  <c r="H922" i="2"/>
  <c r="I954" i="2"/>
  <c r="H964" i="2"/>
  <c r="I978" i="2"/>
  <c r="H978" i="2"/>
  <c r="I1018" i="2"/>
  <c r="I1059" i="2"/>
  <c r="H1059" i="2"/>
  <c r="H758" i="2"/>
  <c r="H769" i="2"/>
  <c r="H777" i="2"/>
  <c r="H785" i="2"/>
  <c r="H793" i="2"/>
  <c r="H801" i="2"/>
  <c r="H809" i="2"/>
  <c r="H817" i="2"/>
  <c r="H861" i="2"/>
  <c r="H868" i="2"/>
  <c r="H870" i="2"/>
  <c r="H888" i="2"/>
  <c r="H890" i="2"/>
  <c r="H913" i="2"/>
  <c r="I928" i="2"/>
  <c r="H928" i="2"/>
  <c r="I986" i="2"/>
  <c r="H986" i="2"/>
  <c r="H738" i="2"/>
  <c r="H766" i="2"/>
  <c r="H774" i="2"/>
  <c r="H782" i="2"/>
  <c r="H790" i="2"/>
  <c r="H798" i="2"/>
  <c r="H806" i="2"/>
  <c r="H814" i="2"/>
  <c r="H837" i="2"/>
  <c r="H849" i="2"/>
  <c r="H894" i="2"/>
  <c r="I994" i="2"/>
  <c r="H994" i="2"/>
  <c r="H834" i="2"/>
  <c r="H881" i="2"/>
  <c r="H898" i="2"/>
  <c r="G904" i="2"/>
  <c r="I904" i="2" s="1"/>
  <c r="H917" i="2"/>
  <c r="H968" i="2"/>
  <c r="H988" i="2"/>
  <c r="I1002" i="2"/>
  <c r="H1002" i="2"/>
  <c r="H746" i="2"/>
  <c r="H829" i="2"/>
  <c r="H846" i="2"/>
  <c r="H858" i="2"/>
  <c r="H865" i="2"/>
  <c r="H872" i="2"/>
  <c r="H874" i="2"/>
  <c r="H932" i="2"/>
  <c r="H940" i="2"/>
  <c r="H976" i="2"/>
  <c r="H996" i="2"/>
  <c r="H1015" i="2"/>
  <c r="H1094" i="2"/>
  <c r="H826" i="2"/>
  <c r="H885" i="2"/>
  <c r="H910" i="2"/>
  <c r="H921" i="2"/>
  <c r="H934" i="2"/>
  <c r="H936" i="2"/>
  <c r="H938" i="2"/>
  <c r="H984" i="2"/>
  <c r="H1023" i="2"/>
  <c r="H734" i="2"/>
  <c r="H889" i="2"/>
  <c r="H906" i="2"/>
  <c r="H992" i="2"/>
  <c r="H740" i="2"/>
  <c r="H765" i="2"/>
  <c r="H768" i="2"/>
  <c r="H773" i="2"/>
  <c r="H776" i="2"/>
  <c r="H781" i="2"/>
  <c r="H784" i="2"/>
  <c r="H789" i="2"/>
  <c r="H792" i="2"/>
  <c r="H797" i="2"/>
  <c r="H800" i="2"/>
  <c r="H805" i="2"/>
  <c r="H808" i="2"/>
  <c r="H813" i="2"/>
  <c r="H816" i="2"/>
  <c r="H818" i="2"/>
  <c r="H831" i="2"/>
  <c r="H862" i="2"/>
  <c r="H878" i="2"/>
  <c r="H893" i="2"/>
  <c r="H929" i="2"/>
  <c r="H948" i="2"/>
  <c r="H1000" i="2"/>
  <c r="I1180" i="2"/>
  <c r="H1180" i="2"/>
  <c r="H927" i="2"/>
  <c r="H1020" i="2"/>
  <c r="H1043" i="2"/>
  <c r="G1063" i="2"/>
  <c r="I1063" i="2" s="1"/>
  <c r="H1077" i="2"/>
  <c r="H1143" i="2"/>
  <c r="G1167" i="2"/>
  <c r="I1167" i="2" s="1"/>
  <c r="H1215" i="2"/>
  <c r="G1330" i="2"/>
  <c r="I1330" i="2" s="1"/>
  <c r="H887" i="2"/>
  <c r="H935" i="2"/>
  <c r="H1012" i="2"/>
  <c r="H1035" i="2"/>
  <c r="H1057" i="2"/>
  <c r="H1070" i="2"/>
  <c r="H1083" i="2"/>
  <c r="G1091" i="2"/>
  <c r="I1091" i="2" s="1"/>
  <c r="H1109" i="2"/>
  <c r="H1145" i="2"/>
  <c r="G1179" i="2"/>
  <c r="I1179" i="2" s="1"/>
  <c r="I1437" i="2"/>
  <c r="H1437" i="2"/>
  <c r="H915" i="2"/>
  <c r="H943" i="2"/>
  <c r="H951" i="2"/>
  <c r="H959" i="2"/>
  <c r="H967" i="2"/>
  <c r="H975" i="2"/>
  <c r="H983" i="2"/>
  <c r="H991" i="2"/>
  <c r="H999" i="2"/>
  <c r="H1007" i="2"/>
  <c r="H1032" i="2"/>
  <c r="H1061" i="2"/>
  <c r="H1237" i="2"/>
  <c r="H1027" i="2"/>
  <c r="H1052" i="2"/>
  <c r="H1113" i="2"/>
  <c r="H1130" i="2"/>
  <c r="H1167" i="2"/>
  <c r="I1421" i="2"/>
  <c r="H1421" i="2"/>
  <c r="I1465" i="2"/>
  <c r="H1465" i="2"/>
  <c r="I1469" i="2"/>
  <c r="H1469" i="2"/>
  <c r="I1477" i="2"/>
  <c r="H1477" i="2"/>
  <c r="H923" i="2"/>
  <c r="H1022" i="2"/>
  <c r="H1024" i="2"/>
  <c r="H1047" i="2"/>
  <c r="H1102" i="2"/>
  <c r="H1117" i="2"/>
  <c r="H1276" i="2"/>
  <c r="I1288" i="2"/>
  <c r="I1389" i="2"/>
  <c r="H1389" i="2"/>
  <c r="H1019" i="2"/>
  <c r="H1044" i="2"/>
  <c r="H1089" i="2"/>
  <c r="I1393" i="2"/>
  <c r="H1393" i="2"/>
  <c r="I1453" i="2"/>
  <c r="H1453" i="2"/>
  <c r="H883" i="2"/>
  <c r="H931" i="2"/>
  <c r="H1016" i="2"/>
  <c r="H1039" i="2"/>
  <c r="H1069" i="2"/>
  <c r="H1097" i="2"/>
  <c r="H1260" i="2"/>
  <c r="G1378" i="2"/>
  <c r="I1378" i="2" s="1"/>
  <c r="H1036" i="2"/>
  <c r="H891" i="2"/>
  <c r="H939" i="2"/>
  <c r="H947" i="2"/>
  <c r="H950" i="2"/>
  <c r="H955" i="2"/>
  <c r="H958" i="2"/>
  <c r="H963" i="2"/>
  <c r="H966" i="2"/>
  <c r="H971" i="2"/>
  <c r="H974" i="2"/>
  <c r="H979" i="2"/>
  <c r="H982" i="2"/>
  <c r="H987" i="2"/>
  <c r="H990" i="2"/>
  <c r="H995" i="2"/>
  <c r="H998" i="2"/>
  <c r="H1003" i="2"/>
  <c r="H1006" i="2"/>
  <c r="H1008" i="2"/>
  <c r="H1031" i="2"/>
  <c r="H1060" i="2"/>
  <c r="I1108" i="2"/>
  <c r="H1108" i="2"/>
  <c r="H1114" i="2"/>
  <c r="H1125" i="2"/>
  <c r="H1244" i="2"/>
  <c r="H1275" i="2"/>
  <c r="H919" i="2"/>
  <c r="H1028" i="2"/>
  <c r="H1051" i="2"/>
  <c r="G1111" i="2"/>
  <c r="I1111" i="2" s="1"/>
  <c r="H1131" i="2"/>
  <c r="G1155" i="2"/>
  <c r="I1155" i="2" s="1"/>
  <c r="H1203" i="2"/>
  <c r="G1227" i="2"/>
  <c r="I1227" i="2" s="1"/>
  <c r="H1271" i="2"/>
  <c r="H1301" i="2"/>
  <c r="G1075" i="2"/>
  <c r="I1075" i="2" s="1"/>
  <c r="H1081" i="2"/>
  <c r="H1086" i="2"/>
  <c r="G1123" i="2"/>
  <c r="I1123" i="2" s="1"/>
  <c r="H1129" i="2"/>
  <c r="G1138" i="2"/>
  <c r="I1138" i="2" s="1"/>
  <c r="H1141" i="2"/>
  <c r="G1150" i="2"/>
  <c r="I1150" i="2" s="1"/>
  <c r="H1153" i="2"/>
  <c r="G1162" i="2"/>
  <c r="I1162" i="2" s="1"/>
  <c r="H1165" i="2"/>
  <c r="G1174" i="2"/>
  <c r="I1174" i="2" s="1"/>
  <c r="H1177" i="2"/>
  <c r="G1186" i="2"/>
  <c r="I1186" i="2" s="1"/>
  <c r="H1189" i="2"/>
  <c r="G1198" i="2"/>
  <c r="I1198" i="2" s="1"/>
  <c r="H1201" i="2"/>
  <c r="G1210" i="2"/>
  <c r="I1210" i="2" s="1"/>
  <c r="H1213" i="2"/>
  <c r="G1222" i="2"/>
  <c r="I1222" i="2" s="1"/>
  <c r="H1225" i="2"/>
  <c r="H1305" i="2"/>
  <c r="H1307" i="2"/>
  <c r="H1309" i="2"/>
  <c r="H1457" i="2"/>
  <c r="H1463" i="2"/>
  <c r="I1523" i="2"/>
  <c r="H1523" i="2"/>
  <c r="H1101" i="2"/>
  <c r="H1106" i="2"/>
  <c r="H1311" i="2"/>
  <c r="H1346" i="2"/>
  <c r="H1362" i="2"/>
  <c r="H1073" i="2"/>
  <c r="H1078" i="2"/>
  <c r="H1096" i="2"/>
  <c r="H1121" i="2"/>
  <c r="H1126" i="2"/>
  <c r="H1136" i="2"/>
  <c r="H1148" i="2"/>
  <c r="H1160" i="2"/>
  <c r="H1172" i="2"/>
  <c r="H1184" i="2"/>
  <c r="H1196" i="2"/>
  <c r="H1208" i="2"/>
  <c r="H1220" i="2"/>
  <c r="H1234" i="2"/>
  <c r="H1241" i="2"/>
  <c r="H1248" i="2"/>
  <c r="H1250" i="2"/>
  <c r="H1257" i="2"/>
  <c r="H1264" i="2"/>
  <c r="H1266" i="2"/>
  <c r="H1273" i="2"/>
  <c r="H1280" i="2"/>
  <c r="H1282" i="2"/>
  <c r="H1289" i="2"/>
  <c r="H1296" i="2"/>
  <c r="H1298" i="2"/>
  <c r="I1336" i="2"/>
  <c r="H1336" i="2"/>
  <c r="I1352" i="2"/>
  <c r="H1352" i="2"/>
  <c r="H1356" i="2"/>
  <c r="I1368" i="2"/>
  <c r="H1368" i="2"/>
  <c r="H1372" i="2"/>
  <c r="I1384" i="2"/>
  <c r="H1384" i="2"/>
  <c r="H1388" i="2"/>
  <c r="H1471" i="2"/>
  <c r="I1473" i="2"/>
  <c r="H1473" i="2"/>
  <c r="G1087" i="2"/>
  <c r="H1093" i="2"/>
  <c r="H1098" i="2"/>
  <c r="H1150" i="2"/>
  <c r="H1162" i="2"/>
  <c r="H1186" i="2"/>
  <c r="H1222" i="2"/>
  <c r="I1313" i="2"/>
  <c r="H1313" i="2"/>
  <c r="H1319" i="2"/>
  <c r="I1511" i="2"/>
  <c r="H1511" i="2"/>
  <c r="I1744" i="2"/>
  <c r="H1744" i="2"/>
  <c r="H1157" i="2"/>
  <c r="H1169" i="2"/>
  <c r="H1181" i="2"/>
  <c r="H1193" i="2"/>
  <c r="H1205" i="2"/>
  <c r="H1217" i="2"/>
  <c r="H1229" i="2"/>
  <c r="I1392" i="2"/>
  <c r="H1392" i="2"/>
  <c r="I1808" i="2"/>
  <c r="H1808" i="2"/>
  <c r="G1079" i="2"/>
  <c r="I1079" i="2" s="1"/>
  <c r="H1085" i="2"/>
  <c r="H1090" i="2"/>
  <c r="G1127" i="2"/>
  <c r="G1139" i="2"/>
  <c r="I1139" i="2" s="1"/>
  <c r="G1151" i="2"/>
  <c r="I1151" i="2" s="1"/>
  <c r="G1163" i="2"/>
  <c r="G1175" i="2"/>
  <c r="G1187" i="2"/>
  <c r="G1199" i="2"/>
  <c r="G1211" i="2"/>
  <c r="I1211" i="2" s="1"/>
  <c r="G1223" i="2"/>
  <c r="I1223" i="2" s="1"/>
  <c r="H1236" i="2"/>
  <c r="H1238" i="2"/>
  <c r="G1242" i="2"/>
  <c r="I1242" i="2" s="1"/>
  <c r="H1245" i="2"/>
  <c r="H1252" i="2"/>
  <c r="H1254" i="2"/>
  <c r="G1258" i="2"/>
  <c r="I1258" i="2" s="1"/>
  <c r="H1261" i="2"/>
  <c r="H1268" i="2"/>
  <c r="H1270" i="2"/>
  <c r="G1274" i="2"/>
  <c r="I1274" i="2" s="1"/>
  <c r="H1277" i="2"/>
  <c r="H1286" i="2"/>
  <c r="G1290" i="2"/>
  <c r="I1290" i="2" s="1"/>
  <c r="H1293" i="2"/>
  <c r="H1302" i="2"/>
  <c r="G1314" i="2"/>
  <c r="I1314" i="2" s="1"/>
  <c r="H1411" i="2"/>
  <c r="I1433" i="2"/>
  <c r="H1433" i="2"/>
  <c r="H1062" i="2"/>
  <c r="G1099" i="2"/>
  <c r="I1099" i="2" s="1"/>
  <c r="H1105" i="2"/>
  <c r="H1110" i="2"/>
  <c r="H1304" i="2"/>
  <c r="H1306" i="2"/>
  <c r="G1322" i="2"/>
  <c r="I1322" i="2" s="1"/>
  <c r="H1333" i="2"/>
  <c r="H1349" i="2"/>
  <c r="H1365" i="2"/>
  <c r="H1381" i="2"/>
  <c r="G1134" i="2"/>
  <c r="I1134" i="2" s="1"/>
  <c r="H1137" i="2"/>
  <c r="G1146" i="2"/>
  <c r="I1146" i="2" s="1"/>
  <c r="H1149" i="2"/>
  <c r="G1158" i="2"/>
  <c r="I1158" i="2" s="1"/>
  <c r="H1161" i="2"/>
  <c r="G1170" i="2"/>
  <c r="I1170" i="2" s="1"/>
  <c r="H1173" i="2"/>
  <c r="G1182" i="2"/>
  <c r="I1182" i="2" s="1"/>
  <c r="H1185" i="2"/>
  <c r="G1194" i="2"/>
  <c r="I1194" i="2" s="1"/>
  <c r="H1197" i="2"/>
  <c r="G1206" i="2"/>
  <c r="I1206" i="2" s="1"/>
  <c r="H1209" i="2"/>
  <c r="G1218" i="2"/>
  <c r="I1218" i="2" s="1"/>
  <c r="H1221" i="2"/>
  <c r="G1230" i="2"/>
  <c r="I1230" i="2" s="1"/>
  <c r="H1233" i="2"/>
  <c r="G1246" i="2"/>
  <c r="I1246" i="2" s="1"/>
  <c r="H1249" i="2"/>
  <c r="G1262" i="2"/>
  <c r="I1262" i="2" s="1"/>
  <c r="H1265" i="2"/>
  <c r="G1278" i="2"/>
  <c r="I1278" i="2" s="1"/>
  <c r="H1281" i="2"/>
  <c r="G1294" i="2"/>
  <c r="I1294" i="2" s="1"/>
  <c r="H1297" i="2"/>
  <c r="H1480" i="2"/>
  <c r="H1317" i="2"/>
  <c r="H1325" i="2"/>
  <c r="H1330" i="2"/>
  <c r="G1394" i="2"/>
  <c r="I1394" i="2" s="1"/>
  <c r="H1408" i="2"/>
  <c r="H1448" i="2"/>
  <c r="H1499" i="2"/>
  <c r="H1501" i="2"/>
  <c r="I1667" i="2"/>
  <c r="H1667" i="2"/>
  <c r="I1852" i="2"/>
  <c r="H1852" i="2"/>
  <c r="H1507" i="2"/>
  <c r="H1416" i="2"/>
  <c r="H1559" i="2"/>
  <c r="H1460" i="2"/>
  <c r="H1608" i="2"/>
  <c r="H1332" i="2"/>
  <c r="H1334" i="2"/>
  <c r="H1341" i="2"/>
  <c r="H1348" i="2"/>
  <c r="H1350" i="2"/>
  <c r="H1357" i="2"/>
  <c r="H1364" i="2"/>
  <c r="H1366" i="2"/>
  <c r="H1373" i="2"/>
  <c r="H1380" i="2"/>
  <c r="H1382" i="2"/>
  <c r="H1403" i="2"/>
  <c r="H1425" i="2"/>
  <c r="H1596" i="2"/>
  <c r="H1642" i="2"/>
  <c r="H1329" i="2"/>
  <c r="H1405" i="2"/>
  <c r="H1436" i="2"/>
  <c r="H1468" i="2"/>
  <c r="I1481" i="2"/>
  <c r="H1481" i="2"/>
  <c r="I1558" i="2"/>
  <c r="H1558" i="2"/>
  <c r="H1574" i="2"/>
  <c r="H1582" i="2"/>
  <c r="I1792" i="2"/>
  <c r="H1792" i="2"/>
  <c r="H1804" i="2"/>
  <c r="I1859" i="2"/>
  <c r="H1859" i="2"/>
  <c r="H1318" i="2"/>
  <c r="H1326" i="2"/>
  <c r="H1338" i="2"/>
  <c r="H1345" i="2"/>
  <c r="H1354" i="2"/>
  <c r="H1361" i="2"/>
  <c r="H1370" i="2"/>
  <c r="H1377" i="2"/>
  <c r="H1386" i="2"/>
  <c r="H1445" i="2"/>
  <c r="H1447" i="2"/>
  <c r="H1489" i="2"/>
  <c r="G1390" i="2"/>
  <c r="I1390" i="2" s="1"/>
  <c r="H1449" i="2"/>
  <c r="H1560" i="2"/>
  <c r="I1807" i="2"/>
  <c r="H1807" i="2"/>
  <c r="H1423" i="2"/>
  <c r="H1428" i="2"/>
  <c r="H1446" i="2"/>
  <c r="H1458" i="2"/>
  <c r="H1487" i="2"/>
  <c r="H1492" i="2"/>
  <c r="H1504" i="2"/>
  <c r="H1519" i="2"/>
  <c r="H1536" i="2"/>
  <c r="G1564" i="2"/>
  <c r="H1569" i="2"/>
  <c r="H1571" i="2"/>
  <c r="I1690" i="2"/>
  <c r="H1690" i="2"/>
  <c r="I1707" i="2"/>
  <c r="H1707" i="2"/>
  <c r="H1856" i="2"/>
  <c r="I1856" i="2"/>
  <c r="H1415" i="2"/>
  <c r="H1420" i="2"/>
  <c r="H1443" i="2"/>
  <c r="H1455" i="2"/>
  <c r="H1467" i="2"/>
  <c r="H1525" i="2"/>
  <c r="H1595" i="2"/>
  <c r="H1787" i="2"/>
  <c r="I1787" i="2"/>
  <c r="H1875" i="2"/>
  <c r="H1881" i="2"/>
  <c r="I1895" i="2"/>
  <c r="H1895" i="2"/>
  <c r="H1435" i="2"/>
  <c r="H1479" i="2"/>
  <c r="H1484" i="2"/>
  <c r="H1494" i="2"/>
  <c r="H1506" i="2"/>
  <c r="H1583" i="2"/>
  <c r="H1585" i="2"/>
  <c r="I1613" i="2"/>
  <c r="H1613" i="2"/>
  <c r="H1402" i="2"/>
  <c r="H1407" i="2"/>
  <c r="H1412" i="2"/>
  <c r="H1440" i="2"/>
  <c r="H1450" i="2"/>
  <c r="H1462" i="2"/>
  <c r="H1474" i="2"/>
  <c r="H1496" i="2"/>
  <c r="H1510" i="2"/>
  <c r="H1529" i="2"/>
  <c r="H1552" i="2"/>
  <c r="H1562" i="2"/>
  <c r="H1427" i="2"/>
  <c r="H1432" i="2"/>
  <c r="H1452" i="2"/>
  <c r="H1464" i="2"/>
  <c r="H1476" i="2"/>
  <c r="H1491" i="2"/>
  <c r="H1503" i="2"/>
  <c r="H1514" i="2"/>
  <c r="H1531" i="2"/>
  <c r="H1570" i="2"/>
  <c r="I1603" i="2"/>
  <c r="H1607" i="2"/>
  <c r="I1760" i="2"/>
  <c r="H1760" i="2"/>
  <c r="H1853" i="2"/>
  <c r="H1419" i="2"/>
  <c r="H1424" i="2"/>
  <c r="H1488" i="2"/>
  <c r="H1520" i="2"/>
  <c r="H1522" i="2"/>
  <c r="I1747" i="2"/>
  <c r="H1747" i="2"/>
  <c r="I1840" i="2"/>
  <c r="H1840" i="2"/>
  <c r="I1864" i="2"/>
  <c r="H1864" i="2"/>
  <c r="I1912" i="2"/>
  <c r="H1912" i="2"/>
  <c r="I1936" i="2"/>
  <c r="H1936" i="2"/>
  <c r="H1396" i="2"/>
  <c r="H1483" i="2"/>
  <c r="H1500" i="2"/>
  <c r="G1517" i="2"/>
  <c r="I1517" i="2" s="1"/>
  <c r="H1526" i="2"/>
  <c r="G1536" i="2"/>
  <c r="I1536" i="2" s="1"/>
  <c r="I1623" i="2"/>
  <c r="H1623" i="2"/>
  <c r="H1896" i="2"/>
  <c r="I1928" i="2"/>
  <c r="G1512" i="2"/>
  <c r="G1524" i="2"/>
  <c r="G1566" i="2"/>
  <c r="H1590" i="2"/>
  <c r="G1616" i="2"/>
  <c r="I1616" i="2" s="1"/>
  <c r="H1646" i="2"/>
  <c r="H1648" i="2"/>
  <c r="H1703" i="2"/>
  <c r="I1816" i="2"/>
  <c r="H1816" i="2"/>
  <c r="H1828" i="2"/>
  <c r="H1543" i="2"/>
  <c r="H1550" i="2"/>
  <c r="H1594" i="2"/>
  <c r="H1612" i="2"/>
  <c r="H1631" i="2"/>
  <c r="H1633" i="2"/>
  <c r="H1716" i="2"/>
  <c r="H1775" i="2"/>
  <c r="H1793" i="2"/>
  <c r="H1842" i="2"/>
  <c r="H1890" i="2"/>
  <c r="H1980" i="2"/>
  <c r="I1980" i="2"/>
  <c r="G1575" i="2"/>
  <c r="I1575" i="2" s="1"/>
  <c r="H1576" i="2"/>
  <c r="H1605" i="2"/>
  <c r="H1658" i="2"/>
  <c r="H1676" i="2"/>
  <c r="H1685" i="2"/>
  <c r="G1737" i="2"/>
  <c r="I1737" i="2" s="1"/>
  <c r="H1799" i="2"/>
  <c r="I1815" i="2"/>
  <c r="H1815" i="2"/>
  <c r="H1858" i="2"/>
  <c r="H1533" i="2"/>
  <c r="H1540" i="2"/>
  <c r="G1544" i="2"/>
  <c r="H1554" i="2"/>
  <c r="H1573" i="2"/>
  <c r="G1586" i="2"/>
  <c r="H1587" i="2"/>
  <c r="G1595" i="2"/>
  <c r="I1595" i="2" s="1"/>
  <c r="H1600" i="2"/>
  <c r="H1618" i="2"/>
  <c r="G1657" i="2"/>
  <c r="I1657" i="2" s="1"/>
  <c r="H1724" i="2"/>
  <c r="G1732" i="2"/>
  <c r="I1732" i="2" s="1"/>
  <c r="H1753" i="2"/>
  <c r="H1809" i="2"/>
  <c r="H1835" i="2"/>
  <c r="I1948" i="2"/>
  <c r="H1948" i="2"/>
  <c r="H1542" i="2"/>
  <c r="G1546" i="2"/>
  <c r="I1546" i="2" s="1"/>
  <c r="H1591" i="2"/>
  <c r="H1611" i="2"/>
  <c r="G1640" i="2"/>
  <c r="I1640" i="2" s="1"/>
  <c r="H1647" i="2"/>
  <c r="H1693" i="2"/>
  <c r="H1748" i="2"/>
  <c r="I1784" i="2"/>
  <c r="H1784" i="2"/>
  <c r="H1919" i="2"/>
  <c r="I1919" i="2"/>
  <c r="G1508" i="2"/>
  <c r="I1508" i="2" s="1"/>
  <c r="G1520" i="2"/>
  <c r="I1520" i="2" s="1"/>
  <c r="G1527" i="2"/>
  <c r="H1528" i="2"/>
  <c r="H1551" i="2"/>
  <c r="G1555" i="2"/>
  <c r="I1555" i="2" s="1"/>
  <c r="G1588" i="2"/>
  <c r="I1588" i="2" s="1"/>
  <c r="H1606" i="2"/>
  <c r="H1624" i="2"/>
  <c r="H1628" i="2"/>
  <c r="H1643" i="2"/>
  <c r="H1713" i="2"/>
  <c r="H1715" i="2"/>
  <c r="G1729" i="2"/>
  <c r="I1729" i="2" s="1"/>
  <c r="H1752" i="2"/>
  <c r="I1752" i="2"/>
  <c r="G1769" i="2"/>
  <c r="I1769" i="2" s="1"/>
  <c r="G1826" i="2"/>
  <c r="G1909" i="2"/>
  <c r="I1909" i="2" s="1"/>
  <c r="G1533" i="2"/>
  <c r="I1533" i="2" s="1"/>
  <c r="G1581" i="2"/>
  <c r="I1581" i="2" s="1"/>
  <c r="H1620" i="2"/>
  <c r="G1625" i="2"/>
  <c r="I1625" i="2" s="1"/>
  <c r="G1639" i="2"/>
  <c r="I1639" i="2" s="1"/>
  <c r="H1684" i="2"/>
  <c r="H1714" i="2"/>
  <c r="I1728" i="2"/>
  <c r="H1728" i="2"/>
  <c r="H1785" i="2"/>
  <c r="H1789" i="2"/>
  <c r="H1860" i="2"/>
  <c r="I1979" i="2"/>
  <c r="H1979" i="2"/>
  <c r="H1983" i="2"/>
  <c r="H1644" i="2"/>
  <c r="H1720" i="2"/>
  <c r="H1737" i="2"/>
  <c r="H1824" i="2"/>
  <c r="G1906" i="2"/>
  <c r="I1906" i="2" s="1"/>
  <c r="H1913" i="2"/>
  <c r="H1968" i="2"/>
  <c r="H1976" i="2"/>
  <c r="G1561" i="2"/>
  <c r="I1561" i="2" s="1"/>
  <c r="H1652" i="2"/>
  <c r="H1683" i="2"/>
  <c r="I1688" i="2"/>
  <c r="H1688" i="2"/>
  <c r="H1710" i="2"/>
  <c r="G1774" i="2"/>
  <c r="I1774" i="2" s="1"/>
  <c r="H1887" i="2"/>
  <c r="H1921" i="2"/>
  <c r="H1972" i="2"/>
  <c r="H1610" i="2"/>
  <c r="H1616" i="2"/>
  <c r="H1702" i="2"/>
  <c r="H1857" i="2"/>
  <c r="H1900" i="2"/>
  <c r="H1904" i="2"/>
  <c r="G1553" i="2"/>
  <c r="I1553" i="2" s="1"/>
  <c r="G1689" i="2"/>
  <c r="I1689" i="2" s="1"/>
  <c r="G1721" i="2"/>
  <c r="I1721" i="2" s="1"/>
  <c r="G1738" i="2"/>
  <c r="I1738" i="2" s="1"/>
  <c r="H1739" i="2"/>
  <c r="H1764" i="2"/>
  <c r="H1801" i="2"/>
  <c r="H1839" i="2"/>
  <c r="H1943" i="2"/>
  <c r="H1955" i="2"/>
  <c r="H1982" i="2"/>
  <c r="I1984" i="2"/>
  <c r="H1984" i="2"/>
  <c r="H1992" i="2"/>
  <c r="H1664" i="2"/>
  <c r="H1704" i="2"/>
  <c r="H1709" i="2"/>
  <c r="H1871" i="2"/>
  <c r="H1880" i="2"/>
  <c r="I1888" i="2"/>
  <c r="H1888" i="2"/>
  <c r="H1897" i="2"/>
  <c r="H1961" i="2"/>
  <c r="H1963" i="2"/>
  <c r="H1967" i="2"/>
  <c r="H1969" i="2"/>
  <c r="G1541" i="2"/>
  <c r="I1541" i="2" s="1"/>
  <c r="G1589" i="2"/>
  <c r="I1589" i="2" s="1"/>
  <c r="H1632" i="2"/>
  <c r="H1656" i="2"/>
  <c r="H1669" i="2"/>
  <c r="H1689" i="2"/>
  <c r="G1750" i="2"/>
  <c r="I1750" i="2" s="1"/>
  <c r="H1756" i="2"/>
  <c r="G1800" i="2"/>
  <c r="I1800" i="2" s="1"/>
  <c r="G1866" i="2"/>
  <c r="I1866" i="2" s="1"/>
  <c r="H1869" i="2"/>
  <c r="H1882" i="2"/>
  <c r="G1637" i="2"/>
  <c r="G1661" i="2"/>
  <c r="I1661" i="2" s="1"/>
  <c r="G1698" i="2"/>
  <c r="G1757" i="2"/>
  <c r="I1757" i="2" s="1"/>
  <c r="H1776" i="2"/>
  <c r="H1781" i="2"/>
  <c r="G1786" i="2"/>
  <c r="I1786" i="2" s="1"/>
  <c r="G1830" i="2"/>
  <c r="H1861" i="2"/>
  <c r="G1978" i="2"/>
  <c r="I1978" i="2" s="1"/>
  <c r="G1605" i="2"/>
  <c r="I1605" i="2" s="1"/>
  <c r="G1629" i="2"/>
  <c r="I1629" i="2" s="1"/>
  <c r="G1653" i="2"/>
  <c r="H1692" i="2"/>
  <c r="H1729" i="2"/>
  <c r="G1782" i="2"/>
  <c r="H1865" i="2"/>
  <c r="G1874" i="2"/>
  <c r="G1898" i="2"/>
  <c r="I1898" i="2" s="1"/>
  <c r="G1666" i="2"/>
  <c r="I1666" i="2" s="1"/>
  <c r="H1670" i="2"/>
  <c r="H1673" i="2"/>
  <c r="G1678" i="2"/>
  <c r="I1678" i="2" s="1"/>
  <c r="H1701" i="2"/>
  <c r="G1706" i="2"/>
  <c r="I1706" i="2" s="1"/>
  <c r="G1762" i="2"/>
  <c r="I1762" i="2" s="1"/>
  <c r="H1766" i="2"/>
  <c r="H1769" i="2"/>
  <c r="H1796" i="2"/>
  <c r="H1817" i="2"/>
  <c r="H1827" i="2"/>
  <c r="G1834" i="2"/>
  <c r="I1834" i="2" s="1"/>
  <c r="H1845" i="2"/>
  <c r="G1854" i="2"/>
  <c r="H1872" i="2"/>
  <c r="H1889" i="2"/>
  <c r="H1901" i="2"/>
  <c r="H1911" i="2"/>
  <c r="H1920" i="2"/>
  <c r="H1932" i="2"/>
  <c r="H1945" i="2"/>
  <c r="H1964" i="2"/>
  <c r="H1987" i="2"/>
  <c r="H1973" i="2"/>
  <c r="H1975" i="2"/>
  <c r="H1915" i="2"/>
  <c r="H1938" i="2"/>
  <c r="G1944" i="2"/>
  <c r="I1944" i="2" s="1"/>
  <c r="H1779" i="2"/>
  <c r="H1800" i="2"/>
  <c r="H1834" i="2"/>
  <c r="H1908" i="2"/>
  <c r="H1954" i="2"/>
  <c r="H1977" i="2"/>
  <c r="G1617" i="2"/>
  <c r="I1617" i="2" s="1"/>
  <c r="G1641" i="2"/>
  <c r="H1681" i="2"/>
  <c r="H1740" i="2"/>
  <c r="G1778" i="2"/>
  <c r="I1778" i="2" s="1"/>
  <c r="G1794" i="2"/>
  <c r="I1794" i="2" s="1"/>
  <c r="H1831" i="2"/>
  <c r="G1892" i="2"/>
  <c r="I1892" i="2" s="1"/>
  <c r="H1905" i="2"/>
  <c r="H1926" i="2"/>
  <c r="H1949" i="2"/>
  <c r="G1953" i="2"/>
  <c r="I1953" i="2" s="1"/>
  <c r="H1993" i="2"/>
  <c r="H1837" i="2"/>
  <c r="H1981" i="2"/>
  <c r="G1850" i="2"/>
  <c r="I1850" i="2" s="1"/>
  <c r="G1922" i="2"/>
  <c r="I1922" i="2" s="1"/>
  <c r="G1994" i="2"/>
  <c r="I1994" i="2" s="1"/>
  <c r="H1813" i="2"/>
  <c r="H1885" i="2"/>
  <c r="H1957" i="2"/>
  <c r="G1878" i="2"/>
  <c r="H1899" i="2"/>
  <c r="H1925" i="2"/>
  <c r="G1930" i="2"/>
  <c r="I1930" i="2" s="1"/>
  <c r="G1950" i="2"/>
  <c r="I1950" i="2" s="1"/>
  <c r="H1971" i="2"/>
  <c r="H1997" i="2"/>
  <c r="G1798" i="2"/>
  <c r="I1798" i="2" s="1"/>
  <c r="G1822" i="2"/>
  <c r="G1846" i="2"/>
  <c r="I1846" i="2" s="1"/>
  <c r="G1870" i="2"/>
  <c r="I1870" i="2" s="1"/>
  <c r="G1894" i="2"/>
  <c r="G1918" i="2"/>
  <c r="I1918" i="2" s="1"/>
  <c r="G1942" i="2"/>
  <c r="I1942" i="2" s="1"/>
  <c r="G1966" i="2"/>
  <c r="G1990" i="2"/>
  <c r="I1990" i="2" s="1"/>
  <c r="G1790" i="2"/>
  <c r="I1790" i="2" s="1"/>
  <c r="G1814" i="2"/>
  <c r="G1838" i="2"/>
  <c r="G1862" i="2"/>
  <c r="G1886" i="2"/>
  <c r="I1886" i="2" s="1"/>
  <c r="G1910" i="2"/>
  <c r="I1910" i="2" s="1"/>
  <c r="G1934" i="2"/>
  <c r="I1934" i="2" s="1"/>
  <c r="G1958" i="2"/>
  <c r="I1958" i="2" s="1"/>
  <c r="G1982" i="2"/>
  <c r="I1982" i="2" s="1"/>
  <c r="H1732" i="2" l="1"/>
  <c r="H618" i="2"/>
  <c r="H368" i="2"/>
  <c r="H1274" i="2"/>
  <c r="H1230" i="2"/>
  <c r="H502" i="2"/>
  <c r="H1091" i="2"/>
  <c r="H404" i="2"/>
  <c r="H1555" i="2"/>
  <c r="H1210" i="2"/>
  <c r="H1123" i="2"/>
  <c r="H1978" i="2"/>
  <c r="H1258" i="2"/>
  <c r="H1198" i="2"/>
  <c r="H686" i="2"/>
  <c r="H1906" i="2"/>
  <c r="H1138" i="2"/>
  <c r="H666" i="2"/>
  <c r="H1170" i="2"/>
  <c r="H658" i="2"/>
  <c r="H397" i="2"/>
  <c r="H1657" i="2"/>
  <c r="H268" i="2"/>
  <c r="H650" i="2"/>
  <c r="H1762" i="2"/>
  <c r="H1227" i="2"/>
  <c r="B4" i="4"/>
  <c r="C4" i="4" s="1"/>
  <c r="I1822" i="2"/>
  <c r="H1822" i="2"/>
  <c r="H1798" i="2"/>
  <c r="H1738" i="2"/>
  <c r="H1517" i="2"/>
  <c r="H1394" i="2"/>
  <c r="H1778" i="2"/>
  <c r="H1158" i="2"/>
  <c r="H1155" i="2"/>
  <c r="H300" i="2"/>
  <c r="H1223" i="2"/>
  <c r="I1782" i="2"/>
  <c r="H1782" i="2"/>
  <c r="H1661" i="2"/>
  <c r="H1794" i="2"/>
  <c r="H1561" i="2"/>
  <c r="H1588" i="2"/>
  <c r="H1378" i="2"/>
  <c r="H1063" i="2"/>
  <c r="H904" i="2"/>
  <c r="H678" i="2"/>
  <c r="I453" i="2"/>
  <c r="H453" i="2"/>
  <c r="H252" i="2"/>
  <c r="B2" i="4" s="1"/>
  <c r="C2" i="4" s="1"/>
  <c r="H1211" i="2"/>
  <c r="H353" i="2"/>
  <c r="H389" i="2"/>
  <c r="I1862" i="2"/>
  <c r="H1862" i="2"/>
  <c r="I1838" i="2"/>
  <c r="H1838" i="2"/>
  <c r="H1698" i="2"/>
  <c r="I1698" i="2"/>
  <c r="H1850" i="2"/>
  <c r="H1846" i="2"/>
  <c r="H1678" i="2"/>
  <c r="H1617" i="2"/>
  <c r="H1910" i="2"/>
  <c r="H1942" i="2"/>
  <c r="H1575" i="2"/>
  <c r="H1174" i="2"/>
  <c r="H1246" i="2"/>
  <c r="H1111" i="2"/>
  <c r="I437" i="2"/>
  <c r="H437" i="2"/>
  <c r="H304" i="2"/>
  <c r="H1790" i="2"/>
  <c r="I1544" i="2"/>
  <c r="H1544" i="2"/>
  <c r="H1541" i="2"/>
  <c r="H1508" i="2"/>
  <c r="H1774" i="2"/>
  <c r="H1870" i="2"/>
  <c r="H1546" i="2"/>
  <c r="I1199" i="2"/>
  <c r="H1199" i="2"/>
  <c r="H1721" i="2"/>
  <c r="H654" i="2"/>
  <c r="I421" i="2"/>
  <c r="H421" i="2"/>
  <c r="H1909" i="2"/>
  <c r="H1666" i="2"/>
  <c r="H1757" i="2"/>
  <c r="H1866" i="2"/>
  <c r="H1930" i="2"/>
  <c r="H1625" i="2"/>
  <c r="I1187" i="2"/>
  <c r="H1187" i="2"/>
  <c r="H1206" i="2"/>
  <c r="H1294" i="2"/>
  <c r="H1182" i="2"/>
  <c r="H392" i="2"/>
  <c r="H425" i="2"/>
  <c r="B3" i="4"/>
  <c r="C3" i="4" s="1"/>
  <c r="I1826" i="2"/>
  <c r="H1826" i="2"/>
  <c r="I1814" i="2"/>
  <c r="H1814" i="2"/>
  <c r="H1750" i="2"/>
  <c r="I1175" i="2"/>
  <c r="H1175" i="2"/>
  <c r="H1134" i="2"/>
  <c r="I1637" i="2"/>
  <c r="H1637" i="2"/>
  <c r="I1641" i="2"/>
  <c r="H1641" i="2"/>
  <c r="I1966" i="2"/>
  <c r="H1966" i="2"/>
  <c r="H1934" i="2"/>
  <c r="H1994" i="2"/>
  <c r="I1527" i="2"/>
  <c r="H1527" i="2"/>
  <c r="H1639" i="2"/>
  <c r="H1898" i="2"/>
  <c r="H1581" i="2"/>
  <c r="H1629" i="2"/>
  <c r="H1640" i="2"/>
  <c r="I1163" i="2"/>
  <c r="H1163" i="2"/>
  <c r="H1390" i="2"/>
  <c r="H1194" i="2"/>
  <c r="H1099" i="2"/>
  <c r="H352" i="2"/>
  <c r="H356" i="2"/>
  <c r="H261" i="2"/>
  <c r="I1586" i="2"/>
  <c r="H1586" i="2"/>
  <c r="I1854" i="2"/>
  <c r="H1854" i="2"/>
  <c r="H1918" i="2"/>
  <c r="H1892" i="2"/>
  <c r="I1566" i="2"/>
  <c r="H1566" i="2"/>
  <c r="H1553" i="2"/>
  <c r="H1314" i="2"/>
  <c r="H1242" i="2"/>
  <c r="H1218" i="2"/>
  <c r="H1262" i="2"/>
  <c r="H1139" i="2"/>
  <c r="H1079" i="2"/>
  <c r="H729" i="2"/>
  <c r="H316" i="2"/>
  <c r="H312" i="2"/>
  <c r="H1953" i="2"/>
  <c r="H344" i="2"/>
  <c r="H441" i="2"/>
  <c r="I1874" i="2"/>
  <c r="H1874" i="2"/>
  <c r="I1878" i="2"/>
  <c r="H1878" i="2"/>
  <c r="H1990" i="2"/>
  <c r="H1886" i="2"/>
  <c r="I1524" i="2"/>
  <c r="H1524" i="2"/>
  <c r="H1950" i="2"/>
  <c r="I1087" i="2"/>
  <c r="H1087" i="2"/>
  <c r="H1146" i="2"/>
  <c r="H1179" i="2"/>
  <c r="H457" i="2"/>
  <c r="H321" i="2"/>
  <c r="H365" i="2"/>
  <c r="H401" i="2"/>
  <c r="H364" i="2"/>
  <c r="H1075" i="2"/>
  <c r="I1653" i="2"/>
  <c r="H1653" i="2"/>
  <c r="I1894" i="2"/>
  <c r="H1894" i="2"/>
  <c r="I1830" i="2"/>
  <c r="H1830" i="2"/>
  <c r="H1706" i="2"/>
  <c r="H1958" i="2"/>
  <c r="H1922" i="2"/>
  <c r="I1512" i="2"/>
  <c r="H1512" i="2"/>
  <c r="H1589" i="2"/>
  <c r="H1944" i="2"/>
  <c r="H1564" i="2"/>
  <c r="I1564" i="2"/>
  <c r="I1127" i="2"/>
  <c r="H1127" i="2"/>
  <c r="H1278" i="2"/>
  <c r="H1322" i="2"/>
  <c r="H264" i="2"/>
  <c r="H276" i="2"/>
  <c r="H361" i="2"/>
  <c r="H341" i="2"/>
  <c r="H1786" i="2"/>
  <c r="H1290" i="2"/>
  <c r="H409" i="2"/>
  <c r="H349" i="2"/>
</calcChain>
</file>

<file path=xl/sharedStrings.xml><?xml version="1.0" encoding="utf-8"?>
<sst xmlns="http://schemas.openxmlformats.org/spreadsheetml/2006/main" count="45148" uniqueCount="15089">
  <si>
    <t>Relief Window ID</t>
  </si>
  <si>
    <t>Notification No</t>
  </si>
  <si>
    <t>Relief Type</t>
  </si>
  <si>
    <t>Tax Period From</t>
  </si>
  <si>
    <t>Tax Period To</t>
  </si>
  <si>
    <t>Filing Date From</t>
  </si>
  <si>
    <t>Filing Date To</t>
  </si>
  <si>
    <t>Return Type</t>
  </si>
  <si>
    <t>Max Late Fee Allowed</t>
  </si>
  <si>
    <t>Window Priority</t>
  </si>
  <si>
    <t>Legal Notes</t>
  </si>
  <si>
    <t>AMN18_JUL17_SEP18</t>
  </si>
  <si>
    <t>76/2018-CT</t>
  </si>
  <si>
    <t>Amnesty</t>
  </si>
  <si>
    <t>Jul-2017</t>
  </si>
  <si>
    <t>Sep-2018</t>
  </si>
  <si>
    <t>22-12-2018</t>
  </si>
  <si>
    <t>31-03-2019</t>
  </si>
  <si>
    <t>ALL</t>
  </si>
  <si>
    <t>Full waiver only if filed in window</t>
  </si>
  <si>
    <t>C19_Mar-2020_NIL</t>
  </si>
  <si>
    <t>41/2020-CT</t>
  </si>
  <si>
    <t>COVID-19</t>
  </si>
  <si>
    <t>Mar-2020</t>
  </si>
  <si>
    <t>01-03-2020</t>
  </si>
  <si>
    <t>30-09-2020</t>
  </si>
  <si>
    <t>NIL</t>
  </si>
  <si>
    <t>COVID NIL waiver</t>
  </si>
  <si>
    <t>C19_Mar-2020_NONNIL</t>
  </si>
  <si>
    <t>NON-NIL</t>
  </si>
  <si>
    <t>COVID NON-NIL cap</t>
  </si>
  <si>
    <t>C19_Apr-2020_NIL</t>
  </si>
  <si>
    <t>Apr-2020</t>
  </si>
  <si>
    <t>C19_Apr-2020_NONNIL</t>
  </si>
  <si>
    <t>C19_May-2020_NIL</t>
  </si>
  <si>
    <t>May-2020</t>
  </si>
  <si>
    <t>C19_May-2020_NONNIL</t>
  </si>
  <si>
    <t>C19_Jun-2020_NIL</t>
  </si>
  <si>
    <t>Jun-2020</t>
  </si>
  <si>
    <t>C19_Jun-2020_NONNIL</t>
  </si>
  <si>
    <t>C19_Jul-2020_NIL</t>
  </si>
  <si>
    <t>Jul-2020</t>
  </si>
  <si>
    <t>C19_Jul-2020_NONNIL</t>
  </si>
  <si>
    <t>NIL_STRUCT</t>
  </si>
  <si>
    <t>Section 47</t>
  </si>
  <si>
    <t>Structural</t>
  </si>
  <si>
    <t>Dec-2099</t>
  </si>
  <si>
    <t>01-07-2017</t>
  </si>
  <si>
    <t>31-12-2099</t>
  </si>
  <si>
    <t>Structural NIL cap</t>
  </si>
  <si>
    <t>STAT_FALLBACK</t>
  </si>
  <si>
    <t>Statutory</t>
  </si>
  <si>
    <t>Statutory fallback</t>
  </si>
  <si>
    <t>GSTIN</t>
  </si>
  <si>
    <t>Tax Period</t>
  </si>
  <si>
    <t>Filing Date</t>
  </si>
  <si>
    <t>Delay Days</t>
  </si>
  <si>
    <t>Normal Late Fee</t>
  </si>
  <si>
    <t>Allowed Max Late Fee</t>
  </si>
  <si>
    <t>Final Late Fee</t>
  </si>
  <si>
    <t>Relief Applied (Notification)</t>
  </si>
  <si>
    <t>27AAAAA0002Z5</t>
  </si>
  <si>
    <t>27AAAAA0003Z5</t>
  </si>
  <si>
    <t>Feb-2018</t>
  </si>
  <si>
    <t>27AAAAA0004Z5</t>
  </si>
  <si>
    <t>27AAAAA0005Z5</t>
  </si>
  <si>
    <t>27AAAAA0006Z5</t>
  </si>
  <si>
    <t>Jun-2019</t>
  </si>
  <si>
    <t>27AAAAA0007Z5</t>
  </si>
  <si>
    <t>27AAAAA0008Z5</t>
  </si>
  <si>
    <t>27AAAAA0009Z5</t>
  </si>
  <si>
    <t>27AAAAA0010Z5</t>
  </si>
  <si>
    <t>Nov-2017</t>
  </si>
  <si>
    <t>27AAAAA0011Z5</t>
  </si>
  <si>
    <t>Sep-2017</t>
  </si>
  <si>
    <t>27AAAAA0012Z5</t>
  </si>
  <si>
    <t>Mar-2023</t>
  </si>
  <si>
    <t>27AAAAA0013Z5</t>
  </si>
  <si>
    <t>Jan-2021</t>
  </si>
  <si>
    <t>27AAAAA0014Z5</t>
  </si>
  <si>
    <t>27AAAAA0015Z5</t>
  </si>
  <si>
    <t>27AAAAA0016Z5</t>
  </si>
  <si>
    <t>27AAAAA0017Z5</t>
  </si>
  <si>
    <t>27AAAAA0018Z5</t>
  </si>
  <si>
    <t>Mar-2018</t>
  </si>
  <si>
    <t>27AAAAA0019Z5</t>
  </si>
  <si>
    <t>Jun-2018</t>
  </si>
  <si>
    <t>27AAAAA0020Z5</t>
  </si>
  <si>
    <t>27AAAAA0021Z5</t>
  </si>
  <si>
    <t>27AAAAA0022Z5</t>
  </si>
  <si>
    <t>27AAAAA0023Z5</t>
  </si>
  <si>
    <t>27AAAAA0024Z5</t>
  </si>
  <si>
    <t>27AAAAA0025Z5</t>
  </si>
  <si>
    <t>27AAAAA0026Z5</t>
  </si>
  <si>
    <t>Dec-2024</t>
  </si>
  <si>
    <t>27AAAAA0027Z5</t>
  </si>
  <si>
    <t>Jan-2019</t>
  </si>
  <si>
    <t>27AAAAA0028Z5</t>
  </si>
  <si>
    <t>27AAAAA0029Z5</t>
  </si>
  <si>
    <t>Dec-2019</t>
  </si>
  <si>
    <t>27AAAAA0030Z5</t>
  </si>
  <si>
    <t>Jul-2018</t>
  </si>
  <si>
    <t>27AAAAA0031Z5</t>
  </si>
  <si>
    <t>27AAAAA0032Z5</t>
  </si>
  <si>
    <t>27AAAAA0033Z5</t>
  </si>
  <si>
    <t>Dec-2017</t>
  </si>
  <si>
    <t>27AAAAA0034Z5</t>
  </si>
  <si>
    <t>27AAAAA0035Z5</t>
  </si>
  <si>
    <t>27AAAAA0036Z5</t>
  </si>
  <si>
    <t>27AAAAA0037Z5</t>
  </si>
  <si>
    <t>27AAAAA0038Z5</t>
  </si>
  <si>
    <t>May-2018</t>
  </si>
  <si>
    <t>27AAAAA0039Z5</t>
  </si>
  <si>
    <t>27AAAAA0040Z5</t>
  </si>
  <si>
    <t>27AAAAA0041Z5</t>
  </si>
  <si>
    <t>Oct-2017</t>
  </si>
  <si>
    <t>27AAAAA0042Z5</t>
  </si>
  <si>
    <t>27AAAAA0043Z5</t>
  </si>
  <si>
    <t>Mar-2021</t>
  </si>
  <si>
    <t>27AAAAA0044Z5</t>
  </si>
  <si>
    <t>27AAAAA0045Z5</t>
  </si>
  <si>
    <t>27AAAAA0046Z5</t>
  </si>
  <si>
    <t>27AAAAA0047Z5</t>
  </si>
  <si>
    <t>27AAAAA0048Z5</t>
  </si>
  <si>
    <t>27AAAAA0049Z5</t>
  </si>
  <si>
    <t>27AAAAA0050Z5</t>
  </si>
  <si>
    <t>27AAAAA0051Z5</t>
  </si>
  <si>
    <t>27AAAAA0052Z5</t>
  </si>
  <si>
    <t>27AAAAA0053Z5</t>
  </si>
  <si>
    <t>27AAAAA0054Z5</t>
  </si>
  <si>
    <t>27AAAAA0055Z5</t>
  </si>
  <si>
    <t>27AAAAA0056Z5</t>
  </si>
  <si>
    <t>27AAAAA0057Z5</t>
  </si>
  <si>
    <t>27AAAAA0058Z5</t>
  </si>
  <si>
    <t>27AAAAA0059Z5</t>
  </si>
  <si>
    <t>27AAAAA0060Z5</t>
  </si>
  <si>
    <t>27AAAAA0061Z5</t>
  </si>
  <si>
    <t>Apr-2021</t>
  </si>
  <si>
    <t>27AAAAA0062Z5</t>
  </si>
  <si>
    <t>27AAAAA0063Z5</t>
  </si>
  <si>
    <t>Aug-2018</t>
  </si>
  <si>
    <t>27AAAAA0064Z5</t>
  </si>
  <si>
    <t>Aug-2017</t>
  </si>
  <si>
    <t>27AAAAA0065Z5</t>
  </si>
  <si>
    <t>27AAAAA0066Z5</t>
  </si>
  <si>
    <t>27AAAAA0067Z5</t>
  </si>
  <si>
    <t>27AAAAA0068Z5</t>
  </si>
  <si>
    <t>27AAAAA0069Z5</t>
  </si>
  <si>
    <t>27AAAAA0070Z5</t>
  </si>
  <si>
    <t>27AAAAA0071Z5</t>
  </si>
  <si>
    <t>27AAAAA0072Z5</t>
  </si>
  <si>
    <t>Jan-2018</t>
  </si>
  <si>
    <t>27AAAAA0073Z5</t>
  </si>
  <si>
    <t>27AAAAA0074Z5</t>
  </si>
  <si>
    <t>27AAAAA0075Z5</t>
  </si>
  <si>
    <t>27AAAAA0076Z5</t>
  </si>
  <si>
    <t>Apr-2018</t>
  </si>
  <si>
    <t>27AAAAA0077Z5</t>
  </si>
  <si>
    <t>27AAAAA0078Z5</t>
  </si>
  <si>
    <t>27AAAAA0079Z5</t>
  </si>
  <si>
    <t>27AAAAA0080Z5</t>
  </si>
  <si>
    <t>27AAAAA0081Z5</t>
  </si>
  <si>
    <t>27AAAAA0082Z5</t>
  </si>
  <si>
    <t>27AAAAA0083Z5</t>
  </si>
  <si>
    <t>27AAAAA0084Z5</t>
  </si>
  <si>
    <t>27AAAAA0085Z5</t>
  </si>
  <si>
    <t>27AAAAA0086Z5</t>
  </si>
  <si>
    <t>27AAAAA0087Z5</t>
  </si>
  <si>
    <t>27AAAAA0088Z5</t>
  </si>
  <si>
    <t>27AAAAA0089Z5</t>
  </si>
  <si>
    <t>27AAAAA0090Z5</t>
  </si>
  <si>
    <t>27AAAAA0091Z5</t>
  </si>
  <si>
    <t>27AAAAA0092Z5</t>
  </si>
  <si>
    <t>27AAAAA0093Z5</t>
  </si>
  <si>
    <t>27AAAAA0094Z5</t>
  </si>
  <si>
    <t>Dec-2022</t>
  </si>
  <si>
    <t>27AAAAA0095Z5</t>
  </si>
  <si>
    <t>27AAAAA0096Z5</t>
  </si>
  <si>
    <t>27AAAAA0097Z5</t>
  </si>
  <si>
    <t>27AAAAA0098Z5</t>
  </si>
  <si>
    <t>27AAAAA0099Z5</t>
  </si>
  <si>
    <t>27AAAAA0100Z5</t>
  </si>
  <si>
    <t>27AAAAA0101Z5</t>
  </si>
  <si>
    <t>27AAAAA0102Z5</t>
  </si>
  <si>
    <t>27AAAAA0103Z5</t>
  </si>
  <si>
    <t>27AAAAA0104Z5</t>
  </si>
  <si>
    <t>27AAAAA0105Z5</t>
  </si>
  <si>
    <t>27AAAAA0106Z5</t>
  </si>
  <si>
    <t>27AAAAA0107Z5</t>
  </si>
  <si>
    <t>27AAAAA0108Z5</t>
  </si>
  <si>
    <t>27AAAAA0109Z5</t>
  </si>
  <si>
    <t>27AAAAA0110Z5</t>
  </si>
  <si>
    <t>27AAAAA0111Z5</t>
  </si>
  <si>
    <t>27AAAAA0112Z5</t>
  </si>
  <si>
    <t>27AAAAA0113Z5</t>
  </si>
  <si>
    <t>27AAAAA0114Z5</t>
  </si>
  <si>
    <t>27AAAAA0115Z5</t>
  </si>
  <si>
    <t>27AAAAA0116Z5</t>
  </si>
  <si>
    <t>27AAAAA0117Z5</t>
  </si>
  <si>
    <t>27AAAAA0118Z5</t>
  </si>
  <si>
    <t>27AAAAA0119Z5</t>
  </si>
  <si>
    <t>27AAAAA0120Z5</t>
  </si>
  <si>
    <t>27AAAAA0121Z5</t>
  </si>
  <si>
    <t>27AAAAA0122Z5</t>
  </si>
  <si>
    <t>27AAAAA0123Z5</t>
  </si>
  <si>
    <t>27AAAAA0124Z5</t>
  </si>
  <si>
    <t>27AAAAA0125Z5</t>
  </si>
  <si>
    <t>27AAAAA0126Z5</t>
  </si>
  <si>
    <t>27AAAAA0127Z5</t>
  </si>
  <si>
    <t>27AAAAA0128Z5</t>
  </si>
  <si>
    <t>27AAAAA0129Z5</t>
  </si>
  <si>
    <t>27AAAAA0130Z5</t>
  </si>
  <si>
    <t>27AAAAA0131Z5</t>
  </si>
  <si>
    <t>27AAAAA0132Z5</t>
  </si>
  <si>
    <t>27AAAAA0133Z5</t>
  </si>
  <si>
    <t>27AAAAA0134Z5</t>
  </si>
  <si>
    <t>27AAAAA0135Z5</t>
  </si>
  <si>
    <t>27AAAAA0136Z5</t>
  </si>
  <si>
    <t>27AAAAA0137Z5</t>
  </si>
  <si>
    <t>27AAAAA0138Z5</t>
  </si>
  <si>
    <t>27AAAAA0139Z5</t>
  </si>
  <si>
    <t>27AAAAA0140Z5</t>
  </si>
  <si>
    <t>27AAAAA0141Z5</t>
  </si>
  <si>
    <t>27AAAAA0142Z5</t>
  </si>
  <si>
    <t>27AAAAA0143Z5</t>
  </si>
  <si>
    <t>27AAAAA0144Z5</t>
  </si>
  <si>
    <t>27AAAAA0145Z5</t>
  </si>
  <si>
    <t>27AAAAA0146Z5</t>
  </si>
  <si>
    <t>27AAAAA0147Z5</t>
  </si>
  <si>
    <t>27AAAAA0148Z5</t>
  </si>
  <si>
    <t>27AAAAA0149Z5</t>
  </si>
  <si>
    <t>27AAAAA0150Z5</t>
  </si>
  <si>
    <t>27AAAAA0151Z5</t>
  </si>
  <si>
    <t>27AAAAA0152Z5</t>
  </si>
  <si>
    <t>27AAAAA0153Z5</t>
  </si>
  <si>
    <t>27AAAAA0154Z5</t>
  </si>
  <si>
    <t>27AAAAA0155Z5</t>
  </si>
  <si>
    <t>27AAAAA0156Z5</t>
  </si>
  <si>
    <t>27AAAAA0157Z5</t>
  </si>
  <si>
    <t>27AAAAA0158Z5</t>
  </si>
  <si>
    <t>27AAAAA0159Z5</t>
  </si>
  <si>
    <t>27AAAAA0160Z5</t>
  </si>
  <si>
    <t>27AAAAA0161Z5</t>
  </si>
  <si>
    <t>27AAAAA0162Z5</t>
  </si>
  <si>
    <t>27AAAAA0163Z5</t>
  </si>
  <si>
    <t>27AAAAA0164Z5</t>
  </si>
  <si>
    <t>27AAAAA0165Z5</t>
  </si>
  <si>
    <t>27AAAAA0166Z5</t>
  </si>
  <si>
    <t>27AAAAA0167Z5</t>
  </si>
  <si>
    <t>27AAAAA0168Z5</t>
  </si>
  <si>
    <t>27AAAAA0169Z5</t>
  </si>
  <si>
    <t>27AAAAA0170Z5</t>
  </si>
  <si>
    <t>27AAAAA0171Z5</t>
  </si>
  <si>
    <t>27AAAAA0172Z5</t>
  </si>
  <si>
    <t>27AAAAA0173Z5</t>
  </si>
  <si>
    <t>27AAAAA0174Z5</t>
  </si>
  <si>
    <t>27AAAAA0175Z5</t>
  </si>
  <si>
    <t>27AAAAA0176Z5</t>
  </si>
  <si>
    <t>27AAAAA0177Z5</t>
  </si>
  <si>
    <t>27AAAAA0178Z5</t>
  </si>
  <si>
    <t>27AAAAA0179Z5</t>
  </si>
  <si>
    <t>27AAAAA0180Z5</t>
  </si>
  <si>
    <t>27AAAAA0181Z5</t>
  </si>
  <si>
    <t>27AAAAA0182Z5</t>
  </si>
  <si>
    <t>27AAAAA0183Z5</t>
  </si>
  <si>
    <t>27AAAAA0184Z5</t>
  </si>
  <si>
    <t>27AAAAA0185Z5</t>
  </si>
  <si>
    <t>27AAAAA0186Z5</t>
  </si>
  <si>
    <t>27AAAAA0187Z5</t>
  </si>
  <si>
    <t>27AAAAA0188Z5</t>
  </si>
  <si>
    <t>27AAAAA0189Z5</t>
  </si>
  <si>
    <t>27AAAAA0190Z5</t>
  </si>
  <si>
    <t>27AAAAA0191Z5</t>
  </si>
  <si>
    <t>27AAAAA0192Z5</t>
  </si>
  <si>
    <t>27AAAAA0193Z5</t>
  </si>
  <si>
    <t>27AAAAA0194Z5</t>
  </si>
  <si>
    <t>27AAAAA0195Z5</t>
  </si>
  <si>
    <t>27AAAAA0196Z5</t>
  </si>
  <si>
    <t>27AAAAA0197Z5</t>
  </si>
  <si>
    <t>27AAAAA0198Z5</t>
  </si>
  <si>
    <t>27AAAAA0199Z5</t>
  </si>
  <si>
    <t>27AAAAA0200Z5</t>
  </si>
  <si>
    <t>27AAAAA0201Z5</t>
  </si>
  <si>
    <t>27AAAAA0202Z5</t>
  </si>
  <si>
    <t>27AAAAA0203Z5</t>
  </si>
  <si>
    <t>27AAAAA0204Z5</t>
  </si>
  <si>
    <t>27AAAAA0205Z5</t>
  </si>
  <si>
    <t>27AAAAA0206Z5</t>
  </si>
  <si>
    <t>27AAAAA0207Z5</t>
  </si>
  <si>
    <t>27AAAAA0208Z5</t>
  </si>
  <si>
    <t>27AAAAA0209Z5</t>
  </si>
  <si>
    <t>27AAAAA0210Z5</t>
  </si>
  <si>
    <t>27AAAAA0211Z5</t>
  </si>
  <si>
    <t>27AAAAA0212Z5</t>
  </si>
  <si>
    <t>27AAAAA0213Z5</t>
  </si>
  <si>
    <t>27AAAAA0214Z5</t>
  </si>
  <si>
    <t>27AAAAA0215Z5</t>
  </si>
  <si>
    <t>27AAAAA0216Z5</t>
  </si>
  <si>
    <t>27AAAAA0217Z5</t>
  </si>
  <si>
    <t>27AAAAA0218Z5</t>
  </si>
  <si>
    <t>27AAAAA0219Z5</t>
  </si>
  <si>
    <t>27AAAAA0220Z5</t>
  </si>
  <si>
    <t>27AAAAA0221Z5</t>
  </si>
  <si>
    <t>27AAAAA0222Z5</t>
  </si>
  <si>
    <t>27AAAAA0223Z5</t>
  </si>
  <si>
    <t>27AAAAA0224Z5</t>
  </si>
  <si>
    <t>27AAAAA0225Z5</t>
  </si>
  <si>
    <t>27AAAAA0226Z5</t>
  </si>
  <si>
    <t>27AAAAA0227Z5</t>
  </si>
  <si>
    <t>27AAAAA0228Z5</t>
  </si>
  <si>
    <t>27AAAAA0229Z5</t>
  </si>
  <si>
    <t>27AAAAA0230Z5</t>
  </si>
  <si>
    <t>27AAAAA0231Z5</t>
  </si>
  <si>
    <t>27AAAAA0232Z5</t>
  </si>
  <si>
    <t>27AAAAA0233Z5</t>
  </si>
  <si>
    <t>27AAAAA0234Z5</t>
  </si>
  <si>
    <t>27AAAAA0235Z5</t>
  </si>
  <si>
    <t>27AAAAA0236Z5</t>
  </si>
  <si>
    <t>27AAAAA0237Z5</t>
  </si>
  <si>
    <t>27AAAAA0238Z5</t>
  </si>
  <si>
    <t>27AAAAA0239Z5</t>
  </si>
  <si>
    <t>27AAAAA0240Z5</t>
  </si>
  <si>
    <t>27AAAAA0241Z5</t>
  </si>
  <si>
    <t>27AAAAA0242Z5</t>
  </si>
  <si>
    <t>27AAAAA0243Z5</t>
  </si>
  <si>
    <t>27AAAAA0244Z5</t>
  </si>
  <si>
    <t>27AAAAA0245Z5</t>
  </si>
  <si>
    <t>27AAAAA0246Z5</t>
  </si>
  <si>
    <t>27AAAAA0247Z5</t>
  </si>
  <si>
    <t>27AAAAA0248Z5</t>
  </si>
  <si>
    <t>27AAAAA0249Z5</t>
  </si>
  <si>
    <t>27AAAAA0250Z5</t>
  </si>
  <si>
    <t>27AAAAA0251Z5</t>
  </si>
  <si>
    <t>27AAAAA0252Z5</t>
  </si>
  <si>
    <t>27AAAAA0253Z5</t>
  </si>
  <si>
    <t>27AAAAA0254Z5</t>
  </si>
  <si>
    <t>27AAAAA0255Z5</t>
  </si>
  <si>
    <t>27AAAAA0256Z5</t>
  </si>
  <si>
    <t>27AAAAA0257Z5</t>
  </si>
  <si>
    <t>27AAAAA0258Z5</t>
  </si>
  <si>
    <t>27AAAAA0259Z5</t>
  </si>
  <si>
    <t>27AAAAA0260Z5</t>
  </si>
  <si>
    <t>27AAAAA0261Z5</t>
  </si>
  <si>
    <t>27AAAAA0262Z5</t>
  </si>
  <si>
    <t>27AAAAA0263Z5</t>
  </si>
  <si>
    <t>27AAAAA0264Z5</t>
  </si>
  <si>
    <t>27AAAAA0265Z5</t>
  </si>
  <si>
    <t>27AAAAA0266Z5</t>
  </si>
  <si>
    <t>27AAAAA0267Z5</t>
  </si>
  <si>
    <t>27AAAAA0268Z5</t>
  </si>
  <si>
    <t>27AAAAA0269Z5</t>
  </si>
  <si>
    <t>27AAAAA0270Z5</t>
  </si>
  <si>
    <t>27AAAAA0271Z5</t>
  </si>
  <si>
    <t>27AAAAA0272Z5</t>
  </si>
  <si>
    <t>27AAAAA0273Z5</t>
  </si>
  <si>
    <t>27AAAAA0274Z5</t>
  </si>
  <si>
    <t>27AAAAA0275Z5</t>
  </si>
  <si>
    <t>27AAAAA0276Z5</t>
  </si>
  <si>
    <t>27AAAAA0277Z5</t>
  </si>
  <si>
    <t>27AAAAA0278Z5</t>
  </si>
  <si>
    <t>27AAAAA0279Z5</t>
  </si>
  <si>
    <t>27AAAAA0280Z5</t>
  </si>
  <si>
    <t>27AAAAA0281Z5</t>
  </si>
  <si>
    <t>27AAAAA0282Z5</t>
  </si>
  <si>
    <t>27AAAAA0283Z5</t>
  </si>
  <si>
    <t>27AAAAA0284Z5</t>
  </si>
  <si>
    <t>27AAAAA0285Z5</t>
  </si>
  <si>
    <t>27AAAAA0286Z5</t>
  </si>
  <si>
    <t>27AAAAA0287Z5</t>
  </si>
  <si>
    <t>27AAAAA0288Z5</t>
  </si>
  <si>
    <t>27AAAAA0289Z5</t>
  </si>
  <si>
    <t>27AAAAA0290Z5</t>
  </si>
  <si>
    <t>27AAAAA0291Z5</t>
  </si>
  <si>
    <t>27AAAAA0292Z5</t>
  </si>
  <si>
    <t>27AAAAA0293Z5</t>
  </si>
  <si>
    <t>27AAAAA0294Z5</t>
  </si>
  <si>
    <t>27AAAAA0295Z5</t>
  </si>
  <si>
    <t>27AAAAA0296Z5</t>
  </si>
  <si>
    <t>27AAAAA0297Z5</t>
  </si>
  <si>
    <t>27AAAAA0298Z5</t>
  </si>
  <si>
    <t>27AAAAA0299Z5</t>
  </si>
  <si>
    <t>27AAAAA0300Z5</t>
  </si>
  <si>
    <t>27AAAAA0301Z5</t>
  </si>
  <si>
    <t>27AAAAA0302Z5</t>
  </si>
  <si>
    <t>27AAAAA0303Z5</t>
  </si>
  <si>
    <t>27AAAAA0304Z5</t>
  </si>
  <si>
    <t>27AAAAA0305Z5</t>
  </si>
  <si>
    <t>27AAAAA0306Z5</t>
  </si>
  <si>
    <t>27AAAAA0307Z5</t>
  </si>
  <si>
    <t>27AAAAA0308Z5</t>
  </si>
  <si>
    <t>27AAAAA0309Z5</t>
  </si>
  <si>
    <t>27AAAAA0310Z5</t>
  </si>
  <si>
    <t>27AAAAA0311Z5</t>
  </si>
  <si>
    <t>27AAAAA0312Z5</t>
  </si>
  <si>
    <t>27AAAAA0313Z5</t>
  </si>
  <si>
    <t>27AAAAA0314Z5</t>
  </si>
  <si>
    <t>27AAAAA0315Z5</t>
  </si>
  <si>
    <t>27AAAAA0316Z5</t>
  </si>
  <si>
    <t>27AAAAA0317Z5</t>
  </si>
  <si>
    <t>27AAAAA0318Z5</t>
  </si>
  <si>
    <t>27AAAAA0319Z5</t>
  </si>
  <si>
    <t>27AAAAA0320Z5</t>
  </si>
  <si>
    <t>27AAAAA0321Z5</t>
  </si>
  <si>
    <t>27AAAAA0322Z5</t>
  </si>
  <si>
    <t>27AAAAA0323Z5</t>
  </si>
  <si>
    <t>27AAAAA0324Z5</t>
  </si>
  <si>
    <t>27AAAAA0325Z5</t>
  </si>
  <si>
    <t>27AAAAA0326Z5</t>
  </si>
  <si>
    <t>27AAAAA0327Z5</t>
  </si>
  <si>
    <t>27AAAAA0328Z5</t>
  </si>
  <si>
    <t>27AAAAA0329Z5</t>
  </si>
  <si>
    <t>27AAAAA0330Z5</t>
  </si>
  <si>
    <t>27AAAAA0331Z5</t>
  </si>
  <si>
    <t>27AAAAA0332Z5</t>
  </si>
  <si>
    <t>27AAAAA0333Z5</t>
  </si>
  <si>
    <t>27AAAAA0334Z5</t>
  </si>
  <si>
    <t>27AAAAA0335Z5</t>
  </si>
  <si>
    <t>27AAAAA0336Z5</t>
  </si>
  <si>
    <t>27AAAAA0337Z5</t>
  </si>
  <si>
    <t>27AAAAA0338Z5</t>
  </si>
  <si>
    <t>27AAAAA0339Z5</t>
  </si>
  <si>
    <t>27AAAAA0340Z5</t>
  </si>
  <si>
    <t>27AAAAA0341Z5</t>
  </si>
  <si>
    <t>27AAAAA0342Z5</t>
  </si>
  <si>
    <t>27AAAAA0343Z5</t>
  </si>
  <si>
    <t>27AAAAA0344Z5</t>
  </si>
  <si>
    <t>27AAAAA0345Z5</t>
  </si>
  <si>
    <t>27AAAAA0346Z5</t>
  </si>
  <si>
    <t>27AAAAA0347Z5</t>
  </si>
  <si>
    <t>27AAAAA0348Z5</t>
  </si>
  <si>
    <t>27AAAAA0349Z5</t>
  </si>
  <si>
    <t>27AAAAA0350Z5</t>
  </si>
  <si>
    <t>27AAAAA0351Z5</t>
  </si>
  <si>
    <t>27AAAAA0352Z5</t>
  </si>
  <si>
    <t>27AAAAA0353Z5</t>
  </si>
  <si>
    <t>27AAAAA0354Z5</t>
  </si>
  <si>
    <t>27AAAAA0355Z5</t>
  </si>
  <si>
    <t>27AAAAA0356Z5</t>
  </si>
  <si>
    <t>27AAAAA0357Z5</t>
  </si>
  <si>
    <t>27AAAAA0358Z5</t>
  </si>
  <si>
    <t>27AAAAA0359Z5</t>
  </si>
  <si>
    <t>27AAAAA0360Z5</t>
  </si>
  <si>
    <t>27AAAAA0361Z5</t>
  </si>
  <si>
    <t>27AAAAA0362Z5</t>
  </si>
  <si>
    <t>27AAAAA0363Z5</t>
  </si>
  <si>
    <t>27AAAAA0364Z5</t>
  </si>
  <si>
    <t>27AAAAA0365Z5</t>
  </si>
  <si>
    <t>27AAAAA0366Z5</t>
  </si>
  <si>
    <t>27AAAAA0367Z5</t>
  </si>
  <si>
    <t>27AAAAA0368Z5</t>
  </si>
  <si>
    <t>27AAAAA0369Z5</t>
  </si>
  <si>
    <t>27AAAAA0370Z5</t>
  </si>
  <si>
    <t>27AAAAA0371Z5</t>
  </si>
  <si>
    <t>27AAAAA0372Z5</t>
  </si>
  <si>
    <t>27AAAAA0373Z5</t>
  </si>
  <si>
    <t>27AAAAA0374Z5</t>
  </si>
  <si>
    <t>27AAAAA0375Z5</t>
  </si>
  <si>
    <t>27AAAAA0376Z5</t>
  </si>
  <si>
    <t>27AAAAA0377Z5</t>
  </si>
  <si>
    <t>27AAAAA0378Z5</t>
  </si>
  <si>
    <t>27AAAAA0379Z5</t>
  </si>
  <si>
    <t>27AAAAA0380Z5</t>
  </si>
  <si>
    <t>27AAAAA0381Z5</t>
  </si>
  <si>
    <t>27AAAAA0382Z5</t>
  </si>
  <si>
    <t>27AAAAA0383Z5</t>
  </si>
  <si>
    <t>27AAAAA0384Z5</t>
  </si>
  <si>
    <t>27AAAAA0385Z5</t>
  </si>
  <si>
    <t>27AAAAA0386Z5</t>
  </si>
  <si>
    <t>27AAAAA0387Z5</t>
  </si>
  <si>
    <t>27AAAAA0388Z5</t>
  </si>
  <si>
    <t>27AAAAA0389Z5</t>
  </si>
  <si>
    <t>27AAAAA0390Z5</t>
  </si>
  <si>
    <t>27AAAAA0391Z5</t>
  </si>
  <si>
    <t>27AAAAA0392Z5</t>
  </si>
  <si>
    <t>27AAAAA0393Z5</t>
  </si>
  <si>
    <t>27AAAAA0394Z5</t>
  </si>
  <si>
    <t>27AAAAA0395Z5</t>
  </si>
  <si>
    <t>27AAAAA0396Z5</t>
  </si>
  <si>
    <t>27AAAAA0397Z5</t>
  </si>
  <si>
    <t>27AAAAA0398Z5</t>
  </si>
  <si>
    <t>27AAAAA0399Z5</t>
  </si>
  <si>
    <t>27AAAAA0400Z5</t>
  </si>
  <si>
    <t>27AAAAA0401Z5</t>
  </si>
  <si>
    <t>27AAAAA0402Z5</t>
  </si>
  <si>
    <t>27AAAAA0403Z5</t>
  </si>
  <si>
    <t>27AAAAA0404Z5</t>
  </si>
  <si>
    <t>27AAAAA0405Z5</t>
  </si>
  <si>
    <t>27AAAAA0406Z5</t>
  </si>
  <si>
    <t>27AAAAA0407Z5</t>
  </si>
  <si>
    <t>27AAAAA0408Z5</t>
  </si>
  <si>
    <t>27AAAAA0409Z5</t>
  </si>
  <si>
    <t>27AAAAA0410Z5</t>
  </si>
  <si>
    <t>27AAAAA0411Z5</t>
  </si>
  <si>
    <t>27AAAAA0412Z5</t>
  </si>
  <si>
    <t>27AAAAA0413Z5</t>
  </si>
  <si>
    <t>27AAAAA0414Z5</t>
  </si>
  <si>
    <t>27AAAAA0415Z5</t>
  </si>
  <si>
    <t>27AAAAA0416Z5</t>
  </si>
  <si>
    <t>27AAAAA0417Z5</t>
  </si>
  <si>
    <t>27AAAAA0418Z5</t>
  </si>
  <si>
    <t>27AAAAA0419Z5</t>
  </si>
  <si>
    <t>27AAAAA0420Z5</t>
  </si>
  <si>
    <t>27AAAAA0421Z5</t>
  </si>
  <si>
    <t>27AAAAA0422Z5</t>
  </si>
  <si>
    <t>27AAAAA0423Z5</t>
  </si>
  <si>
    <t>27AAAAA0424Z5</t>
  </si>
  <si>
    <t>27AAAAA0425Z5</t>
  </si>
  <si>
    <t>27AAAAA0426Z5</t>
  </si>
  <si>
    <t>27AAAAA0427Z5</t>
  </si>
  <si>
    <t>27AAAAA0428Z5</t>
  </si>
  <si>
    <t>27AAAAA0429Z5</t>
  </si>
  <si>
    <t>27AAAAA0430Z5</t>
  </si>
  <si>
    <t>27AAAAA0431Z5</t>
  </si>
  <si>
    <t>27AAAAA0432Z5</t>
  </si>
  <si>
    <t>27AAAAA0433Z5</t>
  </si>
  <si>
    <t>27AAAAA0434Z5</t>
  </si>
  <si>
    <t>27AAAAA0435Z5</t>
  </si>
  <si>
    <t>27AAAAA0436Z5</t>
  </si>
  <si>
    <t>27AAAAA0437Z5</t>
  </si>
  <si>
    <t>27AAAAA0438Z5</t>
  </si>
  <si>
    <t>27AAAAA0439Z5</t>
  </si>
  <si>
    <t>27AAAAA0440Z5</t>
  </si>
  <si>
    <t>27AAAAA0441Z5</t>
  </si>
  <si>
    <t>27AAAAA0442Z5</t>
  </si>
  <si>
    <t>27AAAAA0443Z5</t>
  </si>
  <si>
    <t>27AAAAA0444Z5</t>
  </si>
  <si>
    <t>27AAAAA0445Z5</t>
  </si>
  <si>
    <t>27AAAAA0446Z5</t>
  </si>
  <si>
    <t>27AAAAA0447Z5</t>
  </si>
  <si>
    <t>27AAAAA0448Z5</t>
  </si>
  <si>
    <t>27AAAAA0449Z5</t>
  </si>
  <si>
    <t>27AAAAA0450Z5</t>
  </si>
  <si>
    <t>27AAAAA0451Z5</t>
  </si>
  <si>
    <t>27AAAAA0452Z5</t>
  </si>
  <si>
    <t>27AAAAA0453Z5</t>
  </si>
  <si>
    <t>27AAAAA0454Z5</t>
  </si>
  <si>
    <t>27AAAAA0455Z5</t>
  </si>
  <si>
    <t>27AAAAA0456Z5</t>
  </si>
  <si>
    <t>27AAAAA0457Z5</t>
  </si>
  <si>
    <t>27AAAAA0458Z5</t>
  </si>
  <si>
    <t>27AAAAA0459Z5</t>
  </si>
  <si>
    <t>27AAAAA0460Z5</t>
  </si>
  <si>
    <t>27AAAAA0461Z5</t>
  </si>
  <si>
    <t>27AAAAA0462Z5</t>
  </si>
  <si>
    <t>27AAAAA0463Z5</t>
  </si>
  <si>
    <t>27AAAAA0464Z5</t>
  </si>
  <si>
    <t>27AAAAA0465Z5</t>
  </si>
  <si>
    <t>27AAAAA0466Z5</t>
  </si>
  <si>
    <t>27AAAAA0467Z5</t>
  </si>
  <si>
    <t>27AAAAA0468Z5</t>
  </si>
  <si>
    <t>27AAAAA0469Z5</t>
  </si>
  <si>
    <t>27AAAAA0470Z5</t>
  </si>
  <si>
    <t>27AAAAA0471Z5</t>
  </si>
  <si>
    <t>27AAAAA0472Z5</t>
  </si>
  <si>
    <t>27AAAAA0473Z5</t>
  </si>
  <si>
    <t>27AAAAA0474Z5</t>
  </si>
  <si>
    <t>27AAAAA0475Z5</t>
  </si>
  <si>
    <t>27AAAAA0476Z5</t>
  </si>
  <si>
    <t>27AAAAA0477Z5</t>
  </si>
  <si>
    <t>27AAAAA0478Z5</t>
  </si>
  <si>
    <t>27AAAAA0479Z5</t>
  </si>
  <si>
    <t>27AAAAA0480Z5</t>
  </si>
  <si>
    <t>27AAAAA0481Z5</t>
  </si>
  <si>
    <t>27AAAAA0482Z5</t>
  </si>
  <si>
    <t>27AAAAA0483Z5</t>
  </si>
  <si>
    <t>27AAAAA0484Z5</t>
  </si>
  <si>
    <t>27AAAAA0485Z5</t>
  </si>
  <si>
    <t>27AAAAA0486Z5</t>
  </si>
  <si>
    <t>27AAAAA0487Z5</t>
  </si>
  <si>
    <t>27AAAAA0488Z5</t>
  </si>
  <si>
    <t>27AAAAA0489Z5</t>
  </si>
  <si>
    <t>27AAAAA0490Z5</t>
  </si>
  <si>
    <t>27AAAAA0491Z5</t>
  </si>
  <si>
    <t>27AAAAA0492Z5</t>
  </si>
  <si>
    <t>27AAAAA0493Z5</t>
  </si>
  <si>
    <t>27AAAAA0494Z5</t>
  </si>
  <si>
    <t>27AAAAA0495Z5</t>
  </si>
  <si>
    <t>27AAAAA0496Z5</t>
  </si>
  <si>
    <t>27AAAAA0497Z5</t>
  </si>
  <si>
    <t>27AAAAA0498Z5</t>
  </si>
  <si>
    <t>27AAAAA0499Z5</t>
  </si>
  <si>
    <t>27AAAAA0500Z5</t>
  </si>
  <si>
    <t>27AAAAA0501Z5</t>
  </si>
  <si>
    <t>27AAAAA0502Z5</t>
  </si>
  <si>
    <t>27AAAAA0503Z5</t>
  </si>
  <si>
    <t>27AAAAA0504Z5</t>
  </si>
  <si>
    <t>27AAAAA0505Z5</t>
  </si>
  <si>
    <t>27AAAAA0506Z5</t>
  </si>
  <si>
    <t>27AAAAA0507Z5</t>
  </si>
  <si>
    <t>27AAAAA0508Z5</t>
  </si>
  <si>
    <t>27AAAAA0509Z5</t>
  </si>
  <si>
    <t>27AAAAA0510Z5</t>
  </si>
  <si>
    <t>27AAAAA0511Z5</t>
  </si>
  <si>
    <t>27AAAAA0512Z5</t>
  </si>
  <si>
    <t>27AAAAA0513Z5</t>
  </si>
  <si>
    <t>27AAAAA0514Z5</t>
  </si>
  <si>
    <t>27AAAAA0515Z5</t>
  </si>
  <si>
    <t>27AAAAA0516Z5</t>
  </si>
  <si>
    <t>27AAAAA0517Z5</t>
  </si>
  <si>
    <t>27AAAAA0518Z5</t>
  </si>
  <si>
    <t>27AAAAA0519Z5</t>
  </si>
  <si>
    <t>27AAAAA0520Z5</t>
  </si>
  <si>
    <t>27AAAAA0521Z5</t>
  </si>
  <si>
    <t>27AAAAA0522Z5</t>
  </si>
  <si>
    <t>27AAAAA0523Z5</t>
  </si>
  <si>
    <t>27AAAAA0524Z5</t>
  </si>
  <si>
    <t>27AAAAA0525Z5</t>
  </si>
  <si>
    <t>27AAAAA0526Z5</t>
  </si>
  <si>
    <t>27AAAAA0527Z5</t>
  </si>
  <si>
    <t>27AAAAA0528Z5</t>
  </si>
  <si>
    <t>27AAAAA0529Z5</t>
  </si>
  <si>
    <t>27AAAAA0530Z5</t>
  </si>
  <si>
    <t>27AAAAA0531Z5</t>
  </si>
  <si>
    <t>27AAAAA0532Z5</t>
  </si>
  <si>
    <t>27AAAAA0533Z5</t>
  </si>
  <si>
    <t>27AAAAA0534Z5</t>
  </si>
  <si>
    <t>27AAAAA0535Z5</t>
  </si>
  <si>
    <t>27AAAAA0536Z5</t>
  </si>
  <si>
    <t>27AAAAA0537Z5</t>
  </si>
  <si>
    <t>27AAAAA0538Z5</t>
  </si>
  <si>
    <t>27AAAAA0539Z5</t>
  </si>
  <si>
    <t>27AAAAA0540Z5</t>
  </si>
  <si>
    <t>27AAAAA0541Z5</t>
  </si>
  <si>
    <t>27AAAAA0542Z5</t>
  </si>
  <si>
    <t>27AAAAA0543Z5</t>
  </si>
  <si>
    <t>27AAAAA0544Z5</t>
  </si>
  <si>
    <t>27AAAAA0545Z5</t>
  </si>
  <si>
    <t>27AAAAA0546Z5</t>
  </si>
  <si>
    <t>27AAAAA0547Z5</t>
  </si>
  <si>
    <t>27AAAAA0548Z5</t>
  </si>
  <si>
    <t>27AAAAA0549Z5</t>
  </si>
  <si>
    <t>27AAAAA0550Z5</t>
  </si>
  <si>
    <t>27AAAAA0551Z5</t>
  </si>
  <si>
    <t>27AAAAA0552Z5</t>
  </si>
  <si>
    <t>27AAAAA0553Z5</t>
  </si>
  <si>
    <t>27AAAAA0554Z5</t>
  </si>
  <si>
    <t>27AAAAA0555Z5</t>
  </si>
  <si>
    <t>27AAAAA0556Z5</t>
  </si>
  <si>
    <t>27AAAAA0557Z5</t>
  </si>
  <si>
    <t>27AAAAA0558Z5</t>
  </si>
  <si>
    <t>27AAAAA0559Z5</t>
  </si>
  <si>
    <t>27AAAAA0560Z5</t>
  </si>
  <si>
    <t>27AAAAA0561Z5</t>
  </si>
  <si>
    <t>27AAAAA0562Z5</t>
  </si>
  <si>
    <t>27AAAAA0563Z5</t>
  </si>
  <si>
    <t>27AAAAA0564Z5</t>
  </si>
  <si>
    <t>27AAAAA0565Z5</t>
  </si>
  <si>
    <t>27AAAAA0566Z5</t>
  </si>
  <si>
    <t>27AAAAA0567Z5</t>
  </si>
  <si>
    <t>27AAAAA0568Z5</t>
  </si>
  <si>
    <t>27AAAAA0569Z5</t>
  </si>
  <si>
    <t>27AAAAA0570Z5</t>
  </si>
  <si>
    <t>27AAAAA0571Z5</t>
  </si>
  <si>
    <t>27AAAAA0572Z5</t>
  </si>
  <si>
    <t>27AAAAA0573Z5</t>
  </si>
  <si>
    <t>27AAAAA0574Z5</t>
  </si>
  <si>
    <t>27AAAAA0575Z5</t>
  </si>
  <si>
    <t>27AAAAA0576Z5</t>
  </si>
  <si>
    <t>27AAAAA0577Z5</t>
  </si>
  <si>
    <t>27AAAAA0578Z5</t>
  </si>
  <si>
    <t>27AAAAA0579Z5</t>
  </si>
  <si>
    <t>27AAAAA0580Z5</t>
  </si>
  <si>
    <t>27AAAAA0581Z5</t>
  </si>
  <si>
    <t>27AAAAA0582Z5</t>
  </si>
  <si>
    <t>27AAAAA0583Z5</t>
  </si>
  <si>
    <t>27AAAAA0584Z5</t>
  </si>
  <si>
    <t>27AAAAA0585Z5</t>
  </si>
  <si>
    <t>27AAAAA0586Z5</t>
  </si>
  <si>
    <t>27AAAAA0587Z5</t>
  </si>
  <si>
    <t>27AAAAA0588Z5</t>
  </si>
  <si>
    <t>27AAAAA0589Z5</t>
  </si>
  <si>
    <t>27AAAAA0590Z5</t>
  </si>
  <si>
    <t>27AAAAA0591Z5</t>
  </si>
  <si>
    <t>27AAAAA0592Z5</t>
  </si>
  <si>
    <t>27AAAAA0593Z5</t>
  </si>
  <si>
    <t>27AAAAA0594Z5</t>
  </si>
  <si>
    <t>27AAAAA0595Z5</t>
  </si>
  <si>
    <t>27AAAAA0596Z5</t>
  </si>
  <si>
    <t>27AAAAA0597Z5</t>
  </si>
  <si>
    <t>27AAAAA0598Z5</t>
  </si>
  <si>
    <t>27AAAAA0599Z5</t>
  </si>
  <si>
    <t>27AAAAA0600Z5</t>
  </si>
  <si>
    <t>27AAAAA0601Z5</t>
  </si>
  <si>
    <t>27AAAAA0602Z5</t>
  </si>
  <si>
    <t>27AAAAA0603Z5</t>
  </si>
  <si>
    <t>27AAAAA0604Z5</t>
  </si>
  <si>
    <t>27AAAAA0605Z5</t>
  </si>
  <si>
    <t>27AAAAA0606Z5</t>
  </si>
  <si>
    <t>27AAAAA0607Z5</t>
  </si>
  <si>
    <t>27AAAAA0608Z5</t>
  </si>
  <si>
    <t>27AAAAA0609Z5</t>
  </si>
  <si>
    <t>27AAAAA0610Z5</t>
  </si>
  <si>
    <t>27AAAAA0611Z5</t>
  </si>
  <si>
    <t>27AAAAA0612Z5</t>
  </si>
  <si>
    <t>27AAAAA0613Z5</t>
  </si>
  <si>
    <t>27AAAAA0614Z5</t>
  </si>
  <si>
    <t>27AAAAA0615Z5</t>
  </si>
  <si>
    <t>27AAAAA0616Z5</t>
  </si>
  <si>
    <t>27AAAAA0617Z5</t>
  </si>
  <si>
    <t>27AAAAA0618Z5</t>
  </si>
  <si>
    <t>27AAAAA0619Z5</t>
  </si>
  <si>
    <t>27AAAAA0620Z5</t>
  </si>
  <si>
    <t>27AAAAA0621Z5</t>
  </si>
  <si>
    <t>27AAAAA0622Z5</t>
  </si>
  <si>
    <t>27AAAAA0623Z5</t>
  </si>
  <si>
    <t>27AAAAA0624Z5</t>
  </si>
  <si>
    <t>27AAAAA0625Z5</t>
  </si>
  <si>
    <t>27AAAAA0626Z5</t>
  </si>
  <si>
    <t>27AAAAA0627Z5</t>
  </si>
  <si>
    <t>27AAAAA0628Z5</t>
  </si>
  <si>
    <t>27AAAAA0629Z5</t>
  </si>
  <si>
    <t>27AAAAA0630Z5</t>
  </si>
  <si>
    <t>27AAAAA0631Z5</t>
  </si>
  <si>
    <t>27AAAAA0632Z5</t>
  </si>
  <si>
    <t>27AAAAA0633Z5</t>
  </si>
  <si>
    <t>27AAAAA0634Z5</t>
  </si>
  <si>
    <t>27AAAAA0635Z5</t>
  </si>
  <si>
    <t>27AAAAA0636Z5</t>
  </si>
  <si>
    <t>27AAAAA0637Z5</t>
  </si>
  <si>
    <t>27AAAAA0638Z5</t>
  </si>
  <si>
    <t>27AAAAA0639Z5</t>
  </si>
  <si>
    <t>27AAAAA0640Z5</t>
  </si>
  <si>
    <t>27AAAAA0641Z5</t>
  </si>
  <si>
    <t>27AAAAA0642Z5</t>
  </si>
  <si>
    <t>27AAAAA0643Z5</t>
  </si>
  <si>
    <t>27AAAAA0644Z5</t>
  </si>
  <si>
    <t>27AAAAA0645Z5</t>
  </si>
  <si>
    <t>27AAAAA0646Z5</t>
  </si>
  <si>
    <t>27AAAAA0647Z5</t>
  </si>
  <si>
    <t>27AAAAA0648Z5</t>
  </si>
  <si>
    <t>27AAAAA0649Z5</t>
  </si>
  <si>
    <t>27AAAAA0650Z5</t>
  </si>
  <si>
    <t>27AAAAA0651Z5</t>
  </si>
  <si>
    <t>27AAAAA0652Z5</t>
  </si>
  <si>
    <t>27AAAAA0653Z5</t>
  </si>
  <si>
    <t>27AAAAA0654Z5</t>
  </si>
  <si>
    <t>27AAAAA0655Z5</t>
  </si>
  <si>
    <t>27AAAAA0656Z5</t>
  </si>
  <si>
    <t>27AAAAA0657Z5</t>
  </si>
  <si>
    <t>27AAAAA0658Z5</t>
  </si>
  <si>
    <t>27AAAAA0659Z5</t>
  </si>
  <si>
    <t>27AAAAA0660Z5</t>
  </si>
  <si>
    <t>27AAAAA0661Z5</t>
  </si>
  <si>
    <t>27AAAAA0662Z5</t>
  </si>
  <si>
    <t>27AAAAA0663Z5</t>
  </si>
  <si>
    <t>27AAAAA0664Z5</t>
  </si>
  <si>
    <t>27AAAAA0665Z5</t>
  </si>
  <si>
    <t>27AAAAA0666Z5</t>
  </si>
  <si>
    <t>27AAAAA0667Z5</t>
  </si>
  <si>
    <t>27AAAAA0668Z5</t>
  </si>
  <si>
    <t>27AAAAA0669Z5</t>
  </si>
  <si>
    <t>27AAAAA0670Z5</t>
  </si>
  <si>
    <t>27AAAAA0671Z5</t>
  </si>
  <si>
    <t>27AAAAA0672Z5</t>
  </si>
  <si>
    <t>27AAAAA0673Z5</t>
  </si>
  <si>
    <t>27AAAAA0674Z5</t>
  </si>
  <si>
    <t>27AAAAA0675Z5</t>
  </si>
  <si>
    <t>27AAAAA0676Z5</t>
  </si>
  <si>
    <t>27AAAAA0677Z5</t>
  </si>
  <si>
    <t>27AAAAA0678Z5</t>
  </si>
  <si>
    <t>27AAAAA0679Z5</t>
  </si>
  <si>
    <t>27AAAAA0680Z5</t>
  </si>
  <si>
    <t>27AAAAA0681Z5</t>
  </si>
  <si>
    <t>27AAAAA0682Z5</t>
  </si>
  <si>
    <t>27AAAAA0683Z5</t>
  </si>
  <si>
    <t>27AAAAA0684Z5</t>
  </si>
  <si>
    <t>27AAAAA0685Z5</t>
  </si>
  <si>
    <t>27AAAAA0686Z5</t>
  </si>
  <si>
    <t>27AAAAA0687Z5</t>
  </si>
  <si>
    <t>27AAAAA0688Z5</t>
  </si>
  <si>
    <t>27AAAAA0689Z5</t>
  </si>
  <si>
    <t>27AAAAA0690Z5</t>
  </si>
  <si>
    <t>27AAAAA0691Z5</t>
  </si>
  <si>
    <t>27AAAAA0692Z5</t>
  </si>
  <si>
    <t>27AAAAA0693Z5</t>
  </si>
  <si>
    <t>27AAAAA0694Z5</t>
  </si>
  <si>
    <t>27AAAAA0695Z5</t>
  </si>
  <si>
    <t>27AAAAA0696Z5</t>
  </si>
  <si>
    <t>27AAAAA0697Z5</t>
  </si>
  <si>
    <t>27AAAAA0698Z5</t>
  </si>
  <si>
    <t>27AAAAA0699Z5</t>
  </si>
  <si>
    <t>27AAAAA0700Z5</t>
  </si>
  <si>
    <t>27AAAAA0701Z5</t>
  </si>
  <si>
    <t>27AAAAA0702Z5</t>
  </si>
  <si>
    <t>27AAAAA0703Z5</t>
  </si>
  <si>
    <t>27AAAAA0704Z5</t>
  </si>
  <si>
    <t>27AAAAA0705Z5</t>
  </si>
  <si>
    <t>27AAAAA0706Z5</t>
  </si>
  <si>
    <t>27AAAAA0707Z5</t>
  </si>
  <si>
    <t>27AAAAA0708Z5</t>
  </si>
  <si>
    <t>27AAAAA0709Z5</t>
  </si>
  <si>
    <t>27AAAAA0710Z5</t>
  </si>
  <si>
    <t>27AAAAA0711Z5</t>
  </si>
  <si>
    <t>27AAAAA0712Z5</t>
  </si>
  <si>
    <t>27AAAAA0713Z5</t>
  </si>
  <si>
    <t>27AAAAA0714Z5</t>
  </si>
  <si>
    <t>27AAAAA0715Z5</t>
  </si>
  <si>
    <t>27AAAAA0716Z5</t>
  </si>
  <si>
    <t>27AAAAA0717Z5</t>
  </si>
  <si>
    <t>27AAAAA0718Z5</t>
  </si>
  <si>
    <t>27AAAAA0719Z5</t>
  </si>
  <si>
    <t>27AAAAA0720Z5</t>
  </si>
  <si>
    <t>27AAAAA0721Z5</t>
  </si>
  <si>
    <t>27AAAAA0722Z5</t>
  </si>
  <si>
    <t>27AAAAA0723Z5</t>
  </si>
  <si>
    <t>27AAAAA0724Z5</t>
  </si>
  <si>
    <t>27AAAAA0725Z5</t>
  </si>
  <si>
    <t>27AAAAA0726Z5</t>
  </si>
  <si>
    <t>27AAAAA0727Z5</t>
  </si>
  <si>
    <t>27AAAAA0728Z5</t>
  </si>
  <si>
    <t>27AAAAA0729Z5</t>
  </si>
  <si>
    <t>27AAAAA0730Z5</t>
  </si>
  <si>
    <t>27AAAAA0731Z5</t>
  </si>
  <si>
    <t>27AAAAA0732Z5</t>
  </si>
  <si>
    <t>27AAAAA0733Z5</t>
  </si>
  <si>
    <t>27AAAAA0734Z5</t>
  </si>
  <si>
    <t>27AAAAA0735Z5</t>
  </si>
  <si>
    <t>27AAAAA0736Z5</t>
  </si>
  <si>
    <t>27AAAAA0737Z5</t>
  </si>
  <si>
    <t>27AAAAA0738Z5</t>
  </si>
  <si>
    <t>27AAAAA0739Z5</t>
  </si>
  <si>
    <t>27AAAAA0740Z5</t>
  </si>
  <si>
    <t>27AAAAA0741Z5</t>
  </si>
  <si>
    <t>27AAAAA0742Z5</t>
  </si>
  <si>
    <t>27AAAAA0743Z5</t>
  </si>
  <si>
    <t>27AAAAA0744Z5</t>
  </si>
  <si>
    <t>27AAAAA0745Z5</t>
  </si>
  <si>
    <t>27AAAAA0746Z5</t>
  </si>
  <si>
    <t>27AAAAA0747Z5</t>
  </si>
  <si>
    <t>27AAAAA0748Z5</t>
  </si>
  <si>
    <t>27AAAAA0749Z5</t>
  </si>
  <si>
    <t>27AAAAA0750Z5</t>
  </si>
  <si>
    <t>27AAAAA0751Z5</t>
  </si>
  <si>
    <t>27AAAAA0752Z5</t>
  </si>
  <si>
    <t>27AAAAA0753Z5</t>
  </si>
  <si>
    <t>27AAAAA0754Z5</t>
  </si>
  <si>
    <t>27AAAAA0755Z5</t>
  </si>
  <si>
    <t>27AAAAA0756Z5</t>
  </si>
  <si>
    <t>27AAAAA0757Z5</t>
  </si>
  <si>
    <t>27AAAAA0758Z5</t>
  </si>
  <si>
    <t>27AAAAA0759Z5</t>
  </si>
  <si>
    <t>27AAAAA0760Z5</t>
  </si>
  <si>
    <t>27AAAAA0761Z5</t>
  </si>
  <si>
    <t>27AAAAA0762Z5</t>
  </si>
  <si>
    <t>27AAAAA0763Z5</t>
  </si>
  <si>
    <t>27AAAAA0764Z5</t>
  </si>
  <si>
    <t>27AAAAA0765Z5</t>
  </si>
  <si>
    <t>27AAAAA0766Z5</t>
  </si>
  <si>
    <t>27AAAAA0767Z5</t>
  </si>
  <si>
    <t>27AAAAA0768Z5</t>
  </si>
  <si>
    <t>27AAAAA0769Z5</t>
  </si>
  <si>
    <t>27AAAAA0770Z5</t>
  </si>
  <si>
    <t>27AAAAA0771Z5</t>
  </si>
  <si>
    <t>27AAAAA0772Z5</t>
  </si>
  <si>
    <t>27AAAAA0773Z5</t>
  </si>
  <si>
    <t>27AAAAA0774Z5</t>
  </si>
  <si>
    <t>27AAAAA0775Z5</t>
  </si>
  <si>
    <t>27AAAAA0776Z5</t>
  </si>
  <si>
    <t>27AAAAA0777Z5</t>
  </si>
  <si>
    <t>27AAAAA0778Z5</t>
  </si>
  <si>
    <t>27AAAAA0779Z5</t>
  </si>
  <si>
    <t>27AAAAA0780Z5</t>
  </si>
  <si>
    <t>27AAAAA0781Z5</t>
  </si>
  <si>
    <t>27AAAAA0782Z5</t>
  </si>
  <si>
    <t>27AAAAA0783Z5</t>
  </si>
  <si>
    <t>27AAAAA0784Z5</t>
  </si>
  <si>
    <t>27AAAAA0785Z5</t>
  </si>
  <si>
    <t>27AAAAA0786Z5</t>
  </si>
  <si>
    <t>27AAAAA0787Z5</t>
  </si>
  <si>
    <t>27AAAAA0788Z5</t>
  </si>
  <si>
    <t>27AAAAA0789Z5</t>
  </si>
  <si>
    <t>27AAAAA0790Z5</t>
  </si>
  <si>
    <t>27AAAAA0791Z5</t>
  </si>
  <si>
    <t>27AAAAA0792Z5</t>
  </si>
  <si>
    <t>27AAAAA0793Z5</t>
  </si>
  <si>
    <t>27AAAAA0794Z5</t>
  </si>
  <si>
    <t>27AAAAA0795Z5</t>
  </si>
  <si>
    <t>27AAAAA0796Z5</t>
  </si>
  <si>
    <t>27AAAAA0797Z5</t>
  </si>
  <si>
    <t>27AAAAA0798Z5</t>
  </si>
  <si>
    <t>27AAAAA0799Z5</t>
  </si>
  <si>
    <t>27AAAAA0800Z5</t>
  </si>
  <si>
    <t>27AAAAA0801Z5</t>
  </si>
  <si>
    <t>27AAAAA0802Z5</t>
  </si>
  <si>
    <t>27AAAAA0803Z5</t>
  </si>
  <si>
    <t>27AAAAA0804Z5</t>
  </si>
  <si>
    <t>27AAAAA0805Z5</t>
  </si>
  <si>
    <t>27AAAAA0806Z5</t>
  </si>
  <si>
    <t>27AAAAA0807Z5</t>
  </si>
  <si>
    <t>27AAAAA0808Z5</t>
  </si>
  <si>
    <t>27AAAAA0809Z5</t>
  </si>
  <si>
    <t>27AAAAA0810Z5</t>
  </si>
  <si>
    <t>27AAAAA0811Z5</t>
  </si>
  <si>
    <t>27AAAAA0812Z5</t>
  </si>
  <si>
    <t>27AAAAA0813Z5</t>
  </si>
  <si>
    <t>27AAAAA0814Z5</t>
  </si>
  <si>
    <t>27AAAAA0815Z5</t>
  </si>
  <si>
    <t>27AAAAA0816Z5</t>
  </si>
  <si>
    <t>27AAAAA0817Z5</t>
  </si>
  <si>
    <t>27AAAAA0818Z5</t>
  </si>
  <si>
    <t>27AAAAA0819Z5</t>
  </si>
  <si>
    <t>27AAAAA0820Z5</t>
  </si>
  <si>
    <t>27AAAAA0821Z5</t>
  </si>
  <si>
    <t>27AAAAA0822Z5</t>
  </si>
  <si>
    <t>27AAAAA0823Z5</t>
  </si>
  <si>
    <t>27AAAAA0824Z5</t>
  </si>
  <si>
    <t>27AAAAA0825Z5</t>
  </si>
  <si>
    <t>27AAAAA0826Z5</t>
  </si>
  <si>
    <t>27AAAAA0827Z5</t>
  </si>
  <si>
    <t>27AAAAA0828Z5</t>
  </si>
  <si>
    <t>27AAAAA0829Z5</t>
  </si>
  <si>
    <t>27AAAAA0830Z5</t>
  </si>
  <si>
    <t>27AAAAA0831Z5</t>
  </si>
  <si>
    <t>27AAAAA0832Z5</t>
  </si>
  <si>
    <t>27AAAAA0833Z5</t>
  </si>
  <si>
    <t>27AAAAA0834Z5</t>
  </si>
  <si>
    <t>27AAAAA0835Z5</t>
  </si>
  <si>
    <t>27AAAAA0836Z5</t>
  </si>
  <si>
    <t>27AAAAA0837Z5</t>
  </si>
  <si>
    <t>27AAAAA0838Z5</t>
  </si>
  <si>
    <t>27AAAAA0839Z5</t>
  </si>
  <si>
    <t>27AAAAA0840Z5</t>
  </si>
  <si>
    <t>27AAAAA0841Z5</t>
  </si>
  <si>
    <t>27AAAAA0842Z5</t>
  </si>
  <si>
    <t>27AAAAA0843Z5</t>
  </si>
  <si>
    <t>27AAAAA0844Z5</t>
  </si>
  <si>
    <t>27AAAAA0845Z5</t>
  </si>
  <si>
    <t>27AAAAA0846Z5</t>
  </si>
  <si>
    <t>27AAAAA0847Z5</t>
  </si>
  <si>
    <t>27AAAAA0848Z5</t>
  </si>
  <si>
    <t>27AAAAA0849Z5</t>
  </si>
  <si>
    <t>27AAAAA0850Z5</t>
  </si>
  <si>
    <t>27AAAAA0851Z5</t>
  </si>
  <si>
    <t>27AAAAA0852Z5</t>
  </si>
  <si>
    <t>27AAAAA0853Z5</t>
  </si>
  <si>
    <t>27AAAAA0854Z5</t>
  </si>
  <si>
    <t>27AAAAA0855Z5</t>
  </si>
  <si>
    <t>27AAAAA0856Z5</t>
  </si>
  <si>
    <t>27AAAAA0857Z5</t>
  </si>
  <si>
    <t>27AAAAA0858Z5</t>
  </si>
  <si>
    <t>27AAAAA0859Z5</t>
  </si>
  <si>
    <t>27AAAAA0860Z5</t>
  </si>
  <si>
    <t>27AAAAA0861Z5</t>
  </si>
  <si>
    <t>27AAAAA0862Z5</t>
  </si>
  <si>
    <t>27AAAAA0863Z5</t>
  </si>
  <si>
    <t>27AAAAA0864Z5</t>
  </si>
  <si>
    <t>27AAAAA0865Z5</t>
  </si>
  <si>
    <t>27AAAAA0866Z5</t>
  </si>
  <si>
    <t>27AAAAA0867Z5</t>
  </si>
  <si>
    <t>27AAAAA0868Z5</t>
  </si>
  <si>
    <t>27AAAAA0869Z5</t>
  </si>
  <si>
    <t>27AAAAA0870Z5</t>
  </si>
  <si>
    <t>27AAAAA0871Z5</t>
  </si>
  <si>
    <t>27AAAAA0872Z5</t>
  </si>
  <si>
    <t>27AAAAA0873Z5</t>
  </si>
  <si>
    <t>27AAAAA0874Z5</t>
  </si>
  <si>
    <t>27AAAAA0875Z5</t>
  </si>
  <si>
    <t>27AAAAA0876Z5</t>
  </si>
  <si>
    <t>27AAAAA0877Z5</t>
  </si>
  <si>
    <t>27AAAAA0878Z5</t>
  </si>
  <si>
    <t>27AAAAA0879Z5</t>
  </si>
  <si>
    <t>27AAAAA0880Z5</t>
  </si>
  <si>
    <t>27AAAAA0881Z5</t>
  </si>
  <si>
    <t>27AAAAA0882Z5</t>
  </si>
  <si>
    <t>27AAAAA0883Z5</t>
  </si>
  <si>
    <t>27AAAAA0884Z5</t>
  </si>
  <si>
    <t>27AAAAA0885Z5</t>
  </si>
  <si>
    <t>27AAAAA0886Z5</t>
  </si>
  <si>
    <t>27AAAAA0887Z5</t>
  </si>
  <si>
    <t>27AAAAA0888Z5</t>
  </si>
  <si>
    <t>27AAAAA0889Z5</t>
  </si>
  <si>
    <t>27AAAAA0890Z5</t>
  </si>
  <si>
    <t>27AAAAA0891Z5</t>
  </si>
  <si>
    <t>27AAAAA0892Z5</t>
  </si>
  <si>
    <t>27AAAAA0893Z5</t>
  </si>
  <si>
    <t>27AAAAA0894Z5</t>
  </si>
  <si>
    <t>27AAAAA0895Z5</t>
  </si>
  <si>
    <t>27AAAAA0896Z5</t>
  </si>
  <si>
    <t>27AAAAA0897Z5</t>
  </si>
  <si>
    <t>27AAAAA0898Z5</t>
  </si>
  <si>
    <t>27AAAAA0899Z5</t>
  </si>
  <si>
    <t>27AAAAA0900Z5</t>
  </si>
  <si>
    <t>27AAAAA0901Z5</t>
  </si>
  <si>
    <t>27AAAAA0902Z5</t>
  </si>
  <si>
    <t>27AAAAA0903Z5</t>
  </si>
  <si>
    <t>27AAAAA0904Z5</t>
  </si>
  <si>
    <t>27AAAAA0905Z5</t>
  </si>
  <si>
    <t>27AAAAA0906Z5</t>
  </si>
  <si>
    <t>27AAAAA0907Z5</t>
  </si>
  <si>
    <t>27AAAAA0908Z5</t>
  </si>
  <si>
    <t>27AAAAA0909Z5</t>
  </si>
  <si>
    <t>27AAAAA0910Z5</t>
  </si>
  <si>
    <t>27AAAAA0911Z5</t>
  </si>
  <si>
    <t>27AAAAA0912Z5</t>
  </si>
  <si>
    <t>27AAAAA0913Z5</t>
  </si>
  <si>
    <t>27AAAAA0914Z5</t>
  </si>
  <si>
    <t>27AAAAA0915Z5</t>
  </si>
  <si>
    <t>27AAAAA0916Z5</t>
  </si>
  <si>
    <t>27AAAAA0917Z5</t>
  </si>
  <si>
    <t>27AAAAA0918Z5</t>
  </si>
  <si>
    <t>27AAAAA0919Z5</t>
  </si>
  <si>
    <t>27AAAAA0920Z5</t>
  </si>
  <si>
    <t>27AAAAA0921Z5</t>
  </si>
  <si>
    <t>27AAAAA0922Z5</t>
  </si>
  <si>
    <t>27AAAAA0923Z5</t>
  </si>
  <si>
    <t>27AAAAA0924Z5</t>
  </si>
  <si>
    <t>27AAAAA0925Z5</t>
  </si>
  <si>
    <t>27AAAAA0926Z5</t>
  </si>
  <si>
    <t>27AAAAA0927Z5</t>
  </si>
  <si>
    <t>27AAAAA0928Z5</t>
  </si>
  <si>
    <t>27AAAAA0929Z5</t>
  </si>
  <si>
    <t>27AAAAA0930Z5</t>
  </si>
  <si>
    <t>27AAAAA0931Z5</t>
  </si>
  <si>
    <t>27AAAAA0932Z5</t>
  </si>
  <si>
    <t>27AAAAA0933Z5</t>
  </si>
  <si>
    <t>27AAAAA0934Z5</t>
  </si>
  <si>
    <t>27AAAAA0935Z5</t>
  </si>
  <si>
    <t>27AAAAA0936Z5</t>
  </si>
  <si>
    <t>27AAAAA0937Z5</t>
  </si>
  <si>
    <t>27AAAAA0938Z5</t>
  </si>
  <si>
    <t>27AAAAA0939Z5</t>
  </si>
  <si>
    <t>27AAAAA0940Z5</t>
  </si>
  <si>
    <t>27AAAAA0941Z5</t>
  </si>
  <si>
    <t>27AAAAA0942Z5</t>
  </si>
  <si>
    <t>27AAAAA0943Z5</t>
  </si>
  <si>
    <t>27AAAAA0944Z5</t>
  </si>
  <si>
    <t>27AAAAA0945Z5</t>
  </si>
  <si>
    <t>27AAAAA0946Z5</t>
  </si>
  <si>
    <t>27AAAAA0947Z5</t>
  </si>
  <si>
    <t>27AAAAA0948Z5</t>
  </si>
  <si>
    <t>27AAAAA0949Z5</t>
  </si>
  <si>
    <t>27AAAAA0950Z5</t>
  </si>
  <si>
    <t>27AAAAA0951Z5</t>
  </si>
  <si>
    <t>27AAAAA0952Z5</t>
  </si>
  <si>
    <t>27AAAAA0953Z5</t>
  </si>
  <si>
    <t>27AAAAA0954Z5</t>
  </si>
  <si>
    <t>27AAAAA0955Z5</t>
  </si>
  <si>
    <t>27AAAAA0956Z5</t>
  </si>
  <si>
    <t>27AAAAA0957Z5</t>
  </si>
  <si>
    <t>27AAAAA0958Z5</t>
  </si>
  <si>
    <t>27AAAAA0959Z5</t>
  </si>
  <si>
    <t>27AAAAA0960Z5</t>
  </si>
  <si>
    <t>27AAAAA0961Z5</t>
  </si>
  <si>
    <t>27AAAAA0962Z5</t>
  </si>
  <si>
    <t>27AAAAA0963Z5</t>
  </si>
  <si>
    <t>27AAAAA0964Z5</t>
  </si>
  <si>
    <t>27AAAAA0965Z5</t>
  </si>
  <si>
    <t>27AAAAA0966Z5</t>
  </si>
  <si>
    <t>27AAAAA0967Z5</t>
  </si>
  <si>
    <t>27AAAAA0968Z5</t>
  </si>
  <si>
    <t>27AAAAA0969Z5</t>
  </si>
  <si>
    <t>27AAAAA0970Z5</t>
  </si>
  <si>
    <t>27AAAAA0971Z5</t>
  </si>
  <si>
    <t>27AAAAA0972Z5</t>
  </si>
  <si>
    <t>27AAAAA0973Z5</t>
  </si>
  <si>
    <t>27AAAAA0974Z5</t>
  </si>
  <si>
    <t>27AAAAA0975Z5</t>
  </si>
  <si>
    <t>27AAAAA0976Z5</t>
  </si>
  <si>
    <t>27AAAAA0977Z5</t>
  </si>
  <si>
    <t>27AAAAA0978Z5</t>
  </si>
  <si>
    <t>27AAAAA0979Z5</t>
  </si>
  <si>
    <t>27AAAAA0980Z5</t>
  </si>
  <si>
    <t>27AAAAA0981Z5</t>
  </si>
  <si>
    <t>27AAAAA0982Z5</t>
  </si>
  <si>
    <t>27AAAAA0983Z5</t>
  </si>
  <si>
    <t>27AAAAA0984Z5</t>
  </si>
  <si>
    <t>27AAAAA0985Z5</t>
  </si>
  <si>
    <t>27AAAAA0986Z5</t>
  </si>
  <si>
    <t>27AAAAA0987Z5</t>
  </si>
  <si>
    <t>27AAAAA0988Z5</t>
  </si>
  <si>
    <t>27AAAAA0989Z5</t>
  </si>
  <si>
    <t>27AAAAA0990Z5</t>
  </si>
  <si>
    <t>27AAAAA0991Z5</t>
  </si>
  <si>
    <t>27AAAAA0992Z5</t>
  </si>
  <si>
    <t>27AAAAA0993Z5</t>
  </si>
  <si>
    <t>27AAAAA0994Z5</t>
  </si>
  <si>
    <t>27AAAAA0995Z5</t>
  </si>
  <si>
    <t>27AAAAA0996Z5</t>
  </si>
  <si>
    <t>27AAAAA0997Z5</t>
  </si>
  <si>
    <t>27AAAAA0998Z5</t>
  </si>
  <si>
    <t>27AAAAA0999Z5</t>
  </si>
  <si>
    <t>27AAAAA1000Z5</t>
  </si>
  <si>
    <t>27AAAAA1001Z5</t>
  </si>
  <si>
    <t>27AAAAA1002Z5</t>
  </si>
  <si>
    <t>27AAAAA1003Z5</t>
  </si>
  <si>
    <t>27AAAAA1004Z5</t>
  </si>
  <si>
    <t>27AAAAA1005Z5</t>
  </si>
  <si>
    <t>27AAAAA1006Z5</t>
  </si>
  <si>
    <t>27AAAAA1007Z5</t>
  </si>
  <si>
    <t>27AAAAA1008Z5</t>
  </si>
  <si>
    <t>27AAAAA1009Z5</t>
  </si>
  <si>
    <t>27AAAAA1010Z5</t>
  </si>
  <si>
    <t>27AAAAA1011Z5</t>
  </si>
  <si>
    <t>27AAAAA1012Z5</t>
  </si>
  <si>
    <t>27AAAAA1013Z5</t>
  </si>
  <si>
    <t>27AAAAA1014Z5</t>
  </si>
  <si>
    <t>27AAAAA1015Z5</t>
  </si>
  <si>
    <t>27AAAAA1016Z5</t>
  </si>
  <si>
    <t>27AAAAA1017Z5</t>
  </si>
  <si>
    <t>27AAAAA1018Z5</t>
  </si>
  <si>
    <t>27AAAAA1019Z5</t>
  </si>
  <si>
    <t>27AAAAA1020Z5</t>
  </si>
  <si>
    <t>27AAAAA1021Z5</t>
  </si>
  <si>
    <t>27AAAAA1022Z5</t>
  </si>
  <si>
    <t>27AAAAA1023Z5</t>
  </si>
  <si>
    <t>27AAAAA1024Z5</t>
  </si>
  <si>
    <t>27AAAAA1025Z5</t>
  </si>
  <si>
    <t>27AAAAA1026Z5</t>
  </si>
  <si>
    <t>27AAAAA1027Z5</t>
  </si>
  <si>
    <t>27AAAAA1028Z5</t>
  </si>
  <si>
    <t>27AAAAA1029Z5</t>
  </si>
  <si>
    <t>27AAAAA1030Z5</t>
  </si>
  <si>
    <t>27AAAAA1031Z5</t>
  </si>
  <si>
    <t>27AAAAA1032Z5</t>
  </si>
  <si>
    <t>27AAAAA1033Z5</t>
  </si>
  <si>
    <t>27AAAAA1034Z5</t>
  </si>
  <si>
    <t>27AAAAA1035Z5</t>
  </si>
  <si>
    <t>27AAAAA1036Z5</t>
  </si>
  <si>
    <t>27AAAAA1037Z5</t>
  </si>
  <si>
    <t>27AAAAA1038Z5</t>
  </si>
  <si>
    <t>27AAAAA1039Z5</t>
  </si>
  <si>
    <t>27AAAAA1040Z5</t>
  </si>
  <si>
    <t>27AAAAA1041Z5</t>
  </si>
  <si>
    <t>27AAAAA1042Z5</t>
  </si>
  <si>
    <t>27AAAAA1043Z5</t>
  </si>
  <si>
    <t>27AAAAA1044Z5</t>
  </si>
  <si>
    <t>27AAAAA1045Z5</t>
  </si>
  <si>
    <t>27AAAAA1046Z5</t>
  </si>
  <si>
    <t>27AAAAA1047Z5</t>
  </si>
  <si>
    <t>27AAAAA1048Z5</t>
  </si>
  <si>
    <t>27AAAAA1049Z5</t>
  </si>
  <si>
    <t>27AAAAA1050Z5</t>
  </si>
  <si>
    <t>27AAAAA1051Z5</t>
  </si>
  <si>
    <t>27AAAAA1052Z5</t>
  </si>
  <si>
    <t>27AAAAA1053Z5</t>
  </si>
  <si>
    <t>27AAAAA1054Z5</t>
  </si>
  <si>
    <t>27AAAAA1055Z5</t>
  </si>
  <si>
    <t>27AAAAA1056Z5</t>
  </si>
  <si>
    <t>27AAAAA1057Z5</t>
  </si>
  <si>
    <t>27AAAAA1058Z5</t>
  </si>
  <si>
    <t>27AAAAA1059Z5</t>
  </si>
  <si>
    <t>27AAAAA1060Z5</t>
  </si>
  <si>
    <t>27AAAAA1061Z5</t>
  </si>
  <si>
    <t>27AAAAA1062Z5</t>
  </si>
  <si>
    <t>27AAAAA1063Z5</t>
  </si>
  <si>
    <t>27AAAAA1064Z5</t>
  </si>
  <si>
    <t>27AAAAA1065Z5</t>
  </si>
  <si>
    <t>27AAAAA1066Z5</t>
  </si>
  <si>
    <t>27AAAAA1067Z5</t>
  </si>
  <si>
    <t>27AAAAA1068Z5</t>
  </si>
  <si>
    <t>27AAAAA1069Z5</t>
  </si>
  <si>
    <t>27AAAAA1070Z5</t>
  </si>
  <si>
    <t>27AAAAA1071Z5</t>
  </si>
  <si>
    <t>27AAAAA1072Z5</t>
  </si>
  <si>
    <t>27AAAAA1073Z5</t>
  </si>
  <si>
    <t>27AAAAA1074Z5</t>
  </si>
  <si>
    <t>27AAAAA1075Z5</t>
  </si>
  <si>
    <t>27AAAAA1076Z5</t>
  </si>
  <si>
    <t>27AAAAA1077Z5</t>
  </si>
  <si>
    <t>27AAAAA1078Z5</t>
  </si>
  <si>
    <t>27AAAAA1079Z5</t>
  </si>
  <si>
    <t>27AAAAA1080Z5</t>
  </si>
  <si>
    <t>27AAAAA1081Z5</t>
  </si>
  <si>
    <t>27AAAAA1082Z5</t>
  </si>
  <si>
    <t>27AAAAA1083Z5</t>
  </si>
  <si>
    <t>27AAAAA1084Z5</t>
  </si>
  <si>
    <t>27AAAAA1085Z5</t>
  </si>
  <si>
    <t>27AAAAA1086Z5</t>
  </si>
  <si>
    <t>27AAAAA1087Z5</t>
  </si>
  <si>
    <t>27AAAAA1088Z5</t>
  </si>
  <si>
    <t>27AAAAA1089Z5</t>
  </si>
  <si>
    <t>27AAAAA1090Z5</t>
  </si>
  <si>
    <t>27AAAAA1091Z5</t>
  </si>
  <si>
    <t>27AAAAA1092Z5</t>
  </si>
  <si>
    <t>27AAAAA1093Z5</t>
  </si>
  <si>
    <t>27AAAAA1094Z5</t>
  </si>
  <si>
    <t>27AAAAA1095Z5</t>
  </si>
  <si>
    <t>27AAAAA1096Z5</t>
  </si>
  <si>
    <t>27AAAAA1097Z5</t>
  </si>
  <si>
    <t>27AAAAA1098Z5</t>
  </si>
  <si>
    <t>27AAAAA1099Z5</t>
  </si>
  <si>
    <t>27AAAAA1100Z5</t>
  </si>
  <si>
    <t>27AAAAA1101Z5</t>
  </si>
  <si>
    <t>27AAAAA1102Z5</t>
  </si>
  <si>
    <t>27AAAAA1103Z5</t>
  </si>
  <si>
    <t>27AAAAA1104Z5</t>
  </si>
  <si>
    <t>27AAAAA1105Z5</t>
  </si>
  <si>
    <t>27AAAAA1106Z5</t>
  </si>
  <si>
    <t>27AAAAA1107Z5</t>
  </si>
  <si>
    <t>27AAAAA1108Z5</t>
  </si>
  <si>
    <t>27AAAAA1109Z5</t>
  </si>
  <si>
    <t>27AAAAA1110Z5</t>
  </si>
  <si>
    <t>27AAAAA1111Z5</t>
  </si>
  <si>
    <t>27AAAAA1112Z5</t>
  </si>
  <si>
    <t>27AAAAA1113Z5</t>
  </si>
  <si>
    <t>27AAAAA1114Z5</t>
  </si>
  <si>
    <t>27AAAAA1115Z5</t>
  </si>
  <si>
    <t>27AAAAA1116Z5</t>
  </si>
  <si>
    <t>27AAAAA1117Z5</t>
  </si>
  <si>
    <t>27AAAAA1118Z5</t>
  </si>
  <si>
    <t>27AAAAA1119Z5</t>
  </si>
  <si>
    <t>27AAAAA1120Z5</t>
  </si>
  <si>
    <t>27AAAAA1121Z5</t>
  </si>
  <si>
    <t>27AAAAA1122Z5</t>
  </si>
  <si>
    <t>27AAAAA1123Z5</t>
  </si>
  <si>
    <t>27AAAAA1124Z5</t>
  </si>
  <si>
    <t>27AAAAA1125Z5</t>
  </si>
  <si>
    <t>27AAAAA1126Z5</t>
  </si>
  <si>
    <t>27AAAAA1127Z5</t>
  </si>
  <si>
    <t>27AAAAA1128Z5</t>
  </si>
  <si>
    <t>27AAAAA1129Z5</t>
  </si>
  <si>
    <t>27AAAAA1130Z5</t>
  </si>
  <si>
    <t>27AAAAA1131Z5</t>
  </si>
  <si>
    <t>27AAAAA1132Z5</t>
  </si>
  <si>
    <t>27AAAAA1133Z5</t>
  </si>
  <si>
    <t>27AAAAA1134Z5</t>
  </si>
  <si>
    <t>27AAAAA1135Z5</t>
  </si>
  <si>
    <t>27AAAAA1136Z5</t>
  </si>
  <si>
    <t>27AAAAA1137Z5</t>
  </si>
  <si>
    <t>27AAAAA1138Z5</t>
  </si>
  <si>
    <t>27AAAAA1139Z5</t>
  </si>
  <si>
    <t>27AAAAA1140Z5</t>
  </si>
  <si>
    <t>27AAAAA1141Z5</t>
  </si>
  <si>
    <t>27AAAAA1142Z5</t>
  </si>
  <si>
    <t>27AAAAA1143Z5</t>
  </si>
  <si>
    <t>27AAAAA1144Z5</t>
  </si>
  <si>
    <t>27AAAAA1145Z5</t>
  </si>
  <si>
    <t>27AAAAA1146Z5</t>
  </si>
  <si>
    <t>27AAAAA1147Z5</t>
  </si>
  <si>
    <t>27AAAAA1148Z5</t>
  </si>
  <si>
    <t>27AAAAA1149Z5</t>
  </si>
  <si>
    <t>27AAAAA1150Z5</t>
  </si>
  <si>
    <t>27AAAAA1151Z5</t>
  </si>
  <si>
    <t>27AAAAA1152Z5</t>
  </si>
  <si>
    <t>27AAAAA1153Z5</t>
  </si>
  <si>
    <t>27AAAAA1154Z5</t>
  </si>
  <si>
    <t>27AAAAA1155Z5</t>
  </si>
  <si>
    <t>27AAAAA1156Z5</t>
  </si>
  <si>
    <t>27AAAAA1157Z5</t>
  </si>
  <si>
    <t>27AAAAA1158Z5</t>
  </si>
  <si>
    <t>27AAAAA1159Z5</t>
  </si>
  <si>
    <t>27AAAAA1160Z5</t>
  </si>
  <si>
    <t>27AAAAA1161Z5</t>
  </si>
  <si>
    <t>27AAAAA1162Z5</t>
  </si>
  <si>
    <t>27AAAAA1163Z5</t>
  </si>
  <si>
    <t>27AAAAA1164Z5</t>
  </si>
  <si>
    <t>27AAAAA1165Z5</t>
  </si>
  <si>
    <t>27AAAAA1166Z5</t>
  </si>
  <si>
    <t>27AAAAA1167Z5</t>
  </si>
  <si>
    <t>27AAAAA1168Z5</t>
  </si>
  <si>
    <t>27AAAAA1169Z5</t>
  </si>
  <si>
    <t>27AAAAA1170Z5</t>
  </si>
  <si>
    <t>27AAAAA1171Z5</t>
  </si>
  <si>
    <t>27AAAAA1172Z5</t>
  </si>
  <si>
    <t>27AAAAA1173Z5</t>
  </si>
  <si>
    <t>27AAAAA1174Z5</t>
  </si>
  <si>
    <t>27AAAAA1175Z5</t>
  </si>
  <si>
    <t>27AAAAA1176Z5</t>
  </si>
  <si>
    <t>27AAAAA1177Z5</t>
  </si>
  <si>
    <t>27AAAAA1178Z5</t>
  </si>
  <si>
    <t>27AAAAA1179Z5</t>
  </si>
  <si>
    <t>27AAAAA1180Z5</t>
  </si>
  <si>
    <t>27AAAAA1181Z5</t>
  </si>
  <si>
    <t>27AAAAA1182Z5</t>
  </si>
  <si>
    <t>27AAAAA1183Z5</t>
  </si>
  <si>
    <t>27AAAAA1184Z5</t>
  </si>
  <si>
    <t>27AAAAA1185Z5</t>
  </si>
  <si>
    <t>27AAAAA1186Z5</t>
  </si>
  <si>
    <t>27AAAAA1187Z5</t>
  </si>
  <si>
    <t>27AAAAA1188Z5</t>
  </si>
  <si>
    <t>27AAAAA1189Z5</t>
  </si>
  <si>
    <t>27AAAAA1190Z5</t>
  </si>
  <si>
    <t>27AAAAA1191Z5</t>
  </si>
  <si>
    <t>27AAAAA1192Z5</t>
  </si>
  <si>
    <t>27AAAAA1193Z5</t>
  </si>
  <si>
    <t>27AAAAA1194Z5</t>
  </si>
  <si>
    <t>27AAAAA1195Z5</t>
  </si>
  <si>
    <t>27AAAAA1196Z5</t>
  </si>
  <si>
    <t>27AAAAA1197Z5</t>
  </si>
  <si>
    <t>27AAAAA1198Z5</t>
  </si>
  <si>
    <t>27AAAAA1199Z5</t>
  </si>
  <si>
    <t>27AAAAA1200Z5</t>
  </si>
  <si>
    <t>27AAAAA1201Z5</t>
  </si>
  <si>
    <t>27AAAAA1202Z5</t>
  </si>
  <si>
    <t>27AAAAA1203Z5</t>
  </si>
  <si>
    <t>27AAAAA1204Z5</t>
  </si>
  <si>
    <t>27AAAAA1205Z5</t>
  </si>
  <si>
    <t>27AAAAA1206Z5</t>
  </si>
  <si>
    <t>27AAAAA1207Z5</t>
  </si>
  <si>
    <t>27AAAAA1208Z5</t>
  </si>
  <si>
    <t>27AAAAA1209Z5</t>
  </si>
  <si>
    <t>27AAAAA1210Z5</t>
  </si>
  <si>
    <t>27AAAAA1211Z5</t>
  </si>
  <si>
    <t>27AAAAA1212Z5</t>
  </si>
  <si>
    <t>27AAAAA1213Z5</t>
  </si>
  <si>
    <t>27AAAAA1214Z5</t>
  </si>
  <si>
    <t>27AAAAA1215Z5</t>
  </si>
  <si>
    <t>27AAAAA1216Z5</t>
  </si>
  <si>
    <t>27AAAAA1217Z5</t>
  </si>
  <si>
    <t>27AAAAA1218Z5</t>
  </si>
  <si>
    <t>27AAAAA1219Z5</t>
  </si>
  <si>
    <t>27AAAAA1220Z5</t>
  </si>
  <si>
    <t>27AAAAA1221Z5</t>
  </si>
  <si>
    <t>27AAAAA1222Z5</t>
  </si>
  <si>
    <t>27AAAAA1223Z5</t>
  </si>
  <si>
    <t>27AAAAA1224Z5</t>
  </si>
  <si>
    <t>27AAAAA1225Z5</t>
  </si>
  <si>
    <t>27AAAAA1226Z5</t>
  </si>
  <si>
    <t>27AAAAA1227Z5</t>
  </si>
  <si>
    <t>27AAAAA1228Z5</t>
  </si>
  <si>
    <t>27AAAAA1229Z5</t>
  </si>
  <si>
    <t>27AAAAA1230Z5</t>
  </si>
  <si>
    <t>27AAAAA1231Z5</t>
  </si>
  <si>
    <t>27AAAAA1232Z5</t>
  </si>
  <si>
    <t>27AAAAA1233Z5</t>
  </si>
  <si>
    <t>27AAAAA1234Z5</t>
  </si>
  <si>
    <t>27AAAAA1235Z5</t>
  </si>
  <si>
    <t>27AAAAA1236Z5</t>
  </si>
  <si>
    <t>27AAAAA1237Z5</t>
  </si>
  <si>
    <t>27AAAAA1238Z5</t>
  </si>
  <si>
    <t>27AAAAA1239Z5</t>
  </si>
  <si>
    <t>27AAAAA1240Z5</t>
  </si>
  <si>
    <t>27AAAAA1241Z5</t>
  </si>
  <si>
    <t>27AAAAA1242Z5</t>
  </si>
  <si>
    <t>27AAAAA1243Z5</t>
  </si>
  <si>
    <t>27AAAAA1244Z5</t>
  </si>
  <si>
    <t>27AAAAA1245Z5</t>
  </si>
  <si>
    <t>27AAAAA1246Z5</t>
  </si>
  <si>
    <t>27AAAAA1247Z5</t>
  </si>
  <si>
    <t>27AAAAA1248Z5</t>
  </si>
  <si>
    <t>27AAAAA1249Z5</t>
  </si>
  <si>
    <t>27AAAAA1250Z5</t>
  </si>
  <si>
    <t>27AAAAA1251Z5</t>
  </si>
  <si>
    <t>27AAAAA1252Z5</t>
  </si>
  <si>
    <t>27AAAAA1253Z5</t>
  </si>
  <si>
    <t>27AAAAA1254Z5</t>
  </si>
  <si>
    <t>27AAAAA1255Z5</t>
  </si>
  <si>
    <t>27AAAAA1256Z5</t>
  </si>
  <si>
    <t>27AAAAA1257Z5</t>
  </si>
  <si>
    <t>27AAAAA1258Z5</t>
  </si>
  <si>
    <t>27AAAAA1259Z5</t>
  </si>
  <si>
    <t>27AAAAA1260Z5</t>
  </si>
  <si>
    <t>27AAAAA1261Z5</t>
  </si>
  <si>
    <t>27AAAAA1262Z5</t>
  </si>
  <si>
    <t>27AAAAA1263Z5</t>
  </si>
  <si>
    <t>27AAAAA1264Z5</t>
  </si>
  <si>
    <t>27AAAAA1265Z5</t>
  </si>
  <si>
    <t>27AAAAA1266Z5</t>
  </si>
  <si>
    <t>27AAAAA1267Z5</t>
  </si>
  <si>
    <t>27AAAAA1268Z5</t>
  </si>
  <si>
    <t>27AAAAA1269Z5</t>
  </si>
  <si>
    <t>27AAAAA1270Z5</t>
  </si>
  <si>
    <t>27AAAAA1271Z5</t>
  </si>
  <si>
    <t>27AAAAA1272Z5</t>
  </si>
  <si>
    <t>27AAAAA1273Z5</t>
  </si>
  <si>
    <t>27AAAAA1274Z5</t>
  </si>
  <si>
    <t>27AAAAA1275Z5</t>
  </si>
  <si>
    <t>27AAAAA1276Z5</t>
  </si>
  <si>
    <t>27AAAAA1277Z5</t>
  </si>
  <si>
    <t>27AAAAA1278Z5</t>
  </si>
  <si>
    <t>27AAAAA1279Z5</t>
  </si>
  <si>
    <t>27AAAAA1280Z5</t>
  </si>
  <si>
    <t>27AAAAA1281Z5</t>
  </si>
  <si>
    <t>27AAAAA1282Z5</t>
  </si>
  <si>
    <t>27AAAAA1283Z5</t>
  </si>
  <si>
    <t>27AAAAA1284Z5</t>
  </si>
  <si>
    <t>27AAAAA1285Z5</t>
  </si>
  <si>
    <t>27AAAAA1286Z5</t>
  </si>
  <si>
    <t>27AAAAA1287Z5</t>
  </si>
  <si>
    <t>27AAAAA1288Z5</t>
  </si>
  <si>
    <t>27AAAAA1289Z5</t>
  </si>
  <si>
    <t>27AAAAA1290Z5</t>
  </si>
  <si>
    <t>27AAAAA1291Z5</t>
  </si>
  <si>
    <t>27AAAAA1292Z5</t>
  </si>
  <si>
    <t>27AAAAA1293Z5</t>
  </si>
  <si>
    <t>27AAAAA1294Z5</t>
  </si>
  <si>
    <t>27AAAAA1295Z5</t>
  </si>
  <si>
    <t>27AAAAA1296Z5</t>
  </si>
  <si>
    <t>27AAAAA1297Z5</t>
  </si>
  <si>
    <t>27AAAAA1298Z5</t>
  </si>
  <si>
    <t>27AAAAA1299Z5</t>
  </si>
  <si>
    <t>27AAAAA1300Z5</t>
  </si>
  <si>
    <t>27AAAAA1301Z5</t>
  </si>
  <si>
    <t>27AAAAA1302Z5</t>
  </si>
  <si>
    <t>27AAAAA1303Z5</t>
  </si>
  <si>
    <t>27AAAAA1304Z5</t>
  </si>
  <si>
    <t>27AAAAA1305Z5</t>
  </si>
  <si>
    <t>27AAAAA1306Z5</t>
  </si>
  <si>
    <t>27AAAAA1307Z5</t>
  </si>
  <si>
    <t>27AAAAA1308Z5</t>
  </si>
  <si>
    <t>27AAAAA1309Z5</t>
  </si>
  <si>
    <t>27AAAAA1310Z5</t>
  </si>
  <si>
    <t>27AAAAA1311Z5</t>
  </si>
  <si>
    <t>27AAAAA1312Z5</t>
  </si>
  <si>
    <t>27AAAAA1313Z5</t>
  </si>
  <si>
    <t>27AAAAA1314Z5</t>
  </si>
  <si>
    <t>27AAAAA1315Z5</t>
  </si>
  <si>
    <t>27AAAAA1316Z5</t>
  </si>
  <si>
    <t>27AAAAA1317Z5</t>
  </si>
  <si>
    <t>27AAAAA1318Z5</t>
  </si>
  <si>
    <t>27AAAAA1319Z5</t>
  </si>
  <si>
    <t>27AAAAA1320Z5</t>
  </si>
  <si>
    <t>27AAAAA1321Z5</t>
  </si>
  <si>
    <t>27AAAAA1322Z5</t>
  </si>
  <si>
    <t>27AAAAA1323Z5</t>
  </si>
  <si>
    <t>27AAAAA1324Z5</t>
  </si>
  <si>
    <t>27AAAAA1325Z5</t>
  </si>
  <si>
    <t>27AAAAA1326Z5</t>
  </si>
  <si>
    <t>27AAAAA1327Z5</t>
  </si>
  <si>
    <t>27AAAAA1328Z5</t>
  </si>
  <si>
    <t>27AAAAA1329Z5</t>
  </si>
  <si>
    <t>27AAAAA1330Z5</t>
  </si>
  <si>
    <t>27AAAAA1331Z5</t>
  </si>
  <si>
    <t>27AAAAA1332Z5</t>
  </si>
  <si>
    <t>27AAAAA1333Z5</t>
  </si>
  <si>
    <t>27AAAAA1334Z5</t>
  </si>
  <si>
    <t>27AAAAA1335Z5</t>
  </si>
  <si>
    <t>27AAAAA1336Z5</t>
  </si>
  <si>
    <t>27AAAAA1337Z5</t>
  </si>
  <si>
    <t>27AAAAA1338Z5</t>
  </si>
  <si>
    <t>27AAAAA1339Z5</t>
  </si>
  <si>
    <t>27AAAAA1340Z5</t>
  </si>
  <si>
    <t>27AAAAA1341Z5</t>
  </si>
  <si>
    <t>27AAAAA1342Z5</t>
  </si>
  <si>
    <t>27AAAAA1343Z5</t>
  </si>
  <si>
    <t>27AAAAA1344Z5</t>
  </si>
  <si>
    <t>27AAAAA1345Z5</t>
  </si>
  <si>
    <t>27AAAAA1346Z5</t>
  </si>
  <si>
    <t>27AAAAA1347Z5</t>
  </si>
  <si>
    <t>27AAAAA1348Z5</t>
  </si>
  <si>
    <t>27AAAAA1349Z5</t>
  </si>
  <si>
    <t>27AAAAA1350Z5</t>
  </si>
  <si>
    <t>27AAAAA1351Z5</t>
  </si>
  <si>
    <t>27AAAAA1352Z5</t>
  </si>
  <si>
    <t>27AAAAA1353Z5</t>
  </si>
  <si>
    <t>27AAAAA1354Z5</t>
  </si>
  <si>
    <t>27AAAAA1355Z5</t>
  </si>
  <si>
    <t>27AAAAA1356Z5</t>
  </si>
  <si>
    <t>27AAAAA1357Z5</t>
  </si>
  <si>
    <t>27AAAAA1358Z5</t>
  </si>
  <si>
    <t>27AAAAA1359Z5</t>
  </si>
  <si>
    <t>27AAAAA1360Z5</t>
  </si>
  <si>
    <t>27AAAAA1361Z5</t>
  </si>
  <si>
    <t>27AAAAA1362Z5</t>
  </si>
  <si>
    <t>27AAAAA1363Z5</t>
  </si>
  <si>
    <t>27AAAAA1364Z5</t>
  </si>
  <si>
    <t>27AAAAA1365Z5</t>
  </si>
  <si>
    <t>27AAAAA1366Z5</t>
  </si>
  <si>
    <t>27AAAAA1367Z5</t>
  </si>
  <si>
    <t>27AAAAA1368Z5</t>
  </si>
  <si>
    <t>27AAAAA1369Z5</t>
  </si>
  <si>
    <t>27AAAAA1370Z5</t>
  </si>
  <si>
    <t>27AAAAA1371Z5</t>
  </si>
  <si>
    <t>27AAAAA1372Z5</t>
  </si>
  <si>
    <t>27AAAAA1373Z5</t>
  </si>
  <si>
    <t>27AAAAA1374Z5</t>
  </si>
  <si>
    <t>27AAAAA1375Z5</t>
  </si>
  <si>
    <t>27AAAAA1376Z5</t>
  </si>
  <si>
    <t>27AAAAA1377Z5</t>
  </si>
  <si>
    <t>27AAAAA1378Z5</t>
  </si>
  <si>
    <t>27AAAAA1379Z5</t>
  </si>
  <si>
    <t>27AAAAA1380Z5</t>
  </si>
  <si>
    <t>27AAAAA1381Z5</t>
  </si>
  <si>
    <t>27AAAAA1382Z5</t>
  </si>
  <si>
    <t>27AAAAA1383Z5</t>
  </si>
  <si>
    <t>27AAAAA1384Z5</t>
  </si>
  <si>
    <t>27AAAAA1385Z5</t>
  </si>
  <si>
    <t>27AAAAA1386Z5</t>
  </si>
  <si>
    <t>27AAAAA1387Z5</t>
  </si>
  <si>
    <t>27AAAAA1388Z5</t>
  </si>
  <si>
    <t>27AAAAA1389Z5</t>
  </si>
  <si>
    <t>27AAAAA1390Z5</t>
  </si>
  <si>
    <t>27AAAAA1391Z5</t>
  </si>
  <si>
    <t>27AAAAA1392Z5</t>
  </si>
  <si>
    <t>27AAAAA1393Z5</t>
  </si>
  <si>
    <t>27AAAAA1394Z5</t>
  </si>
  <si>
    <t>27AAAAA1395Z5</t>
  </si>
  <si>
    <t>27AAAAA1396Z5</t>
  </si>
  <si>
    <t>27AAAAA1397Z5</t>
  </si>
  <si>
    <t>27AAAAA1398Z5</t>
  </si>
  <si>
    <t>27AAAAA1399Z5</t>
  </si>
  <si>
    <t>27AAAAA1400Z5</t>
  </si>
  <si>
    <t>27AAAAA1401Z5</t>
  </si>
  <si>
    <t>27AAAAA1402Z5</t>
  </si>
  <si>
    <t>27AAAAA1403Z5</t>
  </si>
  <si>
    <t>27AAAAA1404Z5</t>
  </si>
  <si>
    <t>27AAAAA1405Z5</t>
  </si>
  <si>
    <t>27AAAAA1406Z5</t>
  </si>
  <si>
    <t>27AAAAA1407Z5</t>
  </si>
  <si>
    <t>27AAAAA1408Z5</t>
  </si>
  <si>
    <t>27AAAAA1409Z5</t>
  </si>
  <si>
    <t>27AAAAA1410Z5</t>
  </si>
  <si>
    <t>27AAAAA1411Z5</t>
  </si>
  <si>
    <t>27AAAAA1412Z5</t>
  </si>
  <si>
    <t>27AAAAA1413Z5</t>
  </si>
  <si>
    <t>27AAAAA1414Z5</t>
  </si>
  <si>
    <t>27AAAAA1415Z5</t>
  </si>
  <si>
    <t>27AAAAA1416Z5</t>
  </si>
  <si>
    <t>27AAAAA1417Z5</t>
  </si>
  <si>
    <t>27AAAAA1418Z5</t>
  </si>
  <si>
    <t>27AAAAA1419Z5</t>
  </si>
  <si>
    <t>27AAAAA1420Z5</t>
  </si>
  <si>
    <t>27AAAAA1421Z5</t>
  </si>
  <si>
    <t>27AAAAA1422Z5</t>
  </si>
  <si>
    <t>27AAAAA1423Z5</t>
  </si>
  <si>
    <t>27AAAAA1424Z5</t>
  </si>
  <si>
    <t>27AAAAA1425Z5</t>
  </si>
  <si>
    <t>27AAAAA1426Z5</t>
  </si>
  <si>
    <t>27AAAAA1427Z5</t>
  </si>
  <si>
    <t>27AAAAA1428Z5</t>
  </si>
  <si>
    <t>27AAAAA1429Z5</t>
  </si>
  <si>
    <t>27AAAAA1430Z5</t>
  </si>
  <si>
    <t>27AAAAA1431Z5</t>
  </si>
  <si>
    <t>27AAAAA1432Z5</t>
  </si>
  <si>
    <t>27AAAAA1433Z5</t>
  </si>
  <si>
    <t>27AAAAA1434Z5</t>
  </si>
  <si>
    <t>27AAAAA1435Z5</t>
  </si>
  <si>
    <t>27AAAAA1436Z5</t>
  </si>
  <si>
    <t>27AAAAA1437Z5</t>
  </si>
  <si>
    <t>27AAAAA1438Z5</t>
  </si>
  <si>
    <t>27AAAAA1439Z5</t>
  </si>
  <si>
    <t>27AAAAA1440Z5</t>
  </si>
  <si>
    <t>27AAAAA1441Z5</t>
  </si>
  <si>
    <t>27AAAAA1442Z5</t>
  </si>
  <si>
    <t>27AAAAA1443Z5</t>
  </si>
  <si>
    <t>27AAAAA1444Z5</t>
  </si>
  <si>
    <t>27AAAAA1445Z5</t>
  </si>
  <si>
    <t>27AAAAA1446Z5</t>
  </si>
  <si>
    <t>27AAAAA1447Z5</t>
  </si>
  <si>
    <t>27AAAAA1448Z5</t>
  </si>
  <si>
    <t>27AAAAA1449Z5</t>
  </si>
  <si>
    <t>27AAAAA1450Z5</t>
  </si>
  <si>
    <t>27AAAAA1451Z5</t>
  </si>
  <si>
    <t>27AAAAA1452Z5</t>
  </si>
  <si>
    <t>27AAAAA1453Z5</t>
  </si>
  <si>
    <t>27AAAAA1454Z5</t>
  </si>
  <si>
    <t>27AAAAA1455Z5</t>
  </si>
  <si>
    <t>27AAAAA1456Z5</t>
  </si>
  <si>
    <t>27AAAAA1457Z5</t>
  </si>
  <si>
    <t>27AAAAA1458Z5</t>
  </si>
  <si>
    <t>27AAAAA1459Z5</t>
  </si>
  <si>
    <t>27AAAAA1460Z5</t>
  </si>
  <si>
    <t>27AAAAA1461Z5</t>
  </si>
  <si>
    <t>27AAAAA1462Z5</t>
  </si>
  <si>
    <t>27AAAAA1463Z5</t>
  </si>
  <si>
    <t>27AAAAA1464Z5</t>
  </si>
  <si>
    <t>27AAAAA1465Z5</t>
  </si>
  <si>
    <t>27AAAAA1466Z5</t>
  </si>
  <si>
    <t>27AAAAA1467Z5</t>
  </si>
  <si>
    <t>27AAAAA1468Z5</t>
  </si>
  <si>
    <t>27AAAAA1469Z5</t>
  </si>
  <si>
    <t>27AAAAA1470Z5</t>
  </si>
  <si>
    <t>27AAAAA1471Z5</t>
  </si>
  <si>
    <t>27AAAAA1472Z5</t>
  </si>
  <si>
    <t>27AAAAA1473Z5</t>
  </si>
  <si>
    <t>27AAAAA1474Z5</t>
  </si>
  <si>
    <t>27AAAAA1475Z5</t>
  </si>
  <si>
    <t>27AAAAA1476Z5</t>
  </si>
  <si>
    <t>27AAAAA1477Z5</t>
  </si>
  <si>
    <t>27AAAAA1478Z5</t>
  </si>
  <si>
    <t>27AAAAA1479Z5</t>
  </si>
  <si>
    <t>27AAAAA1480Z5</t>
  </si>
  <si>
    <t>27AAAAA1481Z5</t>
  </si>
  <si>
    <t>27AAAAA1482Z5</t>
  </si>
  <si>
    <t>27AAAAA1483Z5</t>
  </si>
  <si>
    <t>27AAAAA1484Z5</t>
  </si>
  <si>
    <t>27AAAAA1485Z5</t>
  </si>
  <si>
    <t>27AAAAA1486Z5</t>
  </si>
  <si>
    <t>27AAAAA1487Z5</t>
  </si>
  <si>
    <t>27AAAAA1488Z5</t>
  </si>
  <si>
    <t>27AAAAA1489Z5</t>
  </si>
  <si>
    <t>27AAAAA1490Z5</t>
  </si>
  <si>
    <t>27AAAAA1491Z5</t>
  </si>
  <si>
    <t>27AAAAA1492Z5</t>
  </si>
  <si>
    <t>27AAAAA1493Z5</t>
  </si>
  <si>
    <t>27AAAAA1494Z5</t>
  </si>
  <si>
    <t>27AAAAA1495Z5</t>
  </si>
  <si>
    <t>27AAAAA1496Z5</t>
  </si>
  <si>
    <t>27AAAAA1497Z5</t>
  </si>
  <si>
    <t>27AAAAA1498Z5</t>
  </si>
  <si>
    <t>27AAAAA1499Z5</t>
  </si>
  <si>
    <t>27AAAAA1500Z5</t>
  </si>
  <si>
    <t>27AAAAA1501Z5</t>
  </si>
  <si>
    <t>27AAAAA1502Z5</t>
  </si>
  <si>
    <t>27AAAAA1503Z5</t>
  </si>
  <si>
    <t>27AAAAA1504Z5</t>
  </si>
  <si>
    <t>27AAAAA1505Z5</t>
  </si>
  <si>
    <t>27AAAAA1506Z5</t>
  </si>
  <si>
    <t>27AAAAA1507Z5</t>
  </si>
  <si>
    <t>27AAAAA1508Z5</t>
  </si>
  <si>
    <t>27AAAAA1509Z5</t>
  </si>
  <si>
    <t>27AAAAA1510Z5</t>
  </si>
  <si>
    <t>27AAAAA1511Z5</t>
  </si>
  <si>
    <t>27AAAAA1512Z5</t>
  </si>
  <si>
    <t>27AAAAA1513Z5</t>
  </si>
  <si>
    <t>27AAAAA1514Z5</t>
  </si>
  <si>
    <t>27AAAAA1515Z5</t>
  </si>
  <si>
    <t>27AAAAA1516Z5</t>
  </si>
  <si>
    <t>27AAAAA1517Z5</t>
  </si>
  <si>
    <t>27AAAAA1518Z5</t>
  </si>
  <si>
    <t>27AAAAA1519Z5</t>
  </si>
  <si>
    <t>27AAAAA1520Z5</t>
  </si>
  <si>
    <t>27AAAAA1521Z5</t>
  </si>
  <si>
    <t>27AAAAA1522Z5</t>
  </si>
  <si>
    <t>27AAAAA1523Z5</t>
  </si>
  <si>
    <t>27AAAAA1524Z5</t>
  </si>
  <si>
    <t>27AAAAA1525Z5</t>
  </si>
  <si>
    <t>27AAAAA1526Z5</t>
  </si>
  <si>
    <t>27AAAAA1527Z5</t>
  </si>
  <si>
    <t>27AAAAA1528Z5</t>
  </si>
  <si>
    <t>27AAAAA1529Z5</t>
  </si>
  <si>
    <t>27AAAAA1530Z5</t>
  </si>
  <si>
    <t>27AAAAA1531Z5</t>
  </si>
  <si>
    <t>27AAAAA1532Z5</t>
  </si>
  <si>
    <t>27AAAAA1533Z5</t>
  </si>
  <si>
    <t>27AAAAA1534Z5</t>
  </si>
  <si>
    <t>27AAAAA1535Z5</t>
  </si>
  <si>
    <t>27AAAAA1536Z5</t>
  </si>
  <si>
    <t>27AAAAA1537Z5</t>
  </si>
  <si>
    <t>27AAAAA1538Z5</t>
  </si>
  <si>
    <t>27AAAAA1539Z5</t>
  </si>
  <si>
    <t>27AAAAA1540Z5</t>
  </si>
  <si>
    <t>27AAAAA1541Z5</t>
  </si>
  <si>
    <t>27AAAAA1542Z5</t>
  </si>
  <si>
    <t>27AAAAA1543Z5</t>
  </si>
  <si>
    <t>27AAAAA1544Z5</t>
  </si>
  <si>
    <t>27AAAAA1545Z5</t>
  </si>
  <si>
    <t>27AAAAA1546Z5</t>
  </si>
  <si>
    <t>27AAAAA1547Z5</t>
  </si>
  <si>
    <t>27AAAAA1548Z5</t>
  </si>
  <si>
    <t>27AAAAA1549Z5</t>
  </si>
  <si>
    <t>27AAAAA1550Z5</t>
  </si>
  <si>
    <t>27AAAAA1551Z5</t>
  </si>
  <si>
    <t>27AAAAA1552Z5</t>
  </si>
  <si>
    <t>27AAAAA1553Z5</t>
  </si>
  <si>
    <t>27AAAAA1554Z5</t>
  </si>
  <si>
    <t>27AAAAA1555Z5</t>
  </si>
  <si>
    <t>27AAAAA1556Z5</t>
  </si>
  <si>
    <t>27AAAAA1557Z5</t>
  </si>
  <si>
    <t>27AAAAA1558Z5</t>
  </si>
  <si>
    <t>27AAAAA1559Z5</t>
  </si>
  <si>
    <t>27AAAAA1560Z5</t>
  </si>
  <si>
    <t>27AAAAA1561Z5</t>
  </si>
  <si>
    <t>27AAAAA1562Z5</t>
  </si>
  <si>
    <t>27AAAAA1563Z5</t>
  </si>
  <si>
    <t>27AAAAA1564Z5</t>
  </si>
  <si>
    <t>27AAAAA1565Z5</t>
  </si>
  <si>
    <t>27AAAAA1566Z5</t>
  </si>
  <si>
    <t>27AAAAA1567Z5</t>
  </si>
  <si>
    <t>27AAAAA1568Z5</t>
  </si>
  <si>
    <t>27AAAAA1569Z5</t>
  </si>
  <si>
    <t>27AAAAA1570Z5</t>
  </si>
  <si>
    <t>27AAAAA1571Z5</t>
  </si>
  <si>
    <t>27AAAAA1572Z5</t>
  </si>
  <si>
    <t>27AAAAA1573Z5</t>
  </si>
  <si>
    <t>27AAAAA1574Z5</t>
  </si>
  <si>
    <t>27AAAAA1575Z5</t>
  </si>
  <si>
    <t>27AAAAA1576Z5</t>
  </si>
  <si>
    <t>27AAAAA1577Z5</t>
  </si>
  <si>
    <t>27AAAAA1578Z5</t>
  </si>
  <si>
    <t>27AAAAA1579Z5</t>
  </si>
  <si>
    <t>27AAAAA1580Z5</t>
  </si>
  <si>
    <t>27AAAAA1581Z5</t>
  </si>
  <si>
    <t>27AAAAA1582Z5</t>
  </si>
  <si>
    <t>27AAAAA1583Z5</t>
  </si>
  <si>
    <t>27AAAAA1584Z5</t>
  </si>
  <si>
    <t>27AAAAA1585Z5</t>
  </si>
  <si>
    <t>27AAAAA1586Z5</t>
  </si>
  <si>
    <t>27AAAAA1587Z5</t>
  </si>
  <si>
    <t>27AAAAA1588Z5</t>
  </si>
  <si>
    <t>27AAAAA1589Z5</t>
  </si>
  <si>
    <t>27AAAAA1590Z5</t>
  </si>
  <si>
    <t>27AAAAA1591Z5</t>
  </si>
  <si>
    <t>27AAAAA1592Z5</t>
  </si>
  <si>
    <t>27AAAAA1593Z5</t>
  </si>
  <si>
    <t>27AAAAA1594Z5</t>
  </si>
  <si>
    <t>27AAAAA1595Z5</t>
  </si>
  <si>
    <t>27AAAAA1596Z5</t>
  </si>
  <si>
    <t>27AAAAA1597Z5</t>
  </si>
  <si>
    <t>27AAAAA1598Z5</t>
  </si>
  <si>
    <t>27AAAAA1599Z5</t>
  </si>
  <si>
    <t>27AAAAA1600Z5</t>
  </si>
  <si>
    <t>27AAAAA1601Z5</t>
  </si>
  <si>
    <t>27AAAAA1602Z5</t>
  </si>
  <si>
    <t>27AAAAA1603Z5</t>
  </si>
  <si>
    <t>27AAAAA1604Z5</t>
  </si>
  <si>
    <t>27AAAAA1605Z5</t>
  </si>
  <si>
    <t>27AAAAA1606Z5</t>
  </si>
  <si>
    <t>27AAAAA1607Z5</t>
  </si>
  <si>
    <t>27AAAAA1608Z5</t>
  </si>
  <si>
    <t>27AAAAA1609Z5</t>
  </si>
  <si>
    <t>27AAAAA1610Z5</t>
  </si>
  <si>
    <t>27AAAAA1611Z5</t>
  </si>
  <si>
    <t>27AAAAA1612Z5</t>
  </si>
  <si>
    <t>27AAAAA1613Z5</t>
  </si>
  <si>
    <t>27AAAAA1614Z5</t>
  </si>
  <si>
    <t>27AAAAA1615Z5</t>
  </si>
  <si>
    <t>27AAAAA1616Z5</t>
  </si>
  <si>
    <t>27AAAAA1617Z5</t>
  </si>
  <si>
    <t>27AAAAA1618Z5</t>
  </si>
  <si>
    <t>27AAAAA1619Z5</t>
  </si>
  <si>
    <t>27AAAAA1620Z5</t>
  </si>
  <si>
    <t>27AAAAA1621Z5</t>
  </si>
  <si>
    <t>27AAAAA1622Z5</t>
  </si>
  <si>
    <t>27AAAAA1623Z5</t>
  </si>
  <si>
    <t>27AAAAA1624Z5</t>
  </si>
  <si>
    <t>27AAAAA1625Z5</t>
  </si>
  <si>
    <t>27AAAAA1626Z5</t>
  </si>
  <si>
    <t>27AAAAA1627Z5</t>
  </si>
  <si>
    <t>27AAAAA1628Z5</t>
  </si>
  <si>
    <t>27AAAAA1629Z5</t>
  </si>
  <si>
    <t>27AAAAA1630Z5</t>
  </si>
  <si>
    <t>27AAAAA1631Z5</t>
  </si>
  <si>
    <t>27AAAAA1632Z5</t>
  </si>
  <si>
    <t>27AAAAA1633Z5</t>
  </si>
  <si>
    <t>27AAAAA1634Z5</t>
  </si>
  <si>
    <t>27AAAAA1635Z5</t>
  </si>
  <si>
    <t>27AAAAA1636Z5</t>
  </si>
  <si>
    <t>27AAAAA1637Z5</t>
  </si>
  <si>
    <t>27AAAAA1638Z5</t>
  </si>
  <si>
    <t>27AAAAA1639Z5</t>
  </si>
  <si>
    <t>27AAAAA1640Z5</t>
  </si>
  <si>
    <t>27AAAAA1641Z5</t>
  </si>
  <si>
    <t>27AAAAA1642Z5</t>
  </si>
  <si>
    <t>27AAAAA1643Z5</t>
  </si>
  <si>
    <t>27AAAAA1644Z5</t>
  </si>
  <si>
    <t>27AAAAA1645Z5</t>
  </si>
  <si>
    <t>27AAAAA1646Z5</t>
  </si>
  <si>
    <t>27AAAAA1647Z5</t>
  </si>
  <si>
    <t>27AAAAA1648Z5</t>
  </si>
  <si>
    <t>27AAAAA1649Z5</t>
  </si>
  <si>
    <t>27AAAAA1650Z5</t>
  </si>
  <si>
    <t>27AAAAA1651Z5</t>
  </si>
  <si>
    <t>27AAAAA1652Z5</t>
  </si>
  <si>
    <t>27AAAAA1653Z5</t>
  </si>
  <si>
    <t>27AAAAA1654Z5</t>
  </si>
  <si>
    <t>27AAAAA1655Z5</t>
  </si>
  <si>
    <t>27AAAAA1656Z5</t>
  </si>
  <si>
    <t>27AAAAA1657Z5</t>
  </si>
  <si>
    <t>27AAAAA1658Z5</t>
  </si>
  <si>
    <t>27AAAAA1659Z5</t>
  </si>
  <si>
    <t>27AAAAA1660Z5</t>
  </si>
  <si>
    <t>27AAAAA1661Z5</t>
  </si>
  <si>
    <t>27AAAAA1662Z5</t>
  </si>
  <si>
    <t>27AAAAA1663Z5</t>
  </si>
  <si>
    <t>27AAAAA1664Z5</t>
  </si>
  <si>
    <t>27AAAAA1665Z5</t>
  </si>
  <si>
    <t>27AAAAA1666Z5</t>
  </si>
  <si>
    <t>27AAAAA1667Z5</t>
  </si>
  <si>
    <t>27AAAAA1668Z5</t>
  </si>
  <si>
    <t>27AAAAA1669Z5</t>
  </si>
  <si>
    <t>27AAAAA1670Z5</t>
  </si>
  <si>
    <t>27AAAAA1671Z5</t>
  </si>
  <si>
    <t>27AAAAA1672Z5</t>
  </si>
  <si>
    <t>27AAAAA1673Z5</t>
  </si>
  <si>
    <t>27AAAAA1674Z5</t>
  </si>
  <si>
    <t>27AAAAA1675Z5</t>
  </si>
  <si>
    <t>27AAAAA1676Z5</t>
  </si>
  <si>
    <t>27AAAAA1677Z5</t>
  </si>
  <si>
    <t>27AAAAA1678Z5</t>
  </si>
  <si>
    <t>27AAAAA1679Z5</t>
  </si>
  <si>
    <t>27AAAAA1680Z5</t>
  </si>
  <si>
    <t>27AAAAA1681Z5</t>
  </si>
  <si>
    <t>27AAAAA1682Z5</t>
  </si>
  <si>
    <t>27AAAAA1683Z5</t>
  </si>
  <si>
    <t>27AAAAA1684Z5</t>
  </si>
  <si>
    <t>27AAAAA1685Z5</t>
  </si>
  <si>
    <t>27AAAAA1686Z5</t>
  </si>
  <si>
    <t>27AAAAA1687Z5</t>
  </si>
  <si>
    <t>27AAAAA1688Z5</t>
  </si>
  <si>
    <t>27AAAAA1689Z5</t>
  </si>
  <si>
    <t>27AAAAA1690Z5</t>
  </si>
  <si>
    <t>27AAAAA1691Z5</t>
  </si>
  <si>
    <t>27AAAAA1692Z5</t>
  </si>
  <si>
    <t>27AAAAA1693Z5</t>
  </si>
  <si>
    <t>27AAAAA1694Z5</t>
  </si>
  <si>
    <t>27AAAAA1695Z5</t>
  </si>
  <si>
    <t>27AAAAA1696Z5</t>
  </si>
  <si>
    <t>27AAAAA1697Z5</t>
  </si>
  <si>
    <t>27AAAAA1698Z5</t>
  </si>
  <si>
    <t>27AAAAA1699Z5</t>
  </si>
  <si>
    <t>27AAAAA1700Z5</t>
  </si>
  <si>
    <t>27AAAAA1701Z5</t>
  </si>
  <si>
    <t>27AAAAA1702Z5</t>
  </si>
  <si>
    <t>27AAAAA1703Z5</t>
  </si>
  <si>
    <t>27AAAAA1704Z5</t>
  </si>
  <si>
    <t>27AAAAA1705Z5</t>
  </si>
  <si>
    <t>27AAAAA1706Z5</t>
  </si>
  <si>
    <t>27AAAAA1707Z5</t>
  </si>
  <si>
    <t>27AAAAA1708Z5</t>
  </si>
  <si>
    <t>27AAAAA1709Z5</t>
  </si>
  <si>
    <t>27AAAAA1710Z5</t>
  </si>
  <si>
    <t>27AAAAA1711Z5</t>
  </si>
  <si>
    <t>27AAAAA1712Z5</t>
  </si>
  <si>
    <t>27AAAAA1713Z5</t>
  </si>
  <si>
    <t>27AAAAA1714Z5</t>
  </si>
  <si>
    <t>27AAAAA1715Z5</t>
  </si>
  <si>
    <t>27AAAAA1716Z5</t>
  </si>
  <si>
    <t>27AAAAA1717Z5</t>
  </si>
  <si>
    <t>27AAAAA1718Z5</t>
  </si>
  <si>
    <t>27AAAAA1719Z5</t>
  </si>
  <si>
    <t>27AAAAA1720Z5</t>
  </si>
  <si>
    <t>27AAAAA1721Z5</t>
  </si>
  <si>
    <t>27AAAAA1722Z5</t>
  </si>
  <si>
    <t>27AAAAA1723Z5</t>
  </si>
  <si>
    <t>27AAAAA1724Z5</t>
  </si>
  <si>
    <t>27AAAAA1725Z5</t>
  </si>
  <si>
    <t>27AAAAA1726Z5</t>
  </si>
  <si>
    <t>27AAAAA1727Z5</t>
  </si>
  <si>
    <t>27AAAAA1728Z5</t>
  </si>
  <si>
    <t>27AAAAA1729Z5</t>
  </si>
  <si>
    <t>27AAAAA1730Z5</t>
  </si>
  <si>
    <t>27AAAAA1731Z5</t>
  </si>
  <si>
    <t>27AAAAA1732Z5</t>
  </si>
  <si>
    <t>27AAAAA1733Z5</t>
  </si>
  <si>
    <t>27AAAAA1734Z5</t>
  </si>
  <si>
    <t>27AAAAA1735Z5</t>
  </si>
  <si>
    <t>27AAAAA1736Z5</t>
  </si>
  <si>
    <t>27AAAAA1737Z5</t>
  </si>
  <si>
    <t>27AAAAA1738Z5</t>
  </si>
  <si>
    <t>27AAAAA1739Z5</t>
  </si>
  <si>
    <t>27AAAAA1740Z5</t>
  </si>
  <si>
    <t>27AAAAA1741Z5</t>
  </si>
  <si>
    <t>27AAAAA1742Z5</t>
  </si>
  <si>
    <t>27AAAAA1743Z5</t>
  </si>
  <si>
    <t>27AAAAA1744Z5</t>
  </si>
  <si>
    <t>27AAAAA1745Z5</t>
  </si>
  <si>
    <t>27AAAAA1746Z5</t>
  </si>
  <si>
    <t>27AAAAA1747Z5</t>
  </si>
  <si>
    <t>27AAAAA1748Z5</t>
  </si>
  <si>
    <t>27AAAAA1749Z5</t>
  </si>
  <si>
    <t>27AAAAA1750Z5</t>
  </si>
  <si>
    <t>27AAAAA1751Z5</t>
  </si>
  <si>
    <t>27AAAAA1752Z5</t>
  </si>
  <si>
    <t>27AAAAA1753Z5</t>
  </si>
  <si>
    <t>27AAAAA1754Z5</t>
  </si>
  <si>
    <t>27AAAAA1755Z5</t>
  </si>
  <si>
    <t>27AAAAA1756Z5</t>
  </si>
  <si>
    <t>27AAAAA1757Z5</t>
  </si>
  <si>
    <t>27AAAAA1758Z5</t>
  </si>
  <si>
    <t>27AAAAA1759Z5</t>
  </si>
  <si>
    <t>27AAAAA1760Z5</t>
  </si>
  <si>
    <t>27AAAAA1761Z5</t>
  </si>
  <si>
    <t>27AAAAA1762Z5</t>
  </si>
  <si>
    <t>27AAAAA1763Z5</t>
  </si>
  <si>
    <t>27AAAAA1764Z5</t>
  </si>
  <si>
    <t>27AAAAA1765Z5</t>
  </si>
  <si>
    <t>27AAAAA1766Z5</t>
  </si>
  <si>
    <t>27AAAAA1767Z5</t>
  </si>
  <si>
    <t>27AAAAA1768Z5</t>
  </si>
  <si>
    <t>27AAAAA1769Z5</t>
  </si>
  <si>
    <t>27AAAAA1770Z5</t>
  </si>
  <si>
    <t>27AAAAA1771Z5</t>
  </si>
  <si>
    <t>27AAAAA1772Z5</t>
  </si>
  <si>
    <t>27AAAAA1773Z5</t>
  </si>
  <si>
    <t>27AAAAA1774Z5</t>
  </si>
  <si>
    <t>27AAAAA1775Z5</t>
  </si>
  <si>
    <t>27AAAAA1776Z5</t>
  </si>
  <si>
    <t>27AAAAA1777Z5</t>
  </si>
  <si>
    <t>27AAAAA1778Z5</t>
  </si>
  <si>
    <t>27AAAAA1779Z5</t>
  </si>
  <si>
    <t>27AAAAA1780Z5</t>
  </si>
  <si>
    <t>27AAAAA1781Z5</t>
  </si>
  <si>
    <t>27AAAAA1782Z5</t>
  </si>
  <si>
    <t>27AAAAA1783Z5</t>
  </si>
  <si>
    <t>27AAAAA1784Z5</t>
  </si>
  <si>
    <t>27AAAAA1785Z5</t>
  </si>
  <si>
    <t>27AAAAA1786Z5</t>
  </si>
  <si>
    <t>27AAAAA1787Z5</t>
  </si>
  <si>
    <t>27AAAAA1788Z5</t>
  </si>
  <si>
    <t>27AAAAA1789Z5</t>
  </si>
  <si>
    <t>27AAAAA1790Z5</t>
  </si>
  <si>
    <t>27AAAAA1791Z5</t>
  </si>
  <si>
    <t>27AAAAA1792Z5</t>
  </si>
  <si>
    <t>27AAAAA1793Z5</t>
  </si>
  <si>
    <t>27AAAAA1794Z5</t>
  </si>
  <si>
    <t>27AAAAA1795Z5</t>
  </si>
  <si>
    <t>27AAAAA1796Z5</t>
  </si>
  <si>
    <t>27AAAAA1797Z5</t>
  </si>
  <si>
    <t>27AAAAA1798Z5</t>
  </si>
  <si>
    <t>27AAAAA1799Z5</t>
  </si>
  <si>
    <t>27AAAAA1800Z5</t>
  </si>
  <si>
    <t>27AAAAA1801Z5</t>
  </si>
  <si>
    <t>27AAAAA1802Z5</t>
  </si>
  <si>
    <t>27AAAAA1803Z5</t>
  </si>
  <si>
    <t>27AAAAA1804Z5</t>
  </si>
  <si>
    <t>27AAAAA1805Z5</t>
  </si>
  <si>
    <t>27AAAAA1806Z5</t>
  </si>
  <si>
    <t>27AAAAA1807Z5</t>
  </si>
  <si>
    <t>27AAAAA1808Z5</t>
  </si>
  <si>
    <t>27AAAAA1809Z5</t>
  </si>
  <si>
    <t>27AAAAA1810Z5</t>
  </si>
  <si>
    <t>27AAAAA1811Z5</t>
  </si>
  <si>
    <t>27AAAAA1812Z5</t>
  </si>
  <si>
    <t>27AAAAA1813Z5</t>
  </si>
  <si>
    <t>27AAAAA1814Z5</t>
  </si>
  <si>
    <t>27AAAAA1815Z5</t>
  </si>
  <si>
    <t>27AAAAA1816Z5</t>
  </si>
  <si>
    <t>27AAAAA1817Z5</t>
  </si>
  <si>
    <t>27AAAAA1818Z5</t>
  </si>
  <si>
    <t>27AAAAA1819Z5</t>
  </si>
  <si>
    <t>27AAAAA1820Z5</t>
  </si>
  <si>
    <t>27AAAAA1821Z5</t>
  </si>
  <si>
    <t>27AAAAA1822Z5</t>
  </si>
  <si>
    <t>27AAAAA1823Z5</t>
  </si>
  <si>
    <t>27AAAAA1824Z5</t>
  </si>
  <si>
    <t>27AAAAA1825Z5</t>
  </si>
  <si>
    <t>27AAAAA1826Z5</t>
  </si>
  <si>
    <t>27AAAAA1827Z5</t>
  </si>
  <si>
    <t>27AAAAA1828Z5</t>
  </si>
  <si>
    <t>27AAAAA1829Z5</t>
  </si>
  <si>
    <t>27AAAAA1830Z5</t>
  </si>
  <si>
    <t>27AAAAA1831Z5</t>
  </si>
  <si>
    <t>27AAAAA1832Z5</t>
  </si>
  <si>
    <t>27AAAAA1833Z5</t>
  </si>
  <si>
    <t>27AAAAA1834Z5</t>
  </si>
  <si>
    <t>27AAAAA1835Z5</t>
  </si>
  <si>
    <t>27AAAAA1836Z5</t>
  </si>
  <si>
    <t>27AAAAA1837Z5</t>
  </si>
  <si>
    <t>27AAAAA1838Z5</t>
  </si>
  <si>
    <t>27AAAAA1839Z5</t>
  </si>
  <si>
    <t>27AAAAA1840Z5</t>
  </si>
  <si>
    <t>27AAAAA1841Z5</t>
  </si>
  <si>
    <t>27AAAAA1842Z5</t>
  </si>
  <si>
    <t>27AAAAA1843Z5</t>
  </si>
  <si>
    <t>27AAAAA1844Z5</t>
  </si>
  <si>
    <t>27AAAAA1845Z5</t>
  </si>
  <si>
    <t>27AAAAA1846Z5</t>
  </si>
  <si>
    <t>27AAAAA1847Z5</t>
  </si>
  <si>
    <t>27AAAAA1848Z5</t>
  </si>
  <si>
    <t>27AAAAA1849Z5</t>
  </si>
  <si>
    <t>27AAAAA1850Z5</t>
  </si>
  <si>
    <t>27AAAAA1851Z5</t>
  </si>
  <si>
    <t>27AAAAA1852Z5</t>
  </si>
  <si>
    <t>27AAAAA1853Z5</t>
  </si>
  <si>
    <t>27AAAAA1854Z5</t>
  </si>
  <si>
    <t>27AAAAA1855Z5</t>
  </si>
  <si>
    <t>27AAAAA1856Z5</t>
  </si>
  <si>
    <t>27AAAAA1857Z5</t>
  </si>
  <si>
    <t>27AAAAA1858Z5</t>
  </si>
  <si>
    <t>27AAAAA1859Z5</t>
  </si>
  <si>
    <t>27AAAAA1860Z5</t>
  </si>
  <si>
    <t>27AAAAA1861Z5</t>
  </si>
  <si>
    <t>27AAAAA1862Z5</t>
  </si>
  <si>
    <t>27AAAAA1863Z5</t>
  </si>
  <si>
    <t>27AAAAA1864Z5</t>
  </si>
  <si>
    <t>27AAAAA1865Z5</t>
  </si>
  <si>
    <t>27AAAAA1866Z5</t>
  </si>
  <si>
    <t>27AAAAA1867Z5</t>
  </si>
  <si>
    <t>27AAAAA1868Z5</t>
  </si>
  <si>
    <t>27AAAAA1869Z5</t>
  </si>
  <si>
    <t>27AAAAA1870Z5</t>
  </si>
  <si>
    <t>27AAAAA1871Z5</t>
  </si>
  <si>
    <t>27AAAAA1872Z5</t>
  </si>
  <si>
    <t>27AAAAA1873Z5</t>
  </si>
  <si>
    <t>27AAAAA1874Z5</t>
  </si>
  <si>
    <t>27AAAAA1875Z5</t>
  </si>
  <si>
    <t>27AAAAA1876Z5</t>
  </si>
  <si>
    <t>27AAAAA1877Z5</t>
  </si>
  <si>
    <t>27AAAAA1878Z5</t>
  </si>
  <si>
    <t>27AAAAA1879Z5</t>
  </si>
  <si>
    <t>27AAAAA1880Z5</t>
  </si>
  <si>
    <t>27AAAAA1881Z5</t>
  </si>
  <si>
    <t>27AAAAA1882Z5</t>
  </si>
  <si>
    <t>27AAAAA1883Z5</t>
  </si>
  <si>
    <t>27AAAAA1884Z5</t>
  </si>
  <si>
    <t>27AAAAA1885Z5</t>
  </si>
  <si>
    <t>27AAAAA1886Z5</t>
  </si>
  <si>
    <t>27AAAAA1887Z5</t>
  </si>
  <si>
    <t>27AAAAA1888Z5</t>
  </si>
  <si>
    <t>27AAAAA1889Z5</t>
  </si>
  <si>
    <t>27AAAAA1890Z5</t>
  </si>
  <si>
    <t>27AAAAA1891Z5</t>
  </si>
  <si>
    <t>27AAAAA1892Z5</t>
  </si>
  <si>
    <t>27AAAAA1893Z5</t>
  </si>
  <si>
    <t>27AAAAA1894Z5</t>
  </si>
  <si>
    <t>27AAAAA1895Z5</t>
  </si>
  <si>
    <t>27AAAAA1896Z5</t>
  </si>
  <si>
    <t>27AAAAA1897Z5</t>
  </si>
  <si>
    <t>27AAAAA1898Z5</t>
  </si>
  <si>
    <t>27AAAAA1899Z5</t>
  </si>
  <si>
    <t>27AAAAA1900Z5</t>
  </si>
  <si>
    <t>27AAAAA1901Z5</t>
  </si>
  <si>
    <t>27AAAAA1902Z5</t>
  </si>
  <si>
    <t>27AAAAA1903Z5</t>
  </si>
  <si>
    <t>27AAAAA1904Z5</t>
  </si>
  <si>
    <t>27AAAAA1905Z5</t>
  </si>
  <si>
    <t>27AAAAA1906Z5</t>
  </si>
  <si>
    <t>27AAAAA1907Z5</t>
  </si>
  <si>
    <t>27AAAAA1908Z5</t>
  </si>
  <si>
    <t>27AAAAA1909Z5</t>
  </si>
  <si>
    <t>27AAAAA1910Z5</t>
  </si>
  <si>
    <t>27AAAAA1911Z5</t>
  </si>
  <si>
    <t>27AAAAA1912Z5</t>
  </si>
  <si>
    <t>27AAAAA1913Z5</t>
  </si>
  <si>
    <t>27AAAAA1914Z5</t>
  </si>
  <si>
    <t>27AAAAA1915Z5</t>
  </si>
  <si>
    <t>27AAAAA1916Z5</t>
  </si>
  <si>
    <t>27AAAAA1917Z5</t>
  </si>
  <si>
    <t>27AAAAA1918Z5</t>
  </si>
  <si>
    <t>27AAAAA1919Z5</t>
  </si>
  <si>
    <t>27AAAAA1920Z5</t>
  </si>
  <si>
    <t>27AAAAA1921Z5</t>
  </si>
  <si>
    <t>27AAAAA1922Z5</t>
  </si>
  <si>
    <t>27AAAAA1923Z5</t>
  </si>
  <si>
    <t>27AAAAA1924Z5</t>
  </si>
  <si>
    <t>27AAAAA1925Z5</t>
  </si>
  <si>
    <t>27AAAAA1926Z5</t>
  </si>
  <si>
    <t>27AAAAA1927Z5</t>
  </si>
  <si>
    <t>27AAAAA1928Z5</t>
  </si>
  <si>
    <t>27AAAAA1929Z5</t>
  </si>
  <si>
    <t>27AAAAA1930Z5</t>
  </si>
  <si>
    <t>27AAAAA1931Z5</t>
  </si>
  <si>
    <t>27AAAAA1932Z5</t>
  </si>
  <si>
    <t>27AAAAA1933Z5</t>
  </si>
  <si>
    <t>27AAAAA1934Z5</t>
  </si>
  <si>
    <t>27AAAAA1935Z5</t>
  </si>
  <si>
    <t>27AAAAA1936Z5</t>
  </si>
  <si>
    <t>27AAAAA1937Z5</t>
  </si>
  <si>
    <t>27AAAAA1938Z5</t>
  </si>
  <si>
    <t>27AAAAA1939Z5</t>
  </si>
  <si>
    <t>27AAAAA1940Z5</t>
  </si>
  <si>
    <t>27AAAAA1941Z5</t>
  </si>
  <si>
    <t>27AAAAA1942Z5</t>
  </si>
  <si>
    <t>27AAAAA1943Z5</t>
  </si>
  <si>
    <t>27AAAAA1944Z5</t>
  </si>
  <si>
    <t>27AAAAA1945Z5</t>
  </si>
  <si>
    <t>27AAAAA1946Z5</t>
  </si>
  <si>
    <t>27AAAAA1947Z5</t>
  </si>
  <si>
    <t>27AAAAA1948Z5</t>
  </si>
  <si>
    <t>27AAAAA1949Z5</t>
  </si>
  <si>
    <t>27AAAAA1950Z5</t>
  </si>
  <si>
    <t>27AAAAA1951Z5</t>
  </si>
  <si>
    <t>27AAAAA1952Z5</t>
  </si>
  <si>
    <t>27AAAAA1953Z5</t>
  </si>
  <si>
    <t>27AAAAA1954Z5</t>
  </si>
  <si>
    <t>27AAAAA1955Z5</t>
  </si>
  <si>
    <t>27AAAAA1956Z5</t>
  </si>
  <si>
    <t>27AAAAA1957Z5</t>
  </si>
  <si>
    <t>27AAAAA1958Z5</t>
  </si>
  <si>
    <t>27AAAAA1959Z5</t>
  </si>
  <si>
    <t>27AAAAA1960Z5</t>
  </si>
  <si>
    <t>27AAAAA1961Z5</t>
  </si>
  <si>
    <t>27AAAAA1962Z5</t>
  </si>
  <si>
    <t>27AAAAA1963Z5</t>
  </si>
  <si>
    <t>27AAAAA1964Z5</t>
  </si>
  <si>
    <t>27AAAAA1965Z5</t>
  </si>
  <si>
    <t>27AAAAA1966Z5</t>
  </si>
  <si>
    <t>27AAAAA1967Z5</t>
  </si>
  <si>
    <t>27AAAAA1968Z5</t>
  </si>
  <si>
    <t>27AAAAA1969Z5</t>
  </si>
  <si>
    <t>27AAAAA1970Z5</t>
  </si>
  <si>
    <t>27AAAAA1971Z5</t>
  </si>
  <si>
    <t>27AAAAA1972Z5</t>
  </si>
  <si>
    <t>27AAAAA1973Z5</t>
  </si>
  <si>
    <t>27AAAAA1974Z5</t>
  </si>
  <si>
    <t>27AAAAA1975Z5</t>
  </si>
  <si>
    <t>27AAAAA1976Z5</t>
  </si>
  <si>
    <t>27AAAAA1977Z5</t>
  </si>
  <si>
    <t>27AAAAA1978Z5</t>
  </si>
  <si>
    <t>27AAAAA1979Z5</t>
  </si>
  <si>
    <t>27AAAAA1980Z5</t>
  </si>
  <si>
    <t>27AAAAA1981Z5</t>
  </si>
  <si>
    <t>27AAAAA1982Z5</t>
  </si>
  <si>
    <t>27AAAAA1983Z5</t>
  </si>
  <si>
    <t>27AAAAA1984Z5</t>
  </si>
  <si>
    <t>27AAAAA1985Z5</t>
  </si>
  <si>
    <t>27AAAAA1986Z5</t>
  </si>
  <si>
    <t>27AAAAA1987Z5</t>
  </si>
  <si>
    <t>27AAAAA1988Z5</t>
  </si>
  <si>
    <t>27AAAAA1989Z5</t>
  </si>
  <si>
    <t>27AAAAA1990Z5</t>
  </si>
  <si>
    <t>27AAAAA1991Z5</t>
  </si>
  <si>
    <t>27AAAAA1992Z5</t>
  </si>
  <si>
    <t>27AAAAA1993Z5</t>
  </si>
  <si>
    <t>27AAAAA1994Z5</t>
  </si>
  <si>
    <t>27AAAAA1995Z5</t>
  </si>
  <si>
    <t>27AAAAA1996Z5</t>
  </si>
  <si>
    <t>27AAAAA1997Z5</t>
  </si>
  <si>
    <t>27AAAAA1998Z5</t>
  </si>
  <si>
    <t>27AAAAA1999Z5</t>
  </si>
  <si>
    <t>27AAAAA2000Z5</t>
  </si>
  <si>
    <t>27AAAAA2001Z5</t>
  </si>
  <si>
    <t>27AAAAA2002Z5</t>
  </si>
  <si>
    <t>27AAAAA2003Z5</t>
  </si>
  <si>
    <t>27AAAAA2004Z5</t>
  </si>
  <si>
    <t>27AAAAA2005Z5</t>
  </si>
  <si>
    <t>27AAAAA2006Z5</t>
  </si>
  <si>
    <t>27AAAAA2007Z5</t>
  </si>
  <si>
    <t>27AAAAA2008Z5</t>
  </si>
  <si>
    <t>27AAAAA2009Z5</t>
  </si>
  <si>
    <t>27AAAAA2010Z5</t>
  </si>
  <si>
    <t>27AAAAA2011Z5</t>
  </si>
  <si>
    <t>27AAAAA2012Z5</t>
  </si>
  <si>
    <t>27AAAAA2013Z5</t>
  </si>
  <si>
    <t>27AAAAA2014Z5</t>
  </si>
  <si>
    <t>27AAAAA2015Z5</t>
  </si>
  <si>
    <t>27AAAAA2016Z5</t>
  </si>
  <si>
    <t>27AAAAA2017Z5</t>
  </si>
  <si>
    <t>27AAAAA2018Z5</t>
  </si>
  <si>
    <t>27AAAAA2019Z5</t>
  </si>
  <si>
    <t>27AAAAA2020Z5</t>
  </si>
  <si>
    <t>27AAAAA2021Z5</t>
  </si>
  <si>
    <t>27AAAAA2022Z5</t>
  </si>
  <si>
    <t>27AAAAA2023Z5</t>
  </si>
  <si>
    <t>27AAAAA2024Z5</t>
  </si>
  <si>
    <t>27AAAAA2025Z5</t>
  </si>
  <si>
    <t>27AAAAA2026Z5</t>
  </si>
  <si>
    <t>27AAAAA2027Z5</t>
  </si>
  <si>
    <t>27AAAAA2028Z5</t>
  </si>
  <si>
    <t>27AAAAA2029Z5</t>
  </si>
  <si>
    <t>27AAAAA2030Z5</t>
  </si>
  <si>
    <t>27AAAAA2031Z5</t>
  </si>
  <si>
    <t>27AAAAA2032Z5</t>
  </si>
  <si>
    <t>27AAAAA2033Z5</t>
  </si>
  <si>
    <t>27AAAAA2034Z5</t>
  </si>
  <si>
    <t>27AAAAA2035Z5</t>
  </si>
  <si>
    <t>27AAAAA2036Z5</t>
  </si>
  <si>
    <t>27AAAAA2037Z5</t>
  </si>
  <si>
    <t>27AAAAA2038Z5</t>
  </si>
  <si>
    <t>27AAAAA2039Z5</t>
  </si>
  <si>
    <t>27AAAAA2040Z5</t>
  </si>
  <si>
    <t>27AAAAA2041Z5</t>
  </si>
  <si>
    <t>27AAAAA2042Z5</t>
  </si>
  <si>
    <t>27AAAAA2043Z5</t>
  </si>
  <si>
    <t>27AAAAA2044Z5</t>
  </si>
  <si>
    <t>27AAAAA2045Z5</t>
  </si>
  <si>
    <t>27AAAAA2046Z5</t>
  </si>
  <si>
    <t>27AAAAA2047Z5</t>
  </si>
  <si>
    <t>27AAAAA2048Z5</t>
  </si>
  <si>
    <t>27AAAAA2049Z5</t>
  </si>
  <si>
    <t>27AAAAA2050Z5</t>
  </si>
  <si>
    <t>27AAAAA2051Z5</t>
  </si>
  <si>
    <t>27AAAAA2052Z5</t>
  </si>
  <si>
    <t>27AAAAA2053Z5</t>
  </si>
  <si>
    <t>27AAAAA2054Z5</t>
  </si>
  <si>
    <t>27AAAAA2055Z5</t>
  </si>
  <si>
    <t>27AAAAA2056Z5</t>
  </si>
  <si>
    <t>27AAAAA2057Z5</t>
  </si>
  <si>
    <t>27AAAAA2058Z5</t>
  </si>
  <si>
    <t>27AAAAA2059Z5</t>
  </si>
  <si>
    <t>27AAAAA2060Z5</t>
  </si>
  <si>
    <t>27AAAAA2061Z5</t>
  </si>
  <si>
    <t>27AAAAA2062Z5</t>
  </si>
  <si>
    <t>27AAAAA2063Z5</t>
  </si>
  <si>
    <t>27AAAAA2064Z5</t>
  </si>
  <si>
    <t>27AAAAA2065Z5</t>
  </si>
  <si>
    <t>27AAAAA2066Z5</t>
  </si>
  <si>
    <t>27AAAAA2067Z5</t>
  </si>
  <si>
    <t>27AAAAA2068Z5</t>
  </si>
  <si>
    <t>27AAAAA2069Z5</t>
  </si>
  <si>
    <t>27AAAAA2070Z5</t>
  </si>
  <si>
    <t>27AAAAA2071Z5</t>
  </si>
  <si>
    <t>27AAAAA2072Z5</t>
  </si>
  <si>
    <t>27AAAAA2073Z5</t>
  </si>
  <si>
    <t>27AAAAA2074Z5</t>
  </si>
  <si>
    <t>27AAAAA2075Z5</t>
  </si>
  <si>
    <t>27AAAAA2076Z5</t>
  </si>
  <si>
    <t>27AAAAA2077Z5</t>
  </si>
  <si>
    <t>27AAAAA2078Z5</t>
  </si>
  <si>
    <t>27AAAAA2079Z5</t>
  </si>
  <si>
    <t>27AAAAA2080Z5</t>
  </si>
  <si>
    <t>27AAAAA2081Z5</t>
  </si>
  <si>
    <t>27AAAAA2082Z5</t>
  </si>
  <si>
    <t>27AAAAA2083Z5</t>
  </si>
  <si>
    <t>27AAAAA2084Z5</t>
  </si>
  <si>
    <t>27AAAAA2085Z5</t>
  </si>
  <si>
    <t>27AAAAA2086Z5</t>
  </si>
  <si>
    <t>27AAAAA2087Z5</t>
  </si>
  <si>
    <t>27AAAAA2088Z5</t>
  </si>
  <si>
    <t>27AAAAA2089Z5</t>
  </si>
  <si>
    <t>27AAAAA2090Z5</t>
  </si>
  <si>
    <t>27AAAAA2091Z5</t>
  </si>
  <si>
    <t>27AAAAA2092Z5</t>
  </si>
  <si>
    <t>27AAAAA2093Z5</t>
  </si>
  <si>
    <t>27AAAAA2094Z5</t>
  </si>
  <si>
    <t>27AAAAA2095Z5</t>
  </si>
  <si>
    <t>27AAAAA2096Z5</t>
  </si>
  <si>
    <t>27AAAAA2097Z5</t>
  </si>
  <si>
    <t>27AAAAA2098Z5</t>
  </si>
  <si>
    <t>27AAAAA2099Z5</t>
  </si>
  <si>
    <t>27AAAAA2100Z5</t>
  </si>
  <si>
    <t>27AAAAA2101Z5</t>
  </si>
  <si>
    <t>27AAAAA2102Z5</t>
  </si>
  <si>
    <t>27AAAAA2103Z5</t>
  </si>
  <si>
    <t>27AAAAA2104Z5</t>
  </si>
  <si>
    <t>27AAAAA2105Z5</t>
  </si>
  <si>
    <t>27AAAAA2106Z5</t>
  </si>
  <si>
    <t>27AAAAA2107Z5</t>
  </si>
  <si>
    <t>27AAAAA2108Z5</t>
  </si>
  <si>
    <t>27AAAAA2109Z5</t>
  </si>
  <si>
    <t>27AAAAA2110Z5</t>
  </si>
  <si>
    <t>27AAAAA2111Z5</t>
  </si>
  <si>
    <t>27AAAAA2112Z5</t>
  </si>
  <si>
    <t>27AAAAA2113Z5</t>
  </si>
  <si>
    <t>27AAAAA2114Z5</t>
  </si>
  <si>
    <t>27AAAAA2115Z5</t>
  </si>
  <si>
    <t>27AAAAA2116Z5</t>
  </si>
  <si>
    <t>27AAAAA2117Z5</t>
  </si>
  <si>
    <t>27AAAAA2118Z5</t>
  </si>
  <si>
    <t>27AAAAA2119Z5</t>
  </si>
  <si>
    <t>27AAAAA2120Z5</t>
  </si>
  <si>
    <t>27AAAAA2121Z5</t>
  </si>
  <si>
    <t>27AAAAA2122Z5</t>
  </si>
  <si>
    <t>27AAAAA2123Z5</t>
  </si>
  <si>
    <t>27AAAAA2124Z5</t>
  </si>
  <si>
    <t>27AAAAA2125Z5</t>
  </si>
  <si>
    <t>27AAAAA2126Z5</t>
  </si>
  <si>
    <t>27AAAAA2127Z5</t>
  </si>
  <si>
    <t>27AAAAA2128Z5</t>
  </si>
  <si>
    <t>27AAAAA2129Z5</t>
  </si>
  <si>
    <t>27AAAAA2130Z5</t>
  </si>
  <si>
    <t>27AAAAA2131Z5</t>
  </si>
  <si>
    <t>27AAAAA2132Z5</t>
  </si>
  <si>
    <t>27AAAAA2133Z5</t>
  </si>
  <si>
    <t>27AAAAA2134Z5</t>
  </si>
  <si>
    <t>27AAAAA2135Z5</t>
  </si>
  <si>
    <t>27AAAAA2136Z5</t>
  </si>
  <si>
    <t>27AAAAA2137Z5</t>
  </si>
  <si>
    <t>27AAAAA2138Z5</t>
  </si>
  <si>
    <t>27AAAAA2139Z5</t>
  </si>
  <si>
    <t>27AAAAA2140Z5</t>
  </si>
  <si>
    <t>27AAAAA2141Z5</t>
  </si>
  <si>
    <t>27AAAAA2142Z5</t>
  </si>
  <si>
    <t>27AAAAA2143Z5</t>
  </si>
  <si>
    <t>27AAAAA2144Z5</t>
  </si>
  <si>
    <t>27AAAAA2145Z5</t>
  </si>
  <si>
    <t>27AAAAA2146Z5</t>
  </si>
  <si>
    <t>27AAAAA2147Z5</t>
  </si>
  <si>
    <t>27AAAAA2148Z5</t>
  </si>
  <si>
    <t>27AAAAA2149Z5</t>
  </si>
  <si>
    <t>27AAAAA2150Z5</t>
  </si>
  <si>
    <t>27AAAAA2151Z5</t>
  </si>
  <si>
    <t>27AAAAA2152Z5</t>
  </si>
  <si>
    <t>27AAAAA2153Z5</t>
  </si>
  <si>
    <t>27AAAAA2154Z5</t>
  </si>
  <si>
    <t>27AAAAA2155Z5</t>
  </si>
  <si>
    <t>27AAAAA2156Z5</t>
  </si>
  <si>
    <t>27AAAAA2157Z5</t>
  </si>
  <si>
    <t>27AAAAA2158Z5</t>
  </si>
  <si>
    <t>27AAAAA2159Z5</t>
  </si>
  <si>
    <t>27AAAAA2160Z5</t>
  </si>
  <si>
    <t>27AAAAA2161Z5</t>
  </si>
  <si>
    <t>27AAAAA2162Z5</t>
  </si>
  <si>
    <t>27AAAAA2163Z5</t>
  </si>
  <si>
    <t>27AAAAA2164Z5</t>
  </si>
  <si>
    <t>27AAAAA2165Z5</t>
  </si>
  <si>
    <t>27AAAAA2166Z5</t>
  </si>
  <si>
    <t>27AAAAA2167Z5</t>
  </si>
  <si>
    <t>27AAAAA2168Z5</t>
  </si>
  <si>
    <t>27AAAAA2169Z5</t>
  </si>
  <si>
    <t>27AAAAA2170Z5</t>
  </si>
  <si>
    <t>27AAAAA2171Z5</t>
  </si>
  <si>
    <t>27AAAAA2172Z5</t>
  </si>
  <si>
    <t>27AAAAA2173Z5</t>
  </si>
  <si>
    <t>27AAAAA2174Z5</t>
  </si>
  <si>
    <t>27AAAAA2175Z5</t>
  </si>
  <si>
    <t>27AAAAA2176Z5</t>
  </si>
  <si>
    <t>27AAAAA2177Z5</t>
  </si>
  <si>
    <t>27AAAAA2178Z5</t>
  </si>
  <si>
    <t>27AAAAA2179Z5</t>
  </si>
  <si>
    <t>27AAAAA2180Z5</t>
  </si>
  <si>
    <t>27AAAAA2181Z5</t>
  </si>
  <si>
    <t>27AAAAA2182Z5</t>
  </si>
  <si>
    <t>27AAAAA2183Z5</t>
  </si>
  <si>
    <t>27AAAAA2184Z5</t>
  </si>
  <si>
    <t>27AAAAA2185Z5</t>
  </si>
  <si>
    <t>27AAAAA2186Z5</t>
  </si>
  <si>
    <t>27AAAAA2187Z5</t>
  </si>
  <si>
    <t>27AAAAA2188Z5</t>
  </si>
  <si>
    <t>27AAAAA2189Z5</t>
  </si>
  <si>
    <t>27AAAAA2190Z5</t>
  </si>
  <si>
    <t>27AAAAA2191Z5</t>
  </si>
  <si>
    <t>27AAAAA2192Z5</t>
  </si>
  <si>
    <t>27AAAAA2193Z5</t>
  </si>
  <si>
    <t>27AAAAA2194Z5</t>
  </si>
  <si>
    <t>27AAAAA2195Z5</t>
  </si>
  <si>
    <t>27AAAAA2196Z5</t>
  </si>
  <si>
    <t>27AAAAA2197Z5</t>
  </si>
  <si>
    <t>27AAAAA2198Z5</t>
  </si>
  <si>
    <t>27AAAAA2199Z5</t>
  </si>
  <si>
    <t>27AAAAA2200Z5</t>
  </si>
  <si>
    <t>27AAAAA2201Z5</t>
  </si>
  <si>
    <t>27AAAAA2202Z5</t>
  </si>
  <si>
    <t>27AAAAA2203Z5</t>
  </si>
  <si>
    <t>27AAAAA2204Z5</t>
  </si>
  <si>
    <t>27AAAAA2205Z5</t>
  </si>
  <si>
    <t>27AAAAA2206Z5</t>
  </si>
  <si>
    <t>27AAAAA2207Z5</t>
  </si>
  <si>
    <t>27AAAAA2208Z5</t>
  </si>
  <si>
    <t>27AAAAA2209Z5</t>
  </si>
  <si>
    <t>27AAAAA2210Z5</t>
  </si>
  <si>
    <t>27AAAAA2211Z5</t>
  </si>
  <si>
    <t>27AAAAA2212Z5</t>
  </si>
  <si>
    <t>27AAAAA2213Z5</t>
  </si>
  <si>
    <t>27AAAAA2214Z5</t>
  </si>
  <si>
    <t>27AAAAA2215Z5</t>
  </si>
  <si>
    <t>27AAAAA2216Z5</t>
  </si>
  <si>
    <t>27AAAAA2217Z5</t>
  </si>
  <si>
    <t>27AAAAA2218Z5</t>
  </si>
  <si>
    <t>27AAAAA2219Z5</t>
  </si>
  <si>
    <t>27AAAAA2220Z5</t>
  </si>
  <si>
    <t>27AAAAA2221Z5</t>
  </si>
  <si>
    <t>27AAAAA2222Z5</t>
  </si>
  <si>
    <t>27AAAAA2223Z5</t>
  </si>
  <si>
    <t>27AAAAA2224Z5</t>
  </si>
  <si>
    <t>27AAAAA2225Z5</t>
  </si>
  <si>
    <t>27AAAAA2226Z5</t>
  </si>
  <si>
    <t>27AAAAA2227Z5</t>
  </si>
  <si>
    <t>27AAAAA2228Z5</t>
  </si>
  <si>
    <t>27AAAAA2229Z5</t>
  </si>
  <si>
    <t>27AAAAA2230Z5</t>
  </si>
  <si>
    <t>27AAAAA2231Z5</t>
  </si>
  <si>
    <t>27AAAAA2232Z5</t>
  </si>
  <si>
    <t>27AAAAA2233Z5</t>
  </si>
  <si>
    <t>27AAAAA2234Z5</t>
  </si>
  <si>
    <t>27AAAAA2235Z5</t>
  </si>
  <si>
    <t>27AAAAA2236Z5</t>
  </si>
  <si>
    <t>27AAAAA2237Z5</t>
  </si>
  <si>
    <t>27AAAAA2238Z5</t>
  </si>
  <si>
    <t>27AAAAA2239Z5</t>
  </si>
  <si>
    <t>27AAAAA2240Z5</t>
  </si>
  <si>
    <t>27AAAAA2241Z5</t>
  </si>
  <si>
    <t>27AAAAA2242Z5</t>
  </si>
  <si>
    <t>27AAAAA2243Z5</t>
  </si>
  <si>
    <t>27AAAAA2244Z5</t>
  </si>
  <si>
    <t>27AAAAA2245Z5</t>
  </si>
  <si>
    <t>27AAAAA2246Z5</t>
  </si>
  <si>
    <t>27AAAAA2247Z5</t>
  </si>
  <si>
    <t>27AAAAA2248Z5</t>
  </si>
  <si>
    <t>27AAAAA2249Z5</t>
  </si>
  <si>
    <t>27AAAAA2250Z5</t>
  </si>
  <si>
    <t>27AAAAA2251Z5</t>
  </si>
  <si>
    <t>27AAAAA2252Z5</t>
  </si>
  <si>
    <t>27AAAAA2253Z5</t>
  </si>
  <si>
    <t>27AAAAA2254Z5</t>
  </si>
  <si>
    <t>27AAAAA2255Z5</t>
  </si>
  <si>
    <t>27AAAAA2256Z5</t>
  </si>
  <si>
    <t>27AAAAA2257Z5</t>
  </si>
  <si>
    <t>27AAAAA2258Z5</t>
  </si>
  <si>
    <t>27AAAAA2259Z5</t>
  </si>
  <si>
    <t>27AAAAA2260Z5</t>
  </si>
  <si>
    <t>27AAAAA2261Z5</t>
  </si>
  <si>
    <t>27AAAAA2262Z5</t>
  </si>
  <si>
    <t>27AAAAA2263Z5</t>
  </si>
  <si>
    <t>27AAAAA2264Z5</t>
  </si>
  <si>
    <t>27AAAAA2265Z5</t>
  </si>
  <si>
    <t>27AAAAA2266Z5</t>
  </si>
  <si>
    <t>27AAAAA2267Z5</t>
  </si>
  <si>
    <t>27AAAAA2268Z5</t>
  </si>
  <si>
    <t>27AAAAA2269Z5</t>
  </si>
  <si>
    <t>27AAAAA2270Z5</t>
  </si>
  <si>
    <t>27AAAAA2271Z5</t>
  </si>
  <si>
    <t>27AAAAA2272Z5</t>
  </si>
  <si>
    <t>27AAAAA2273Z5</t>
  </si>
  <si>
    <t>27AAAAA2274Z5</t>
  </si>
  <si>
    <t>27AAAAA2275Z5</t>
  </si>
  <si>
    <t>27AAAAA2276Z5</t>
  </si>
  <si>
    <t>27AAAAA2277Z5</t>
  </si>
  <si>
    <t>27AAAAA2278Z5</t>
  </si>
  <si>
    <t>27AAAAA2279Z5</t>
  </si>
  <si>
    <t>27AAAAA2280Z5</t>
  </si>
  <si>
    <t>27AAAAA2281Z5</t>
  </si>
  <si>
    <t>27AAAAA2282Z5</t>
  </si>
  <si>
    <t>27AAAAA2283Z5</t>
  </si>
  <si>
    <t>27AAAAA2284Z5</t>
  </si>
  <si>
    <t>27AAAAA2285Z5</t>
  </si>
  <si>
    <t>27AAAAA2286Z5</t>
  </si>
  <si>
    <t>27AAAAA2287Z5</t>
  </si>
  <si>
    <t>27AAAAA2288Z5</t>
  </si>
  <si>
    <t>27AAAAA2289Z5</t>
  </si>
  <si>
    <t>27AAAAA2290Z5</t>
  </si>
  <si>
    <t>27AAAAA2291Z5</t>
  </si>
  <si>
    <t>27AAAAA2292Z5</t>
  </si>
  <si>
    <t>27AAAAA2293Z5</t>
  </si>
  <si>
    <t>27AAAAA2294Z5</t>
  </si>
  <si>
    <t>27AAAAA2295Z5</t>
  </si>
  <si>
    <t>27AAAAA2296Z5</t>
  </si>
  <si>
    <t>27AAAAA2297Z5</t>
  </si>
  <si>
    <t>27AAAAA2298Z5</t>
  </si>
  <si>
    <t>27AAAAA2299Z5</t>
  </si>
  <si>
    <t>27AAAAA2300Z5</t>
  </si>
  <si>
    <t>27AAAAA2301Z5</t>
  </si>
  <si>
    <t>27AAAAA2302Z5</t>
  </si>
  <si>
    <t>27AAAAA2303Z5</t>
  </si>
  <si>
    <t>27AAAAA2304Z5</t>
  </si>
  <si>
    <t>27AAAAA2305Z5</t>
  </si>
  <si>
    <t>27AAAAA2306Z5</t>
  </si>
  <si>
    <t>27AAAAA2307Z5</t>
  </si>
  <si>
    <t>27AAAAA2308Z5</t>
  </si>
  <si>
    <t>27AAAAA2309Z5</t>
  </si>
  <si>
    <t>27AAAAA2310Z5</t>
  </si>
  <si>
    <t>27AAAAA2311Z5</t>
  </si>
  <si>
    <t>27AAAAA2312Z5</t>
  </si>
  <si>
    <t>27AAAAA2313Z5</t>
  </si>
  <si>
    <t>27AAAAA2314Z5</t>
  </si>
  <si>
    <t>27AAAAA2315Z5</t>
  </si>
  <si>
    <t>27AAAAA2316Z5</t>
  </si>
  <si>
    <t>27AAAAA2317Z5</t>
  </si>
  <si>
    <t>27AAAAA2318Z5</t>
  </si>
  <si>
    <t>27AAAAA2319Z5</t>
  </si>
  <si>
    <t>27AAAAA2320Z5</t>
  </si>
  <si>
    <t>27AAAAA2321Z5</t>
  </si>
  <si>
    <t>27AAAAA2322Z5</t>
  </si>
  <si>
    <t>27AAAAA2323Z5</t>
  </si>
  <si>
    <t>27AAAAA2324Z5</t>
  </si>
  <si>
    <t>27AAAAA2325Z5</t>
  </si>
  <si>
    <t>27AAAAA2326Z5</t>
  </si>
  <si>
    <t>27AAAAA2327Z5</t>
  </si>
  <si>
    <t>27AAAAA2328Z5</t>
  </si>
  <si>
    <t>27AAAAA2329Z5</t>
  </si>
  <si>
    <t>27AAAAA2330Z5</t>
  </si>
  <si>
    <t>27AAAAA2331Z5</t>
  </si>
  <si>
    <t>27AAAAA2332Z5</t>
  </si>
  <si>
    <t>27AAAAA2333Z5</t>
  </si>
  <si>
    <t>27AAAAA2334Z5</t>
  </si>
  <si>
    <t>27AAAAA2335Z5</t>
  </si>
  <si>
    <t>27AAAAA2336Z5</t>
  </si>
  <si>
    <t>27AAAAA2337Z5</t>
  </si>
  <si>
    <t>27AAAAA2338Z5</t>
  </si>
  <si>
    <t>27AAAAA2339Z5</t>
  </si>
  <si>
    <t>27AAAAA2340Z5</t>
  </si>
  <si>
    <t>27AAAAA2341Z5</t>
  </si>
  <si>
    <t>27AAAAA2342Z5</t>
  </si>
  <si>
    <t>27AAAAA2343Z5</t>
  </si>
  <si>
    <t>27AAAAA2344Z5</t>
  </si>
  <si>
    <t>27AAAAA2345Z5</t>
  </si>
  <si>
    <t>27AAAAA2346Z5</t>
  </si>
  <si>
    <t>27AAAAA2347Z5</t>
  </si>
  <si>
    <t>27AAAAA2348Z5</t>
  </si>
  <si>
    <t>27AAAAA2349Z5</t>
  </si>
  <si>
    <t>27AAAAA2350Z5</t>
  </si>
  <si>
    <t>27AAAAA2351Z5</t>
  </si>
  <si>
    <t>27AAAAA2352Z5</t>
  </si>
  <si>
    <t>27AAAAA2353Z5</t>
  </si>
  <si>
    <t>27AAAAA2354Z5</t>
  </si>
  <si>
    <t>27AAAAA2355Z5</t>
  </si>
  <si>
    <t>27AAAAA2356Z5</t>
  </si>
  <si>
    <t>27AAAAA2357Z5</t>
  </si>
  <si>
    <t>27AAAAA2358Z5</t>
  </si>
  <si>
    <t>27AAAAA2359Z5</t>
  </si>
  <si>
    <t>27AAAAA2360Z5</t>
  </si>
  <si>
    <t>27AAAAA2361Z5</t>
  </si>
  <si>
    <t>27AAAAA2362Z5</t>
  </si>
  <si>
    <t>27AAAAA2363Z5</t>
  </si>
  <si>
    <t>27AAAAA2364Z5</t>
  </si>
  <si>
    <t>27AAAAA2365Z5</t>
  </si>
  <si>
    <t>27AAAAA2366Z5</t>
  </si>
  <si>
    <t>27AAAAA2367Z5</t>
  </si>
  <si>
    <t>27AAAAA2368Z5</t>
  </si>
  <si>
    <t>27AAAAA2369Z5</t>
  </si>
  <si>
    <t>27AAAAA2370Z5</t>
  </si>
  <si>
    <t>27AAAAA2371Z5</t>
  </si>
  <si>
    <t>27AAAAA2372Z5</t>
  </si>
  <si>
    <t>27AAAAA2373Z5</t>
  </si>
  <si>
    <t>27AAAAA2374Z5</t>
  </si>
  <si>
    <t>27AAAAA2375Z5</t>
  </si>
  <si>
    <t>27AAAAA2376Z5</t>
  </si>
  <si>
    <t>27AAAAA2377Z5</t>
  </si>
  <si>
    <t>27AAAAA2378Z5</t>
  </si>
  <si>
    <t>27AAAAA2379Z5</t>
  </si>
  <si>
    <t>27AAAAA2380Z5</t>
  </si>
  <si>
    <t>27AAAAA2381Z5</t>
  </si>
  <si>
    <t>27AAAAA2382Z5</t>
  </si>
  <si>
    <t>27AAAAA2383Z5</t>
  </si>
  <si>
    <t>27AAAAA2384Z5</t>
  </si>
  <si>
    <t>27AAAAA2385Z5</t>
  </si>
  <si>
    <t>27AAAAA2386Z5</t>
  </si>
  <si>
    <t>27AAAAA2387Z5</t>
  </si>
  <si>
    <t>27AAAAA2388Z5</t>
  </si>
  <si>
    <t>27AAAAA2389Z5</t>
  </si>
  <si>
    <t>27AAAAA2390Z5</t>
  </si>
  <si>
    <t>27AAAAA2391Z5</t>
  </si>
  <si>
    <t>27AAAAA2392Z5</t>
  </si>
  <si>
    <t>27AAAAA2393Z5</t>
  </si>
  <si>
    <t>27AAAAA2394Z5</t>
  </si>
  <si>
    <t>27AAAAA2395Z5</t>
  </si>
  <si>
    <t>27AAAAA2396Z5</t>
  </si>
  <si>
    <t>27AAAAA2397Z5</t>
  </si>
  <si>
    <t>27AAAAA2398Z5</t>
  </si>
  <si>
    <t>27AAAAA2399Z5</t>
  </si>
  <si>
    <t>27AAAAA2400Z5</t>
  </si>
  <si>
    <t>27AAAAA2401Z5</t>
  </si>
  <si>
    <t>27AAAAA2402Z5</t>
  </si>
  <si>
    <t>27AAAAA2403Z5</t>
  </si>
  <si>
    <t>27AAAAA2404Z5</t>
  </si>
  <si>
    <t>27AAAAA2405Z5</t>
  </si>
  <si>
    <t>27AAAAA2406Z5</t>
  </si>
  <si>
    <t>27AAAAA2407Z5</t>
  </si>
  <si>
    <t>27AAAAA2408Z5</t>
  </si>
  <si>
    <t>27AAAAA2409Z5</t>
  </si>
  <si>
    <t>27AAAAA2410Z5</t>
  </si>
  <si>
    <t>27AAAAA2411Z5</t>
  </si>
  <si>
    <t>27AAAAA2412Z5</t>
  </si>
  <si>
    <t>27AAAAA2413Z5</t>
  </si>
  <si>
    <t>27AAAAA2414Z5</t>
  </si>
  <si>
    <t>27AAAAA2415Z5</t>
  </si>
  <si>
    <t>27AAAAA2416Z5</t>
  </si>
  <si>
    <t>27AAAAA2417Z5</t>
  </si>
  <si>
    <t>27AAAAA2418Z5</t>
  </si>
  <si>
    <t>27AAAAA2419Z5</t>
  </si>
  <si>
    <t>27AAAAA2420Z5</t>
  </si>
  <si>
    <t>27AAAAA2421Z5</t>
  </si>
  <si>
    <t>27AAAAA2422Z5</t>
  </si>
  <si>
    <t>27AAAAA2423Z5</t>
  </si>
  <si>
    <t>27AAAAA2424Z5</t>
  </si>
  <si>
    <t>27AAAAA2425Z5</t>
  </si>
  <si>
    <t>27AAAAA2426Z5</t>
  </si>
  <si>
    <t>27AAAAA2427Z5</t>
  </si>
  <si>
    <t>27AAAAA2428Z5</t>
  </si>
  <si>
    <t>27AAAAA2429Z5</t>
  </si>
  <si>
    <t>27AAAAA2430Z5</t>
  </si>
  <si>
    <t>27AAAAA2431Z5</t>
  </si>
  <si>
    <t>27AAAAA2432Z5</t>
  </si>
  <si>
    <t>27AAAAA2433Z5</t>
  </si>
  <si>
    <t>27AAAAA2434Z5</t>
  </si>
  <si>
    <t>27AAAAA2435Z5</t>
  </si>
  <si>
    <t>27AAAAA2436Z5</t>
  </si>
  <si>
    <t>27AAAAA2437Z5</t>
  </si>
  <si>
    <t>27AAAAA2438Z5</t>
  </si>
  <si>
    <t>27AAAAA2439Z5</t>
  </si>
  <si>
    <t>27AAAAA2440Z5</t>
  </si>
  <si>
    <t>27AAAAA2441Z5</t>
  </si>
  <si>
    <t>27AAAAA2442Z5</t>
  </si>
  <si>
    <t>27AAAAA2443Z5</t>
  </si>
  <si>
    <t>27AAAAA2444Z5</t>
  </si>
  <si>
    <t>27AAAAA2445Z5</t>
  </si>
  <si>
    <t>27AAAAA2446Z5</t>
  </si>
  <si>
    <t>27AAAAA2447Z5</t>
  </si>
  <si>
    <t>27AAAAA2448Z5</t>
  </si>
  <si>
    <t>27AAAAA2449Z5</t>
  </si>
  <si>
    <t>27AAAAA2450Z5</t>
  </si>
  <si>
    <t>27AAAAA2451Z5</t>
  </si>
  <si>
    <t>27AAAAA2452Z5</t>
  </si>
  <si>
    <t>27AAAAA2453Z5</t>
  </si>
  <si>
    <t>27AAAAA2454Z5</t>
  </si>
  <si>
    <t>27AAAAA2455Z5</t>
  </si>
  <si>
    <t>27AAAAA2456Z5</t>
  </si>
  <si>
    <t>27AAAAA2457Z5</t>
  </si>
  <si>
    <t>27AAAAA2458Z5</t>
  </si>
  <si>
    <t>27AAAAA2459Z5</t>
  </si>
  <si>
    <t>27AAAAA2460Z5</t>
  </si>
  <si>
    <t>27AAAAA2461Z5</t>
  </si>
  <si>
    <t>27AAAAA2462Z5</t>
  </si>
  <si>
    <t>27AAAAA2463Z5</t>
  </si>
  <si>
    <t>27AAAAA2464Z5</t>
  </si>
  <si>
    <t>27AAAAA2465Z5</t>
  </si>
  <si>
    <t>27AAAAA2466Z5</t>
  </si>
  <si>
    <t>27AAAAA2467Z5</t>
  </si>
  <si>
    <t>27AAAAA2468Z5</t>
  </si>
  <si>
    <t>27AAAAA2469Z5</t>
  </si>
  <si>
    <t>27AAAAA2470Z5</t>
  </si>
  <si>
    <t>27AAAAA2471Z5</t>
  </si>
  <si>
    <t>27AAAAA2472Z5</t>
  </si>
  <si>
    <t>27AAAAA2473Z5</t>
  </si>
  <si>
    <t>27AAAAA2474Z5</t>
  </si>
  <si>
    <t>27AAAAA2475Z5</t>
  </si>
  <si>
    <t>27AAAAA2476Z5</t>
  </si>
  <si>
    <t>27AAAAA2477Z5</t>
  </si>
  <si>
    <t>27AAAAA2478Z5</t>
  </si>
  <si>
    <t>27AAAAA2479Z5</t>
  </si>
  <si>
    <t>27AAAAA2480Z5</t>
  </si>
  <si>
    <t>27AAAAA2481Z5</t>
  </si>
  <si>
    <t>27AAAAA2482Z5</t>
  </si>
  <si>
    <t>27AAAAA2483Z5</t>
  </si>
  <si>
    <t>27AAAAA2484Z5</t>
  </si>
  <si>
    <t>27AAAAA2485Z5</t>
  </si>
  <si>
    <t>27AAAAA2486Z5</t>
  </si>
  <si>
    <t>27AAAAA2487Z5</t>
  </si>
  <si>
    <t>27AAAAA2488Z5</t>
  </si>
  <si>
    <t>27AAAAA2489Z5</t>
  </si>
  <si>
    <t>27AAAAA2490Z5</t>
  </si>
  <si>
    <t>27AAAAA2491Z5</t>
  </si>
  <si>
    <t>27AAAAA2492Z5</t>
  </si>
  <si>
    <t>27AAAAA2493Z5</t>
  </si>
  <si>
    <t>27AAAAA2494Z5</t>
  </si>
  <si>
    <t>27AAAAA2495Z5</t>
  </si>
  <si>
    <t>27AAAAA2496Z5</t>
  </si>
  <si>
    <t>27AAAAA2497Z5</t>
  </si>
  <si>
    <t>27AAAAA2498Z5</t>
  </si>
  <si>
    <t>27AAAAA2499Z5</t>
  </si>
  <si>
    <t>27AAAAA2500Z5</t>
  </si>
  <si>
    <t>27AAAAA2501Z5</t>
  </si>
  <si>
    <t>27AAAAA2502Z5</t>
  </si>
  <si>
    <t>27AAAAA2503Z5</t>
  </si>
  <si>
    <t>27AAAAA2504Z5</t>
  </si>
  <si>
    <t>27AAAAA2505Z5</t>
  </si>
  <si>
    <t>27AAAAA2506Z5</t>
  </si>
  <si>
    <t>27AAAAA2507Z5</t>
  </si>
  <si>
    <t>27AAAAA2508Z5</t>
  </si>
  <si>
    <t>27AAAAA2509Z5</t>
  </si>
  <si>
    <t>27AAAAA2510Z5</t>
  </si>
  <si>
    <t>27AAAAA2511Z5</t>
  </si>
  <si>
    <t>27AAAAA2512Z5</t>
  </si>
  <si>
    <t>27AAAAA2513Z5</t>
  </si>
  <si>
    <t>27AAAAA2514Z5</t>
  </si>
  <si>
    <t>27AAAAA2515Z5</t>
  </si>
  <si>
    <t>27AAAAA2516Z5</t>
  </si>
  <si>
    <t>27AAAAA2517Z5</t>
  </si>
  <si>
    <t>27AAAAA2518Z5</t>
  </si>
  <si>
    <t>27AAAAA2519Z5</t>
  </si>
  <si>
    <t>27AAAAA2520Z5</t>
  </si>
  <si>
    <t>27AAAAA2521Z5</t>
  </si>
  <si>
    <t>27AAAAA2522Z5</t>
  </si>
  <si>
    <t>27AAAAA2523Z5</t>
  </si>
  <si>
    <t>27AAAAA2524Z5</t>
  </si>
  <si>
    <t>27AAAAA2525Z5</t>
  </si>
  <si>
    <t>27AAAAA2526Z5</t>
  </si>
  <si>
    <t>27AAAAA2527Z5</t>
  </si>
  <si>
    <t>27AAAAA2528Z5</t>
  </si>
  <si>
    <t>27AAAAA2529Z5</t>
  </si>
  <si>
    <t>27AAAAA2530Z5</t>
  </si>
  <si>
    <t>27AAAAA2531Z5</t>
  </si>
  <si>
    <t>27AAAAA2532Z5</t>
  </si>
  <si>
    <t>27AAAAA2533Z5</t>
  </si>
  <si>
    <t>27AAAAA2534Z5</t>
  </si>
  <si>
    <t>27AAAAA2535Z5</t>
  </si>
  <si>
    <t>27AAAAA2536Z5</t>
  </si>
  <si>
    <t>27AAAAA2537Z5</t>
  </si>
  <si>
    <t>27AAAAA2538Z5</t>
  </si>
  <si>
    <t>27AAAAA2539Z5</t>
  </si>
  <si>
    <t>27AAAAA2540Z5</t>
  </si>
  <si>
    <t>27AAAAA2541Z5</t>
  </si>
  <si>
    <t>27AAAAA2542Z5</t>
  </si>
  <si>
    <t>27AAAAA2543Z5</t>
  </si>
  <si>
    <t>27AAAAA2544Z5</t>
  </si>
  <si>
    <t>27AAAAA2545Z5</t>
  </si>
  <si>
    <t>27AAAAA2546Z5</t>
  </si>
  <si>
    <t>27AAAAA2547Z5</t>
  </si>
  <si>
    <t>27AAAAA2548Z5</t>
  </si>
  <si>
    <t>27AAAAA2549Z5</t>
  </si>
  <si>
    <t>27AAAAA2550Z5</t>
  </si>
  <si>
    <t>27AAAAA2551Z5</t>
  </si>
  <si>
    <t>27AAAAA2552Z5</t>
  </si>
  <si>
    <t>27AAAAA2553Z5</t>
  </si>
  <si>
    <t>27AAAAA2554Z5</t>
  </si>
  <si>
    <t>27AAAAA2555Z5</t>
  </si>
  <si>
    <t>27AAAAA2556Z5</t>
  </si>
  <si>
    <t>27AAAAA2557Z5</t>
  </si>
  <si>
    <t>27AAAAA2558Z5</t>
  </si>
  <si>
    <t>27AAAAA2559Z5</t>
  </si>
  <si>
    <t>27AAAAA2560Z5</t>
  </si>
  <si>
    <t>27AAAAA2561Z5</t>
  </si>
  <si>
    <t>27AAAAA2562Z5</t>
  </si>
  <si>
    <t>27AAAAA2563Z5</t>
  </si>
  <si>
    <t>27AAAAA2564Z5</t>
  </si>
  <si>
    <t>27AAAAA2565Z5</t>
  </si>
  <si>
    <t>27AAAAA2566Z5</t>
  </si>
  <si>
    <t>27AAAAA2567Z5</t>
  </si>
  <si>
    <t>27AAAAA2568Z5</t>
  </si>
  <si>
    <t>27AAAAA2569Z5</t>
  </si>
  <si>
    <t>27AAAAA2570Z5</t>
  </si>
  <si>
    <t>27AAAAA2571Z5</t>
  </si>
  <si>
    <t>27AAAAA2572Z5</t>
  </si>
  <si>
    <t>27AAAAA2573Z5</t>
  </si>
  <si>
    <t>27AAAAA2574Z5</t>
  </si>
  <si>
    <t>27AAAAA2575Z5</t>
  </si>
  <si>
    <t>27AAAAA2576Z5</t>
  </si>
  <si>
    <t>27AAAAA2577Z5</t>
  </si>
  <si>
    <t>27AAAAA2578Z5</t>
  </si>
  <si>
    <t>27AAAAA2579Z5</t>
  </si>
  <si>
    <t>27AAAAA2580Z5</t>
  </si>
  <si>
    <t>27AAAAA2581Z5</t>
  </si>
  <si>
    <t>27AAAAA2582Z5</t>
  </si>
  <si>
    <t>27AAAAA2583Z5</t>
  </si>
  <si>
    <t>27AAAAA2584Z5</t>
  </si>
  <si>
    <t>27AAAAA2585Z5</t>
  </si>
  <si>
    <t>27AAAAA2586Z5</t>
  </si>
  <si>
    <t>27AAAAA2587Z5</t>
  </si>
  <si>
    <t>27AAAAA2588Z5</t>
  </si>
  <si>
    <t>27AAAAA2589Z5</t>
  </si>
  <si>
    <t>27AAAAA2590Z5</t>
  </si>
  <si>
    <t>27AAAAA2591Z5</t>
  </si>
  <si>
    <t>27AAAAA2592Z5</t>
  </si>
  <si>
    <t>27AAAAA2593Z5</t>
  </si>
  <si>
    <t>27AAAAA2594Z5</t>
  </si>
  <si>
    <t>27AAAAA2595Z5</t>
  </si>
  <si>
    <t>27AAAAA2596Z5</t>
  </si>
  <si>
    <t>27AAAAA2597Z5</t>
  </si>
  <si>
    <t>27AAAAA2598Z5</t>
  </si>
  <si>
    <t>27AAAAA2599Z5</t>
  </si>
  <si>
    <t>27AAAAA2600Z5</t>
  </si>
  <si>
    <t>27AAAAA2601Z5</t>
  </si>
  <si>
    <t>27AAAAA2602Z5</t>
  </si>
  <si>
    <t>27AAAAA2603Z5</t>
  </si>
  <si>
    <t>27AAAAA2604Z5</t>
  </si>
  <si>
    <t>27AAAAA2605Z5</t>
  </si>
  <si>
    <t>27AAAAA2606Z5</t>
  </si>
  <si>
    <t>27AAAAA2607Z5</t>
  </si>
  <si>
    <t>27AAAAA2608Z5</t>
  </si>
  <si>
    <t>27AAAAA2609Z5</t>
  </si>
  <si>
    <t>27AAAAA2610Z5</t>
  </si>
  <si>
    <t>27AAAAA2611Z5</t>
  </si>
  <si>
    <t>27AAAAA2612Z5</t>
  </si>
  <si>
    <t>27AAAAA2613Z5</t>
  </si>
  <si>
    <t>27AAAAA2614Z5</t>
  </si>
  <si>
    <t>27AAAAA2615Z5</t>
  </si>
  <si>
    <t>27AAAAA2616Z5</t>
  </si>
  <si>
    <t>27AAAAA2617Z5</t>
  </si>
  <si>
    <t>27AAAAA2618Z5</t>
  </si>
  <si>
    <t>27AAAAA2619Z5</t>
  </si>
  <si>
    <t>27AAAAA2620Z5</t>
  </si>
  <si>
    <t>27AAAAA2621Z5</t>
  </si>
  <si>
    <t>27AAAAA2622Z5</t>
  </si>
  <si>
    <t>27AAAAA2623Z5</t>
  </si>
  <si>
    <t>27AAAAA2624Z5</t>
  </si>
  <si>
    <t>27AAAAA2625Z5</t>
  </si>
  <si>
    <t>27AAAAA2626Z5</t>
  </si>
  <si>
    <t>27AAAAA2627Z5</t>
  </si>
  <si>
    <t>27AAAAA2628Z5</t>
  </si>
  <si>
    <t>27AAAAA2629Z5</t>
  </si>
  <si>
    <t>27AAAAA2630Z5</t>
  </si>
  <si>
    <t>27AAAAA2631Z5</t>
  </si>
  <si>
    <t>27AAAAA2632Z5</t>
  </si>
  <si>
    <t>27AAAAA2633Z5</t>
  </si>
  <si>
    <t>27AAAAA2634Z5</t>
  </si>
  <si>
    <t>27AAAAA2635Z5</t>
  </si>
  <si>
    <t>27AAAAA2636Z5</t>
  </si>
  <si>
    <t>27AAAAA2637Z5</t>
  </si>
  <si>
    <t>27AAAAA2638Z5</t>
  </si>
  <si>
    <t>27AAAAA2639Z5</t>
  </si>
  <si>
    <t>27AAAAA2640Z5</t>
  </si>
  <si>
    <t>27AAAAA2641Z5</t>
  </si>
  <si>
    <t>27AAAAA2642Z5</t>
  </si>
  <si>
    <t>27AAAAA2643Z5</t>
  </si>
  <si>
    <t>27AAAAA2644Z5</t>
  </si>
  <si>
    <t>27AAAAA2645Z5</t>
  </si>
  <si>
    <t>27AAAAA2646Z5</t>
  </si>
  <si>
    <t>27AAAAA2647Z5</t>
  </si>
  <si>
    <t>27AAAAA2648Z5</t>
  </si>
  <si>
    <t>27AAAAA2649Z5</t>
  </si>
  <si>
    <t>27AAAAA2650Z5</t>
  </si>
  <si>
    <t>27AAAAA2651Z5</t>
  </si>
  <si>
    <t>27AAAAA2652Z5</t>
  </si>
  <si>
    <t>27AAAAA2653Z5</t>
  </si>
  <si>
    <t>27AAAAA2654Z5</t>
  </si>
  <si>
    <t>27AAAAA2655Z5</t>
  </si>
  <si>
    <t>27AAAAA2656Z5</t>
  </si>
  <si>
    <t>27AAAAA2657Z5</t>
  </si>
  <si>
    <t>27AAAAA2658Z5</t>
  </si>
  <si>
    <t>27AAAAA2659Z5</t>
  </si>
  <si>
    <t>27AAAAA2660Z5</t>
  </si>
  <si>
    <t>27AAAAA2661Z5</t>
  </si>
  <si>
    <t>27AAAAA2662Z5</t>
  </si>
  <si>
    <t>27AAAAA2663Z5</t>
  </si>
  <si>
    <t>27AAAAA2664Z5</t>
  </si>
  <si>
    <t>27AAAAA2665Z5</t>
  </si>
  <si>
    <t>27AAAAA2666Z5</t>
  </si>
  <si>
    <t>27AAAAA2667Z5</t>
  </si>
  <si>
    <t>27AAAAA2668Z5</t>
  </si>
  <si>
    <t>27AAAAA2669Z5</t>
  </si>
  <si>
    <t>27AAAAA2670Z5</t>
  </si>
  <si>
    <t>27AAAAA2671Z5</t>
  </si>
  <si>
    <t>27AAAAA2672Z5</t>
  </si>
  <si>
    <t>27AAAAA2673Z5</t>
  </si>
  <si>
    <t>27AAAAA2674Z5</t>
  </si>
  <si>
    <t>27AAAAA2675Z5</t>
  </si>
  <si>
    <t>27AAAAA2676Z5</t>
  </si>
  <si>
    <t>27AAAAA2677Z5</t>
  </si>
  <si>
    <t>27AAAAA2678Z5</t>
  </si>
  <si>
    <t>27AAAAA2679Z5</t>
  </si>
  <si>
    <t>27AAAAA2680Z5</t>
  </si>
  <si>
    <t>27AAAAA2681Z5</t>
  </si>
  <si>
    <t>27AAAAA2682Z5</t>
  </si>
  <si>
    <t>27AAAAA2683Z5</t>
  </si>
  <si>
    <t>27AAAAA2684Z5</t>
  </si>
  <si>
    <t>27AAAAA2685Z5</t>
  </si>
  <si>
    <t>27AAAAA2686Z5</t>
  </si>
  <si>
    <t>27AAAAA2687Z5</t>
  </si>
  <si>
    <t>27AAAAA2688Z5</t>
  </si>
  <si>
    <t>27AAAAA2689Z5</t>
  </si>
  <si>
    <t>27AAAAA2690Z5</t>
  </si>
  <si>
    <t>27AAAAA2691Z5</t>
  </si>
  <si>
    <t>27AAAAA2692Z5</t>
  </si>
  <si>
    <t>27AAAAA2693Z5</t>
  </si>
  <si>
    <t>27AAAAA2694Z5</t>
  </si>
  <si>
    <t>27AAAAA2695Z5</t>
  </si>
  <si>
    <t>27AAAAA2696Z5</t>
  </si>
  <si>
    <t>27AAAAA2697Z5</t>
  </si>
  <si>
    <t>27AAAAA2698Z5</t>
  </si>
  <si>
    <t>27AAAAA2699Z5</t>
  </si>
  <si>
    <t>27AAAAA2700Z5</t>
  </si>
  <si>
    <t>27AAAAA2701Z5</t>
  </si>
  <si>
    <t>27AAAAA2702Z5</t>
  </si>
  <si>
    <t>27AAAAA2703Z5</t>
  </si>
  <si>
    <t>27AAAAA2704Z5</t>
  </si>
  <si>
    <t>27AAAAA2705Z5</t>
  </si>
  <si>
    <t>27AAAAA2706Z5</t>
  </si>
  <si>
    <t>27AAAAA2707Z5</t>
  </si>
  <si>
    <t>27AAAAA2708Z5</t>
  </si>
  <si>
    <t>27AAAAA2709Z5</t>
  </si>
  <si>
    <t>27AAAAA2710Z5</t>
  </si>
  <si>
    <t>27AAAAA2711Z5</t>
  </si>
  <si>
    <t>27AAAAA2712Z5</t>
  </si>
  <si>
    <t>27AAAAA2713Z5</t>
  </si>
  <si>
    <t>27AAAAA2714Z5</t>
  </si>
  <si>
    <t>27AAAAA2715Z5</t>
  </si>
  <si>
    <t>27AAAAA2716Z5</t>
  </si>
  <si>
    <t>27AAAAA2717Z5</t>
  </si>
  <si>
    <t>27AAAAA2718Z5</t>
  </si>
  <si>
    <t>27AAAAA2719Z5</t>
  </si>
  <si>
    <t>27AAAAA2720Z5</t>
  </si>
  <si>
    <t>27AAAAA2721Z5</t>
  </si>
  <si>
    <t>27AAAAA2722Z5</t>
  </si>
  <si>
    <t>27AAAAA2723Z5</t>
  </si>
  <si>
    <t>27AAAAA2724Z5</t>
  </si>
  <si>
    <t>27AAAAA2725Z5</t>
  </si>
  <si>
    <t>27AAAAA2726Z5</t>
  </si>
  <si>
    <t>27AAAAA2727Z5</t>
  </si>
  <si>
    <t>27AAAAA2728Z5</t>
  </si>
  <si>
    <t>27AAAAA2729Z5</t>
  </si>
  <si>
    <t>27AAAAA2730Z5</t>
  </si>
  <si>
    <t>27AAAAA2731Z5</t>
  </si>
  <si>
    <t>27AAAAA2732Z5</t>
  </si>
  <si>
    <t>27AAAAA2733Z5</t>
  </si>
  <si>
    <t>27AAAAA2734Z5</t>
  </si>
  <si>
    <t>27AAAAA2735Z5</t>
  </si>
  <si>
    <t>27AAAAA2736Z5</t>
  </si>
  <si>
    <t>27AAAAA2737Z5</t>
  </si>
  <si>
    <t>27AAAAA2738Z5</t>
  </si>
  <si>
    <t>27AAAAA2739Z5</t>
  </si>
  <si>
    <t>27AAAAA2740Z5</t>
  </si>
  <si>
    <t>27AAAAA2741Z5</t>
  </si>
  <si>
    <t>27AAAAA2742Z5</t>
  </si>
  <si>
    <t>27AAAAA2743Z5</t>
  </si>
  <si>
    <t>27AAAAA2744Z5</t>
  </si>
  <si>
    <t>27AAAAA2745Z5</t>
  </si>
  <si>
    <t>27AAAAA2746Z5</t>
  </si>
  <si>
    <t>27AAAAA2747Z5</t>
  </si>
  <si>
    <t>27AAAAA2748Z5</t>
  </si>
  <si>
    <t>27AAAAA2749Z5</t>
  </si>
  <si>
    <t>27AAAAA2750Z5</t>
  </si>
  <si>
    <t>27AAAAA2751Z5</t>
  </si>
  <si>
    <t>27AAAAA2752Z5</t>
  </si>
  <si>
    <t>27AAAAA2753Z5</t>
  </si>
  <si>
    <t>27AAAAA2754Z5</t>
  </si>
  <si>
    <t>27AAAAA2755Z5</t>
  </si>
  <si>
    <t>27AAAAA2756Z5</t>
  </si>
  <si>
    <t>27AAAAA2757Z5</t>
  </si>
  <si>
    <t>27AAAAA2758Z5</t>
  </si>
  <si>
    <t>27AAAAA2759Z5</t>
  </si>
  <si>
    <t>27AAAAA2760Z5</t>
  </si>
  <si>
    <t>27AAAAA2761Z5</t>
  </si>
  <si>
    <t>27AAAAA2762Z5</t>
  </si>
  <si>
    <t>27AAAAA2763Z5</t>
  </si>
  <si>
    <t>27AAAAA2764Z5</t>
  </si>
  <si>
    <t>27AAAAA2765Z5</t>
  </si>
  <si>
    <t>27AAAAA2766Z5</t>
  </si>
  <si>
    <t>27AAAAA2767Z5</t>
  </si>
  <si>
    <t>27AAAAA2768Z5</t>
  </si>
  <si>
    <t>27AAAAA2769Z5</t>
  </si>
  <si>
    <t>27AAAAA2770Z5</t>
  </si>
  <si>
    <t>27AAAAA2771Z5</t>
  </si>
  <si>
    <t>27AAAAA2772Z5</t>
  </si>
  <si>
    <t>27AAAAA2773Z5</t>
  </si>
  <si>
    <t>27AAAAA2774Z5</t>
  </si>
  <si>
    <t>27AAAAA2775Z5</t>
  </si>
  <si>
    <t>27AAAAA2776Z5</t>
  </si>
  <si>
    <t>27AAAAA2777Z5</t>
  </si>
  <si>
    <t>27AAAAA2778Z5</t>
  </si>
  <si>
    <t>27AAAAA2779Z5</t>
  </si>
  <si>
    <t>27AAAAA2780Z5</t>
  </si>
  <si>
    <t>27AAAAA2781Z5</t>
  </si>
  <si>
    <t>27AAAAA2782Z5</t>
  </si>
  <si>
    <t>27AAAAA2783Z5</t>
  </si>
  <si>
    <t>27AAAAA2784Z5</t>
  </si>
  <si>
    <t>27AAAAA2785Z5</t>
  </si>
  <si>
    <t>27AAAAA2786Z5</t>
  </si>
  <si>
    <t>27AAAAA2787Z5</t>
  </si>
  <si>
    <t>27AAAAA2788Z5</t>
  </si>
  <si>
    <t>27AAAAA2789Z5</t>
  </si>
  <si>
    <t>27AAAAA2790Z5</t>
  </si>
  <si>
    <t>27AAAAA2791Z5</t>
  </si>
  <si>
    <t>27AAAAA2792Z5</t>
  </si>
  <si>
    <t>27AAAAA2793Z5</t>
  </si>
  <si>
    <t>27AAAAA2794Z5</t>
  </si>
  <si>
    <t>27AAAAA2795Z5</t>
  </si>
  <si>
    <t>27AAAAA2796Z5</t>
  </si>
  <si>
    <t>27AAAAA2797Z5</t>
  </si>
  <si>
    <t>27AAAAA2798Z5</t>
  </si>
  <si>
    <t>27AAAAA2799Z5</t>
  </si>
  <si>
    <t>27AAAAA2800Z5</t>
  </si>
  <si>
    <t>27AAAAA2801Z5</t>
  </si>
  <si>
    <t>27AAAAA2802Z5</t>
  </si>
  <si>
    <t>27AAAAA2803Z5</t>
  </si>
  <si>
    <t>27AAAAA2804Z5</t>
  </si>
  <si>
    <t>27AAAAA2805Z5</t>
  </si>
  <si>
    <t>27AAAAA2806Z5</t>
  </si>
  <si>
    <t>27AAAAA2807Z5</t>
  </si>
  <si>
    <t>27AAAAA2808Z5</t>
  </si>
  <si>
    <t>27AAAAA2809Z5</t>
  </si>
  <si>
    <t>27AAAAA2810Z5</t>
  </si>
  <si>
    <t>27AAAAA2811Z5</t>
  </si>
  <si>
    <t>27AAAAA2812Z5</t>
  </si>
  <si>
    <t>27AAAAA2813Z5</t>
  </si>
  <si>
    <t>27AAAAA2814Z5</t>
  </si>
  <si>
    <t>27AAAAA2815Z5</t>
  </si>
  <si>
    <t>27AAAAA2816Z5</t>
  </si>
  <si>
    <t>27AAAAA2817Z5</t>
  </si>
  <si>
    <t>27AAAAA2818Z5</t>
  </si>
  <si>
    <t>27AAAAA2819Z5</t>
  </si>
  <si>
    <t>27AAAAA2820Z5</t>
  </si>
  <si>
    <t>27AAAAA2821Z5</t>
  </si>
  <si>
    <t>27AAAAA2822Z5</t>
  </si>
  <si>
    <t>27AAAAA2823Z5</t>
  </si>
  <si>
    <t>27AAAAA2824Z5</t>
  </si>
  <si>
    <t>27AAAAA2825Z5</t>
  </si>
  <si>
    <t>27AAAAA2826Z5</t>
  </si>
  <si>
    <t>27AAAAA2827Z5</t>
  </si>
  <si>
    <t>27AAAAA2828Z5</t>
  </si>
  <si>
    <t>27AAAAA2829Z5</t>
  </si>
  <si>
    <t>27AAAAA2830Z5</t>
  </si>
  <si>
    <t>27AAAAA2831Z5</t>
  </si>
  <si>
    <t>27AAAAA2832Z5</t>
  </si>
  <si>
    <t>27AAAAA2833Z5</t>
  </si>
  <si>
    <t>27AAAAA2834Z5</t>
  </si>
  <si>
    <t>27AAAAA2835Z5</t>
  </si>
  <si>
    <t>27AAAAA2836Z5</t>
  </si>
  <si>
    <t>27AAAAA2837Z5</t>
  </si>
  <si>
    <t>27AAAAA2838Z5</t>
  </si>
  <si>
    <t>27AAAAA2839Z5</t>
  </si>
  <si>
    <t>27AAAAA2840Z5</t>
  </si>
  <si>
    <t>27AAAAA2841Z5</t>
  </si>
  <si>
    <t>27AAAAA2842Z5</t>
  </si>
  <si>
    <t>27AAAAA2843Z5</t>
  </si>
  <si>
    <t>27AAAAA2844Z5</t>
  </si>
  <si>
    <t>27AAAAA2845Z5</t>
  </si>
  <si>
    <t>27AAAAA2846Z5</t>
  </si>
  <si>
    <t>27AAAAA2847Z5</t>
  </si>
  <si>
    <t>27AAAAA2848Z5</t>
  </si>
  <si>
    <t>27AAAAA2849Z5</t>
  </si>
  <si>
    <t>27AAAAA2850Z5</t>
  </si>
  <si>
    <t>27AAAAA2851Z5</t>
  </si>
  <si>
    <t>27AAAAA2852Z5</t>
  </si>
  <si>
    <t>27AAAAA2853Z5</t>
  </si>
  <si>
    <t>27AAAAA2854Z5</t>
  </si>
  <si>
    <t>27AAAAA2855Z5</t>
  </si>
  <si>
    <t>27AAAAA2856Z5</t>
  </si>
  <si>
    <t>27AAAAA2857Z5</t>
  </si>
  <si>
    <t>27AAAAA2858Z5</t>
  </si>
  <si>
    <t>27AAAAA2859Z5</t>
  </si>
  <si>
    <t>27AAAAA2860Z5</t>
  </si>
  <si>
    <t>27AAAAA2861Z5</t>
  </si>
  <si>
    <t>27AAAAA2862Z5</t>
  </si>
  <si>
    <t>27AAAAA2863Z5</t>
  </si>
  <si>
    <t>27AAAAA2864Z5</t>
  </si>
  <si>
    <t>27AAAAA2865Z5</t>
  </si>
  <si>
    <t>27AAAAA2866Z5</t>
  </si>
  <si>
    <t>27AAAAA2867Z5</t>
  </si>
  <si>
    <t>27AAAAA2868Z5</t>
  </si>
  <si>
    <t>27AAAAA2869Z5</t>
  </si>
  <si>
    <t>27AAAAA2870Z5</t>
  </si>
  <si>
    <t>27AAAAA2871Z5</t>
  </si>
  <si>
    <t>27AAAAA2872Z5</t>
  </si>
  <si>
    <t>27AAAAA2873Z5</t>
  </si>
  <si>
    <t>27AAAAA2874Z5</t>
  </si>
  <si>
    <t>27AAAAA2875Z5</t>
  </si>
  <si>
    <t>27AAAAA2876Z5</t>
  </si>
  <si>
    <t>27AAAAA2877Z5</t>
  </si>
  <si>
    <t>27AAAAA2878Z5</t>
  </si>
  <si>
    <t>27AAAAA2879Z5</t>
  </si>
  <si>
    <t>27AAAAA2880Z5</t>
  </si>
  <si>
    <t>27AAAAA2881Z5</t>
  </si>
  <si>
    <t>27AAAAA2882Z5</t>
  </si>
  <si>
    <t>27AAAAA2883Z5</t>
  </si>
  <si>
    <t>27AAAAA2884Z5</t>
  </si>
  <si>
    <t>27AAAAA2885Z5</t>
  </si>
  <si>
    <t>27AAAAA2886Z5</t>
  </si>
  <si>
    <t>27AAAAA2887Z5</t>
  </si>
  <si>
    <t>27AAAAA2888Z5</t>
  </si>
  <si>
    <t>27AAAAA2889Z5</t>
  </si>
  <si>
    <t>27AAAAA2890Z5</t>
  </si>
  <si>
    <t>27AAAAA2891Z5</t>
  </si>
  <si>
    <t>27AAAAA2892Z5</t>
  </si>
  <si>
    <t>27AAAAA2893Z5</t>
  </si>
  <si>
    <t>27AAAAA2894Z5</t>
  </si>
  <si>
    <t>27AAAAA2895Z5</t>
  </si>
  <si>
    <t>27AAAAA2896Z5</t>
  </si>
  <si>
    <t>27AAAAA2897Z5</t>
  </si>
  <si>
    <t>27AAAAA2898Z5</t>
  </si>
  <si>
    <t>27AAAAA2899Z5</t>
  </si>
  <si>
    <t>27AAAAA2900Z5</t>
  </si>
  <si>
    <t>27AAAAA2901Z5</t>
  </si>
  <si>
    <t>27AAAAA2902Z5</t>
  </si>
  <si>
    <t>27AAAAA2903Z5</t>
  </si>
  <si>
    <t>27AAAAA2904Z5</t>
  </si>
  <si>
    <t>27AAAAA2905Z5</t>
  </si>
  <si>
    <t>27AAAAA2906Z5</t>
  </si>
  <si>
    <t>27AAAAA2907Z5</t>
  </si>
  <si>
    <t>27AAAAA2908Z5</t>
  </si>
  <si>
    <t>27AAAAA2909Z5</t>
  </si>
  <si>
    <t>27AAAAA2910Z5</t>
  </si>
  <si>
    <t>27AAAAA2911Z5</t>
  </si>
  <si>
    <t>27AAAAA2912Z5</t>
  </si>
  <si>
    <t>27AAAAA2913Z5</t>
  </si>
  <si>
    <t>27AAAAA2914Z5</t>
  </si>
  <si>
    <t>27AAAAA2915Z5</t>
  </si>
  <si>
    <t>27AAAAA2916Z5</t>
  </si>
  <si>
    <t>27AAAAA2917Z5</t>
  </si>
  <si>
    <t>27AAAAA2918Z5</t>
  </si>
  <si>
    <t>27AAAAA2919Z5</t>
  </si>
  <si>
    <t>27AAAAA2920Z5</t>
  </si>
  <si>
    <t>27AAAAA2921Z5</t>
  </si>
  <si>
    <t>27AAAAA2922Z5</t>
  </si>
  <si>
    <t>27AAAAA2923Z5</t>
  </si>
  <si>
    <t>27AAAAA2924Z5</t>
  </si>
  <si>
    <t>27AAAAA2925Z5</t>
  </si>
  <si>
    <t>27AAAAA2926Z5</t>
  </si>
  <si>
    <t>27AAAAA2927Z5</t>
  </si>
  <si>
    <t>27AAAAA2928Z5</t>
  </si>
  <si>
    <t>27AAAAA2929Z5</t>
  </si>
  <si>
    <t>27AAAAA2930Z5</t>
  </si>
  <si>
    <t>27AAAAA2931Z5</t>
  </si>
  <si>
    <t>27AAAAA2932Z5</t>
  </si>
  <si>
    <t>27AAAAA2933Z5</t>
  </si>
  <si>
    <t>27AAAAA2934Z5</t>
  </si>
  <si>
    <t>27AAAAA2935Z5</t>
  </si>
  <si>
    <t>27AAAAA2936Z5</t>
  </si>
  <si>
    <t>27AAAAA2937Z5</t>
  </si>
  <si>
    <t>27AAAAA2938Z5</t>
  </si>
  <si>
    <t>27AAAAA2939Z5</t>
  </si>
  <si>
    <t>27AAAAA2940Z5</t>
  </si>
  <si>
    <t>27AAAAA2941Z5</t>
  </si>
  <si>
    <t>27AAAAA2942Z5</t>
  </si>
  <si>
    <t>27AAAAA2943Z5</t>
  </si>
  <si>
    <t>27AAAAA2944Z5</t>
  </si>
  <si>
    <t>27AAAAA2945Z5</t>
  </si>
  <si>
    <t>27AAAAA2946Z5</t>
  </si>
  <si>
    <t>27AAAAA2947Z5</t>
  </si>
  <si>
    <t>27AAAAA2948Z5</t>
  </si>
  <si>
    <t>27AAAAA2949Z5</t>
  </si>
  <si>
    <t>27AAAAA2950Z5</t>
  </si>
  <si>
    <t>27AAAAA2951Z5</t>
  </si>
  <si>
    <t>27AAAAA2952Z5</t>
  </si>
  <si>
    <t>27AAAAA2953Z5</t>
  </si>
  <si>
    <t>27AAAAA2954Z5</t>
  </si>
  <si>
    <t>27AAAAA2955Z5</t>
  </si>
  <si>
    <t>27AAAAA2956Z5</t>
  </si>
  <si>
    <t>27AAAAA2957Z5</t>
  </si>
  <si>
    <t>27AAAAA2958Z5</t>
  </si>
  <si>
    <t>27AAAAA2959Z5</t>
  </si>
  <si>
    <t>27AAAAA2960Z5</t>
  </si>
  <si>
    <t>27AAAAA2961Z5</t>
  </si>
  <si>
    <t>27AAAAA2962Z5</t>
  </si>
  <si>
    <t>27AAAAA2963Z5</t>
  </si>
  <si>
    <t>27AAAAA2964Z5</t>
  </si>
  <si>
    <t>27AAAAA2965Z5</t>
  </si>
  <si>
    <t>27AAAAA2966Z5</t>
  </si>
  <si>
    <t>27AAAAA2967Z5</t>
  </si>
  <si>
    <t>27AAAAA2968Z5</t>
  </si>
  <si>
    <t>27AAAAA2969Z5</t>
  </si>
  <si>
    <t>27AAAAA2970Z5</t>
  </si>
  <si>
    <t>27AAAAA2971Z5</t>
  </si>
  <si>
    <t>27AAAAA2972Z5</t>
  </si>
  <si>
    <t>27AAAAA2973Z5</t>
  </si>
  <si>
    <t>27AAAAA2974Z5</t>
  </si>
  <si>
    <t>27AAAAA2975Z5</t>
  </si>
  <si>
    <t>27AAAAA2976Z5</t>
  </si>
  <si>
    <t>27AAAAA2977Z5</t>
  </si>
  <si>
    <t>27AAAAA2978Z5</t>
  </si>
  <si>
    <t>27AAAAA2979Z5</t>
  </si>
  <si>
    <t>27AAAAA2980Z5</t>
  </si>
  <si>
    <t>27AAAAA2981Z5</t>
  </si>
  <si>
    <t>27AAAAA2982Z5</t>
  </si>
  <si>
    <t>27AAAAA2983Z5</t>
  </si>
  <si>
    <t>27AAAAA2984Z5</t>
  </si>
  <si>
    <t>27AAAAA2985Z5</t>
  </si>
  <si>
    <t>27AAAAA2986Z5</t>
  </si>
  <si>
    <t>27AAAAA2987Z5</t>
  </si>
  <si>
    <t>27AAAAA2988Z5</t>
  </si>
  <si>
    <t>27AAAAA2989Z5</t>
  </si>
  <si>
    <t>27AAAAA2990Z5</t>
  </si>
  <si>
    <t>27AAAAA2991Z5</t>
  </si>
  <si>
    <t>27AAAAA2992Z5</t>
  </si>
  <si>
    <t>27AAAAA2993Z5</t>
  </si>
  <si>
    <t>27AAAAA2994Z5</t>
  </si>
  <si>
    <t>27AAAAA2995Z5</t>
  </si>
  <si>
    <t>27AAAAA2996Z5</t>
  </si>
  <si>
    <t>27AAAAA2997Z5</t>
  </si>
  <si>
    <t>27AAAAA2998Z5</t>
  </si>
  <si>
    <t>27AAAAA2999Z5</t>
  </si>
  <si>
    <t>27AAAAA3000Z5</t>
  </si>
  <si>
    <t>27AAAAA3001Z5</t>
  </si>
  <si>
    <t>27AAAAA3002Z5</t>
  </si>
  <si>
    <t>27AAAAA3003Z5</t>
  </si>
  <si>
    <t>27AAAAA3004Z5</t>
  </si>
  <si>
    <t>27AAAAA3005Z5</t>
  </si>
  <si>
    <t>27AAAAA3006Z5</t>
  </si>
  <si>
    <t>27AAAAA3007Z5</t>
  </si>
  <si>
    <t>27AAAAA3008Z5</t>
  </si>
  <si>
    <t>27AAAAA3009Z5</t>
  </si>
  <si>
    <t>27AAAAA3010Z5</t>
  </si>
  <si>
    <t>27AAAAA3011Z5</t>
  </si>
  <si>
    <t>27AAAAA3012Z5</t>
  </si>
  <si>
    <t>27AAAAA3013Z5</t>
  </si>
  <si>
    <t>27AAAAA3014Z5</t>
  </si>
  <si>
    <t>27AAAAA3015Z5</t>
  </si>
  <si>
    <t>27AAAAA3016Z5</t>
  </si>
  <si>
    <t>27AAAAA3017Z5</t>
  </si>
  <si>
    <t>27AAAAA3018Z5</t>
  </si>
  <si>
    <t>27AAAAA3019Z5</t>
  </si>
  <si>
    <t>27AAAAA3020Z5</t>
  </si>
  <si>
    <t>27AAAAA3021Z5</t>
  </si>
  <si>
    <t>27AAAAA3022Z5</t>
  </si>
  <si>
    <t>27AAAAA3023Z5</t>
  </si>
  <si>
    <t>27AAAAA3024Z5</t>
  </si>
  <si>
    <t>27AAAAA3025Z5</t>
  </si>
  <si>
    <t>27AAAAA3026Z5</t>
  </si>
  <si>
    <t>27AAAAA3027Z5</t>
  </si>
  <si>
    <t>27AAAAA3028Z5</t>
  </si>
  <si>
    <t>27AAAAA3029Z5</t>
  </si>
  <si>
    <t>27AAAAA3030Z5</t>
  </si>
  <si>
    <t>27AAAAA3031Z5</t>
  </si>
  <si>
    <t>27AAAAA3032Z5</t>
  </si>
  <si>
    <t>27AAAAA3033Z5</t>
  </si>
  <si>
    <t>27AAAAA3034Z5</t>
  </si>
  <si>
    <t>27AAAAA3035Z5</t>
  </si>
  <si>
    <t>27AAAAA3036Z5</t>
  </si>
  <si>
    <t>27AAAAA3037Z5</t>
  </si>
  <si>
    <t>27AAAAA3038Z5</t>
  </si>
  <si>
    <t>27AAAAA3039Z5</t>
  </si>
  <si>
    <t>27AAAAA3040Z5</t>
  </si>
  <si>
    <t>27AAAAA3041Z5</t>
  </si>
  <si>
    <t>27AAAAA3042Z5</t>
  </si>
  <si>
    <t>27AAAAA3043Z5</t>
  </si>
  <si>
    <t>27AAAAA3044Z5</t>
  </si>
  <si>
    <t>27AAAAA3045Z5</t>
  </si>
  <si>
    <t>27AAAAA3046Z5</t>
  </si>
  <si>
    <t>27AAAAA3047Z5</t>
  </si>
  <si>
    <t>27AAAAA3048Z5</t>
  </si>
  <si>
    <t>27AAAAA3049Z5</t>
  </si>
  <si>
    <t>27AAAAA3050Z5</t>
  </si>
  <si>
    <t>27AAAAA3051Z5</t>
  </si>
  <si>
    <t>27AAAAA3052Z5</t>
  </si>
  <si>
    <t>27AAAAA3053Z5</t>
  </si>
  <si>
    <t>27AAAAA3054Z5</t>
  </si>
  <si>
    <t>27AAAAA3055Z5</t>
  </si>
  <si>
    <t>27AAAAA3056Z5</t>
  </si>
  <si>
    <t>27AAAAA3057Z5</t>
  </si>
  <si>
    <t>27AAAAA3058Z5</t>
  </si>
  <si>
    <t>27AAAAA3059Z5</t>
  </si>
  <si>
    <t>27AAAAA3060Z5</t>
  </si>
  <si>
    <t>27AAAAA3061Z5</t>
  </si>
  <si>
    <t>27AAAAA3062Z5</t>
  </si>
  <si>
    <t>27AAAAA3063Z5</t>
  </si>
  <si>
    <t>27AAAAA3064Z5</t>
  </si>
  <si>
    <t>27AAAAA3065Z5</t>
  </si>
  <si>
    <t>27AAAAA3066Z5</t>
  </si>
  <si>
    <t>27AAAAA3067Z5</t>
  </si>
  <si>
    <t>27AAAAA3068Z5</t>
  </si>
  <si>
    <t>27AAAAA3069Z5</t>
  </si>
  <si>
    <t>27AAAAA3070Z5</t>
  </si>
  <si>
    <t>27AAAAA3071Z5</t>
  </si>
  <si>
    <t>27AAAAA3072Z5</t>
  </si>
  <si>
    <t>27AAAAA3073Z5</t>
  </si>
  <si>
    <t>27AAAAA3074Z5</t>
  </si>
  <si>
    <t>27AAAAA3075Z5</t>
  </si>
  <si>
    <t>27AAAAA3076Z5</t>
  </si>
  <si>
    <t>27AAAAA3077Z5</t>
  </si>
  <si>
    <t>27AAAAA3078Z5</t>
  </si>
  <si>
    <t>27AAAAA3079Z5</t>
  </si>
  <si>
    <t>27AAAAA3080Z5</t>
  </si>
  <si>
    <t>27AAAAA3081Z5</t>
  </si>
  <si>
    <t>27AAAAA3082Z5</t>
  </si>
  <si>
    <t>27AAAAA3083Z5</t>
  </si>
  <si>
    <t>27AAAAA3084Z5</t>
  </si>
  <si>
    <t>27AAAAA3085Z5</t>
  </si>
  <si>
    <t>27AAAAA3086Z5</t>
  </si>
  <si>
    <t>27AAAAA3087Z5</t>
  </si>
  <si>
    <t>27AAAAA3088Z5</t>
  </si>
  <si>
    <t>27AAAAA3089Z5</t>
  </si>
  <si>
    <t>27AAAAA3090Z5</t>
  </si>
  <si>
    <t>27AAAAA3091Z5</t>
  </si>
  <si>
    <t>27AAAAA3092Z5</t>
  </si>
  <si>
    <t>27AAAAA3093Z5</t>
  </si>
  <si>
    <t>27AAAAA3094Z5</t>
  </si>
  <si>
    <t>27AAAAA3095Z5</t>
  </si>
  <si>
    <t>27AAAAA3096Z5</t>
  </si>
  <si>
    <t>27AAAAA3097Z5</t>
  </si>
  <si>
    <t>27AAAAA3098Z5</t>
  </si>
  <si>
    <t>27AAAAA3099Z5</t>
  </si>
  <si>
    <t>27AAAAA3100Z5</t>
  </si>
  <si>
    <t>27AAAAA3101Z5</t>
  </si>
  <si>
    <t>27AAAAA3102Z5</t>
  </si>
  <si>
    <t>27AAAAA3103Z5</t>
  </si>
  <si>
    <t>27AAAAA3104Z5</t>
  </si>
  <si>
    <t>27AAAAA3105Z5</t>
  </si>
  <si>
    <t>27AAAAA3106Z5</t>
  </si>
  <si>
    <t>27AAAAA3107Z5</t>
  </si>
  <si>
    <t>27AAAAA3108Z5</t>
  </si>
  <si>
    <t>27AAAAA3109Z5</t>
  </si>
  <si>
    <t>27AAAAA3110Z5</t>
  </si>
  <si>
    <t>27AAAAA3111Z5</t>
  </si>
  <si>
    <t>27AAAAA3112Z5</t>
  </si>
  <si>
    <t>27AAAAA3113Z5</t>
  </si>
  <si>
    <t>27AAAAA3114Z5</t>
  </si>
  <si>
    <t>27AAAAA3115Z5</t>
  </si>
  <si>
    <t>27AAAAA3116Z5</t>
  </si>
  <si>
    <t>27AAAAA3117Z5</t>
  </si>
  <si>
    <t>27AAAAA3118Z5</t>
  </si>
  <si>
    <t>27AAAAA3119Z5</t>
  </si>
  <si>
    <t>27AAAAA3120Z5</t>
  </si>
  <si>
    <t>27AAAAA3121Z5</t>
  </si>
  <si>
    <t>27AAAAA3122Z5</t>
  </si>
  <si>
    <t>27AAAAA3123Z5</t>
  </si>
  <si>
    <t>27AAAAA3124Z5</t>
  </si>
  <si>
    <t>27AAAAA3125Z5</t>
  </si>
  <si>
    <t>27AAAAA3126Z5</t>
  </si>
  <si>
    <t>27AAAAA3127Z5</t>
  </si>
  <si>
    <t>27AAAAA3128Z5</t>
  </si>
  <si>
    <t>27AAAAA3129Z5</t>
  </si>
  <si>
    <t>27AAAAA3130Z5</t>
  </si>
  <si>
    <t>27AAAAA3131Z5</t>
  </si>
  <si>
    <t>27AAAAA3132Z5</t>
  </si>
  <si>
    <t>27AAAAA3133Z5</t>
  </si>
  <si>
    <t>27AAAAA3134Z5</t>
  </si>
  <si>
    <t>27AAAAA3135Z5</t>
  </si>
  <si>
    <t>27AAAAA3136Z5</t>
  </si>
  <si>
    <t>27AAAAA3137Z5</t>
  </si>
  <si>
    <t>27AAAAA3138Z5</t>
  </si>
  <si>
    <t>27AAAAA3139Z5</t>
  </si>
  <si>
    <t>27AAAAA3140Z5</t>
  </si>
  <si>
    <t>27AAAAA3141Z5</t>
  </si>
  <si>
    <t>27AAAAA3142Z5</t>
  </si>
  <si>
    <t>27AAAAA3143Z5</t>
  </si>
  <si>
    <t>27AAAAA3144Z5</t>
  </si>
  <si>
    <t>27AAAAA3145Z5</t>
  </si>
  <si>
    <t>27AAAAA3146Z5</t>
  </si>
  <si>
    <t>27AAAAA3147Z5</t>
  </si>
  <si>
    <t>27AAAAA3148Z5</t>
  </si>
  <si>
    <t>27AAAAA3149Z5</t>
  </si>
  <si>
    <t>27AAAAA3150Z5</t>
  </si>
  <si>
    <t>27AAAAA3151Z5</t>
  </si>
  <si>
    <t>27AAAAA3152Z5</t>
  </si>
  <si>
    <t>27AAAAA3153Z5</t>
  </si>
  <si>
    <t>27AAAAA3154Z5</t>
  </si>
  <si>
    <t>27AAAAA3155Z5</t>
  </si>
  <si>
    <t>27AAAAA3156Z5</t>
  </si>
  <si>
    <t>27AAAAA3157Z5</t>
  </si>
  <si>
    <t>27AAAAA3158Z5</t>
  </si>
  <si>
    <t>27AAAAA3159Z5</t>
  </si>
  <si>
    <t>27AAAAA3160Z5</t>
  </si>
  <si>
    <t>27AAAAA3161Z5</t>
  </si>
  <si>
    <t>27AAAAA3162Z5</t>
  </si>
  <si>
    <t>27AAAAA3163Z5</t>
  </si>
  <si>
    <t>27AAAAA3164Z5</t>
  </si>
  <si>
    <t>27AAAAA3165Z5</t>
  </si>
  <si>
    <t>27AAAAA3166Z5</t>
  </si>
  <si>
    <t>27AAAAA3167Z5</t>
  </si>
  <si>
    <t>27AAAAA3168Z5</t>
  </si>
  <si>
    <t>27AAAAA3169Z5</t>
  </si>
  <si>
    <t>27AAAAA3170Z5</t>
  </si>
  <si>
    <t>27AAAAA3171Z5</t>
  </si>
  <si>
    <t>27AAAAA3172Z5</t>
  </si>
  <si>
    <t>27AAAAA3173Z5</t>
  </si>
  <si>
    <t>27AAAAA3174Z5</t>
  </si>
  <si>
    <t>27AAAAA3175Z5</t>
  </si>
  <si>
    <t>27AAAAA3176Z5</t>
  </si>
  <si>
    <t>27AAAAA3177Z5</t>
  </si>
  <si>
    <t>27AAAAA3178Z5</t>
  </si>
  <si>
    <t>27AAAAA3179Z5</t>
  </si>
  <si>
    <t>27AAAAA3180Z5</t>
  </si>
  <si>
    <t>27AAAAA3181Z5</t>
  </si>
  <si>
    <t>27AAAAA3182Z5</t>
  </si>
  <si>
    <t>27AAAAA3183Z5</t>
  </si>
  <si>
    <t>27AAAAA3184Z5</t>
  </si>
  <si>
    <t>27AAAAA3185Z5</t>
  </si>
  <si>
    <t>27AAAAA3186Z5</t>
  </si>
  <si>
    <t>27AAAAA3187Z5</t>
  </si>
  <si>
    <t>27AAAAA3188Z5</t>
  </si>
  <si>
    <t>27AAAAA3189Z5</t>
  </si>
  <si>
    <t>27AAAAA3190Z5</t>
  </si>
  <si>
    <t>27AAAAA3191Z5</t>
  </si>
  <si>
    <t>27AAAAA3192Z5</t>
  </si>
  <si>
    <t>27AAAAA3193Z5</t>
  </si>
  <si>
    <t>27AAAAA3194Z5</t>
  </si>
  <si>
    <t>27AAAAA3195Z5</t>
  </si>
  <si>
    <t>27AAAAA3196Z5</t>
  </si>
  <si>
    <t>27AAAAA3197Z5</t>
  </si>
  <si>
    <t>27AAAAA3198Z5</t>
  </si>
  <si>
    <t>27AAAAA3199Z5</t>
  </si>
  <si>
    <t>27AAAAA3200Z5</t>
  </si>
  <si>
    <t>27AAAAA3201Z5</t>
  </si>
  <si>
    <t>27AAAAA3202Z5</t>
  </si>
  <si>
    <t>27AAAAA3203Z5</t>
  </si>
  <si>
    <t>27AAAAA3204Z5</t>
  </si>
  <si>
    <t>27AAAAA3205Z5</t>
  </si>
  <si>
    <t>27AAAAA3206Z5</t>
  </si>
  <si>
    <t>27AAAAA3207Z5</t>
  </si>
  <si>
    <t>27AAAAA3208Z5</t>
  </si>
  <si>
    <t>27AAAAA3209Z5</t>
  </si>
  <si>
    <t>27AAAAA3210Z5</t>
  </si>
  <si>
    <t>27AAAAA3211Z5</t>
  </si>
  <si>
    <t>27AAAAA3212Z5</t>
  </si>
  <si>
    <t>27AAAAA3213Z5</t>
  </si>
  <si>
    <t>27AAAAA3214Z5</t>
  </si>
  <si>
    <t>27AAAAA3215Z5</t>
  </si>
  <si>
    <t>27AAAAA3216Z5</t>
  </si>
  <si>
    <t>27AAAAA3217Z5</t>
  </si>
  <si>
    <t>27AAAAA3218Z5</t>
  </si>
  <si>
    <t>27AAAAA3219Z5</t>
  </si>
  <si>
    <t>27AAAAA3220Z5</t>
  </si>
  <si>
    <t>27AAAAA3221Z5</t>
  </si>
  <si>
    <t>27AAAAA3222Z5</t>
  </si>
  <si>
    <t>27AAAAA3223Z5</t>
  </si>
  <si>
    <t>27AAAAA3224Z5</t>
  </si>
  <si>
    <t>27AAAAA3225Z5</t>
  </si>
  <si>
    <t>27AAAAA3226Z5</t>
  </si>
  <si>
    <t>27AAAAA3227Z5</t>
  </si>
  <si>
    <t>27AAAAA3228Z5</t>
  </si>
  <si>
    <t>27AAAAA3229Z5</t>
  </si>
  <si>
    <t>27AAAAA3230Z5</t>
  </si>
  <si>
    <t>27AAAAA3231Z5</t>
  </si>
  <si>
    <t>27AAAAA3232Z5</t>
  </si>
  <si>
    <t>27AAAAA3233Z5</t>
  </si>
  <si>
    <t>27AAAAA3234Z5</t>
  </si>
  <si>
    <t>27AAAAA3235Z5</t>
  </si>
  <si>
    <t>27AAAAA3236Z5</t>
  </si>
  <si>
    <t>27AAAAA3237Z5</t>
  </si>
  <si>
    <t>27AAAAA3238Z5</t>
  </si>
  <si>
    <t>27AAAAA3239Z5</t>
  </si>
  <si>
    <t>27AAAAA3240Z5</t>
  </si>
  <si>
    <t>27AAAAA3241Z5</t>
  </si>
  <si>
    <t>27AAAAA3242Z5</t>
  </si>
  <si>
    <t>27AAAAA3243Z5</t>
  </si>
  <si>
    <t>27AAAAA3244Z5</t>
  </si>
  <si>
    <t>27AAAAA3245Z5</t>
  </si>
  <si>
    <t>27AAAAA3246Z5</t>
  </si>
  <si>
    <t>27AAAAA3247Z5</t>
  </si>
  <si>
    <t>27AAAAA3248Z5</t>
  </si>
  <si>
    <t>27AAAAA3249Z5</t>
  </si>
  <si>
    <t>27AAAAA3250Z5</t>
  </si>
  <si>
    <t>27AAAAA3251Z5</t>
  </si>
  <si>
    <t>27AAAAA3252Z5</t>
  </si>
  <si>
    <t>27AAAAA3253Z5</t>
  </si>
  <si>
    <t>27AAAAA3254Z5</t>
  </si>
  <si>
    <t>27AAAAA3255Z5</t>
  </si>
  <si>
    <t>27AAAAA3256Z5</t>
  </si>
  <si>
    <t>27AAAAA3257Z5</t>
  </si>
  <si>
    <t>27AAAAA3258Z5</t>
  </si>
  <si>
    <t>27AAAAA3259Z5</t>
  </si>
  <si>
    <t>27AAAAA3260Z5</t>
  </si>
  <si>
    <t>27AAAAA3261Z5</t>
  </si>
  <si>
    <t>27AAAAA3262Z5</t>
  </si>
  <si>
    <t>27AAAAA3263Z5</t>
  </si>
  <si>
    <t>27AAAAA3264Z5</t>
  </si>
  <si>
    <t>27AAAAA3265Z5</t>
  </si>
  <si>
    <t>27AAAAA3266Z5</t>
  </si>
  <si>
    <t>27AAAAA3267Z5</t>
  </si>
  <si>
    <t>27AAAAA3268Z5</t>
  </si>
  <si>
    <t>27AAAAA3269Z5</t>
  </si>
  <si>
    <t>27AAAAA3270Z5</t>
  </si>
  <si>
    <t>27AAAAA3271Z5</t>
  </si>
  <si>
    <t>27AAAAA3272Z5</t>
  </si>
  <si>
    <t>27AAAAA3273Z5</t>
  </si>
  <si>
    <t>27AAAAA3274Z5</t>
  </si>
  <si>
    <t>27AAAAA3275Z5</t>
  </si>
  <si>
    <t>27AAAAA3276Z5</t>
  </si>
  <si>
    <t>27AAAAA3277Z5</t>
  </si>
  <si>
    <t>27AAAAA3278Z5</t>
  </si>
  <si>
    <t>27AAAAA3279Z5</t>
  </si>
  <si>
    <t>27AAAAA3280Z5</t>
  </si>
  <si>
    <t>27AAAAA3281Z5</t>
  </si>
  <si>
    <t>27AAAAA3282Z5</t>
  </si>
  <si>
    <t>27AAAAA3283Z5</t>
  </si>
  <si>
    <t>27AAAAA3284Z5</t>
  </si>
  <si>
    <t>27AAAAA3285Z5</t>
  </si>
  <si>
    <t>27AAAAA3286Z5</t>
  </si>
  <si>
    <t>27AAAAA3287Z5</t>
  </si>
  <si>
    <t>27AAAAA3288Z5</t>
  </si>
  <si>
    <t>27AAAAA3289Z5</t>
  </si>
  <si>
    <t>27AAAAA3290Z5</t>
  </si>
  <si>
    <t>27AAAAA3291Z5</t>
  </si>
  <si>
    <t>27AAAAA3292Z5</t>
  </si>
  <si>
    <t>27AAAAA3293Z5</t>
  </si>
  <si>
    <t>27AAAAA3294Z5</t>
  </si>
  <si>
    <t>27AAAAA3295Z5</t>
  </si>
  <si>
    <t>27AAAAA3296Z5</t>
  </si>
  <si>
    <t>27AAAAA3297Z5</t>
  </si>
  <si>
    <t>27AAAAA3298Z5</t>
  </si>
  <si>
    <t>27AAAAA3299Z5</t>
  </si>
  <si>
    <t>27AAAAA3300Z5</t>
  </si>
  <si>
    <t>27AAAAA3301Z5</t>
  </si>
  <si>
    <t>27AAAAA3302Z5</t>
  </si>
  <si>
    <t>27AAAAA3303Z5</t>
  </si>
  <si>
    <t>27AAAAA3304Z5</t>
  </si>
  <si>
    <t>27AAAAA3305Z5</t>
  </si>
  <si>
    <t>27AAAAA3306Z5</t>
  </si>
  <si>
    <t>27AAAAA3307Z5</t>
  </si>
  <si>
    <t>27AAAAA3308Z5</t>
  </si>
  <si>
    <t>27AAAAA3309Z5</t>
  </si>
  <si>
    <t>27AAAAA3310Z5</t>
  </si>
  <si>
    <t>27AAAAA3311Z5</t>
  </si>
  <si>
    <t>27AAAAA3312Z5</t>
  </si>
  <si>
    <t>27AAAAA3313Z5</t>
  </si>
  <si>
    <t>27AAAAA3314Z5</t>
  </si>
  <si>
    <t>27AAAAA3315Z5</t>
  </si>
  <si>
    <t>27AAAAA3316Z5</t>
  </si>
  <si>
    <t>27AAAAA3317Z5</t>
  </si>
  <si>
    <t>27AAAAA3318Z5</t>
  </si>
  <si>
    <t>27AAAAA3319Z5</t>
  </si>
  <si>
    <t>27AAAAA3320Z5</t>
  </si>
  <si>
    <t>27AAAAA3321Z5</t>
  </si>
  <si>
    <t>27AAAAA3322Z5</t>
  </si>
  <si>
    <t>27AAAAA3323Z5</t>
  </si>
  <si>
    <t>27AAAAA3324Z5</t>
  </si>
  <si>
    <t>27AAAAA3325Z5</t>
  </si>
  <si>
    <t>27AAAAA3326Z5</t>
  </si>
  <si>
    <t>27AAAAA3327Z5</t>
  </si>
  <si>
    <t>27AAAAA3328Z5</t>
  </si>
  <si>
    <t>27AAAAA3329Z5</t>
  </si>
  <si>
    <t>27AAAAA3330Z5</t>
  </si>
  <si>
    <t>27AAAAA3331Z5</t>
  </si>
  <si>
    <t>27AAAAA3332Z5</t>
  </si>
  <si>
    <t>27AAAAA3333Z5</t>
  </si>
  <si>
    <t>27AAAAA3334Z5</t>
  </si>
  <si>
    <t>27AAAAA3335Z5</t>
  </si>
  <si>
    <t>27AAAAA3336Z5</t>
  </si>
  <si>
    <t>27AAAAA3337Z5</t>
  </si>
  <si>
    <t>27AAAAA3338Z5</t>
  </si>
  <si>
    <t>27AAAAA3339Z5</t>
  </si>
  <si>
    <t>27AAAAA3340Z5</t>
  </si>
  <si>
    <t>27AAAAA3341Z5</t>
  </si>
  <si>
    <t>27AAAAA3342Z5</t>
  </si>
  <si>
    <t>27AAAAA3343Z5</t>
  </si>
  <si>
    <t>27AAAAA3344Z5</t>
  </si>
  <si>
    <t>27AAAAA3345Z5</t>
  </si>
  <si>
    <t>27AAAAA3346Z5</t>
  </si>
  <si>
    <t>27AAAAA3347Z5</t>
  </si>
  <si>
    <t>27AAAAA3348Z5</t>
  </si>
  <si>
    <t>27AAAAA3349Z5</t>
  </si>
  <si>
    <t>27AAAAA3350Z5</t>
  </si>
  <si>
    <t>27AAAAA3351Z5</t>
  </si>
  <si>
    <t>27AAAAA3352Z5</t>
  </si>
  <si>
    <t>27AAAAA3353Z5</t>
  </si>
  <si>
    <t>27AAAAA3354Z5</t>
  </si>
  <si>
    <t>27AAAAA3355Z5</t>
  </si>
  <si>
    <t>27AAAAA3356Z5</t>
  </si>
  <si>
    <t>27AAAAA3357Z5</t>
  </si>
  <si>
    <t>27AAAAA3358Z5</t>
  </si>
  <si>
    <t>27AAAAA3359Z5</t>
  </si>
  <si>
    <t>27AAAAA3360Z5</t>
  </si>
  <si>
    <t>27AAAAA3361Z5</t>
  </si>
  <si>
    <t>27AAAAA3362Z5</t>
  </si>
  <si>
    <t>27AAAAA3363Z5</t>
  </si>
  <si>
    <t>27AAAAA3364Z5</t>
  </si>
  <si>
    <t>27AAAAA3365Z5</t>
  </si>
  <si>
    <t>27AAAAA3366Z5</t>
  </si>
  <si>
    <t>27AAAAA3367Z5</t>
  </si>
  <si>
    <t>27AAAAA3368Z5</t>
  </si>
  <si>
    <t>27AAAAA3369Z5</t>
  </si>
  <si>
    <t>27AAAAA3370Z5</t>
  </si>
  <si>
    <t>27AAAAA3371Z5</t>
  </si>
  <si>
    <t>27AAAAA3372Z5</t>
  </si>
  <si>
    <t>27AAAAA3373Z5</t>
  </si>
  <si>
    <t>27AAAAA3374Z5</t>
  </si>
  <si>
    <t>27AAAAA3375Z5</t>
  </si>
  <si>
    <t>27AAAAA3376Z5</t>
  </si>
  <si>
    <t>27AAAAA3377Z5</t>
  </si>
  <si>
    <t>27AAAAA3378Z5</t>
  </si>
  <si>
    <t>27AAAAA3379Z5</t>
  </si>
  <si>
    <t>27AAAAA3380Z5</t>
  </si>
  <si>
    <t>27AAAAA3381Z5</t>
  </si>
  <si>
    <t>27AAAAA3382Z5</t>
  </si>
  <si>
    <t>27AAAAA3383Z5</t>
  </si>
  <si>
    <t>27AAAAA3384Z5</t>
  </si>
  <si>
    <t>27AAAAA3385Z5</t>
  </si>
  <si>
    <t>27AAAAA3386Z5</t>
  </si>
  <si>
    <t>27AAAAA3387Z5</t>
  </si>
  <si>
    <t>27AAAAA3388Z5</t>
  </si>
  <si>
    <t>27AAAAA3389Z5</t>
  </si>
  <si>
    <t>27AAAAA3390Z5</t>
  </si>
  <si>
    <t>27AAAAA3391Z5</t>
  </si>
  <si>
    <t>27AAAAA3392Z5</t>
  </si>
  <si>
    <t>27AAAAA3393Z5</t>
  </si>
  <si>
    <t>27AAAAA3394Z5</t>
  </si>
  <si>
    <t>27AAAAA3395Z5</t>
  </si>
  <si>
    <t>27AAAAA3396Z5</t>
  </si>
  <si>
    <t>27AAAAA3397Z5</t>
  </si>
  <si>
    <t>27AAAAA3398Z5</t>
  </si>
  <si>
    <t>27AAAAA3399Z5</t>
  </si>
  <si>
    <t>27AAAAA3400Z5</t>
  </si>
  <si>
    <t>27AAAAA3401Z5</t>
  </si>
  <si>
    <t>27AAAAA3402Z5</t>
  </si>
  <si>
    <t>27AAAAA3403Z5</t>
  </si>
  <si>
    <t>27AAAAA3404Z5</t>
  </si>
  <si>
    <t>27AAAAA3405Z5</t>
  </si>
  <si>
    <t>27AAAAA3406Z5</t>
  </si>
  <si>
    <t>27AAAAA3407Z5</t>
  </si>
  <si>
    <t>27AAAAA3408Z5</t>
  </si>
  <si>
    <t>27AAAAA3409Z5</t>
  </si>
  <si>
    <t>27AAAAA3410Z5</t>
  </si>
  <si>
    <t>27AAAAA3411Z5</t>
  </si>
  <si>
    <t>27AAAAA3412Z5</t>
  </si>
  <si>
    <t>27AAAAA3413Z5</t>
  </si>
  <si>
    <t>27AAAAA3414Z5</t>
  </si>
  <si>
    <t>27AAAAA3415Z5</t>
  </si>
  <si>
    <t>27AAAAA3416Z5</t>
  </si>
  <si>
    <t>27AAAAA3417Z5</t>
  </si>
  <si>
    <t>27AAAAA3418Z5</t>
  </si>
  <si>
    <t>27AAAAA3419Z5</t>
  </si>
  <si>
    <t>27AAAAA3420Z5</t>
  </si>
  <si>
    <t>27AAAAA3421Z5</t>
  </si>
  <si>
    <t>27AAAAA3422Z5</t>
  </si>
  <si>
    <t>27AAAAA3423Z5</t>
  </si>
  <si>
    <t>27AAAAA3424Z5</t>
  </si>
  <si>
    <t>27AAAAA3425Z5</t>
  </si>
  <si>
    <t>27AAAAA3426Z5</t>
  </si>
  <si>
    <t>27AAAAA3427Z5</t>
  </si>
  <si>
    <t>27AAAAA3428Z5</t>
  </si>
  <si>
    <t>27AAAAA3429Z5</t>
  </si>
  <si>
    <t>27AAAAA3430Z5</t>
  </si>
  <si>
    <t>27AAAAA3431Z5</t>
  </si>
  <si>
    <t>27AAAAA3432Z5</t>
  </si>
  <si>
    <t>27AAAAA3433Z5</t>
  </si>
  <si>
    <t>27AAAAA3434Z5</t>
  </si>
  <si>
    <t>27AAAAA3435Z5</t>
  </si>
  <si>
    <t>27AAAAA3436Z5</t>
  </si>
  <si>
    <t>27AAAAA3437Z5</t>
  </si>
  <si>
    <t>27AAAAA3438Z5</t>
  </si>
  <si>
    <t>27AAAAA3439Z5</t>
  </si>
  <si>
    <t>27AAAAA3440Z5</t>
  </si>
  <si>
    <t>27AAAAA3441Z5</t>
  </si>
  <si>
    <t>27AAAAA3442Z5</t>
  </si>
  <si>
    <t>27AAAAA3443Z5</t>
  </si>
  <si>
    <t>27AAAAA3444Z5</t>
  </si>
  <si>
    <t>27AAAAA3445Z5</t>
  </si>
  <si>
    <t>27AAAAA3446Z5</t>
  </si>
  <si>
    <t>27AAAAA3447Z5</t>
  </si>
  <si>
    <t>27AAAAA3448Z5</t>
  </si>
  <si>
    <t>27AAAAA3449Z5</t>
  </si>
  <si>
    <t>27AAAAA3450Z5</t>
  </si>
  <si>
    <t>27AAAAA3451Z5</t>
  </si>
  <si>
    <t>27AAAAA3452Z5</t>
  </si>
  <si>
    <t>27AAAAA3453Z5</t>
  </si>
  <si>
    <t>27AAAAA3454Z5</t>
  </si>
  <si>
    <t>27AAAAA3455Z5</t>
  </si>
  <si>
    <t>27AAAAA3456Z5</t>
  </si>
  <si>
    <t>27AAAAA3457Z5</t>
  </si>
  <si>
    <t>27AAAAA3458Z5</t>
  </si>
  <si>
    <t>27AAAAA3459Z5</t>
  </si>
  <si>
    <t>27AAAAA3460Z5</t>
  </si>
  <si>
    <t>27AAAAA3461Z5</t>
  </si>
  <si>
    <t>27AAAAA3462Z5</t>
  </si>
  <si>
    <t>27AAAAA3463Z5</t>
  </si>
  <si>
    <t>27AAAAA3464Z5</t>
  </si>
  <si>
    <t>27AAAAA3465Z5</t>
  </si>
  <si>
    <t>27AAAAA3466Z5</t>
  </si>
  <si>
    <t>27AAAAA3467Z5</t>
  </si>
  <si>
    <t>27AAAAA3468Z5</t>
  </si>
  <si>
    <t>27AAAAA3469Z5</t>
  </si>
  <si>
    <t>27AAAAA3470Z5</t>
  </si>
  <si>
    <t>27AAAAA3471Z5</t>
  </si>
  <si>
    <t>27AAAAA3472Z5</t>
  </si>
  <si>
    <t>27AAAAA3473Z5</t>
  </si>
  <si>
    <t>27AAAAA3474Z5</t>
  </si>
  <si>
    <t>27AAAAA3475Z5</t>
  </si>
  <si>
    <t>27AAAAA3476Z5</t>
  </si>
  <si>
    <t>27AAAAA3477Z5</t>
  </si>
  <si>
    <t>27AAAAA3478Z5</t>
  </si>
  <si>
    <t>27AAAAA3479Z5</t>
  </si>
  <si>
    <t>27AAAAA3480Z5</t>
  </si>
  <si>
    <t>27AAAAA3481Z5</t>
  </si>
  <si>
    <t>27AAAAA3482Z5</t>
  </si>
  <si>
    <t>27AAAAA3483Z5</t>
  </si>
  <si>
    <t>27AAAAA3484Z5</t>
  </si>
  <si>
    <t>27AAAAA3485Z5</t>
  </si>
  <si>
    <t>27AAAAA3486Z5</t>
  </si>
  <si>
    <t>27AAAAA3487Z5</t>
  </si>
  <si>
    <t>27AAAAA3488Z5</t>
  </si>
  <si>
    <t>27AAAAA3489Z5</t>
  </si>
  <si>
    <t>27AAAAA3490Z5</t>
  </si>
  <si>
    <t>27AAAAA3491Z5</t>
  </si>
  <si>
    <t>27AAAAA3492Z5</t>
  </si>
  <si>
    <t>27AAAAA3493Z5</t>
  </si>
  <si>
    <t>27AAAAA3494Z5</t>
  </si>
  <si>
    <t>27AAAAA3495Z5</t>
  </si>
  <si>
    <t>27AAAAA3496Z5</t>
  </si>
  <si>
    <t>27AAAAA3497Z5</t>
  </si>
  <si>
    <t>27AAAAA3498Z5</t>
  </si>
  <si>
    <t>27AAAAA3499Z5</t>
  </si>
  <si>
    <t>27AAAAA3500Z5</t>
  </si>
  <si>
    <t>27AAAAA3501Z5</t>
  </si>
  <si>
    <t>27AAAAA3502Z5</t>
  </si>
  <si>
    <t>27AAAAA3503Z5</t>
  </si>
  <si>
    <t>27AAAAA3504Z5</t>
  </si>
  <si>
    <t>27AAAAA3505Z5</t>
  </si>
  <si>
    <t>27AAAAA3506Z5</t>
  </si>
  <si>
    <t>27AAAAA3507Z5</t>
  </si>
  <si>
    <t>27AAAAA3508Z5</t>
  </si>
  <si>
    <t>27AAAAA3509Z5</t>
  </si>
  <si>
    <t>27AAAAA3510Z5</t>
  </si>
  <si>
    <t>27AAAAA3511Z5</t>
  </si>
  <si>
    <t>27AAAAA3512Z5</t>
  </si>
  <si>
    <t>27AAAAA3513Z5</t>
  </si>
  <si>
    <t>27AAAAA3514Z5</t>
  </si>
  <si>
    <t>27AAAAA3515Z5</t>
  </si>
  <si>
    <t>27AAAAA3516Z5</t>
  </si>
  <si>
    <t>27AAAAA3517Z5</t>
  </si>
  <si>
    <t>27AAAAA3518Z5</t>
  </si>
  <si>
    <t>27AAAAA3519Z5</t>
  </si>
  <si>
    <t>27AAAAA3520Z5</t>
  </si>
  <si>
    <t>27AAAAA3521Z5</t>
  </si>
  <si>
    <t>27AAAAA3522Z5</t>
  </si>
  <si>
    <t>27AAAAA3523Z5</t>
  </si>
  <si>
    <t>27AAAAA3524Z5</t>
  </si>
  <si>
    <t>27AAAAA3525Z5</t>
  </si>
  <si>
    <t>27AAAAA3526Z5</t>
  </si>
  <si>
    <t>27AAAAA3527Z5</t>
  </si>
  <si>
    <t>27AAAAA3528Z5</t>
  </si>
  <si>
    <t>27AAAAA3529Z5</t>
  </si>
  <si>
    <t>27AAAAA3530Z5</t>
  </si>
  <si>
    <t>27AAAAA3531Z5</t>
  </si>
  <si>
    <t>27AAAAA3532Z5</t>
  </si>
  <si>
    <t>27AAAAA3533Z5</t>
  </si>
  <si>
    <t>27AAAAA3534Z5</t>
  </si>
  <si>
    <t>27AAAAA3535Z5</t>
  </si>
  <si>
    <t>27AAAAA3536Z5</t>
  </si>
  <si>
    <t>27AAAAA3537Z5</t>
  </si>
  <si>
    <t>27AAAAA3538Z5</t>
  </si>
  <si>
    <t>27AAAAA3539Z5</t>
  </si>
  <si>
    <t>27AAAAA3540Z5</t>
  </si>
  <si>
    <t>27AAAAA3541Z5</t>
  </si>
  <si>
    <t>27AAAAA3542Z5</t>
  </si>
  <si>
    <t>27AAAAA3543Z5</t>
  </si>
  <si>
    <t>27AAAAA3544Z5</t>
  </si>
  <si>
    <t>27AAAAA3545Z5</t>
  </si>
  <si>
    <t>27AAAAA3546Z5</t>
  </si>
  <si>
    <t>27AAAAA3547Z5</t>
  </si>
  <si>
    <t>27AAAAA3548Z5</t>
  </si>
  <si>
    <t>27AAAAA3549Z5</t>
  </si>
  <si>
    <t>27AAAAA3550Z5</t>
  </si>
  <si>
    <t>27AAAAA3551Z5</t>
  </si>
  <si>
    <t>27AAAAA3552Z5</t>
  </si>
  <si>
    <t>27AAAAA3553Z5</t>
  </si>
  <si>
    <t>27AAAAA3554Z5</t>
  </si>
  <si>
    <t>27AAAAA3555Z5</t>
  </si>
  <si>
    <t>27AAAAA3556Z5</t>
  </si>
  <si>
    <t>27AAAAA3557Z5</t>
  </si>
  <si>
    <t>27AAAAA3558Z5</t>
  </si>
  <si>
    <t>27AAAAA3559Z5</t>
  </si>
  <si>
    <t>27AAAAA3560Z5</t>
  </si>
  <si>
    <t>27AAAAA3561Z5</t>
  </si>
  <si>
    <t>27AAAAA3562Z5</t>
  </si>
  <si>
    <t>27AAAAA3563Z5</t>
  </si>
  <si>
    <t>27AAAAA3564Z5</t>
  </si>
  <si>
    <t>27AAAAA3565Z5</t>
  </si>
  <si>
    <t>27AAAAA3566Z5</t>
  </si>
  <si>
    <t>27AAAAA3567Z5</t>
  </si>
  <si>
    <t>27AAAAA3568Z5</t>
  </si>
  <si>
    <t>27AAAAA3569Z5</t>
  </si>
  <si>
    <t>27AAAAA3570Z5</t>
  </si>
  <si>
    <t>27AAAAA3571Z5</t>
  </si>
  <si>
    <t>27AAAAA3572Z5</t>
  </si>
  <si>
    <t>27AAAAA3573Z5</t>
  </si>
  <si>
    <t>27AAAAA3574Z5</t>
  </si>
  <si>
    <t>27AAAAA3575Z5</t>
  </si>
  <si>
    <t>27AAAAA3576Z5</t>
  </si>
  <si>
    <t>27AAAAA3577Z5</t>
  </si>
  <si>
    <t>27AAAAA3578Z5</t>
  </si>
  <si>
    <t>27AAAAA3579Z5</t>
  </si>
  <si>
    <t>27AAAAA3580Z5</t>
  </si>
  <si>
    <t>27AAAAA3581Z5</t>
  </si>
  <si>
    <t>27AAAAA3582Z5</t>
  </si>
  <si>
    <t>27AAAAA3583Z5</t>
  </si>
  <si>
    <t>27AAAAA3584Z5</t>
  </si>
  <si>
    <t>27AAAAA3585Z5</t>
  </si>
  <si>
    <t>27AAAAA3586Z5</t>
  </si>
  <si>
    <t>27AAAAA3587Z5</t>
  </si>
  <si>
    <t>27AAAAA3588Z5</t>
  </si>
  <si>
    <t>27AAAAA3589Z5</t>
  </si>
  <si>
    <t>27AAAAA3590Z5</t>
  </si>
  <si>
    <t>27AAAAA3591Z5</t>
  </si>
  <si>
    <t>27AAAAA3592Z5</t>
  </si>
  <si>
    <t>27AAAAA3593Z5</t>
  </si>
  <si>
    <t>27AAAAA3594Z5</t>
  </si>
  <si>
    <t>27AAAAA3595Z5</t>
  </si>
  <si>
    <t>27AAAAA3596Z5</t>
  </si>
  <si>
    <t>27AAAAA3597Z5</t>
  </si>
  <si>
    <t>27AAAAA3598Z5</t>
  </si>
  <si>
    <t>27AAAAA3599Z5</t>
  </si>
  <si>
    <t>27AAAAA3600Z5</t>
  </si>
  <si>
    <t>27AAAAA3601Z5</t>
  </si>
  <si>
    <t>27AAAAA3602Z5</t>
  </si>
  <si>
    <t>27AAAAA3603Z5</t>
  </si>
  <si>
    <t>27AAAAA3604Z5</t>
  </si>
  <si>
    <t>27AAAAA3605Z5</t>
  </si>
  <si>
    <t>27AAAAA3606Z5</t>
  </si>
  <si>
    <t>27AAAAA3607Z5</t>
  </si>
  <si>
    <t>27AAAAA3608Z5</t>
  </si>
  <si>
    <t>27AAAAA3609Z5</t>
  </si>
  <si>
    <t>27AAAAA3610Z5</t>
  </si>
  <si>
    <t>27AAAAA3611Z5</t>
  </si>
  <si>
    <t>27AAAAA3612Z5</t>
  </si>
  <si>
    <t>27AAAAA3613Z5</t>
  </si>
  <si>
    <t>27AAAAA3614Z5</t>
  </si>
  <si>
    <t>27AAAAA3615Z5</t>
  </si>
  <si>
    <t>27AAAAA3616Z5</t>
  </si>
  <si>
    <t>27AAAAA3617Z5</t>
  </si>
  <si>
    <t>27AAAAA3618Z5</t>
  </si>
  <si>
    <t>27AAAAA3619Z5</t>
  </si>
  <si>
    <t>27AAAAA3620Z5</t>
  </si>
  <si>
    <t>27AAAAA3621Z5</t>
  </si>
  <si>
    <t>27AAAAA3622Z5</t>
  </si>
  <si>
    <t>27AAAAA3623Z5</t>
  </si>
  <si>
    <t>27AAAAA3624Z5</t>
  </si>
  <si>
    <t>27AAAAA3625Z5</t>
  </si>
  <si>
    <t>27AAAAA3626Z5</t>
  </si>
  <si>
    <t>27AAAAA3627Z5</t>
  </si>
  <si>
    <t>27AAAAA3628Z5</t>
  </si>
  <si>
    <t>27AAAAA3629Z5</t>
  </si>
  <si>
    <t>27AAAAA3630Z5</t>
  </si>
  <si>
    <t>27AAAAA3631Z5</t>
  </si>
  <si>
    <t>27AAAAA3632Z5</t>
  </si>
  <si>
    <t>27AAAAA3633Z5</t>
  </si>
  <si>
    <t>27AAAAA3634Z5</t>
  </si>
  <si>
    <t>27AAAAA3635Z5</t>
  </si>
  <si>
    <t>27AAAAA3636Z5</t>
  </si>
  <si>
    <t>27AAAAA3637Z5</t>
  </si>
  <si>
    <t>27AAAAA3638Z5</t>
  </si>
  <si>
    <t>27AAAAA3639Z5</t>
  </si>
  <si>
    <t>27AAAAA3640Z5</t>
  </si>
  <si>
    <t>27AAAAA3641Z5</t>
  </si>
  <si>
    <t>27AAAAA3642Z5</t>
  </si>
  <si>
    <t>27AAAAA3643Z5</t>
  </si>
  <si>
    <t>27AAAAA3644Z5</t>
  </si>
  <si>
    <t>27AAAAA3645Z5</t>
  </si>
  <si>
    <t>27AAAAA3646Z5</t>
  </si>
  <si>
    <t>27AAAAA3647Z5</t>
  </si>
  <si>
    <t>27AAAAA3648Z5</t>
  </si>
  <si>
    <t>27AAAAA3649Z5</t>
  </si>
  <si>
    <t>27AAAAA3650Z5</t>
  </si>
  <si>
    <t>27AAAAA3651Z5</t>
  </si>
  <si>
    <t>27AAAAA3652Z5</t>
  </si>
  <si>
    <t>27AAAAA3653Z5</t>
  </si>
  <si>
    <t>27AAAAA3654Z5</t>
  </si>
  <si>
    <t>27AAAAA3655Z5</t>
  </si>
  <si>
    <t>27AAAAA3656Z5</t>
  </si>
  <si>
    <t>27AAAAA3657Z5</t>
  </si>
  <si>
    <t>27AAAAA3658Z5</t>
  </si>
  <si>
    <t>27AAAAA3659Z5</t>
  </si>
  <si>
    <t>27AAAAA3660Z5</t>
  </si>
  <si>
    <t>27AAAAA3661Z5</t>
  </si>
  <si>
    <t>27AAAAA3662Z5</t>
  </si>
  <si>
    <t>27AAAAA3663Z5</t>
  </si>
  <si>
    <t>27AAAAA3664Z5</t>
  </si>
  <si>
    <t>27AAAAA3665Z5</t>
  </si>
  <si>
    <t>27AAAAA3666Z5</t>
  </si>
  <si>
    <t>27AAAAA3667Z5</t>
  </si>
  <si>
    <t>27AAAAA3668Z5</t>
  </si>
  <si>
    <t>27AAAAA3669Z5</t>
  </si>
  <si>
    <t>27AAAAA3670Z5</t>
  </si>
  <si>
    <t>27AAAAA3671Z5</t>
  </si>
  <si>
    <t>27AAAAA3672Z5</t>
  </si>
  <si>
    <t>27AAAAA3673Z5</t>
  </si>
  <si>
    <t>27AAAAA3674Z5</t>
  </si>
  <si>
    <t>27AAAAA3675Z5</t>
  </si>
  <si>
    <t>27AAAAA3676Z5</t>
  </si>
  <si>
    <t>27AAAAA3677Z5</t>
  </si>
  <si>
    <t>27AAAAA3678Z5</t>
  </si>
  <si>
    <t>27AAAAA3679Z5</t>
  </si>
  <si>
    <t>27AAAAA3680Z5</t>
  </si>
  <si>
    <t>27AAAAA3681Z5</t>
  </si>
  <si>
    <t>27AAAAA3682Z5</t>
  </si>
  <si>
    <t>27AAAAA3683Z5</t>
  </si>
  <si>
    <t>27AAAAA3684Z5</t>
  </si>
  <si>
    <t>27AAAAA3685Z5</t>
  </si>
  <si>
    <t>27AAAAA3686Z5</t>
  </si>
  <si>
    <t>27AAAAA3687Z5</t>
  </si>
  <si>
    <t>27AAAAA3688Z5</t>
  </si>
  <si>
    <t>27AAAAA3689Z5</t>
  </si>
  <si>
    <t>27AAAAA3690Z5</t>
  </si>
  <si>
    <t>27AAAAA3691Z5</t>
  </si>
  <si>
    <t>27AAAAA3692Z5</t>
  </si>
  <si>
    <t>27AAAAA3693Z5</t>
  </si>
  <si>
    <t>27AAAAA3694Z5</t>
  </si>
  <si>
    <t>27AAAAA3695Z5</t>
  </si>
  <si>
    <t>27AAAAA3696Z5</t>
  </si>
  <si>
    <t>27AAAAA3697Z5</t>
  </si>
  <si>
    <t>27AAAAA3698Z5</t>
  </si>
  <si>
    <t>27AAAAA3699Z5</t>
  </si>
  <si>
    <t>27AAAAA3700Z5</t>
  </si>
  <si>
    <t>27AAAAA3701Z5</t>
  </si>
  <si>
    <t>27AAAAA3702Z5</t>
  </si>
  <si>
    <t>27AAAAA3703Z5</t>
  </si>
  <si>
    <t>27AAAAA3704Z5</t>
  </si>
  <si>
    <t>27AAAAA3705Z5</t>
  </si>
  <si>
    <t>27AAAAA3706Z5</t>
  </si>
  <si>
    <t>27AAAAA3707Z5</t>
  </si>
  <si>
    <t>27AAAAA3708Z5</t>
  </si>
  <si>
    <t>27AAAAA3709Z5</t>
  </si>
  <si>
    <t>27AAAAA3710Z5</t>
  </si>
  <si>
    <t>27AAAAA3711Z5</t>
  </si>
  <si>
    <t>27AAAAA3712Z5</t>
  </si>
  <si>
    <t>27AAAAA3713Z5</t>
  </si>
  <si>
    <t>27AAAAA3714Z5</t>
  </si>
  <si>
    <t>27AAAAA3715Z5</t>
  </si>
  <si>
    <t>27AAAAA3716Z5</t>
  </si>
  <si>
    <t>27AAAAA3717Z5</t>
  </si>
  <si>
    <t>27AAAAA3718Z5</t>
  </si>
  <si>
    <t>27AAAAA3719Z5</t>
  </si>
  <si>
    <t>27AAAAA3720Z5</t>
  </si>
  <si>
    <t>27AAAAA3721Z5</t>
  </si>
  <si>
    <t>27AAAAA3722Z5</t>
  </si>
  <si>
    <t>27AAAAA3723Z5</t>
  </si>
  <si>
    <t>27AAAAA3724Z5</t>
  </si>
  <si>
    <t>27AAAAA3725Z5</t>
  </si>
  <si>
    <t>27AAAAA3726Z5</t>
  </si>
  <si>
    <t>27AAAAA3727Z5</t>
  </si>
  <si>
    <t>27AAAAA3728Z5</t>
  </si>
  <si>
    <t>27AAAAA3729Z5</t>
  </si>
  <si>
    <t>27AAAAA3730Z5</t>
  </si>
  <si>
    <t>27AAAAA3731Z5</t>
  </si>
  <si>
    <t>27AAAAA3732Z5</t>
  </si>
  <si>
    <t>27AAAAA3733Z5</t>
  </si>
  <si>
    <t>27AAAAA3734Z5</t>
  </si>
  <si>
    <t>27AAAAA3735Z5</t>
  </si>
  <si>
    <t>27AAAAA3736Z5</t>
  </si>
  <si>
    <t>27AAAAA3737Z5</t>
  </si>
  <si>
    <t>27AAAAA3738Z5</t>
  </si>
  <si>
    <t>27AAAAA3739Z5</t>
  </si>
  <si>
    <t>27AAAAA3740Z5</t>
  </si>
  <si>
    <t>27AAAAA3741Z5</t>
  </si>
  <si>
    <t>27AAAAA3742Z5</t>
  </si>
  <si>
    <t>27AAAAA3743Z5</t>
  </si>
  <si>
    <t>27AAAAA3744Z5</t>
  </si>
  <si>
    <t>27AAAAA3745Z5</t>
  </si>
  <si>
    <t>27AAAAA3746Z5</t>
  </si>
  <si>
    <t>27AAAAA3747Z5</t>
  </si>
  <si>
    <t>27AAAAA3748Z5</t>
  </si>
  <si>
    <t>27AAAAA3749Z5</t>
  </si>
  <si>
    <t>27AAAAA3750Z5</t>
  </si>
  <si>
    <t>27AAAAA3751Z5</t>
  </si>
  <si>
    <t>27AAAAA3752Z5</t>
  </si>
  <si>
    <t>27AAAAA3753Z5</t>
  </si>
  <si>
    <t>27AAAAA3754Z5</t>
  </si>
  <si>
    <t>27AAAAA3755Z5</t>
  </si>
  <si>
    <t>27AAAAA3756Z5</t>
  </si>
  <si>
    <t>27AAAAA3757Z5</t>
  </si>
  <si>
    <t>27AAAAA3758Z5</t>
  </si>
  <si>
    <t>27AAAAA3759Z5</t>
  </si>
  <si>
    <t>27AAAAA3760Z5</t>
  </si>
  <si>
    <t>27AAAAA3761Z5</t>
  </si>
  <si>
    <t>27AAAAA3762Z5</t>
  </si>
  <si>
    <t>27AAAAA3763Z5</t>
  </si>
  <si>
    <t>27AAAAA3764Z5</t>
  </si>
  <si>
    <t>27AAAAA3765Z5</t>
  </si>
  <si>
    <t>27AAAAA3766Z5</t>
  </si>
  <si>
    <t>27AAAAA3767Z5</t>
  </si>
  <si>
    <t>27AAAAA3768Z5</t>
  </si>
  <si>
    <t>27AAAAA3769Z5</t>
  </si>
  <si>
    <t>27AAAAA3770Z5</t>
  </si>
  <si>
    <t>27AAAAA3771Z5</t>
  </si>
  <si>
    <t>27AAAAA3772Z5</t>
  </si>
  <si>
    <t>27AAAAA3773Z5</t>
  </si>
  <si>
    <t>27AAAAA3774Z5</t>
  </si>
  <si>
    <t>27AAAAA3775Z5</t>
  </si>
  <si>
    <t>27AAAAA3776Z5</t>
  </si>
  <si>
    <t>27AAAAA3777Z5</t>
  </si>
  <si>
    <t>27AAAAA3778Z5</t>
  </si>
  <si>
    <t>27AAAAA3779Z5</t>
  </si>
  <si>
    <t>27AAAAA3780Z5</t>
  </si>
  <si>
    <t>27AAAAA3781Z5</t>
  </si>
  <si>
    <t>27AAAAA3782Z5</t>
  </si>
  <si>
    <t>27AAAAA3783Z5</t>
  </si>
  <si>
    <t>27AAAAA3784Z5</t>
  </si>
  <si>
    <t>27AAAAA3785Z5</t>
  </si>
  <si>
    <t>27AAAAA3786Z5</t>
  </si>
  <si>
    <t>27AAAAA3787Z5</t>
  </si>
  <si>
    <t>27AAAAA3788Z5</t>
  </si>
  <si>
    <t>27AAAAA3789Z5</t>
  </si>
  <si>
    <t>27AAAAA3790Z5</t>
  </si>
  <si>
    <t>27AAAAA3791Z5</t>
  </si>
  <si>
    <t>27AAAAA3792Z5</t>
  </si>
  <si>
    <t>27AAAAA3793Z5</t>
  </si>
  <si>
    <t>27AAAAA3794Z5</t>
  </si>
  <si>
    <t>27AAAAA3795Z5</t>
  </si>
  <si>
    <t>27AAAAA3796Z5</t>
  </si>
  <si>
    <t>27AAAAA3797Z5</t>
  </si>
  <si>
    <t>27AAAAA3798Z5</t>
  </si>
  <si>
    <t>27AAAAA3799Z5</t>
  </si>
  <si>
    <t>27AAAAA3800Z5</t>
  </si>
  <si>
    <t>27AAAAA3801Z5</t>
  </si>
  <si>
    <t>27AAAAA3802Z5</t>
  </si>
  <si>
    <t>27AAAAA3803Z5</t>
  </si>
  <si>
    <t>27AAAAA3804Z5</t>
  </si>
  <si>
    <t>27AAAAA3805Z5</t>
  </si>
  <si>
    <t>27AAAAA3806Z5</t>
  </si>
  <si>
    <t>27AAAAA3807Z5</t>
  </si>
  <si>
    <t>27AAAAA3808Z5</t>
  </si>
  <si>
    <t>27AAAAA3809Z5</t>
  </si>
  <si>
    <t>27AAAAA3810Z5</t>
  </si>
  <si>
    <t>27AAAAA3811Z5</t>
  </si>
  <si>
    <t>27AAAAA3812Z5</t>
  </si>
  <si>
    <t>27AAAAA3813Z5</t>
  </si>
  <si>
    <t>27AAAAA3814Z5</t>
  </si>
  <si>
    <t>27AAAAA3815Z5</t>
  </si>
  <si>
    <t>27AAAAA3816Z5</t>
  </si>
  <si>
    <t>27AAAAA3817Z5</t>
  </si>
  <si>
    <t>27AAAAA3818Z5</t>
  </si>
  <si>
    <t>27AAAAA3819Z5</t>
  </si>
  <si>
    <t>27AAAAA3820Z5</t>
  </si>
  <si>
    <t>27AAAAA3821Z5</t>
  </si>
  <si>
    <t>27AAAAA3822Z5</t>
  </si>
  <si>
    <t>27AAAAA3823Z5</t>
  </si>
  <si>
    <t>27AAAAA3824Z5</t>
  </si>
  <si>
    <t>27AAAAA3825Z5</t>
  </si>
  <si>
    <t>27AAAAA3826Z5</t>
  </si>
  <si>
    <t>27AAAAA3827Z5</t>
  </si>
  <si>
    <t>27AAAAA3828Z5</t>
  </si>
  <si>
    <t>27AAAAA3829Z5</t>
  </si>
  <si>
    <t>27AAAAA3830Z5</t>
  </si>
  <si>
    <t>27AAAAA3831Z5</t>
  </si>
  <si>
    <t>27AAAAA3832Z5</t>
  </si>
  <si>
    <t>27AAAAA3833Z5</t>
  </si>
  <si>
    <t>27AAAAA3834Z5</t>
  </si>
  <si>
    <t>27AAAAA3835Z5</t>
  </si>
  <si>
    <t>27AAAAA3836Z5</t>
  </si>
  <si>
    <t>27AAAAA3837Z5</t>
  </si>
  <si>
    <t>27AAAAA3838Z5</t>
  </si>
  <si>
    <t>27AAAAA3839Z5</t>
  </si>
  <si>
    <t>27AAAAA3840Z5</t>
  </si>
  <si>
    <t>27AAAAA3841Z5</t>
  </si>
  <si>
    <t>27AAAAA3842Z5</t>
  </si>
  <si>
    <t>27AAAAA3843Z5</t>
  </si>
  <si>
    <t>27AAAAA3844Z5</t>
  </si>
  <si>
    <t>27AAAAA3845Z5</t>
  </si>
  <si>
    <t>27AAAAA3846Z5</t>
  </si>
  <si>
    <t>27AAAAA3847Z5</t>
  </si>
  <si>
    <t>27AAAAA3848Z5</t>
  </si>
  <si>
    <t>27AAAAA3849Z5</t>
  </si>
  <si>
    <t>27AAAAA3850Z5</t>
  </si>
  <si>
    <t>27AAAAA3851Z5</t>
  </si>
  <si>
    <t>27AAAAA3852Z5</t>
  </si>
  <si>
    <t>27AAAAA3853Z5</t>
  </si>
  <si>
    <t>27AAAAA3854Z5</t>
  </si>
  <si>
    <t>27AAAAA3855Z5</t>
  </si>
  <si>
    <t>27AAAAA3856Z5</t>
  </si>
  <si>
    <t>27AAAAA3857Z5</t>
  </si>
  <si>
    <t>27AAAAA3858Z5</t>
  </si>
  <si>
    <t>27AAAAA3859Z5</t>
  </si>
  <si>
    <t>27AAAAA3860Z5</t>
  </si>
  <si>
    <t>27AAAAA3861Z5</t>
  </si>
  <si>
    <t>27AAAAA3862Z5</t>
  </si>
  <si>
    <t>27AAAAA3863Z5</t>
  </si>
  <si>
    <t>27AAAAA3864Z5</t>
  </si>
  <si>
    <t>27AAAAA3865Z5</t>
  </si>
  <si>
    <t>27AAAAA3866Z5</t>
  </si>
  <si>
    <t>27AAAAA3867Z5</t>
  </si>
  <si>
    <t>27AAAAA3868Z5</t>
  </si>
  <si>
    <t>27AAAAA3869Z5</t>
  </si>
  <si>
    <t>27AAAAA3870Z5</t>
  </si>
  <si>
    <t>27AAAAA3871Z5</t>
  </si>
  <si>
    <t>27AAAAA3872Z5</t>
  </si>
  <si>
    <t>27AAAAA3873Z5</t>
  </si>
  <si>
    <t>27AAAAA3874Z5</t>
  </si>
  <si>
    <t>27AAAAA3875Z5</t>
  </si>
  <si>
    <t>27AAAAA3876Z5</t>
  </si>
  <si>
    <t>27AAAAA3877Z5</t>
  </si>
  <si>
    <t>27AAAAA3878Z5</t>
  </si>
  <si>
    <t>27AAAAA3879Z5</t>
  </si>
  <si>
    <t>27AAAAA3880Z5</t>
  </si>
  <si>
    <t>27AAAAA3881Z5</t>
  </si>
  <si>
    <t>27AAAAA3882Z5</t>
  </si>
  <si>
    <t>27AAAAA3883Z5</t>
  </si>
  <si>
    <t>27AAAAA3884Z5</t>
  </si>
  <si>
    <t>27AAAAA3885Z5</t>
  </si>
  <si>
    <t>27AAAAA3886Z5</t>
  </si>
  <si>
    <t>27AAAAA3887Z5</t>
  </si>
  <si>
    <t>27AAAAA3888Z5</t>
  </si>
  <si>
    <t>27AAAAA3889Z5</t>
  </si>
  <si>
    <t>27AAAAA3890Z5</t>
  </si>
  <si>
    <t>27AAAAA3891Z5</t>
  </si>
  <si>
    <t>27AAAAA3892Z5</t>
  </si>
  <si>
    <t>27AAAAA3893Z5</t>
  </si>
  <si>
    <t>27AAAAA3894Z5</t>
  </si>
  <si>
    <t>27AAAAA3895Z5</t>
  </si>
  <si>
    <t>27AAAAA3896Z5</t>
  </si>
  <si>
    <t>27AAAAA3897Z5</t>
  </si>
  <si>
    <t>27AAAAA3898Z5</t>
  </si>
  <si>
    <t>27AAAAA3899Z5</t>
  </si>
  <si>
    <t>27AAAAA3900Z5</t>
  </si>
  <si>
    <t>27AAAAA3901Z5</t>
  </si>
  <si>
    <t>27AAAAA3902Z5</t>
  </si>
  <si>
    <t>27AAAAA3903Z5</t>
  </si>
  <si>
    <t>27AAAAA3904Z5</t>
  </si>
  <si>
    <t>27AAAAA3905Z5</t>
  </si>
  <si>
    <t>27AAAAA3906Z5</t>
  </si>
  <si>
    <t>27AAAAA3907Z5</t>
  </si>
  <si>
    <t>27AAAAA3908Z5</t>
  </si>
  <si>
    <t>27AAAAA3909Z5</t>
  </si>
  <si>
    <t>27AAAAA3910Z5</t>
  </si>
  <si>
    <t>27AAAAA3911Z5</t>
  </si>
  <si>
    <t>27AAAAA3912Z5</t>
  </si>
  <si>
    <t>27AAAAA3913Z5</t>
  </si>
  <si>
    <t>27AAAAA3914Z5</t>
  </si>
  <si>
    <t>27AAAAA3915Z5</t>
  </si>
  <si>
    <t>27AAAAA3916Z5</t>
  </si>
  <si>
    <t>27AAAAA3917Z5</t>
  </si>
  <si>
    <t>27AAAAA3918Z5</t>
  </si>
  <si>
    <t>27AAAAA3919Z5</t>
  </si>
  <si>
    <t>27AAAAA3920Z5</t>
  </si>
  <si>
    <t>27AAAAA3921Z5</t>
  </si>
  <si>
    <t>27AAAAA3922Z5</t>
  </si>
  <si>
    <t>27AAAAA3923Z5</t>
  </si>
  <si>
    <t>27AAAAA3924Z5</t>
  </si>
  <si>
    <t>27AAAAA3925Z5</t>
  </si>
  <si>
    <t>27AAAAA3926Z5</t>
  </si>
  <si>
    <t>27AAAAA3927Z5</t>
  </si>
  <si>
    <t>27AAAAA3928Z5</t>
  </si>
  <si>
    <t>27AAAAA3929Z5</t>
  </si>
  <si>
    <t>27AAAAA3930Z5</t>
  </si>
  <si>
    <t>27AAAAA3931Z5</t>
  </si>
  <si>
    <t>27AAAAA3932Z5</t>
  </si>
  <si>
    <t>27AAAAA3933Z5</t>
  </si>
  <si>
    <t>27AAAAA3934Z5</t>
  </si>
  <si>
    <t>27AAAAA3935Z5</t>
  </si>
  <si>
    <t>27AAAAA3936Z5</t>
  </si>
  <si>
    <t>27AAAAA3937Z5</t>
  </si>
  <si>
    <t>27AAAAA3938Z5</t>
  </si>
  <si>
    <t>27AAAAA3939Z5</t>
  </si>
  <si>
    <t>27AAAAA3940Z5</t>
  </si>
  <si>
    <t>27AAAAA3941Z5</t>
  </si>
  <si>
    <t>27AAAAA3942Z5</t>
  </si>
  <si>
    <t>27AAAAA3943Z5</t>
  </si>
  <si>
    <t>27AAAAA3944Z5</t>
  </si>
  <si>
    <t>27AAAAA3945Z5</t>
  </si>
  <si>
    <t>27AAAAA3946Z5</t>
  </si>
  <si>
    <t>27AAAAA3947Z5</t>
  </si>
  <si>
    <t>27AAAAA3948Z5</t>
  </si>
  <si>
    <t>27AAAAA3949Z5</t>
  </si>
  <si>
    <t>27AAAAA3950Z5</t>
  </si>
  <si>
    <t>27AAAAA3951Z5</t>
  </si>
  <si>
    <t>27AAAAA3952Z5</t>
  </si>
  <si>
    <t>27AAAAA3953Z5</t>
  </si>
  <si>
    <t>27AAAAA3954Z5</t>
  </si>
  <si>
    <t>27AAAAA3955Z5</t>
  </si>
  <si>
    <t>27AAAAA3956Z5</t>
  </si>
  <si>
    <t>27AAAAA3957Z5</t>
  </si>
  <si>
    <t>27AAAAA3958Z5</t>
  </si>
  <si>
    <t>27AAAAA3959Z5</t>
  </si>
  <si>
    <t>27AAAAA3960Z5</t>
  </si>
  <si>
    <t>27AAAAA3961Z5</t>
  </si>
  <si>
    <t>27AAAAA3962Z5</t>
  </si>
  <si>
    <t>27AAAAA3963Z5</t>
  </si>
  <si>
    <t>27AAAAA3964Z5</t>
  </si>
  <si>
    <t>27AAAAA3965Z5</t>
  </si>
  <si>
    <t>27AAAAA3966Z5</t>
  </si>
  <si>
    <t>27AAAAA3967Z5</t>
  </si>
  <si>
    <t>27AAAAA3968Z5</t>
  </si>
  <si>
    <t>27AAAAA3969Z5</t>
  </si>
  <si>
    <t>27AAAAA3970Z5</t>
  </si>
  <si>
    <t>27AAAAA3971Z5</t>
  </si>
  <si>
    <t>27AAAAA3972Z5</t>
  </si>
  <si>
    <t>27AAAAA3973Z5</t>
  </si>
  <si>
    <t>27AAAAA3974Z5</t>
  </si>
  <si>
    <t>27AAAAA3975Z5</t>
  </si>
  <si>
    <t>27AAAAA3976Z5</t>
  </si>
  <si>
    <t>27AAAAA3977Z5</t>
  </si>
  <si>
    <t>27AAAAA3978Z5</t>
  </si>
  <si>
    <t>27AAAAA3979Z5</t>
  </si>
  <si>
    <t>27AAAAA3980Z5</t>
  </si>
  <si>
    <t>27AAAAA3981Z5</t>
  </si>
  <si>
    <t>27AAAAA3982Z5</t>
  </si>
  <si>
    <t>27AAAAA3983Z5</t>
  </si>
  <si>
    <t>27AAAAA3984Z5</t>
  </si>
  <si>
    <t>27AAAAA3985Z5</t>
  </si>
  <si>
    <t>27AAAAA3986Z5</t>
  </si>
  <si>
    <t>27AAAAA3987Z5</t>
  </si>
  <si>
    <t>27AAAAA3988Z5</t>
  </si>
  <si>
    <t>27AAAAA3989Z5</t>
  </si>
  <si>
    <t>27AAAAA3990Z5</t>
  </si>
  <si>
    <t>27AAAAA3991Z5</t>
  </si>
  <si>
    <t>27AAAAA3992Z5</t>
  </si>
  <si>
    <t>27AAAAA3993Z5</t>
  </si>
  <si>
    <t>27AAAAA3994Z5</t>
  </si>
  <si>
    <t>27AAAAA3995Z5</t>
  </si>
  <si>
    <t>27AAAAA3996Z5</t>
  </si>
  <si>
    <t>27AAAAA3997Z5</t>
  </si>
  <si>
    <t>27AAAAA3998Z5</t>
  </si>
  <si>
    <t>27AAAAA3999Z5</t>
  </si>
  <si>
    <t>27AAAAA4000Z5</t>
  </si>
  <si>
    <t>27AAAAA4001Z5</t>
  </si>
  <si>
    <t>27AAAAA4002Z5</t>
  </si>
  <si>
    <t>27AAAAA4003Z5</t>
  </si>
  <si>
    <t>27AAAAA4004Z5</t>
  </si>
  <si>
    <t>27AAAAA4005Z5</t>
  </si>
  <si>
    <t>27AAAAA4006Z5</t>
  </si>
  <si>
    <t>27AAAAA4007Z5</t>
  </si>
  <si>
    <t>27AAAAA4008Z5</t>
  </si>
  <si>
    <t>27AAAAA4009Z5</t>
  </si>
  <si>
    <t>27AAAAA4010Z5</t>
  </si>
  <si>
    <t>27AAAAA4011Z5</t>
  </si>
  <si>
    <t>27AAAAA4012Z5</t>
  </si>
  <si>
    <t>27AAAAA4013Z5</t>
  </si>
  <si>
    <t>27AAAAA4014Z5</t>
  </si>
  <si>
    <t>27AAAAA4015Z5</t>
  </si>
  <si>
    <t>27AAAAA4016Z5</t>
  </si>
  <si>
    <t>27AAAAA4017Z5</t>
  </si>
  <si>
    <t>27AAAAA4018Z5</t>
  </si>
  <si>
    <t>27AAAAA4019Z5</t>
  </si>
  <si>
    <t>27AAAAA4020Z5</t>
  </si>
  <si>
    <t>27AAAAA4021Z5</t>
  </si>
  <si>
    <t>27AAAAA4022Z5</t>
  </si>
  <si>
    <t>27AAAAA4023Z5</t>
  </si>
  <si>
    <t>27AAAAA4024Z5</t>
  </si>
  <si>
    <t>27AAAAA4025Z5</t>
  </si>
  <si>
    <t>27AAAAA4026Z5</t>
  </si>
  <si>
    <t>27AAAAA4027Z5</t>
  </si>
  <si>
    <t>27AAAAA4028Z5</t>
  </si>
  <si>
    <t>27AAAAA4029Z5</t>
  </si>
  <si>
    <t>27AAAAA4030Z5</t>
  </si>
  <si>
    <t>27AAAAA4031Z5</t>
  </si>
  <si>
    <t>27AAAAA4032Z5</t>
  </si>
  <si>
    <t>27AAAAA4033Z5</t>
  </si>
  <si>
    <t>27AAAAA4034Z5</t>
  </si>
  <si>
    <t>27AAAAA4035Z5</t>
  </si>
  <si>
    <t>27AAAAA4036Z5</t>
  </si>
  <si>
    <t>27AAAAA4037Z5</t>
  </si>
  <si>
    <t>27AAAAA4038Z5</t>
  </si>
  <si>
    <t>27AAAAA4039Z5</t>
  </si>
  <si>
    <t>27AAAAA4040Z5</t>
  </si>
  <si>
    <t>27AAAAA4041Z5</t>
  </si>
  <si>
    <t>27AAAAA4042Z5</t>
  </si>
  <si>
    <t>27AAAAA4043Z5</t>
  </si>
  <si>
    <t>27AAAAA4044Z5</t>
  </si>
  <si>
    <t>27AAAAA4045Z5</t>
  </si>
  <si>
    <t>27AAAAA4046Z5</t>
  </si>
  <si>
    <t>27AAAAA4047Z5</t>
  </si>
  <si>
    <t>27AAAAA4048Z5</t>
  </si>
  <si>
    <t>27AAAAA4049Z5</t>
  </si>
  <si>
    <t>27AAAAA4050Z5</t>
  </si>
  <si>
    <t>27AAAAA4051Z5</t>
  </si>
  <si>
    <t>27AAAAA4052Z5</t>
  </si>
  <si>
    <t>27AAAAA4053Z5</t>
  </si>
  <si>
    <t>27AAAAA4054Z5</t>
  </si>
  <si>
    <t>27AAAAA4055Z5</t>
  </si>
  <si>
    <t>27AAAAA4056Z5</t>
  </si>
  <si>
    <t>27AAAAA4057Z5</t>
  </si>
  <si>
    <t>27AAAAA4058Z5</t>
  </si>
  <si>
    <t>27AAAAA4059Z5</t>
  </si>
  <si>
    <t>27AAAAA4060Z5</t>
  </si>
  <si>
    <t>27AAAAA4061Z5</t>
  </si>
  <si>
    <t>27AAAAA4062Z5</t>
  </si>
  <si>
    <t>27AAAAA4063Z5</t>
  </si>
  <si>
    <t>27AAAAA4064Z5</t>
  </si>
  <si>
    <t>27AAAAA4065Z5</t>
  </si>
  <si>
    <t>27AAAAA4066Z5</t>
  </si>
  <si>
    <t>27AAAAA4067Z5</t>
  </si>
  <si>
    <t>27AAAAA4068Z5</t>
  </si>
  <si>
    <t>27AAAAA4069Z5</t>
  </si>
  <si>
    <t>27AAAAA4070Z5</t>
  </si>
  <si>
    <t>27AAAAA4071Z5</t>
  </si>
  <si>
    <t>27AAAAA4072Z5</t>
  </si>
  <si>
    <t>27AAAAA4073Z5</t>
  </si>
  <si>
    <t>27AAAAA4074Z5</t>
  </si>
  <si>
    <t>27AAAAA4075Z5</t>
  </si>
  <si>
    <t>27AAAAA4076Z5</t>
  </si>
  <si>
    <t>27AAAAA4077Z5</t>
  </si>
  <si>
    <t>27AAAAA4078Z5</t>
  </si>
  <si>
    <t>27AAAAA4079Z5</t>
  </si>
  <si>
    <t>27AAAAA4080Z5</t>
  </si>
  <si>
    <t>27AAAAA4081Z5</t>
  </si>
  <si>
    <t>27AAAAA4082Z5</t>
  </si>
  <si>
    <t>27AAAAA4083Z5</t>
  </si>
  <si>
    <t>27AAAAA4084Z5</t>
  </si>
  <si>
    <t>27AAAAA4085Z5</t>
  </si>
  <si>
    <t>27AAAAA4086Z5</t>
  </si>
  <si>
    <t>27AAAAA4087Z5</t>
  </si>
  <si>
    <t>27AAAAA4088Z5</t>
  </si>
  <si>
    <t>27AAAAA4089Z5</t>
  </si>
  <si>
    <t>27AAAAA4090Z5</t>
  </si>
  <si>
    <t>27AAAAA4091Z5</t>
  </si>
  <si>
    <t>27AAAAA4092Z5</t>
  </si>
  <si>
    <t>27AAAAA4093Z5</t>
  </si>
  <si>
    <t>27AAAAA4094Z5</t>
  </si>
  <si>
    <t>27AAAAA4095Z5</t>
  </si>
  <si>
    <t>27AAAAA4096Z5</t>
  </si>
  <si>
    <t>27AAAAA4097Z5</t>
  </si>
  <si>
    <t>27AAAAA4098Z5</t>
  </si>
  <si>
    <t>27AAAAA4099Z5</t>
  </si>
  <si>
    <t>27AAAAA4100Z5</t>
  </si>
  <si>
    <t>27AAAAA4101Z5</t>
  </si>
  <si>
    <t>27AAAAA4102Z5</t>
  </si>
  <si>
    <t>27AAAAA4103Z5</t>
  </si>
  <si>
    <t>27AAAAA4104Z5</t>
  </si>
  <si>
    <t>27AAAAA4105Z5</t>
  </si>
  <si>
    <t>27AAAAA4106Z5</t>
  </si>
  <si>
    <t>27AAAAA4107Z5</t>
  </si>
  <si>
    <t>27AAAAA4108Z5</t>
  </si>
  <si>
    <t>27AAAAA4109Z5</t>
  </si>
  <si>
    <t>27AAAAA4110Z5</t>
  </si>
  <si>
    <t>27AAAAA4111Z5</t>
  </si>
  <si>
    <t>27AAAAA4112Z5</t>
  </si>
  <si>
    <t>27AAAAA4113Z5</t>
  </si>
  <si>
    <t>27AAAAA4114Z5</t>
  </si>
  <si>
    <t>27AAAAA4115Z5</t>
  </si>
  <si>
    <t>27AAAAA4116Z5</t>
  </si>
  <si>
    <t>27AAAAA4117Z5</t>
  </si>
  <si>
    <t>27AAAAA4118Z5</t>
  </si>
  <si>
    <t>27AAAAA4119Z5</t>
  </si>
  <si>
    <t>27AAAAA4120Z5</t>
  </si>
  <si>
    <t>27AAAAA4121Z5</t>
  </si>
  <si>
    <t>27AAAAA4122Z5</t>
  </si>
  <si>
    <t>27AAAAA4123Z5</t>
  </si>
  <si>
    <t>27AAAAA4124Z5</t>
  </si>
  <si>
    <t>27AAAAA4125Z5</t>
  </si>
  <si>
    <t>27AAAAA4126Z5</t>
  </si>
  <si>
    <t>27AAAAA4127Z5</t>
  </si>
  <si>
    <t>27AAAAA4128Z5</t>
  </si>
  <si>
    <t>27AAAAA4129Z5</t>
  </si>
  <si>
    <t>27AAAAA4130Z5</t>
  </si>
  <si>
    <t>27AAAAA4131Z5</t>
  </si>
  <si>
    <t>27AAAAA4132Z5</t>
  </si>
  <si>
    <t>27AAAAA4133Z5</t>
  </si>
  <si>
    <t>27AAAAA4134Z5</t>
  </si>
  <si>
    <t>27AAAAA4135Z5</t>
  </si>
  <si>
    <t>27AAAAA4136Z5</t>
  </si>
  <si>
    <t>27AAAAA4137Z5</t>
  </si>
  <si>
    <t>27AAAAA4138Z5</t>
  </si>
  <si>
    <t>27AAAAA4139Z5</t>
  </si>
  <si>
    <t>27AAAAA4140Z5</t>
  </si>
  <si>
    <t>27AAAAA4141Z5</t>
  </si>
  <si>
    <t>27AAAAA4142Z5</t>
  </si>
  <si>
    <t>27AAAAA4143Z5</t>
  </si>
  <si>
    <t>27AAAAA4144Z5</t>
  </si>
  <si>
    <t>27AAAAA4145Z5</t>
  </si>
  <si>
    <t>27AAAAA4146Z5</t>
  </si>
  <si>
    <t>27AAAAA4147Z5</t>
  </si>
  <si>
    <t>27AAAAA4148Z5</t>
  </si>
  <si>
    <t>27AAAAA4149Z5</t>
  </si>
  <si>
    <t>27AAAAA4150Z5</t>
  </si>
  <si>
    <t>27AAAAA4151Z5</t>
  </si>
  <si>
    <t>27AAAAA4152Z5</t>
  </si>
  <si>
    <t>27AAAAA4153Z5</t>
  </si>
  <si>
    <t>27AAAAA4154Z5</t>
  </si>
  <si>
    <t>27AAAAA4155Z5</t>
  </si>
  <si>
    <t>27AAAAA4156Z5</t>
  </si>
  <si>
    <t>27AAAAA4157Z5</t>
  </si>
  <si>
    <t>27AAAAA4158Z5</t>
  </si>
  <si>
    <t>27AAAAA4159Z5</t>
  </si>
  <si>
    <t>27AAAAA4160Z5</t>
  </si>
  <si>
    <t>27AAAAA4161Z5</t>
  </si>
  <si>
    <t>27AAAAA4162Z5</t>
  </si>
  <si>
    <t>27AAAAA4163Z5</t>
  </si>
  <si>
    <t>27AAAAA4164Z5</t>
  </si>
  <si>
    <t>27AAAAA4165Z5</t>
  </si>
  <si>
    <t>27AAAAA4166Z5</t>
  </si>
  <si>
    <t>27AAAAA4167Z5</t>
  </si>
  <si>
    <t>27AAAAA4168Z5</t>
  </si>
  <si>
    <t>27AAAAA4169Z5</t>
  </si>
  <si>
    <t>27AAAAA4170Z5</t>
  </si>
  <si>
    <t>27AAAAA4171Z5</t>
  </si>
  <si>
    <t>27AAAAA4172Z5</t>
  </si>
  <si>
    <t>27AAAAA4173Z5</t>
  </si>
  <si>
    <t>27AAAAA4174Z5</t>
  </si>
  <si>
    <t>27AAAAA4175Z5</t>
  </si>
  <si>
    <t>27AAAAA4176Z5</t>
  </si>
  <si>
    <t>27AAAAA4177Z5</t>
  </si>
  <si>
    <t>27AAAAA4178Z5</t>
  </si>
  <si>
    <t>27AAAAA4179Z5</t>
  </si>
  <si>
    <t>27AAAAA4180Z5</t>
  </si>
  <si>
    <t>27AAAAA4181Z5</t>
  </si>
  <si>
    <t>27AAAAA4182Z5</t>
  </si>
  <si>
    <t>27AAAAA4183Z5</t>
  </si>
  <si>
    <t>27AAAAA4184Z5</t>
  </si>
  <si>
    <t>27AAAAA4185Z5</t>
  </si>
  <si>
    <t>27AAAAA4186Z5</t>
  </si>
  <si>
    <t>27AAAAA4187Z5</t>
  </si>
  <si>
    <t>27AAAAA4188Z5</t>
  </si>
  <si>
    <t>27AAAAA4189Z5</t>
  </si>
  <si>
    <t>27AAAAA4190Z5</t>
  </si>
  <si>
    <t>27AAAAA4191Z5</t>
  </si>
  <si>
    <t>27AAAAA4192Z5</t>
  </si>
  <si>
    <t>27AAAAA4193Z5</t>
  </si>
  <si>
    <t>27AAAAA4194Z5</t>
  </si>
  <si>
    <t>27AAAAA4195Z5</t>
  </si>
  <si>
    <t>27AAAAA4196Z5</t>
  </si>
  <si>
    <t>27AAAAA4197Z5</t>
  </si>
  <si>
    <t>27AAAAA4198Z5</t>
  </si>
  <si>
    <t>27AAAAA4199Z5</t>
  </si>
  <si>
    <t>27AAAAA4200Z5</t>
  </si>
  <si>
    <t>27AAAAA4201Z5</t>
  </si>
  <si>
    <t>27AAAAA4202Z5</t>
  </si>
  <si>
    <t>27AAAAA4203Z5</t>
  </si>
  <si>
    <t>27AAAAA4204Z5</t>
  </si>
  <si>
    <t>27AAAAA4205Z5</t>
  </si>
  <si>
    <t>27AAAAA4206Z5</t>
  </si>
  <si>
    <t>27AAAAA4207Z5</t>
  </si>
  <si>
    <t>27AAAAA4208Z5</t>
  </si>
  <si>
    <t>27AAAAA4209Z5</t>
  </si>
  <si>
    <t>27AAAAA4210Z5</t>
  </si>
  <si>
    <t>27AAAAA4211Z5</t>
  </si>
  <si>
    <t>27AAAAA4212Z5</t>
  </si>
  <si>
    <t>27AAAAA4213Z5</t>
  </si>
  <si>
    <t>27AAAAA4214Z5</t>
  </si>
  <si>
    <t>27AAAAA4215Z5</t>
  </si>
  <si>
    <t>27AAAAA4216Z5</t>
  </si>
  <si>
    <t>27AAAAA4217Z5</t>
  </si>
  <si>
    <t>27AAAAA4218Z5</t>
  </si>
  <si>
    <t>27AAAAA4219Z5</t>
  </si>
  <si>
    <t>27AAAAA4220Z5</t>
  </si>
  <si>
    <t>27AAAAA4221Z5</t>
  </si>
  <si>
    <t>27AAAAA4222Z5</t>
  </si>
  <si>
    <t>27AAAAA4223Z5</t>
  </si>
  <si>
    <t>27AAAAA4224Z5</t>
  </si>
  <si>
    <t>27AAAAA4225Z5</t>
  </si>
  <si>
    <t>27AAAAA4226Z5</t>
  </si>
  <si>
    <t>27AAAAA4227Z5</t>
  </si>
  <si>
    <t>27AAAAA4228Z5</t>
  </si>
  <si>
    <t>27AAAAA4229Z5</t>
  </si>
  <si>
    <t>27AAAAA4230Z5</t>
  </si>
  <si>
    <t>27AAAAA4231Z5</t>
  </si>
  <si>
    <t>27AAAAA4232Z5</t>
  </si>
  <si>
    <t>27AAAAA4233Z5</t>
  </si>
  <si>
    <t>27AAAAA4234Z5</t>
  </si>
  <si>
    <t>27AAAAA4235Z5</t>
  </si>
  <si>
    <t>27AAAAA4236Z5</t>
  </si>
  <si>
    <t>27AAAAA4237Z5</t>
  </si>
  <si>
    <t>27AAAAA4238Z5</t>
  </si>
  <si>
    <t>27AAAAA4239Z5</t>
  </si>
  <si>
    <t>27AAAAA4240Z5</t>
  </si>
  <si>
    <t>27AAAAA4241Z5</t>
  </si>
  <si>
    <t>27AAAAA4242Z5</t>
  </si>
  <si>
    <t>27AAAAA4243Z5</t>
  </si>
  <si>
    <t>27AAAAA4244Z5</t>
  </si>
  <si>
    <t>27AAAAA4245Z5</t>
  </si>
  <si>
    <t>27AAAAA4246Z5</t>
  </si>
  <si>
    <t>27AAAAA4247Z5</t>
  </si>
  <si>
    <t>27AAAAA4248Z5</t>
  </si>
  <si>
    <t>27AAAAA4249Z5</t>
  </si>
  <si>
    <t>27AAAAA4250Z5</t>
  </si>
  <si>
    <t>27AAAAA4251Z5</t>
  </si>
  <si>
    <t>27AAAAA4252Z5</t>
  </si>
  <si>
    <t>27AAAAA4253Z5</t>
  </si>
  <si>
    <t>27AAAAA4254Z5</t>
  </si>
  <si>
    <t>27AAAAA4255Z5</t>
  </si>
  <si>
    <t>27AAAAA4256Z5</t>
  </si>
  <si>
    <t>27AAAAA4257Z5</t>
  </si>
  <si>
    <t>27AAAAA4258Z5</t>
  </si>
  <si>
    <t>27AAAAA4259Z5</t>
  </si>
  <si>
    <t>27AAAAA4260Z5</t>
  </si>
  <si>
    <t>27AAAAA4261Z5</t>
  </si>
  <si>
    <t>27AAAAA4262Z5</t>
  </si>
  <si>
    <t>27AAAAA4263Z5</t>
  </si>
  <si>
    <t>27AAAAA4264Z5</t>
  </si>
  <si>
    <t>27AAAAA4265Z5</t>
  </si>
  <si>
    <t>27AAAAA4266Z5</t>
  </si>
  <si>
    <t>27AAAAA4267Z5</t>
  </si>
  <si>
    <t>27AAAAA4268Z5</t>
  </si>
  <si>
    <t>27AAAAA4269Z5</t>
  </si>
  <si>
    <t>27AAAAA4270Z5</t>
  </si>
  <si>
    <t>27AAAAA4271Z5</t>
  </si>
  <si>
    <t>27AAAAA4272Z5</t>
  </si>
  <si>
    <t>27AAAAA4273Z5</t>
  </si>
  <si>
    <t>27AAAAA4274Z5</t>
  </si>
  <si>
    <t>27AAAAA4275Z5</t>
  </si>
  <si>
    <t>27AAAAA4276Z5</t>
  </si>
  <si>
    <t>27AAAAA4277Z5</t>
  </si>
  <si>
    <t>27AAAAA4278Z5</t>
  </si>
  <si>
    <t>27AAAAA4279Z5</t>
  </si>
  <si>
    <t>27AAAAA4280Z5</t>
  </si>
  <si>
    <t>27AAAAA4281Z5</t>
  </si>
  <si>
    <t>27AAAAA4282Z5</t>
  </si>
  <si>
    <t>27AAAAA4283Z5</t>
  </si>
  <si>
    <t>27AAAAA4284Z5</t>
  </si>
  <si>
    <t>27AAAAA4285Z5</t>
  </si>
  <si>
    <t>27AAAAA4286Z5</t>
  </si>
  <si>
    <t>27AAAAA4287Z5</t>
  </si>
  <si>
    <t>27AAAAA4288Z5</t>
  </si>
  <si>
    <t>27AAAAA4289Z5</t>
  </si>
  <si>
    <t>27AAAAA4290Z5</t>
  </si>
  <si>
    <t>27AAAAA4291Z5</t>
  </si>
  <si>
    <t>27AAAAA4292Z5</t>
  </si>
  <si>
    <t>27AAAAA4293Z5</t>
  </si>
  <si>
    <t>27AAAAA4294Z5</t>
  </si>
  <si>
    <t>27AAAAA4295Z5</t>
  </si>
  <si>
    <t>27AAAAA4296Z5</t>
  </si>
  <si>
    <t>27AAAAA4297Z5</t>
  </si>
  <si>
    <t>27AAAAA4298Z5</t>
  </si>
  <si>
    <t>27AAAAA4299Z5</t>
  </si>
  <si>
    <t>27AAAAA4300Z5</t>
  </si>
  <si>
    <t>27AAAAA4301Z5</t>
  </si>
  <si>
    <t>27AAAAA4302Z5</t>
  </si>
  <si>
    <t>27AAAAA4303Z5</t>
  </si>
  <si>
    <t>27AAAAA4304Z5</t>
  </si>
  <si>
    <t>27AAAAA4305Z5</t>
  </si>
  <si>
    <t>27AAAAA4306Z5</t>
  </si>
  <si>
    <t>27AAAAA4307Z5</t>
  </si>
  <si>
    <t>27AAAAA4308Z5</t>
  </si>
  <si>
    <t>27AAAAA4309Z5</t>
  </si>
  <si>
    <t>27AAAAA4310Z5</t>
  </si>
  <si>
    <t>27AAAAA4311Z5</t>
  </si>
  <si>
    <t>27AAAAA4312Z5</t>
  </si>
  <si>
    <t>27AAAAA4313Z5</t>
  </si>
  <si>
    <t>27AAAAA4314Z5</t>
  </si>
  <si>
    <t>27AAAAA4315Z5</t>
  </si>
  <si>
    <t>27AAAAA4316Z5</t>
  </si>
  <si>
    <t>27AAAAA4317Z5</t>
  </si>
  <si>
    <t>27AAAAA4318Z5</t>
  </si>
  <si>
    <t>27AAAAA4319Z5</t>
  </si>
  <si>
    <t>27AAAAA4320Z5</t>
  </si>
  <si>
    <t>27AAAAA4321Z5</t>
  </si>
  <si>
    <t>27AAAAA4322Z5</t>
  </si>
  <si>
    <t>27AAAAA4323Z5</t>
  </si>
  <si>
    <t>27AAAAA4324Z5</t>
  </si>
  <si>
    <t>27AAAAA4325Z5</t>
  </si>
  <si>
    <t>27AAAAA4326Z5</t>
  </si>
  <si>
    <t>27AAAAA4327Z5</t>
  </si>
  <si>
    <t>27AAAAA4328Z5</t>
  </si>
  <si>
    <t>27AAAAA4329Z5</t>
  </si>
  <si>
    <t>27AAAAA4330Z5</t>
  </si>
  <si>
    <t>27AAAAA4331Z5</t>
  </si>
  <si>
    <t>27AAAAA4332Z5</t>
  </si>
  <si>
    <t>27AAAAA4333Z5</t>
  </si>
  <si>
    <t>27AAAAA4334Z5</t>
  </si>
  <si>
    <t>27AAAAA4335Z5</t>
  </si>
  <si>
    <t>27AAAAA4336Z5</t>
  </si>
  <si>
    <t>27AAAAA4337Z5</t>
  </si>
  <si>
    <t>27AAAAA4338Z5</t>
  </si>
  <si>
    <t>27AAAAA4339Z5</t>
  </si>
  <si>
    <t>27AAAAA4340Z5</t>
  </si>
  <si>
    <t>27AAAAA4341Z5</t>
  </si>
  <si>
    <t>27AAAAA4342Z5</t>
  </si>
  <si>
    <t>27AAAAA4343Z5</t>
  </si>
  <si>
    <t>27AAAAA4344Z5</t>
  </si>
  <si>
    <t>27AAAAA4345Z5</t>
  </si>
  <si>
    <t>27AAAAA4346Z5</t>
  </si>
  <si>
    <t>27AAAAA4347Z5</t>
  </si>
  <si>
    <t>27AAAAA4348Z5</t>
  </si>
  <si>
    <t>27AAAAA4349Z5</t>
  </si>
  <si>
    <t>27AAAAA4350Z5</t>
  </si>
  <si>
    <t>27AAAAA4351Z5</t>
  </si>
  <si>
    <t>27AAAAA4352Z5</t>
  </si>
  <si>
    <t>27AAAAA4353Z5</t>
  </si>
  <si>
    <t>27AAAAA4354Z5</t>
  </si>
  <si>
    <t>27AAAAA4355Z5</t>
  </si>
  <si>
    <t>27AAAAA4356Z5</t>
  </si>
  <si>
    <t>27AAAAA4357Z5</t>
  </si>
  <si>
    <t>27AAAAA4358Z5</t>
  </si>
  <si>
    <t>27AAAAA4359Z5</t>
  </si>
  <si>
    <t>27AAAAA4360Z5</t>
  </si>
  <si>
    <t>27AAAAA4361Z5</t>
  </si>
  <si>
    <t>27AAAAA4362Z5</t>
  </si>
  <si>
    <t>27AAAAA4363Z5</t>
  </si>
  <si>
    <t>27AAAAA4364Z5</t>
  </si>
  <si>
    <t>27AAAAA4365Z5</t>
  </si>
  <si>
    <t>27AAAAA4366Z5</t>
  </si>
  <si>
    <t>27AAAAA4367Z5</t>
  </si>
  <si>
    <t>27AAAAA4368Z5</t>
  </si>
  <si>
    <t>27AAAAA4369Z5</t>
  </si>
  <si>
    <t>27AAAAA4370Z5</t>
  </si>
  <si>
    <t>27AAAAA4371Z5</t>
  </si>
  <si>
    <t>27AAAAA4372Z5</t>
  </si>
  <si>
    <t>27AAAAA4373Z5</t>
  </si>
  <si>
    <t>27AAAAA4374Z5</t>
  </si>
  <si>
    <t>27AAAAA4375Z5</t>
  </si>
  <si>
    <t>27AAAAA4376Z5</t>
  </si>
  <si>
    <t>27AAAAA4377Z5</t>
  </si>
  <si>
    <t>27AAAAA4378Z5</t>
  </si>
  <si>
    <t>27AAAAA4379Z5</t>
  </si>
  <si>
    <t>27AAAAA4380Z5</t>
  </si>
  <si>
    <t>27AAAAA4381Z5</t>
  </si>
  <si>
    <t>27AAAAA4382Z5</t>
  </si>
  <si>
    <t>27AAAAA4383Z5</t>
  </si>
  <si>
    <t>27AAAAA4384Z5</t>
  </si>
  <si>
    <t>27AAAAA4385Z5</t>
  </si>
  <si>
    <t>27AAAAA4386Z5</t>
  </si>
  <si>
    <t>27AAAAA4387Z5</t>
  </si>
  <si>
    <t>27AAAAA4388Z5</t>
  </si>
  <si>
    <t>27AAAAA4389Z5</t>
  </si>
  <si>
    <t>27AAAAA4390Z5</t>
  </si>
  <si>
    <t>27AAAAA4391Z5</t>
  </si>
  <si>
    <t>27AAAAA4392Z5</t>
  </si>
  <si>
    <t>27AAAAA4393Z5</t>
  </si>
  <si>
    <t>27AAAAA4394Z5</t>
  </si>
  <si>
    <t>27AAAAA4395Z5</t>
  </si>
  <si>
    <t>27AAAAA4396Z5</t>
  </si>
  <si>
    <t>27AAAAA4397Z5</t>
  </si>
  <si>
    <t>27AAAAA4398Z5</t>
  </si>
  <si>
    <t>27AAAAA4399Z5</t>
  </si>
  <si>
    <t>27AAAAA4400Z5</t>
  </si>
  <si>
    <t>27AAAAA4401Z5</t>
  </si>
  <si>
    <t>27AAAAA4402Z5</t>
  </si>
  <si>
    <t>27AAAAA4403Z5</t>
  </si>
  <si>
    <t>27AAAAA4404Z5</t>
  </si>
  <si>
    <t>27AAAAA4405Z5</t>
  </si>
  <si>
    <t>27AAAAA4406Z5</t>
  </si>
  <si>
    <t>27AAAAA4407Z5</t>
  </si>
  <si>
    <t>27AAAAA4408Z5</t>
  </si>
  <si>
    <t>27AAAAA4409Z5</t>
  </si>
  <si>
    <t>27AAAAA4410Z5</t>
  </si>
  <si>
    <t>27AAAAA4411Z5</t>
  </si>
  <si>
    <t>27AAAAA4412Z5</t>
  </si>
  <si>
    <t>27AAAAA4413Z5</t>
  </si>
  <si>
    <t>27AAAAA4414Z5</t>
  </si>
  <si>
    <t>27AAAAA4415Z5</t>
  </si>
  <si>
    <t>27AAAAA4416Z5</t>
  </si>
  <si>
    <t>27AAAAA4417Z5</t>
  </si>
  <si>
    <t>27AAAAA4418Z5</t>
  </si>
  <si>
    <t>27AAAAA4419Z5</t>
  </si>
  <si>
    <t>27AAAAA4420Z5</t>
  </si>
  <si>
    <t>27AAAAA4421Z5</t>
  </si>
  <si>
    <t>27AAAAA4422Z5</t>
  </si>
  <si>
    <t>27AAAAA4423Z5</t>
  </si>
  <si>
    <t>27AAAAA4424Z5</t>
  </si>
  <si>
    <t>27AAAAA4425Z5</t>
  </si>
  <si>
    <t>27AAAAA4426Z5</t>
  </si>
  <si>
    <t>27AAAAA4427Z5</t>
  </si>
  <si>
    <t>27AAAAA4428Z5</t>
  </si>
  <si>
    <t>27AAAAA4429Z5</t>
  </si>
  <si>
    <t>27AAAAA4430Z5</t>
  </si>
  <si>
    <t>27AAAAA4431Z5</t>
  </si>
  <si>
    <t>27AAAAA4432Z5</t>
  </si>
  <si>
    <t>27AAAAA4433Z5</t>
  </si>
  <si>
    <t>27AAAAA4434Z5</t>
  </si>
  <si>
    <t>27AAAAA4435Z5</t>
  </si>
  <si>
    <t>27AAAAA4436Z5</t>
  </si>
  <si>
    <t>27AAAAA4437Z5</t>
  </si>
  <si>
    <t>27AAAAA4438Z5</t>
  </si>
  <si>
    <t>27AAAAA4439Z5</t>
  </si>
  <si>
    <t>27AAAAA4440Z5</t>
  </si>
  <si>
    <t>27AAAAA4441Z5</t>
  </si>
  <si>
    <t>27AAAAA4442Z5</t>
  </si>
  <si>
    <t>27AAAAA4443Z5</t>
  </si>
  <si>
    <t>27AAAAA4444Z5</t>
  </si>
  <si>
    <t>27AAAAA4445Z5</t>
  </si>
  <si>
    <t>27AAAAA4446Z5</t>
  </si>
  <si>
    <t>27AAAAA4447Z5</t>
  </si>
  <si>
    <t>27AAAAA4448Z5</t>
  </si>
  <si>
    <t>27AAAAA4449Z5</t>
  </si>
  <si>
    <t>27AAAAA4450Z5</t>
  </si>
  <si>
    <t>27AAAAA4451Z5</t>
  </si>
  <si>
    <t>27AAAAA4452Z5</t>
  </si>
  <si>
    <t>27AAAAA4453Z5</t>
  </si>
  <si>
    <t>27AAAAA4454Z5</t>
  </si>
  <si>
    <t>27AAAAA4455Z5</t>
  </si>
  <si>
    <t>27AAAAA4456Z5</t>
  </si>
  <si>
    <t>27AAAAA4457Z5</t>
  </si>
  <si>
    <t>27AAAAA4458Z5</t>
  </si>
  <si>
    <t>27AAAAA4459Z5</t>
  </si>
  <si>
    <t>27AAAAA4460Z5</t>
  </si>
  <si>
    <t>27AAAAA4461Z5</t>
  </si>
  <si>
    <t>27AAAAA4462Z5</t>
  </si>
  <si>
    <t>27AAAAA4463Z5</t>
  </si>
  <si>
    <t>27AAAAA4464Z5</t>
  </si>
  <si>
    <t>27AAAAA4465Z5</t>
  </si>
  <si>
    <t>27AAAAA4466Z5</t>
  </si>
  <si>
    <t>27AAAAA4467Z5</t>
  </si>
  <si>
    <t>27AAAAA4468Z5</t>
  </si>
  <si>
    <t>27AAAAA4469Z5</t>
  </si>
  <si>
    <t>27AAAAA4470Z5</t>
  </si>
  <si>
    <t>27AAAAA4471Z5</t>
  </si>
  <si>
    <t>27AAAAA4472Z5</t>
  </si>
  <si>
    <t>27AAAAA4473Z5</t>
  </si>
  <si>
    <t>27AAAAA4474Z5</t>
  </si>
  <si>
    <t>27AAAAA4475Z5</t>
  </si>
  <si>
    <t>27AAAAA4476Z5</t>
  </si>
  <si>
    <t>27AAAAA4477Z5</t>
  </si>
  <si>
    <t>27AAAAA4478Z5</t>
  </si>
  <si>
    <t>27AAAAA4479Z5</t>
  </si>
  <si>
    <t>27AAAAA4480Z5</t>
  </si>
  <si>
    <t>27AAAAA4481Z5</t>
  </si>
  <si>
    <t>27AAAAA4482Z5</t>
  </si>
  <si>
    <t>27AAAAA4483Z5</t>
  </si>
  <si>
    <t>27AAAAA4484Z5</t>
  </si>
  <si>
    <t>27AAAAA4485Z5</t>
  </si>
  <si>
    <t>27AAAAA4486Z5</t>
  </si>
  <si>
    <t>27AAAAA4487Z5</t>
  </si>
  <si>
    <t>27AAAAA4488Z5</t>
  </si>
  <si>
    <t>27AAAAA4489Z5</t>
  </si>
  <si>
    <t>27AAAAA4490Z5</t>
  </si>
  <si>
    <t>27AAAAA4491Z5</t>
  </si>
  <si>
    <t>27AAAAA4492Z5</t>
  </si>
  <si>
    <t>27AAAAA4493Z5</t>
  </si>
  <si>
    <t>27AAAAA4494Z5</t>
  </si>
  <si>
    <t>27AAAAA4495Z5</t>
  </si>
  <si>
    <t>27AAAAA4496Z5</t>
  </si>
  <si>
    <t>27AAAAA4497Z5</t>
  </si>
  <si>
    <t>27AAAAA4498Z5</t>
  </si>
  <si>
    <t>27AAAAA4499Z5</t>
  </si>
  <si>
    <t>27AAAAA4500Z5</t>
  </si>
  <si>
    <t>27AAAAA4501Z5</t>
  </si>
  <si>
    <t>27AAAAA4502Z5</t>
  </si>
  <si>
    <t>27AAAAA4503Z5</t>
  </si>
  <si>
    <t>27AAAAA4504Z5</t>
  </si>
  <si>
    <t>27AAAAA4505Z5</t>
  </si>
  <si>
    <t>27AAAAA4506Z5</t>
  </si>
  <si>
    <t>27AAAAA4507Z5</t>
  </si>
  <si>
    <t>27AAAAA4508Z5</t>
  </si>
  <si>
    <t>27AAAAA4509Z5</t>
  </si>
  <si>
    <t>27AAAAA4510Z5</t>
  </si>
  <si>
    <t>27AAAAA4511Z5</t>
  </si>
  <si>
    <t>27AAAAA4512Z5</t>
  </si>
  <si>
    <t>27AAAAA4513Z5</t>
  </si>
  <si>
    <t>27AAAAA4514Z5</t>
  </si>
  <si>
    <t>27AAAAA4515Z5</t>
  </si>
  <si>
    <t>27AAAAA4516Z5</t>
  </si>
  <si>
    <t>27AAAAA4517Z5</t>
  </si>
  <si>
    <t>27AAAAA4518Z5</t>
  </si>
  <si>
    <t>27AAAAA4519Z5</t>
  </si>
  <si>
    <t>27AAAAA4520Z5</t>
  </si>
  <si>
    <t>27AAAAA4521Z5</t>
  </si>
  <si>
    <t>27AAAAA4522Z5</t>
  </si>
  <si>
    <t>27AAAAA4523Z5</t>
  </si>
  <si>
    <t>27AAAAA4524Z5</t>
  </si>
  <si>
    <t>27AAAAA4525Z5</t>
  </si>
  <si>
    <t>27AAAAA4526Z5</t>
  </si>
  <si>
    <t>27AAAAA4527Z5</t>
  </si>
  <si>
    <t>27AAAAA4528Z5</t>
  </si>
  <si>
    <t>27AAAAA4529Z5</t>
  </si>
  <si>
    <t>27AAAAA4530Z5</t>
  </si>
  <si>
    <t>27AAAAA4531Z5</t>
  </si>
  <si>
    <t>27AAAAA4532Z5</t>
  </si>
  <si>
    <t>27AAAAA4533Z5</t>
  </si>
  <si>
    <t>27AAAAA4534Z5</t>
  </si>
  <si>
    <t>27AAAAA4535Z5</t>
  </si>
  <si>
    <t>27AAAAA4536Z5</t>
  </si>
  <si>
    <t>27AAAAA4537Z5</t>
  </si>
  <si>
    <t>27AAAAA4538Z5</t>
  </si>
  <si>
    <t>27AAAAA4539Z5</t>
  </si>
  <si>
    <t>27AAAAA4540Z5</t>
  </si>
  <si>
    <t>27AAAAA4541Z5</t>
  </si>
  <si>
    <t>27AAAAA4542Z5</t>
  </si>
  <si>
    <t>27AAAAA4543Z5</t>
  </si>
  <si>
    <t>27AAAAA4544Z5</t>
  </si>
  <si>
    <t>27AAAAA4545Z5</t>
  </si>
  <si>
    <t>27AAAAA4546Z5</t>
  </si>
  <si>
    <t>27AAAAA4547Z5</t>
  </si>
  <si>
    <t>27AAAAA4548Z5</t>
  </si>
  <si>
    <t>27AAAAA4549Z5</t>
  </si>
  <si>
    <t>27AAAAA4550Z5</t>
  </si>
  <si>
    <t>27AAAAA4551Z5</t>
  </si>
  <si>
    <t>27AAAAA4552Z5</t>
  </si>
  <si>
    <t>27AAAAA4553Z5</t>
  </si>
  <si>
    <t>27AAAAA4554Z5</t>
  </si>
  <si>
    <t>27AAAAA4555Z5</t>
  </si>
  <si>
    <t>27AAAAA4556Z5</t>
  </si>
  <si>
    <t>27AAAAA4557Z5</t>
  </si>
  <si>
    <t>27AAAAA4558Z5</t>
  </si>
  <si>
    <t>27AAAAA4559Z5</t>
  </si>
  <si>
    <t>27AAAAA4560Z5</t>
  </si>
  <si>
    <t>27AAAAA4561Z5</t>
  </si>
  <si>
    <t>27AAAAA4562Z5</t>
  </si>
  <si>
    <t>27AAAAA4563Z5</t>
  </si>
  <si>
    <t>27AAAAA4564Z5</t>
  </si>
  <si>
    <t>27AAAAA4565Z5</t>
  </si>
  <si>
    <t>27AAAAA4566Z5</t>
  </si>
  <si>
    <t>27AAAAA4567Z5</t>
  </si>
  <si>
    <t>27AAAAA4568Z5</t>
  </si>
  <si>
    <t>27AAAAA4569Z5</t>
  </si>
  <si>
    <t>27AAAAA4570Z5</t>
  </si>
  <si>
    <t>27AAAAA4571Z5</t>
  </si>
  <si>
    <t>27AAAAA4572Z5</t>
  </si>
  <si>
    <t>27AAAAA4573Z5</t>
  </si>
  <si>
    <t>27AAAAA4574Z5</t>
  </si>
  <si>
    <t>27AAAAA4575Z5</t>
  </si>
  <si>
    <t>27AAAAA4576Z5</t>
  </si>
  <si>
    <t>27AAAAA4577Z5</t>
  </si>
  <si>
    <t>27AAAAA4578Z5</t>
  </si>
  <si>
    <t>27AAAAA4579Z5</t>
  </si>
  <si>
    <t>27AAAAA4580Z5</t>
  </si>
  <si>
    <t>27AAAAA4581Z5</t>
  </si>
  <si>
    <t>27AAAAA4582Z5</t>
  </si>
  <si>
    <t>27AAAAA4583Z5</t>
  </si>
  <si>
    <t>27AAAAA4584Z5</t>
  </si>
  <si>
    <t>27AAAAA4585Z5</t>
  </si>
  <si>
    <t>27AAAAA4586Z5</t>
  </si>
  <si>
    <t>27AAAAA4587Z5</t>
  </si>
  <si>
    <t>27AAAAA4588Z5</t>
  </si>
  <si>
    <t>27AAAAA4589Z5</t>
  </si>
  <si>
    <t>27AAAAA4590Z5</t>
  </si>
  <si>
    <t>27AAAAA4591Z5</t>
  </si>
  <si>
    <t>27AAAAA4592Z5</t>
  </si>
  <si>
    <t>27AAAAA4593Z5</t>
  </si>
  <si>
    <t>27AAAAA4594Z5</t>
  </si>
  <si>
    <t>27AAAAA4595Z5</t>
  </si>
  <si>
    <t>27AAAAA4596Z5</t>
  </si>
  <si>
    <t>27AAAAA4597Z5</t>
  </si>
  <si>
    <t>27AAAAA4598Z5</t>
  </si>
  <si>
    <t>27AAAAA4599Z5</t>
  </si>
  <si>
    <t>27AAAAA4600Z5</t>
  </si>
  <si>
    <t>27AAAAA4601Z5</t>
  </si>
  <si>
    <t>27AAAAA4602Z5</t>
  </si>
  <si>
    <t>27AAAAA4603Z5</t>
  </si>
  <si>
    <t>27AAAAA4604Z5</t>
  </si>
  <si>
    <t>27AAAAA4605Z5</t>
  </si>
  <si>
    <t>27AAAAA4606Z5</t>
  </si>
  <si>
    <t>27AAAAA4607Z5</t>
  </si>
  <si>
    <t>27AAAAA4608Z5</t>
  </si>
  <si>
    <t>27AAAAA4609Z5</t>
  </si>
  <si>
    <t>27AAAAA4610Z5</t>
  </si>
  <si>
    <t>27AAAAA4611Z5</t>
  </si>
  <si>
    <t>27AAAAA4612Z5</t>
  </si>
  <si>
    <t>27AAAAA4613Z5</t>
  </si>
  <si>
    <t>27AAAAA4614Z5</t>
  </si>
  <si>
    <t>27AAAAA4615Z5</t>
  </si>
  <si>
    <t>27AAAAA4616Z5</t>
  </si>
  <si>
    <t>27AAAAA4617Z5</t>
  </si>
  <si>
    <t>27AAAAA4618Z5</t>
  </si>
  <si>
    <t>27AAAAA4619Z5</t>
  </si>
  <si>
    <t>27AAAAA4620Z5</t>
  </si>
  <si>
    <t>27AAAAA4621Z5</t>
  </si>
  <si>
    <t>27AAAAA4622Z5</t>
  </si>
  <si>
    <t>27AAAAA4623Z5</t>
  </si>
  <si>
    <t>27AAAAA4624Z5</t>
  </si>
  <si>
    <t>27AAAAA4625Z5</t>
  </si>
  <si>
    <t>27AAAAA4626Z5</t>
  </si>
  <si>
    <t>27AAAAA4627Z5</t>
  </si>
  <si>
    <t>27AAAAA4628Z5</t>
  </si>
  <si>
    <t>27AAAAA4629Z5</t>
  </si>
  <si>
    <t>27AAAAA4630Z5</t>
  </si>
  <si>
    <t>27AAAAA4631Z5</t>
  </si>
  <si>
    <t>27AAAAA4632Z5</t>
  </si>
  <si>
    <t>27AAAAA4633Z5</t>
  </si>
  <si>
    <t>27AAAAA4634Z5</t>
  </si>
  <si>
    <t>27AAAAA4635Z5</t>
  </si>
  <si>
    <t>27AAAAA4636Z5</t>
  </si>
  <si>
    <t>27AAAAA4637Z5</t>
  </si>
  <si>
    <t>27AAAAA4638Z5</t>
  </si>
  <si>
    <t>27AAAAA4639Z5</t>
  </si>
  <si>
    <t>27AAAAA4640Z5</t>
  </si>
  <si>
    <t>27AAAAA4641Z5</t>
  </si>
  <si>
    <t>27AAAAA4642Z5</t>
  </si>
  <si>
    <t>27AAAAA4643Z5</t>
  </si>
  <si>
    <t>27AAAAA4644Z5</t>
  </si>
  <si>
    <t>27AAAAA4645Z5</t>
  </si>
  <si>
    <t>27AAAAA4646Z5</t>
  </si>
  <si>
    <t>27AAAAA4647Z5</t>
  </si>
  <si>
    <t>27AAAAA4648Z5</t>
  </si>
  <si>
    <t>27AAAAA4649Z5</t>
  </si>
  <si>
    <t>27AAAAA4650Z5</t>
  </si>
  <si>
    <t>27AAAAA4651Z5</t>
  </si>
  <si>
    <t>27AAAAA4652Z5</t>
  </si>
  <si>
    <t>27AAAAA4653Z5</t>
  </si>
  <si>
    <t>27AAAAA4654Z5</t>
  </si>
  <si>
    <t>27AAAAA4655Z5</t>
  </si>
  <si>
    <t>27AAAAA4656Z5</t>
  </si>
  <si>
    <t>27AAAAA4657Z5</t>
  </si>
  <si>
    <t>27AAAAA4658Z5</t>
  </si>
  <si>
    <t>27AAAAA4659Z5</t>
  </si>
  <si>
    <t>27AAAAA4660Z5</t>
  </si>
  <si>
    <t>27AAAAA4661Z5</t>
  </si>
  <si>
    <t>27AAAAA4662Z5</t>
  </si>
  <si>
    <t>27AAAAA4663Z5</t>
  </si>
  <si>
    <t>27AAAAA4664Z5</t>
  </si>
  <si>
    <t>27AAAAA4665Z5</t>
  </si>
  <si>
    <t>27AAAAA4666Z5</t>
  </si>
  <si>
    <t>27AAAAA4667Z5</t>
  </si>
  <si>
    <t>27AAAAA4668Z5</t>
  </si>
  <si>
    <t>27AAAAA4669Z5</t>
  </si>
  <si>
    <t>27AAAAA4670Z5</t>
  </si>
  <si>
    <t>27AAAAA4671Z5</t>
  </si>
  <si>
    <t>27AAAAA4672Z5</t>
  </si>
  <si>
    <t>27AAAAA4673Z5</t>
  </si>
  <si>
    <t>27AAAAA4674Z5</t>
  </si>
  <si>
    <t>27AAAAA4675Z5</t>
  </si>
  <si>
    <t>27AAAAA4676Z5</t>
  </si>
  <si>
    <t>27AAAAA4677Z5</t>
  </si>
  <si>
    <t>27AAAAA4678Z5</t>
  </si>
  <si>
    <t>27AAAAA4679Z5</t>
  </si>
  <si>
    <t>27AAAAA4680Z5</t>
  </si>
  <si>
    <t>27AAAAA4681Z5</t>
  </si>
  <si>
    <t>27AAAAA4682Z5</t>
  </si>
  <si>
    <t>27AAAAA4683Z5</t>
  </si>
  <si>
    <t>27AAAAA4684Z5</t>
  </si>
  <si>
    <t>27AAAAA4685Z5</t>
  </si>
  <si>
    <t>27AAAAA4686Z5</t>
  </si>
  <si>
    <t>27AAAAA4687Z5</t>
  </si>
  <si>
    <t>27AAAAA4688Z5</t>
  </si>
  <si>
    <t>27AAAAA4689Z5</t>
  </si>
  <si>
    <t>27AAAAA4690Z5</t>
  </si>
  <si>
    <t>27AAAAA4691Z5</t>
  </si>
  <si>
    <t>27AAAAA4692Z5</t>
  </si>
  <si>
    <t>27AAAAA4693Z5</t>
  </si>
  <si>
    <t>27AAAAA4694Z5</t>
  </si>
  <si>
    <t>27AAAAA4695Z5</t>
  </si>
  <si>
    <t>27AAAAA4696Z5</t>
  </si>
  <si>
    <t>27AAAAA4697Z5</t>
  </si>
  <si>
    <t>27AAAAA4698Z5</t>
  </si>
  <si>
    <t>27AAAAA4699Z5</t>
  </si>
  <si>
    <t>27AAAAA4700Z5</t>
  </si>
  <si>
    <t>27AAAAA4701Z5</t>
  </si>
  <si>
    <t>27AAAAA4702Z5</t>
  </si>
  <si>
    <t>27AAAAA4703Z5</t>
  </si>
  <si>
    <t>27AAAAA4704Z5</t>
  </si>
  <si>
    <t>27AAAAA4705Z5</t>
  </si>
  <si>
    <t>27AAAAA4706Z5</t>
  </si>
  <si>
    <t>27AAAAA4707Z5</t>
  </si>
  <si>
    <t>27AAAAA4708Z5</t>
  </si>
  <si>
    <t>27AAAAA4709Z5</t>
  </si>
  <si>
    <t>27AAAAA4710Z5</t>
  </si>
  <si>
    <t>27AAAAA4711Z5</t>
  </si>
  <si>
    <t>27AAAAA4712Z5</t>
  </si>
  <si>
    <t>27AAAAA4713Z5</t>
  </si>
  <si>
    <t>27AAAAA4714Z5</t>
  </si>
  <si>
    <t>27AAAAA4715Z5</t>
  </si>
  <si>
    <t>27AAAAA4716Z5</t>
  </si>
  <si>
    <t>27AAAAA4717Z5</t>
  </si>
  <si>
    <t>27AAAAA4718Z5</t>
  </si>
  <si>
    <t>27AAAAA4719Z5</t>
  </si>
  <si>
    <t>27AAAAA4720Z5</t>
  </si>
  <si>
    <t>27AAAAA4721Z5</t>
  </si>
  <si>
    <t>27AAAAA4722Z5</t>
  </si>
  <si>
    <t>27AAAAA4723Z5</t>
  </si>
  <si>
    <t>27AAAAA4724Z5</t>
  </si>
  <si>
    <t>27AAAAA4725Z5</t>
  </si>
  <si>
    <t>27AAAAA4726Z5</t>
  </si>
  <si>
    <t>27AAAAA4727Z5</t>
  </si>
  <si>
    <t>27AAAAA4728Z5</t>
  </si>
  <si>
    <t>27AAAAA4729Z5</t>
  </si>
  <si>
    <t>27AAAAA4730Z5</t>
  </si>
  <si>
    <t>27AAAAA4731Z5</t>
  </si>
  <si>
    <t>27AAAAA4732Z5</t>
  </si>
  <si>
    <t>27AAAAA4733Z5</t>
  </si>
  <si>
    <t>27AAAAA4734Z5</t>
  </si>
  <si>
    <t>27AAAAA4735Z5</t>
  </si>
  <si>
    <t>27AAAAA4736Z5</t>
  </si>
  <si>
    <t>27AAAAA4737Z5</t>
  </si>
  <si>
    <t>27AAAAA4738Z5</t>
  </si>
  <si>
    <t>27AAAAA4739Z5</t>
  </si>
  <si>
    <t>27AAAAA4740Z5</t>
  </si>
  <si>
    <t>27AAAAA4741Z5</t>
  </si>
  <si>
    <t>27AAAAA4742Z5</t>
  </si>
  <si>
    <t>27AAAAA4743Z5</t>
  </si>
  <si>
    <t>27AAAAA4744Z5</t>
  </si>
  <si>
    <t>27AAAAA4745Z5</t>
  </si>
  <si>
    <t>27AAAAA4746Z5</t>
  </si>
  <si>
    <t>27AAAAA4747Z5</t>
  </si>
  <si>
    <t>27AAAAA4748Z5</t>
  </si>
  <si>
    <t>27AAAAA4749Z5</t>
  </si>
  <si>
    <t>27AAAAA4750Z5</t>
  </si>
  <si>
    <t>27AAAAA4751Z5</t>
  </si>
  <si>
    <t>27AAAAA4752Z5</t>
  </si>
  <si>
    <t>27AAAAA4753Z5</t>
  </si>
  <si>
    <t>27AAAAA4754Z5</t>
  </si>
  <si>
    <t>27AAAAA4755Z5</t>
  </si>
  <si>
    <t>27AAAAA4756Z5</t>
  </si>
  <si>
    <t>27AAAAA4757Z5</t>
  </si>
  <si>
    <t>27AAAAA4758Z5</t>
  </si>
  <si>
    <t>27AAAAA4759Z5</t>
  </si>
  <si>
    <t>27AAAAA4760Z5</t>
  </si>
  <si>
    <t>27AAAAA4761Z5</t>
  </si>
  <si>
    <t>27AAAAA4762Z5</t>
  </si>
  <si>
    <t>27AAAAA4763Z5</t>
  </si>
  <si>
    <t>27AAAAA4764Z5</t>
  </si>
  <si>
    <t>27AAAAA4765Z5</t>
  </si>
  <si>
    <t>27AAAAA4766Z5</t>
  </si>
  <si>
    <t>27AAAAA4767Z5</t>
  </si>
  <si>
    <t>27AAAAA4768Z5</t>
  </si>
  <si>
    <t>27AAAAA4769Z5</t>
  </si>
  <si>
    <t>27AAAAA4770Z5</t>
  </si>
  <si>
    <t>27AAAAA4771Z5</t>
  </si>
  <si>
    <t>27AAAAA4772Z5</t>
  </si>
  <si>
    <t>27AAAAA4773Z5</t>
  </si>
  <si>
    <t>27AAAAA4774Z5</t>
  </si>
  <si>
    <t>27AAAAA4775Z5</t>
  </si>
  <si>
    <t>27AAAAA4776Z5</t>
  </si>
  <si>
    <t>27AAAAA4777Z5</t>
  </si>
  <si>
    <t>27AAAAA4778Z5</t>
  </si>
  <si>
    <t>27AAAAA4779Z5</t>
  </si>
  <si>
    <t>27AAAAA4780Z5</t>
  </si>
  <si>
    <t>27AAAAA4781Z5</t>
  </si>
  <si>
    <t>27AAAAA4782Z5</t>
  </si>
  <si>
    <t>27AAAAA4783Z5</t>
  </si>
  <si>
    <t>27AAAAA4784Z5</t>
  </si>
  <si>
    <t>27AAAAA4785Z5</t>
  </si>
  <si>
    <t>27AAAAA4786Z5</t>
  </si>
  <si>
    <t>27AAAAA4787Z5</t>
  </si>
  <si>
    <t>27AAAAA4788Z5</t>
  </si>
  <si>
    <t>27AAAAA4789Z5</t>
  </si>
  <si>
    <t>27AAAAA4790Z5</t>
  </si>
  <si>
    <t>27AAAAA4791Z5</t>
  </si>
  <si>
    <t>27AAAAA4792Z5</t>
  </si>
  <si>
    <t>27AAAAA4793Z5</t>
  </si>
  <si>
    <t>27AAAAA4794Z5</t>
  </si>
  <si>
    <t>27AAAAA4795Z5</t>
  </si>
  <si>
    <t>27AAAAA4796Z5</t>
  </si>
  <si>
    <t>27AAAAA4797Z5</t>
  </si>
  <si>
    <t>27AAAAA4798Z5</t>
  </si>
  <si>
    <t>27AAAAA4799Z5</t>
  </si>
  <si>
    <t>27AAAAA4800Z5</t>
  </si>
  <si>
    <t>27AAAAA4801Z5</t>
  </si>
  <si>
    <t>27AAAAA4802Z5</t>
  </si>
  <si>
    <t>27AAAAA4803Z5</t>
  </si>
  <si>
    <t>27AAAAA4804Z5</t>
  </si>
  <si>
    <t>27AAAAA4805Z5</t>
  </si>
  <si>
    <t>27AAAAA4806Z5</t>
  </si>
  <si>
    <t>27AAAAA4807Z5</t>
  </si>
  <si>
    <t>27AAAAA4808Z5</t>
  </si>
  <si>
    <t>27AAAAA4809Z5</t>
  </si>
  <si>
    <t>27AAAAA4810Z5</t>
  </si>
  <si>
    <t>27AAAAA4811Z5</t>
  </si>
  <si>
    <t>27AAAAA4812Z5</t>
  </si>
  <si>
    <t>27AAAAA4813Z5</t>
  </si>
  <si>
    <t>27AAAAA4814Z5</t>
  </si>
  <si>
    <t>27AAAAA4815Z5</t>
  </si>
  <si>
    <t>27AAAAA4816Z5</t>
  </si>
  <si>
    <t>27AAAAA4817Z5</t>
  </si>
  <si>
    <t>27AAAAA4818Z5</t>
  </si>
  <si>
    <t>27AAAAA4819Z5</t>
  </si>
  <si>
    <t>27AAAAA4820Z5</t>
  </si>
  <si>
    <t>27AAAAA4821Z5</t>
  </si>
  <si>
    <t>27AAAAA4822Z5</t>
  </si>
  <si>
    <t>27AAAAA4823Z5</t>
  </si>
  <si>
    <t>27AAAAA4824Z5</t>
  </si>
  <si>
    <t>27AAAAA4825Z5</t>
  </si>
  <si>
    <t>27AAAAA4826Z5</t>
  </si>
  <si>
    <t>27AAAAA4827Z5</t>
  </si>
  <si>
    <t>27AAAAA4828Z5</t>
  </si>
  <si>
    <t>27AAAAA4829Z5</t>
  </si>
  <si>
    <t>27AAAAA4830Z5</t>
  </si>
  <si>
    <t>27AAAAA4831Z5</t>
  </si>
  <si>
    <t>27AAAAA4832Z5</t>
  </si>
  <si>
    <t>27AAAAA4833Z5</t>
  </si>
  <si>
    <t>27AAAAA4834Z5</t>
  </si>
  <si>
    <t>27AAAAA4835Z5</t>
  </si>
  <si>
    <t>27AAAAA4836Z5</t>
  </si>
  <si>
    <t>27AAAAA4837Z5</t>
  </si>
  <si>
    <t>27AAAAA4838Z5</t>
  </si>
  <si>
    <t>27AAAAA4839Z5</t>
  </si>
  <si>
    <t>27AAAAA4840Z5</t>
  </si>
  <si>
    <t>27AAAAA4841Z5</t>
  </si>
  <si>
    <t>27AAAAA4842Z5</t>
  </si>
  <si>
    <t>27AAAAA4843Z5</t>
  </si>
  <si>
    <t>27AAAAA4844Z5</t>
  </si>
  <si>
    <t>27AAAAA4845Z5</t>
  </si>
  <si>
    <t>27AAAAA4846Z5</t>
  </si>
  <si>
    <t>27AAAAA4847Z5</t>
  </si>
  <si>
    <t>27AAAAA4848Z5</t>
  </si>
  <si>
    <t>27AAAAA4849Z5</t>
  </si>
  <si>
    <t>27AAAAA4850Z5</t>
  </si>
  <si>
    <t>27AAAAA4851Z5</t>
  </si>
  <si>
    <t>27AAAAA4852Z5</t>
  </si>
  <si>
    <t>27AAAAA4853Z5</t>
  </si>
  <si>
    <t>27AAAAA4854Z5</t>
  </si>
  <si>
    <t>27AAAAA4855Z5</t>
  </si>
  <si>
    <t>27AAAAA4856Z5</t>
  </si>
  <si>
    <t>27AAAAA4857Z5</t>
  </si>
  <si>
    <t>27AAAAA4858Z5</t>
  </si>
  <si>
    <t>27AAAAA4859Z5</t>
  </si>
  <si>
    <t>27AAAAA4860Z5</t>
  </si>
  <si>
    <t>27AAAAA4861Z5</t>
  </si>
  <si>
    <t>27AAAAA4862Z5</t>
  </si>
  <si>
    <t>27AAAAA4863Z5</t>
  </si>
  <si>
    <t>27AAAAA4864Z5</t>
  </si>
  <si>
    <t>27AAAAA4865Z5</t>
  </si>
  <si>
    <t>27AAAAA4866Z5</t>
  </si>
  <si>
    <t>27AAAAA4867Z5</t>
  </si>
  <si>
    <t>27AAAAA4868Z5</t>
  </si>
  <si>
    <t>27AAAAA4869Z5</t>
  </si>
  <si>
    <t>27AAAAA4870Z5</t>
  </si>
  <si>
    <t>27AAAAA4871Z5</t>
  </si>
  <si>
    <t>27AAAAA4872Z5</t>
  </si>
  <si>
    <t>27AAAAA4873Z5</t>
  </si>
  <si>
    <t>27AAAAA4874Z5</t>
  </si>
  <si>
    <t>27AAAAA4875Z5</t>
  </si>
  <si>
    <t>27AAAAA4876Z5</t>
  </si>
  <si>
    <t>27AAAAA4877Z5</t>
  </si>
  <si>
    <t>27AAAAA4878Z5</t>
  </si>
  <si>
    <t>27AAAAA4879Z5</t>
  </si>
  <si>
    <t>27AAAAA4880Z5</t>
  </si>
  <si>
    <t>27AAAAA4881Z5</t>
  </si>
  <si>
    <t>27AAAAA4882Z5</t>
  </si>
  <si>
    <t>27AAAAA4883Z5</t>
  </si>
  <si>
    <t>27AAAAA4884Z5</t>
  </si>
  <si>
    <t>27AAAAA4885Z5</t>
  </si>
  <si>
    <t>27AAAAA4886Z5</t>
  </si>
  <si>
    <t>27AAAAA4887Z5</t>
  </si>
  <si>
    <t>27AAAAA4888Z5</t>
  </si>
  <si>
    <t>27AAAAA4889Z5</t>
  </si>
  <si>
    <t>27AAAAA4890Z5</t>
  </si>
  <si>
    <t>27AAAAA4891Z5</t>
  </si>
  <si>
    <t>27AAAAA4892Z5</t>
  </si>
  <si>
    <t>27AAAAA4893Z5</t>
  </si>
  <si>
    <t>27AAAAA4894Z5</t>
  </si>
  <si>
    <t>27AAAAA4895Z5</t>
  </si>
  <si>
    <t>27AAAAA4896Z5</t>
  </si>
  <si>
    <t>27AAAAA4897Z5</t>
  </si>
  <si>
    <t>27AAAAA4898Z5</t>
  </si>
  <si>
    <t>27AAAAA4899Z5</t>
  </si>
  <si>
    <t>27AAAAA4900Z5</t>
  </si>
  <si>
    <t>27AAAAA4901Z5</t>
  </si>
  <si>
    <t>27AAAAA4902Z5</t>
  </si>
  <si>
    <t>27AAAAA4903Z5</t>
  </si>
  <si>
    <t>27AAAAA4904Z5</t>
  </si>
  <si>
    <t>27AAAAA4905Z5</t>
  </si>
  <si>
    <t>27AAAAA4906Z5</t>
  </si>
  <si>
    <t>27AAAAA4907Z5</t>
  </si>
  <si>
    <t>27AAAAA4908Z5</t>
  </si>
  <si>
    <t>27AAAAA4909Z5</t>
  </si>
  <si>
    <t>27AAAAA4910Z5</t>
  </si>
  <si>
    <t>27AAAAA4911Z5</t>
  </si>
  <si>
    <t>27AAAAA4912Z5</t>
  </si>
  <si>
    <t>27AAAAA4913Z5</t>
  </si>
  <si>
    <t>27AAAAA4914Z5</t>
  </si>
  <si>
    <t>27AAAAA4915Z5</t>
  </si>
  <si>
    <t>27AAAAA4916Z5</t>
  </si>
  <si>
    <t>27AAAAA4917Z5</t>
  </si>
  <si>
    <t>27AAAAA4918Z5</t>
  </si>
  <si>
    <t>27AAAAA4919Z5</t>
  </si>
  <si>
    <t>27AAAAA4920Z5</t>
  </si>
  <si>
    <t>27AAAAA4921Z5</t>
  </si>
  <si>
    <t>27AAAAA4922Z5</t>
  </si>
  <si>
    <t>27AAAAA4923Z5</t>
  </si>
  <si>
    <t>27AAAAA4924Z5</t>
  </si>
  <si>
    <t>27AAAAA4925Z5</t>
  </si>
  <si>
    <t>27AAAAA4926Z5</t>
  </si>
  <si>
    <t>27AAAAA4927Z5</t>
  </si>
  <si>
    <t>27AAAAA4928Z5</t>
  </si>
  <si>
    <t>27AAAAA4929Z5</t>
  </si>
  <si>
    <t>27AAAAA4930Z5</t>
  </si>
  <si>
    <t>27AAAAA4931Z5</t>
  </si>
  <si>
    <t>27AAAAA4932Z5</t>
  </si>
  <si>
    <t>27AAAAA4933Z5</t>
  </si>
  <si>
    <t>27AAAAA4934Z5</t>
  </si>
  <si>
    <t>27AAAAA4935Z5</t>
  </si>
  <si>
    <t>27AAAAA4936Z5</t>
  </si>
  <si>
    <t>27AAAAA4937Z5</t>
  </si>
  <si>
    <t>27AAAAA4938Z5</t>
  </si>
  <si>
    <t>27AAAAA4939Z5</t>
  </si>
  <si>
    <t>27AAAAA4940Z5</t>
  </si>
  <si>
    <t>27AAAAA4941Z5</t>
  </si>
  <si>
    <t>27AAAAA4942Z5</t>
  </si>
  <si>
    <t>27AAAAA4943Z5</t>
  </si>
  <si>
    <t>27AAAAA4944Z5</t>
  </si>
  <si>
    <t>27AAAAA4945Z5</t>
  </si>
  <si>
    <t>27AAAAA4946Z5</t>
  </si>
  <si>
    <t>27AAAAA4947Z5</t>
  </si>
  <si>
    <t>27AAAAA4948Z5</t>
  </si>
  <si>
    <t>27AAAAA4949Z5</t>
  </si>
  <si>
    <t>27AAAAA4950Z5</t>
  </si>
  <si>
    <t>27AAAAA4951Z5</t>
  </si>
  <si>
    <t>27AAAAA4952Z5</t>
  </si>
  <si>
    <t>27AAAAA4953Z5</t>
  </si>
  <si>
    <t>27AAAAA4954Z5</t>
  </si>
  <si>
    <t>27AAAAA4955Z5</t>
  </si>
  <si>
    <t>27AAAAA4956Z5</t>
  </si>
  <si>
    <t>27AAAAA4957Z5</t>
  </si>
  <si>
    <t>27AAAAA4958Z5</t>
  </si>
  <si>
    <t>27AAAAA4959Z5</t>
  </si>
  <si>
    <t>27AAAAA4960Z5</t>
  </si>
  <si>
    <t>27AAAAA4961Z5</t>
  </si>
  <si>
    <t>27AAAAA4962Z5</t>
  </si>
  <si>
    <t>27AAAAA4963Z5</t>
  </si>
  <si>
    <t>27AAAAA4964Z5</t>
  </si>
  <si>
    <t>27AAAAA4965Z5</t>
  </si>
  <si>
    <t>27AAAAA4966Z5</t>
  </si>
  <si>
    <t>27AAAAA4967Z5</t>
  </si>
  <si>
    <t>27AAAAA4968Z5</t>
  </si>
  <si>
    <t>27AAAAA4969Z5</t>
  </si>
  <si>
    <t>27AAAAA4970Z5</t>
  </si>
  <si>
    <t>27AAAAA4971Z5</t>
  </si>
  <si>
    <t>27AAAAA4972Z5</t>
  </si>
  <si>
    <t>27AAAAA4973Z5</t>
  </si>
  <si>
    <t>27AAAAA4974Z5</t>
  </si>
  <si>
    <t>27AAAAA4975Z5</t>
  </si>
  <si>
    <t>27AAAAA4976Z5</t>
  </si>
  <si>
    <t>27AAAAA4977Z5</t>
  </si>
  <si>
    <t>27AAAAA4978Z5</t>
  </si>
  <si>
    <t>27AAAAA4979Z5</t>
  </si>
  <si>
    <t>27AAAAA4980Z5</t>
  </si>
  <si>
    <t>27AAAAA4981Z5</t>
  </si>
  <si>
    <t>27AAAAA4982Z5</t>
  </si>
  <si>
    <t>27AAAAA4983Z5</t>
  </si>
  <si>
    <t>27AAAAA4984Z5</t>
  </si>
  <si>
    <t>27AAAAA4985Z5</t>
  </si>
  <si>
    <t>27AAAAA4986Z5</t>
  </si>
  <si>
    <t>27AAAAA4987Z5</t>
  </si>
  <si>
    <t>27AAAAA4988Z5</t>
  </si>
  <si>
    <t>27AAAAA4989Z5</t>
  </si>
  <si>
    <t>27AAAAA4990Z5</t>
  </si>
  <si>
    <t>27AAAAA4991Z5</t>
  </si>
  <si>
    <t>27AAAAA4992Z5</t>
  </si>
  <si>
    <t>27AAAAA4993Z5</t>
  </si>
  <si>
    <t>27AAAAA4994Z5</t>
  </si>
  <si>
    <t>27AAAAA4995Z5</t>
  </si>
  <si>
    <t>27AAAAA4996Z5</t>
  </si>
  <si>
    <t>27AAAAA4997Z5</t>
  </si>
  <si>
    <t>27AAAAA4998Z5</t>
  </si>
  <si>
    <t>27AAAAA4999Z5</t>
  </si>
  <si>
    <t>27AAAAA5000Z5</t>
  </si>
  <si>
    <t>27AAAAA5001Z5</t>
  </si>
  <si>
    <t>27AAAAA5002Z5</t>
  </si>
  <si>
    <t>27AAAAA5003Z5</t>
  </si>
  <si>
    <t>27AAAAA5004Z5</t>
  </si>
  <si>
    <t>27AAAAA5005Z5</t>
  </si>
  <si>
    <t>27AAAAA5006Z5</t>
  </si>
  <si>
    <t>27AAAAA5007Z5</t>
  </si>
  <si>
    <t>27AAAAA5008Z5</t>
  </si>
  <si>
    <t>27AAAAA5009Z5</t>
  </si>
  <si>
    <t>27AAAAA5010Z5</t>
  </si>
  <si>
    <t>27AAAAA5011Z5</t>
  </si>
  <si>
    <t>27AAAAA5012Z5</t>
  </si>
  <si>
    <t>27AAAAA5013Z5</t>
  </si>
  <si>
    <t>27AAAAA5014Z5</t>
  </si>
  <si>
    <t>27AAAAA5015Z5</t>
  </si>
  <si>
    <t>27AAAAA5016Z5</t>
  </si>
  <si>
    <t>27AAAAA5017Z5</t>
  </si>
  <si>
    <t>27AAAAA5018Z5</t>
  </si>
  <si>
    <t>27AAAAA5019Z5</t>
  </si>
  <si>
    <t>27AAAAA5020Z5</t>
  </si>
  <si>
    <t>27AAAAA5021Z5</t>
  </si>
  <si>
    <t>27AAAAA5022Z5</t>
  </si>
  <si>
    <t>27AAAAA5023Z5</t>
  </si>
  <si>
    <t>27AAAAA5024Z5</t>
  </si>
  <si>
    <t>27AAAAA5025Z5</t>
  </si>
  <si>
    <t>27AAAAA5026Z5</t>
  </si>
  <si>
    <t>27AAAAA5027Z5</t>
  </si>
  <si>
    <t>27AAAAA5028Z5</t>
  </si>
  <si>
    <t>27AAAAA5029Z5</t>
  </si>
  <si>
    <t>27AAAAA5030Z5</t>
  </si>
  <si>
    <t>27AAAAA5031Z5</t>
  </si>
  <si>
    <t>27AAAAA5032Z5</t>
  </si>
  <si>
    <t>27AAAAA5033Z5</t>
  </si>
  <si>
    <t>27AAAAA5034Z5</t>
  </si>
  <si>
    <t>27AAAAA5035Z5</t>
  </si>
  <si>
    <t>27AAAAA5036Z5</t>
  </si>
  <si>
    <t>27AAAAA5037Z5</t>
  </si>
  <si>
    <t>27AAAAA5038Z5</t>
  </si>
  <si>
    <t>27AAAAA5039Z5</t>
  </si>
  <si>
    <t>27AAAAA5040Z5</t>
  </si>
  <si>
    <t>27AAAAA5041Z5</t>
  </si>
  <si>
    <t>27AAAAA5042Z5</t>
  </si>
  <si>
    <t>27AAAAA5043Z5</t>
  </si>
  <si>
    <t>27AAAAA5044Z5</t>
  </si>
  <si>
    <t>27AAAAA5045Z5</t>
  </si>
  <si>
    <t>27AAAAA5046Z5</t>
  </si>
  <si>
    <t>27AAAAA5047Z5</t>
  </si>
  <si>
    <t>27AAAAA5048Z5</t>
  </si>
  <si>
    <t>27AAAAA5049Z5</t>
  </si>
  <si>
    <t>27AAAAA5050Z5</t>
  </si>
  <si>
    <t>27AAAAA5051Z5</t>
  </si>
  <si>
    <t>27AAAAA5052Z5</t>
  </si>
  <si>
    <t>27AAAAA5053Z5</t>
  </si>
  <si>
    <t>27AAAAA5054Z5</t>
  </si>
  <si>
    <t>27AAAAA5055Z5</t>
  </si>
  <si>
    <t>27AAAAA5056Z5</t>
  </si>
  <si>
    <t>27AAAAA5057Z5</t>
  </si>
  <si>
    <t>27AAAAA5058Z5</t>
  </si>
  <si>
    <t>27AAAAA5059Z5</t>
  </si>
  <si>
    <t>27AAAAA5060Z5</t>
  </si>
  <si>
    <t>27AAAAA5061Z5</t>
  </si>
  <si>
    <t>27AAAAA5062Z5</t>
  </si>
  <si>
    <t>27AAAAA5063Z5</t>
  </si>
  <si>
    <t>27AAAAA5064Z5</t>
  </si>
  <si>
    <t>27AAAAA5065Z5</t>
  </si>
  <si>
    <t>27AAAAA5066Z5</t>
  </si>
  <si>
    <t>27AAAAA5067Z5</t>
  </si>
  <si>
    <t>27AAAAA5068Z5</t>
  </si>
  <si>
    <t>27AAAAA5069Z5</t>
  </si>
  <si>
    <t>27AAAAA5070Z5</t>
  </si>
  <si>
    <t>27AAAAA5071Z5</t>
  </si>
  <si>
    <t>27AAAAA5072Z5</t>
  </si>
  <si>
    <t>27AAAAA5073Z5</t>
  </si>
  <si>
    <t>27AAAAA5074Z5</t>
  </si>
  <si>
    <t>27AAAAA5075Z5</t>
  </si>
  <si>
    <t>27AAAAA5076Z5</t>
  </si>
  <si>
    <t>27AAAAA5077Z5</t>
  </si>
  <si>
    <t>27AAAAA5078Z5</t>
  </si>
  <si>
    <t>27AAAAA5079Z5</t>
  </si>
  <si>
    <t>27AAAAA5080Z5</t>
  </si>
  <si>
    <t>27AAAAA5081Z5</t>
  </si>
  <si>
    <t>27AAAAA5082Z5</t>
  </si>
  <si>
    <t>27AAAAA5083Z5</t>
  </si>
  <si>
    <t>27AAAAA5084Z5</t>
  </si>
  <si>
    <t>27AAAAA5085Z5</t>
  </si>
  <si>
    <t>27AAAAA5086Z5</t>
  </si>
  <si>
    <t>27AAAAA5087Z5</t>
  </si>
  <si>
    <t>27AAAAA5088Z5</t>
  </si>
  <si>
    <t>27AAAAA5089Z5</t>
  </si>
  <si>
    <t>27AAAAA5090Z5</t>
  </si>
  <si>
    <t>27AAAAA5091Z5</t>
  </si>
  <si>
    <t>27AAAAA5092Z5</t>
  </si>
  <si>
    <t>27AAAAA5093Z5</t>
  </si>
  <si>
    <t>27AAAAA5094Z5</t>
  </si>
  <si>
    <t>27AAAAA5095Z5</t>
  </si>
  <si>
    <t>27AAAAA5096Z5</t>
  </si>
  <si>
    <t>27AAAAA5097Z5</t>
  </si>
  <si>
    <t>27AAAAA5098Z5</t>
  </si>
  <si>
    <t>27AAAAA5099Z5</t>
  </si>
  <si>
    <t>27AAAAA5100Z5</t>
  </si>
  <si>
    <t>27AAAAA5101Z5</t>
  </si>
  <si>
    <t>27AAAAA5102Z5</t>
  </si>
  <si>
    <t>27AAAAA5103Z5</t>
  </si>
  <si>
    <t>27AAAAA5104Z5</t>
  </si>
  <si>
    <t>27AAAAA5105Z5</t>
  </si>
  <si>
    <t>27AAAAA5106Z5</t>
  </si>
  <si>
    <t>27AAAAA5107Z5</t>
  </si>
  <si>
    <t>27AAAAA5108Z5</t>
  </si>
  <si>
    <t>27AAAAA5109Z5</t>
  </si>
  <si>
    <t>27AAAAA5110Z5</t>
  </si>
  <si>
    <t>27AAAAA5111Z5</t>
  </si>
  <si>
    <t>27AAAAA5112Z5</t>
  </si>
  <si>
    <t>27AAAAA5113Z5</t>
  </si>
  <si>
    <t>27AAAAA5114Z5</t>
  </si>
  <si>
    <t>27AAAAA5115Z5</t>
  </si>
  <si>
    <t>27AAAAA5116Z5</t>
  </si>
  <si>
    <t>27AAAAA5117Z5</t>
  </si>
  <si>
    <t>27AAAAA5118Z5</t>
  </si>
  <si>
    <t>27AAAAA5119Z5</t>
  </si>
  <si>
    <t>27AAAAA5120Z5</t>
  </si>
  <si>
    <t>27AAAAA5121Z5</t>
  </si>
  <si>
    <t>27AAAAA5122Z5</t>
  </si>
  <si>
    <t>27AAAAA5123Z5</t>
  </si>
  <si>
    <t>27AAAAA5124Z5</t>
  </si>
  <si>
    <t>27AAAAA5125Z5</t>
  </si>
  <si>
    <t>27AAAAA5126Z5</t>
  </si>
  <si>
    <t>27AAAAA5127Z5</t>
  </si>
  <si>
    <t>27AAAAA5128Z5</t>
  </si>
  <si>
    <t>27AAAAA5129Z5</t>
  </si>
  <si>
    <t>27AAAAA5130Z5</t>
  </si>
  <si>
    <t>27AAAAA5131Z5</t>
  </si>
  <si>
    <t>27AAAAA5132Z5</t>
  </si>
  <si>
    <t>27AAAAA5133Z5</t>
  </si>
  <si>
    <t>27AAAAA5134Z5</t>
  </si>
  <si>
    <t>27AAAAA5135Z5</t>
  </si>
  <si>
    <t>27AAAAA5136Z5</t>
  </si>
  <si>
    <t>27AAAAA5137Z5</t>
  </si>
  <si>
    <t>27AAAAA5138Z5</t>
  </si>
  <si>
    <t>27AAAAA5139Z5</t>
  </si>
  <si>
    <t>27AAAAA5140Z5</t>
  </si>
  <si>
    <t>27AAAAA5141Z5</t>
  </si>
  <si>
    <t>27AAAAA5142Z5</t>
  </si>
  <si>
    <t>27AAAAA5143Z5</t>
  </si>
  <si>
    <t>27AAAAA5144Z5</t>
  </si>
  <si>
    <t>27AAAAA5145Z5</t>
  </si>
  <si>
    <t>27AAAAA5146Z5</t>
  </si>
  <si>
    <t>27AAAAA5147Z5</t>
  </si>
  <si>
    <t>27AAAAA5148Z5</t>
  </si>
  <si>
    <t>27AAAAA5149Z5</t>
  </si>
  <si>
    <t>27AAAAA5150Z5</t>
  </si>
  <si>
    <t>27AAAAA5151Z5</t>
  </si>
  <si>
    <t>27AAAAA5152Z5</t>
  </si>
  <si>
    <t>27AAAAA5153Z5</t>
  </si>
  <si>
    <t>27AAAAA5154Z5</t>
  </si>
  <si>
    <t>27AAAAA5155Z5</t>
  </si>
  <si>
    <t>27AAAAA5156Z5</t>
  </si>
  <si>
    <t>27AAAAA5157Z5</t>
  </si>
  <si>
    <t>27AAAAA5158Z5</t>
  </si>
  <si>
    <t>27AAAAA5159Z5</t>
  </si>
  <si>
    <t>27AAAAA5160Z5</t>
  </si>
  <si>
    <t>27AAAAA5161Z5</t>
  </si>
  <si>
    <t>27AAAAA5162Z5</t>
  </si>
  <si>
    <t>27AAAAA5163Z5</t>
  </si>
  <si>
    <t>27AAAAA5164Z5</t>
  </si>
  <si>
    <t>27AAAAA5165Z5</t>
  </si>
  <si>
    <t>27AAAAA5166Z5</t>
  </si>
  <si>
    <t>27AAAAA5167Z5</t>
  </si>
  <si>
    <t>27AAAAA5168Z5</t>
  </si>
  <si>
    <t>27AAAAA5169Z5</t>
  </si>
  <si>
    <t>27AAAAA5170Z5</t>
  </si>
  <si>
    <t>27AAAAA5171Z5</t>
  </si>
  <si>
    <t>27AAAAA5172Z5</t>
  </si>
  <si>
    <t>27AAAAA5173Z5</t>
  </si>
  <si>
    <t>27AAAAA5174Z5</t>
  </si>
  <si>
    <t>27AAAAA5175Z5</t>
  </si>
  <si>
    <t>27AAAAA5176Z5</t>
  </si>
  <si>
    <t>27AAAAA5177Z5</t>
  </si>
  <si>
    <t>27AAAAA5178Z5</t>
  </si>
  <si>
    <t>27AAAAA5179Z5</t>
  </si>
  <si>
    <t>27AAAAA5180Z5</t>
  </si>
  <si>
    <t>27AAAAA5181Z5</t>
  </si>
  <si>
    <t>27AAAAA5182Z5</t>
  </si>
  <si>
    <t>27AAAAA5183Z5</t>
  </si>
  <si>
    <t>27AAAAA5184Z5</t>
  </si>
  <si>
    <t>27AAAAA5185Z5</t>
  </si>
  <si>
    <t>27AAAAA5186Z5</t>
  </si>
  <si>
    <t>27AAAAA5187Z5</t>
  </si>
  <si>
    <t>27AAAAA5188Z5</t>
  </si>
  <si>
    <t>27AAAAA5189Z5</t>
  </si>
  <si>
    <t>27AAAAA5190Z5</t>
  </si>
  <si>
    <t>27AAAAA5191Z5</t>
  </si>
  <si>
    <t>27AAAAA5192Z5</t>
  </si>
  <si>
    <t>27AAAAA5193Z5</t>
  </si>
  <si>
    <t>27AAAAA5194Z5</t>
  </si>
  <si>
    <t>27AAAAA5195Z5</t>
  </si>
  <si>
    <t>27AAAAA5196Z5</t>
  </si>
  <si>
    <t>27AAAAA5197Z5</t>
  </si>
  <si>
    <t>27AAAAA5198Z5</t>
  </si>
  <si>
    <t>27AAAAA5199Z5</t>
  </si>
  <si>
    <t>27AAAAA5200Z5</t>
  </si>
  <si>
    <t>27AAAAA5201Z5</t>
  </si>
  <si>
    <t>27AAAAA5202Z5</t>
  </si>
  <si>
    <t>27AAAAA5203Z5</t>
  </si>
  <si>
    <t>27AAAAA5204Z5</t>
  </si>
  <si>
    <t>27AAAAA5205Z5</t>
  </si>
  <si>
    <t>27AAAAA5206Z5</t>
  </si>
  <si>
    <t>27AAAAA5207Z5</t>
  </si>
  <si>
    <t>27AAAAA5208Z5</t>
  </si>
  <si>
    <t>27AAAAA5209Z5</t>
  </si>
  <si>
    <t>27AAAAA5210Z5</t>
  </si>
  <si>
    <t>27AAAAA5211Z5</t>
  </si>
  <si>
    <t>27AAAAA5212Z5</t>
  </si>
  <si>
    <t>27AAAAA5213Z5</t>
  </si>
  <si>
    <t>27AAAAA5214Z5</t>
  </si>
  <si>
    <t>27AAAAA5215Z5</t>
  </si>
  <si>
    <t>27AAAAA5216Z5</t>
  </si>
  <si>
    <t>27AAAAA5217Z5</t>
  </si>
  <si>
    <t>27AAAAA5218Z5</t>
  </si>
  <si>
    <t>27AAAAA5219Z5</t>
  </si>
  <si>
    <t>27AAAAA5220Z5</t>
  </si>
  <si>
    <t>27AAAAA5221Z5</t>
  </si>
  <si>
    <t>27AAAAA5222Z5</t>
  </si>
  <si>
    <t>27AAAAA5223Z5</t>
  </si>
  <si>
    <t>27AAAAA5224Z5</t>
  </si>
  <si>
    <t>27AAAAA5225Z5</t>
  </si>
  <si>
    <t>27AAAAA5226Z5</t>
  </si>
  <si>
    <t>27AAAAA5227Z5</t>
  </si>
  <si>
    <t>27AAAAA5228Z5</t>
  </si>
  <si>
    <t>27AAAAA5229Z5</t>
  </si>
  <si>
    <t>27AAAAA5230Z5</t>
  </si>
  <si>
    <t>27AAAAA5231Z5</t>
  </si>
  <si>
    <t>27AAAAA5232Z5</t>
  </si>
  <si>
    <t>27AAAAA5233Z5</t>
  </si>
  <si>
    <t>27AAAAA5234Z5</t>
  </si>
  <si>
    <t>27AAAAA5235Z5</t>
  </si>
  <si>
    <t>27AAAAA5236Z5</t>
  </si>
  <si>
    <t>27AAAAA5237Z5</t>
  </si>
  <si>
    <t>27AAAAA5238Z5</t>
  </si>
  <si>
    <t>27AAAAA5239Z5</t>
  </si>
  <si>
    <t>27AAAAA5240Z5</t>
  </si>
  <si>
    <t>27AAAAA5241Z5</t>
  </si>
  <si>
    <t>27AAAAA5242Z5</t>
  </si>
  <si>
    <t>27AAAAA5243Z5</t>
  </si>
  <si>
    <t>27AAAAA5244Z5</t>
  </si>
  <si>
    <t>27AAAAA5245Z5</t>
  </si>
  <si>
    <t>27AAAAA5246Z5</t>
  </si>
  <si>
    <t>27AAAAA5247Z5</t>
  </si>
  <si>
    <t>27AAAAA5248Z5</t>
  </si>
  <si>
    <t>27AAAAA5249Z5</t>
  </si>
  <si>
    <t>27AAAAA5250Z5</t>
  </si>
  <si>
    <t>27AAAAA5251Z5</t>
  </si>
  <si>
    <t>27AAAAA5252Z5</t>
  </si>
  <si>
    <t>27AAAAA5253Z5</t>
  </si>
  <si>
    <t>27AAAAA5254Z5</t>
  </si>
  <si>
    <t>27AAAAA5255Z5</t>
  </si>
  <si>
    <t>27AAAAA5256Z5</t>
  </si>
  <si>
    <t>27AAAAA5257Z5</t>
  </si>
  <si>
    <t>27AAAAA5258Z5</t>
  </si>
  <si>
    <t>27AAAAA5259Z5</t>
  </si>
  <si>
    <t>27AAAAA5260Z5</t>
  </si>
  <si>
    <t>27AAAAA5261Z5</t>
  </si>
  <si>
    <t>27AAAAA5262Z5</t>
  </si>
  <si>
    <t>27AAAAA5263Z5</t>
  </si>
  <si>
    <t>27AAAAA5264Z5</t>
  </si>
  <si>
    <t>27AAAAA5265Z5</t>
  </si>
  <si>
    <t>27AAAAA5266Z5</t>
  </si>
  <si>
    <t>27AAAAA5267Z5</t>
  </si>
  <si>
    <t>27AAAAA5268Z5</t>
  </si>
  <si>
    <t>27AAAAA5269Z5</t>
  </si>
  <si>
    <t>27AAAAA5270Z5</t>
  </si>
  <si>
    <t>27AAAAA5271Z5</t>
  </si>
  <si>
    <t>27AAAAA5272Z5</t>
  </si>
  <si>
    <t>27AAAAA5273Z5</t>
  </si>
  <si>
    <t>27AAAAA5274Z5</t>
  </si>
  <si>
    <t>27AAAAA5275Z5</t>
  </si>
  <si>
    <t>27AAAAA5276Z5</t>
  </si>
  <si>
    <t>27AAAAA5277Z5</t>
  </si>
  <si>
    <t>27AAAAA5278Z5</t>
  </si>
  <si>
    <t>27AAAAA5279Z5</t>
  </si>
  <si>
    <t>27AAAAA5280Z5</t>
  </si>
  <si>
    <t>27AAAAA5281Z5</t>
  </si>
  <si>
    <t>27AAAAA5282Z5</t>
  </si>
  <si>
    <t>27AAAAA5283Z5</t>
  </si>
  <si>
    <t>27AAAAA5284Z5</t>
  </si>
  <si>
    <t>27AAAAA5285Z5</t>
  </si>
  <si>
    <t>27AAAAA5286Z5</t>
  </si>
  <si>
    <t>27AAAAA5287Z5</t>
  </si>
  <si>
    <t>27AAAAA5288Z5</t>
  </si>
  <si>
    <t>27AAAAA5289Z5</t>
  </si>
  <si>
    <t>27AAAAA5290Z5</t>
  </si>
  <si>
    <t>27AAAAA5291Z5</t>
  </si>
  <si>
    <t>27AAAAA5292Z5</t>
  </si>
  <si>
    <t>27AAAAA5293Z5</t>
  </si>
  <si>
    <t>27AAAAA5294Z5</t>
  </si>
  <si>
    <t>27AAAAA5295Z5</t>
  </si>
  <si>
    <t>27AAAAA5296Z5</t>
  </si>
  <si>
    <t>27AAAAA5297Z5</t>
  </si>
  <si>
    <t>27AAAAA5298Z5</t>
  </si>
  <si>
    <t>27AAAAA5299Z5</t>
  </si>
  <si>
    <t>27AAAAA5300Z5</t>
  </si>
  <si>
    <t>27AAAAA5301Z5</t>
  </si>
  <si>
    <t>27AAAAA5302Z5</t>
  </si>
  <si>
    <t>27AAAAA5303Z5</t>
  </si>
  <si>
    <t>27AAAAA5304Z5</t>
  </si>
  <si>
    <t>27AAAAA5305Z5</t>
  </si>
  <si>
    <t>27AAAAA5306Z5</t>
  </si>
  <si>
    <t>27AAAAA5307Z5</t>
  </si>
  <si>
    <t>27AAAAA5308Z5</t>
  </si>
  <si>
    <t>27AAAAA5309Z5</t>
  </si>
  <si>
    <t>27AAAAA5310Z5</t>
  </si>
  <si>
    <t>27AAAAA5311Z5</t>
  </si>
  <si>
    <t>27AAAAA5312Z5</t>
  </si>
  <si>
    <t>27AAAAA5313Z5</t>
  </si>
  <si>
    <t>27AAAAA5314Z5</t>
  </si>
  <si>
    <t>27AAAAA5315Z5</t>
  </si>
  <si>
    <t>27AAAAA5316Z5</t>
  </si>
  <si>
    <t>27AAAAA5317Z5</t>
  </si>
  <si>
    <t>27AAAAA5318Z5</t>
  </si>
  <si>
    <t>27AAAAA5319Z5</t>
  </si>
  <si>
    <t>27AAAAA5320Z5</t>
  </si>
  <si>
    <t>27AAAAA5321Z5</t>
  </si>
  <si>
    <t>27AAAAA5322Z5</t>
  </si>
  <si>
    <t>27AAAAA5323Z5</t>
  </si>
  <si>
    <t>27AAAAA5324Z5</t>
  </si>
  <si>
    <t>27AAAAA5325Z5</t>
  </si>
  <si>
    <t>27AAAAA5326Z5</t>
  </si>
  <si>
    <t>27AAAAA5327Z5</t>
  </si>
  <si>
    <t>27AAAAA5328Z5</t>
  </si>
  <si>
    <t>27AAAAA5329Z5</t>
  </si>
  <si>
    <t>27AAAAA5330Z5</t>
  </si>
  <si>
    <t>27AAAAA5331Z5</t>
  </si>
  <si>
    <t>27AAAAA5332Z5</t>
  </si>
  <si>
    <t>27AAAAA5333Z5</t>
  </si>
  <si>
    <t>27AAAAA5334Z5</t>
  </si>
  <si>
    <t>27AAAAA5335Z5</t>
  </si>
  <si>
    <t>27AAAAA5336Z5</t>
  </si>
  <si>
    <t>27AAAAA5337Z5</t>
  </si>
  <si>
    <t>27AAAAA5338Z5</t>
  </si>
  <si>
    <t>27AAAAA5339Z5</t>
  </si>
  <si>
    <t>27AAAAA5340Z5</t>
  </si>
  <si>
    <t>27AAAAA5341Z5</t>
  </si>
  <si>
    <t>27AAAAA5342Z5</t>
  </si>
  <si>
    <t>27AAAAA5343Z5</t>
  </si>
  <si>
    <t>27AAAAA5344Z5</t>
  </si>
  <si>
    <t>27AAAAA5345Z5</t>
  </si>
  <si>
    <t>27AAAAA5346Z5</t>
  </si>
  <si>
    <t>27AAAAA5347Z5</t>
  </si>
  <si>
    <t>27AAAAA5348Z5</t>
  </si>
  <si>
    <t>27AAAAA5349Z5</t>
  </si>
  <si>
    <t>27AAAAA5350Z5</t>
  </si>
  <si>
    <t>27AAAAA5351Z5</t>
  </si>
  <si>
    <t>27AAAAA5352Z5</t>
  </si>
  <si>
    <t>27AAAAA5353Z5</t>
  </si>
  <si>
    <t>27AAAAA5354Z5</t>
  </si>
  <si>
    <t>27AAAAA5355Z5</t>
  </si>
  <si>
    <t>27AAAAA5356Z5</t>
  </si>
  <si>
    <t>27AAAAA5357Z5</t>
  </si>
  <si>
    <t>27AAAAA5358Z5</t>
  </si>
  <si>
    <t>27AAAAA5359Z5</t>
  </si>
  <si>
    <t>27AAAAA5360Z5</t>
  </si>
  <si>
    <t>27AAAAA5361Z5</t>
  </si>
  <si>
    <t>27AAAAA5362Z5</t>
  </si>
  <si>
    <t>27AAAAA5363Z5</t>
  </si>
  <si>
    <t>27AAAAA5364Z5</t>
  </si>
  <si>
    <t>27AAAAA5365Z5</t>
  </si>
  <si>
    <t>27AAAAA5366Z5</t>
  </si>
  <si>
    <t>27AAAAA5367Z5</t>
  </si>
  <si>
    <t>27AAAAA5368Z5</t>
  </si>
  <si>
    <t>27AAAAA5369Z5</t>
  </si>
  <si>
    <t>27AAAAA5370Z5</t>
  </si>
  <si>
    <t>27AAAAA5371Z5</t>
  </si>
  <si>
    <t>27AAAAA5372Z5</t>
  </si>
  <si>
    <t>27AAAAA5373Z5</t>
  </si>
  <si>
    <t>27AAAAA5374Z5</t>
  </si>
  <si>
    <t>27AAAAA5375Z5</t>
  </si>
  <si>
    <t>27AAAAA5376Z5</t>
  </si>
  <si>
    <t>27AAAAA5377Z5</t>
  </si>
  <si>
    <t>27AAAAA5378Z5</t>
  </si>
  <si>
    <t>27AAAAA5379Z5</t>
  </si>
  <si>
    <t>27AAAAA5380Z5</t>
  </si>
  <si>
    <t>27AAAAA5381Z5</t>
  </si>
  <si>
    <t>27AAAAA5382Z5</t>
  </si>
  <si>
    <t>27AAAAA5383Z5</t>
  </si>
  <si>
    <t>27AAAAA5384Z5</t>
  </si>
  <si>
    <t>27AAAAA5385Z5</t>
  </si>
  <si>
    <t>27AAAAA5386Z5</t>
  </si>
  <si>
    <t>27AAAAA5387Z5</t>
  </si>
  <si>
    <t>27AAAAA5388Z5</t>
  </si>
  <si>
    <t>27AAAAA5389Z5</t>
  </si>
  <si>
    <t>27AAAAA5390Z5</t>
  </si>
  <si>
    <t>27AAAAA5391Z5</t>
  </si>
  <si>
    <t>27AAAAA5392Z5</t>
  </si>
  <si>
    <t>27AAAAA5393Z5</t>
  </si>
  <si>
    <t>27AAAAA5394Z5</t>
  </si>
  <si>
    <t>27AAAAA5395Z5</t>
  </si>
  <si>
    <t>27AAAAA5396Z5</t>
  </si>
  <si>
    <t>27AAAAA5397Z5</t>
  </si>
  <si>
    <t>27AAAAA5398Z5</t>
  </si>
  <si>
    <t>27AAAAA5399Z5</t>
  </si>
  <si>
    <t>27AAAAA5400Z5</t>
  </si>
  <si>
    <t>27AAAAA5401Z5</t>
  </si>
  <si>
    <t>27AAAAA5402Z5</t>
  </si>
  <si>
    <t>27AAAAA5403Z5</t>
  </si>
  <si>
    <t>27AAAAA5404Z5</t>
  </si>
  <si>
    <t>27AAAAA5405Z5</t>
  </si>
  <si>
    <t>27AAAAA5406Z5</t>
  </si>
  <si>
    <t>27AAAAA5407Z5</t>
  </si>
  <si>
    <t>27AAAAA5408Z5</t>
  </si>
  <si>
    <t>27AAAAA5409Z5</t>
  </si>
  <si>
    <t>27AAAAA5410Z5</t>
  </si>
  <si>
    <t>27AAAAA5411Z5</t>
  </si>
  <si>
    <t>27AAAAA5412Z5</t>
  </si>
  <si>
    <t>27AAAAA5413Z5</t>
  </si>
  <si>
    <t>27AAAAA5414Z5</t>
  </si>
  <si>
    <t>27AAAAA5415Z5</t>
  </si>
  <si>
    <t>27AAAAA5416Z5</t>
  </si>
  <si>
    <t>27AAAAA5417Z5</t>
  </si>
  <si>
    <t>27AAAAA5418Z5</t>
  </si>
  <si>
    <t>27AAAAA5419Z5</t>
  </si>
  <si>
    <t>27AAAAA5420Z5</t>
  </si>
  <si>
    <t>27AAAAA5421Z5</t>
  </si>
  <si>
    <t>27AAAAA5422Z5</t>
  </si>
  <si>
    <t>27AAAAA5423Z5</t>
  </si>
  <si>
    <t>27AAAAA5424Z5</t>
  </si>
  <si>
    <t>27AAAAA5425Z5</t>
  </si>
  <si>
    <t>27AAAAA5426Z5</t>
  </si>
  <si>
    <t>27AAAAA5427Z5</t>
  </si>
  <si>
    <t>27AAAAA5428Z5</t>
  </si>
  <si>
    <t>27AAAAA5429Z5</t>
  </si>
  <si>
    <t>27AAAAA5430Z5</t>
  </si>
  <si>
    <t>27AAAAA5431Z5</t>
  </si>
  <si>
    <t>27AAAAA5432Z5</t>
  </si>
  <si>
    <t>27AAAAA5433Z5</t>
  </si>
  <si>
    <t>27AAAAA5434Z5</t>
  </si>
  <si>
    <t>27AAAAA5435Z5</t>
  </si>
  <si>
    <t>27AAAAA5436Z5</t>
  </si>
  <si>
    <t>27AAAAA5437Z5</t>
  </si>
  <si>
    <t>27AAAAA5438Z5</t>
  </si>
  <si>
    <t>27AAAAA5439Z5</t>
  </si>
  <si>
    <t>27AAAAA5440Z5</t>
  </si>
  <si>
    <t>27AAAAA5441Z5</t>
  </si>
  <si>
    <t>27AAAAA5442Z5</t>
  </si>
  <si>
    <t>27AAAAA5443Z5</t>
  </si>
  <si>
    <t>27AAAAA5444Z5</t>
  </si>
  <si>
    <t>27AAAAA5445Z5</t>
  </si>
  <si>
    <t>27AAAAA5446Z5</t>
  </si>
  <si>
    <t>27AAAAA5447Z5</t>
  </si>
  <si>
    <t>27AAAAA5448Z5</t>
  </si>
  <si>
    <t>27AAAAA5449Z5</t>
  </si>
  <si>
    <t>27AAAAA5450Z5</t>
  </si>
  <si>
    <t>27AAAAA5451Z5</t>
  </si>
  <si>
    <t>27AAAAA5452Z5</t>
  </si>
  <si>
    <t>27AAAAA5453Z5</t>
  </si>
  <si>
    <t>27AAAAA5454Z5</t>
  </si>
  <si>
    <t>27AAAAA5455Z5</t>
  </si>
  <si>
    <t>27AAAAA5456Z5</t>
  </si>
  <si>
    <t>27AAAAA5457Z5</t>
  </si>
  <si>
    <t>27AAAAA5458Z5</t>
  </si>
  <si>
    <t>27AAAAA5459Z5</t>
  </si>
  <si>
    <t>27AAAAA5460Z5</t>
  </si>
  <si>
    <t>27AAAAA5461Z5</t>
  </si>
  <si>
    <t>27AAAAA5462Z5</t>
  </si>
  <si>
    <t>27AAAAA5463Z5</t>
  </si>
  <si>
    <t>27AAAAA5464Z5</t>
  </si>
  <si>
    <t>27AAAAA5465Z5</t>
  </si>
  <si>
    <t>27AAAAA5466Z5</t>
  </si>
  <si>
    <t>27AAAAA5467Z5</t>
  </si>
  <si>
    <t>27AAAAA5468Z5</t>
  </si>
  <si>
    <t>27AAAAA5469Z5</t>
  </si>
  <si>
    <t>27AAAAA5470Z5</t>
  </si>
  <si>
    <t>27AAAAA5471Z5</t>
  </si>
  <si>
    <t>27AAAAA5472Z5</t>
  </si>
  <si>
    <t>27AAAAA5473Z5</t>
  </si>
  <si>
    <t>27AAAAA5474Z5</t>
  </si>
  <si>
    <t>27AAAAA5475Z5</t>
  </si>
  <si>
    <t>27AAAAA5476Z5</t>
  </si>
  <si>
    <t>27AAAAA5477Z5</t>
  </si>
  <si>
    <t>27AAAAA5478Z5</t>
  </si>
  <si>
    <t>27AAAAA5479Z5</t>
  </si>
  <si>
    <t>27AAAAA5480Z5</t>
  </si>
  <si>
    <t>27AAAAA5481Z5</t>
  </si>
  <si>
    <t>27AAAAA5482Z5</t>
  </si>
  <si>
    <t>27AAAAA5483Z5</t>
  </si>
  <si>
    <t>27AAAAA5484Z5</t>
  </si>
  <si>
    <t>27AAAAA5485Z5</t>
  </si>
  <si>
    <t>27AAAAA5486Z5</t>
  </si>
  <si>
    <t>27AAAAA5487Z5</t>
  </si>
  <si>
    <t>27AAAAA5488Z5</t>
  </si>
  <si>
    <t>27AAAAA5489Z5</t>
  </si>
  <si>
    <t>27AAAAA5490Z5</t>
  </si>
  <si>
    <t>27AAAAA5491Z5</t>
  </si>
  <si>
    <t>27AAAAA5492Z5</t>
  </si>
  <si>
    <t>27AAAAA5493Z5</t>
  </si>
  <si>
    <t>27AAAAA5494Z5</t>
  </si>
  <si>
    <t>27AAAAA5495Z5</t>
  </si>
  <si>
    <t>27AAAAA5496Z5</t>
  </si>
  <si>
    <t>27AAAAA5497Z5</t>
  </si>
  <si>
    <t>27AAAAA5498Z5</t>
  </si>
  <si>
    <t>27AAAAA5499Z5</t>
  </si>
  <si>
    <t>27AAAAA5500Z5</t>
  </si>
  <si>
    <t>27AAAAA5501Z5</t>
  </si>
  <si>
    <t>27AAAAA5502Z5</t>
  </si>
  <si>
    <t>27AAAAA5503Z5</t>
  </si>
  <si>
    <t>27AAAAA5504Z5</t>
  </si>
  <si>
    <t>27AAAAA5505Z5</t>
  </si>
  <si>
    <t>27AAAAA5506Z5</t>
  </si>
  <si>
    <t>27AAAAA5507Z5</t>
  </si>
  <si>
    <t>27AAAAA5508Z5</t>
  </si>
  <si>
    <t>27AAAAA5509Z5</t>
  </si>
  <si>
    <t>27AAAAA5510Z5</t>
  </si>
  <si>
    <t>27AAAAA5511Z5</t>
  </si>
  <si>
    <t>27AAAAA5512Z5</t>
  </si>
  <si>
    <t>27AAAAA5513Z5</t>
  </si>
  <si>
    <t>27AAAAA5514Z5</t>
  </si>
  <si>
    <t>27AAAAA5515Z5</t>
  </si>
  <si>
    <t>27AAAAA5516Z5</t>
  </si>
  <si>
    <t>27AAAAA5517Z5</t>
  </si>
  <si>
    <t>27AAAAA5518Z5</t>
  </si>
  <si>
    <t>27AAAAA5519Z5</t>
  </si>
  <si>
    <t>27AAAAA5520Z5</t>
  </si>
  <si>
    <t>27AAAAA5521Z5</t>
  </si>
  <si>
    <t>27AAAAA5522Z5</t>
  </si>
  <si>
    <t>27AAAAA5523Z5</t>
  </si>
  <si>
    <t>27AAAAA5524Z5</t>
  </si>
  <si>
    <t>27AAAAA5525Z5</t>
  </si>
  <si>
    <t>27AAAAA5526Z5</t>
  </si>
  <si>
    <t>27AAAAA5527Z5</t>
  </si>
  <si>
    <t>27AAAAA5528Z5</t>
  </si>
  <si>
    <t>27AAAAA5529Z5</t>
  </si>
  <si>
    <t>27AAAAA5530Z5</t>
  </si>
  <si>
    <t>27AAAAA5531Z5</t>
  </si>
  <si>
    <t>27AAAAA5532Z5</t>
  </si>
  <si>
    <t>27AAAAA5533Z5</t>
  </si>
  <si>
    <t>27AAAAA5534Z5</t>
  </si>
  <si>
    <t>27AAAAA5535Z5</t>
  </si>
  <si>
    <t>27AAAAA5536Z5</t>
  </si>
  <si>
    <t>27AAAAA5537Z5</t>
  </si>
  <si>
    <t>27AAAAA5538Z5</t>
  </si>
  <si>
    <t>27AAAAA5539Z5</t>
  </si>
  <si>
    <t>27AAAAA5540Z5</t>
  </si>
  <si>
    <t>27AAAAA5541Z5</t>
  </si>
  <si>
    <t>27AAAAA5542Z5</t>
  </si>
  <si>
    <t>27AAAAA5543Z5</t>
  </si>
  <si>
    <t>27AAAAA5544Z5</t>
  </si>
  <si>
    <t>27AAAAA5545Z5</t>
  </si>
  <si>
    <t>27AAAAA5546Z5</t>
  </si>
  <si>
    <t>27AAAAA5547Z5</t>
  </si>
  <si>
    <t>27AAAAA5548Z5</t>
  </si>
  <si>
    <t>27AAAAA5549Z5</t>
  </si>
  <si>
    <t>27AAAAA5550Z5</t>
  </si>
  <si>
    <t>27AAAAA5551Z5</t>
  </si>
  <si>
    <t>27AAAAA5552Z5</t>
  </si>
  <si>
    <t>27AAAAA5553Z5</t>
  </si>
  <si>
    <t>27AAAAA5554Z5</t>
  </si>
  <si>
    <t>27AAAAA5555Z5</t>
  </si>
  <si>
    <t>27AAAAA5556Z5</t>
  </si>
  <si>
    <t>27AAAAA5557Z5</t>
  </si>
  <si>
    <t>27AAAAA5558Z5</t>
  </si>
  <si>
    <t>27AAAAA5559Z5</t>
  </si>
  <si>
    <t>27AAAAA5560Z5</t>
  </si>
  <si>
    <t>27AAAAA5561Z5</t>
  </si>
  <si>
    <t>27AAAAA5562Z5</t>
  </si>
  <si>
    <t>27AAAAA5563Z5</t>
  </si>
  <si>
    <t>27AAAAA5564Z5</t>
  </si>
  <si>
    <t>27AAAAA5565Z5</t>
  </si>
  <si>
    <t>27AAAAA5566Z5</t>
  </si>
  <si>
    <t>27AAAAA5567Z5</t>
  </si>
  <si>
    <t>27AAAAA5568Z5</t>
  </si>
  <si>
    <t>27AAAAA5569Z5</t>
  </si>
  <si>
    <t>27AAAAA5570Z5</t>
  </si>
  <si>
    <t>27AAAAA5571Z5</t>
  </si>
  <si>
    <t>27AAAAA5572Z5</t>
  </si>
  <si>
    <t>27AAAAA5573Z5</t>
  </si>
  <si>
    <t>27AAAAA5574Z5</t>
  </si>
  <si>
    <t>27AAAAA5575Z5</t>
  </si>
  <si>
    <t>27AAAAA5576Z5</t>
  </si>
  <si>
    <t>27AAAAA5577Z5</t>
  </si>
  <si>
    <t>27AAAAA5578Z5</t>
  </si>
  <si>
    <t>27AAAAA5579Z5</t>
  </si>
  <si>
    <t>27AAAAA5580Z5</t>
  </si>
  <si>
    <t>27AAAAA5581Z5</t>
  </si>
  <si>
    <t>27AAAAA5582Z5</t>
  </si>
  <si>
    <t>27AAAAA5583Z5</t>
  </si>
  <si>
    <t>27AAAAA5584Z5</t>
  </si>
  <si>
    <t>27AAAAA5585Z5</t>
  </si>
  <si>
    <t>27AAAAA5586Z5</t>
  </si>
  <si>
    <t>27AAAAA5587Z5</t>
  </si>
  <si>
    <t>27AAAAA5588Z5</t>
  </si>
  <si>
    <t>27AAAAA5589Z5</t>
  </si>
  <si>
    <t>27AAAAA5590Z5</t>
  </si>
  <si>
    <t>27AAAAA5591Z5</t>
  </si>
  <si>
    <t>27AAAAA5592Z5</t>
  </si>
  <si>
    <t>27AAAAA5593Z5</t>
  </si>
  <si>
    <t>27AAAAA5594Z5</t>
  </si>
  <si>
    <t>27AAAAA5595Z5</t>
  </si>
  <si>
    <t>27AAAAA5596Z5</t>
  </si>
  <si>
    <t>27AAAAA5597Z5</t>
  </si>
  <si>
    <t>27AAAAA5598Z5</t>
  </si>
  <si>
    <t>27AAAAA5599Z5</t>
  </si>
  <si>
    <t>27AAAAA5600Z5</t>
  </si>
  <si>
    <t>27AAAAA5601Z5</t>
  </si>
  <si>
    <t>27AAAAA5602Z5</t>
  </si>
  <si>
    <t>27AAAAA5603Z5</t>
  </si>
  <si>
    <t>27AAAAA5604Z5</t>
  </si>
  <si>
    <t>27AAAAA5605Z5</t>
  </si>
  <si>
    <t>27AAAAA5606Z5</t>
  </si>
  <si>
    <t>27AAAAA5607Z5</t>
  </si>
  <si>
    <t>27AAAAA5608Z5</t>
  </si>
  <si>
    <t>27AAAAA5609Z5</t>
  </si>
  <si>
    <t>27AAAAA5610Z5</t>
  </si>
  <si>
    <t>27AAAAA5611Z5</t>
  </si>
  <si>
    <t>27AAAAA5612Z5</t>
  </si>
  <si>
    <t>27AAAAA5613Z5</t>
  </si>
  <si>
    <t>27AAAAA5614Z5</t>
  </si>
  <si>
    <t>27AAAAA5615Z5</t>
  </si>
  <si>
    <t>27AAAAA5616Z5</t>
  </si>
  <si>
    <t>27AAAAA5617Z5</t>
  </si>
  <si>
    <t>27AAAAA5618Z5</t>
  </si>
  <si>
    <t>27AAAAA5619Z5</t>
  </si>
  <si>
    <t>27AAAAA5620Z5</t>
  </si>
  <si>
    <t>27AAAAA5621Z5</t>
  </si>
  <si>
    <t>27AAAAA5622Z5</t>
  </si>
  <si>
    <t>27AAAAA5623Z5</t>
  </si>
  <si>
    <t>27AAAAA5624Z5</t>
  </si>
  <si>
    <t>27AAAAA5625Z5</t>
  </si>
  <si>
    <t>27AAAAA5626Z5</t>
  </si>
  <si>
    <t>27AAAAA5627Z5</t>
  </si>
  <si>
    <t>27AAAAA5628Z5</t>
  </si>
  <si>
    <t>27AAAAA5629Z5</t>
  </si>
  <si>
    <t>27AAAAA5630Z5</t>
  </si>
  <si>
    <t>27AAAAA5631Z5</t>
  </si>
  <si>
    <t>27AAAAA5632Z5</t>
  </si>
  <si>
    <t>27AAAAA5633Z5</t>
  </si>
  <si>
    <t>27AAAAA5634Z5</t>
  </si>
  <si>
    <t>27AAAAA5635Z5</t>
  </si>
  <si>
    <t>27AAAAA5636Z5</t>
  </si>
  <si>
    <t>27AAAAA5637Z5</t>
  </si>
  <si>
    <t>27AAAAA5638Z5</t>
  </si>
  <si>
    <t>27AAAAA5639Z5</t>
  </si>
  <si>
    <t>27AAAAA5640Z5</t>
  </si>
  <si>
    <t>27AAAAA5641Z5</t>
  </si>
  <si>
    <t>27AAAAA5642Z5</t>
  </si>
  <si>
    <t>27AAAAA5643Z5</t>
  </si>
  <si>
    <t>27AAAAA5644Z5</t>
  </si>
  <si>
    <t>27AAAAA5645Z5</t>
  </si>
  <si>
    <t>27AAAAA5646Z5</t>
  </si>
  <si>
    <t>27AAAAA5647Z5</t>
  </si>
  <si>
    <t>27AAAAA5648Z5</t>
  </si>
  <si>
    <t>27AAAAA5649Z5</t>
  </si>
  <si>
    <t>27AAAAA5650Z5</t>
  </si>
  <si>
    <t>27AAAAA5651Z5</t>
  </si>
  <si>
    <t>27AAAAA5652Z5</t>
  </si>
  <si>
    <t>27AAAAA5653Z5</t>
  </si>
  <si>
    <t>27AAAAA5654Z5</t>
  </si>
  <si>
    <t>27AAAAA5655Z5</t>
  </si>
  <si>
    <t>27AAAAA5656Z5</t>
  </si>
  <si>
    <t>27AAAAA5657Z5</t>
  </si>
  <si>
    <t>27AAAAA5658Z5</t>
  </si>
  <si>
    <t>27AAAAA5659Z5</t>
  </si>
  <si>
    <t>27AAAAA5660Z5</t>
  </si>
  <si>
    <t>27AAAAA5661Z5</t>
  </si>
  <si>
    <t>27AAAAA5662Z5</t>
  </si>
  <si>
    <t>27AAAAA5663Z5</t>
  </si>
  <si>
    <t>27AAAAA5664Z5</t>
  </si>
  <si>
    <t>27AAAAA5665Z5</t>
  </si>
  <si>
    <t>27AAAAA5666Z5</t>
  </si>
  <si>
    <t>27AAAAA5667Z5</t>
  </si>
  <si>
    <t>27AAAAA5668Z5</t>
  </si>
  <si>
    <t>27AAAAA5669Z5</t>
  </si>
  <si>
    <t>27AAAAA5670Z5</t>
  </si>
  <si>
    <t>27AAAAA5671Z5</t>
  </si>
  <si>
    <t>27AAAAA5672Z5</t>
  </si>
  <si>
    <t>27AAAAA5673Z5</t>
  </si>
  <si>
    <t>27AAAAA5674Z5</t>
  </si>
  <si>
    <t>27AAAAA5675Z5</t>
  </si>
  <si>
    <t>27AAAAA5676Z5</t>
  </si>
  <si>
    <t>27AAAAA5677Z5</t>
  </si>
  <si>
    <t>27AAAAA5678Z5</t>
  </si>
  <si>
    <t>27AAAAA5679Z5</t>
  </si>
  <si>
    <t>27AAAAA5680Z5</t>
  </si>
  <si>
    <t>27AAAAA5681Z5</t>
  </si>
  <si>
    <t>27AAAAA5682Z5</t>
  </si>
  <si>
    <t>27AAAAA5683Z5</t>
  </si>
  <si>
    <t>27AAAAA5684Z5</t>
  </si>
  <si>
    <t>27AAAAA5685Z5</t>
  </si>
  <si>
    <t>27AAAAA5686Z5</t>
  </si>
  <si>
    <t>27AAAAA5687Z5</t>
  </si>
  <si>
    <t>27AAAAA5688Z5</t>
  </si>
  <si>
    <t>27AAAAA5689Z5</t>
  </si>
  <si>
    <t>27AAAAA5690Z5</t>
  </si>
  <si>
    <t>27AAAAA5691Z5</t>
  </si>
  <si>
    <t>27AAAAA5692Z5</t>
  </si>
  <si>
    <t>27AAAAA5693Z5</t>
  </si>
  <si>
    <t>27AAAAA5694Z5</t>
  </si>
  <si>
    <t>27AAAAA5695Z5</t>
  </si>
  <si>
    <t>27AAAAA5696Z5</t>
  </si>
  <si>
    <t>27AAAAA5697Z5</t>
  </si>
  <si>
    <t>27AAAAA5698Z5</t>
  </si>
  <si>
    <t>27AAAAA5699Z5</t>
  </si>
  <si>
    <t>27AAAAA5700Z5</t>
  </si>
  <si>
    <t>27AAAAA5701Z5</t>
  </si>
  <si>
    <t>27AAAAA5702Z5</t>
  </si>
  <si>
    <t>27AAAAA5703Z5</t>
  </si>
  <si>
    <t>27AAAAA5704Z5</t>
  </si>
  <si>
    <t>27AAAAA5705Z5</t>
  </si>
  <si>
    <t>27AAAAA5706Z5</t>
  </si>
  <si>
    <t>27AAAAA5707Z5</t>
  </si>
  <si>
    <t>27AAAAA5708Z5</t>
  </si>
  <si>
    <t>27AAAAA5709Z5</t>
  </si>
  <si>
    <t>27AAAAA5710Z5</t>
  </si>
  <si>
    <t>27AAAAA5711Z5</t>
  </si>
  <si>
    <t>27AAAAA5712Z5</t>
  </si>
  <si>
    <t>27AAAAA5713Z5</t>
  </si>
  <si>
    <t>27AAAAA5714Z5</t>
  </si>
  <si>
    <t>27AAAAA5715Z5</t>
  </si>
  <si>
    <t>27AAAAA5716Z5</t>
  </si>
  <si>
    <t>27AAAAA5717Z5</t>
  </si>
  <si>
    <t>27AAAAA5718Z5</t>
  </si>
  <si>
    <t>27AAAAA5719Z5</t>
  </si>
  <si>
    <t>27AAAAA5720Z5</t>
  </si>
  <si>
    <t>27AAAAA5721Z5</t>
  </si>
  <si>
    <t>27AAAAA5722Z5</t>
  </si>
  <si>
    <t>27AAAAA5723Z5</t>
  </si>
  <si>
    <t>27AAAAA5724Z5</t>
  </si>
  <si>
    <t>27AAAAA5725Z5</t>
  </si>
  <si>
    <t>27AAAAA5726Z5</t>
  </si>
  <si>
    <t>27AAAAA5727Z5</t>
  </si>
  <si>
    <t>27AAAAA5728Z5</t>
  </si>
  <si>
    <t>27AAAAA5729Z5</t>
  </si>
  <si>
    <t>27AAAAA5730Z5</t>
  </si>
  <si>
    <t>27AAAAA5731Z5</t>
  </si>
  <si>
    <t>27AAAAA5732Z5</t>
  </si>
  <si>
    <t>27AAAAA5733Z5</t>
  </si>
  <si>
    <t>27AAAAA5734Z5</t>
  </si>
  <si>
    <t>27AAAAA5735Z5</t>
  </si>
  <si>
    <t>27AAAAA5736Z5</t>
  </si>
  <si>
    <t>27AAAAA5737Z5</t>
  </si>
  <si>
    <t>27AAAAA5738Z5</t>
  </si>
  <si>
    <t>27AAAAA5739Z5</t>
  </si>
  <si>
    <t>27AAAAA5740Z5</t>
  </si>
  <si>
    <t>27AAAAA5741Z5</t>
  </si>
  <si>
    <t>27AAAAA5742Z5</t>
  </si>
  <si>
    <t>27AAAAA5743Z5</t>
  </si>
  <si>
    <t>27AAAAA5744Z5</t>
  </si>
  <si>
    <t>27AAAAA5745Z5</t>
  </si>
  <si>
    <t>27AAAAA5746Z5</t>
  </si>
  <si>
    <t>27AAAAA5747Z5</t>
  </si>
  <si>
    <t>27AAAAA5748Z5</t>
  </si>
  <si>
    <t>27AAAAA5749Z5</t>
  </si>
  <si>
    <t>27AAAAA5750Z5</t>
  </si>
  <si>
    <t>27AAAAA5751Z5</t>
  </si>
  <si>
    <t>27AAAAA5752Z5</t>
  </si>
  <si>
    <t>27AAAAA5753Z5</t>
  </si>
  <si>
    <t>27AAAAA5754Z5</t>
  </si>
  <si>
    <t>27AAAAA5755Z5</t>
  </si>
  <si>
    <t>27AAAAA5756Z5</t>
  </si>
  <si>
    <t>27AAAAA5757Z5</t>
  </si>
  <si>
    <t>27AAAAA5758Z5</t>
  </si>
  <si>
    <t>27AAAAA5759Z5</t>
  </si>
  <si>
    <t>27AAAAA5760Z5</t>
  </si>
  <si>
    <t>27AAAAA5761Z5</t>
  </si>
  <si>
    <t>27AAAAA5762Z5</t>
  </si>
  <si>
    <t>27AAAAA5763Z5</t>
  </si>
  <si>
    <t>27AAAAA5764Z5</t>
  </si>
  <si>
    <t>27AAAAA5765Z5</t>
  </si>
  <si>
    <t>27AAAAA5766Z5</t>
  </si>
  <si>
    <t>27AAAAA5767Z5</t>
  </si>
  <si>
    <t>27AAAAA5768Z5</t>
  </si>
  <si>
    <t>27AAAAA5769Z5</t>
  </si>
  <si>
    <t>27AAAAA5770Z5</t>
  </si>
  <si>
    <t>27AAAAA5771Z5</t>
  </si>
  <si>
    <t>27AAAAA5772Z5</t>
  </si>
  <si>
    <t>27AAAAA5773Z5</t>
  </si>
  <si>
    <t>27AAAAA5774Z5</t>
  </si>
  <si>
    <t>27AAAAA5775Z5</t>
  </si>
  <si>
    <t>27AAAAA5776Z5</t>
  </si>
  <si>
    <t>27AAAAA5777Z5</t>
  </si>
  <si>
    <t>27AAAAA5778Z5</t>
  </si>
  <si>
    <t>27AAAAA5779Z5</t>
  </si>
  <si>
    <t>27AAAAA5780Z5</t>
  </si>
  <si>
    <t>27AAAAA5781Z5</t>
  </si>
  <si>
    <t>27AAAAA5782Z5</t>
  </si>
  <si>
    <t>27AAAAA5783Z5</t>
  </si>
  <si>
    <t>27AAAAA5784Z5</t>
  </si>
  <si>
    <t>27AAAAA5785Z5</t>
  </si>
  <si>
    <t>27AAAAA5786Z5</t>
  </si>
  <si>
    <t>27AAAAA5787Z5</t>
  </si>
  <si>
    <t>27AAAAA5788Z5</t>
  </si>
  <si>
    <t>27AAAAA5789Z5</t>
  </si>
  <si>
    <t>27AAAAA5790Z5</t>
  </si>
  <si>
    <t>27AAAAA5791Z5</t>
  </si>
  <si>
    <t>27AAAAA5792Z5</t>
  </si>
  <si>
    <t>27AAAAA5793Z5</t>
  </si>
  <si>
    <t>27AAAAA5794Z5</t>
  </si>
  <si>
    <t>27AAAAA5795Z5</t>
  </si>
  <si>
    <t>27AAAAA5796Z5</t>
  </si>
  <si>
    <t>27AAAAA5797Z5</t>
  </si>
  <si>
    <t>27AAAAA5798Z5</t>
  </si>
  <si>
    <t>27AAAAA5799Z5</t>
  </si>
  <si>
    <t>27AAAAA5800Z5</t>
  </si>
  <si>
    <t>27AAAAA5801Z5</t>
  </si>
  <si>
    <t>27AAAAA5802Z5</t>
  </si>
  <si>
    <t>27AAAAA5803Z5</t>
  </si>
  <si>
    <t>27AAAAA5804Z5</t>
  </si>
  <si>
    <t>27AAAAA5805Z5</t>
  </si>
  <si>
    <t>27AAAAA5806Z5</t>
  </si>
  <si>
    <t>27AAAAA5807Z5</t>
  </si>
  <si>
    <t>27AAAAA5808Z5</t>
  </si>
  <si>
    <t>27AAAAA5809Z5</t>
  </si>
  <si>
    <t>27AAAAA5810Z5</t>
  </si>
  <si>
    <t>27AAAAA5811Z5</t>
  </si>
  <si>
    <t>27AAAAA5812Z5</t>
  </si>
  <si>
    <t>27AAAAA5813Z5</t>
  </si>
  <si>
    <t>27AAAAA5814Z5</t>
  </si>
  <si>
    <t>27AAAAA5815Z5</t>
  </si>
  <si>
    <t>27AAAAA5816Z5</t>
  </si>
  <si>
    <t>27AAAAA5817Z5</t>
  </si>
  <si>
    <t>27AAAAA5818Z5</t>
  </si>
  <si>
    <t>27AAAAA5819Z5</t>
  </si>
  <si>
    <t>27AAAAA5820Z5</t>
  </si>
  <si>
    <t>27AAAAA5821Z5</t>
  </si>
  <si>
    <t>27AAAAA5822Z5</t>
  </si>
  <si>
    <t>27AAAAA5823Z5</t>
  </si>
  <si>
    <t>27AAAAA5824Z5</t>
  </si>
  <si>
    <t>27AAAAA5825Z5</t>
  </si>
  <si>
    <t>27AAAAA5826Z5</t>
  </si>
  <si>
    <t>27AAAAA5827Z5</t>
  </si>
  <si>
    <t>27AAAAA5828Z5</t>
  </si>
  <si>
    <t>27AAAAA5829Z5</t>
  </si>
  <si>
    <t>27AAAAA5830Z5</t>
  </si>
  <si>
    <t>27AAAAA5831Z5</t>
  </si>
  <si>
    <t>27AAAAA5832Z5</t>
  </si>
  <si>
    <t>27AAAAA5833Z5</t>
  </si>
  <si>
    <t>27AAAAA5834Z5</t>
  </si>
  <si>
    <t>27AAAAA5835Z5</t>
  </si>
  <si>
    <t>27AAAAA5836Z5</t>
  </si>
  <si>
    <t>27AAAAA5837Z5</t>
  </si>
  <si>
    <t>27AAAAA5838Z5</t>
  </si>
  <si>
    <t>27AAAAA5839Z5</t>
  </si>
  <si>
    <t>27AAAAA5840Z5</t>
  </si>
  <si>
    <t>27AAAAA5841Z5</t>
  </si>
  <si>
    <t>27AAAAA5842Z5</t>
  </si>
  <si>
    <t>27AAAAA5843Z5</t>
  </si>
  <si>
    <t>27AAAAA5844Z5</t>
  </si>
  <si>
    <t>27AAAAA5845Z5</t>
  </si>
  <si>
    <t>27AAAAA5846Z5</t>
  </si>
  <si>
    <t>27AAAAA5847Z5</t>
  </si>
  <si>
    <t>27AAAAA5848Z5</t>
  </si>
  <si>
    <t>27AAAAA5849Z5</t>
  </si>
  <si>
    <t>27AAAAA5850Z5</t>
  </si>
  <si>
    <t>27AAAAA5851Z5</t>
  </si>
  <si>
    <t>27AAAAA5852Z5</t>
  </si>
  <si>
    <t>27AAAAA5853Z5</t>
  </si>
  <si>
    <t>27AAAAA5854Z5</t>
  </si>
  <si>
    <t>27AAAAA5855Z5</t>
  </si>
  <si>
    <t>27AAAAA5856Z5</t>
  </si>
  <si>
    <t>27AAAAA5857Z5</t>
  </si>
  <si>
    <t>27AAAAA5858Z5</t>
  </si>
  <si>
    <t>27AAAAA5859Z5</t>
  </si>
  <si>
    <t>27AAAAA5860Z5</t>
  </si>
  <si>
    <t>27AAAAA5861Z5</t>
  </si>
  <si>
    <t>27AAAAA5862Z5</t>
  </si>
  <si>
    <t>27AAAAA5863Z5</t>
  </si>
  <si>
    <t>27AAAAA5864Z5</t>
  </si>
  <si>
    <t>27AAAAA5865Z5</t>
  </si>
  <si>
    <t>27AAAAA5866Z5</t>
  </si>
  <si>
    <t>27AAAAA5867Z5</t>
  </si>
  <si>
    <t>27AAAAA5868Z5</t>
  </si>
  <si>
    <t>27AAAAA5869Z5</t>
  </si>
  <si>
    <t>27AAAAA5870Z5</t>
  </si>
  <si>
    <t>27AAAAA5871Z5</t>
  </si>
  <si>
    <t>27AAAAA5872Z5</t>
  </si>
  <si>
    <t>27AAAAA5873Z5</t>
  </si>
  <si>
    <t>27AAAAA5874Z5</t>
  </si>
  <si>
    <t>27AAAAA5875Z5</t>
  </si>
  <si>
    <t>27AAAAA5876Z5</t>
  </si>
  <si>
    <t>27AAAAA5877Z5</t>
  </si>
  <si>
    <t>27AAAAA5878Z5</t>
  </si>
  <si>
    <t>27AAAAA5879Z5</t>
  </si>
  <si>
    <t>27AAAAA5880Z5</t>
  </si>
  <si>
    <t>27AAAAA5881Z5</t>
  </si>
  <si>
    <t>27AAAAA5882Z5</t>
  </si>
  <si>
    <t>27AAAAA5883Z5</t>
  </si>
  <si>
    <t>27AAAAA5884Z5</t>
  </si>
  <si>
    <t>27AAAAA5885Z5</t>
  </si>
  <si>
    <t>27AAAAA5886Z5</t>
  </si>
  <si>
    <t>27AAAAA5887Z5</t>
  </si>
  <si>
    <t>27AAAAA5888Z5</t>
  </si>
  <si>
    <t>27AAAAA5889Z5</t>
  </si>
  <si>
    <t>27AAAAA5890Z5</t>
  </si>
  <si>
    <t>27AAAAA5891Z5</t>
  </si>
  <si>
    <t>27AAAAA5892Z5</t>
  </si>
  <si>
    <t>27AAAAA5893Z5</t>
  </si>
  <si>
    <t>27AAAAA5894Z5</t>
  </si>
  <si>
    <t>27AAAAA5895Z5</t>
  </si>
  <si>
    <t>27AAAAA5896Z5</t>
  </si>
  <si>
    <t>27AAAAA5897Z5</t>
  </si>
  <si>
    <t>27AAAAA5898Z5</t>
  </si>
  <si>
    <t>27AAAAA5899Z5</t>
  </si>
  <si>
    <t>27AAAAA5900Z5</t>
  </si>
  <si>
    <t>27AAAAA5901Z5</t>
  </si>
  <si>
    <t>27AAAAA5902Z5</t>
  </si>
  <si>
    <t>27AAAAA5903Z5</t>
  </si>
  <si>
    <t>27AAAAA5904Z5</t>
  </si>
  <si>
    <t>27AAAAA5905Z5</t>
  </si>
  <si>
    <t>27AAAAA5906Z5</t>
  </si>
  <si>
    <t>27AAAAA5907Z5</t>
  </si>
  <si>
    <t>27AAAAA5908Z5</t>
  </si>
  <si>
    <t>27AAAAA5909Z5</t>
  </si>
  <si>
    <t>27AAAAA5910Z5</t>
  </si>
  <si>
    <t>27AAAAA5911Z5</t>
  </si>
  <si>
    <t>27AAAAA5912Z5</t>
  </si>
  <si>
    <t>27AAAAA5913Z5</t>
  </si>
  <si>
    <t>27AAAAA5914Z5</t>
  </si>
  <si>
    <t>27AAAAA5915Z5</t>
  </si>
  <si>
    <t>27AAAAA5916Z5</t>
  </si>
  <si>
    <t>27AAAAA5917Z5</t>
  </si>
  <si>
    <t>27AAAAA5918Z5</t>
  </si>
  <si>
    <t>27AAAAA5919Z5</t>
  </si>
  <si>
    <t>27AAAAA5920Z5</t>
  </si>
  <si>
    <t>27AAAAA5921Z5</t>
  </si>
  <si>
    <t>27AAAAA5922Z5</t>
  </si>
  <si>
    <t>27AAAAA5923Z5</t>
  </si>
  <si>
    <t>27AAAAA5924Z5</t>
  </si>
  <si>
    <t>27AAAAA5925Z5</t>
  </si>
  <si>
    <t>27AAAAA5926Z5</t>
  </si>
  <si>
    <t>27AAAAA5927Z5</t>
  </si>
  <si>
    <t>27AAAAA5928Z5</t>
  </si>
  <si>
    <t>27AAAAA5929Z5</t>
  </si>
  <si>
    <t>27AAAAA5930Z5</t>
  </si>
  <si>
    <t>27AAAAA5931Z5</t>
  </si>
  <si>
    <t>27AAAAA5932Z5</t>
  </si>
  <si>
    <t>27AAAAA5933Z5</t>
  </si>
  <si>
    <t>27AAAAA5934Z5</t>
  </si>
  <si>
    <t>27AAAAA5935Z5</t>
  </si>
  <si>
    <t>27AAAAA5936Z5</t>
  </si>
  <si>
    <t>27AAAAA5937Z5</t>
  </si>
  <si>
    <t>27AAAAA5938Z5</t>
  </si>
  <si>
    <t>27AAAAA5939Z5</t>
  </si>
  <si>
    <t>27AAAAA5940Z5</t>
  </si>
  <si>
    <t>27AAAAA5941Z5</t>
  </si>
  <si>
    <t>27AAAAA5942Z5</t>
  </si>
  <si>
    <t>27AAAAA5943Z5</t>
  </si>
  <si>
    <t>27AAAAA5944Z5</t>
  </si>
  <si>
    <t>27AAAAA5945Z5</t>
  </si>
  <si>
    <t>27AAAAA5946Z5</t>
  </si>
  <si>
    <t>27AAAAA5947Z5</t>
  </si>
  <si>
    <t>27AAAAA5948Z5</t>
  </si>
  <si>
    <t>27AAAAA5949Z5</t>
  </si>
  <si>
    <t>27AAAAA5950Z5</t>
  </si>
  <si>
    <t>27AAAAA5951Z5</t>
  </si>
  <si>
    <t>27AAAAA5952Z5</t>
  </si>
  <si>
    <t>27AAAAA5953Z5</t>
  </si>
  <si>
    <t>27AAAAA5954Z5</t>
  </si>
  <si>
    <t>27AAAAA5955Z5</t>
  </si>
  <si>
    <t>27AAAAA5956Z5</t>
  </si>
  <si>
    <t>27AAAAA5957Z5</t>
  </si>
  <si>
    <t>27AAAAA5958Z5</t>
  </si>
  <si>
    <t>27AAAAA5959Z5</t>
  </si>
  <si>
    <t>27AAAAA5960Z5</t>
  </si>
  <si>
    <t>27AAAAA5961Z5</t>
  </si>
  <si>
    <t>27AAAAA5962Z5</t>
  </si>
  <si>
    <t>27AAAAA5963Z5</t>
  </si>
  <si>
    <t>27AAAAA5964Z5</t>
  </si>
  <si>
    <t>27AAAAA5965Z5</t>
  </si>
  <si>
    <t>27AAAAA5966Z5</t>
  </si>
  <si>
    <t>27AAAAA5967Z5</t>
  </si>
  <si>
    <t>27AAAAA5968Z5</t>
  </si>
  <si>
    <t>27AAAAA5969Z5</t>
  </si>
  <si>
    <t>27AAAAA5970Z5</t>
  </si>
  <si>
    <t>27AAAAA5971Z5</t>
  </si>
  <si>
    <t>27AAAAA5972Z5</t>
  </si>
  <si>
    <t>27AAAAA5973Z5</t>
  </si>
  <si>
    <t>27AAAAA5974Z5</t>
  </si>
  <si>
    <t>27AAAAA5975Z5</t>
  </si>
  <si>
    <t>27AAAAA5976Z5</t>
  </si>
  <si>
    <t>27AAAAA5977Z5</t>
  </si>
  <si>
    <t>27AAAAA5978Z5</t>
  </si>
  <si>
    <t>27AAAAA5979Z5</t>
  </si>
  <si>
    <t>27AAAAA5980Z5</t>
  </si>
  <si>
    <t>27AAAAA5981Z5</t>
  </si>
  <si>
    <t>27AAAAA5982Z5</t>
  </si>
  <si>
    <t>27AAAAA5983Z5</t>
  </si>
  <si>
    <t>27AAAAA5984Z5</t>
  </si>
  <si>
    <t>27AAAAA5985Z5</t>
  </si>
  <si>
    <t>27AAAAA5986Z5</t>
  </si>
  <si>
    <t>27AAAAA5987Z5</t>
  </si>
  <si>
    <t>27AAAAA5988Z5</t>
  </si>
  <si>
    <t>27AAAAA5989Z5</t>
  </si>
  <si>
    <t>27AAAAA5990Z5</t>
  </si>
  <si>
    <t>27AAAAA5991Z5</t>
  </si>
  <si>
    <t>27AAAAA5992Z5</t>
  </si>
  <si>
    <t>27AAAAA5993Z5</t>
  </si>
  <si>
    <t>27AAAAA5994Z5</t>
  </si>
  <si>
    <t>27AAAAA5995Z5</t>
  </si>
  <si>
    <t>27AAAAA5996Z5</t>
  </si>
  <si>
    <t>27AAAAA5997Z5</t>
  </si>
  <si>
    <t>27AAAAA5998Z5</t>
  </si>
  <si>
    <t>27AAAAA5999Z5</t>
  </si>
  <si>
    <t>27AAAAA6000Z5</t>
  </si>
  <si>
    <t>27AAAAA6001Z5</t>
  </si>
  <si>
    <t>27AAAAA6002Z5</t>
  </si>
  <si>
    <t>27AAAAA6003Z5</t>
  </si>
  <si>
    <t>27AAAAA6004Z5</t>
  </si>
  <si>
    <t>27AAAAA6005Z5</t>
  </si>
  <si>
    <t>27AAAAA6006Z5</t>
  </si>
  <si>
    <t>27AAAAA6007Z5</t>
  </si>
  <si>
    <t>27AAAAA6008Z5</t>
  </si>
  <si>
    <t>27AAAAA6009Z5</t>
  </si>
  <si>
    <t>27AAAAA6010Z5</t>
  </si>
  <si>
    <t>27AAAAA6011Z5</t>
  </si>
  <si>
    <t>27AAAAA6012Z5</t>
  </si>
  <si>
    <t>27AAAAA6013Z5</t>
  </si>
  <si>
    <t>27AAAAA6014Z5</t>
  </si>
  <si>
    <t>27AAAAA6015Z5</t>
  </si>
  <si>
    <t>27AAAAA6016Z5</t>
  </si>
  <si>
    <t>27AAAAA6017Z5</t>
  </si>
  <si>
    <t>27AAAAA6018Z5</t>
  </si>
  <si>
    <t>27AAAAA6019Z5</t>
  </si>
  <si>
    <t>27AAAAA6020Z5</t>
  </si>
  <si>
    <t>27AAAAA6021Z5</t>
  </si>
  <si>
    <t>27AAAAA6022Z5</t>
  </si>
  <si>
    <t>27AAAAA6023Z5</t>
  </si>
  <si>
    <t>27AAAAA6024Z5</t>
  </si>
  <si>
    <t>27AAAAA6025Z5</t>
  </si>
  <si>
    <t>27AAAAA6026Z5</t>
  </si>
  <si>
    <t>27AAAAA6027Z5</t>
  </si>
  <si>
    <t>27AAAAA6028Z5</t>
  </si>
  <si>
    <t>27AAAAA6029Z5</t>
  </si>
  <si>
    <t>27AAAAA6030Z5</t>
  </si>
  <si>
    <t>27AAAAA6031Z5</t>
  </si>
  <si>
    <t>27AAAAA6032Z5</t>
  </si>
  <si>
    <t>27AAAAA6033Z5</t>
  </si>
  <si>
    <t>27AAAAA6034Z5</t>
  </si>
  <si>
    <t>27AAAAA6035Z5</t>
  </si>
  <si>
    <t>27AAAAA6036Z5</t>
  </si>
  <si>
    <t>27AAAAA6037Z5</t>
  </si>
  <si>
    <t>27AAAAA6038Z5</t>
  </si>
  <si>
    <t>27AAAAA6039Z5</t>
  </si>
  <si>
    <t>27AAAAA6040Z5</t>
  </si>
  <si>
    <t>27AAAAA6041Z5</t>
  </si>
  <si>
    <t>27AAAAA6042Z5</t>
  </si>
  <si>
    <t>27AAAAA6043Z5</t>
  </si>
  <si>
    <t>27AAAAA6044Z5</t>
  </si>
  <si>
    <t>27AAAAA6045Z5</t>
  </si>
  <si>
    <t>27AAAAA6046Z5</t>
  </si>
  <si>
    <t>27AAAAA6047Z5</t>
  </si>
  <si>
    <t>27AAAAA6048Z5</t>
  </si>
  <si>
    <t>27AAAAA6049Z5</t>
  </si>
  <si>
    <t>27AAAAA6050Z5</t>
  </si>
  <si>
    <t>27AAAAA6051Z5</t>
  </si>
  <si>
    <t>27AAAAA6052Z5</t>
  </si>
  <si>
    <t>27AAAAA6053Z5</t>
  </si>
  <si>
    <t>27AAAAA6054Z5</t>
  </si>
  <si>
    <t>27AAAAA6055Z5</t>
  </si>
  <si>
    <t>27AAAAA6056Z5</t>
  </si>
  <si>
    <t>27AAAAA6057Z5</t>
  </si>
  <si>
    <t>27AAAAA6058Z5</t>
  </si>
  <si>
    <t>27AAAAA6059Z5</t>
  </si>
  <si>
    <t>27AAAAA6060Z5</t>
  </si>
  <si>
    <t>27AAAAA6061Z5</t>
  </si>
  <si>
    <t>27AAAAA6062Z5</t>
  </si>
  <si>
    <t>27AAAAA6063Z5</t>
  </si>
  <si>
    <t>27AAAAA6064Z5</t>
  </si>
  <si>
    <t>27AAAAA6065Z5</t>
  </si>
  <si>
    <t>27AAAAA6066Z5</t>
  </si>
  <si>
    <t>27AAAAA6067Z5</t>
  </si>
  <si>
    <t>27AAAAA6068Z5</t>
  </si>
  <si>
    <t>27AAAAA6069Z5</t>
  </si>
  <si>
    <t>27AAAAA6070Z5</t>
  </si>
  <si>
    <t>27AAAAA6071Z5</t>
  </si>
  <si>
    <t>27AAAAA6072Z5</t>
  </si>
  <si>
    <t>27AAAAA6073Z5</t>
  </si>
  <si>
    <t>27AAAAA6074Z5</t>
  </si>
  <si>
    <t>27AAAAA6075Z5</t>
  </si>
  <si>
    <t>27AAAAA6076Z5</t>
  </si>
  <si>
    <t>27AAAAA6077Z5</t>
  </si>
  <si>
    <t>27AAAAA6078Z5</t>
  </si>
  <si>
    <t>27AAAAA6079Z5</t>
  </si>
  <si>
    <t>27AAAAA6080Z5</t>
  </si>
  <si>
    <t>27AAAAA6081Z5</t>
  </si>
  <si>
    <t>27AAAAA6082Z5</t>
  </si>
  <si>
    <t>27AAAAA6083Z5</t>
  </si>
  <si>
    <t>27AAAAA6084Z5</t>
  </si>
  <si>
    <t>27AAAAA6085Z5</t>
  </si>
  <si>
    <t>27AAAAA6086Z5</t>
  </si>
  <si>
    <t>27AAAAA6087Z5</t>
  </si>
  <si>
    <t>27AAAAA6088Z5</t>
  </si>
  <si>
    <t>27AAAAA6089Z5</t>
  </si>
  <si>
    <t>27AAAAA6090Z5</t>
  </si>
  <si>
    <t>27AAAAA6091Z5</t>
  </si>
  <si>
    <t>27AAAAA6092Z5</t>
  </si>
  <si>
    <t>27AAAAA6093Z5</t>
  </si>
  <si>
    <t>27AAAAA6094Z5</t>
  </si>
  <si>
    <t>27AAAAA6095Z5</t>
  </si>
  <si>
    <t>27AAAAA6096Z5</t>
  </si>
  <si>
    <t>27AAAAA6097Z5</t>
  </si>
  <si>
    <t>27AAAAA6098Z5</t>
  </si>
  <si>
    <t>27AAAAA6099Z5</t>
  </si>
  <si>
    <t>27AAAAA6100Z5</t>
  </si>
  <si>
    <t>27AAAAA6101Z5</t>
  </si>
  <si>
    <t>27AAAAA6102Z5</t>
  </si>
  <si>
    <t>27AAAAA6103Z5</t>
  </si>
  <si>
    <t>27AAAAA6104Z5</t>
  </si>
  <si>
    <t>27AAAAA6105Z5</t>
  </si>
  <si>
    <t>27AAAAA6106Z5</t>
  </si>
  <si>
    <t>27AAAAA6107Z5</t>
  </si>
  <si>
    <t>27AAAAA6108Z5</t>
  </si>
  <si>
    <t>27AAAAA6109Z5</t>
  </si>
  <si>
    <t>27AAAAA6110Z5</t>
  </si>
  <si>
    <t>27AAAAA6111Z5</t>
  </si>
  <si>
    <t>27AAAAA6112Z5</t>
  </si>
  <si>
    <t>27AAAAA6113Z5</t>
  </si>
  <si>
    <t>27AAAAA6114Z5</t>
  </si>
  <si>
    <t>27AAAAA6115Z5</t>
  </si>
  <si>
    <t>27AAAAA6116Z5</t>
  </si>
  <si>
    <t>27AAAAA6117Z5</t>
  </si>
  <si>
    <t>27AAAAA6118Z5</t>
  </si>
  <si>
    <t>27AAAAA6119Z5</t>
  </si>
  <si>
    <t>27AAAAA6120Z5</t>
  </si>
  <si>
    <t>27AAAAA6121Z5</t>
  </si>
  <si>
    <t>27AAAAA6122Z5</t>
  </si>
  <si>
    <t>27AAAAA6123Z5</t>
  </si>
  <si>
    <t>27AAAAA6124Z5</t>
  </si>
  <si>
    <t>27AAAAA6125Z5</t>
  </si>
  <si>
    <t>27AAAAA6126Z5</t>
  </si>
  <si>
    <t>27AAAAA6127Z5</t>
  </si>
  <si>
    <t>27AAAAA6128Z5</t>
  </si>
  <si>
    <t>27AAAAA6129Z5</t>
  </si>
  <si>
    <t>27AAAAA6130Z5</t>
  </si>
  <si>
    <t>27AAAAA6131Z5</t>
  </si>
  <si>
    <t>27AAAAA6132Z5</t>
  </si>
  <si>
    <t>27AAAAA6133Z5</t>
  </si>
  <si>
    <t>27AAAAA6134Z5</t>
  </si>
  <si>
    <t>27AAAAA6135Z5</t>
  </si>
  <si>
    <t>27AAAAA6136Z5</t>
  </si>
  <si>
    <t>27AAAAA6137Z5</t>
  </si>
  <si>
    <t>27AAAAA6138Z5</t>
  </si>
  <si>
    <t>27AAAAA6139Z5</t>
  </si>
  <si>
    <t>27AAAAA6140Z5</t>
  </si>
  <si>
    <t>27AAAAA6141Z5</t>
  </si>
  <si>
    <t>27AAAAA6142Z5</t>
  </si>
  <si>
    <t>27AAAAA6143Z5</t>
  </si>
  <si>
    <t>27AAAAA6144Z5</t>
  </si>
  <si>
    <t>27AAAAA6145Z5</t>
  </si>
  <si>
    <t>27AAAAA6146Z5</t>
  </si>
  <si>
    <t>27AAAAA6147Z5</t>
  </si>
  <si>
    <t>27AAAAA6148Z5</t>
  </si>
  <si>
    <t>27AAAAA6149Z5</t>
  </si>
  <si>
    <t>27AAAAA6150Z5</t>
  </si>
  <si>
    <t>27AAAAA6151Z5</t>
  </si>
  <si>
    <t>27AAAAA6152Z5</t>
  </si>
  <si>
    <t>27AAAAA6153Z5</t>
  </si>
  <si>
    <t>27AAAAA6154Z5</t>
  </si>
  <si>
    <t>27AAAAA6155Z5</t>
  </si>
  <si>
    <t>27AAAAA6156Z5</t>
  </si>
  <si>
    <t>27AAAAA6157Z5</t>
  </si>
  <si>
    <t>27AAAAA6158Z5</t>
  </si>
  <si>
    <t>27AAAAA6159Z5</t>
  </si>
  <si>
    <t>27AAAAA6160Z5</t>
  </si>
  <si>
    <t>27AAAAA6161Z5</t>
  </si>
  <si>
    <t>27AAAAA6162Z5</t>
  </si>
  <si>
    <t>27AAAAA6163Z5</t>
  </si>
  <si>
    <t>27AAAAA6164Z5</t>
  </si>
  <si>
    <t>27AAAAA6165Z5</t>
  </si>
  <si>
    <t>27AAAAA6166Z5</t>
  </si>
  <si>
    <t>27AAAAA6167Z5</t>
  </si>
  <si>
    <t>27AAAAA6168Z5</t>
  </si>
  <si>
    <t>27AAAAA6169Z5</t>
  </si>
  <si>
    <t>27AAAAA6170Z5</t>
  </si>
  <si>
    <t>27AAAAA6171Z5</t>
  </si>
  <si>
    <t>27AAAAA6172Z5</t>
  </si>
  <si>
    <t>27AAAAA6173Z5</t>
  </si>
  <si>
    <t>27AAAAA6174Z5</t>
  </si>
  <si>
    <t>27AAAAA6175Z5</t>
  </si>
  <si>
    <t>27AAAAA6176Z5</t>
  </si>
  <si>
    <t>27AAAAA6177Z5</t>
  </si>
  <si>
    <t>27AAAAA6178Z5</t>
  </si>
  <si>
    <t>27AAAAA6179Z5</t>
  </si>
  <si>
    <t>27AAAAA6180Z5</t>
  </si>
  <si>
    <t>27AAAAA6181Z5</t>
  </si>
  <si>
    <t>27AAAAA6182Z5</t>
  </si>
  <si>
    <t>27AAAAA6183Z5</t>
  </si>
  <si>
    <t>27AAAAA6184Z5</t>
  </si>
  <si>
    <t>27AAAAA6185Z5</t>
  </si>
  <si>
    <t>27AAAAA6186Z5</t>
  </si>
  <si>
    <t>27AAAAA6187Z5</t>
  </si>
  <si>
    <t>27AAAAA6188Z5</t>
  </si>
  <si>
    <t>27AAAAA6189Z5</t>
  </si>
  <si>
    <t>27AAAAA6190Z5</t>
  </si>
  <si>
    <t>27AAAAA6191Z5</t>
  </si>
  <si>
    <t>27AAAAA6192Z5</t>
  </si>
  <si>
    <t>27AAAAA6193Z5</t>
  </si>
  <si>
    <t>27AAAAA6194Z5</t>
  </si>
  <si>
    <t>27AAAAA6195Z5</t>
  </si>
  <si>
    <t>27AAAAA6196Z5</t>
  </si>
  <si>
    <t>27AAAAA6197Z5</t>
  </si>
  <si>
    <t>27AAAAA6198Z5</t>
  </si>
  <si>
    <t>27AAAAA6199Z5</t>
  </si>
  <si>
    <t>27AAAAA6200Z5</t>
  </si>
  <si>
    <t>27AAAAA6201Z5</t>
  </si>
  <si>
    <t>27AAAAA6202Z5</t>
  </si>
  <si>
    <t>27AAAAA6203Z5</t>
  </si>
  <si>
    <t>27AAAAA6204Z5</t>
  </si>
  <si>
    <t>27AAAAA6205Z5</t>
  </si>
  <si>
    <t>27AAAAA6206Z5</t>
  </si>
  <si>
    <t>27AAAAA6207Z5</t>
  </si>
  <si>
    <t>27AAAAA6208Z5</t>
  </si>
  <si>
    <t>27AAAAA6209Z5</t>
  </si>
  <si>
    <t>27AAAAA6210Z5</t>
  </si>
  <si>
    <t>27AAAAA6211Z5</t>
  </si>
  <si>
    <t>27AAAAA6212Z5</t>
  </si>
  <si>
    <t>27AAAAA6213Z5</t>
  </si>
  <si>
    <t>27AAAAA6214Z5</t>
  </si>
  <si>
    <t>27AAAAA6215Z5</t>
  </si>
  <si>
    <t>27AAAAA6216Z5</t>
  </si>
  <si>
    <t>27AAAAA6217Z5</t>
  </si>
  <si>
    <t>27AAAAA6218Z5</t>
  </si>
  <si>
    <t>27AAAAA6219Z5</t>
  </si>
  <si>
    <t>27AAAAA6220Z5</t>
  </si>
  <si>
    <t>27AAAAA6221Z5</t>
  </si>
  <si>
    <t>27AAAAA6222Z5</t>
  </si>
  <si>
    <t>27AAAAA6223Z5</t>
  </si>
  <si>
    <t>27AAAAA6224Z5</t>
  </si>
  <si>
    <t>27AAAAA6225Z5</t>
  </si>
  <si>
    <t>27AAAAA6226Z5</t>
  </si>
  <si>
    <t>27AAAAA6227Z5</t>
  </si>
  <si>
    <t>27AAAAA6228Z5</t>
  </si>
  <si>
    <t>27AAAAA6229Z5</t>
  </si>
  <si>
    <t>27AAAAA6230Z5</t>
  </si>
  <si>
    <t>27AAAAA6231Z5</t>
  </si>
  <si>
    <t>27AAAAA6232Z5</t>
  </si>
  <si>
    <t>27AAAAA6233Z5</t>
  </si>
  <si>
    <t>27AAAAA6234Z5</t>
  </si>
  <si>
    <t>27AAAAA6235Z5</t>
  </si>
  <si>
    <t>27AAAAA6236Z5</t>
  </si>
  <si>
    <t>27AAAAA6237Z5</t>
  </si>
  <si>
    <t>27AAAAA6238Z5</t>
  </si>
  <si>
    <t>27AAAAA6239Z5</t>
  </si>
  <si>
    <t>27AAAAA6240Z5</t>
  </si>
  <si>
    <t>27AAAAA6241Z5</t>
  </si>
  <si>
    <t>27AAAAA6242Z5</t>
  </si>
  <si>
    <t>27AAAAA6243Z5</t>
  </si>
  <si>
    <t>27AAAAA6244Z5</t>
  </si>
  <si>
    <t>27AAAAA6245Z5</t>
  </si>
  <si>
    <t>27AAAAA6246Z5</t>
  </si>
  <si>
    <t>27AAAAA6247Z5</t>
  </si>
  <si>
    <t>27AAAAA6248Z5</t>
  </si>
  <si>
    <t>27AAAAA6249Z5</t>
  </si>
  <si>
    <t>27AAAAA6250Z5</t>
  </si>
  <si>
    <t>27AAAAA6251Z5</t>
  </si>
  <si>
    <t>27AAAAA6252Z5</t>
  </si>
  <si>
    <t>27AAAAA6253Z5</t>
  </si>
  <si>
    <t>27AAAAA6254Z5</t>
  </si>
  <si>
    <t>27AAAAA6255Z5</t>
  </si>
  <si>
    <t>27AAAAA6256Z5</t>
  </si>
  <si>
    <t>27AAAAA6257Z5</t>
  </si>
  <si>
    <t>27AAAAA6258Z5</t>
  </si>
  <si>
    <t>27AAAAA6259Z5</t>
  </si>
  <si>
    <t>27AAAAA6260Z5</t>
  </si>
  <si>
    <t>27AAAAA6261Z5</t>
  </si>
  <si>
    <t>27AAAAA6262Z5</t>
  </si>
  <si>
    <t>27AAAAA6263Z5</t>
  </si>
  <si>
    <t>27AAAAA6264Z5</t>
  </si>
  <si>
    <t>27AAAAA6265Z5</t>
  </si>
  <si>
    <t>27AAAAA6266Z5</t>
  </si>
  <si>
    <t>27AAAAA6267Z5</t>
  </si>
  <si>
    <t>27AAAAA6268Z5</t>
  </si>
  <si>
    <t>27AAAAA6269Z5</t>
  </si>
  <si>
    <t>27AAAAA6270Z5</t>
  </si>
  <si>
    <t>27AAAAA6271Z5</t>
  </si>
  <si>
    <t>27AAAAA6272Z5</t>
  </si>
  <si>
    <t>27AAAAA6273Z5</t>
  </si>
  <si>
    <t>27AAAAA6274Z5</t>
  </si>
  <si>
    <t>27AAAAA6275Z5</t>
  </si>
  <si>
    <t>27AAAAA6276Z5</t>
  </si>
  <si>
    <t>27AAAAA6277Z5</t>
  </si>
  <si>
    <t>27AAAAA6278Z5</t>
  </si>
  <si>
    <t>27AAAAA6279Z5</t>
  </si>
  <si>
    <t>27AAAAA6280Z5</t>
  </si>
  <si>
    <t>27AAAAA6281Z5</t>
  </si>
  <si>
    <t>27AAAAA6282Z5</t>
  </si>
  <si>
    <t>27AAAAA6283Z5</t>
  </si>
  <si>
    <t>27AAAAA6284Z5</t>
  </si>
  <si>
    <t>27AAAAA6285Z5</t>
  </si>
  <si>
    <t>27AAAAA6286Z5</t>
  </si>
  <si>
    <t>27AAAAA6287Z5</t>
  </si>
  <si>
    <t>27AAAAA6288Z5</t>
  </si>
  <si>
    <t>27AAAAA6289Z5</t>
  </si>
  <si>
    <t>27AAAAA6290Z5</t>
  </si>
  <si>
    <t>27AAAAA6291Z5</t>
  </si>
  <si>
    <t>27AAAAA6292Z5</t>
  </si>
  <si>
    <t>27AAAAA6293Z5</t>
  </si>
  <si>
    <t>27AAAAA6294Z5</t>
  </si>
  <si>
    <t>27AAAAA6295Z5</t>
  </si>
  <si>
    <t>27AAAAA6296Z5</t>
  </si>
  <si>
    <t>27AAAAA6297Z5</t>
  </si>
  <si>
    <t>27AAAAA6298Z5</t>
  </si>
  <si>
    <t>27AAAAA6299Z5</t>
  </si>
  <si>
    <t>27AAAAA6300Z5</t>
  </si>
  <si>
    <t>27AAAAA6301Z5</t>
  </si>
  <si>
    <t>27AAAAA6302Z5</t>
  </si>
  <si>
    <t>27AAAAA6303Z5</t>
  </si>
  <si>
    <t>27AAAAA6304Z5</t>
  </si>
  <si>
    <t>27AAAAA6305Z5</t>
  </si>
  <si>
    <t>27AAAAA6306Z5</t>
  </si>
  <si>
    <t>27AAAAA6307Z5</t>
  </si>
  <si>
    <t>27AAAAA6308Z5</t>
  </si>
  <si>
    <t>27AAAAA6309Z5</t>
  </si>
  <si>
    <t>27AAAAA6310Z5</t>
  </si>
  <si>
    <t>27AAAAA6311Z5</t>
  </si>
  <si>
    <t>27AAAAA6312Z5</t>
  </si>
  <si>
    <t>27AAAAA6313Z5</t>
  </si>
  <si>
    <t>27AAAAA6314Z5</t>
  </si>
  <si>
    <t>27AAAAA6315Z5</t>
  </si>
  <si>
    <t>27AAAAA6316Z5</t>
  </si>
  <si>
    <t>27AAAAA6317Z5</t>
  </si>
  <si>
    <t>27AAAAA6318Z5</t>
  </si>
  <si>
    <t>27AAAAA6319Z5</t>
  </si>
  <si>
    <t>27AAAAA6320Z5</t>
  </si>
  <si>
    <t>27AAAAA6321Z5</t>
  </si>
  <si>
    <t>27AAAAA6322Z5</t>
  </si>
  <si>
    <t>27AAAAA6323Z5</t>
  </si>
  <si>
    <t>27AAAAA6324Z5</t>
  </si>
  <si>
    <t>27AAAAA6325Z5</t>
  </si>
  <si>
    <t>27AAAAA6326Z5</t>
  </si>
  <si>
    <t>27AAAAA6327Z5</t>
  </si>
  <si>
    <t>27AAAAA6328Z5</t>
  </si>
  <si>
    <t>27AAAAA6329Z5</t>
  </si>
  <si>
    <t>27AAAAA6330Z5</t>
  </si>
  <si>
    <t>27AAAAA6331Z5</t>
  </si>
  <si>
    <t>27AAAAA6332Z5</t>
  </si>
  <si>
    <t>27AAAAA6333Z5</t>
  </si>
  <si>
    <t>27AAAAA6334Z5</t>
  </si>
  <si>
    <t>27AAAAA6335Z5</t>
  </si>
  <si>
    <t>27AAAAA6336Z5</t>
  </si>
  <si>
    <t>27AAAAA6337Z5</t>
  </si>
  <si>
    <t>27AAAAA6338Z5</t>
  </si>
  <si>
    <t>27AAAAA6339Z5</t>
  </si>
  <si>
    <t>27AAAAA6340Z5</t>
  </si>
  <si>
    <t>27AAAAA6341Z5</t>
  </si>
  <si>
    <t>27AAAAA6342Z5</t>
  </si>
  <si>
    <t>27AAAAA6343Z5</t>
  </si>
  <si>
    <t>27AAAAA6344Z5</t>
  </si>
  <si>
    <t>27AAAAA6345Z5</t>
  </si>
  <si>
    <t>27AAAAA6346Z5</t>
  </si>
  <si>
    <t>27AAAAA6347Z5</t>
  </si>
  <si>
    <t>27AAAAA6348Z5</t>
  </si>
  <si>
    <t>27AAAAA6349Z5</t>
  </si>
  <si>
    <t>27AAAAA6350Z5</t>
  </si>
  <si>
    <t>27AAAAA6351Z5</t>
  </si>
  <si>
    <t>27AAAAA6352Z5</t>
  </si>
  <si>
    <t>27AAAAA6353Z5</t>
  </si>
  <si>
    <t>27AAAAA6354Z5</t>
  </si>
  <si>
    <t>27AAAAA6355Z5</t>
  </si>
  <si>
    <t>27AAAAA6356Z5</t>
  </si>
  <si>
    <t>27AAAAA6357Z5</t>
  </si>
  <si>
    <t>27AAAAA6358Z5</t>
  </si>
  <si>
    <t>27AAAAA6359Z5</t>
  </si>
  <si>
    <t>27AAAAA6360Z5</t>
  </si>
  <si>
    <t>27AAAAA6361Z5</t>
  </si>
  <si>
    <t>27AAAAA6362Z5</t>
  </si>
  <si>
    <t>27AAAAA6363Z5</t>
  </si>
  <si>
    <t>27AAAAA6364Z5</t>
  </si>
  <si>
    <t>27AAAAA6365Z5</t>
  </si>
  <si>
    <t>27AAAAA6366Z5</t>
  </si>
  <si>
    <t>27AAAAA6367Z5</t>
  </si>
  <si>
    <t>27AAAAA6368Z5</t>
  </si>
  <si>
    <t>27AAAAA6369Z5</t>
  </si>
  <si>
    <t>27AAAAA6370Z5</t>
  </si>
  <si>
    <t>27AAAAA6371Z5</t>
  </si>
  <si>
    <t>27AAAAA6372Z5</t>
  </si>
  <si>
    <t>27AAAAA6373Z5</t>
  </si>
  <si>
    <t>27AAAAA6374Z5</t>
  </si>
  <si>
    <t>27AAAAA6375Z5</t>
  </si>
  <si>
    <t>27AAAAA6376Z5</t>
  </si>
  <si>
    <t>27AAAAA6377Z5</t>
  </si>
  <si>
    <t>27AAAAA6378Z5</t>
  </si>
  <si>
    <t>27AAAAA6379Z5</t>
  </si>
  <si>
    <t>27AAAAA6380Z5</t>
  </si>
  <si>
    <t>27AAAAA6381Z5</t>
  </si>
  <si>
    <t>27AAAAA6382Z5</t>
  </si>
  <si>
    <t>27AAAAA6383Z5</t>
  </si>
  <si>
    <t>27AAAAA6384Z5</t>
  </si>
  <si>
    <t>27AAAAA6385Z5</t>
  </si>
  <si>
    <t>27AAAAA6386Z5</t>
  </si>
  <si>
    <t>27AAAAA6387Z5</t>
  </si>
  <si>
    <t>27AAAAA6388Z5</t>
  </si>
  <si>
    <t>27AAAAA6389Z5</t>
  </si>
  <si>
    <t>27AAAAA6390Z5</t>
  </si>
  <si>
    <t>27AAAAA6391Z5</t>
  </si>
  <si>
    <t>27AAAAA6392Z5</t>
  </si>
  <si>
    <t>27AAAAA6393Z5</t>
  </si>
  <si>
    <t>27AAAAA6394Z5</t>
  </si>
  <si>
    <t>27AAAAA6395Z5</t>
  </si>
  <si>
    <t>27AAAAA6396Z5</t>
  </si>
  <si>
    <t>27AAAAA6397Z5</t>
  </si>
  <si>
    <t>27AAAAA6398Z5</t>
  </si>
  <si>
    <t>27AAAAA6399Z5</t>
  </si>
  <si>
    <t>27AAAAA6400Z5</t>
  </si>
  <si>
    <t>27AAAAA6401Z5</t>
  </si>
  <si>
    <t>27AAAAA6402Z5</t>
  </si>
  <si>
    <t>27AAAAA6403Z5</t>
  </si>
  <si>
    <t>27AAAAA6404Z5</t>
  </si>
  <si>
    <t>27AAAAA6405Z5</t>
  </si>
  <si>
    <t>27AAAAA6406Z5</t>
  </si>
  <si>
    <t>27AAAAA6407Z5</t>
  </si>
  <si>
    <t>27AAAAA6408Z5</t>
  </si>
  <si>
    <t>27AAAAA6409Z5</t>
  </si>
  <si>
    <t>27AAAAA6410Z5</t>
  </si>
  <si>
    <t>27AAAAA6411Z5</t>
  </si>
  <si>
    <t>27AAAAA6412Z5</t>
  </si>
  <si>
    <t>27AAAAA6413Z5</t>
  </si>
  <si>
    <t>27AAAAA6414Z5</t>
  </si>
  <si>
    <t>27AAAAA6415Z5</t>
  </si>
  <si>
    <t>27AAAAA6416Z5</t>
  </si>
  <si>
    <t>27AAAAA6417Z5</t>
  </si>
  <si>
    <t>27AAAAA6418Z5</t>
  </si>
  <si>
    <t>27AAAAA6419Z5</t>
  </si>
  <si>
    <t>27AAAAA6420Z5</t>
  </si>
  <si>
    <t>27AAAAA6421Z5</t>
  </si>
  <si>
    <t>27AAAAA6422Z5</t>
  </si>
  <si>
    <t>27AAAAA6423Z5</t>
  </si>
  <si>
    <t>27AAAAA6424Z5</t>
  </si>
  <si>
    <t>27AAAAA6425Z5</t>
  </si>
  <si>
    <t>27AAAAA6426Z5</t>
  </si>
  <si>
    <t>27AAAAA6427Z5</t>
  </si>
  <si>
    <t>27AAAAA6428Z5</t>
  </si>
  <si>
    <t>27AAAAA6429Z5</t>
  </si>
  <si>
    <t>27AAAAA6430Z5</t>
  </si>
  <si>
    <t>27AAAAA6431Z5</t>
  </si>
  <si>
    <t>27AAAAA6432Z5</t>
  </si>
  <si>
    <t>27AAAAA6433Z5</t>
  </si>
  <si>
    <t>27AAAAA6434Z5</t>
  </si>
  <si>
    <t>27AAAAA6435Z5</t>
  </si>
  <si>
    <t>27AAAAA6436Z5</t>
  </si>
  <si>
    <t>27AAAAA6437Z5</t>
  </si>
  <si>
    <t>27AAAAA6438Z5</t>
  </si>
  <si>
    <t>27AAAAA6439Z5</t>
  </si>
  <si>
    <t>27AAAAA6440Z5</t>
  </si>
  <si>
    <t>27AAAAA6441Z5</t>
  </si>
  <si>
    <t>27AAAAA6442Z5</t>
  </si>
  <si>
    <t>27AAAAA6443Z5</t>
  </si>
  <si>
    <t>27AAAAA6444Z5</t>
  </si>
  <si>
    <t>27AAAAA6445Z5</t>
  </si>
  <si>
    <t>27AAAAA6446Z5</t>
  </si>
  <si>
    <t>27AAAAA6447Z5</t>
  </si>
  <si>
    <t>27AAAAA6448Z5</t>
  </si>
  <si>
    <t>27AAAAA6449Z5</t>
  </si>
  <si>
    <t>27AAAAA6450Z5</t>
  </si>
  <si>
    <t>27AAAAA6451Z5</t>
  </si>
  <si>
    <t>27AAAAA6452Z5</t>
  </si>
  <si>
    <t>27AAAAA6453Z5</t>
  </si>
  <si>
    <t>27AAAAA6454Z5</t>
  </si>
  <si>
    <t>27AAAAA6455Z5</t>
  </si>
  <si>
    <t>27AAAAA6456Z5</t>
  </si>
  <si>
    <t>27AAAAA6457Z5</t>
  </si>
  <si>
    <t>27AAAAA6458Z5</t>
  </si>
  <si>
    <t>27AAAAA6459Z5</t>
  </si>
  <si>
    <t>27AAAAA6460Z5</t>
  </si>
  <si>
    <t>27AAAAA6461Z5</t>
  </si>
  <si>
    <t>27AAAAA6462Z5</t>
  </si>
  <si>
    <t>27AAAAA6463Z5</t>
  </si>
  <si>
    <t>27AAAAA6464Z5</t>
  </si>
  <si>
    <t>27AAAAA6465Z5</t>
  </si>
  <si>
    <t>27AAAAA6466Z5</t>
  </si>
  <si>
    <t>27AAAAA6467Z5</t>
  </si>
  <si>
    <t>27AAAAA6468Z5</t>
  </si>
  <si>
    <t>27AAAAA6469Z5</t>
  </si>
  <si>
    <t>27AAAAA6470Z5</t>
  </si>
  <si>
    <t>27AAAAA6471Z5</t>
  </si>
  <si>
    <t>27AAAAA6472Z5</t>
  </si>
  <si>
    <t>27AAAAA6473Z5</t>
  </si>
  <si>
    <t>27AAAAA6474Z5</t>
  </si>
  <si>
    <t>27AAAAA6475Z5</t>
  </si>
  <si>
    <t>27AAAAA6476Z5</t>
  </si>
  <si>
    <t>27AAAAA6477Z5</t>
  </si>
  <si>
    <t>27AAAAA6478Z5</t>
  </si>
  <si>
    <t>27AAAAA6479Z5</t>
  </si>
  <si>
    <t>27AAAAA6480Z5</t>
  </si>
  <si>
    <t>27AAAAA6481Z5</t>
  </si>
  <si>
    <t>27AAAAA6482Z5</t>
  </si>
  <si>
    <t>27AAAAA6483Z5</t>
  </si>
  <si>
    <t>27AAAAA6484Z5</t>
  </si>
  <si>
    <t>27AAAAA6485Z5</t>
  </si>
  <si>
    <t>27AAAAA6486Z5</t>
  </si>
  <si>
    <t>27AAAAA6487Z5</t>
  </si>
  <si>
    <t>27AAAAA6488Z5</t>
  </si>
  <si>
    <t>27AAAAA6489Z5</t>
  </si>
  <si>
    <t>27AAAAA6490Z5</t>
  </si>
  <si>
    <t>27AAAAA6491Z5</t>
  </si>
  <si>
    <t>27AAAAA6492Z5</t>
  </si>
  <si>
    <t>27AAAAA6493Z5</t>
  </si>
  <si>
    <t>27AAAAA6494Z5</t>
  </si>
  <si>
    <t>27AAAAA6495Z5</t>
  </si>
  <si>
    <t>27AAAAA6496Z5</t>
  </si>
  <si>
    <t>27AAAAA6497Z5</t>
  </si>
  <si>
    <t>27AAAAA6498Z5</t>
  </si>
  <si>
    <t>27AAAAA6499Z5</t>
  </si>
  <si>
    <t>27AAAAA6500Z5</t>
  </si>
  <si>
    <t>27AAAAA6501Z5</t>
  </si>
  <si>
    <t>27AAAAA6502Z5</t>
  </si>
  <si>
    <t>27AAAAA6503Z5</t>
  </si>
  <si>
    <t>27AAAAA6504Z5</t>
  </si>
  <si>
    <t>27AAAAA6505Z5</t>
  </si>
  <si>
    <t>27AAAAA6506Z5</t>
  </si>
  <si>
    <t>27AAAAA6507Z5</t>
  </si>
  <si>
    <t>27AAAAA6508Z5</t>
  </si>
  <si>
    <t>27AAAAA6509Z5</t>
  </si>
  <si>
    <t>27AAAAA6510Z5</t>
  </si>
  <si>
    <t>27AAAAA6511Z5</t>
  </si>
  <si>
    <t>27AAAAA6512Z5</t>
  </si>
  <si>
    <t>27AAAAA6513Z5</t>
  </si>
  <si>
    <t>27AAAAA6514Z5</t>
  </si>
  <si>
    <t>27AAAAA6515Z5</t>
  </si>
  <si>
    <t>27AAAAA6516Z5</t>
  </si>
  <si>
    <t>27AAAAA6517Z5</t>
  </si>
  <si>
    <t>27AAAAA6518Z5</t>
  </si>
  <si>
    <t>27AAAAA6519Z5</t>
  </si>
  <si>
    <t>27AAAAA6520Z5</t>
  </si>
  <si>
    <t>27AAAAA6521Z5</t>
  </si>
  <si>
    <t>27AAAAA6522Z5</t>
  </si>
  <si>
    <t>27AAAAA6523Z5</t>
  </si>
  <si>
    <t>27AAAAA6524Z5</t>
  </si>
  <si>
    <t>27AAAAA6525Z5</t>
  </si>
  <si>
    <t>27AAAAA6526Z5</t>
  </si>
  <si>
    <t>27AAAAA6527Z5</t>
  </si>
  <si>
    <t>27AAAAA6528Z5</t>
  </si>
  <si>
    <t>27AAAAA6529Z5</t>
  </si>
  <si>
    <t>27AAAAA6530Z5</t>
  </si>
  <si>
    <t>27AAAAA6531Z5</t>
  </si>
  <si>
    <t>27AAAAA6532Z5</t>
  </si>
  <si>
    <t>27AAAAA6533Z5</t>
  </si>
  <si>
    <t>27AAAAA6534Z5</t>
  </si>
  <si>
    <t>27AAAAA6535Z5</t>
  </si>
  <si>
    <t>27AAAAA6536Z5</t>
  </si>
  <si>
    <t>27AAAAA6537Z5</t>
  </si>
  <si>
    <t>27AAAAA6538Z5</t>
  </si>
  <si>
    <t>27AAAAA6539Z5</t>
  </si>
  <si>
    <t>27AAAAA6540Z5</t>
  </si>
  <si>
    <t>27AAAAA6541Z5</t>
  </si>
  <si>
    <t>27AAAAA6542Z5</t>
  </si>
  <si>
    <t>27AAAAA6543Z5</t>
  </si>
  <si>
    <t>27AAAAA6544Z5</t>
  </si>
  <si>
    <t>27AAAAA6545Z5</t>
  </si>
  <si>
    <t>27AAAAA6546Z5</t>
  </si>
  <si>
    <t>27AAAAA6547Z5</t>
  </si>
  <si>
    <t>27AAAAA6548Z5</t>
  </si>
  <si>
    <t>27AAAAA6549Z5</t>
  </si>
  <si>
    <t>27AAAAA6550Z5</t>
  </si>
  <si>
    <t>27AAAAA6551Z5</t>
  </si>
  <si>
    <t>27AAAAA6552Z5</t>
  </si>
  <si>
    <t>27AAAAA6553Z5</t>
  </si>
  <si>
    <t>27AAAAA6554Z5</t>
  </si>
  <si>
    <t>27AAAAA6555Z5</t>
  </si>
  <si>
    <t>27AAAAA6556Z5</t>
  </si>
  <si>
    <t>27AAAAA6557Z5</t>
  </si>
  <si>
    <t>27AAAAA6558Z5</t>
  </si>
  <si>
    <t>27AAAAA6559Z5</t>
  </si>
  <si>
    <t>27AAAAA6560Z5</t>
  </si>
  <si>
    <t>27AAAAA6561Z5</t>
  </si>
  <si>
    <t>27AAAAA6562Z5</t>
  </si>
  <si>
    <t>27AAAAA6563Z5</t>
  </si>
  <si>
    <t>27AAAAA6564Z5</t>
  </si>
  <si>
    <t>27AAAAA6565Z5</t>
  </si>
  <si>
    <t>27AAAAA6566Z5</t>
  </si>
  <si>
    <t>27AAAAA6567Z5</t>
  </si>
  <si>
    <t>27AAAAA6568Z5</t>
  </si>
  <si>
    <t>27AAAAA6569Z5</t>
  </si>
  <si>
    <t>27AAAAA6570Z5</t>
  </si>
  <si>
    <t>27AAAAA6571Z5</t>
  </si>
  <si>
    <t>27AAAAA6572Z5</t>
  </si>
  <si>
    <t>27AAAAA6573Z5</t>
  </si>
  <si>
    <t>27AAAAA6574Z5</t>
  </si>
  <si>
    <t>27AAAAA6575Z5</t>
  </si>
  <si>
    <t>27AAAAA6576Z5</t>
  </si>
  <si>
    <t>27AAAAA6577Z5</t>
  </si>
  <si>
    <t>27AAAAA6578Z5</t>
  </si>
  <si>
    <t>27AAAAA6579Z5</t>
  </si>
  <si>
    <t>27AAAAA6580Z5</t>
  </si>
  <si>
    <t>27AAAAA6581Z5</t>
  </si>
  <si>
    <t>27AAAAA6582Z5</t>
  </si>
  <si>
    <t>27AAAAA6583Z5</t>
  </si>
  <si>
    <t>27AAAAA6584Z5</t>
  </si>
  <si>
    <t>27AAAAA6585Z5</t>
  </si>
  <si>
    <t>27AAAAA6586Z5</t>
  </si>
  <si>
    <t>27AAAAA6587Z5</t>
  </si>
  <si>
    <t>27AAAAA6588Z5</t>
  </si>
  <si>
    <t>27AAAAA6589Z5</t>
  </si>
  <si>
    <t>27AAAAA6590Z5</t>
  </si>
  <si>
    <t>27AAAAA6591Z5</t>
  </si>
  <si>
    <t>27AAAAA6592Z5</t>
  </si>
  <si>
    <t>27AAAAA6593Z5</t>
  </si>
  <si>
    <t>27AAAAA6594Z5</t>
  </si>
  <si>
    <t>27AAAAA6595Z5</t>
  </si>
  <si>
    <t>27AAAAA6596Z5</t>
  </si>
  <si>
    <t>27AAAAA6597Z5</t>
  </si>
  <si>
    <t>27AAAAA6598Z5</t>
  </si>
  <si>
    <t>27AAAAA6599Z5</t>
  </si>
  <si>
    <t>27AAAAA6600Z5</t>
  </si>
  <si>
    <t>27AAAAA6601Z5</t>
  </si>
  <si>
    <t>27AAAAA6602Z5</t>
  </si>
  <si>
    <t>27AAAAA6603Z5</t>
  </si>
  <si>
    <t>27AAAAA6604Z5</t>
  </si>
  <si>
    <t>27AAAAA6605Z5</t>
  </si>
  <si>
    <t>27AAAAA6606Z5</t>
  </si>
  <si>
    <t>27AAAAA6607Z5</t>
  </si>
  <si>
    <t>27AAAAA6608Z5</t>
  </si>
  <si>
    <t>27AAAAA6609Z5</t>
  </si>
  <si>
    <t>27AAAAA6610Z5</t>
  </si>
  <si>
    <t>27AAAAA6611Z5</t>
  </si>
  <si>
    <t>27AAAAA6612Z5</t>
  </si>
  <si>
    <t>27AAAAA6613Z5</t>
  </si>
  <si>
    <t>27AAAAA6614Z5</t>
  </si>
  <si>
    <t>27AAAAA6615Z5</t>
  </si>
  <si>
    <t>27AAAAA6616Z5</t>
  </si>
  <si>
    <t>27AAAAA6617Z5</t>
  </si>
  <si>
    <t>27AAAAA6618Z5</t>
  </si>
  <si>
    <t>27AAAAA6619Z5</t>
  </si>
  <si>
    <t>27AAAAA6620Z5</t>
  </si>
  <si>
    <t>27AAAAA6621Z5</t>
  </si>
  <si>
    <t>27AAAAA6622Z5</t>
  </si>
  <si>
    <t>27AAAAA6623Z5</t>
  </si>
  <si>
    <t>27AAAAA6624Z5</t>
  </si>
  <si>
    <t>27AAAAA6625Z5</t>
  </si>
  <si>
    <t>27AAAAA6626Z5</t>
  </si>
  <si>
    <t>27AAAAA6627Z5</t>
  </si>
  <si>
    <t>27AAAAA6628Z5</t>
  </si>
  <si>
    <t>27AAAAA6629Z5</t>
  </si>
  <si>
    <t>27AAAAA6630Z5</t>
  </si>
  <si>
    <t>27AAAAA6631Z5</t>
  </si>
  <si>
    <t>27AAAAA6632Z5</t>
  </si>
  <si>
    <t>27AAAAA6633Z5</t>
  </si>
  <si>
    <t>27AAAAA6634Z5</t>
  </si>
  <si>
    <t>27AAAAA6635Z5</t>
  </si>
  <si>
    <t>27AAAAA6636Z5</t>
  </si>
  <si>
    <t>27AAAAA6637Z5</t>
  </si>
  <si>
    <t>27AAAAA6638Z5</t>
  </si>
  <si>
    <t>27AAAAA6639Z5</t>
  </si>
  <si>
    <t>27AAAAA6640Z5</t>
  </si>
  <si>
    <t>27AAAAA6641Z5</t>
  </si>
  <si>
    <t>27AAAAA6642Z5</t>
  </si>
  <si>
    <t>27AAAAA6643Z5</t>
  </si>
  <si>
    <t>27AAAAA6644Z5</t>
  </si>
  <si>
    <t>27AAAAA6645Z5</t>
  </si>
  <si>
    <t>27AAAAA6646Z5</t>
  </si>
  <si>
    <t>27AAAAA6647Z5</t>
  </si>
  <si>
    <t>27AAAAA6648Z5</t>
  </si>
  <si>
    <t>27AAAAA6649Z5</t>
  </si>
  <si>
    <t>27AAAAA6650Z5</t>
  </si>
  <si>
    <t>27AAAAA6651Z5</t>
  </si>
  <si>
    <t>27AAAAA6652Z5</t>
  </si>
  <si>
    <t>27AAAAA6653Z5</t>
  </si>
  <si>
    <t>27AAAAA6654Z5</t>
  </si>
  <si>
    <t>27AAAAA6655Z5</t>
  </si>
  <si>
    <t>27AAAAA6656Z5</t>
  </si>
  <si>
    <t>27AAAAA6657Z5</t>
  </si>
  <si>
    <t>27AAAAA6658Z5</t>
  </si>
  <si>
    <t>27AAAAA6659Z5</t>
  </si>
  <si>
    <t>27AAAAA6660Z5</t>
  </si>
  <si>
    <t>27AAAAA6661Z5</t>
  </si>
  <si>
    <t>27AAAAA6662Z5</t>
  </si>
  <si>
    <t>27AAAAA6663Z5</t>
  </si>
  <si>
    <t>27AAAAA6664Z5</t>
  </si>
  <si>
    <t>27AAAAA6665Z5</t>
  </si>
  <si>
    <t>27AAAAA6666Z5</t>
  </si>
  <si>
    <t>27AAAAA6667Z5</t>
  </si>
  <si>
    <t>27AAAAA6668Z5</t>
  </si>
  <si>
    <t>27AAAAA6669Z5</t>
  </si>
  <si>
    <t>27AAAAA6670Z5</t>
  </si>
  <si>
    <t>27AAAAA6671Z5</t>
  </si>
  <si>
    <t>27AAAAA6672Z5</t>
  </si>
  <si>
    <t>27AAAAA6673Z5</t>
  </si>
  <si>
    <t>27AAAAA6674Z5</t>
  </si>
  <si>
    <t>27AAAAA6675Z5</t>
  </si>
  <si>
    <t>27AAAAA6676Z5</t>
  </si>
  <si>
    <t>27AAAAA6677Z5</t>
  </si>
  <si>
    <t>27AAAAA6678Z5</t>
  </si>
  <si>
    <t>27AAAAA6679Z5</t>
  </si>
  <si>
    <t>27AAAAA6680Z5</t>
  </si>
  <si>
    <t>27AAAAA6681Z5</t>
  </si>
  <si>
    <t>27AAAAA6682Z5</t>
  </si>
  <si>
    <t>27AAAAA6683Z5</t>
  </si>
  <si>
    <t>27AAAAA6684Z5</t>
  </si>
  <si>
    <t>27AAAAA6685Z5</t>
  </si>
  <si>
    <t>27AAAAA6686Z5</t>
  </si>
  <si>
    <t>27AAAAA6687Z5</t>
  </si>
  <si>
    <t>27AAAAA6688Z5</t>
  </si>
  <si>
    <t>27AAAAA6689Z5</t>
  </si>
  <si>
    <t>27AAAAA6690Z5</t>
  </si>
  <si>
    <t>27AAAAA6691Z5</t>
  </si>
  <si>
    <t>27AAAAA6692Z5</t>
  </si>
  <si>
    <t>27AAAAA6693Z5</t>
  </si>
  <si>
    <t>27AAAAA6694Z5</t>
  </si>
  <si>
    <t>27AAAAA6695Z5</t>
  </si>
  <si>
    <t>27AAAAA6696Z5</t>
  </si>
  <si>
    <t>27AAAAA6697Z5</t>
  </si>
  <si>
    <t>27AAAAA6698Z5</t>
  </si>
  <si>
    <t>27AAAAA6699Z5</t>
  </si>
  <si>
    <t>27AAAAA6700Z5</t>
  </si>
  <si>
    <t>27AAAAA6701Z5</t>
  </si>
  <si>
    <t>27AAAAA6702Z5</t>
  </si>
  <si>
    <t>27AAAAA6703Z5</t>
  </si>
  <si>
    <t>27AAAAA6704Z5</t>
  </si>
  <si>
    <t>27AAAAA6705Z5</t>
  </si>
  <si>
    <t>27AAAAA6706Z5</t>
  </si>
  <si>
    <t>27AAAAA6707Z5</t>
  </si>
  <si>
    <t>27AAAAA6708Z5</t>
  </si>
  <si>
    <t>27AAAAA6709Z5</t>
  </si>
  <si>
    <t>27AAAAA6710Z5</t>
  </si>
  <si>
    <t>27AAAAA6711Z5</t>
  </si>
  <si>
    <t>27AAAAA6712Z5</t>
  </si>
  <si>
    <t>27AAAAA6713Z5</t>
  </si>
  <si>
    <t>27AAAAA6714Z5</t>
  </si>
  <si>
    <t>27AAAAA6715Z5</t>
  </si>
  <si>
    <t>27AAAAA6716Z5</t>
  </si>
  <si>
    <t>27AAAAA6717Z5</t>
  </si>
  <si>
    <t>27AAAAA6718Z5</t>
  </si>
  <si>
    <t>27AAAAA6719Z5</t>
  </si>
  <si>
    <t>27AAAAA6720Z5</t>
  </si>
  <si>
    <t>27AAAAA6721Z5</t>
  </si>
  <si>
    <t>27AAAAA6722Z5</t>
  </si>
  <si>
    <t>27AAAAA6723Z5</t>
  </si>
  <si>
    <t>27AAAAA6724Z5</t>
  </si>
  <si>
    <t>27AAAAA6725Z5</t>
  </si>
  <si>
    <t>27AAAAA6726Z5</t>
  </si>
  <si>
    <t>27AAAAA6727Z5</t>
  </si>
  <si>
    <t>27AAAAA6728Z5</t>
  </si>
  <si>
    <t>27AAAAA6729Z5</t>
  </si>
  <si>
    <t>27AAAAA6730Z5</t>
  </si>
  <si>
    <t>27AAAAA6731Z5</t>
  </si>
  <si>
    <t>27AAAAA6732Z5</t>
  </si>
  <si>
    <t>27AAAAA6733Z5</t>
  </si>
  <si>
    <t>27AAAAA6734Z5</t>
  </si>
  <si>
    <t>27AAAAA6735Z5</t>
  </si>
  <si>
    <t>27AAAAA6736Z5</t>
  </si>
  <si>
    <t>27AAAAA6737Z5</t>
  </si>
  <si>
    <t>27AAAAA6738Z5</t>
  </si>
  <si>
    <t>27AAAAA6739Z5</t>
  </si>
  <si>
    <t>27AAAAA6740Z5</t>
  </si>
  <si>
    <t>27AAAAA6741Z5</t>
  </si>
  <si>
    <t>27AAAAA6742Z5</t>
  </si>
  <si>
    <t>27AAAAA6743Z5</t>
  </si>
  <si>
    <t>27AAAAA6744Z5</t>
  </si>
  <si>
    <t>27AAAAA6745Z5</t>
  </si>
  <si>
    <t>27AAAAA6746Z5</t>
  </si>
  <si>
    <t>27AAAAA6747Z5</t>
  </si>
  <si>
    <t>27AAAAA6748Z5</t>
  </si>
  <si>
    <t>27AAAAA6749Z5</t>
  </si>
  <si>
    <t>27AAAAA6750Z5</t>
  </si>
  <si>
    <t>27AAAAA6751Z5</t>
  </si>
  <si>
    <t>27AAAAA6752Z5</t>
  </si>
  <si>
    <t>27AAAAA6753Z5</t>
  </si>
  <si>
    <t>27AAAAA6754Z5</t>
  </si>
  <si>
    <t>27AAAAA6755Z5</t>
  </si>
  <si>
    <t>27AAAAA6756Z5</t>
  </si>
  <si>
    <t>27AAAAA6757Z5</t>
  </si>
  <si>
    <t>27AAAAA6758Z5</t>
  </si>
  <si>
    <t>27AAAAA6759Z5</t>
  </si>
  <si>
    <t>27AAAAA6760Z5</t>
  </si>
  <si>
    <t>27AAAAA6761Z5</t>
  </si>
  <si>
    <t>27AAAAA6762Z5</t>
  </si>
  <si>
    <t>27AAAAA6763Z5</t>
  </si>
  <si>
    <t>27AAAAA6764Z5</t>
  </si>
  <si>
    <t>27AAAAA6765Z5</t>
  </si>
  <si>
    <t>27AAAAA6766Z5</t>
  </si>
  <si>
    <t>27AAAAA6767Z5</t>
  </si>
  <si>
    <t>27AAAAA6768Z5</t>
  </si>
  <si>
    <t>27AAAAA6769Z5</t>
  </si>
  <si>
    <t>27AAAAA6770Z5</t>
  </si>
  <si>
    <t>27AAAAA6771Z5</t>
  </si>
  <si>
    <t>27AAAAA6772Z5</t>
  </si>
  <si>
    <t>27AAAAA6773Z5</t>
  </si>
  <si>
    <t>27AAAAA6774Z5</t>
  </si>
  <si>
    <t>27AAAAA6775Z5</t>
  </si>
  <si>
    <t>27AAAAA6776Z5</t>
  </si>
  <si>
    <t>27AAAAA6777Z5</t>
  </si>
  <si>
    <t>27AAAAA6778Z5</t>
  </si>
  <si>
    <t>27AAAAA6779Z5</t>
  </si>
  <si>
    <t>27AAAAA6780Z5</t>
  </si>
  <si>
    <t>27AAAAA6781Z5</t>
  </si>
  <si>
    <t>27AAAAA6782Z5</t>
  </si>
  <si>
    <t>27AAAAA6783Z5</t>
  </si>
  <si>
    <t>27AAAAA6784Z5</t>
  </si>
  <si>
    <t>27AAAAA6785Z5</t>
  </si>
  <si>
    <t>27AAAAA6786Z5</t>
  </si>
  <si>
    <t>27AAAAA6787Z5</t>
  </si>
  <si>
    <t>27AAAAA6788Z5</t>
  </si>
  <si>
    <t>27AAAAA6789Z5</t>
  </si>
  <si>
    <t>27AAAAA6790Z5</t>
  </si>
  <si>
    <t>27AAAAA6791Z5</t>
  </si>
  <si>
    <t>27AAAAA6792Z5</t>
  </si>
  <si>
    <t>27AAAAA6793Z5</t>
  </si>
  <si>
    <t>27AAAAA6794Z5</t>
  </si>
  <si>
    <t>27AAAAA6795Z5</t>
  </si>
  <si>
    <t>27AAAAA6796Z5</t>
  </si>
  <si>
    <t>27AAAAA6797Z5</t>
  </si>
  <si>
    <t>27AAAAA6798Z5</t>
  </si>
  <si>
    <t>27AAAAA6799Z5</t>
  </si>
  <si>
    <t>27AAAAA6800Z5</t>
  </si>
  <si>
    <t>27AAAAA6801Z5</t>
  </si>
  <si>
    <t>27AAAAA6802Z5</t>
  </si>
  <si>
    <t>27AAAAA6803Z5</t>
  </si>
  <si>
    <t>27AAAAA6804Z5</t>
  </si>
  <si>
    <t>27AAAAA6805Z5</t>
  </si>
  <si>
    <t>27AAAAA6806Z5</t>
  </si>
  <si>
    <t>27AAAAA6807Z5</t>
  </si>
  <si>
    <t>27AAAAA6808Z5</t>
  </si>
  <si>
    <t>27AAAAA6809Z5</t>
  </si>
  <si>
    <t>27AAAAA6810Z5</t>
  </si>
  <si>
    <t>27AAAAA6811Z5</t>
  </si>
  <si>
    <t>27AAAAA6812Z5</t>
  </si>
  <si>
    <t>27AAAAA6813Z5</t>
  </si>
  <si>
    <t>27AAAAA6814Z5</t>
  </si>
  <si>
    <t>27AAAAA6815Z5</t>
  </si>
  <si>
    <t>27AAAAA6816Z5</t>
  </si>
  <si>
    <t>27AAAAA6817Z5</t>
  </si>
  <si>
    <t>27AAAAA6818Z5</t>
  </si>
  <si>
    <t>27AAAAA6819Z5</t>
  </si>
  <si>
    <t>27AAAAA6820Z5</t>
  </si>
  <si>
    <t>27AAAAA6821Z5</t>
  </si>
  <si>
    <t>27AAAAA6822Z5</t>
  </si>
  <si>
    <t>27AAAAA6823Z5</t>
  </si>
  <si>
    <t>27AAAAA6824Z5</t>
  </si>
  <si>
    <t>27AAAAA6825Z5</t>
  </si>
  <si>
    <t>27AAAAA6826Z5</t>
  </si>
  <si>
    <t>27AAAAA6827Z5</t>
  </si>
  <si>
    <t>27AAAAA6828Z5</t>
  </si>
  <si>
    <t>27AAAAA6829Z5</t>
  </si>
  <si>
    <t>27AAAAA6830Z5</t>
  </si>
  <si>
    <t>27AAAAA6831Z5</t>
  </si>
  <si>
    <t>27AAAAA6832Z5</t>
  </si>
  <si>
    <t>27AAAAA6833Z5</t>
  </si>
  <si>
    <t>27AAAAA6834Z5</t>
  </si>
  <si>
    <t>27AAAAA6835Z5</t>
  </si>
  <si>
    <t>27AAAAA6836Z5</t>
  </si>
  <si>
    <t>27AAAAA6837Z5</t>
  </si>
  <si>
    <t>27AAAAA6838Z5</t>
  </si>
  <si>
    <t>27AAAAA6839Z5</t>
  </si>
  <si>
    <t>27AAAAA6840Z5</t>
  </si>
  <si>
    <t>27AAAAA6841Z5</t>
  </si>
  <si>
    <t>27AAAAA6842Z5</t>
  </si>
  <si>
    <t>27AAAAA6843Z5</t>
  </si>
  <si>
    <t>27AAAAA6844Z5</t>
  </si>
  <si>
    <t>27AAAAA6845Z5</t>
  </si>
  <si>
    <t>27AAAAA6846Z5</t>
  </si>
  <si>
    <t>27AAAAA6847Z5</t>
  </si>
  <si>
    <t>27AAAAA6848Z5</t>
  </si>
  <si>
    <t>27AAAAA6849Z5</t>
  </si>
  <si>
    <t>27AAAAA6850Z5</t>
  </si>
  <si>
    <t>27AAAAA6851Z5</t>
  </si>
  <si>
    <t>27AAAAA6852Z5</t>
  </si>
  <si>
    <t>27AAAAA6853Z5</t>
  </si>
  <si>
    <t>27AAAAA6854Z5</t>
  </si>
  <si>
    <t>27AAAAA6855Z5</t>
  </si>
  <si>
    <t>27AAAAA6856Z5</t>
  </si>
  <si>
    <t>27AAAAA6857Z5</t>
  </si>
  <si>
    <t>27AAAAA6858Z5</t>
  </si>
  <si>
    <t>27AAAAA6859Z5</t>
  </si>
  <si>
    <t>27AAAAA6860Z5</t>
  </si>
  <si>
    <t>27AAAAA6861Z5</t>
  </si>
  <si>
    <t>27AAAAA6862Z5</t>
  </si>
  <si>
    <t>27AAAAA6863Z5</t>
  </si>
  <si>
    <t>27AAAAA6864Z5</t>
  </si>
  <si>
    <t>27AAAAA6865Z5</t>
  </si>
  <si>
    <t>27AAAAA6866Z5</t>
  </si>
  <si>
    <t>27AAAAA6867Z5</t>
  </si>
  <si>
    <t>27AAAAA6868Z5</t>
  </si>
  <si>
    <t>27AAAAA6869Z5</t>
  </si>
  <si>
    <t>27AAAAA6870Z5</t>
  </si>
  <si>
    <t>27AAAAA6871Z5</t>
  </si>
  <si>
    <t>27AAAAA6872Z5</t>
  </si>
  <si>
    <t>27AAAAA6873Z5</t>
  </si>
  <si>
    <t>27AAAAA6874Z5</t>
  </si>
  <si>
    <t>27AAAAA6875Z5</t>
  </si>
  <si>
    <t>27AAAAA6876Z5</t>
  </si>
  <si>
    <t>27AAAAA6877Z5</t>
  </si>
  <si>
    <t>27AAAAA6878Z5</t>
  </si>
  <si>
    <t>27AAAAA6879Z5</t>
  </si>
  <si>
    <t>27AAAAA6880Z5</t>
  </si>
  <si>
    <t>27AAAAA6881Z5</t>
  </si>
  <si>
    <t>27AAAAA6882Z5</t>
  </si>
  <si>
    <t>27AAAAA6883Z5</t>
  </si>
  <si>
    <t>27AAAAA6884Z5</t>
  </si>
  <si>
    <t>27AAAAA6885Z5</t>
  </si>
  <si>
    <t>27AAAAA6886Z5</t>
  </si>
  <si>
    <t>27AAAAA6887Z5</t>
  </si>
  <si>
    <t>27AAAAA6888Z5</t>
  </si>
  <si>
    <t>27AAAAA6889Z5</t>
  </si>
  <si>
    <t>27AAAAA6890Z5</t>
  </si>
  <si>
    <t>27AAAAA6891Z5</t>
  </si>
  <si>
    <t>27AAAAA6892Z5</t>
  </si>
  <si>
    <t>27AAAAA6893Z5</t>
  </si>
  <si>
    <t>27AAAAA6894Z5</t>
  </si>
  <si>
    <t>27AAAAA6895Z5</t>
  </si>
  <si>
    <t>27AAAAA6896Z5</t>
  </si>
  <si>
    <t>27AAAAA6897Z5</t>
  </si>
  <si>
    <t>27AAAAA6898Z5</t>
  </si>
  <si>
    <t>27AAAAA6899Z5</t>
  </si>
  <si>
    <t>27AAAAA6900Z5</t>
  </si>
  <si>
    <t>27AAAAA6901Z5</t>
  </si>
  <si>
    <t>27AAAAA6902Z5</t>
  </si>
  <si>
    <t>27AAAAA6903Z5</t>
  </si>
  <si>
    <t>27AAAAA6904Z5</t>
  </si>
  <si>
    <t>27AAAAA6905Z5</t>
  </si>
  <si>
    <t>27AAAAA6906Z5</t>
  </si>
  <si>
    <t>27AAAAA6907Z5</t>
  </si>
  <si>
    <t>27AAAAA6908Z5</t>
  </si>
  <si>
    <t>27AAAAA6909Z5</t>
  </si>
  <si>
    <t>27AAAAA6910Z5</t>
  </si>
  <si>
    <t>27AAAAA6911Z5</t>
  </si>
  <si>
    <t>27AAAAA6912Z5</t>
  </si>
  <si>
    <t>27AAAAA6913Z5</t>
  </si>
  <si>
    <t>27AAAAA6914Z5</t>
  </si>
  <si>
    <t>27AAAAA6915Z5</t>
  </si>
  <si>
    <t>27AAAAA6916Z5</t>
  </si>
  <si>
    <t>27AAAAA6917Z5</t>
  </si>
  <si>
    <t>27AAAAA6918Z5</t>
  </si>
  <si>
    <t>27AAAAA6919Z5</t>
  </si>
  <si>
    <t>27AAAAA6920Z5</t>
  </si>
  <si>
    <t>27AAAAA6921Z5</t>
  </si>
  <si>
    <t>27AAAAA6922Z5</t>
  </si>
  <si>
    <t>27AAAAA6923Z5</t>
  </si>
  <si>
    <t>27AAAAA6924Z5</t>
  </si>
  <si>
    <t>27AAAAA6925Z5</t>
  </si>
  <si>
    <t>27AAAAA6926Z5</t>
  </si>
  <si>
    <t>27AAAAA6927Z5</t>
  </si>
  <si>
    <t>27AAAAA6928Z5</t>
  </si>
  <si>
    <t>27AAAAA6929Z5</t>
  </si>
  <si>
    <t>27AAAAA6930Z5</t>
  </si>
  <si>
    <t>27AAAAA6931Z5</t>
  </si>
  <si>
    <t>27AAAAA6932Z5</t>
  </si>
  <si>
    <t>27AAAAA6933Z5</t>
  </si>
  <si>
    <t>27AAAAA6934Z5</t>
  </si>
  <si>
    <t>27AAAAA6935Z5</t>
  </si>
  <si>
    <t>27AAAAA6936Z5</t>
  </si>
  <si>
    <t>27AAAAA6937Z5</t>
  </si>
  <si>
    <t>27AAAAA6938Z5</t>
  </si>
  <si>
    <t>27AAAAA6939Z5</t>
  </si>
  <si>
    <t>27AAAAA6940Z5</t>
  </si>
  <si>
    <t>27AAAAA6941Z5</t>
  </si>
  <si>
    <t>27AAAAA6942Z5</t>
  </si>
  <si>
    <t>27AAAAA6943Z5</t>
  </si>
  <si>
    <t>27AAAAA6944Z5</t>
  </si>
  <si>
    <t>27AAAAA6945Z5</t>
  </si>
  <si>
    <t>27AAAAA6946Z5</t>
  </si>
  <si>
    <t>27AAAAA6947Z5</t>
  </si>
  <si>
    <t>27AAAAA6948Z5</t>
  </si>
  <si>
    <t>27AAAAA6949Z5</t>
  </si>
  <si>
    <t>27AAAAA6950Z5</t>
  </si>
  <si>
    <t>27AAAAA6951Z5</t>
  </si>
  <si>
    <t>27AAAAA6952Z5</t>
  </si>
  <si>
    <t>27AAAAA6953Z5</t>
  </si>
  <si>
    <t>27AAAAA6954Z5</t>
  </si>
  <si>
    <t>27AAAAA6955Z5</t>
  </si>
  <si>
    <t>27AAAAA6956Z5</t>
  </si>
  <si>
    <t>27AAAAA6957Z5</t>
  </si>
  <si>
    <t>27AAAAA6958Z5</t>
  </si>
  <si>
    <t>27AAAAA6959Z5</t>
  </si>
  <si>
    <t>27AAAAA6960Z5</t>
  </si>
  <si>
    <t>27AAAAA6961Z5</t>
  </si>
  <si>
    <t>27AAAAA6962Z5</t>
  </si>
  <si>
    <t>27AAAAA6963Z5</t>
  </si>
  <si>
    <t>27AAAAA6964Z5</t>
  </si>
  <si>
    <t>27AAAAA6965Z5</t>
  </si>
  <si>
    <t>27AAAAA6966Z5</t>
  </si>
  <si>
    <t>27AAAAA6967Z5</t>
  </si>
  <si>
    <t>27AAAAA6968Z5</t>
  </si>
  <si>
    <t>27AAAAA6969Z5</t>
  </si>
  <si>
    <t>27AAAAA6970Z5</t>
  </si>
  <si>
    <t>27AAAAA6971Z5</t>
  </si>
  <si>
    <t>27AAAAA6972Z5</t>
  </si>
  <si>
    <t>27AAAAA6973Z5</t>
  </si>
  <si>
    <t>27AAAAA6974Z5</t>
  </si>
  <si>
    <t>27AAAAA6975Z5</t>
  </si>
  <si>
    <t>27AAAAA6976Z5</t>
  </si>
  <si>
    <t>27AAAAA6977Z5</t>
  </si>
  <si>
    <t>27AAAAA6978Z5</t>
  </si>
  <si>
    <t>27AAAAA6979Z5</t>
  </si>
  <si>
    <t>27AAAAA6980Z5</t>
  </si>
  <si>
    <t>27AAAAA6981Z5</t>
  </si>
  <si>
    <t>27AAAAA6982Z5</t>
  </si>
  <si>
    <t>27AAAAA6983Z5</t>
  </si>
  <si>
    <t>27AAAAA6984Z5</t>
  </si>
  <si>
    <t>27AAAAA6985Z5</t>
  </si>
  <si>
    <t>27AAAAA6986Z5</t>
  </si>
  <si>
    <t>27AAAAA6987Z5</t>
  </si>
  <si>
    <t>27AAAAA6988Z5</t>
  </si>
  <si>
    <t>27AAAAA6989Z5</t>
  </si>
  <si>
    <t>27AAAAA6990Z5</t>
  </si>
  <si>
    <t>27AAAAA6991Z5</t>
  </si>
  <si>
    <t>27AAAAA6992Z5</t>
  </si>
  <si>
    <t>27AAAAA6993Z5</t>
  </si>
  <si>
    <t>27AAAAA6994Z5</t>
  </si>
  <si>
    <t>27AAAAA6995Z5</t>
  </si>
  <si>
    <t>27AAAAA6996Z5</t>
  </si>
  <si>
    <t>27AAAAA6997Z5</t>
  </si>
  <si>
    <t>27AAAAA6998Z5</t>
  </si>
  <si>
    <t>27AAAAA6999Z5</t>
  </si>
  <si>
    <t>27AAAAA7000Z5</t>
  </si>
  <si>
    <t>27AAAAA7001Z5</t>
  </si>
  <si>
    <t>27AAAAA7002Z5</t>
  </si>
  <si>
    <t>27AAAAA7003Z5</t>
  </si>
  <si>
    <t>27AAAAA7004Z5</t>
  </si>
  <si>
    <t>27AAAAA7005Z5</t>
  </si>
  <si>
    <t>27AAAAA7006Z5</t>
  </si>
  <si>
    <t>27AAAAA7007Z5</t>
  </si>
  <si>
    <t>27AAAAA7008Z5</t>
  </si>
  <si>
    <t>27AAAAA7009Z5</t>
  </si>
  <si>
    <t>27AAAAA7010Z5</t>
  </si>
  <si>
    <t>27AAAAA7011Z5</t>
  </si>
  <si>
    <t>27AAAAA7012Z5</t>
  </si>
  <si>
    <t>27AAAAA7013Z5</t>
  </si>
  <si>
    <t>27AAAAA7014Z5</t>
  </si>
  <si>
    <t>27AAAAA7015Z5</t>
  </si>
  <si>
    <t>27AAAAA7016Z5</t>
  </si>
  <si>
    <t>27AAAAA7017Z5</t>
  </si>
  <si>
    <t>27AAAAA7018Z5</t>
  </si>
  <si>
    <t>27AAAAA7019Z5</t>
  </si>
  <si>
    <t>27AAAAA7020Z5</t>
  </si>
  <si>
    <t>27AAAAA7021Z5</t>
  </si>
  <si>
    <t>27AAAAA7022Z5</t>
  </si>
  <si>
    <t>27AAAAA7023Z5</t>
  </si>
  <si>
    <t>27AAAAA7024Z5</t>
  </si>
  <si>
    <t>27AAAAA7025Z5</t>
  </si>
  <si>
    <t>27AAAAA7026Z5</t>
  </si>
  <si>
    <t>27AAAAA7027Z5</t>
  </si>
  <si>
    <t>27AAAAA7028Z5</t>
  </si>
  <si>
    <t>27AAAAA7029Z5</t>
  </si>
  <si>
    <t>27AAAAA7030Z5</t>
  </si>
  <si>
    <t>27AAAAA7031Z5</t>
  </si>
  <si>
    <t>27AAAAA7032Z5</t>
  </si>
  <si>
    <t>27AAAAA7033Z5</t>
  </si>
  <si>
    <t>27AAAAA7034Z5</t>
  </si>
  <si>
    <t>27AAAAA7035Z5</t>
  </si>
  <si>
    <t>27AAAAA7036Z5</t>
  </si>
  <si>
    <t>27AAAAA7037Z5</t>
  </si>
  <si>
    <t>27AAAAA7038Z5</t>
  </si>
  <si>
    <t>27AAAAA7039Z5</t>
  </si>
  <si>
    <t>27AAAAA7040Z5</t>
  </si>
  <si>
    <t>27AAAAA7041Z5</t>
  </si>
  <si>
    <t>27AAAAA7042Z5</t>
  </si>
  <si>
    <t>27AAAAA7043Z5</t>
  </si>
  <si>
    <t>27AAAAA7044Z5</t>
  </si>
  <si>
    <t>27AAAAA7045Z5</t>
  </si>
  <si>
    <t>27AAAAA7046Z5</t>
  </si>
  <si>
    <t>27AAAAA7047Z5</t>
  </si>
  <si>
    <t>27AAAAA7048Z5</t>
  </si>
  <si>
    <t>27AAAAA7049Z5</t>
  </si>
  <si>
    <t>27AAAAA7050Z5</t>
  </si>
  <si>
    <t>27AAAAA7051Z5</t>
  </si>
  <si>
    <t>27AAAAA7052Z5</t>
  </si>
  <si>
    <t>27AAAAA7053Z5</t>
  </si>
  <si>
    <t>27AAAAA7054Z5</t>
  </si>
  <si>
    <t>27AAAAA7055Z5</t>
  </si>
  <si>
    <t>27AAAAA7056Z5</t>
  </si>
  <si>
    <t>27AAAAA7057Z5</t>
  </si>
  <si>
    <t>27AAAAA7058Z5</t>
  </si>
  <si>
    <t>27AAAAA7059Z5</t>
  </si>
  <si>
    <t>27AAAAA7060Z5</t>
  </si>
  <si>
    <t>27AAAAA7061Z5</t>
  </si>
  <si>
    <t>27AAAAA7062Z5</t>
  </si>
  <si>
    <t>27AAAAA7063Z5</t>
  </si>
  <si>
    <t>27AAAAA7064Z5</t>
  </si>
  <si>
    <t>27AAAAA7065Z5</t>
  </si>
  <si>
    <t>27AAAAA7066Z5</t>
  </si>
  <si>
    <t>27AAAAA7067Z5</t>
  </si>
  <si>
    <t>27AAAAA7068Z5</t>
  </si>
  <si>
    <t>27AAAAA7069Z5</t>
  </si>
  <si>
    <t>27AAAAA7070Z5</t>
  </si>
  <si>
    <t>27AAAAA7071Z5</t>
  </si>
  <si>
    <t>27AAAAA7072Z5</t>
  </si>
  <si>
    <t>27AAAAA7073Z5</t>
  </si>
  <si>
    <t>27AAAAA7074Z5</t>
  </si>
  <si>
    <t>27AAAAA7075Z5</t>
  </si>
  <si>
    <t>27AAAAA7076Z5</t>
  </si>
  <si>
    <t>27AAAAA7077Z5</t>
  </si>
  <si>
    <t>27AAAAA7078Z5</t>
  </si>
  <si>
    <t>27AAAAA7079Z5</t>
  </si>
  <si>
    <t>27AAAAA7080Z5</t>
  </si>
  <si>
    <t>27AAAAA7081Z5</t>
  </si>
  <si>
    <t>27AAAAA7082Z5</t>
  </si>
  <si>
    <t>27AAAAA7083Z5</t>
  </si>
  <si>
    <t>27AAAAA7084Z5</t>
  </si>
  <si>
    <t>27AAAAA7085Z5</t>
  </si>
  <si>
    <t>27AAAAA7086Z5</t>
  </si>
  <si>
    <t>27AAAAA7087Z5</t>
  </si>
  <si>
    <t>27AAAAA7088Z5</t>
  </si>
  <si>
    <t>27AAAAA7089Z5</t>
  </si>
  <si>
    <t>27AAAAA7090Z5</t>
  </si>
  <si>
    <t>27AAAAA7091Z5</t>
  </si>
  <si>
    <t>27AAAAA7092Z5</t>
  </si>
  <si>
    <t>27AAAAA7093Z5</t>
  </si>
  <si>
    <t>27AAAAA7094Z5</t>
  </si>
  <si>
    <t>27AAAAA7095Z5</t>
  </si>
  <si>
    <t>27AAAAA7096Z5</t>
  </si>
  <si>
    <t>27AAAAA7097Z5</t>
  </si>
  <si>
    <t>27AAAAA7098Z5</t>
  </si>
  <si>
    <t>27AAAAA7099Z5</t>
  </si>
  <si>
    <t>27AAAAA7100Z5</t>
  </si>
  <si>
    <t>27AAAAA7101Z5</t>
  </si>
  <si>
    <t>27AAAAA7102Z5</t>
  </si>
  <si>
    <t>27AAAAA7103Z5</t>
  </si>
  <si>
    <t>27AAAAA7104Z5</t>
  </si>
  <si>
    <t>27AAAAA7105Z5</t>
  </si>
  <si>
    <t>27AAAAA7106Z5</t>
  </si>
  <si>
    <t>27AAAAA7107Z5</t>
  </si>
  <si>
    <t>27AAAAA7108Z5</t>
  </si>
  <si>
    <t>27AAAAA7109Z5</t>
  </si>
  <si>
    <t>27AAAAA7110Z5</t>
  </si>
  <si>
    <t>27AAAAA7111Z5</t>
  </si>
  <si>
    <t>27AAAAA7112Z5</t>
  </si>
  <si>
    <t>27AAAAA7113Z5</t>
  </si>
  <si>
    <t>27AAAAA7114Z5</t>
  </si>
  <si>
    <t>27AAAAA7115Z5</t>
  </si>
  <si>
    <t>27AAAAA7116Z5</t>
  </si>
  <si>
    <t>27AAAAA7117Z5</t>
  </si>
  <si>
    <t>27AAAAA7118Z5</t>
  </si>
  <si>
    <t>27AAAAA7119Z5</t>
  </si>
  <si>
    <t>27AAAAA7120Z5</t>
  </si>
  <si>
    <t>27AAAAA7121Z5</t>
  </si>
  <si>
    <t>27AAAAA7122Z5</t>
  </si>
  <si>
    <t>27AAAAA7123Z5</t>
  </si>
  <si>
    <t>27AAAAA7124Z5</t>
  </si>
  <si>
    <t>27AAAAA7125Z5</t>
  </si>
  <si>
    <t>27AAAAA7126Z5</t>
  </si>
  <si>
    <t>27AAAAA7127Z5</t>
  </si>
  <si>
    <t>27AAAAA7128Z5</t>
  </si>
  <si>
    <t>27AAAAA7129Z5</t>
  </si>
  <si>
    <t>27AAAAA7130Z5</t>
  </si>
  <si>
    <t>27AAAAA7131Z5</t>
  </si>
  <si>
    <t>27AAAAA7132Z5</t>
  </si>
  <si>
    <t>27AAAAA7133Z5</t>
  </si>
  <si>
    <t>27AAAAA7134Z5</t>
  </si>
  <si>
    <t>27AAAAA7135Z5</t>
  </si>
  <si>
    <t>27AAAAA7136Z5</t>
  </si>
  <si>
    <t>27AAAAA7137Z5</t>
  </si>
  <si>
    <t>27AAAAA7138Z5</t>
  </si>
  <si>
    <t>27AAAAA7139Z5</t>
  </si>
  <si>
    <t>27AAAAA7140Z5</t>
  </si>
  <si>
    <t>27AAAAA7141Z5</t>
  </si>
  <si>
    <t>27AAAAA7142Z5</t>
  </si>
  <si>
    <t>27AAAAA7143Z5</t>
  </si>
  <si>
    <t>27AAAAA7144Z5</t>
  </si>
  <si>
    <t>27AAAAA7145Z5</t>
  </si>
  <si>
    <t>27AAAAA7146Z5</t>
  </si>
  <si>
    <t>27AAAAA7147Z5</t>
  </si>
  <si>
    <t>27AAAAA7148Z5</t>
  </si>
  <si>
    <t>27AAAAA7149Z5</t>
  </si>
  <si>
    <t>27AAAAA7150Z5</t>
  </si>
  <si>
    <t>27AAAAA7151Z5</t>
  </si>
  <si>
    <t>27AAAAA7152Z5</t>
  </si>
  <si>
    <t>27AAAAA7153Z5</t>
  </si>
  <si>
    <t>27AAAAA7154Z5</t>
  </si>
  <si>
    <t>27AAAAA7155Z5</t>
  </si>
  <si>
    <t>27AAAAA7156Z5</t>
  </si>
  <si>
    <t>27AAAAA7157Z5</t>
  </si>
  <si>
    <t>27AAAAA7158Z5</t>
  </si>
  <si>
    <t>27AAAAA7159Z5</t>
  </si>
  <si>
    <t>27AAAAA7160Z5</t>
  </si>
  <si>
    <t>27AAAAA7161Z5</t>
  </si>
  <si>
    <t>27AAAAA7162Z5</t>
  </si>
  <si>
    <t>27AAAAA7163Z5</t>
  </si>
  <si>
    <t>27AAAAA7164Z5</t>
  </si>
  <si>
    <t>27AAAAA7165Z5</t>
  </si>
  <si>
    <t>27AAAAA7166Z5</t>
  </si>
  <si>
    <t>27AAAAA7167Z5</t>
  </si>
  <si>
    <t>27AAAAA7168Z5</t>
  </si>
  <si>
    <t>27AAAAA7169Z5</t>
  </si>
  <si>
    <t>27AAAAA7170Z5</t>
  </si>
  <si>
    <t>27AAAAA7171Z5</t>
  </si>
  <si>
    <t>27AAAAA7172Z5</t>
  </si>
  <si>
    <t>27AAAAA7173Z5</t>
  </si>
  <si>
    <t>27AAAAA7174Z5</t>
  </si>
  <si>
    <t>27AAAAA7175Z5</t>
  </si>
  <si>
    <t>27AAAAA7176Z5</t>
  </si>
  <si>
    <t>27AAAAA7177Z5</t>
  </si>
  <si>
    <t>27AAAAA7178Z5</t>
  </si>
  <si>
    <t>27AAAAA7179Z5</t>
  </si>
  <si>
    <t>27AAAAA7180Z5</t>
  </si>
  <si>
    <t>27AAAAA7181Z5</t>
  </si>
  <si>
    <t>27AAAAA7182Z5</t>
  </si>
  <si>
    <t>27AAAAA7183Z5</t>
  </si>
  <si>
    <t>27AAAAA7184Z5</t>
  </si>
  <si>
    <t>27AAAAA7185Z5</t>
  </si>
  <si>
    <t>27AAAAA7186Z5</t>
  </si>
  <si>
    <t>27AAAAA7187Z5</t>
  </si>
  <si>
    <t>27AAAAA7188Z5</t>
  </si>
  <si>
    <t>27AAAAA7189Z5</t>
  </si>
  <si>
    <t>27AAAAA7190Z5</t>
  </si>
  <si>
    <t>27AAAAA7191Z5</t>
  </si>
  <si>
    <t>27AAAAA7192Z5</t>
  </si>
  <si>
    <t>27AAAAA7193Z5</t>
  </si>
  <si>
    <t>27AAAAA7194Z5</t>
  </si>
  <si>
    <t>27AAAAA7195Z5</t>
  </si>
  <si>
    <t>27AAAAA7196Z5</t>
  </si>
  <si>
    <t>27AAAAA7197Z5</t>
  </si>
  <si>
    <t>27AAAAA7198Z5</t>
  </si>
  <si>
    <t>27AAAAA7199Z5</t>
  </si>
  <si>
    <t>27AAAAA7200Z5</t>
  </si>
  <si>
    <t>27AAAAA7201Z5</t>
  </si>
  <si>
    <t>27AAAAA7202Z5</t>
  </si>
  <si>
    <t>27AAAAA7203Z5</t>
  </si>
  <si>
    <t>27AAAAA7204Z5</t>
  </si>
  <si>
    <t>27AAAAA7205Z5</t>
  </si>
  <si>
    <t>27AAAAA7206Z5</t>
  </si>
  <si>
    <t>27AAAAA7207Z5</t>
  </si>
  <si>
    <t>27AAAAA7208Z5</t>
  </si>
  <si>
    <t>27AAAAA7209Z5</t>
  </si>
  <si>
    <t>27AAAAA7210Z5</t>
  </si>
  <si>
    <t>27AAAAA7211Z5</t>
  </si>
  <si>
    <t>27AAAAA7212Z5</t>
  </si>
  <si>
    <t>27AAAAA7213Z5</t>
  </si>
  <si>
    <t>27AAAAA7214Z5</t>
  </si>
  <si>
    <t>27AAAAA7215Z5</t>
  </si>
  <si>
    <t>27AAAAA7216Z5</t>
  </si>
  <si>
    <t>27AAAAA7217Z5</t>
  </si>
  <si>
    <t>27AAAAA7218Z5</t>
  </si>
  <si>
    <t>27AAAAA7219Z5</t>
  </si>
  <si>
    <t>27AAAAA7220Z5</t>
  </si>
  <si>
    <t>27AAAAA7221Z5</t>
  </si>
  <si>
    <t>27AAAAA7222Z5</t>
  </si>
  <si>
    <t>27AAAAA7223Z5</t>
  </si>
  <si>
    <t>27AAAAA7224Z5</t>
  </si>
  <si>
    <t>27AAAAA7225Z5</t>
  </si>
  <si>
    <t>27AAAAA7226Z5</t>
  </si>
  <si>
    <t>27AAAAA7227Z5</t>
  </si>
  <si>
    <t>27AAAAA7228Z5</t>
  </si>
  <si>
    <t>27AAAAA7229Z5</t>
  </si>
  <si>
    <t>27AAAAA7230Z5</t>
  </si>
  <si>
    <t>27AAAAA7231Z5</t>
  </si>
  <si>
    <t>27AAAAA7232Z5</t>
  </si>
  <si>
    <t>27AAAAA7233Z5</t>
  </si>
  <si>
    <t>27AAAAA7234Z5</t>
  </si>
  <si>
    <t>27AAAAA7235Z5</t>
  </si>
  <si>
    <t>27AAAAA7236Z5</t>
  </si>
  <si>
    <t>27AAAAA7237Z5</t>
  </si>
  <si>
    <t>27AAAAA7238Z5</t>
  </si>
  <si>
    <t>27AAAAA7239Z5</t>
  </si>
  <si>
    <t>27AAAAA7240Z5</t>
  </si>
  <si>
    <t>27AAAAA7241Z5</t>
  </si>
  <si>
    <t>27AAAAA7242Z5</t>
  </si>
  <si>
    <t>27AAAAA7243Z5</t>
  </si>
  <si>
    <t>27AAAAA7244Z5</t>
  </si>
  <si>
    <t>27AAAAA7245Z5</t>
  </si>
  <si>
    <t>27AAAAA7246Z5</t>
  </si>
  <si>
    <t>27AAAAA7247Z5</t>
  </si>
  <si>
    <t>27AAAAA7248Z5</t>
  </si>
  <si>
    <t>27AAAAA7249Z5</t>
  </si>
  <si>
    <t>27AAAAA7250Z5</t>
  </si>
  <si>
    <t>27AAAAA7251Z5</t>
  </si>
  <si>
    <t>27AAAAA7252Z5</t>
  </si>
  <si>
    <t>27AAAAA7253Z5</t>
  </si>
  <si>
    <t>27AAAAA7254Z5</t>
  </si>
  <si>
    <t>27AAAAA7255Z5</t>
  </si>
  <si>
    <t>27AAAAA7256Z5</t>
  </si>
  <si>
    <t>27AAAAA7257Z5</t>
  </si>
  <si>
    <t>27AAAAA7258Z5</t>
  </si>
  <si>
    <t>27AAAAA7259Z5</t>
  </si>
  <si>
    <t>27AAAAA7260Z5</t>
  </si>
  <si>
    <t>27AAAAA7261Z5</t>
  </si>
  <si>
    <t>27AAAAA7262Z5</t>
  </si>
  <si>
    <t>27AAAAA7263Z5</t>
  </si>
  <si>
    <t>27AAAAA7264Z5</t>
  </si>
  <si>
    <t>27AAAAA7265Z5</t>
  </si>
  <si>
    <t>27AAAAA7266Z5</t>
  </si>
  <si>
    <t>27AAAAA7267Z5</t>
  </si>
  <si>
    <t>27AAAAA7268Z5</t>
  </si>
  <si>
    <t>27AAAAA7269Z5</t>
  </si>
  <si>
    <t>27AAAAA7270Z5</t>
  </si>
  <si>
    <t>27AAAAA7271Z5</t>
  </si>
  <si>
    <t>27AAAAA7272Z5</t>
  </si>
  <si>
    <t>27AAAAA7273Z5</t>
  </si>
  <si>
    <t>27AAAAA7274Z5</t>
  </si>
  <si>
    <t>27AAAAA7275Z5</t>
  </si>
  <si>
    <t>27AAAAA7276Z5</t>
  </si>
  <si>
    <t>27AAAAA7277Z5</t>
  </si>
  <si>
    <t>27AAAAA7278Z5</t>
  </si>
  <si>
    <t>27AAAAA7279Z5</t>
  </si>
  <si>
    <t>27AAAAA7280Z5</t>
  </si>
  <si>
    <t>27AAAAA7281Z5</t>
  </si>
  <si>
    <t>27AAAAA7282Z5</t>
  </si>
  <si>
    <t>27AAAAA7283Z5</t>
  </si>
  <si>
    <t>27AAAAA7284Z5</t>
  </si>
  <si>
    <t>27AAAAA7285Z5</t>
  </si>
  <si>
    <t>27AAAAA7286Z5</t>
  </si>
  <si>
    <t>27AAAAA7287Z5</t>
  </si>
  <si>
    <t>27AAAAA7288Z5</t>
  </si>
  <si>
    <t>27AAAAA7289Z5</t>
  </si>
  <si>
    <t>27AAAAA7290Z5</t>
  </si>
  <si>
    <t>27AAAAA7291Z5</t>
  </si>
  <si>
    <t>27AAAAA7292Z5</t>
  </si>
  <si>
    <t>27AAAAA7293Z5</t>
  </si>
  <si>
    <t>27AAAAA7294Z5</t>
  </si>
  <si>
    <t>27AAAAA7295Z5</t>
  </si>
  <si>
    <t>27AAAAA7296Z5</t>
  </si>
  <si>
    <t>27AAAAA7297Z5</t>
  </si>
  <si>
    <t>27AAAAA7298Z5</t>
  </si>
  <si>
    <t>27AAAAA7299Z5</t>
  </si>
  <si>
    <t>27AAAAA7300Z5</t>
  </si>
  <si>
    <t>27AAAAA7301Z5</t>
  </si>
  <si>
    <t>27AAAAA7302Z5</t>
  </si>
  <si>
    <t>27AAAAA7303Z5</t>
  </si>
  <si>
    <t>27AAAAA7304Z5</t>
  </si>
  <si>
    <t>27AAAAA7305Z5</t>
  </si>
  <si>
    <t>27AAAAA7306Z5</t>
  </si>
  <si>
    <t>27AAAAA7307Z5</t>
  </si>
  <si>
    <t>27AAAAA7308Z5</t>
  </si>
  <si>
    <t>27AAAAA7309Z5</t>
  </si>
  <si>
    <t>27AAAAA7310Z5</t>
  </si>
  <si>
    <t>27AAAAA7311Z5</t>
  </si>
  <si>
    <t>27AAAAA7312Z5</t>
  </si>
  <si>
    <t>27AAAAA7313Z5</t>
  </si>
  <si>
    <t>27AAAAA7314Z5</t>
  </si>
  <si>
    <t>27AAAAA7315Z5</t>
  </si>
  <si>
    <t>27AAAAA7316Z5</t>
  </si>
  <si>
    <t>27AAAAA7317Z5</t>
  </si>
  <si>
    <t>27AAAAA7318Z5</t>
  </si>
  <si>
    <t>27AAAAA7319Z5</t>
  </si>
  <si>
    <t>27AAAAA7320Z5</t>
  </si>
  <si>
    <t>27AAAAA7321Z5</t>
  </si>
  <si>
    <t>27AAAAA7322Z5</t>
  </si>
  <si>
    <t>27AAAAA7323Z5</t>
  </si>
  <si>
    <t>27AAAAA7324Z5</t>
  </si>
  <si>
    <t>27AAAAA7325Z5</t>
  </si>
  <si>
    <t>27AAAAA7326Z5</t>
  </si>
  <si>
    <t>27AAAAA7327Z5</t>
  </si>
  <si>
    <t>27AAAAA7328Z5</t>
  </si>
  <si>
    <t>27AAAAA7329Z5</t>
  </si>
  <si>
    <t>27AAAAA7330Z5</t>
  </si>
  <si>
    <t>27AAAAA7331Z5</t>
  </si>
  <si>
    <t>27AAAAA7332Z5</t>
  </si>
  <si>
    <t>27AAAAA7333Z5</t>
  </si>
  <si>
    <t>27AAAAA7334Z5</t>
  </si>
  <si>
    <t>27AAAAA7335Z5</t>
  </si>
  <si>
    <t>27AAAAA7336Z5</t>
  </si>
  <si>
    <t>27AAAAA7337Z5</t>
  </si>
  <si>
    <t>27AAAAA7338Z5</t>
  </si>
  <si>
    <t>27AAAAA7339Z5</t>
  </si>
  <si>
    <t>27AAAAA7340Z5</t>
  </si>
  <si>
    <t>27AAAAA7341Z5</t>
  </si>
  <si>
    <t>27AAAAA7342Z5</t>
  </si>
  <si>
    <t>27AAAAA7343Z5</t>
  </si>
  <si>
    <t>27AAAAA7344Z5</t>
  </si>
  <si>
    <t>27AAAAA7345Z5</t>
  </si>
  <si>
    <t>27AAAAA7346Z5</t>
  </si>
  <si>
    <t>27AAAAA7347Z5</t>
  </si>
  <si>
    <t>27AAAAA7348Z5</t>
  </si>
  <si>
    <t>27AAAAA7349Z5</t>
  </si>
  <si>
    <t>27AAAAA7350Z5</t>
  </si>
  <si>
    <t>27AAAAA7351Z5</t>
  </si>
  <si>
    <t>27AAAAA7352Z5</t>
  </si>
  <si>
    <t>27AAAAA7353Z5</t>
  </si>
  <si>
    <t>27AAAAA7354Z5</t>
  </si>
  <si>
    <t>27AAAAA7355Z5</t>
  </si>
  <si>
    <t>27AAAAA7356Z5</t>
  </si>
  <si>
    <t>27AAAAA7357Z5</t>
  </si>
  <si>
    <t>27AAAAA7358Z5</t>
  </si>
  <si>
    <t>27AAAAA7359Z5</t>
  </si>
  <si>
    <t>27AAAAA7360Z5</t>
  </si>
  <si>
    <t>27AAAAA7361Z5</t>
  </si>
  <si>
    <t>27AAAAA7362Z5</t>
  </si>
  <si>
    <t>27AAAAA7363Z5</t>
  </si>
  <si>
    <t>27AAAAA7364Z5</t>
  </si>
  <si>
    <t>27AAAAA7365Z5</t>
  </si>
  <si>
    <t>27AAAAA7366Z5</t>
  </si>
  <si>
    <t>27AAAAA7367Z5</t>
  </si>
  <si>
    <t>27AAAAA7368Z5</t>
  </si>
  <si>
    <t>27AAAAA7369Z5</t>
  </si>
  <si>
    <t>27AAAAA7370Z5</t>
  </si>
  <si>
    <t>27AAAAA7371Z5</t>
  </si>
  <si>
    <t>27AAAAA7372Z5</t>
  </si>
  <si>
    <t>27AAAAA7373Z5</t>
  </si>
  <si>
    <t>27AAAAA7374Z5</t>
  </si>
  <si>
    <t>27AAAAA7375Z5</t>
  </si>
  <si>
    <t>27AAAAA7376Z5</t>
  </si>
  <si>
    <t>27AAAAA7377Z5</t>
  </si>
  <si>
    <t>27AAAAA7378Z5</t>
  </si>
  <si>
    <t>27AAAAA7379Z5</t>
  </si>
  <si>
    <t>27AAAAA7380Z5</t>
  </si>
  <si>
    <t>27AAAAA7381Z5</t>
  </si>
  <si>
    <t>27AAAAA7382Z5</t>
  </si>
  <si>
    <t>27AAAAA7383Z5</t>
  </si>
  <si>
    <t>27AAAAA7384Z5</t>
  </si>
  <si>
    <t>27AAAAA7385Z5</t>
  </si>
  <si>
    <t>27AAAAA7386Z5</t>
  </si>
  <si>
    <t>27AAAAA7387Z5</t>
  </si>
  <si>
    <t>27AAAAA7388Z5</t>
  </si>
  <si>
    <t>27AAAAA7389Z5</t>
  </si>
  <si>
    <t>27AAAAA7390Z5</t>
  </si>
  <si>
    <t>27AAAAA7391Z5</t>
  </si>
  <si>
    <t>27AAAAA7392Z5</t>
  </si>
  <si>
    <t>27AAAAA7393Z5</t>
  </si>
  <si>
    <t>27AAAAA7394Z5</t>
  </si>
  <si>
    <t>27AAAAA7395Z5</t>
  </si>
  <si>
    <t>27AAAAA7396Z5</t>
  </si>
  <si>
    <t>27AAAAA7397Z5</t>
  </si>
  <si>
    <t>27AAAAA7398Z5</t>
  </si>
  <si>
    <t>27AAAAA7399Z5</t>
  </si>
  <si>
    <t>27AAAAA7400Z5</t>
  </si>
  <si>
    <t>27AAAAA7401Z5</t>
  </si>
  <si>
    <t>27AAAAA7402Z5</t>
  </si>
  <si>
    <t>27AAAAA7403Z5</t>
  </si>
  <si>
    <t>27AAAAA7404Z5</t>
  </si>
  <si>
    <t>27AAAAA7405Z5</t>
  </si>
  <si>
    <t>27AAAAA7406Z5</t>
  </si>
  <si>
    <t>27AAAAA7407Z5</t>
  </si>
  <si>
    <t>27AAAAA7408Z5</t>
  </si>
  <si>
    <t>27AAAAA7409Z5</t>
  </si>
  <si>
    <t>27AAAAA7410Z5</t>
  </si>
  <si>
    <t>27AAAAA7411Z5</t>
  </si>
  <si>
    <t>27AAAAA7412Z5</t>
  </si>
  <si>
    <t>27AAAAA7413Z5</t>
  </si>
  <si>
    <t>27AAAAA7414Z5</t>
  </si>
  <si>
    <t>27AAAAA7415Z5</t>
  </si>
  <si>
    <t>27AAAAA7416Z5</t>
  </si>
  <si>
    <t>27AAAAA7417Z5</t>
  </si>
  <si>
    <t>27AAAAA7418Z5</t>
  </si>
  <si>
    <t>27AAAAA7419Z5</t>
  </si>
  <si>
    <t>27AAAAA7420Z5</t>
  </si>
  <si>
    <t>27AAAAA7421Z5</t>
  </si>
  <si>
    <t>27AAAAA7422Z5</t>
  </si>
  <si>
    <t>27AAAAA7423Z5</t>
  </si>
  <si>
    <t>27AAAAA7424Z5</t>
  </si>
  <si>
    <t>27AAAAA7425Z5</t>
  </si>
  <si>
    <t>27AAAAA7426Z5</t>
  </si>
  <si>
    <t>27AAAAA7427Z5</t>
  </si>
  <si>
    <t>27AAAAA7428Z5</t>
  </si>
  <si>
    <t>27AAAAA7429Z5</t>
  </si>
  <si>
    <t>27AAAAA7430Z5</t>
  </si>
  <si>
    <t>27AAAAA7431Z5</t>
  </si>
  <si>
    <t>27AAAAA7432Z5</t>
  </si>
  <si>
    <t>27AAAAA7433Z5</t>
  </si>
  <si>
    <t>27AAAAA7434Z5</t>
  </si>
  <si>
    <t>27AAAAA7435Z5</t>
  </si>
  <si>
    <t>27AAAAA7436Z5</t>
  </si>
  <si>
    <t>27AAAAA7437Z5</t>
  </si>
  <si>
    <t>27AAAAA7438Z5</t>
  </si>
  <si>
    <t>27AAAAA7439Z5</t>
  </si>
  <si>
    <t>27AAAAA7440Z5</t>
  </si>
  <si>
    <t>27AAAAA7441Z5</t>
  </si>
  <si>
    <t>27AAAAA7442Z5</t>
  </si>
  <si>
    <t>27AAAAA7443Z5</t>
  </si>
  <si>
    <t>27AAAAA7444Z5</t>
  </si>
  <si>
    <t>27AAAAA7445Z5</t>
  </si>
  <si>
    <t>27AAAAA7446Z5</t>
  </si>
  <si>
    <t>27AAAAA7447Z5</t>
  </si>
  <si>
    <t>27AAAAA7448Z5</t>
  </si>
  <si>
    <t>27AAAAA7449Z5</t>
  </si>
  <si>
    <t>27AAAAA7450Z5</t>
  </si>
  <si>
    <t>27AAAAA7451Z5</t>
  </si>
  <si>
    <t>27AAAAA7452Z5</t>
  </si>
  <si>
    <t>27AAAAA7453Z5</t>
  </si>
  <si>
    <t>27AAAAA7454Z5</t>
  </si>
  <si>
    <t>27AAAAA7455Z5</t>
  </si>
  <si>
    <t>27AAAAA7456Z5</t>
  </si>
  <si>
    <t>27AAAAA7457Z5</t>
  </si>
  <si>
    <t>27AAAAA7458Z5</t>
  </si>
  <si>
    <t>27AAAAA7459Z5</t>
  </si>
  <si>
    <t>27AAAAA7460Z5</t>
  </si>
  <si>
    <t>27AAAAA7461Z5</t>
  </si>
  <si>
    <t>27AAAAA7462Z5</t>
  </si>
  <si>
    <t>27AAAAA7463Z5</t>
  </si>
  <si>
    <t>27AAAAA7464Z5</t>
  </si>
  <si>
    <t>27AAAAA7465Z5</t>
  </si>
  <si>
    <t>27AAAAA7466Z5</t>
  </si>
  <si>
    <t>27AAAAA7467Z5</t>
  </si>
  <si>
    <t>27AAAAA7468Z5</t>
  </si>
  <si>
    <t>27AAAAA7469Z5</t>
  </si>
  <si>
    <t>27AAAAA7470Z5</t>
  </si>
  <si>
    <t>27AAAAA7471Z5</t>
  </si>
  <si>
    <t>27AAAAA7472Z5</t>
  </si>
  <si>
    <t>27AAAAA7473Z5</t>
  </si>
  <si>
    <t>27AAAAA7474Z5</t>
  </si>
  <si>
    <t>27AAAAA7475Z5</t>
  </si>
  <si>
    <t>27AAAAA7476Z5</t>
  </si>
  <si>
    <t>27AAAAA7477Z5</t>
  </si>
  <si>
    <t>27AAAAA7478Z5</t>
  </si>
  <si>
    <t>27AAAAA7479Z5</t>
  </si>
  <si>
    <t>27AAAAA7480Z5</t>
  </si>
  <si>
    <t>27AAAAA7481Z5</t>
  </si>
  <si>
    <t>27AAAAA7482Z5</t>
  </si>
  <si>
    <t>27AAAAA7483Z5</t>
  </si>
  <si>
    <t>27AAAAA7484Z5</t>
  </si>
  <si>
    <t>27AAAAA7485Z5</t>
  </si>
  <si>
    <t>27AAAAA7486Z5</t>
  </si>
  <si>
    <t>27AAAAA7487Z5</t>
  </si>
  <si>
    <t>27AAAAA7488Z5</t>
  </si>
  <si>
    <t>27AAAAA7489Z5</t>
  </si>
  <si>
    <t>27AAAAA7490Z5</t>
  </si>
  <si>
    <t>27AAAAA7491Z5</t>
  </si>
  <si>
    <t>27AAAAA7492Z5</t>
  </si>
  <si>
    <t>27AAAAA7493Z5</t>
  </si>
  <si>
    <t>27AAAAA7494Z5</t>
  </si>
  <si>
    <t>27AAAAA7495Z5</t>
  </si>
  <si>
    <t>27AAAAA7496Z5</t>
  </si>
  <si>
    <t>27AAAAA7497Z5</t>
  </si>
  <si>
    <t>27AAAAA7498Z5</t>
  </si>
  <si>
    <t>27AAAAA7499Z5</t>
  </si>
  <si>
    <t>27AAAAA7500Z5</t>
  </si>
  <si>
    <t>27AAAAA7501Z5</t>
  </si>
  <si>
    <t>27AAAAA7502Z5</t>
  </si>
  <si>
    <t>27AAAAA7503Z5</t>
  </si>
  <si>
    <t>27AAAAA7504Z5</t>
  </si>
  <si>
    <t>27AAAAA7505Z5</t>
  </si>
  <si>
    <t>27AAAAA7506Z5</t>
  </si>
  <si>
    <t>27AAAAA7507Z5</t>
  </si>
  <si>
    <t>27AAAAA7508Z5</t>
  </si>
  <si>
    <t>27AAAAA7509Z5</t>
  </si>
  <si>
    <t>27AAAAA7510Z5</t>
  </si>
  <si>
    <t>27AAAAA7511Z5</t>
  </si>
  <si>
    <t>27AAAAA7512Z5</t>
  </si>
  <si>
    <t>27AAAAA7513Z5</t>
  </si>
  <si>
    <t>27AAAAA7514Z5</t>
  </si>
  <si>
    <t>27AAAAA7515Z5</t>
  </si>
  <si>
    <t>27AAAAA7516Z5</t>
  </si>
  <si>
    <t>27AAAAA7517Z5</t>
  </si>
  <si>
    <t>27AAAAA7518Z5</t>
  </si>
  <si>
    <t>27AAAAA7519Z5</t>
  </si>
  <si>
    <t>27AAAAA7520Z5</t>
  </si>
  <si>
    <t>27AAAAA7521Z5</t>
  </si>
  <si>
    <t>27AAAAA7522Z5</t>
  </si>
  <si>
    <t>27AAAAA7523Z5</t>
  </si>
  <si>
    <t>27AAAAA7524Z5</t>
  </si>
  <si>
    <t>27AAAAA7525Z5</t>
  </si>
  <si>
    <t>27AAAAA7526Z5</t>
  </si>
  <si>
    <t>27AAAAA7527Z5</t>
  </si>
  <si>
    <t>27AAAAA7528Z5</t>
  </si>
  <si>
    <t>27AAAAA7529Z5</t>
  </si>
  <si>
    <t>27AAAAA7530Z5</t>
  </si>
  <si>
    <t>27AAAAA7531Z5</t>
  </si>
  <si>
    <t>27AAAAA7532Z5</t>
  </si>
  <si>
    <t>27AAAAA7533Z5</t>
  </si>
  <si>
    <t>27AAAAA7534Z5</t>
  </si>
  <si>
    <t>27AAAAA7535Z5</t>
  </si>
  <si>
    <t>27AAAAA7536Z5</t>
  </si>
  <si>
    <t>27AAAAA7537Z5</t>
  </si>
  <si>
    <t>27AAAAA7538Z5</t>
  </si>
  <si>
    <t>27AAAAA7539Z5</t>
  </si>
  <si>
    <t>27AAAAA7540Z5</t>
  </si>
  <si>
    <t>27AAAAA7541Z5</t>
  </si>
  <si>
    <t>27AAAAA7542Z5</t>
  </si>
  <si>
    <t>27AAAAA7543Z5</t>
  </si>
  <si>
    <t>27AAAAA7544Z5</t>
  </si>
  <si>
    <t>27AAAAA7545Z5</t>
  </si>
  <si>
    <t>27AAAAA7546Z5</t>
  </si>
  <si>
    <t>27AAAAA7547Z5</t>
  </si>
  <si>
    <t>27AAAAA7548Z5</t>
  </si>
  <si>
    <t>27AAAAA7549Z5</t>
  </si>
  <si>
    <t>27AAAAA7550Z5</t>
  </si>
  <si>
    <t>27AAAAA7551Z5</t>
  </si>
  <si>
    <t>27AAAAA7552Z5</t>
  </si>
  <si>
    <t>27AAAAA7553Z5</t>
  </si>
  <si>
    <t>27AAAAA7554Z5</t>
  </si>
  <si>
    <t>27AAAAA7555Z5</t>
  </si>
  <si>
    <t>27AAAAA7556Z5</t>
  </si>
  <si>
    <t>27AAAAA7557Z5</t>
  </si>
  <si>
    <t>27AAAAA7558Z5</t>
  </si>
  <si>
    <t>27AAAAA7559Z5</t>
  </si>
  <si>
    <t>27AAAAA7560Z5</t>
  </si>
  <si>
    <t>27AAAAA7561Z5</t>
  </si>
  <si>
    <t>27AAAAA7562Z5</t>
  </si>
  <si>
    <t>27AAAAA7563Z5</t>
  </si>
  <si>
    <t>27AAAAA7564Z5</t>
  </si>
  <si>
    <t>27AAAAA7565Z5</t>
  </si>
  <si>
    <t>27AAAAA7566Z5</t>
  </si>
  <si>
    <t>27AAAAA7567Z5</t>
  </si>
  <si>
    <t>27AAAAA7568Z5</t>
  </si>
  <si>
    <t>27AAAAA7569Z5</t>
  </si>
  <si>
    <t>27AAAAA7570Z5</t>
  </si>
  <si>
    <t>27AAAAA7571Z5</t>
  </si>
  <si>
    <t>27AAAAA7572Z5</t>
  </si>
  <si>
    <t>27AAAAA7573Z5</t>
  </si>
  <si>
    <t>27AAAAA7574Z5</t>
  </si>
  <si>
    <t>27AAAAA7575Z5</t>
  </si>
  <si>
    <t>27AAAAA7576Z5</t>
  </si>
  <si>
    <t>27AAAAA7577Z5</t>
  </si>
  <si>
    <t>27AAAAA7578Z5</t>
  </si>
  <si>
    <t>27AAAAA7579Z5</t>
  </si>
  <si>
    <t>27AAAAA7580Z5</t>
  </si>
  <si>
    <t>27AAAAA7581Z5</t>
  </si>
  <si>
    <t>27AAAAA7582Z5</t>
  </si>
  <si>
    <t>27AAAAA7583Z5</t>
  </si>
  <si>
    <t>27AAAAA7584Z5</t>
  </si>
  <si>
    <t>27AAAAA7585Z5</t>
  </si>
  <si>
    <t>27AAAAA7586Z5</t>
  </si>
  <si>
    <t>27AAAAA7587Z5</t>
  </si>
  <si>
    <t>27AAAAA7588Z5</t>
  </si>
  <si>
    <t>27AAAAA7589Z5</t>
  </si>
  <si>
    <t>27AAAAA7590Z5</t>
  </si>
  <si>
    <t>27AAAAA7591Z5</t>
  </si>
  <si>
    <t>27AAAAA7592Z5</t>
  </si>
  <si>
    <t>27AAAAA7593Z5</t>
  </si>
  <si>
    <t>27AAAAA7594Z5</t>
  </si>
  <si>
    <t>27AAAAA7595Z5</t>
  </si>
  <si>
    <t>27AAAAA7596Z5</t>
  </si>
  <si>
    <t>27AAAAA7597Z5</t>
  </si>
  <si>
    <t>27AAAAA7598Z5</t>
  </si>
  <si>
    <t>27AAAAA7599Z5</t>
  </si>
  <si>
    <t>27AAAAA7600Z5</t>
  </si>
  <si>
    <t>27AAAAA7601Z5</t>
  </si>
  <si>
    <t>27AAAAA7602Z5</t>
  </si>
  <si>
    <t>27AAAAA7603Z5</t>
  </si>
  <si>
    <t>27AAAAA7604Z5</t>
  </si>
  <si>
    <t>27AAAAA7605Z5</t>
  </si>
  <si>
    <t>27AAAAA7606Z5</t>
  </si>
  <si>
    <t>27AAAAA7607Z5</t>
  </si>
  <si>
    <t>27AAAAA7608Z5</t>
  </si>
  <si>
    <t>27AAAAA7609Z5</t>
  </si>
  <si>
    <t>27AAAAA7610Z5</t>
  </si>
  <si>
    <t>27AAAAA7611Z5</t>
  </si>
  <si>
    <t>27AAAAA7612Z5</t>
  </si>
  <si>
    <t>27AAAAA7613Z5</t>
  </si>
  <si>
    <t>27AAAAA7614Z5</t>
  </si>
  <si>
    <t>27AAAAA7615Z5</t>
  </si>
  <si>
    <t>27AAAAA7616Z5</t>
  </si>
  <si>
    <t>27AAAAA7617Z5</t>
  </si>
  <si>
    <t>27AAAAA7618Z5</t>
  </si>
  <si>
    <t>27AAAAA7619Z5</t>
  </si>
  <si>
    <t>27AAAAA7620Z5</t>
  </si>
  <si>
    <t>27AAAAA7621Z5</t>
  </si>
  <si>
    <t>27AAAAA7622Z5</t>
  </si>
  <si>
    <t>27AAAAA7623Z5</t>
  </si>
  <si>
    <t>27AAAAA7624Z5</t>
  </si>
  <si>
    <t>27AAAAA7625Z5</t>
  </si>
  <si>
    <t>27AAAAA7626Z5</t>
  </si>
  <si>
    <t>27AAAAA7627Z5</t>
  </si>
  <si>
    <t>27AAAAA7628Z5</t>
  </si>
  <si>
    <t>27AAAAA7629Z5</t>
  </si>
  <si>
    <t>27AAAAA7630Z5</t>
  </si>
  <si>
    <t>27AAAAA7631Z5</t>
  </si>
  <si>
    <t>27AAAAA7632Z5</t>
  </si>
  <si>
    <t>27AAAAA7633Z5</t>
  </si>
  <si>
    <t>27AAAAA7634Z5</t>
  </si>
  <si>
    <t>27AAAAA7635Z5</t>
  </si>
  <si>
    <t>27AAAAA7636Z5</t>
  </si>
  <si>
    <t>27AAAAA7637Z5</t>
  </si>
  <si>
    <t>27AAAAA7638Z5</t>
  </si>
  <si>
    <t>27AAAAA7639Z5</t>
  </si>
  <si>
    <t>27AAAAA7640Z5</t>
  </si>
  <si>
    <t>27AAAAA7641Z5</t>
  </si>
  <si>
    <t>27AAAAA7642Z5</t>
  </si>
  <si>
    <t>27AAAAA7643Z5</t>
  </si>
  <si>
    <t>27AAAAA7644Z5</t>
  </si>
  <si>
    <t>27AAAAA7645Z5</t>
  </si>
  <si>
    <t>27AAAAA7646Z5</t>
  </si>
  <si>
    <t>27AAAAA7647Z5</t>
  </si>
  <si>
    <t>27AAAAA7648Z5</t>
  </si>
  <si>
    <t>27AAAAA7649Z5</t>
  </si>
  <si>
    <t>27AAAAA7650Z5</t>
  </si>
  <si>
    <t>27AAAAA7651Z5</t>
  </si>
  <si>
    <t>27AAAAA7652Z5</t>
  </si>
  <si>
    <t>27AAAAA7653Z5</t>
  </si>
  <si>
    <t>27AAAAA7654Z5</t>
  </si>
  <si>
    <t>27AAAAA7655Z5</t>
  </si>
  <si>
    <t>27AAAAA7656Z5</t>
  </si>
  <si>
    <t>27AAAAA7657Z5</t>
  </si>
  <si>
    <t>27AAAAA7658Z5</t>
  </si>
  <si>
    <t>27AAAAA7659Z5</t>
  </si>
  <si>
    <t>27AAAAA7660Z5</t>
  </si>
  <si>
    <t>27AAAAA7661Z5</t>
  </si>
  <si>
    <t>27AAAAA7662Z5</t>
  </si>
  <si>
    <t>27AAAAA7663Z5</t>
  </si>
  <si>
    <t>27AAAAA7664Z5</t>
  </si>
  <si>
    <t>27AAAAA7665Z5</t>
  </si>
  <si>
    <t>27AAAAA7666Z5</t>
  </si>
  <si>
    <t>27AAAAA7667Z5</t>
  </si>
  <si>
    <t>27AAAAA7668Z5</t>
  </si>
  <si>
    <t>27AAAAA7669Z5</t>
  </si>
  <si>
    <t>27AAAAA7670Z5</t>
  </si>
  <si>
    <t>27AAAAA7671Z5</t>
  </si>
  <si>
    <t>27AAAAA7672Z5</t>
  </si>
  <si>
    <t>27AAAAA7673Z5</t>
  </si>
  <si>
    <t>27AAAAA7674Z5</t>
  </si>
  <si>
    <t>27AAAAA7675Z5</t>
  </si>
  <si>
    <t>27AAAAA7676Z5</t>
  </si>
  <si>
    <t>27AAAAA7677Z5</t>
  </si>
  <si>
    <t>27AAAAA7678Z5</t>
  </si>
  <si>
    <t>27AAAAA7679Z5</t>
  </si>
  <si>
    <t>27AAAAA7680Z5</t>
  </si>
  <si>
    <t>27AAAAA7681Z5</t>
  </si>
  <si>
    <t>27AAAAA7682Z5</t>
  </si>
  <si>
    <t>27AAAAA7683Z5</t>
  </si>
  <si>
    <t>27AAAAA7684Z5</t>
  </si>
  <si>
    <t>27AAAAA7685Z5</t>
  </si>
  <si>
    <t>27AAAAA7686Z5</t>
  </si>
  <si>
    <t>27AAAAA7687Z5</t>
  </si>
  <si>
    <t>27AAAAA7688Z5</t>
  </si>
  <si>
    <t>27AAAAA7689Z5</t>
  </si>
  <si>
    <t>27AAAAA7690Z5</t>
  </si>
  <si>
    <t>27AAAAA7691Z5</t>
  </si>
  <si>
    <t>27AAAAA7692Z5</t>
  </si>
  <si>
    <t>27AAAAA7693Z5</t>
  </si>
  <si>
    <t>27AAAAA7694Z5</t>
  </si>
  <si>
    <t>27AAAAA7695Z5</t>
  </si>
  <si>
    <t>27AAAAA7696Z5</t>
  </si>
  <si>
    <t>27AAAAA7697Z5</t>
  </si>
  <si>
    <t>27AAAAA7698Z5</t>
  </si>
  <si>
    <t>27AAAAA7699Z5</t>
  </si>
  <si>
    <t>27AAAAA7700Z5</t>
  </si>
  <si>
    <t>27AAAAA7701Z5</t>
  </si>
  <si>
    <t>27AAAAA7702Z5</t>
  </si>
  <si>
    <t>27AAAAA7703Z5</t>
  </si>
  <si>
    <t>27AAAAA7704Z5</t>
  </si>
  <si>
    <t>27AAAAA7705Z5</t>
  </si>
  <si>
    <t>27AAAAA7706Z5</t>
  </si>
  <si>
    <t>27AAAAA7707Z5</t>
  </si>
  <si>
    <t>27AAAAA7708Z5</t>
  </si>
  <si>
    <t>27AAAAA7709Z5</t>
  </si>
  <si>
    <t>27AAAAA7710Z5</t>
  </si>
  <si>
    <t>27AAAAA7711Z5</t>
  </si>
  <si>
    <t>27AAAAA7712Z5</t>
  </si>
  <si>
    <t>27AAAAA7713Z5</t>
  </si>
  <si>
    <t>27AAAAA7714Z5</t>
  </si>
  <si>
    <t>27AAAAA7715Z5</t>
  </si>
  <si>
    <t>27AAAAA7716Z5</t>
  </si>
  <si>
    <t>27AAAAA7717Z5</t>
  </si>
  <si>
    <t>27AAAAA7718Z5</t>
  </si>
  <si>
    <t>27AAAAA7719Z5</t>
  </si>
  <si>
    <t>27AAAAA7720Z5</t>
  </si>
  <si>
    <t>27AAAAA7721Z5</t>
  </si>
  <si>
    <t>27AAAAA7722Z5</t>
  </si>
  <si>
    <t>27AAAAA7723Z5</t>
  </si>
  <si>
    <t>27AAAAA7724Z5</t>
  </si>
  <si>
    <t>27AAAAA7725Z5</t>
  </si>
  <si>
    <t>27AAAAA7726Z5</t>
  </si>
  <si>
    <t>27AAAAA7727Z5</t>
  </si>
  <si>
    <t>27AAAAA7728Z5</t>
  </si>
  <si>
    <t>27AAAAA7729Z5</t>
  </si>
  <si>
    <t>27AAAAA7730Z5</t>
  </si>
  <si>
    <t>27AAAAA7731Z5</t>
  </si>
  <si>
    <t>27AAAAA7732Z5</t>
  </si>
  <si>
    <t>27AAAAA7733Z5</t>
  </si>
  <si>
    <t>27AAAAA7734Z5</t>
  </si>
  <si>
    <t>27AAAAA7735Z5</t>
  </si>
  <si>
    <t>27AAAAA7736Z5</t>
  </si>
  <si>
    <t>27AAAAA7737Z5</t>
  </si>
  <si>
    <t>27AAAAA7738Z5</t>
  </si>
  <si>
    <t>27AAAAA7739Z5</t>
  </si>
  <si>
    <t>27AAAAA7740Z5</t>
  </si>
  <si>
    <t>27AAAAA7741Z5</t>
  </si>
  <si>
    <t>27AAAAA7742Z5</t>
  </si>
  <si>
    <t>27AAAAA7743Z5</t>
  </si>
  <si>
    <t>27AAAAA7744Z5</t>
  </si>
  <si>
    <t>27AAAAA7745Z5</t>
  </si>
  <si>
    <t>27AAAAA7746Z5</t>
  </si>
  <si>
    <t>27AAAAA7747Z5</t>
  </si>
  <si>
    <t>27AAAAA7748Z5</t>
  </si>
  <si>
    <t>27AAAAA7749Z5</t>
  </si>
  <si>
    <t>27AAAAA7750Z5</t>
  </si>
  <si>
    <t>27AAAAA7751Z5</t>
  </si>
  <si>
    <t>27AAAAA7752Z5</t>
  </si>
  <si>
    <t>27AAAAA7753Z5</t>
  </si>
  <si>
    <t>27AAAAA7754Z5</t>
  </si>
  <si>
    <t>27AAAAA7755Z5</t>
  </si>
  <si>
    <t>27AAAAA7756Z5</t>
  </si>
  <si>
    <t>27AAAAA7757Z5</t>
  </si>
  <si>
    <t>27AAAAA7758Z5</t>
  </si>
  <si>
    <t>27AAAAA7759Z5</t>
  </si>
  <si>
    <t>27AAAAA7760Z5</t>
  </si>
  <si>
    <t>27AAAAA7761Z5</t>
  </si>
  <si>
    <t>27AAAAA7762Z5</t>
  </si>
  <si>
    <t>27AAAAA7763Z5</t>
  </si>
  <si>
    <t>27AAAAA7764Z5</t>
  </si>
  <si>
    <t>27AAAAA7765Z5</t>
  </si>
  <si>
    <t>27AAAAA7766Z5</t>
  </si>
  <si>
    <t>27AAAAA7767Z5</t>
  </si>
  <si>
    <t>27AAAAA7768Z5</t>
  </si>
  <si>
    <t>27AAAAA7769Z5</t>
  </si>
  <si>
    <t>27AAAAA7770Z5</t>
  </si>
  <si>
    <t>27AAAAA7771Z5</t>
  </si>
  <si>
    <t>27AAAAA7772Z5</t>
  </si>
  <si>
    <t>27AAAAA7773Z5</t>
  </si>
  <si>
    <t>27AAAAA7774Z5</t>
  </si>
  <si>
    <t>27AAAAA7775Z5</t>
  </si>
  <si>
    <t>27AAAAA7776Z5</t>
  </si>
  <si>
    <t>27AAAAA7777Z5</t>
  </si>
  <si>
    <t>27AAAAA7778Z5</t>
  </si>
  <si>
    <t>27AAAAA7779Z5</t>
  </si>
  <si>
    <t>27AAAAA7780Z5</t>
  </si>
  <si>
    <t>27AAAAA7781Z5</t>
  </si>
  <si>
    <t>27AAAAA7782Z5</t>
  </si>
  <si>
    <t>27AAAAA7783Z5</t>
  </si>
  <si>
    <t>27AAAAA7784Z5</t>
  </si>
  <si>
    <t>27AAAAA7785Z5</t>
  </si>
  <si>
    <t>27AAAAA7786Z5</t>
  </si>
  <si>
    <t>27AAAAA7787Z5</t>
  </si>
  <si>
    <t>27AAAAA7788Z5</t>
  </si>
  <si>
    <t>27AAAAA7789Z5</t>
  </si>
  <si>
    <t>27AAAAA7790Z5</t>
  </si>
  <si>
    <t>27AAAAA7791Z5</t>
  </si>
  <si>
    <t>27AAAAA7792Z5</t>
  </si>
  <si>
    <t>27AAAAA7793Z5</t>
  </si>
  <si>
    <t>27AAAAA7794Z5</t>
  </si>
  <si>
    <t>27AAAAA7795Z5</t>
  </si>
  <si>
    <t>27AAAAA7796Z5</t>
  </si>
  <si>
    <t>27AAAAA7797Z5</t>
  </si>
  <si>
    <t>27AAAAA7798Z5</t>
  </si>
  <si>
    <t>27AAAAA7799Z5</t>
  </si>
  <si>
    <t>27AAAAA7800Z5</t>
  </si>
  <si>
    <t>27AAAAA7801Z5</t>
  </si>
  <si>
    <t>27AAAAA7802Z5</t>
  </si>
  <si>
    <t>27AAAAA7803Z5</t>
  </si>
  <si>
    <t>27AAAAA7804Z5</t>
  </si>
  <si>
    <t>27AAAAA7805Z5</t>
  </si>
  <si>
    <t>27AAAAA7806Z5</t>
  </si>
  <si>
    <t>27AAAAA7807Z5</t>
  </si>
  <si>
    <t>27AAAAA7808Z5</t>
  </si>
  <si>
    <t>27AAAAA7809Z5</t>
  </si>
  <si>
    <t>27AAAAA7810Z5</t>
  </si>
  <si>
    <t>27AAAAA7811Z5</t>
  </si>
  <si>
    <t>27AAAAA7812Z5</t>
  </si>
  <si>
    <t>27AAAAA7813Z5</t>
  </si>
  <si>
    <t>27AAAAA7814Z5</t>
  </si>
  <si>
    <t>27AAAAA7815Z5</t>
  </si>
  <si>
    <t>27AAAAA7816Z5</t>
  </si>
  <si>
    <t>27AAAAA7817Z5</t>
  </si>
  <si>
    <t>27AAAAA7818Z5</t>
  </si>
  <si>
    <t>27AAAAA7819Z5</t>
  </si>
  <si>
    <t>27AAAAA7820Z5</t>
  </si>
  <si>
    <t>27AAAAA7821Z5</t>
  </si>
  <si>
    <t>27AAAAA7822Z5</t>
  </si>
  <si>
    <t>27AAAAA7823Z5</t>
  </si>
  <si>
    <t>27AAAAA7824Z5</t>
  </si>
  <si>
    <t>27AAAAA7825Z5</t>
  </si>
  <si>
    <t>27AAAAA7826Z5</t>
  </si>
  <si>
    <t>27AAAAA7827Z5</t>
  </si>
  <si>
    <t>27AAAAA7828Z5</t>
  </si>
  <si>
    <t>27AAAAA7829Z5</t>
  </si>
  <si>
    <t>27AAAAA7830Z5</t>
  </si>
  <si>
    <t>27AAAAA7831Z5</t>
  </si>
  <si>
    <t>27AAAAA7832Z5</t>
  </si>
  <si>
    <t>27AAAAA7833Z5</t>
  </si>
  <si>
    <t>27AAAAA7834Z5</t>
  </si>
  <si>
    <t>27AAAAA7835Z5</t>
  </si>
  <si>
    <t>27AAAAA7836Z5</t>
  </si>
  <si>
    <t>27AAAAA7837Z5</t>
  </si>
  <si>
    <t>27AAAAA7838Z5</t>
  </si>
  <si>
    <t>27AAAAA7839Z5</t>
  </si>
  <si>
    <t>27AAAAA7840Z5</t>
  </si>
  <si>
    <t>27AAAAA7841Z5</t>
  </si>
  <si>
    <t>27AAAAA7842Z5</t>
  </si>
  <si>
    <t>27AAAAA7843Z5</t>
  </si>
  <si>
    <t>27AAAAA7844Z5</t>
  </si>
  <si>
    <t>27AAAAA7845Z5</t>
  </si>
  <si>
    <t>27AAAAA7846Z5</t>
  </si>
  <si>
    <t>27AAAAA7847Z5</t>
  </si>
  <si>
    <t>27AAAAA7848Z5</t>
  </si>
  <si>
    <t>27AAAAA7849Z5</t>
  </si>
  <si>
    <t>27AAAAA7850Z5</t>
  </si>
  <si>
    <t>27AAAAA7851Z5</t>
  </si>
  <si>
    <t>27AAAAA7852Z5</t>
  </si>
  <si>
    <t>27AAAAA7853Z5</t>
  </si>
  <si>
    <t>27AAAAA7854Z5</t>
  </si>
  <si>
    <t>27AAAAA7855Z5</t>
  </si>
  <si>
    <t>27AAAAA7856Z5</t>
  </si>
  <si>
    <t>27AAAAA7857Z5</t>
  </si>
  <si>
    <t>27AAAAA7858Z5</t>
  </si>
  <si>
    <t>27AAAAA7859Z5</t>
  </si>
  <si>
    <t>27AAAAA7860Z5</t>
  </si>
  <si>
    <t>27AAAAA7861Z5</t>
  </si>
  <si>
    <t>27AAAAA7862Z5</t>
  </si>
  <si>
    <t>27AAAAA7863Z5</t>
  </si>
  <si>
    <t>27AAAAA7864Z5</t>
  </si>
  <si>
    <t>27AAAAA7865Z5</t>
  </si>
  <si>
    <t>27AAAAA7866Z5</t>
  </si>
  <si>
    <t>27AAAAA7867Z5</t>
  </si>
  <si>
    <t>27AAAAA7868Z5</t>
  </si>
  <si>
    <t>27AAAAA7869Z5</t>
  </si>
  <si>
    <t>27AAAAA7870Z5</t>
  </si>
  <si>
    <t>27AAAAA7871Z5</t>
  </si>
  <si>
    <t>27AAAAA7872Z5</t>
  </si>
  <si>
    <t>27AAAAA7873Z5</t>
  </si>
  <si>
    <t>27AAAAA7874Z5</t>
  </si>
  <si>
    <t>27AAAAA7875Z5</t>
  </si>
  <si>
    <t>27AAAAA7876Z5</t>
  </si>
  <si>
    <t>27AAAAA7877Z5</t>
  </si>
  <si>
    <t>27AAAAA7878Z5</t>
  </si>
  <si>
    <t>27AAAAA7879Z5</t>
  </si>
  <si>
    <t>27AAAAA7880Z5</t>
  </si>
  <si>
    <t>27AAAAA7881Z5</t>
  </si>
  <si>
    <t>27AAAAA7882Z5</t>
  </si>
  <si>
    <t>27AAAAA7883Z5</t>
  </si>
  <si>
    <t>27AAAAA7884Z5</t>
  </si>
  <si>
    <t>27AAAAA7885Z5</t>
  </si>
  <si>
    <t>27AAAAA7886Z5</t>
  </si>
  <si>
    <t>27AAAAA7887Z5</t>
  </si>
  <si>
    <t>27AAAAA7888Z5</t>
  </si>
  <si>
    <t>27AAAAA7889Z5</t>
  </si>
  <si>
    <t>27AAAAA7890Z5</t>
  </si>
  <si>
    <t>27AAAAA7891Z5</t>
  </si>
  <si>
    <t>27AAAAA7892Z5</t>
  </si>
  <si>
    <t>27AAAAA7893Z5</t>
  </si>
  <si>
    <t>27AAAAA7894Z5</t>
  </si>
  <si>
    <t>27AAAAA7895Z5</t>
  </si>
  <si>
    <t>27AAAAA7896Z5</t>
  </si>
  <si>
    <t>27AAAAA7897Z5</t>
  </si>
  <si>
    <t>27AAAAA7898Z5</t>
  </si>
  <si>
    <t>27AAAAA7899Z5</t>
  </si>
  <si>
    <t>27AAAAA7900Z5</t>
  </si>
  <si>
    <t>27AAAAA7901Z5</t>
  </si>
  <si>
    <t>27AAAAA7902Z5</t>
  </si>
  <si>
    <t>27AAAAA7903Z5</t>
  </si>
  <si>
    <t>27AAAAA7904Z5</t>
  </si>
  <si>
    <t>27AAAAA7905Z5</t>
  </si>
  <si>
    <t>27AAAAA7906Z5</t>
  </si>
  <si>
    <t>27AAAAA7907Z5</t>
  </si>
  <si>
    <t>27AAAAA7908Z5</t>
  </si>
  <si>
    <t>27AAAAA7909Z5</t>
  </si>
  <si>
    <t>27AAAAA7910Z5</t>
  </si>
  <si>
    <t>27AAAAA7911Z5</t>
  </si>
  <si>
    <t>27AAAAA7912Z5</t>
  </si>
  <si>
    <t>27AAAAA7913Z5</t>
  </si>
  <si>
    <t>27AAAAA7914Z5</t>
  </si>
  <si>
    <t>27AAAAA7915Z5</t>
  </si>
  <si>
    <t>27AAAAA7916Z5</t>
  </si>
  <si>
    <t>27AAAAA7917Z5</t>
  </si>
  <si>
    <t>27AAAAA7918Z5</t>
  </si>
  <si>
    <t>27AAAAA7919Z5</t>
  </si>
  <si>
    <t>27AAAAA7920Z5</t>
  </si>
  <si>
    <t>27AAAAA7921Z5</t>
  </si>
  <si>
    <t>27AAAAA7922Z5</t>
  </si>
  <si>
    <t>27AAAAA7923Z5</t>
  </si>
  <si>
    <t>27AAAAA7924Z5</t>
  </si>
  <si>
    <t>27AAAAA7925Z5</t>
  </si>
  <si>
    <t>27AAAAA7926Z5</t>
  </si>
  <si>
    <t>27AAAAA7927Z5</t>
  </si>
  <si>
    <t>27AAAAA7928Z5</t>
  </si>
  <si>
    <t>27AAAAA7929Z5</t>
  </si>
  <si>
    <t>27AAAAA7930Z5</t>
  </si>
  <si>
    <t>27AAAAA7931Z5</t>
  </si>
  <si>
    <t>27AAAAA7932Z5</t>
  </si>
  <si>
    <t>27AAAAA7933Z5</t>
  </si>
  <si>
    <t>27AAAAA7934Z5</t>
  </si>
  <si>
    <t>27AAAAA7935Z5</t>
  </si>
  <si>
    <t>27AAAAA7936Z5</t>
  </si>
  <si>
    <t>27AAAAA7937Z5</t>
  </si>
  <si>
    <t>27AAAAA7938Z5</t>
  </si>
  <si>
    <t>27AAAAA7939Z5</t>
  </si>
  <si>
    <t>27AAAAA7940Z5</t>
  </si>
  <si>
    <t>27AAAAA7941Z5</t>
  </si>
  <si>
    <t>27AAAAA7942Z5</t>
  </si>
  <si>
    <t>27AAAAA7943Z5</t>
  </si>
  <si>
    <t>27AAAAA7944Z5</t>
  </si>
  <si>
    <t>27AAAAA7945Z5</t>
  </si>
  <si>
    <t>27AAAAA7946Z5</t>
  </si>
  <si>
    <t>27AAAAA7947Z5</t>
  </si>
  <si>
    <t>27AAAAA7948Z5</t>
  </si>
  <si>
    <t>27AAAAA7949Z5</t>
  </si>
  <si>
    <t>27AAAAA7950Z5</t>
  </si>
  <si>
    <t>27AAAAA7951Z5</t>
  </si>
  <si>
    <t>27AAAAA7952Z5</t>
  </si>
  <si>
    <t>27AAAAA7953Z5</t>
  </si>
  <si>
    <t>27AAAAA7954Z5</t>
  </si>
  <si>
    <t>27AAAAA7955Z5</t>
  </si>
  <si>
    <t>27AAAAA7956Z5</t>
  </si>
  <si>
    <t>27AAAAA7957Z5</t>
  </si>
  <si>
    <t>27AAAAA7958Z5</t>
  </si>
  <si>
    <t>27AAAAA7959Z5</t>
  </si>
  <si>
    <t>27AAAAA7960Z5</t>
  </si>
  <si>
    <t>27AAAAA7961Z5</t>
  </si>
  <si>
    <t>27AAAAA7962Z5</t>
  </si>
  <si>
    <t>27AAAAA7963Z5</t>
  </si>
  <si>
    <t>27AAAAA7964Z5</t>
  </si>
  <si>
    <t>27AAAAA7965Z5</t>
  </si>
  <si>
    <t>27AAAAA7966Z5</t>
  </si>
  <si>
    <t>27AAAAA7967Z5</t>
  </si>
  <si>
    <t>27AAAAA7968Z5</t>
  </si>
  <si>
    <t>27AAAAA7969Z5</t>
  </si>
  <si>
    <t>27AAAAA7970Z5</t>
  </si>
  <si>
    <t>27AAAAA7971Z5</t>
  </si>
  <si>
    <t>27AAAAA7972Z5</t>
  </si>
  <si>
    <t>27AAAAA7973Z5</t>
  </si>
  <si>
    <t>27AAAAA7974Z5</t>
  </si>
  <si>
    <t>27AAAAA7975Z5</t>
  </si>
  <si>
    <t>27AAAAA7976Z5</t>
  </si>
  <si>
    <t>27AAAAA7977Z5</t>
  </si>
  <si>
    <t>27AAAAA7978Z5</t>
  </si>
  <si>
    <t>27AAAAA7979Z5</t>
  </si>
  <si>
    <t>27AAAAA7980Z5</t>
  </si>
  <si>
    <t>27AAAAA7981Z5</t>
  </si>
  <si>
    <t>27AAAAA7982Z5</t>
  </si>
  <si>
    <t>27AAAAA7983Z5</t>
  </si>
  <si>
    <t>27AAAAA7984Z5</t>
  </si>
  <si>
    <t>27AAAAA7985Z5</t>
  </si>
  <si>
    <t>27AAAAA7986Z5</t>
  </si>
  <si>
    <t>27AAAAA7987Z5</t>
  </si>
  <si>
    <t>27AAAAA7988Z5</t>
  </si>
  <si>
    <t>27AAAAA7989Z5</t>
  </si>
  <si>
    <t>27AAAAA7990Z5</t>
  </si>
  <si>
    <t>27AAAAA7991Z5</t>
  </si>
  <si>
    <t>27AAAAA7992Z5</t>
  </si>
  <si>
    <t>27AAAAA7993Z5</t>
  </si>
  <si>
    <t>27AAAAA7994Z5</t>
  </si>
  <si>
    <t>27AAAAA7995Z5</t>
  </si>
  <si>
    <t>27AAAAA7996Z5</t>
  </si>
  <si>
    <t>27AAAAA7997Z5</t>
  </si>
  <si>
    <t>27AAAAA7998Z5</t>
  </si>
  <si>
    <t>27AAAAA7999Z5</t>
  </si>
  <si>
    <t>27AAAAA8000Z5</t>
  </si>
  <si>
    <t>27AAAAA8001Z5</t>
  </si>
  <si>
    <t>27AAAAA8002Z5</t>
  </si>
  <si>
    <t>27AAAAA8003Z5</t>
  </si>
  <si>
    <t>27AAAAA8004Z5</t>
  </si>
  <si>
    <t>27AAAAA8005Z5</t>
  </si>
  <si>
    <t>27AAAAA8006Z5</t>
  </si>
  <si>
    <t>27AAAAA8007Z5</t>
  </si>
  <si>
    <t>27AAAAA8008Z5</t>
  </si>
  <si>
    <t>27AAAAA8009Z5</t>
  </si>
  <si>
    <t>27AAAAA8010Z5</t>
  </si>
  <si>
    <t>27AAAAA8011Z5</t>
  </si>
  <si>
    <t>27AAAAA8012Z5</t>
  </si>
  <si>
    <t>27AAAAA8013Z5</t>
  </si>
  <si>
    <t>27AAAAA8014Z5</t>
  </si>
  <si>
    <t>27AAAAA8015Z5</t>
  </si>
  <si>
    <t>27AAAAA8016Z5</t>
  </si>
  <si>
    <t>27AAAAA8017Z5</t>
  </si>
  <si>
    <t>27AAAAA8018Z5</t>
  </si>
  <si>
    <t>27AAAAA8019Z5</t>
  </si>
  <si>
    <t>27AAAAA8020Z5</t>
  </si>
  <si>
    <t>27AAAAA8021Z5</t>
  </si>
  <si>
    <t>27AAAAA8022Z5</t>
  </si>
  <si>
    <t>27AAAAA8023Z5</t>
  </si>
  <si>
    <t>27AAAAA8024Z5</t>
  </si>
  <si>
    <t>27AAAAA8025Z5</t>
  </si>
  <si>
    <t>27AAAAA8026Z5</t>
  </si>
  <si>
    <t>27AAAAA8027Z5</t>
  </si>
  <si>
    <t>27AAAAA8028Z5</t>
  </si>
  <si>
    <t>27AAAAA8029Z5</t>
  </si>
  <si>
    <t>27AAAAA8030Z5</t>
  </si>
  <si>
    <t>27AAAAA8031Z5</t>
  </si>
  <si>
    <t>27AAAAA8032Z5</t>
  </si>
  <si>
    <t>27AAAAA8033Z5</t>
  </si>
  <si>
    <t>27AAAAA8034Z5</t>
  </si>
  <si>
    <t>27AAAAA8035Z5</t>
  </si>
  <si>
    <t>27AAAAA8036Z5</t>
  </si>
  <si>
    <t>27AAAAA8037Z5</t>
  </si>
  <si>
    <t>27AAAAA8038Z5</t>
  </si>
  <si>
    <t>27AAAAA8039Z5</t>
  </si>
  <si>
    <t>27AAAAA8040Z5</t>
  </si>
  <si>
    <t>27AAAAA8041Z5</t>
  </si>
  <si>
    <t>27AAAAA8042Z5</t>
  </si>
  <si>
    <t>27AAAAA8043Z5</t>
  </si>
  <si>
    <t>27AAAAA8044Z5</t>
  </si>
  <si>
    <t>27AAAAA8045Z5</t>
  </si>
  <si>
    <t>27AAAAA8046Z5</t>
  </si>
  <si>
    <t>27AAAAA8047Z5</t>
  </si>
  <si>
    <t>27AAAAA8048Z5</t>
  </si>
  <si>
    <t>27AAAAA8049Z5</t>
  </si>
  <si>
    <t>27AAAAA8050Z5</t>
  </si>
  <si>
    <t>27AAAAA8051Z5</t>
  </si>
  <si>
    <t>27AAAAA8052Z5</t>
  </si>
  <si>
    <t>27AAAAA8053Z5</t>
  </si>
  <si>
    <t>27AAAAA8054Z5</t>
  </si>
  <si>
    <t>27AAAAA8055Z5</t>
  </si>
  <si>
    <t>27AAAAA8056Z5</t>
  </si>
  <si>
    <t>27AAAAA8057Z5</t>
  </si>
  <si>
    <t>27AAAAA8058Z5</t>
  </si>
  <si>
    <t>27AAAAA8059Z5</t>
  </si>
  <si>
    <t>27AAAAA8060Z5</t>
  </si>
  <si>
    <t>27AAAAA8061Z5</t>
  </si>
  <si>
    <t>27AAAAA8062Z5</t>
  </si>
  <si>
    <t>27AAAAA8063Z5</t>
  </si>
  <si>
    <t>27AAAAA8064Z5</t>
  </si>
  <si>
    <t>27AAAAA8065Z5</t>
  </si>
  <si>
    <t>27AAAAA8066Z5</t>
  </si>
  <si>
    <t>27AAAAA8067Z5</t>
  </si>
  <si>
    <t>27AAAAA8068Z5</t>
  </si>
  <si>
    <t>27AAAAA8069Z5</t>
  </si>
  <si>
    <t>27AAAAA8070Z5</t>
  </si>
  <si>
    <t>27AAAAA8071Z5</t>
  </si>
  <si>
    <t>27AAAAA8072Z5</t>
  </si>
  <si>
    <t>27AAAAA8073Z5</t>
  </si>
  <si>
    <t>27AAAAA8074Z5</t>
  </si>
  <si>
    <t>27AAAAA8075Z5</t>
  </si>
  <si>
    <t>27AAAAA8076Z5</t>
  </si>
  <si>
    <t>27AAAAA8077Z5</t>
  </si>
  <si>
    <t>27AAAAA8078Z5</t>
  </si>
  <si>
    <t>27AAAAA8079Z5</t>
  </si>
  <si>
    <t>27AAAAA8080Z5</t>
  </si>
  <si>
    <t>27AAAAA8081Z5</t>
  </si>
  <si>
    <t>27AAAAA8082Z5</t>
  </si>
  <si>
    <t>27AAAAA8083Z5</t>
  </si>
  <si>
    <t>27AAAAA8084Z5</t>
  </si>
  <si>
    <t>27AAAAA8085Z5</t>
  </si>
  <si>
    <t>27AAAAA8086Z5</t>
  </si>
  <si>
    <t>27AAAAA8087Z5</t>
  </si>
  <si>
    <t>27AAAAA8088Z5</t>
  </si>
  <si>
    <t>27AAAAA8089Z5</t>
  </si>
  <si>
    <t>27AAAAA8090Z5</t>
  </si>
  <si>
    <t>27AAAAA8091Z5</t>
  </si>
  <si>
    <t>27AAAAA8092Z5</t>
  </si>
  <si>
    <t>27AAAAA8093Z5</t>
  </si>
  <si>
    <t>27AAAAA8094Z5</t>
  </si>
  <si>
    <t>27AAAAA8095Z5</t>
  </si>
  <si>
    <t>27AAAAA8096Z5</t>
  </si>
  <si>
    <t>27AAAAA8097Z5</t>
  </si>
  <si>
    <t>27AAAAA8098Z5</t>
  </si>
  <si>
    <t>27AAAAA8099Z5</t>
  </si>
  <si>
    <t>27AAAAA8100Z5</t>
  </si>
  <si>
    <t>27AAAAA8101Z5</t>
  </si>
  <si>
    <t>27AAAAA8102Z5</t>
  </si>
  <si>
    <t>27AAAAA8103Z5</t>
  </si>
  <si>
    <t>27AAAAA8104Z5</t>
  </si>
  <si>
    <t>27AAAAA8105Z5</t>
  </si>
  <si>
    <t>27AAAAA8106Z5</t>
  </si>
  <si>
    <t>27AAAAA8107Z5</t>
  </si>
  <si>
    <t>27AAAAA8108Z5</t>
  </si>
  <si>
    <t>27AAAAA8109Z5</t>
  </si>
  <si>
    <t>27AAAAA8110Z5</t>
  </si>
  <si>
    <t>27AAAAA8111Z5</t>
  </si>
  <si>
    <t>27AAAAA8112Z5</t>
  </si>
  <si>
    <t>27AAAAA8113Z5</t>
  </si>
  <si>
    <t>27AAAAA8114Z5</t>
  </si>
  <si>
    <t>27AAAAA8115Z5</t>
  </si>
  <si>
    <t>27AAAAA8116Z5</t>
  </si>
  <si>
    <t>27AAAAA8117Z5</t>
  </si>
  <si>
    <t>27AAAAA8118Z5</t>
  </si>
  <si>
    <t>27AAAAA8119Z5</t>
  </si>
  <si>
    <t>27AAAAA8120Z5</t>
  </si>
  <si>
    <t>27AAAAA8121Z5</t>
  </si>
  <si>
    <t>27AAAAA8122Z5</t>
  </si>
  <si>
    <t>27AAAAA8123Z5</t>
  </si>
  <si>
    <t>27AAAAA8124Z5</t>
  </si>
  <si>
    <t>27AAAAA8125Z5</t>
  </si>
  <si>
    <t>27AAAAA8126Z5</t>
  </si>
  <si>
    <t>27AAAAA8127Z5</t>
  </si>
  <si>
    <t>27AAAAA8128Z5</t>
  </si>
  <si>
    <t>27AAAAA8129Z5</t>
  </si>
  <si>
    <t>27AAAAA8130Z5</t>
  </si>
  <si>
    <t>27AAAAA8131Z5</t>
  </si>
  <si>
    <t>27AAAAA8132Z5</t>
  </si>
  <si>
    <t>27AAAAA8133Z5</t>
  </si>
  <si>
    <t>27AAAAA8134Z5</t>
  </si>
  <si>
    <t>27AAAAA8135Z5</t>
  </si>
  <si>
    <t>27AAAAA8136Z5</t>
  </si>
  <si>
    <t>27AAAAA8137Z5</t>
  </si>
  <si>
    <t>27AAAAA8138Z5</t>
  </si>
  <si>
    <t>27AAAAA8139Z5</t>
  </si>
  <si>
    <t>27AAAAA8140Z5</t>
  </si>
  <si>
    <t>27AAAAA8141Z5</t>
  </si>
  <si>
    <t>27AAAAA8142Z5</t>
  </si>
  <si>
    <t>27AAAAA8143Z5</t>
  </si>
  <si>
    <t>27AAAAA8144Z5</t>
  </si>
  <si>
    <t>27AAAAA8145Z5</t>
  </si>
  <si>
    <t>27AAAAA8146Z5</t>
  </si>
  <si>
    <t>27AAAAA8147Z5</t>
  </si>
  <si>
    <t>27AAAAA8148Z5</t>
  </si>
  <si>
    <t>27AAAAA8149Z5</t>
  </si>
  <si>
    <t>27AAAAA8150Z5</t>
  </si>
  <si>
    <t>27AAAAA8151Z5</t>
  </si>
  <si>
    <t>27AAAAA8152Z5</t>
  </si>
  <si>
    <t>27AAAAA8153Z5</t>
  </si>
  <si>
    <t>27AAAAA8154Z5</t>
  </si>
  <si>
    <t>27AAAAA8155Z5</t>
  </si>
  <si>
    <t>27AAAAA8156Z5</t>
  </si>
  <si>
    <t>27AAAAA8157Z5</t>
  </si>
  <si>
    <t>27AAAAA8158Z5</t>
  </si>
  <si>
    <t>27AAAAA8159Z5</t>
  </si>
  <si>
    <t>27AAAAA8160Z5</t>
  </si>
  <si>
    <t>27AAAAA8161Z5</t>
  </si>
  <si>
    <t>27AAAAA8162Z5</t>
  </si>
  <si>
    <t>27AAAAA8163Z5</t>
  </si>
  <si>
    <t>27AAAAA8164Z5</t>
  </si>
  <si>
    <t>27AAAAA8165Z5</t>
  </si>
  <si>
    <t>27AAAAA8166Z5</t>
  </si>
  <si>
    <t>27AAAAA8167Z5</t>
  </si>
  <si>
    <t>27AAAAA8168Z5</t>
  </si>
  <si>
    <t>27AAAAA8169Z5</t>
  </si>
  <si>
    <t>27AAAAA8170Z5</t>
  </si>
  <si>
    <t>27AAAAA8171Z5</t>
  </si>
  <si>
    <t>27AAAAA8172Z5</t>
  </si>
  <si>
    <t>27AAAAA8173Z5</t>
  </si>
  <si>
    <t>27AAAAA8174Z5</t>
  </si>
  <si>
    <t>27AAAAA8175Z5</t>
  </si>
  <si>
    <t>27AAAAA8176Z5</t>
  </si>
  <si>
    <t>27AAAAA8177Z5</t>
  </si>
  <si>
    <t>27AAAAA8178Z5</t>
  </si>
  <si>
    <t>27AAAAA8179Z5</t>
  </si>
  <si>
    <t>27AAAAA8180Z5</t>
  </si>
  <si>
    <t>27AAAAA8181Z5</t>
  </si>
  <si>
    <t>27AAAAA8182Z5</t>
  </si>
  <si>
    <t>27AAAAA8183Z5</t>
  </si>
  <si>
    <t>27AAAAA8184Z5</t>
  </si>
  <si>
    <t>27AAAAA8185Z5</t>
  </si>
  <si>
    <t>27AAAAA8186Z5</t>
  </si>
  <si>
    <t>27AAAAA8187Z5</t>
  </si>
  <si>
    <t>27AAAAA8188Z5</t>
  </si>
  <si>
    <t>27AAAAA8189Z5</t>
  </si>
  <si>
    <t>27AAAAA8190Z5</t>
  </si>
  <si>
    <t>27AAAAA8191Z5</t>
  </si>
  <si>
    <t>27AAAAA8192Z5</t>
  </si>
  <si>
    <t>27AAAAA8193Z5</t>
  </si>
  <si>
    <t>27AAAAA8194Z5</t>
  </si>
  <si>
    <t>27AAAAA8195Z5</t>
  </si>
  <si>
    <t>27AAAAA8196Z5</t>
  </si>
  <si>
    <t>27AAAAA8197Z5</t>
  </si>
  <si>
    <t>27AAAAA8198Z5</t>
  </si>
  <si>
    <t>27AAAAA8199Z5</t>
  </si>
  <si>
    <t>27AAAAA8200Z5</t>
  </si>
  <si>
    <t>27AAAAA8201Z5</t>
  </si>
  <si>
    <t>27AAAAA8202Z5</t>
  </si>
  <si>
    <t>27AAAAA8203Z5</t>
  </si>
  <si>
    <t>27AAAAA8204Z5</t>
  </si>
  <si>
    <t>27AAAAA8205Z5</t>
  </si>
  <si>
    <t>27AAAAA8206Z5</t>
  </si>
  <si>
    <t>27AAAAA8207Z5</t>
  </si>
  <si>
    <t>27AAAAA8208Z5</t>
  </si>
  <si>
    <t>27AAAAA8209Z5</t>
  </si>
  <si>
    <t>27AAAAA8210Z5</t>
  </si>
  <si>
    <t>27AAAAA8211Z5</t>
  </si>
  <si>
    <t>27AAAAA8212Z5</t>
  </si>
  <si>
    <t>27AAAAA8213Z5</t>
  </si>
  <si>
    <t>27AAAAA8214Z5</t>
  </si>
  <si>
    <t>27AAAAA8215Z5</t>
  </si>
  <si>
    <t>27AAAAA8216Z5</t>
  </si>
  <si>
    <t>27AAAAA8217Z5</t>
  </si>
  <si>
    <t>27AAAAA8218Z5</t>
  </si>
  <si>
    <t>27AAAAA8219Z5</t>
  </si>
  <si>
    <t>27AAAAA8220Z5</t>
  </si>
  <si>
    <t>27AAAAA8221Z5</t>
  </si>
  <si>
    <t>27AAAAA8222Z5</t>
  </si>
  <si>
    <t>27AAAAA8223Z5</t>
  </si>
  <si>
    <t>27AAAAA8224Z5</t>
  </si>
  <si>
    <t>27AAAAA8225Z5</t>
  </si>
  <si>
    <t>27AAAAA8226Z5</t>
  </si>
  <si>
    <t>27AAAAA8227Z5</t>
  </si>
  <si>
    <t>27AAAAA8228Z5</t>
  </si>
  <si>
    <t>27AAAAA8229Z5</t>
  </si>
  <si>
    <t>27AAAAA8230Z5</t>
  </si>
  <si>
    <t>27AAAAA8231Z5</t>
  </si>
  <si>
    <t>27AAAAA8232Z5</t>
  </si>
  <si>
    <t>27AAAAA8233Z5</t>
  </si>
  <si>
    <t>27AAAAA8234Z5</t>
  </si>
  <si>
    <t>27AAAAA8235Z5</t>
  </si>
  <si>
    <t>27AAAAA8236Z5</t>
  </si>
  <si>
    <t>27AAAAA8237Z5</t>
  </si>
  <si>
    <t>27AAAAA8238Z5</t>
  </si>
  <si>
    <t>27AAAAA8239Z5</t>
  </si>
  <si>
    <t>27AAAAA8240Z5</t>
  </si>
  <si>
    <t>27AAAAA8241Z5</t>
  </si>
  <si>
    <t>27AAAAA8242Z5</t>
  </si>
  <si>
    <t>27AAAAA8243Z5</t>
  </si>
  <si>
    <t>27AAAAA8244Z5</t>
  </si>
  <si>
    <t>27AAAAA8245Z5</t>
  </si>
  <si>
    <t>27AAAAA8246Z5</t>
  </si>
  <si>
    <t>27AAAAA8247Z5</t>
  </si>
  <si>
    <t>27AAAAA8248Z5</t>
  </si>
  <si>
    <t>27AAAAA8249Z5</t>
  </si>
  <si>
    <t>27AAAAA8250Z5</t>
  </si>
  <si>
    <t>27AAAAA8251Z5</t>
  </si>
  <si>
    <t>27AAAAA8252Z5</t>
  </si>
  <si>
    <t>27AAAAA8253Z5</t>
  </si>
  <si>
    <t>27AAAAA8254Z5</t>
  </si>
  <si>
    <t>27AAAAA8255Z5</t>
  </si>
  <si>
    <t>27AAAAA8256Z5</t>
  </si>
  <si>
    <t>27AAAAA8257Z5</t>
  </si>
  <si>
    <t>27AAAAA8258Z5</t>
  </si>
  <si>
    <t>27AAAAA8259Z5</t>
  </si>
  <si>
    <t>27AAAAA8260Z5</t>
  </si>
  <si>
    <t>27AAAAA8261Z5</t>
  </si>
  <si>
    <t>27AAAAA8262Z5</t>
  </si>
  <si>
    <t>27AAAAA8263Z5</t>
  </si>
  <si>
    <t>27AAAAA8264Z5</t>
  </si>
  <si>
    <t>27AAAAA8265Z5</t>
  </si>
  <si>
    <t>27AAAAA8266Z5</t>
  </si>
  <si>
    <t>27AAAAA8267Z5</t>
  </si>
  <si>
    <t>27AAAAA8268Z5</t>
  </si>
  <si>
    <t>27AAAAA8269Z5</t>
  </si>
  <si>
    <t>27AAAAA8270Z5</t>
  </si>
  <si>
    <t>27AAAAA8271Z5</t>
  </si>
  <si>
    <t>27AAAAA8272Z5</t>
  </si>
  <si>
    <t>27AAAAA8273Z5</t>
  </si>
  <si>
    <t>27AAAAA8274Z5</t>
  </si>
  <si>
    <t>27AAAAA8275Z5</t>
  </si>
  <si>
    <t>27AAAAA8276Z5</t>
  </si>
  <si>
    <t>27AAAAA8277Z5</t>
  </si>
  <si>
    <t>27AAAAA8278Z5</t>
  </si>
  <si>
    <t>27AAAAA8279Z5</t>
  </si>
  <si>
    <t>27AAAAA8280Z5</t>
  </si>
  <si>
    <t>27AAAAA8281Z5</t>
  </si>
  <si>
    <t>27AAAAA8282Z5</t>
  </si>
  <si>
    <t>27AAAAA8283Z5</t>
  </si>
  <si>
    <t>27AAAAA8284Z5</t>
  </si>
  <si>
    <t>27AAAAA8285Z5</t>
  </si>
  <si>
    <t>27AAAAA8286Z5</t>
  </si>
  <si>
    <t>27AAAAA8287Z5</t>
  </si>
  <si>
    <t>27AAAAA8288Z5</t>
  </si>
  <si>
    <t>27AAAAA8289Z5</t>
  </si>
  <si>
    <t>27AAAAA8290Z5</t>
  </si>
  <si>
    <t>27AAAAA8291Z5</t>
  </si>
  <si>
    <t>27AAAAA8292Z5</t>
  </si>
  <si>
    <t>27AAAAA8293Z5</t>
  </si>
  <si>
    <t>27AAAAA8294Z5</t>
  </si>
  <si>
    <t>27AAAAA8295Z5</t>
  </si>
  <si>
    <t>27AAAAA8296Z5</t>
  </si>
  <si>
    <t>27AAAAA8297Z5</t>
  </si>
  <si>
    <t>27AAAAA8298Z5</t>
  </si>
  <si>
    <t>27AAAAA8299Z5</t>
  </si>
  <si>
    <t>27AAAAA8300Z5</t>
  </si>
  <si>
    <t>27AAAAA8301Z5</t>
  </si>
  <si>
    <t>27AAAAA8302Z5</t>
  </si>
  <si>
    <t>27AAAAA8303Z5</t>
  </si>
  <si>
    <t>27AAAAA8304Z5</t>
  </si>
  <si>
    <t>27AAAAA8305Z5</t>
  </si>
  <si>
    <t>27AAAAA8306Z5</t>
  </si>
  <si>
    <t>27AAAAA8307Z5</t>
  </si>
  <si>
    <t>27AAAAA8308Z5</t>
  </si>
  <si>
    <t>27AAAAA8309Z5</t>
  </si>
  <si>
    <t>27AAAAA8310Z5</t>
  </si>
  <si>
    <t>27AAAAA8311Z5</t>
  </si>
  <si>
    <t>27AAAAA8312Z5</t>
  </si>
  <si>
    <t>27AAAAA8313Z5</t>
  </si>
  <si>
    <t>27AAAAA8314Z5</t>
  </si>
  <si>
    <t>27AAAAA8315Z5</t>
  </si>
  <si>
    <t>27AAAAA8316Z5</t>
  </si>
  <si>
    <t>27AAAAA8317Z5</t>
  </si>
  <si>
    <t>27AAAAA8318Z5</t>
  </si>
  <si>
    <t>27AAAAA8319Z5</t>
  </si>
  <si>
    <t>27AAAAA8320Z5</t>
  </si>
  <si>
    <t>27AAAAA8321Z5</t>
  </si>
  <si>
    <t>27AAAAA8322Z5</t>
  </si>
  <si>
    <t>27AAAAA8323Z5</t>
  </si>
  <si>
    <t>27AAAAA8324Z5</t>
  </si>
  <si>
    <t>27AAAAA8325Z5</t>
  </si>
  <si>
    <t>27AAAAA8326Z5</t>
  </si>
  <si>
    <t>27AAAAA8327Z5</t>
  </si>
  <si>
    <t>27AAAAA8328Z5</t>
  </si>
  <si>
    <t>27AAAAA8329Z5</t>
  </si>
  <si>
    <t>27AAAAA8330Z5</t>
  </si>
  <si>
    <t>27AAAAA8331Z5</t>
  </si>
  <si>
    <t>27AAAAA8332Z5</t>
  </si>
  <si>
    <t>27AAAAA8333Z5</t>
  </si>
  <si>
    <t>27AAAAA8334Z5</t>
  </si>
  <si>
    <t>27AAAAA8335Z5</t>
  </si>
  <si>
    <t>27AAAAA8336Z5</t>
  </si>
  <si>
    <t>27AAAAA8337Z5</t>
  </si>
  <si>
    <t>27AAAAA8338Z5</t>
  </si>
  <si>
    <t>27AAAAA8339Z5</t>
  </si>
  <si>
    <t>27AAAAA8340Z5</t>
  </si>
  <si>
    <t>27AAAAA8341Z5</t>
  </si>
  <si>
    <t>27AAAAA8342Z5</t>
  </si>
  <si>
    <t>27AAAAA8343Z5</t>
  </si>
  <si>
    <t>27AAAAA8344Z5</t>
  </si>
  <si>
    <t>27AAAAA8345Z5</t>
  </si>
  <si>
    <t>27AAAAA8346Z5</t>
  </si>
  <si>
    <t>27AAAAA8347Z5</t>
  </si>
  <si>
    <t>27AAAAA8348Z5</t>
  </si>
  <si>
    <t>27AAAAA8349Z5</t>
  </si>
  <si>
    <t>27AAAAA8350Z5</t>
  </si>
  <si>
    <t>27AAAAA8351Z5</t>
  </si>
  <si>
    <t>27AAAAA8352Z5</t>
  </si>
  <si>
    <t>27AAAAA8353Z5</t>
  </si>
  <si>
    <t>27AAAAA8354Z5</t>
  </si>
  <si>
    <t>27AAAAA8355Z5</t>
  </si>
  <si>
    <t>27AAAAA8356Z5</t>
  </si>
  <si>
    <t>27AAAAA8357Z5</t>
  </si>
  <si>
    <t>27AAAAA8358Z5</t>
  </si>
  <si>
    <t>27AAAAA8359Z5</t>
  </si>
  <si>
    <t>27AAAAA8360Z5</t>
  </si>
  <si>
    <t>27AAAAA8361Z5</t>
  </si>
  <si>
    <t>27AAAAA8362Z5</t>
  </si>
  <si>
    <t>27AAAAA8363Z5</t>
  </si>
  <si>
    <t>27AAAAA8364Z5</t>
  </si>
  <si>
    <t>27AAAAA8365Z5</t>
  </si>
  <si>
    <t>27AAAAA8366Z5</t>
  </si>
  <si>
    <t>27AAAAA8367Z5</t>
  </si>
  <si>
    <t>27AAAAA8368Z5</t>
  </si>
  <si>
    <t>27AAAAA8369Z5</t>
  </si>
  <si>
    <t>27AAAAA8370Z5</t>
  </si>
  <si>
    <t>27AAAAA8371Z5</t>
  </si>
  <si>
    <t>27AAAAA8372Z5</t>
  </si>
  <si>
    <t>27AAAAA8373Z5</t>
  </si>
  <si>
    <t>27AAAAA8374Z5</t>
  </si>
  <si>
    <t>27AAAAA8375Z5</t>
  </si>
  <si>
    <t>27AAAAA8376Z5</t>
  </si>
  <si>
    <t>27AAAAA8377Z5</t>
  </si>
  <si>
    <t>27AAAAA8378Z5</t>
  </si>
  <si>
    <t>27AAAAA8379Z5</t>
  </si>
  <si>
    <t>27AAAAA8380Z5</t>
  </si>
  <si>
    <t>27AAAAA8381Z5</t>
  </si>
  <si>
    <t>27AAAAA8382Z5</t>
  </si>
  <si>
    <t>27AAAAA8383Z5</t>
  </si>
  <si>
    <t>27AAAAA8384Z5</t>
  </si>
  <si>
    <t>27AAAAA8385Z5</t>
  </si>
  <si>
    <t>27AAAAA8386Z5</t>
  </si>
  <si>
    <t>27AAAAA8387Z5</t>
  </si>
  <si>
    <t>27AAAAA8388Z5</t>
  </si>
  <si>
    <t>27AAAAA8389Z5</t>
  </si>
  <si>
    <t>27AAAAA8390Z5</t>
  </si>
  <si>
    <t>27AAAAA8391Z5</t>
  </si>
  <si>
    <t>27AAAAA8392Z5</t>
  </si>
  <si>
    <t>27AAAAA8393Z5</t>
  </si>
  <si>
    <t>27AAAAA8394Z5</t>
  </si>
  <si>
    <t>27AAAAA8395Z5</t>
  </si>
  <si>
    <t>27AAAAA8396Z5</t>
  </si>
  <si>
    <t>27AAAAA8397Z5</t>
  </si>
  <si>
    <t>27AAAAA8398Z5</t>
  </si>
  <si>
    <t>27AAAAA8399Z5</t>
  </si>
  <si>
    <t>27AAAAA8400Z5</t>
  </si>
  <si>
    <t>27AAAAA8401Z5</t>
  </si>
  <si>
    <t>27AAAAA8402Z5</t>
  </si>
  <si>
    <t>27AAAAA8403Z5</t>
  </si>
  <si>
    <t>27AAAAA8404Z5</t>
  </si>
  <si>
    <t>27AAAAA8405Z5</t>
  </si>
  <si>
    <t>27AAAAA8406Z5</t>
  </si>
  <si>
    <t>27AAAAA8407Z5</t>
  </si>
  <si>
    <t>27AAAAA8408Z5</t>
  </si>
  <si>
    <t>27AAAAA8409Z5</t>
  </si>
  <si>
    <t>27AAAAA8410Z5</t>
  </si>
  <si>
    <t>27AAAAA8411Z5</t>
  </si>
  <si>
    <t>27AAAAA8412Z5</t>
  </si>
  <si>
    <t>27AAAAA8413Z5</t>
  </si>
  <si>
    <t>27AAAAA8414Z5</t>
  </si>
  <si>
    <t>27AAAAA8415Z5</t>
  </si>
  <si>
    <t>27AAAAA8416Z5</t>
  </si>
  <si>
    <t>27AAAAA8417Z5</t>
  </si>
  <si>
    <t>27AAAAA8418Z5</t>
  </si>
  <si>
    <t>27AAAAA8419Z5</t>
  </si>
  <si>
    <t>27AAAAA8420Z5</t>
  </si>
  <si>
    <t>27AAAAA8421Z5</t>
  </si>
  <si>
    <t>27AAAAA8422Z5</t>
  </si>
  <si>
    <t>27AAAAA8423Z5</t>
  </si>
  <si>
    <t>27AAAAA8424Z5</t>
  </si>
  <si>
    <t>27AAAAA8425Z5</t>
  </si>
  <si>
    <t>27AAAAA8426Z5</t>
  </si>
  <si>
    <t>27AAAAA8427Z5</t>
  </si>
  <si>
    <t>27AAAAA8428Z5</t>
  </si>
  <si>
    <t>27AAAAA8429Z5</t>
  </si>
  <si>
    <t>27AAAAA8430Z5</t>
  </si>
  <si>
    <t>27AAAAA8431Z5</t>
  </si>
  <si>
    <t>27AAAAA8432Z5</t>
  </si>
  <si>
    <t>27AAAAA8433Z5</t>
  </si>
  <si>
    <t>27AAAAA8434Z5</t>
  </si>
  <si>
    <t>27AAAAA8435Z5</t>
  </si>
  <si>
    <t>27AAAAA8436Z5</t>
  </si>
  <si>
    <t>27AAAAA8437Z5</t>
  </si>
  <si>
    <t>27AAAAA8438Z5</t>
  </si>
  <si>
    <t>27AAAAA8439Z5</t>
  </si>
  <si>
    <t>27AAAAA8440Z5</t>
  </si>
  <si>
    <t>27AAAAA8441Z5</t>
  </si>
  <si>
    <t>27AAAAA8442Z5</t>
  </si>
  <si>
    <t>27AAAAA8443Z5</t>
  </si>
  <si>
    <t>27AAAAA8444Z5</t>
  </si>
  <si>
    <t>27AAAAA8445Z5</t>
  </si>
  <si>
    <t>27AAAAA8446Z5</t>
  </si>
  <si>
    <t>27AAAAA8447Z5</t>
  </si>
  <si>
    <t>27AAAAA8448Z5</t>
  </si>
  <si>
    <t>27AAAAA8449Z5</t>
  </si>
  <si>
    <t>27AAAAA8450Z5</t>
  </si>
  <si>
    <t>27AAAAA8451Z5</t>
  </si>
  <si>
    <t>27AAAAA8452Z5</t>
  </si>
  <si>
    <t>27AAAAA8453Z5</t>
  </si>
  <si>
    <t>27AAAAA8454Z5</t>
  </si>
  <si>
    <t>27AAAAA8455Z5</t>
  </si>
  <si>
    <t>27AAAAA8456Z5</t>
  </si>
  <si>
    <t>27AAAAA8457Z5</t>
  </si>
  <si>
    <t>27AAAAA8458Z5</t>
  </si>
  <si>
    <t>27AAAAA8459Z5</t>
  </si>
  <si>
    <t>27AAAAA8460Z5</t>
  </si>
  <si>
    <t>27AAAAA8461Z5</t>
  </si>
  <si>
    <t>27AAAAA8462Z5</t>
  </si>
  <si>
    <t>27AAAAA8463Z5</t>
  </si>
  <si>
    <t>27AAAAA8464Z5</t>
  </si>
  <si>
    <t>27AAAAA8465Z5</t>
  </si>
  <si>
    <t>27AAAAA8466Z5</t>
  </si>
  <si>
    <t>27AAAAA8467Z5</t>
  </si>
  <si>
    <t>27AAAAA8468Z5</t>
  </si>
  <si>
    <t>27AAAAA8469Z5</t>
  </si>
  <si>
    <t>27AAAAA8470Z5</t>
  </si>
  <si>
    <t>27AAAAA8471Z5</t>
  </si>
  <si>
    <t>27AAAAA8472Z5</t>
  </si>
  <si>
    <t>27AAAAA8473Z5</t>
  </si>
  <si>
    <t>27AAAAA8474Z5</t>
  </si>
  <si>
    <t>27AAAAA8475Z5</t>
  </si>
  <si>
    <t>27AAAAA8476Z5</t>
  </si>
  <si>
    <t>27AAAAA8477Z5</t>
  </si>
  <si>
    <t>27AAAAA8478Z5</t>
  </si>
  <si>
    <t>27AAAAA8479Z5</t>
  </si>
  <si>
    <t>27AAAAA8480Z5</t>
  </si>
  <si>
    <t>27AAAAA8481Z5</t>
  </si>
  <si>
    <t>27AAAAA8482Z5</t>
  </si>
  <si>
    <t>27AAAAA8483Z5</t>
  </si>
  <si>
    <t>27AAAAA8484Z5</t>
  </si>
  <si>
    <t>27AAAAA8485Z5</t>
  </si>
  <si>
    <t>27AAAAA8486Z5</t>
  </si>
  <si>
    <t>27AAAAA8487Z5</t>
  </si>
  <si>
    <t>27AAAAA8488Z5</t>
  </si>
  <si>
    <t>27AAAAA8489Z5</t>
  </si>
  <si>
    <t>27AAAAA8490Z5</t>
  </si>
  <si>
    <t>27AAAAA8491Z5</t>
  </si>
  <si>
    <t>27AAAAA8492Z5</t>
  </si>
  <si>
    <t>27AAAAA8493Z5</t>
  </si>
  <si>
    <t>27AAAAA8494Z5</t>
  </si>
  <si>
    <t>27AAAAA8495Z5</t>
  </si>
  <si>
    <t>27AAAAA8496Z5</t>
  </si>
  <si>
    <t>27AAAAA8497Z5</t>
  </si>
  <si>
    <t>27AAAAA8498Z5</t>
  </si>
  <si>
    <t>27AAAAA8499Z5</t>
  </si>
  <si>
    <t>27AAAAA8500Z5</t>
  </si>
  <si>
    <t>27AAAAA8501Z5</t>
  </si>
  <si>
    <t>27AAAAA8502Z5</t>
  </si>
  <si>
    <t>27AAAAA8503Z5</t>
  </si>
  <si>
    <t>27AAAAA8504Z5</t>
  </si>
  <si>
    <t>27AAAAA8505Z5</t>
  </si>
  <si>
    <t>27AAAAA8506Z5</t>
  </si>
  <si>
    <t>27AAAAA8507Z5</t>
  </si>
  <si>
    <t>27AAAAA8508Z5</t>
  </si>
  <si>
    <t>27AAAAA8509Z5</t>
  </si>
  <si>
    <t>27AAAAA8510Z5</t>
  </si>
  <si>
    <t>27AAAAA8511Z5</t>
  </si>
  <si>
    <t>27AAAAA8512Z5</t>
  </si>
  <si>
    <t>27AAAAA8513Z5</t>
  </si>
  <si>
    <t>27AAAAA8514Z5</t>
  </si>
  <si>
    <t>27AAAAA8515Z5</t>
  </si>
  <si>
    <t>27AAAAA8516Z5</t>
  </si>
  <si>
    <t>27AAAAA8517Z5</t>
  </si>
  <si>
    <t>27AAAAA8518Z5</t>
  </si>
  <si>
    <t>27AAAAA8519Z5</t>
  </si>
  <si>
    <t>27AAAAA8520Z5</t>
  </si>
  <si>
    <t>27AAAAA8521Z5</t>
  </si>
  <si>
    <t>27AAAAA8522Z5</t>
  </si>
  <si>
    <t>27AAAAA8523Z5</t>
  </si>
  <si>
    <t>27AAAAA8524Z5</t>
  </si>
  <si>
    <t>27AAAAA8525Z5</t>
  </si>
  <si>
    <t>27AAAAA8526Z5</t>
  </si>
  <si>
    <t>27AAAAA8527Z5</t>
  </si>
  <si>
    <t>27AAAAA8528Z5</t>
  </si>
  <si>
    <t>27AAAAA8529Z5</t>
  </si>
  <si>
    <t>27AAAAA8530Z5</t>
  </si>
  <si>
    <t>27AAAAA8531Z5</t>
  </si>
  <si>
    <t>27AAAAA8532Z5</t>
  </si>
  <si>
    <t>27AAAAA8533Z5</t>
  </si>
  <si>
    <t>27AAAAA8534Z5</t>
  </si>
  <si>
    <t>27AAAAA8535Z5</t>
  </si>
  <si>
    <t>27AAAAA8536Z5</t>
  </si>
  <si>
    <t>27AAAAA8537Z5</t>
  </si>
  <si>
    <t>27AAAAA8538Z5</t>
  </si>
  <si>
    <t>27AAAAA8539Z5</t>
  </si>
  <si>
    <t>27AAAAA8540Z5</t>
  </si>
  <si>
    <t>27AAAAA8541Z5</t>
  </si>
  <si>
    <t>27AAAAA8542Z5</t>
  </si>
  <si>
    <t>27AAAAA8543Z5</t>
  </si>
  <si>
    <t>27AAAAA8544Z5</t>
  </si>
  <si>
    <t>27AAAAA8545Z5</t>
  </si>
  <si>
    <t>27AAAAA8546Z5</t>
  </si>
  <si>
    <t>27AAAAA8547Z5</t>
  </si>
  <si>
    <t>27AAAAA8548Z5</t>
  </si>
  <si>
    <t>27AAAAA8549Z5</t>
  </si>
  <si>
    <t>27AAAAA8550Z5</t>
  </si>
  <si>
    <t>27AAAAA8551Z5</t>
  </si>
  <si>
    <t>27AAAAA8552Z5</t>
  </si>
  <si>
    <t>27AAAAA8553Z5</t>
  </si>
  <si>
    <t>27AAAAA8554Z5</t>
  </si>
  <si>
    <t>27AAAAA8555Z5</t>
  </si>
  <si>
    <t>27AAAAA8556Z5</t>
  </si>
  <si>
    <t>27AAAAA8557Z5</t>
  </si>
  <si>
    <t>27AAAAA8558Z5</t>
  </si>
  <si>
    <t>27AAAAA8559Z5</t>
  </si>
  <si>
    <t>27AAAAA8560Z5</t>
  </si>
  <si>
    <t>27AAAAA8561Z5</t>
  </si>
  <si>
    <t>27AAAAA8562Z5</t>
  </si>
  <si>
    <t>27AAAAA8563Z5</t>
  </si>
  <si>
    <t>27AAAAA8564Z5</t>
  </si>
  <si>
    <t>27AAAAA8565Z5</t>
  </si>
  <si>
    <t>27AAAAA8566Z5</t>
  </si>
  <si>
    <t>27AAAAA8567Z5</t>
  </si>
  <si>
    <t>27AAAAA8568Z5</t>
  </si>
  <si>
    <t>27AAAAA8569Z5</t>
  </si>
  <si>
    <t>27AAAAA8570Z5</t>
  </si>
  <si>
    <t>27AAAAA8571Z5</t>
  </si>
  <si>
    <t>27AAAAA8572Z5</t>
  </si>
  <si>
    <t>27AAAAA8573Z5</t>
  </si>
  <si>
    <t>27AAAAA8574Z5</t>
  </si>
  <si>
    <t>27AAAAA8575Z5</t>
  </si>
  <si>
    <t>27AAAAA8576Z5</t>
  </si>
  <si>
    <t>27AAAAA8577Z5</t>
  </si>
  <si>
    <t>27AAAAA8578Z5</t>
  </si>
  <si>
    <t>27AAAAA8579Z5</t>
  </si>
  <si>
    <t>27AAAAA8580Z5</t>
  </si>
  <si>
    <t>27AAAAA8581Z5</t>
  </si>
  <si>
    <t>27AAAAA8582Z5</t>
  </si>
  <si>
    <t>27AAAAA8583Z5</t>
  </si>
  <si>
    <t>27AAAAA8584Z5</t>
  </si>
  <si>
    <t>27AAAAA8585Z5</t>
  </si>
  <si>
    <t>27AAAAA8586Z5</t>
  </si>
  <si>
    <t>27AAAAA8587Z5</t>
  </si>
  <si>
    <t>27AAAAA8588Z5</t>
  </si>
  <si>
    <t>27AAAAA8589Z5</t>
  </si>
  <si>
    <t>27AAAAA8590Z5</t>
  </si>
  <si>
    <t>27AAAAA8591Z5</t>
  </si>
  <si>
    <t>27AAAAA8592Z5</t>
  </si>
  <si>
    <t>27AAAAA8593Z5</t>
  </si>
  <si>
    <t>27AAAAA8594Z5</t>
  </si>
  <si>
    <t>27AAAAA8595Z5</t>
  </si>
  <si>
    <t>27AAAAA8596Z5</t>
  </si>
  <si>
    <t>27AAAAA8597Z5</t>
  </si>
  <si>
    <t>27AAAAA8598Z5</t>
  </si>
  <si>
    <t>27AAAAA8599Z5</t>
  </si>
  <si>
    <t>27AAAAA8600Z5</t>
  </si>
  <si>
    <t>27AAAAA8601Z5</t>
  </si>
  <si>
    <t>27AAAAA8602Z5</t>
  </si>
  <si>
    <t>27AAAAA8603Z5</t>
  </si>
  <si>
    <t>27AAAAA8604Z5</t>
  </si>
  <si>
    <t>27AAAAA8605Z5</t>
  </si>
  <si>
    <t>27AAAAA8606Z5</t>
  </si>
  <si>
    <t>27AAAAA8607Z5</t>
  </si>
  <si>
    <t>27AAAAA8608Z5</t>
  </si>
  <si>
    <t>27AAAAA8609Z5</t>
  </si>
  <si>
    <t>27AAAAA8610Z5</t>
  </si>
  <si>
    <t>27AAAAA8611Z5</t>
  </si>
  <si>
    <t>27AAAAA8612Z5</t>
  </si>
  <si>
    <t>27AAAAA8613Z5</t>
  </si>
  <si>
    <t>27AAAAA8614Z5</t>
  </si>
  <si>
    <t>27AAAAA8615Z5</t>
  </si>
  <si>
    <t>27AAAAA8616Z5</t>
  </si>
  <si>
    <t>27AAAAA8617Z5</t>
  </si>
  <si>
    <t>27AAAAA8618Z5</t>
  </si>
  <si>
    <t>27AAAAA8619Z5</t>
  </si>
  <si>
    <t>27AAAAA8620Z5</t>
  </si>
  <si>
    <t>27AAAAA8621Z5</t>
  </si>
  <si>
    <t>27AAAAA8622Z5</t>
  </si>
  <si>
    <t>27AAAAA8623Z5</t>
  </si>
  <si>
    <t>27AAAAA8624Z5</t>
  </si>
  <si>
    <t>27AAAAA8625Z5</t>
  </si>
  <si>
    <t>27AAAAA8626Z5</t>
  </si>
  <si>
    <t>27AAAAA8627Z5</t>
  </si>
  <si>
    <t>27AAAAA8628Z5</t>
  </si>
  <si>
    <t>27AAAAA8629Z5</t>
  </si>
  <si>
    <t>27AAAAA8630Z5</t>
  </si>
  <si>
    <t>27AAAAA8631Z5</t>
  </si>
  <si>
    <t>27AAAAA8632Z5</t>
  </si>
  <si>
    <t>27AAAAA8633Z5</t>
  </si>
  <si>
    <t>27AAAAA8634Z5</t>
  </si>
  <si>
    <t>27AAAAA8635Z5</t>
  </si>
  <si>
    <t>27AAAAA8636Z5</t>
  </si>
  <si>
    <t>27AAAAA8637Z5</t>
  </si>
  <si>
    <t>27AAAAA8638Z5</t>
  </si>
  <si>
    <t>27AAAAA8639Z5</t>
  </si>
  <si>
    <t>27AAAAA8640Z5</t>
  </si>
  <si>
    <t>27AAAAA8641Z5</t>
  </si>
  <si>
    <t>27AAAAA8642Z5</t>
  </si>
  <si>
    <t>27AAAAA8643Z5</t>
  </si>
  <si>
    <t>27AAAAA8644Z5</t>
  </si>
  <si>
    <t>27AAAAA8645Z5</t>
  </si>
  <si>
    <t>27AAAAA8646Z5</t>
  </si>
  <si>
    <t>27AAAAA8647Z5</t>
  </si>
  <si>
    <t>27AAAAA8648Z5</t>
  </si>
  <si>
    <t>27AAAAA8649Z5</t>
  </si>
  <si>
    <t>27AAAAA8650Z5</t>
  </si>
  <si>
    <t>27AAAAA8651Z5</t>
  </si>
  <si>
    <t>27AAAAA8652Z5</t>
  </si>
  <si>
    <t>27AAAAA8653Z5</t>
  </si>
  <si>
    <t>27AAAAA8654Z5</t>
  </si>
  <si>
    <t>27AAAAA8655Z5</t>
  </si>
  <si>
    <t>27AAAAA8656Z5</t>
  </si>
  <si>
    <t>27AAAAA8657Z5</t>
  </si>
  <si>
    <t>27AAAAA8658Z5</t>
  </si>
  <si>
    <t>27AAAAA8659Z5</t>
  </si>
  <si>
    <t>27AAAAA8660Z5</t>
  </si>
  <si>
    <t>27AAAAA8661Z5</t>
  </si>
  <si>
    <t>27AAAAA8662Z5</t>
  </si>
  <si>
    <t>27AAAAA8663Z5</t>
  </si>
  <si>
    <t>27AAAAA8664Z5</t>
  </si>
  <si>
    <t>27AAAAA8665Z5</t>
  </si>
  <si>
    <t>27AAAAA8666Z5</t>
  </si>
  <si>
    <t>27AAAAA8667Z5</t>
  </si>
  <si>
    <t>27AAAAA8668Z5</t>
  </si>
  <si>
    <t>27AAAAA8669Z5</t>
  </si>
  <si>
    <t>27AAAAA8670Z5</t>
  </si>
  <si>
    <t>27AAAAA8671Z5</t>
  </si>
  <si>
    <t>27AAAAA8672Z5</t>
  </si>
  <si>
    <t>27AAAAA8673Z5</t>
  </si>
  <si>
    <t>27AAAAA8674Z5</t>
  </si>
  <si>
    <t>27AAAAA8675Z5</t>
  </si>
  <si>
    <t>27AAAAA8676Z5</t>
  </si>
  <si>
    <t>27AAAAA8677Z5</t>
  </si>
  <si>
    <t>27AAAAA8678Z5</t>
  </si>
  <si>
    <t>27AAAAA8679Z5</t>
  </si>
  <si>
    <t>27AAAAA8680Z5</t>
  </si>
  <si>
    <t>27AAAAA8681Z5</t>
  </si>
  <si>
    <t>27AAAAA8682Z5</t>
  </si>
  <si>
    <t>27AAAAA8683Z5</t>
  </si>
  <si>
    <t>27AAAAA8684Z5</t>
  </si>
  <si>
    <t>27AAAAA8685Z5</t>
  </si>
  <si>
    <t>27AAAAA8686Z5</t>
  </si>
  <si>
    <t>27AAAAA8687Z5</t>
  </si>
  <si>
    <t>27AAAAA8688Z5</t>
  </si>
  <si>
    <t>27AAAAA8689Z5</t>
  </si>
  <si>
    <t>27AAAAA8690Z5</t>
  </si>
  <si>
    <t>27AAAAA8691Z5</t>
  </si>
  <si>
    <t>27AAAAA8692Z5</t>
  </si>
  <si>
    <t>27AAAAA8693Z5</t>
  </si>
  <si>
    <t>27AAAAA8694Z5</t>
  </si>
  <si>
    <t>27AAAAA8695Z5</t>
  </si>
  <si>
    <t>27AAAAA8696Z5</t>
  </si>
  <si>
    <t>27AAAAA8697Z5</t>
  </si>
  <si>
    <t>27AAAAA8698Z5</t>
  </si>
  <si>
    <t>27AAAAA8699Z5</t>
  </si>
  <si>
    <t>27AAAAA8700Z5</t>
  </si>
  <si>
    <t>27AAAAA8701Z5</t>
  </si>
  <si>
    <t>27AAAAA8702Z5</t>
  </si>
  <si>
    <t>27AAAAA8703Z5</t>
  </si>
  <si>
    <t>27AAAAA8704Z5</t>
  </si>
  <si>
    <t>27AAAAA8705Z5</t>
  </si>
  <si>
    <t>27AAAAA8706Z5</t>
  </si>
  <si>
    <t>27AAAAA8707Z5</t>
  </si>
  <si>
    <t>27AAAAA8708Z5</t>
  </si>
  <si>
    <t>27AAAAA8709Z5</t>
  </si>
  <si>
    <t>27AAAAA8710Z5</t>
  </si>
  <si>
    <t>27AAAAA8711Z5</t>
  </si>
  <si>
    <t>27AAAAA8712Z5</t>
  </si>
  <si>
    <t>27AAAAA8713Z5</t>
  </si>
  <si>
    <t>27AAAAA8714Z5</t>
  </si>
  <si>
    <t>27AAAAA8715Z5</t>
  </si>
  <si>
    <t>27AAAAA8716Z5</t>
  </si>
  <si>
    <t>27AAAAA8717Z5</t>
  </si>
  <si>
    <t>27AAAAA8718Z5</t>
  </si>
  <si>
    <t>27AAAAA8719Z5</t>
  </si>
  <si>
    <t>27AAAAA8720Z5</t>
  </si>
  <si>
    <t>27AAAAA8721Z5</t>
  </si>
  <si>
    <t>27AAAAA8722Z5</t>
  </si>
  <si>
    <t>27AAAAA8723Z5</t>
  </si>
  <si>
    <t>27AAAAA8724Z5</t>
  </si>
  <si>
    <t>27AAAAA8725Z5</t>
  </si>
  <si>
    <t>27AAAAA8726Z5</t>
  </si>
  <si>
    <t>27AAAAA8727Z5</t>
  </si>
  <si>
    <t>27AAAAA8728Z5</t>
  </si>
  <si>
    <t>27AAAAA8729Z5</t>
  </si>
  <si>
    <t>27AAAAA8730Z5</t>
  </si>
  <si>
    <t>27AAAAA8731Z5</t>
  </si>
  <si>
    <t>27AAAAA8732Z5</t>
  </si>
  <si>
    <t>27AAAAA8733Z5</t>
  </si>
  <si>
    <t>27AAAAA8734Z5</t>
  </si>
  <si>
    <t>27AAAAA8735Z5</t>
  </si>
  <si>
    <t>27AAAAA8736Z5</t>
  </si>
  <si>
    <t>27AAAAA8737Z5</t>
  </si>
  <si>
    <t>27AAAAA8738Z5</t>
  </si>
  <si>
    <t>27AAAAA8739Z5</t>
  </si>
  <si>
    <t>27AAAAA8740Z5</t>
  </si>
  <si>
    <t>27AAAAA8741Z5</t>
  </si>
  <si>
    <t>27AAAAA8742Z5</t>
  </si>
  <si>
    <t>27AAAAA8743Z5</t>
  </si>
  <si>
    <t>27AAAAA8744Z5</t>
  </si>
  <si>
    <t>27AAAAA8745Z5</t>
  </si>
  <si>
    <t>27AAAAA8746Z5</t>
  </si>
  <si>
    <t>27AAAAA8747Z5</t>
  </si>
  <si>
    <t>27AAAAA8748Z5</t>
  </si>
  <si>
    <t>27AAAAA8749Z5</t>
  </si>
  <si>
    <t>27AAAAA8750Z5</t>
  </si>
  <si>
    <t>27AAAAA8751Z5</t>
  </si>
  <si>
    <t>27AAAAA8752Z5</t>
  </si>
  <si>
    <t>27AAAAA8753Z5</t>
  </si>
  <si>
    <t>27AAAAA8754Z5</t>
  </si>
  <si>
    <t>27AAAAA8755Z5</t>
  </si>
  <si>
    <t>27AAAAA8756Z5</t>
  </si>
  <si>
    <t>27AAAAA8757Z5</t>
  </si>
  <si>
    <t>27AAAAA8758Z5</t>
  </si>
  <si>
    <t>27AAAAA8759Z5</t>
  </si>
  <si>
    <t>27AAAAA8760Z5</t>
  </si>
  <si>
    <t>27AAAAA8761Z5</t>
  </si>
  <si>
    <t>27AAAAA8762Z5</t>
  </si>
  <si>
    <t>27AAAAA8763Z5</t>
  </si>
  <si>
    <t>27AAAAA8764Z5</t>
  </si>
  <si>
    <t>27AAAAA8765Z5</t>
  </si>
  <si>
    <t>27AAAAA8766Z5</t>
  </si>
  <si>
    <t>27AAAAA8767Z5</t>
  </si>
  <si>
    <t>27AAAAA8768Z5</t>
  </si>
  <si>
    <t>27AAAAA8769Z5</t>
  </si>
  <si>
    <t>27AAAAA8770Z5</t>
  </si>
  <si>
    <t>27AAAAA8771Z5</t>
  </si>
  <si>
    <t>27AAAAA8772Z5</t>
  </si>
  <si>
    <t>27AAAAA8773Z5</t>
  </si>
  <si>
    <t>27AAAAA8774Z5</t>
  </si>
  <si>
    <t>27AAAAA8775Z5</t>
  </si>
  <si>
    <t>27AAAAA8776Z5</t>
  </si>
  <si>
    <t>27AAAAA8777Z5</t>
  </si>
  <si>
    <t>27AAAAA8778Z5</t>
  </si>
  <si>
    <t>27AAAAA8779Z5</t>
  </si>
  <si>
    <t>27AAAAA8780Z5</t>
  </si>
  <si>
    <t>27AAAAA8781Z5</t>
  </si>
  <si>
    <t>27AAAAA8782Z5</t>
  </si>
  <si>
    <t>27AAAAA8783Z5</t>
  </si>
  <si>
    <t>27AAAAA8784Z5</t>
  </si>
  <si>
    <t>27AAAAA8785Z5</t>
  </si>
  <si>
    <t>27AAAAA8786Z5</t>
  </si>
  <si>
    <t>27AAAAA8787Z5</t>
  </si>
  <si>
    <t>27AAAAA8788Z5</t>
  </si>
  <si>
    <t>27AAAAA8789Z5</t>
  </si>
  <si>
    <t>27AAAAA8790Z5</t>
  </si>
  <si>
    <t>27AAAAA8791Z5</t>
  </si>
  <si>
    <t>27AAAAA8792Z5</t>
  </si>
  <si>
    <t>27AAAAA8793Z5</t>
  </si>
  <si>
    <t>27AAAAA8794Z5</t>
  </si>
  <si>
    <t>27AAAAA8795Z5</t>
  </si>
  <si>
    <t>27AAAAA8796Z5</t>
  </si>
  <si>
    <t>27AAAAA8797Z5</t>
  </si>
  <si>
    <t>27AAAAA8798Z5</t>
  </si>
  <si>
    <t>27AAAAA8799Z5</t>
  </si>
  <si>
    <t>27AAAAA8800Z5</t>
  </si>
  <si>
    <t>27AAAAA8801Z5</t>
  </si>
  <si>
    <t>27AAAAA8802Z5</t>
  </si>
  <si>
    <t>27AAAAA8803Z5</t>
  </si>
  <si>
    <t>27AAAAA8804Z5</t>
  </si>
  <si>
    <t>27AAAAA8805Z5</t>
  </si>
  <si>
    <t>27AAAAA8806Z5</t>
  </si>
  <si>
    <t>27AAAAA8807Z5</t>
  </si>
  <si>
    <t>27AAAAA8808Z5</t>
  </si>
  <si>
    <t>27AAAAA8809Z5</t>
  </si>
  <si>
    <t>27AAAAA8810Z5</t>
  </si>
  <si>
    <t>27AAAAA8811Z5</t>
  </si>
  <si>
    <t>27AAAAA8812Z5</t>
  </si>
  <si>
    <t>27AAAAA8813Z5</t>
  </si>
  <si>
    <t>27AAAAA8814Z5</t>
  </si>
  <si>
    <t>27AAAAA8815Z5</t>
  </si>
  <si>
    <t>27AAAAA8816Z5</t>
  </si>
  <si>
    <t>27AAAAA8817Z5</t>
  </si>
  <si>
    <t>27AAAAA8818Z5</t>
  </si>
  <si>
    <t>27AAAAA8819Z5</t>
  </si>
  <si>
    <t>27AAAAA8820Z5</t>
  </si>
  <si>
    <t>27AAAAA8821Z5</t>
  </si>
  <si>
    <t>27AAAAA8822Z5</t>
  </si>
  <si>
    <t>27AAAAA8823Z5</t>
  </si>
  <si>
    <t>27AAAAA8824Z5</t>
  </si>
  <si>
    <t>27AAAAA8825Z5</t>
  </si>
  <si>
    <t>27AAAAA8826Z5</t>
  </si>
  <si>
    <t>27AAAAA8827Z5</t>
  </si>
  <si>
    <t>27AAAAA8828Z5</t>
  </si>
  <si>
    <t>27AAAAA8829Z5</t>
  </si>
  <si>
    <t>27AAAAA8830Z5</t>
  </si>
  <si>
    <t>27AAAAA8831Z5</t>
  </si>
  <si>
    <t>27AAAAA8832Z5</t>
  </si>
  <si>
    <t>27AAAAA8833Z5</t>
  </si>
  <si>
    <t>27AAAAA8834Z5</t>
  </si>
  <si>
    <t>27AAAAA8835Z5</t>
  </si>
  <si>
    <t>27AAAAA8836Z5</t>
  </si>
  <si>
    <t>27AAAAA8837Z5</t>
  </si>
  <si>
    <t>27AAAAA8838Z5</t>
  </si>
  <si>
    <t>27AAAAA8839Z5</t>
  </si>
  <si>
    <t>27AAAAA8840Z5</t>
  </si>
  <si>
    <t>27AAAAA8841Z5</t>
  </si>
  <si>
    <t>27AAAAA8842Z5</t>
  </si>
  <si>
    <t>27AAAAA8843Z5</t>
  </si>
  <si>
    <t>27AAAAA8844Z5</t>
  </si>
  <si>
    <t>27AAAAA8845Z5</t>
  </si>
  <si>
    <t>27AAAAA8846Z5</t>
  </si>
  <si>
    <t>27AAAAA8847Z5</t>
  </si>
  <si>
    <t>27AAAAA8848Z5</t>
  </si>
  <si>
    <t>27AAAAA8849Z5</t>
  </si>
  <si>
    <t>27AAAAA8850Z5</t>
  </si>
  <si>
    <t>27AAAAA8851Z5</t>
  </si>
  <si>
    <t>27AAAAA8852Z5</t>
  </si>
  <si>
    <t>27AAAAA8853Z5</t>
  </si>
  <si>
    <t>27AAAAA8854Z5</t>
  </si>
  <si>
    <t>27AAAAA8855Z5</t>
  </si>
  <si>
    <t>27AAAAA8856Z5</t>
  </si>
  <si>
    <t>27AAAAA8857Z5</t>
  </si>
  <si>
    <t>27AAAAA8858Z5</t>
  </si>
  <si>
    <t>27AAAAA8859Z5</t>
  </si>
  <si>
    <t>27AAAAA8860Z5</t>
  </si>
  <si>
    <t>27AAAAA8861Z5</t>
  </si>
  <si>
    <t>27AAAAA8862Z5</t>
  </si>
  <si>
    <t>27AAAAA8863Z5</t>
  </si>
  <si>
    <t>27AAAAA8864Z5</t>
  </si>
  <si>
    <t>27AAAAA8865Z5</t>
  </si>
  <si>
    <t>27AAAAA8866Z5</t>
  </si>
  <si>
    <t>27AAAAA8867Z5</t>
  </si>
  <si>
    <t>27AAAAA8868Z5</t>
  </si>
  <si>
    <t>27AAAAA8869Z5</t>
  </si>
  <si>
    <t>27AAAAA8870Z5</t>
  </si>
  <si>
    <t>27AAAAA8871Z5</t>
  </si>
  <si>
    <t>27AAAAA8872Z5</t>
  </si>
  <si>
    <t>27AAAAA8873Z5</t>
  </si>
  <si>
    <t>27AAAAA8874Z5</t>
  </si>
  <si>
    <t>27AAAAA8875Z5</t>
  </si>
  <si>
    <t>27AAAAA8876Z5</t>
  </si>
  <si>
    <t>27AAAAA8877Z5</t>
  </si>
  <si>
    <t>27AAAAA8878Z5</t>
  </si>
  <si>
    <t>27AAAAA8879Z5</t>
  </si>
  <si>
    <t>27AAAAA8880Z5</t>
  </si>
  <si>
    <t>27AAAAA8881Z5</t>
  </si>
  <si>
    <t>27AAAAA8882Z5</t>
  </si>
  <si>
    <t>27AAAAA8883Z5</t>
  </si>
  <si>
    <t>27AAAAA8884Z5</t>
  </si>
  <si>
    <t>27AAAAA8885Z5</t>
  </si>
  <si>
    <t>27AAAAA8886Z5</t>
  </si>
  <si>
    <t>27AAAAA8887Z5</t>
  </si>
  <si>
    <t>27AAAAA8888Z5</t>
  </si>
  <si>
    <t>27AAAAA8889Z5</t>
  </si>
  <si>
    <t>27AAAAA8890Z5</t>
  </si>
  <si>
    <t>27AAAAA8891Z5</t>
  </si>
  <si>
    <t>27AAAAA8892Z5</t>
  </si>
  <si>
    <t>27AAAAA8893Z5</t>
  </si>
  <si>
    <t>27AAAAA8894Z5</t>
  </si>
  <si>
    <t>27AAAAA8895Z5</t>
  </si>
  <si>
    <t>27AAAAA8896Z5</t>
  </si>
  <si>
    <t>27AAAAA8897Z5</t>
  </si>
  <si>
    <t>27AAAAA8898Z5</t>
  </si>
  <si>
    <t>27AAAAA8899Z5</t>
  </si>
  <si>
    <t>27AAAAA8900Z5</t>
  </si>
  <si>
    <t>27AAAAA8901Z5</t>
  </si>
  <si>
    <t>27AAAAA8902Z5</t>
  </si>
  <si>
    <t>27AAAAA8903Z5</t>
  </si>
  <si>
    <t>27AAAAA8904Z5</t>
  </si>
  <si>
    <t>27AAAAA8905Z5</t>
  </si>
  <si>
    <t>27AAAAA8906Z5</t>
  </si>
  <si>
    <t>27AAAAA8907Z5</t>
  </si>
  <si>
    <t>27AAAAA8908Z5</t>
  </si>
  <si>
    <t>27AAAAA8909Z5</t>
  </si>
  <si>
    <t>27AAAAA8910Z5</t>
  </si>
  <si>
    <t>27AAAAA8911Z5</t>
  </si>
  <si>
    <t>27AAAAA8912Z5</t>
  </si>
  <si>
    <t>27AAAAA8913Z5</t>
  </si>
  <si>
    <t>27AAAAA8914Z5</t>
  </si>
  <si>
    <t>27AAAAA8915Z5</t>
  </si>
  <si>
    <t>27AAAAA8916Z5</t>
  </si>
  <si>
    <t>27AAAAA8917Z5</t>
  </si>
  <si>
    <t>27AAAAA8918Z5</t>
  </si>
  <si>
    <t>27AAAAA8919Z5</t>
  </si>
  <si>
    <t>27AAAAA8920Z5</t>
  </si>
  <si>
    <t>27AAAAA8921Z5</t>
  </si>
  <si>
    <t>27AAAAA8922Z5</t>
  </si>
  <si>
    <t>27AAAAA8923Z5</t>
  </si>
  <si>
    <t>27AAAAA8924Z5</t>
  </si>
  <si>
    <t>27AAAAA8925Z5</t>
  </si>
  <si>
    <t>27AAAAA8926Z5</t>
  </si>
  <si>
    <t>27AAAAA8927Z5</t>
  </si>
  <si>
    <t>27AAAAA8928Z5</t>
  </si>
  <si>
    <t>27AAAAA8929Z5</t>
  </si>
  <si>
    <t>27AAAAA8930Z5</t>
  </si>
  <si>
    <t>27AAAAA8931Z5</t>
  </si>
  <si>
    <t>27AAAAA8932Z5</t>
  </si>
  <si>
    <t>27AAAAA8933Z5</t>
  </si>
  <si>
    <t>27AAAAA8934Z5</t>
  </si>
  <si>
    <t>27AAAAA8935Z5</t>
  </si>
  <si>
    <t>27AAAAA8936Z5</t>
  </si>
  <si>
    <t>27AAAAA8937Z5</t>
  </si>
  <si>
    <t>27AAAAA8938Z5</t>
  </si>
  <si>
    <t>27AAAAA8939Z5</t>
  </si>
  <si>
    <t>27AAAAA8940Z5</t>
  </si>
  <si>
    <t>27AAAAA8941Z5</t>
  </si>
  <si>
    <t>27AAAAA8942Z5</t>
  </si>
  <si>
    <t>27AAAAA8943Z5</t>
  </si>
  <si>
    <t>27AAAAA8944Z5</t>
  </si>
  <si>
    <t>27AAAAA8945Z5</t>
  </si>
  <si>
    <t>27AAAAA8946Z5</t>
  </si>
  <si>
    <t>27AAAAA8947Z5</t>
  </si>
  <si>
    <t>27AAAAA8948Z5</t>
  </si>
  <si>
    <t>27AAAAA8949Z5</t>
  </si>
  <si>
    <t>27AAAAA8950Z5</t>
  </si>
  <si>
    <t>27AAAAA8951Z5</t>
  </si>
  <si>
    <t>27AAAAA8952Z5</t>
  </si>
  <si>
    <t>27AAAAA8953Z5</t>
  </si>
  <si>
    <t>27AAAAA8954Z5</t>
  </si>
  <si>
    <t>27AAAAA8955Z5</t>
  </si>
  <si>
    <t>27AAAAA8956Z5</t>
  </si>
  <si>
    <t>27AAAAA8957Z5</t>
  </si>
  <si>
    <t>27AAAAA8958Z5</t>
  </si>
  <si>
    <t>27AAAAA8959Z5</t>
  </si>
  <si>
    <t>27AAAAA8960Z5</t>
  </si>
  <si>
    <t>27AAAAA8961Z5</t>
  </si>
  <si>
    <t>27AAAAA8962Z5</t>
  </si>
  <si>
    <t>27AAAAA8963Z5</t>
  </si>
  <si>
    <t>27AAAAA8964Z5</t>
  </si>
  <si>
    <t>27AAAAA8965Z5</t>
  </si>
  <si>
    <t>27AAAAA8966Z5</t>
  </si>
  <si>
    <t>27AAAAA8967Z5</t>
  </si>
  <si>
    <t>27AAAAA8968Z5</t>
  </si>
  <si>
    <t>27AAAAA8969Z5</t>
  </si>
  <si>
    <t>27AAAAA8970Z5</t>
  </si>
  <si>
    <t>27AAAAA8971Z5</t>
  </si>
  <si>
    <t>27AAAAA8972Z5</t>
  </si>
  <si>
    <t>27AAAAA8973Z5</t>
  </si>
  <si>
    <t>27AAAAA8974Z5</t>
  </si>
  <si>
    <t>27AAAAA8975Z5</t>
  </si>
  <si>
    <t>27AAAAA8976Z5</t>
  </si>
  <si>
    <t>27AAAAA8977Z5</t>
  </si>
  <si>
    <t>27AAAAA8978Z5</t>
  </si>
  <si>
    <t>27AAAAA8979Z5</t>
  </si>
  <si>
    <t>27AAAAA8980Z5</t>
  </si>
  <si>
    <t>27AAAAA8981Z5</t>
  </si>
  <si>
    <t>27AAAAA8982Z5</t>
  </si>
  <si>
    <t>27AAAAA8983Z5</t>
  </si>
  <si>
    <t>27AAAAA8984Z5</t>
  </si>
  <si>
    <t>27AAAAA8985Z5</t>
  </si>
  <si>
    <t>27AAAAA8986Z5</t>
  </si>
  <si>
    <t>27AAAAA8987Z5</t>
  </si>
  <si>
    <t>27AAAAA8988Z5</t>
  </si>
  <si>
    <t>27AAAAA8989Z5</t>
  </si>
  <si>
    <t>27AAAAA8990Z5</t>
  </si>
  <si>
    <t>27AAAAA8991Z5</t>
  </si>
  <si>
    <t>27AAAAA8992Z5</t>
  </si>
  <si>
    <t>27AAAAA8993Z5</t>
  </si>
  <si>
    <t>27AAAAA8994Z5</t>
  </si>
  <si>
    <t>27AAAAA8995Z5</t>
  </si>
  <si>
    <t>27AAAAA8996Z5</t>
  </si>
  <si>
    <t>27AAAAA8997Z5</t>
  </si>
  <si>
    <t>27AAAAA8998Z5</t>
  </si>
  <si>
    <t>27AAAAA8999Z5</t>
  </si>
  <si>
    <t>27AAAAA9000Z5</t>
  </si>
  <si>
    <t>27AAAAA9001Z5</t>
  </si>
  <si>
    <t>27AAAAA9002Z5</t>
  </si>
  <si>
    <t>27AAAAA9003Z5</t>
  </si>
  <si>
    <t>27AAAAA9004Z5</t>
  </si>
  <si>
    <t>27AAAAA9005Z5</t>
  </si>
  <si>
    <t>27AAAAA9006Z5</t>
  </si>
  <si>
    <t>27AAAAA9007Z5</t>
  </si>
  <si>
    <t>27AAAAA9008Z5</t>
  </si>
  <si>
    <t>27AAAAA9009Z5</t>
  </si>
  <si>
    <t>27AAAAA9010Z5</t>
  </si>
  <si>
    <t>27AAAAA9011Z5</t>
  </si>
  <si>
    <t>27AAAAA9012Z5</t>
  </si>
  <si>
    <t>27AAAAA9013Z5</t>
  </si>
  <si>
    <t>27AAAAA9014Z5</t>
  </si>
  <si>
    <t>27AAAAA9015Z5</t>
  </si>
  <si>
    <t>27AAAAA9016Z5</t>
  </si>
  <si>
    <t>27AAAAA9017Z5</t>
  </si>
  <si>
    <t>27AAAAA9018Z5</t>
  </si>
  <si>
    <t>27AAAAA9019Z5</t>
  </si>
  <si>
    <t>27AAAAA9020Z5</t>
  </si>
  <si>
    <t>27AAAAA9021Z5</t>
  </si>
  <si>
    <t>27AAAAA9022Z5</t>
  </si>
  <si>
    <t>27AAAAA9023Z5</t>
  </si>
  <si>
    <t>27AAAAA9024Z5</t>
  </si>
  <si>
    <t>27AAAAA9025Z5</t>
  </si>
  <si>
    <t>27AAAAA9026Z5</t>
  </si>
  <si>
    <t>27AAAAA9027Z5</t>
  </si>
  <si>
    <t>27AAAAA9028Z5</t>
  </si>
  <si>
    <t>27AAAAA9029Z5</t>
  </si>
  <si>
    <t>27AAAAA9030Z5</t>
  </si>
  <si>
    <t>27AAAAA9031Z5</t>
  </si>
  <si>
    <t>27AAAAA9032Z5</t>
  </si>
  <si>
    <t>27AAAAA9033Z5</t>
  </si>
  <si>
    <t>27AAAAA9034Z5</t>
  </si>
  <si>
    <t>27AAAAA9035Z5</t>
  </si>
  <si>
    <t>27AAAAA9036Z5</t>
  </si>
  <si>
    <t>27AAAAA9037Z5</t>
  </si>
  <si>
    <t>27AAAAA9038Z5</t>
  </si>
  <si>
    <t>27AAAAA9039Z5</t>
  </si>
  <si>
    <t>27AAAAA9040Z5</t>
  </si>
  <si>
    <t>27AAAAA9041Z5</t>
  </si>
  <si>
    <t>27AAAAA9042Z5</t>
  </si>
  <si>
    <t>27AAAAA9043Z5</t>
  </si>
  <si>
    <t>27AAAAA9044Z5</t>
  </si>
  <si>
    <t>27AAAAA9045Z5</t>
  </si>
  <si>
    <t>27AAAAA9046Z5</t>
  </si>
  <si>
    <t>27AAAAA9047Z5</t>
  </si>
  <si>
    <t>27AAAAA9048Z5</t>
  </si>
  <si>
    <t>27AAAAA9049Z5</t>
  </si>
  <si>
    <t>27AAAAA9050Z5</t>
  </si>
  <si>
    <t>27AAAAA9051Z5</t>
  </si>
  <si>
    <t>27AAAAA9052Z5</t>
  </si>
  <si>
    <t>27AAAAA9053Z5</t>
  </si>
  <si>
    <t>27AAAAA9054Z5</t>
  </si>
  <si>
    <t>27AAAAA9055Z5</t>
  </si>
  <si>
    <t>27AAAAA9056Z5</t>
  </si>
  <si>
    <t>27AAAAA9057Z5</t>
  </si>
  <si>
    <t>27AAAAA9058Z5</t>
  </si>
  <si>
    <t>27AAAAA9059Z5</t>
  </si>
  <si>
    <t>27AAAAA9060Z5</t>
  </si>
  <si>
    <t>27AAAAA9061Z5</t>
  </si>
  <si>
    <t>27AAAAA9062Z5</t>
  </si>
  <si>
    <t>27AAAAA9063Z5</t>
  </si>
  <si>
    <t>27AAAAA9064Z5</t>
  </si>
  <si>
    <t>27AAAAA9065Z5</t>
  </si>
  <si>
    <t>27AAAAA9066Z5</t>
  </si>
  <si>
    <t>27AAAAA9067Z5</t>
  </si>
  <si>
    <t>27AAAAA9068Z5</t>
  </si>
  <si>
    <t>27AAAAA9069Z5</t>
  </si>
  <si>
    <t>27AAAAA9070Z5</t>
  </si>
  <si>
    <t>27AAAAA9071Z5</t>
  </si>
  <si>
    <t>27AAAAA9072Z5</t>
  </si>
  <si>
    <t>27AAAAA9073Z5</t>
  </si>
  <si>
    <t>27AAAAA9074Z5</t>
  </si>
  <si>
    <t>27AAAAA9075Z5</t>
  </si>
  <si>
    <t>27AAAAA9076Z5</t>
  </si>
  <si>
    <t>27AAAAA9077Z5</t>
  </si>
  <si>
    <t>27AAAAA9078Z5</t>
  </si>
  <si>
    <t>27AAAAA9079Z5</t>
  </si>
  <si>
    <t>27AAAAA9080Z5</t>
  </si>
  <si>
    <t>27AAAAA9081Z5</t>
  </si>
  <si>
    <t>27AAAAA9082Z5</t>
  </si>
  <si>
    <t>27AAAAA9083Z5</t>
  </si>
  <si>
    <t>27AAAAA9084Z5</t>
  </si>
  <si>
    <t>27AAAAA9085Z5</t>
  </si>
  <si>
    <t>27AAAAA9086Z5</t>
  </si>
  <si>
    <t>27AAAAA9087Z5</t>
  </si>
  <si>
    <t>27AAAAA9088Z5</t>
  </si>
  <si>
    <t>27AAAAA9089Z5</t>
  </si>
  <si>
    <t>27AAAAA9090Z5</t>
  </si>
  <si>
    <t>27AAAAA9091Z5</t>
  </si>
  <si>
    <t>27AAAAA9092Z5</t>
  </si>
  <si>
    <t>27AAAAA9093Z5</t>
  </si>
  <si>
    <t>27AAAAA9094Z5</t>
  </si>
  <si>
    <t>27AAAAA9095Z5</t>
  </si>
  <si>
    <t>27AAAAA9096Z5</t>
  </si>
  <si>
    <t>27AAAAA9097Z5</t>
  </si>
  <si>
    <t>27AAAAA9098Z5</t>
  </si>
  <si>
    <t>27AAAAA9099Z5</t>
  </si>
  <si>
    <t>27AAAAA9100Z5</t>
  </si>
  <si>
    <t>27AAAAA9101Z5</t>
  </si>
  <si>
    <t>27AAAAA9102Z5</t>
  </si>
  <si>
    <t>27AAAAA9103Z5</t>
  </si>
  <si>
    <t>27AAAAA9104Z5</t>
  </si>
  <si>
    <t>27AAAAA9105Z5</t>
  </si>
  <si>
    <t>27AAAAA9106Z5</t>
  </si>
  <si>
    <t>27AAAAA9107Z5</t>
  </si>
  <si>
    <t>27AAAAA9108Z5</t>
  </si>
  <si>
    <t>27AAAAA9109Z5</t>
  </si>
  <si>
    <t>27AAAAA9110Z5</t>
  </si>
  <si>
    <t>27AAAAA9111Z5</t>
  </si>
  <si>
    <t>27AAAAA9112Z5</t>
  </si>
  <si>
    <t>27AAAAA9113Z5</t>
  </si>
  <si>
    <t>27AAAAA9114Z5</t>
  </si>
  <si>
    <t>27AAAAA9115Z5</t>
  </si>
  <si>
    <t>27AAAAA9116Z5</t>
  </si>
  <si>
    <t>27AAAAA9117Z5</t>
  </si>
  <si>
    <t>27AAAAA9118Z5</t>
  </si>
  <si>
    <t>27AAAAA9119Z5</t>
  </si>
  <si>
    <t>27AAAAA9120Z5</t>
  </si>
  <si>
    <t>27AAAAA9121Z5</t>
  </si>
  <si>
    <t>27AAAAA9122Z5</t>
  </si>
  <si>
    <t>27AAAAA9123Z5</t>
  </si>
  <si>
    <t>27AAAAA9124Z5</t>
  </si>
  <si>
    <t>27AAAAA9125Z5</t>
  </si>
  <si>
    <t>27AAAAA9126Z5</t>
  </si>
  <si>
    <t>27AAAAA9127Z5</t>
  </si>
  <si>
    <t>27AAAAA9128Z5</t>
  </si>
  <si>
    <t>27AAAAA9129Z5</t>
  </si>
  <si>
    <t>27AAAAA9130Z5</t>
  </si>
  <si>
    <t>27AAAAA9131Z5</t>
  </si>
  <si>
    <t>27AAAAA9132Z5</t>
  </si>
  <si>
    <t>27AAAAA9133Z5</t>
  </si>
  <si>
    <t>27AAAAA9134Z5</t>
  </si>
  <si>
    <t>27AAAAA9135Z5</t>
  </si>
  <si>
    <t>27AAAAA9136Z5</t>
  </si>
  <si>
    <t>27AAAAA9137Z5</t>
  </si>
  <si>
    <t>27AAAAA9138Z5</t>
  </si>
  <si>
    <t>27AAAAA9139Z5</t>
  </si>
  <si>
    <t>27AAAAA9140Z5</t>
  </si>
  <si>
    <t>27AAAAA9141Z5</t>
  </si>
  <si>
    <t>27AAAAA9142Z5</t>
  </si>
  <si>
    <t>27AAAAA9143Z5</t>
  </si>
  <si>
    <t>27AAAAA9144Z5</t>
  </si>
  <si>
    <t>27AAAAA9145Z5</t>
  </si>
  <si>
    <t>27AAAAA9146Z5</t>
  </si>
  <si>
    <t>27AAAAA9147Z5</t>
  </si>
  <si>
    <t>27AAAAA9148Z5</t>
  </si>
  <si>
    <t>27AAAAA9149Z5</t>
  </si>
  <si>
    <t>27AAAAA9150Z5</t>
  </si>
  <si>
    <t>27AAAAA9151Z5</t>
  </si>
  <si>
    <t>27AAAAA9152Z5</t>
  </si>
  <si>
    <t>27AAAAA9153Z5</t>
  </si>
  <si>
    <t>27AAAAA9154Z5</t>
  </si>
  <si>
    <t>27AAAAA9155Z5</t>
  </si>
  <si>
    <t>27AAAAA9156Z5</t>
  </si>
  <si>
    <t>27AAAAA9157Z5</t>
  </si>
  <si>
    <t>27AAAAA9158Z5</t>
  </si>
  <si>
    <t>27AAAAA9159Z5</t>
  </si>
  <si>
    <t>27AAAAA9160Z5</t>
  </si>
  <si>
    <t>27AAAAA9161Z5</t>
  </si>
  <si>
    <t>27AAAAA9162Z5</t>
  </si>
  <si>
    <t>27AAAAA9163Z5</t>
  </si>
  <si>
    <t>27AAAAA9164Z5</t>
  </si>
  <si>
    <t>27AAAAA9165Z5</t>
  </si>
  <si>
    <t>27AAAAA9166Z5</t>
  </si>
  <si>
    <t>27AAAAA9167Z5</t>
  </si>
  <si>
    <t>27AAAAA9168Z5</t>
  </si>
  <si>
    <t>27AAAAA9169Z5</t>
  </si>
  <si>
    <t>27AAAAA9170Z5</t>
  </si>
  <si>
    <t>27AAAAA9171Z5</t>
  </si>
  <si>
    <t>27AAAAA9172Z5</t>
  </si>
  <si>
    <t>27AAAAA9173Z5</t>
  </si>
  <si>
    <t>27AAAAA9174Z5</t>
  </si>
  <si>
    <t>27AAAAA9175Z5</t>
  </si>
  <si>
    <t>27AAAAA9176Z5</t>
  </si>
  <si>
    <t>27AAAAA9177Z5</t>
  </si>
  <si>
    <t>27AAAAA9178Z5</t>
  </si>
  <si>
    <t>27AAAAA9179Z5</t>
  </si>
  <si>
    <t>27AAAAA9180Z5</t>
  </si>
  <si>
    <t>27AAAAA9181Z5</t>
  </si>
  <si>
    <t>27AAAAA9182Z5</t>
  </si>
  <si>
    <t>27AAAAA9183Z5</t>
  </si>
  <si>
    <t>27AAAAA9184Z5</t>
  </si>
  <si>
    <t>27AAAAA9185Z5</t>
  </si>
  <si>
    <t>27AAAAA9186Z5</t>
  </si>
  <si>
    <t>27AAAAA9187Z5</t>
  </si>
  <si>
    <t>27AAAAA9188Z5</t>
  </si>
  <si>
    <t>27AAAAA9189Z5</t>
  </si>
  <si>
    <t>27AAAAA9190Z5</t>
  </si>
  <si>
    <t>27AAAAA9191Z5</t>
  </si>
  <si>
    <t>27AAAAA9192Z5</t>
  </si>
  <si>
    <t>27AAAAA9193Z5</t>
  </si>
  <si>
    <t>27AAAAA9194Z5</t>
  </si>
  <si>
    <t>27AAAAA9195Z5</t>
  </si>
  <si>
    <t>27AAAAA9196Z5</t>
  </si>
  <si>
    <t>27AAAAA9197Z5</t>
  </si>
  <si>
    <t>27AAAAA9198Z5</t>
  </si>
  <si>
    <t>27AAAAA9199Z5</t>
  </si>
  <si>
    <t>27AAAAA9200Z5</t>
  </si>
  <si>
    <t>27AAAAA9201Z5</t>
  </si>
  <si>
    <t>27AAAAA9202Z5</t>
  </si>
  <si>
    <t>27AAAAA9203Z5</t>
  </si>
  <si>
    <t>27AAAAA9204Z5</t>
  </si>
  <si>
    <t>27AAAAA9205Z5</t>
  </si>
  <si>
    <t>27AAAAA9206Z5</t>
  </si>
  <si>
    <t>27AAAAA9207Z5</t>
  </si>
  <si>
    <t>27AAAAA9208Z5</t>
  </si>
  <si>
    <t>27AAAAA9209Z5</t>
  </si>
  <si>
    <t>27AAAAA9210Z5</t>
  </si>
  <si>
    <t>27AAAAA9211Z5</t>
  </si>
  <si>
    <t>27AAAAA9212Z5</t>
  </si>
  <si>
    <t>27AAAAA9213Z5</t>
  </si>
  <si>
    <t>27AAAAA9214Z5</t>
  </si>
  <si>
    <t>27AAAAA9215Z5</t>
  </si>
  <si>
    <t>27AAAAA9216Z5</t>
  </si>
  <si>
    <t>27AAAAA9217Z5</t>
  </si>
  <si>
    <t>27AAAAA9218Z5</t>
  </si>
  <si>
    <t>27AAAAA9219Z5</t>
  </si>
  <si>
    <t>27AAAAA9220Z5</t>
  </si>
  <si>
    <t>27AAAAA9221Z5</t>
  </si>
  <si>
    <t>27AAAAA9222Z5</t>
  </si>
  <si>
    <t>27AAAAA9223Z5</t>
  </si>
  <si>
    <t>27AAAAA9224Z5</t>
  </si>
  <si>
    <t>27AAAAA9225Z5</t>
  </si>
  <si>
    <t>27AAAAA9226Z5</t>
  </si>
  <si>
    <t>27AAAAA9227Z5</t>
  </si>
  <si>
    <t>27AAAAA9228Z5</t>
  </si>
  <si>
    <t>27AAAAA9229Z5</t>
  </si>
  <si>
    <t>27AAAAA9230Z5</t>
  </si>
  <si>
    <t>27AAAAA9231Z5</t>
  </si>
  <si>
    <t>27AAAAA9232Z5</t>
  </si>
  <si>
    <t>27AAAAA9233Z5</t>
  </si>
  <si>
    <t>27AAAAA9234Z5</t>
  </si>
  <si>
    <t>27AAAAA9235Z5</t>
  </si>
  <si>
    <t>27AAAAA9236Z5</t>
  </si>
  <si>
    <t>27AAAAA9237Z5</t>
  </si>
  <si>
    <t>27AAAAA9238Z5</t>
  </si>
  <si>
    <t>27AAAAA9239Z5</t>
  </si>
  <si>
    <t>27AAAAA9240Z5</t>
  </si>
  <si>
    <t>27AAAAA9241Z5</t>
  </si>
  <si>
    <t>27AAAAA9242Z5</t>
  </si>
  <si>
    <t>27AAAAA9243Z5</t>
  </si>
  <si>
    <t>27AAAAA9244Z5</t>
  </si>
  <si>
    <t>27AAAAA9245Z5</t>
  </si>
  <si>
    <t>27AAAAA9246Z5</t>
  </si>
  <si>
    <t>27AAAAA9247Z5</t>
  </si>
  <si>
    <t>27AAAAA9248Z5</t>
  </si>
  <si>
    <t>27AAAAA9249Z5</t>
  </si>
  <si>
    <t>27AAAAA9250Z5</t>
  </si>
  <si>
    <t>27AAAAA9251Z5</t>
  </si>
  <si>
    <t>27AAAAA9252Z5</t>
  </si>
  <si>
    <t>27AAAAA9253Z5</t>
  </si>
  <si>
    <t>27AAAAA9254Z5</t>
  </si>
  <si>
    <t>27AAAAA9255Z5</t>
  </si>
  <si>
    <t>27AAAAA9256Z5</t>
  </si>
  <si>
    <t>27AAAAA9257Z5</t>
  </si>
  <si>
    <t>27AAAAA9258Z5</t>
  </si>
  <si>
    <t>27AAAAA9259Z5</t>
  </si>
  <si>
    <t>27AAAAA9260Z5</t>
  </si>
  <si>
    <t>27AAAAA9261Z5</t>
  </si>
  <si>
    <t>27AAAAA9262Z5</t>
  </si>
  <si>
    <t>27AAAAA9263Z5</t>
  </si>
  <si>
    <t>27AAAAA9264Z5</t>
  </si>
  <si>
    <t>27AAAAA9265Z5</t>
  </si>
  <si>
    <t>27AAAAA9266Z5</t>
  </si>
  <si>
    <t>27AAAAA9267Z5</t>
  </si>
  <si>
    <t>27AAAAA9268Z5</t>
  </si>
  <si>
    <t>27AAAAA9269Z5</t>
  </si>
  <si>
    <t>27AAAAA9270Z5</t>
  </si>
  <si>
    <t>27AAAAA9271Z5</t>
  </si>
  <si>
    <t>27AAAAA9272Z5</t>
  </si>
  <si>
    <t>27AAAAA9273Z5</t>
  </si>
  <si>
    <t>27AAAAA9274Z5</t>
  </si>
  <si>
    <t>27AAAAA9275Z5</t>
  </si>
  <si>
    <t>27AAAAA9276Z5</t>
  </si>
  <si>
    <t>27AAAAA9277Z5</t>
  </si>
  <si>
    <t>27AAAAA9278Z5</t>
  </si>
  <si>
    <t>27AAAAA9279Z5</t>
  </si>
  <si>
    <t>27AAAAA9280Z5</t>
  </si>
  <si>
    <t>27AAAAA9281Z5</t>
  </si>
  <si>
    <t>27AAAAA9282Z5</t>
  </si>
  <si>
    <t>27AAAAA9283Z5</t>
  </si>
  <si>
    <t>27AAAAA9284Z5</t>
  </si>
  <si>
    <t>27AAAAA9285Z5</t>
  </si>
  <si>
    <t>27AAAAA9286Z5</t>
  </si>
  <si>
    <t>27AAAAA9287Z5</t>
  </si>
  <si>
    <t>27AAAAA9288Z5</t>
  </si>
  <si>
    <t>27AAAAA9289Z5</t>
  </si>
  <si>
    <t>27AAAAA9290Z5</t>
  </si>
  <si>
    <t>27AAAAA9291Z5</t>
  </si>
  <si>
    <t>27AAAAA9292Z5</t>
  </si>
  <si>
    <t>27AAAAA9293Z5</t>
  </si>
  <si>
    <t>27AAAAA9294Z5</t>
  </si>
  <si>
    <t>27AAAAA9295Z5</t>
  </si>
  <si>
    <t>27AAAAA9296Z5</t>
  </si>
  <si>
    <t>27AAAAA9297Z5</t>
  </si>
  <si>
    <t>27AAAAA9298Z5</t>
  </si>
  <si>
    <t>27AAAAA9299Z5</t>
  </si>
  <si>
    <t>27AAAAA9300Z5</t>
  </si>
  <si>
    <t>27AAAAA9301Z5</t>
  </si>
  <si>
    <t>27AAAAA9302Z5</t>
  </si>
  <si>
    <t>27AAAAA9303Z5</t>
  </si>
  <si>
    <t>27AAAAA9304Z5</t>
  </si>
  <si>
    <t>27AAAAA9305Z5</t>
  </si>
  <si>
    <t>27AAAAA9306Z5</t>
  </si>
  <si>
    <t>27AAAAA9307Z5</t>
  </si>
  <si>
    <t>27AAAAA9308Z5</t>
  </si>
  <si>
    <t>27AAAAA9309Z5</t>
  </si>
  <si>
    <t>27AAAAA9310Z5</t>
  </si>
  <si>
    <t>27AAAAA9311Z5</t>
  </si>
  <si>
    <t>27AAAAA9312Z5</t>
  </si>
  <si>
    <t>27AAAAA9313Z5</t>
  </si>
  <si>
    <t>27AAAAA9314Z5</t>
  </si>
  <si>
    <t>27AAAAA9315Z5</t>
  </si>
  <si>
    <t>27AAAAA9316Z5</t>
  </si>
  <si>
    <t>27AAAAA9317Z5</t>
  </si>
  <si>
    <t>27AAAAA9318Z5</t>
  </si>
  <si>
    <t>27AAAAA9319Z5</t>
  </si>
  <si>
    <t>27AAAAA9320Z5</t>
  </si>
  <si>
    <t>27AAAAA9321Z5</t>
  </si>
  <si>
    <t>27AAAAA9322Z5</t>
  </si>
  <si>
    <t>27AAAAA9323Z5</t>
  </si>
  <si>
    <t>27AAAAA9324Z5</t>
  </si>
  <si>
    <t>27AAAAA9325Z5</t>
  </si>
  <si>
    <t>27AAAAA9326Z5</t>
  </si>
  <si>
    <t>27AAAAA9327Z5</t>
  </si>
  <si>
    <t>27AAAAA9328Z5</t>
  </si>
  <si>
    <t>27AAAAA9329Z5</t>
  </si>
  <si>
    <t>27AAAAA9330Z5</t>
  </si>
  <si>
    <t>27AAAAA9331Z5</t>
  </si>
  <si>
    <t>27AAAAA9332Z5</t>
  </si>
  <si>
    <t>27AAAAA9333Z5</t>
  </si>
  <si>
    <t>27AAAAA9334Z5</t>
  </si>
  <si>
    <t>27AAAAA9335Z5</t>
  </si>
  <si>
    <t>27AAAAA9336Z5</t>
  </si>
  <si>
    <t>27AAAAA9337Z5</t>
  </si>
  <si>
    <t>27AAAAA9338Z5</t>
  </si>
  <si>
    <t>27AAAAA9339Z5</t>
  </si>
  <si>
    <t>27AAAAA9340Z5</t>
  </si>
  <si>
    <t>27AAAAA9341Z5</t>
  </si>
  <si>
    <t>27AAAAA9342Z5</t>
  </si>
  <si>
    <t>27AAAAA9343Z5</t>
  </si>
  <si>
    <t>27AAAAA9344Z5</t>
  </si>
  <si>
    <t>27AAAAA9345Z5</t>
  </si>
  <si>
    <t>27AAAAA9346Z5</t>
  </si>
  <si>
    <t>27AAAAA9347Z5</t>
  </si>
  <si>
    <t>27AAAAA9348Z5</t>
  </si>
  <si>
    <t>27AAAAA9349Z5</t>
  </si>
  <si>
    <t>27AAAAA9350Z5</t>
  </si>
  <si>
    <t>27AAAAA9351Z5</t>
  </si>
  <si>
    <t>27AAAAA9352Z5</t>
  </si>
  <si>
    <t>27AAAAA9353Z5</t>
  </si>
  <si>
    <t>27AAAAA9354Z5</t>
  </si>
  <si>
    <t>27AAAAA9355Z5</t>
  </si>
  <si>
    <t>27AAAAA9356Z5</t>
  </si>
  <si>
    <t>27AAAAA9357Z5</t>
  </si>
  <si>
    <t>27AAAAA9358Z5</t>
  </si>
  <si>
    <t>27AAAAA9359Z5</t>
  </si>
  <si>
    <t>27AAAAA9360Z5</t>
  </si>
  <si>
    <t>27AAAAA9361Z5</t>
  </si>
  <si>
    <t>27AAAAA9362Z5</t>
  </si>
  <si>
    <t>27AAAAA9363Z5</t>
  </si>
  <si>
    <t>27AAAAA9364Z5</t>
  </si>
  <si>
    <t>27AAAAA9365Z5</t>
  </si>
  <si>
    <t>27AAAAA9366Z5</t>
  </si>
  <si>
    <t>27AAAAA9367Z5</t>
  </si>
  <si>
    <t>27AAAAA9368Z5</t>
  </si>
  <si>
    <t>27AAAAA9369Z5</t>
  </si>
  <si>
    <t>27AAAAA9370Z5</t>
  </si>
  <si>
    <t>27AAAAA9371Z5</t>
  </si>
  <si>
    <t>27AAAAA9372Z5</t>
  </si>
  <si>
    <t>27AAAAA9373Z5</t>
  </si>
  <si>
    <t>27AAAAA9374Z5</t>
  </si>
  <si>
    <t>27AAAAA9375Z5</t>
  </si>
  <si>
    <t>27AAAAA9376Z5</t>
  </si>
  <si>
    <t>27AAAAA9377Z5</t>
  </si>
  <si>
    <t>27AAAAA9378Z5</t>
  </si>
  <si>
    <t>27AAAAA9379Z5</t>
  </si>
  <si>
    <t>27AAAAA9380Z5</t>
  </si>
  <si>
    <t>27AAAAA9381Z5</t>
  </si>
  <si>
    <t>27AAAAA9382Z5</t>
  </si>
  <si>
    <t>27AAAAA9383Z5</t>
  </si>
  <si>
    <t>27AAAAA9384Z5</t>
  </si>
  <si>
    <t>27AAAAA9385Z5</t>
  </si>
  <si>
    <t>27AAAAA9386Z5</t>
  </si>
  <si>
    <t>27AAAAA9387Z5</t>
  </si>
  <si>
    <t>27AAAAA9388Z5</t>
  </si>
  <si>
    <t>27AAAAA9389Z5</t>
  </si>
  <si>
    <t>27AAAAA9390Z5</t>
  </si>
  <si>
    <t>27AAAAA9391Z5</t>
  </si>
  <si>
    <t>27AAAAA9392Z5</t>
  </si>
  <si>
    <t>27AAAAA9393Z5</t>
  </si>
  <si>
    <t>27AAAAA9394Z5</t>
  </si>
  <si>
    <t>27AAAAA9395Z5</t>
  </si>
  <si>
    <t>27AAAAA9396Z5</t>
  </si>
  <si>
    <t>27AAAAA9397Z5</t>
  </si>
  <si>
    <t>27AAAAA9398Z5</t>
  </si>
  <si>
    <t>27AAAAA9399Z5</t>
  </si>
  <si>
    <t>27AAAAA9400Z5</t>
  </si>
  <si>
    <t>27AAAAA9401Z5</t>
  </si>
  <si>
    <t>27AAAAA9402Z5</t>
  </si>
  <si>
    <t>27AAAAA9403Z5</t>
  </si>
  <si>
    <t>27AAAAA9404Z5</t>
  </si>
  <si>
    <t>27AAAAA9405Z5</t>
  </si>
  <si>
    <t>27AAAAA9406Z5</t>
  </si>
  <si>
    <t>27AAAAA9407Z5</t>
  </si>
  <si>
    <t>27AAAAA9408Z5</t>
  </si>
  <si>
    <t>27AAAAA9409Z5</t>
  </si>
  <si>
    <t>27AAAAA9410Z5</t>
  </si>
  <si>
    <t>27AAAAA9411Z5</t>
  </si>
  <si>
    <t>27AAAAA9412Z5</t>
  </si>
  <si>
    <t>27AAAAA9413Z5</t>
  </si>
  <si>
    <t>27AAAAA9414Z5</t>
  </si>
  <si>
    <t>27AAAAA9415Z5</t>
  </si>
  <si>
    <t>27AAAAA9416Z5</t>
  </si>
  <si>
    <t>27AAAAA9417Z5</t>
  </si>
  <si>
    <t>27AAAAA9418Z5</t>
  </si>
  <si>
    <t>27AAAAA9419Z5</t>
  </si>
  <si>
    <t>27AAAAA9420Z5</t>
  </si>
  <si>
    <t>27AAAAA9421Z5</t>
  </si>
  <si>
    <t>27AAAAA9422Z5</t>
  </si>
  <si>
    <t>27AAAAA9423Z5</t>
  </si>
  <si>
    <t>27AAAAA9424Z5</t>
  </si>
  <si>
    <t>27AAAAA9425Z5</t>
  </si>
  <si>
    <t>27AAAAA9426Z5</t>
  </si>
  <si>
    <t>27AAAAA9427Z5</t>
  </si>
  <si>
    <t>27AAAAA9428Z5</t>
  </si>
  <si>
    <t>27AAAAA9429Z5</t>
  </si>
  <si>
    <t>27AAAAA9430Z5</t>
  </si>
  <si>
    <t>27AAAAA9431Z5</t>
  </si>
  <si>
    <t>27AAAAA9432Z5</t>
  </si>
  <si>
    <t>27AAAAA9433Z5</t>
  </si>
  <si>
    <t>27AAAAA9434Z5</t>
  </si>
  <si>
    <t>27AAAAA9435Z5</t>
  </si>
  <si>
    <t>27AAAAA9436Z5</t>
  </si>
  <si>
    <t>27AAAAA9437Z5</t>
  </si>
  <si>
    <t>27AAAAA9438Z5</t>
  </si>
  <si>
    <t>27AAAAA9439Z5</t>
  </si>
  <si>
    <t>27AAAAA9440Z5</t>
  </si>
  <si>
    <t>27AAAAA9441Z5</t>
  </si>
  <si>
    <t>27AAAAA9442Z5</t>
  </si>
  <si>
    <t>27AAAAA9443Z5</t>
  </si>
  <si>
    <t>27AAAAA9444Z5</t>
  </si>
  <si>
    <t>27AAAAA9445Z5</t>
  </si>
  <si>
    <t>27AAAAA9446Z5</t>
  </si>
  <si>
    <t>27AAAAA9447Z5</t>
  </si>
  <si>
    <t>27AAAAA9448Z5</t>
  </si>
  <si>
    <t>27AAAAA9449Z5</t>
  </si>
  <si>
    <t>27AAAAA9450Z5</t>
  </si>
  <si>
    <t>27AAAAA9451Z5</t>
  </si>
  <si>
    <t>27AAAAA9452Z5</t>
  </si>
  <si>
    <t>27AAAAA9453Z5</t>
  </si>
  <si>
    <t>27AAAAA9454Z5</t>
  </si>
  <si>
    <t>27AAAAA9455Z5</t>
  </si>
  <si>
    <t>27AAAAA9456Z5</t>
  </si>
  <si>
    <t>27AAAAA9457Z5</t>
  </si>
  <si>
    <t>27AAAAA9458Z5</t>
  </si>
  <si>
    <t>27AAAAA9459Z5</t>
  </si>
  <si>
    <t>27AAAAA9460Z5</t>
  </si>
  <si>
    <t>27AAAAA9461Z5</t>
  </si>
  <si>
    <t>27AAAAA9462Z5</t>
  </si>
  <si>
    <t>27AAAAA9463Z5</t>
  </si>
  <si>
    <t>27AAAAA9464Z5</t>
  </si>
  <si>
    <t>27AAAAA9465Z5</t>
  </si>
  <si>
    <t>27AAAAA9466Z5</t>
  </si>
  <si>
    <t>27AAAAA9467Z5</t>
  </si>
  <si>
    <t>27AAAAA9468Z5</t>
  </si>
  <si>
    <t>27AAAAA9469Z5</t>
  </si>
  <si>
    <t>27AAAAA9470Z5</t>
  </si>
  <si>
    <t>27AAAAA9471Z5</t>
  </si>
  <si>
    <t>27AAAAA9472Z5</t>
  </si>
  <si>
    <t>27AAAAA9473Z5</t>
  </si>
  <si>
    <t>27AAAAA9474Z5</t>
  </si>
  <si>
    <t>27AAAAA9475Z5</t>
  </si>
  <si>
    <t>27AAAAA9476Z5</t>
  </si>
  <si>
    <t>27AAAAA9477Z5</t>
  </si>
  <si>
    <t>27AAAAA9478Z5</t>
  </si>
  <si>
    <t>27AAAAA9479Z5</t>
  </si>
  <si>
    <t>27AAAAA9480Z5</t>
  </si>
  <si>
    <t>27AAAAA9481Z5</t>
  </si>
  <si>
    <t>27AAAAA9482Z5</t>
  </si>
  <si>
    <t>27AAAAA9483Z5</t>
  </si>
  <si>
    <t>27AAAAA9484Z5</t>
  </si>
  <si>
    <t>27AAAAA9485Z5</t>
  </si>
  <si>
    <t>27AAAAA9486Z5</t>
  </si>
  <si>
    <t>27AAAAA9487Z5</t>
  </si>
  <si>
    <t>27AAAAA9488Z5</t>
  </si>
  <si>
    <t>27AAAAA9489Z5</t>
  </si>
  <si>
    <t>27AAAAA9490Z5</t>
  </si>
  <si>
    <t>27AAAAA9491Z5</t>
  </si>
  <si>
    <t>27AAAAA9492Z5</t>
  </si>
  <si>
    <t>27AAAAA9493Z5</t>
  </si>
  <si>
    <t>27AAAAA9494Z5</t>
  </si>
  <si>
    <t>27AAAAA9495Z5</t>
  </si>
  <si>
    <t>27AAAAA9496Z5</t>
  </si>
  <si>
    <t>27AAAAA9497Z5</t>
  </si>
  <si>
    <t>27AAAAA9498Z5</t>
  </si>
  <si>
    <t>27AAAAA9499Z5</t>
  </si>
  <si>
    <t>27AAAAA9500Z5</t>
  </si>
  <si>
    <t>27AAAAA9501Z5</t>
  </si>
  <si>
    <t>27AAAAA9502Z5</t>
  </si>
  <si>
    <t>27AAAAA9503Z5</t>
  </si>
  <si>
    <t>27AAAAA9504Z5</t>
  </si>
  <si>
    <t>27AAAAA9505Z5</t>
  </si>
  <si>
    <t>27AAAAA9506Z5</t>
  </si>
  <si>
    <t>27AAAAA9507Z5</t>
  </si>
  <si>
    <t>27AAAAA9508Z5</t>
  </si>
  <si>
    <t>27AAAAA9509Z5</t>
  </si>
  <si>
    <t>27AAAAA9510Z5</t>
  </si>
  <si>
    <t>27AAAAA9511Z5</t>
  </si>
  <si>
    <t>27AAAAA9512Z5</t>
  </si>
  <si>
    <t>27AAAAA9513Z5</t>
  </si>
  <si>
    <t>27AAAAA9514Z5</t>
  </si>
  <si>
    <t>27AAAAA9515Z5</t>
  </si>
  <si>
    <t>27AAAAA9516Z5</t>
  </si>
  <si>
    <t>27AAAAA9517Z5</t>
  </si>
  <si>
    <t>27AAAAA9518Z5</t>
  </si>
  <si>
    <t>27AAAAA9519Z5</t>
  </si>
  <si>
    <t>27AAAAA9520Z5</t>
  </si>
  <si>
    <t>27AAAAA9521Z5</t>
  </si>
  <si>
    <t>27AAAAA9522Z5</t>
  </si>
  <si>
    <t>27AAAAA9523Z5</t>
  </si>
  <si>
    <t>27AAAAA9524Z5</t>
  </si>
  <si>
    <t>27AAAAA9525Z5</t>
  </si>
  <si>
    <t>27AAAAA9526Z5</t>
  </si>
  <si>
    <t>27AAAAA9527Z5</t>
  </si>
  <si>
    <t>27AAAAA9528Z5</t>
  </si>
  <si>
    <t>27AAAAA9529Z5</t>
  </si>
  <si>
    <t>27AAAAA9530Z5</t>
  </si>
  <si>
    <t>27AAAAA9531Z5</t>
  </si>
  <si>
    <t>27AAAAA9532Z5</t>
  </si>
  <si>
    <t>27AAAAA9533Z5</t>
  </si>
  <si>
    <t>27AAAAA9534Z5</t>
  </si>
  <si>
    <t>27AAAAA9535Z5</t>
  </si>
  <si>
    <t>27AAAAA9536Z5</t>
  </si>
  <si>
    <t>27AAAAA9537Z5</t>
  </si>
  <si>
    <t>27AAAAA9538Z5</t>
  </si>
  <si>
    <t>27AAAAA9539Z5</t>
  </si>
  <si>
    <t>27AAAAA9540Z5</t>
  </si>
  <si>
    <t>27AAAAA9541Z5</t>
  </si>
  <si>
    <t>27AAAAA9542Z5</t>
  </si>
  <si>
    <t>27AAAAA9543Z5</t>
  </si>
  <si>
    <t>27AAAAA9544Z5</t>
  </si>
  <si>
    <t>27AAAAA9545Z5</t>
  </si>
  <si>
    <t>27AAAAA9546Z5</t>
  </si>
  <si>
    <t>27AAAAA9547Z5</t>
  </si>
  <si>
    <t>27AAAAA9548Z5</t>
  </si>
  <si>
    <t>27AAAAA9549Z5</t>
  </si>
  <si>
    <t>27AAAAA9550Z5</t>
  </si>
  <si>
    <t>27AAAAA9551Z5</t>
  </si>
  <si>
    <t>27AAAAA9552Z5</t>
  </si>
  <si>
    <t>27AAAAA9553Z5</t>
  </si>
  <si>
    <t>27AAAAA9554Z5</t>
  </si>
  <si>
    <t>27AAAAA9555Z5</t>
  </si>
  <si>
    <t>27AAAAA9556Z5</t>
  </si>
  <si>
    <t>27AAAAA9557Z5</t>
  </si>
  <si>
    <t>27AAAAA9558Z5</t>
  </si>
  <si>
    <t>27AAAAA9559Z5</t>
  </si>
  <si>
    <t>27AAAAA9560Z5</t>
  </si>
  <si>
    <t>27AAAAA9561Z5</t>
  </si>
  <si>
    <t>27AAAAA9562Z5</t>
  </si>
  <si>
    <t>27AAAAA9563Z5</t>
  </si>
  <si>
    <t>27AAAAA9564Z5</t>
  </si>
  <si>
    <t>27AAAAA9565Z5</t>
  </si>
  <si>
    <t>27AAAAA9566Z5</t>
  </si>
  <si>
    <t>27AAAAA9567Z5</t>
  </si>
  <si>
    <t>27AAAAA9568Z5</t>
  </si>
  <si>
    <t>27AAAAA9569Z5</t>
  </si>
  <si>
    <t>27AAAAA9570Z5</t>
  </si>
  <si>
    <t>27AAAAA9571Z5</t>
  </si>
  <si>
    <t>27AAAAA9572Z5</t>
  </si>
  <si>
    <t>27AAAAA9573Z5</t>
  </si>
  <si>
    <t>27AAAAA9574Z5</t>
  </si>
  <si>
    <t>27AAAAA9575Z5</t>
  </si>
  <si>
    <t>27AAAAA9576Z5</t>
  </si>
  <si>
    <t>27AAAAA9577Z5</t>
  </si>
  <si>
    <t>27AAAAA9578Z5</t>
  </si>
  <si>
    <t>27AAAAA9579Z5</t>
  </si>
  <si>
    <t>27AAAAA9580Z5</t>
  </si>
  <si>
    <t>27AAAAA9581Z5</t>
  </si>
  <si>
    <t>27AAAAA9582Z5</t>
  </si>
  <si>
    <t>27AAAAA9583Z5</t>
  </si>
  <si>
    <t>27AAAAA9584Z5</t>
  </si>
  <si>
    <t>27AAAAA9585Z5</t>
  </si>
  <si>
    <t>27AAAAA9586Z5</t>
  </si>
  <si>
    <t>27AAAAA9587Z5</t>
  </si>
  <si>
    <t>27AAAAA9588Z5</t>
  </si>
  <si>
    <t>27AAAAA9589Z5</t>
  </si>
  <si>
    <t>27AAAAA9590Z5</t>
  </si>
  <si>
    <t>27AAAAA9591Z5</t>
  </si>
  <si>
    <t>27AAAAA9592Z5</t>
  </si>
  <si>
    <t>27AAAAA9593Z5</t>
  </si>
  <si>
    <t>27AAAAA9594Z5</t>
  </si>
  <si>
    <t>27AAAAA9595Z5</t>
  </si>
  <si>
    <t>27AAAAA9596Z5</t>
  </si>
  <si>
    <t>27AAAAA9597Z5</t>
  </si>
  <si>
    <t>27AAAAA9598Z5</t>
  </si>
  <si>
    <t>27AAAAA9599Z5</t>
  </si>
  <si>
    <t>27AAAAA9600Z5</t>
  </si>
  <si>
    <t>27AAAAA9601Z5</t>
  </si>
  <si>
    <t>27AAAAA9602Z5</t>
  </si>
  <si>
    <t>27AAAAA9603Z5</t>
  </si>
  <si>
    <t>27AAAAA9604Z5</t>
  </si>
  <si>
    <t>27AAAAA9605Z5</t>
  </si>
  <si>
    <t>27AAAAA9606Z5</t>
  </si>
  <si>
    <t>27AAAAA9607Z5</t>
  </si>
  <si>
    <t>27AAAAA9608Z5</t>
  </si>
  <si>
    <t>27AAAAA9609Z5</t>
  </si>
  <si>
    <t>27AAAAA9610Z5</t>
  </si>
  <si>
    <t>27AAAAA9611Z5</t>
  </si>
  <si>
    <t>27AAAAA9612Z5</t>
  </si>
  <si>
    <t>27AAAAA9613Z5</t>
  </si>
  <si>
    <t>27AAAAA9614Z5</t>
  </si>
  <si>
    <t>27AAAAA9615Z5</t>
  </si>
  <si>
    <t>27AAAAA9616Z5</t>
  </si>
  <si>
    <t>27AAAAA9617Z5</t>
  </si>
  <si>
    <t>27AAAAA9618Z5</t>
  </si>
  <si>
    <t>27AAAAA9619Z5</t>
  </si>
  <si>
    <t>27AAAAA9620Z5</t>
  </si>
  <si>
    <t>27AAAAA9621Z5</t>
  </si>
  <si>
    <t>27AAAAA9622Z5</t>
  </si>
  <si>
    <t>27AAAAA9623Z5</t>
  </si>
  <si>
    <t>27AAAAA9624Z5</t>
  </si>
  <si>
    <t>27AAAAA9625Z5</t>
  </si>
  <si>
    <t>27AAAAA9626Z5</t>
  </si>
  <si>
    <t>27AAAAA9627Z5</t>
  </si>
  <si>
    <t>27AAAAA9628Z5</t>
  </si>
  <si>
    <t>27AAAAA9629Z5</t>
  </si>
  <si>
    <t>27AAAAA9630Z5</t>
  </si>
  <si>
    <t>27AAAAA9631Z5</t>
  </si>
  <si>
    <t>27AAAAA9632Z5</t>
  </si>
  <si>
    <t>27AAAAA9633Z5</t>
  </si>
  <si>
    <t>27AAAAA9634Z5</t>
  </si>
  <si>
    <t>27AAAAA9635Z5</t>
  </si>
  <si>
    <t>27AAAAA9636Z5</t>
  </si>
  <si>
    <t>27AAAAA9637Z5</t>
  </si>
  <si>
    <t>27AAAAA9638Z5</t>
  </si>
  <si>
    <t>27AAAAA9639Z5</t>
  </si>
  <si>
    <t>27AAAAA9640Z5</t>
  </si>
  <si>
    <t>27AAAAA9641Z5</t>
  </si>
  <si>
    <t>27AAAAA9642Z5</t>
  </si>
  <si>
    <t>27AAAAA9643Z5</t>
  </si>
  <si>
    <t>27AAAAA9644Z5</t>
  </si>
  <si>
    <t>27AAAAA9645Z5</t>
  </si>
  <si>
    <t>27AAAAA9646Z5</t>
  </si>
  <si>
    <t>27AAAAA9647Z5</t>
  </si>
  <si>
    <t>27AAAAA9648Z5</t>
  </si>
  <si>
    <t>27AAAAA9649Z5</t>
  </si>
  <si>
    <t>27AAAAA9650Z5</t>
  </si>
  <si>
    <t>27AAAAA9651Z5</t>
  </si>
  <si>
    <t>27AAAAA9652Z5</t>
  </si>
  <si>
    <t>27AAAAA9653Z5</t>
  </si>
  <si>
    <t>27AAAAA9654Z5</t>
  </si>
  <si>
    <t>27AAAAA9655Z5</t>
  </si>
  <si>
    <t>27AAAAA9656Z5</t>
  </si>
  <si>
    <t>27AAAAA9657Z5</t>
  </si>
  <si>
    <t>27AAAAA9658Z5</t>
  </si>
  <si>
    <t>27AAAAA9659Z5</t>
  </si>
  <si>
    <t>27AAAAA9660Z5</t>
  </si>
  <si>
    <t>27AAAAA9661Z5</t>
  </si>
  <si>
    <t>27AAAAA9662Z5</t>
  </si>
  <si>
    <t>27AAAAA9663Z5</t>
  </si>
  <si>
    <t>27AAAAA9664Z5</t>
  </si>
  <si>
    <t>27AAAAA9665Z5</t>
  </si>
  <si>
    <t>27AAAAA9666Z5</t>
  </si>
  <si>
    <t>27AAAAA9667Z5</t>
  </si>
  <si>
    <t>27AAAAA9668Z5</t>
  </si>
  <si>
    <t>27AAAAA9669Z5</t>
  </si>
  <si>
    <t>27AAAAA9670Z5</t>
  </si>
  <si>
    <t>27AAAAA9671Z5</t>
  </si>
  <si>
    <t>27AAAAA9672Z5</t>
  </si>
  <si>
    <t>27AAAAA9673Z5</t>
  </si>
  <si>
    <t>27AAAAA9674Z5</t>
  </si>
  <si>
    <t>27AAAAA9675Z5</t>
  </si>
  <si>
    <t>27AAAAA9676Z5</t>
  </si>
  <si>
    <t>27AAAAA9677Z5</t>
  </si>
  <si>
    <t>27AAAAA9678Z5</t>
  </si>
  <si>
    <t>27AAAAA9679Z5</t>
  </si>
  <si>
    <t>27AAAAA9680Z5</t>
  </si>
  <si>
    <t>27AAAAA9681Z5</t>
  </si>
  <si>
    <t>27AAAAA9682Z5</t>
  </si>
  <si>
    <t>27AAAAA9683Z5</t>
  </si>
  <si>
    <t>27AAAAA9684Z5</t>
  </si>
  <si>
    <t>27AAAAA9685Z5</t>
  </si>
  <si>
    <t>27AAAAA9686Z5</t>
  </si>
  <si>
    <t>27AAAAA9687Z5</t>
  </si>
  <si>
    <t>27AAAAA9688Z5</t>
  </si>
  <si>
    <t>27AAAAA9689Z5</t>
  </si>
  <si>
    <t>27AAAAA9690Z5</t>
  </si>
  <si>
    <t>27AAAAA9691Z5</t>
  </si>
  <si>
    <t>27AAAAA9692Z5</t>
  </si>
  <si>
    <t>27AAAAA9693Z5</t>
  </si>
  <si>
    <t>27AAAAA9694Z5</t>
  </si>
  <si>
    <t>27AAAAA9695Z5</t>
  </si>
  <si>
    <t>27AAAAA9696Z5</t>
  </si>
  <si>
    <t>27AAAAA9697Z5</t>
  </si>
  <si>
    <t>27AAAAA9698Z5</t>
  </si>
  <si>
    <t>27AAAAA9699Z5</t>
  </si>
  <si>
    <t>27AAAAA9700Z5</t>
  </si>
  <si>
    <t>27AAAAA9701Z5</t>
  </si>
  <si>
    <t>27AAAAA9702Z5</t>
  </si>
  <si>
    <t>27AAAAA9703Z5</t>
  </si>
  <si>
    <t>27AAAAA9704Z5</t>
  </si>
  <si>
    <t>27AAAAA9705Z5</t>
  </si>
  <si>
    <t>27AAAAA9706Z5</t>
  </si>
  <si>
    <t>27AAAAA9707Z5</t>
  </si>
  <si>
    <t>27AAAAA9708Z5</t>
  </si>
  <si>
    <t>27AAAAA9709Z5</t>
  </si>
  <si>
    <t>27AAAAA9710Z5</t>
  </si>
  <si>
    <t>27AAAAA9711Z5</t>
  </si>
  <si>
    <t>27AAAAA9712Z5</t>
  </si>
  <si>
    <t>27AAAAA9713Z5</t>
  </si>
  <si>
    <t>27AAAAA9714Z5</t>
  </si>
  <si>
    <t>27AAAAA9715Z5</t>
  </si>
  <si>
    <t>27AAAAA9716Z5</t>
  </si>
  <si>
    <t>27AAAAA9717Z5</t>
  </si>
  <si>
    <t>27AAAAA9718Z5</t>
  </si>
  <si>
    <t>27AAAAA9719Z5</t>
  </si>
  <si>
    <t>27AAAAA9720Z5</t>
  </si>
  <si>
    <t>27AAAAA9721Z5</t>
  </si>
  <si>
    <t>27AAAAA9722Z5</t>
  </si>
  <si>
    <t>27AAAAA9723Z5</t>
  </si>
  <si>
    <t>27AAAAA9724Z5</t>
  </si>
  <si>
    <t>27AAAAA9725Z5</t>
  </si>
  <si>
    <t>27AAAAA9726Z5</t>
  </si>
  <si>
    <t>27AAAAA9727Z5</t>
  </si>
  <si>
    <t>27AAAAA9728Z5</t>
  </si>
  <si>
    <t>27AAAAA9729Z5</t>
  </si>
  <si>
    <t>27AAAAA9730Z5</t>
  </si>
  <si>
    <t>27AAAAA9731Z5</t>
  </si>
  <si>
    <t>27AAAAA9732Z5</t>
  </si>
  <si>
    <t>27AAAAA9733Z5</t>
  </si>
  <si>
    <t>27AAAAA9734Z5</t>
  </si>
  <si>
    <t>27AAAAA9735Z5</t>
  </si>
  <si>
    <t>27AAAAA9736Z5</t>
  </si>
  <si>
    <t>27AAAAA9737Z5</t>
  </si>
  <si>
    <t>27AAAAA9738Z5</t>
  </si>
  <si>
    <t>27AAAAA9739Z5</t>
  </si>
  <si>
    <t>27AAAAA9740Z5</t>
  </si>
  <si>
    <t>27AAAAA9741Z5</t>
  </si>
  <si>
    <t>27AAAAA9742Z5</t>
  </si>
  <si>
    <t>27AAAAA9743Z5</t>
  </si>
  <si>
    <t>27AAAAA9744Z5</t>
  </si>
  <si>
    <t>27AAAAA9745Z5</t>
  </si>
  <si>
    <t>27AAAAA9746Z5</t>
  </si>
  <si>
    <t>27AAAAA9747Z5</t>
  </si>
  <si>
    <t>27AAAAA9748Z5</t>
  </si>
  <si>
    <t>27AAAAA9749Z5</t>
  </si>
  <si>
    <t>27AAAAA9750Z5</t>
  </si>
  <si>
    <t>27AAAAA9751Z5</t>
  </si>
  <si>
    <t>27AAAAA9752Z5</t>
  </si>
  <si>
    <t>27AAAAA9753Z5</t>
  </si>
  <si>
    <t>27AAAAA9754Z5</t>
  </si>
  <si>
    <t>27AAAAA9755Z5</t>
  </si>
  <si>
    <t>27AAAAA9756Z5</t>
  </si>
  <si>
    <t>27AAAAA9757Z5</t>
  </si>
  <si>
    <t>27AAAAA9758Z5</t>
  </si>
  <si>
    <t>27AAAAA9759Z5</t>
  </si>
  <si>
    <t>27AAAAA9760Z5</t>
  </si>
  <si>
    <t>27AAAAA9761Z5</t>
  </si>
  <si>
    <t>27AAAAA9762Z5</t>
  </si>
  <si>
    <t>27AAAAA9763Z5</t>
  </si>
  <si>
    <t>27AAAAA9764Z5</t>
  </si>
  <si>
    <t>27AAAAA9765Z5</t>
  </si>
  <si>
    <t>27AAAAA9766Z5</t>
  </si>
  <si>
    <t>27AAAAA9767Z5</t>
  </si>
  <si>
    <t>27AAAAA9768Z5</t>
  </si>
  <si>
    <t>27AAAAA9769Z5</t>
  </si>
  <si>
    <t>27AAAAA9770Z5</t>
  </si>
  <si>
    <t>27AAAAA9771Z5</t>
  </si>
  <si>
    <t>27AAAAA9772Z5</t>
  </si>
  <si>
    <t>27AAAAA9773Z5</t>
  </si>
  <si>
    <t>27AAAAA9774Z5</t>
  </si>
  <si>
    <t>27AAAAA9775Z5</t>
  </si>
  <si>
    <t>27AAAAA9776Z5</t>
  </si>
  <si>
    <t>27AAAAA9777Z5</t>
  </si>
  <si>
    <t>27AAAAA9778Z5</t>
  </si>
  <si>
    <t>27AAAAA9779Z5</t>
  </si>
  <si>
    <t>27AAAAA9780Z5</t>
  </si>
  <si>
    <t>27AAAAA9781Z5</t>
  </si>
  <si>
    <t>27AAAAA9782Z5</t>
  </si>
  <si>
    <t>27AAAAA9783Z5</t>
  </si>
  <si>
    <t>27AAAAA9784Z5</t>
  </si>
  <si>
    <t>27AAAAA9785Z5</t>
  </si>
  <si>
    <t>27AAAAA9786Z5</t>
  </si>
  <si>
    <t>27AAAAA9787Z5</t>
  </si>
  <si>
    <t>27AAAAA9788Z5</t>
  </si>
  <si>
    <t>27AAAAA9789Z5</t>
  </si>
  <si>
    <t>27AAAAA9790Z5</t>
  </si>
  <si>
    <t>27AAAAA9791Z5</t>
  </si>
  <si>
    <t>27AAAAA9792Z5</t>
  </si>
  <si>
    <t>27AAAAA9793Z5</t>
  </si>
  <si>
    <t>27AAAAA9794Z5</t>
  </si>
  <si>
    <t>27AAAAA9795Z5</t>
  </si>
  <si>
    <t>27AAAAA9796Z5</t>
  </si>
  <si>
    <t>27AAAAA9797Z5</t>
  </si>
  <si>
    <t>27AAAAA9798Z5</t>
  </si>
  <si>
    <t>27AAAAA9799Z5</t>
  </si>
  <si>
    <t>27AAAAA9800Z5</t>
  </si>
  <si>
    <t>27AAAAA9801Z5</t>
  </si>
  <si>
    <t>27AAAAA9802Z5</t>
  </si>
  <si>
    <t>27AAAAA9803Z5</t>
  </si>
  <si>
    <t>27AAAAA9804Z5</t>
  </si>
  <si>
    <t>27AAAAA9805Z5</t>
  </si>
  <si>
    <t>27AAAAA9806Z5</t>
  </si>
  <si>
    <t>27AAAAA9807Z5</t>
  </si>
  <si>
    <t>27AAAAA9808Z5</t>
  </si>
  <si>
    <t>27AAAAA9809Z5</t>
  </si>
  <si>
    <t>27AAAAA9810Z5</t>
  </si>
  <si>
    <t>27AAAAA9811Z5</t>
  </si>
  <si>
    <t>27AAAAA9812Z5</t>
  </si>
  <si>
    <t>27AAAAA9813Z5</t>
  </si>
  <si>
    <t>27AAAAA9814Z5</t>
  </si>
  <si>
    <t>27AAAAA9815Z5</t>
  </si>
  <si>
    <t>27AAAAA9816Z5</t>
  </si>
  <si>
    <t>27AAAAA9817Z5</t>
  </si>
  <si>
    <t>27AAAAA9818Z5</t>
  </si>
  <si>
    <t>27AAAAA9819Z5</t>
  </si>
  <si>
    <t>27AAAAA9820Z5</t>
  </si>
  <si>
    <t>27AAAAA9821Z5</t>
  </si>
  <si>
    <t>27AAAAA9822Z5</t>
  </si>
  <si>
    <t>27AAAAA9823Z5</t>
  </si>
  <si>
    <t>27AAAAA9824Z5</t>
  </si>
  <si>
    <t>27AAAAA9825Z5</t>
  </si>
  <si>
    <t>27AAAAA9826Z5</t>
  </si>
  <si>
    <t>27AAAAA9827Z5</t>
  </si>
  <si>
    <t>27AAAAA9828Z5</t>
  </si>
  <si>
    <t>27AAAAA9829Z5</t>
  </si>
  <si>
    <t>27AAAAA9830Z5</t>
  </si>
  <si>
    <t>27AAAAA9831Z5</t>
  </si>
  <si>
    <t>27AAAAA9832Z5</t>
  </si>
  <si>
    <t>27AAAAA9833Z5</t>
  </si>
  <si>
    <t>27AAAAA9834Z5</t>
  </si>
  <si>
    <t>27AAAAA9835Z5</t>
  </si>
  <si>
    <t>27AAAAA9836Z5</t>
  </si>
  <si>
    <t>27AAAAA9837Z5</t>
  </si>
  <si>
    <t>27AAAAA9838Z5</t>
  </si>
  <si>
    <t>27AAAAA9839Z5</t>
  </si>
  <si>
    <t>27AAAAA9840Z5</t>
  </si>
  <si>
    <t>27AAAAA9841Z5</t>
  </si>
  <si>
    <t>27AAAAA9842Z5</t>
  </si>
  <si>
    <t>27AAAAA9843Z5</t>
  </si>
  <si>
    <t>27AAAAA9844Z5</t>
  </si>
  <si>
    <t>27AAAAA9845Z5</t>
  </si>
  <si>
    <t>27AAAAA9846Z5</t>
  </si>
  <si>
    <t>27AAAAA9847Z5</t>
  </si>
  <si>
    <t>27AAAAA9848Z5</t>
  </si>
  <si>
    <t>27AAAAA9849Z5</t>
  </si>
  <si>
    <t>27AAAAA9850Z5</t>
  </si>
  <si>
    <t>27AAAAA9851Z5</t>
  </si>
  <si>
    <t>27AAAAA9852Z5</t>
  </si>
  <si>
    <t>27AAAAA9853Z5</t>
  </si>
  <si>
    <t>27AAAAA9854Z5</t>
  </si>
  <si>
    <t>27AAAAA9855Z5</t>
  </si>
  <si>
    <t>27AAAAA9856Z5</t>
  </si>
  <si>
    <t>27AAAAA9857Z5</t>
  </si>
  <si>
    <t>27AAAAA9858Z5</t>
  </si>
  <si>
    <t>27AAAAA9859Z5</t>
  </si>
  <si>
    <t>27AAAAA9860Z5</t>
  </si>
  <si>
    <t>27AAAAA9861Z5</t>
  </si>
  <si>
    <t>27AAAAA9862Z5</t>
  </si>
  <si>
    <t>27AAAAA9863Z5</t>
  </si>
  <si>
    <t>27AAAAA9864Z5</t>
  </si>
  <si>
    <t>27AAAAA9865Z5</t>
  </si>
  <si>
    <t>27AAAAA9866Z5</t>
  </si>
  <si>
    <t>27AAAAA9867Z5</t>
  </si>
  <si>
    <t>27AAAAA9868Z5</t>
  </si>
  <si>
    <t>27AAAAA9869Z5</t>
  </si>
  <si>
    <t>27AAAAA9870Z5</t>
  </si>
  <si>
    <t>27AAAAA9871Z5</t>
  </si>
  <si>
    <t>27AAAAA9872Z5</t>
  </si>
  <si>
    <t>27AAAAA9873Z5</t>
  </si>
  <si>
    <t>27AAAAA9874Z5</t>
  </si>
  <si>
    <t>27AAAAA9875Z5</t>
  </si>
  <si>
    <t>27AAAAA9876Z5</t>
  </si>
  <si>
    <t>27AAAAA9877Z5</t>
  </si>
  <si>
    <t>27AAAAA9878Z5</t>
  </si>
  <si>
    <t>27AAAAA9879Z5</t>
  </si>
  <si>
    <t>27AAAAA9880Z5</t>
  </si>
  <si>
    <t>27AAAAA9881Z5</t>
  </si>
  <si>
    <t>27AAAAA9882Z5</t>
  </si>
  <si>
    <t>27AAAAA9883Z5</t>
  </si>
  <si>
    <t>27AAAAA9884Z5</t>
  </si>
  <si>
    <t>27AAAAA9885Z5</t>
  </si>
  <si>
    <t>27AAAAA9886Z5</t>
  </si>
  <si>
    <t>27AAAAA9887Z5</t>
  </si>
  <si>
    <t>27AAAAA9888Z5</t>
  </si>
  <si>
    <t>27AAAAA9889Z5</t>
  </si>
  <si>
    <t>27AAAAA9890Z5</t>
  </si>
  <si>
    <t>27AAAAA9891Z5</t>
  </si>
  <si>
    <t>27AAAAA9892Z5</t>
  </si>
  <si>
    <t>27AAAAA9893Z5</t>
  </si>
  <si>
    <t>27AAAAA9894Z5</t>
  </si>
  <si>
    <t>27AAAAA9895Z5</t>
  </si>
  <si>
    <t>27AAAAA9896Z5</t>
  </si>
  <si>
    <t>27AAAAA9897Z5</t>
  </si>
  <si>
    <t>27AAAAA9898Z5</t>
  </si>
  <si>
    <t>27AAAAA9899Z5</t>
  </si>
  <si>
    <t>27AAAAA9900Z5</t>
  </si>
  <si>
    <t>27AAAAA9901Z5</t>
  </si>
  <si>
    <t>27AAAAA9902Z5</t>
  </si>
  <si>
    <t>27AAAAA9903Z5</t>
  </si>
  <si>
    <t>27AAAAA9904Z5</t>
  </si>
  <si>
    <t>27AAAAA9905Z5</t>
  </si>
  <si>
    <t>27AAAAA9906Z5</t>
  </si>
  <si>
    <t>27AAAAA9907Z5</t>
  </si>
  <si>
    <t>27AAAAA9908Z5</t>
  </si>
  <si>
    <t>27AAAAA9909Z5</t>
  </si>
  <si>
    <t>27AAAAA9910Z5</t>
  </si>
  <si>
    <t>27AAAAA9911Z5</t>
  </si>
  <si>
    <t>27AAAAA9912Z5</t>
  </si>
  <si>
    <t>27AAAAA9913Z5</t>
  </si>
  <si>
    <t>27AAAAA9914Z5</t>
  </si>
  <si>
    <t>27AAAAA9915Z5</t>
  </si>
  <si>
    <t>27AAAAA9916Z5</t>
  </si>
  <si>
    <t>27AAAAA9917Z5</t>
  </si>
  <si>
    <t>27AAAAA9918Z5</t>
  </si>
  <si>
    <t>27AAAAA9919Z5</t>
  </si>
  <si>
    <t>27AAAAA9920Z5</t>
  </si>
  <si>
    <t>27AAAAA9921Z5</t>
  </si>
  <si>
    <t>27AAAAA9922Z5</t>
  </si>
  <si>
    <t>27AAAAA9923Z5</t>
  </si>
  <si>
    <t>27AAAAA9924Z5</t>
  </si>
  <si>
    <t>27AAAAA9925Z5</t>
  </si>
  <si>
    <t>27AAAAA9926Z5</t>
  </si>
  <si>
    <t>27AAAAA9927Z5</t>
  </si>
  <si>
    <t>27AAAAA9928Z5</t>
  </si>
  <si>
    <t>27AAAAA9929Z5</t>
  </si>
  <si>
    <t>27AAAAA9930Z5</t>
  </si>
  <si>
    <t>27AAAAA9931Z5</t>
  </si>
  <si>
    <t>27AAAAA9932Z5</t>
  </si>
  <si>
    <t>27AAAAA9933Z5</t>
  </si>
  <si>
    <t>27AAAAA9934Z5</t>
  </si>
  <si>
    <t>27AAAAA9935Z5</t>
  </si>
  <si>
    <t>27AAAAA9936Z5</t>
  </si>
  <si>
    <t>27AAAAA9937Z5</t>
  </si>
  <si>
    <t>27AAAAA9938Z5</t>
  </si>
  <si>
    <t>27AAAAA9939Z5</t>
  </si>
  <si>
    <t>27AAAAA9940Z5</t>
  </si>
  <si>
    <t>27AAAAA9941Z5</t>
  </si>
  <si>
    <t>27AAAAA9942Z5</t>
  </si>
  <si>
    <t>27AAAAA9943Z5</t>
  </si>
  <si>
    <t>27AAAAA9944Z5</t>
  </si>
  <si>
    <t>27AAAAA9945Z5</t>
  </si>
  <si>
    <t>27AAAAA9946Z5</t>
  </si>
  <si>
    <t>27AAAAA9947Z5</t>
  </si>
  <si>
    <t>27AAAAA9948Z5</t>
  </si>
  <si>
    <t>27AAAAA9949Z5</t>
  </si>
  <si>
    <t>27AAAAA9950Z5</t>
  </si>
  <si>
    <t>27AAAAA9951Z5</t>
  </si>
  <si>
    <t>27AAAAA9952Z5</t>
  </si>
  <si>
    <t>27AAAAA9953Z5</t>
  </si>
  <si>
    <t>27AAAAA9954Z5</t>
  </si>
  <si>
    <t>27AAAAA9955Z5</t>
  </si>
  <si>
    <t>27AAAAA9956Z5</t>
  </si>
  <si>
    <t>27AAAAA9957Z5</t>
  </si>
  <si>
    <t>27AAAAA9958Z5</t>
  </si>
  <si>
    <t>27AAAAA9959Z5</t>
  </si>
  <si>
    <t>27AAAAA9960Z5</t>
  </si>
  <si>
    <t>27AAAAA9961Z5</t>
  </si>
  <si>
    <t>27AAAAA9962Z5</t>
  </si>
  <si>
    <t>27AAAAA9963Z5</t>
  </si>
  <si>
    <t>27AAAAA9964Z5</t>
  </si>
  <si>
    <t>27AAAAA9965Z5</t>
  </si>
  <si>
    <t>27AAAAA9966Z5</t>
  </si>
  <si>
    <t>27AAAAA9967Z5</t>
  </si>
  <si>
    <t>27AAAAA9968Z5</t>
  </si>
  <si>
    <t>27AAAAA9969Z5</t>
  </si>
  <si>
    <t>27AAAAA9970Z5</t>
  </si>
  <si>
    <t>27AAAAA9971Z5</t>
  </si>
  <si>
    <t>27AAAAA9972Z5</t>
  </si>
  <si>
    <t>27AAAAA9973Z5</t>
  </si>
  <si>
    <t>27AAAAA9974Z5</t>
  </si>
  <si>
    <t>27AAAAA9975Z5</t>
  </si>
  <si>
    <t>27AAAAA9976Z5</t>
  </si>
  <si>
    <t>27AAAAA9977Z5</t>
  </si>
  <si>
    <t>27AAAAA9978Z5</t>
  </si>
  <si>
    <t>27AAAAA9979Z5</t>
  </si>
  <si>
    <t>27AAAAA9980Z5</t>
  </si>
  <si>
    <t>27AAAAA9981Z5</t>
  </si>
  <si>
    <t>27AAAAA9982Z5</t>
  </si>
  <si>
    <t>27AAAAA9983Z5</t>
  </si>
  <si>
    <t>27AAAAA9984Z5</t>
  </si>
  <si>
    <t>27AAAAA9985Z5</t>
  </si>
  <si>
    <t>27AAAAA9986Z5</t>
  </si>
  <si>
    <t>27AAAAA9987Z5</t>
  </si>
  <si>
    <t>27AAAAA9988Z5</t>
  </si>
  <si>
    <t>27AAAAA9989Z5</t>
  </si>
  <si>
    <t>27AAAAA9990Z5</t>
  </si>
  <si>
    <t>27AAAAA9991Z5</t>
  </si>
  <si>
    <t>27AAAAA9992Z5</t>
  </si>
  <si>
    <t>27AAAAA9993Z5</t>
  </si>
  <si>
    <t>27AAAAA9994Z5</t>
  </si>
  <si>
    <t>27AAAAA9995Z5</t>
  </si>
  <si>
    <t>27AAAAA9996Z5</t>
  </si>
  <si>
    <t>27AAAAA9997Z5</t>
  </si>
  <si>
    <t>27AAAAA9998Z5</t>
  </si>
  <si>
    <t>27AAAAA9999Z5</t>
  </si>
  <si>
    <t>27AAAAA10000Z5</t>
  </si>
  <si>
    <t>27AAAAA10001Z5</t>
  </si>
  <si>
    <t>27AAAAA10002Z5</t>
  </si>
  <si>
    <t>27AAAAA10003Z5</t>
  </si>
  <si>
    <t>27AAAAA10004Z5</t>
  </si>
  <si>
    <t>27AAAAA10005Z5</t>
  </si>
  <si>
    <t>27AAAAA10006Z5</t>
  </si>
  <si>
    <t>27AAAAA10007Z5</t>
  </si>
  <si>
    <t>27AAAAA10008Z5</t>
  </si>
  <si>
    <t>27AAAAA10009Z5</t>
  </si>
  <si>
    <t>27AAAAA10010Z5</t>
  </si>
  <si>
    <t>27AAAAA10011Z5</t>
  </si>
  <si>
    <t>27AAAAA10012Z5</t>
  </si>
  <si>
    <t>27AAAAA10013Z5</t>
  </si>
  <si>
    <t>27AAAAA10014Z5</t>
  </si>
  <si>
    <t>27AAAAA10015Z5</t>
  </si>
  <si>
    <t>27AAAAA10016Z5</t>
  </si>
  <si>
    <t>27AAAAA10017Z5</t>
  </si>
  <si>
    <t>27AAAAA10018Z5</t>
  </si>
  <si>
    <t>27AAAAA10019Z5</t>
  </si>
  <si>
    <t>27AAAAA10020Z5</t>
  </si>
  <si>
    <t>27AAAAA10021Z5</t>
  </si>
  <si>
    <t>27AAAAA10022Z5</t>
  </si>
  <si>
    <t>27AAAAA10023Z5</t>
  </si>
  <si>
    <t>27AAAAA10024Z5</t>
  </si>
  <si>
    <t>27AAAAA10025Z5</t>
  </si>
  <si>
    <t>27AAAAA10026Z5</t>
  </si>
  <si>
    <t>27AAAAA10027Z5</t>
  </si>
  <si>
    <t>27AAAAA10028Z5</t>
  </si>
  <si>
    <t>27AAAAA10029Z5</t>
  </si>
  <si>
    <t>27AAAAA10030Z5</t>
  </si>
  <si>
    <t>27AAAAA10031Z5</t>
  </si>
  <si>
    <t>27AAAAA10032Z5</t>
  </si>
  <si>
    <t>27AAAAA10033Z5</t>
  </si>
  <si>
    <t>27AAAAA10034Z5</t>
  </si>
  <si>
    <t>27AAAAA10035Z5</t>
  </si>
  <si>
    <t>27AAAAA10036Z5</t>
  </si>
  <si>
    <t>27AAAAA10037Z5</t>
  </si>
  <si>
    <t>27AAAAA10038Z5</t>
  </si>
  <si>
    <t>27AAAAA10039Z5</t>
  </si>
  <si>
    <t>27AAAAA10040Z5</t>
  </si>
  <si>
    <t>27AAAAA10041Z5</t>
  </si>
  <si>
    <t>27AAAAA10042Z5</t>
  </si>
  <si>
    <t>27AAAAA10043Z5</t>
  </si>
  <si>
    <t>27AAAAA10044Z5</t>
  </si>
  <si>
    <t>27AAAAA10045Z5</t>
  </si>
  <si>
    <t>27AAAAA10046Z5</t>
  </si>
  <si>
    <t>27AAAAA10047Z5</t>
  </si>
  <si>
    <t>27AAAAA10048Z5</t>
  </si>
  <si>
    <t>27AAAAA10049Z5</t>
  </si>
  <si>
    <t>27AAAAA10050Z5</t>
  </si>
  <si>
    <t>27AAAAA10051Z5</t>
  </si>
  <si>
    <t>27AAAAA10052Z5</t>
  </si>
  <si>
    <t>27AAAAA10053Z5</t>
  </si>
  <si>
    <t>27AAAAA10054Z5</t>
  </si>
  <si>
    <t>27AAAAA10055Z5</t>
  </si>
  <si>
    <t>27AAAAA10056Z5</t>
  </si>
  <si>
    <t>27AAAAA10057Z5</t>
  </si>
  <si>
    <t>27AAAAA10058Z5</t>
  </si>
  <si>
    <t>27AAAAA10059Z5</t>
  </si>
  <si>
    <t>27AAAAA10060Z5</t>
  </si>
  <si>
    <t>27AAAAA10061Z5</t>
  </si>
  <si>
    <t>27AAAAA10062Z5</t>
  </si>
  <si>
    <t>27AAAAA10063Z5</t>
  </si>
  <si>
    <t>27AAAAA10064Z5</t>
  </si>
  <si>
    <t>27AAAAA10065Z5</t>
  </si>
  <si>
    <t>27AAAAA10066Z5</t>
  </si>
  <si>
    <t>27AAAAA10067Z5</t>
  </si>
  <si>
    <t>27AAAAA10068Z5</t>
  </si>
  <si>
    <t>27AAAAA10069Z5</t>
  </si>
  <si>
    <t>27AAAAA10070Z5</t>
  </si>
  <si>
    <t>27AAAAA10071Z5</t>
  </si>
  <si>
    <t>27AAAAA10072Z5</t>
  </si>
  <si>
    <t>27AAAAA10073Z5</t>
  </si>
  <si>
    <t>27AAAAA10074Z5</t>
  </si>
  <si>
    <t>27AAAAA10075Z5</t>
  </si>
  <si>
    <t>27AAAAA10076Z5</t>
  </si>
  <si>
    <t>27AAAAA10077Z5</t>
  </si>
  <si>
    <t>27AAAAA10078Z5</t>
  </si>
  <si>
    <t>27AAAAA10079Z5</t>
  </si>
  <si>
    <t>27AAAAA10080Z5</t>
  </si>
  <si>
    <t>27AAAAA10081Z5</t>
  </si>
  <si>
    <t>27AAAAA10082Z5</t>
  </si>
  <si>
    <t>27AAAAA10083Z5</t>
  </si>
  <si>
    <t>27AAAAA10084Z5</t>
  </si>
  <si>
    <t>27AAAAA10085Z5</t>
  </si>
  <si>
    <t>27AAAAA10086Z5</t>
  </si>
  <si>
    <t>27AAAAA10087Z5</t>
  </si>
  <si>
    <t>27AAAAA10088Z5</t>
  </si>
  <si>
    <t>27AAAAA10089Z5</t>
  </si>
  <si>
    <t>27AAAAA10090Z5</t>
  </si>
  <si>
    <t>27AAAAA10091Z5</t>
  </si>
  <si>
    <t>27AAAAA10092Z5</t>
  </si>
  <si>
    <t>27AAAAA10093Z5</t>
  </si>
  <si>
    <t>27AAAAA10094Z5</t>
  </si>
  <si>
    <t>27AAAAA10095Z5</t>
  </si>
  <si>
    <t>27AAAAA10096Z5</t>
  </si>
  <si>
    <t>27AAAAA10097Z5</t>
  </si>
  <si>
    <t>27AAAAA10098Z5</t>
  </si>
  <si>
    <t>27AAAAA10099Z5</t>
  </si>
  <si>
    <t>27AAAAA10100Z5</t>
  </si>
  <si>
    <t>27AAAAA10101Z5</t>
  </si>
  <si>
    <t>27AAAAA10102Z5</t>
  </si>
  <si>
    <t>27AAAAA10103Z5</t>
  </si>
  <si>
    <t>27AAAAA10104Z5</t>
  </si>
  <si>
    <t>27AAAAA10105Z5</t>
  </si>
  <si>
    <t>27AAAAA10106Z5</t>
  </si>
  <si>
    <t>27AAAAA10107Z5</t>
  </si>
  <si>
    <t>27AAAAA10108Z5</t>
  </si>
  <si>
    <t>27AAAAA10109Z5</t>
  </si>
  <si>
    <t>27AAAAA10110Z5</t>
  </si>
  <si>
    <t>27AAAAA10111Z5</t>
  </si>
  <si>
    <t>27AAAAA10112Z5</t>
  </si>
  <si>
    <t>27AAAAA10113Z5</t>
  </si>
  <si>
    <t>27AAAAA10114Z5</t>
  </si>
  <si>
    <t>27AAAAA10115Z5</t>
  </si>
  <si>
    <t>27AAAAA10116Z5</t>
  </si>
  <si>
    <t>27AAAAA10117Z5</t>
  </si>
  <si>
    <t>27AAAAA10118Z5</t>
  </si>
  <si>
    <t>27AAAAA10119Z5</t>
  </si>
  <si>
    <t>27AAAAA10120Z5</t>
  </si>
  <si>
    <t>27AAAAA10121Z5</t>
  </si>
  <si>
    <t>27AAAAA10122Z5</t>
  </si>
  <si>
    <t>27AAAAA10123Z5</t>
  </si>
  <si>
    <t>27AAAAA10124Z5</t>
  </si>
  <si>
    <t>27AAAAA10125Z5</t>
  </si>
  <si>
    <t>27AAAAA10126Z5</t>
  </si>
  <si>
    <t>27AAAAA10127Z5</t>
  </si>
  <si>
    <t>27AAAAA10128Z5</t>
  </si>
  <si>
    <t>27AAAAA10129Z5</t>
  </si>
  <si>
    <t>27AAAAA10130Z5</t>
  </si>
  <si>
    <t>27AAAAA10131Z5</t>
  </si>
  <si>
    <t>27AAAAA10132Z5</t>
  </si>
  <si>
    <t>27AAAAA10133Z5</t>
  </si>
  <si>
    <t>27AAAAA10134Z5</t>
  </si>
  <si>
    <t>27AAAAA10135Z5</t>
  </si>
  <si>
    <t>27AAAAA10136Z5</t>
  </si>
  <si>
    <t>27AAAAA10137Z5</t>
  </si>
  <si>
    <t>27AAAAA10138Z5</t>
  </si>
  <si>
    <t>27AAAAA10139Z5</t>
  </si>
  <si>
    <t>27AAAAA10140Z5</t>
  </si>
  <si>
    <t>27AAAAA10141Z5</t>
  </si>
  <si>
    <t>27AAAAA10142Z5</t>
  </si>
  <si>
    <t>27AAAAA10143Z5</t>
  </si>
  <si>
    <t>27AAAAA10144Z5</t>
  </si>
  <si>
    <t>27AAAAA10145Z5</t>
  </si>
  <si>
    <t>27AAAAA10146Z5</t>
  </si>
  <si>
    <t>27AAAAA10147Z5</t>
  </si>
  <si>
    <t>27AAAAA10148Z5</t>
  </si>
  <si>
    <t>27AAAAA10149Z5</t>
  </si>
  <si>
    <t>27AAAAA10150Z5</t>
  </si>
  <si>
    <t>27AAAAA10151Z5</t>
  </si>
  <si>
    <t>27AAAAA10152Z5</t>
  </si>
  <si>
    <t>27AAAAA10153Z5</t>
  </si>
  <si>
    <t>27AAAAA10154Z5</t>
  </si>
  <si>
    <t>27AAAAA10155Z5</t>
  </si>
  <si>
    <t>27AAAAA10156Z5</t>
  </si>
  <si>
    <t>27AAAAA10157Z5</t>
  </si>
  <si>
    <t>27AAAAA10158Z5</t>
  </si>
  <si>
    <t>27AAAAA10159Z5</t>
  </si>
  <si>
    <t>27AAAAA10160Z5</t>
  </si>
  <si>
    <t>27AAAAA10161Z5</t>
  </si>
  <si>
    <t>27AAAAA10162Z5</t>
  </si>
  <si>
    <t>27AAAAA10163Z5</t>
  </si>
  <si>
    <t>27AAAAA10164Z5</t>
  </si>
  <si>
    <t>27AAAAA10165Z5</t>
  </si>
  <si>
    <t>27AAAAA10166Z5</t>
  </si>
  <si>
    <t>27AAAAA10167Z5</t>
  </si>
  <si>
    <t>27AAAAA10168Z5</t>
  </si>
  <si>
    <t>27AAAAA10169Z5</t>
  </si>
  <si>
    <t>27AAAAA10170Z5</t>
  </si>
  <si>
    <t>27AAAAA10171Z5</t>
  </si>
  <si>
    <t>27AAAAA10172Z5</t>
  </si>
  <si>
    <t>27AAAAA10173Z5</t>
  </si>
  <si>
    <t>27AAAAA10174Z5</t>
  </si>
  <si>
    <t>27AAAAA10175Z5</t>
  </si>
  <si>
    <t>27AAAAA10176Z5</t>
  </si>
  <si>
    <t>27AAAAA10177Z5</t>
  </si>
  <si>
    <t>27AAAAA10178Z5</t>
  </si>
  <si>
    <t>27AAAAA10179Z5</t>
  </si>
  <si>
    <t>27AAAAA10180Z5</t>
  </si>
  <si>
    <t>27AAAAA10181Z5</t>
  </si>
  <si>
    <t>27AAAAA10182Z5</t>
  </si>
  <si>
    <t>27AAAAA10183Z5</t>
  </si>
  <si>
    <t>27AAAAA10184Z5</t>
  </si>
  <si>
    <t>27AAAAA10185Z5</t>
  </si>
  <si>
    <t>27AAAAA10186Z5</t>
  </si>
  <si>
    <t>27AAAAA10187Z5</t>
  </si>
  <si>
    <t>27AAAAA10188Z5</t>
  </si>
  <si>
    <t>27AAAAA10189Z5</t>
  </si>
  <si>
    <t>27AAAAA10190Z5</t>
  </si>
  <si>
    <t>27AAAAA10191Z5</t>
  </si>
  <si>
    <t>27AAAAA10192Z5</t>
  </si>
  <si>
    <t>27AAAAA10193Z5</t>
  </si>
  <si>
    <t>27AAAAA10194Z5</t>
  </si>
  <si>
    <t>27AAAAA10195Z5</t>
  </si>
  <si>
    <t>27AAAAA10196Z5</t>
  </si>
  <si>
    <t>27AAAAA10197Z5</t>
  </si>
  <si>
    <t>27AAAAA10198Z5</t>
  </si>
  <si>
    <t>27AAAAA10199Z5</t>
  </si>
  <si>
    <t>27AAAAA10200Z5</t>
  </si>
  <si>
    <t>27AAAAA10201Z5</t>
  </si>
  <si>
    <t>27AAAAA10202Z5</t>
  </si>
  <si>
    <t>27AAAAA10203Z5</t>
  </si>
  <si>
    <t>27AAAAA10204Z5</t>
  </si>
  <si>
    <t>27AAAAA10205Z5</t>
  </si>
  <si>
    <t>27AAAAA10206Z5</t>
  </si>
  <si>
    <t>27AAAAA10207Z5</t>
  </si>
  <si>
    <t>27AAAAA10208Z5</t>
  </si>
  <si>
    <t>27AAAAA10209Z5</t>
  </si>
  <si>
    <t>27AAAAA10210Z5</t>
  </si>
  <si>
    <t>27AAAAA10211Z5</t>
  </si>
  <si>
    <t>27AAAAA10212Z5</t>
  </si>
  <si>
    <t>27AAAAA10213Z5</t>
  </si>
  <si>
    <t>27AAAAA10214Z5</t>
  </si>
  <si>
    <t>27AAAAA10215Z5</t>
  </si>
  <si>
    <t>27AAAAA10216Z5</t>
  </si>
  <si>
    <t>27AAAAA10217Z5</t>
  </si>
  <si>
    <t>27AAAAA10218Z5</t>
  </si>
  <si>
    <t>27AAAAA10219Z5</t>
  </si>
  <si>
    <t>27AAAAA10220Z5</t>
  </si>
  <si>
    <t>27AAAAA10221Z5</t>
  </si>
  <si>
    <t>27AAAAA10222Z5</t>
  </si>
  <si>
    <t>27AAAAA10223Z5</t>
  </si>
  <si>
    <t>27AAAAA10224Z5</t>
  </si>
  <si>
    <t>27AAAAA10225Z5</t>
  </si>
  <si>
    <t>27AAAAA10226Z5</t>
  </si>
  <si>
    <t>27AAAAA10227Z5</t>
  </si>
  <si>
    <t>27AAAAA10228Z5</t>
  </si>
  <si>
    <t>27AAAAA10229Z5</t>
  </si>
  <si>
    <t>27AAAAA10230Z5</t>
  </si>
  <si>
    <t>27AAAAA10231Z5</t>
  </si>
  <si>
    <t>27AAAAA10232Z5</t>
  </si>
  <si>
    <t>27AAAAA10233Z5</t>
  </si>
  <si>
    <t>27AAAAA10234Z5</t>
  </si>
  <si>
    <t>27AAAAA10235Z5</t>
  </si>
  <si>
    <t>27AAAAA10236Z5</t>
  </si>
  <si>
    <t>27AAAAA10237Z5</t>
  </si>
  <si>
    <t>27AAAAA10238Z5</t>
  </si>
  <si>
    <t>27AAAAA10239Z5</t>
  </si>
  <si>
    <t>27AAAAA10240Z5</t>
  </si>
  <si>
    <t>27AAAAA10241Z5</t>
  </si>
  <si>
    <t>27AAAAA10242Z5</t>
  </si>
  <si>
    <t>27AAAAA10243Z5</t>
  </si>
  <si>
    <t>27AAAAA10244Z5</t>
  </si>
  <si>
    <t>27AAAAA10245Z5</t>
  </si>
  <si>
    <t>27AAAAA10246Z5</t>
  </si>
  <si>
    <t>27AAAAA10247Z5</t>
  </si>
  <si>
    <t>27AAAAA10248Z5</t>
  </si>
  <si>
    <t>27AAAAA10249Z5</t>
  </si>
  <si>
    <t>27AAAAA10250Z5</t>
  </si>
  <si>
    <t>27AAAAA10251Z5</t>
  </si>
  <si>
    <t>27AAAAA10252Z5</t>
  </si>
  <si>
    <t>27AAAAA10253Z5</t>
  </si>
  <si>
    <t>27AAAAA10254Z5</t>
  </si>
  <si>
    <t>27AAAAA10255Z5</t>
  </si>
  <si>
    <t>27AAAAA10256Z5</t>
  </si>
  <si>
    <t>27AAAAA10257Z5</t>
  </si>
  <si>
    <t>27AAAAA10258Z5</t>
  </si>
  <si>
    <t>27AAAAA10259Z5</t>
  </si>
  <si>
    <t>27AAAAA10260Z5</t>
  </si>
  <si>
    <t>27AAAAA10261Z5</t>
  </si>
  <si>
    <t>27AAAAA10262Z5</t>
  </si>
  <si>
    <t>27AAAAA10263Z5</t>
  </si>
  <si>
    <t>27AAAAA10264Z5</t>
  </si>
  <si>
    <t>27AAAAA10265Z5</t>
  </si>
  <si>
    <t>27AAAAA10266Z5</t>
  </si>
  <si>
    <t>27AAAAA10267Z5</t>
  </si>
  <si>
    <t>27AAAAA10268Z5</t>
  </si>
  <si>
    <t>27AAAAA10269Z5</t>
  </si>
  <si>
    <t>27AAAAA10270Z5</t>
  </si>
  <si>
    <t>27AAAAA10271Z5</t>
  </si>
  <si>
    <t>27AAAAA10272Z5</t>
  </si>
  <si>
    <t>27AAAAA10273Z5</t>
  </si>
  <si>
    <t>27AAAAA10274Z5</t>
  </si>
  <si>
    <t>27AAAAA10275Z5</t>
  </si>
  <si>
    <t>27AAAAA10276Z5</t>
  </si>
  <si>
    <t>27AAAAA10277Z5</t>
  </si>
  <si>
    <t>27AAAAA10278Z5</t>
  </si>
  <si>
    <t>27AAAAA10279Z5</t>
  </si>
  <si>
    <t>27AAAAA10280Z5</t>
  </si>
  <si>
    <t>27AAAAA10281Z5</t>
  </si>
  <si>
    <t>27AAAAA10282Z5</t>
  </si>
  <si>
    <t>27AAAAA10283Z5</t>
  </si>
  <si>
    <t>27AAAAA10284Z5</t>
  </si>
  <si>
    <t>27AAAAA10285Z5</t>
  </si>
  <si>
    <t>27AAAAA10286Z5</t>
  </si>
  <si>
    <t>27AAAAA10287Z5</t>
  </si>
  <si>
    <t>27AAAAA10288Z5</t>
  </si>
  <si>
    <t>27AAAAA10289Z5</t>
  </si>
  <si>
    <t>27AAAAA10290Z5</t>
  </si>
  <si>
    <t>27AAAAA10291Z5</t>
  </si>
  <si>
    <t>27AAAAA10292Z5</t>
  </si>
  <si>
    <t>27AAAAA10293Z5</t>
  </si>
  <si>
    <t>27AAAAA10294Z5</t>
  </si>
  <si>
    <t>27AAAAA10295Z5</t>
  </si>
  <si>
    <t>27AAAAA10296Z5</t>
  </si>
  <si>
    <t>27AAAAA10297Z5</t>
  </si>
  <si>
    <t>27AAAAA10298Z5</t>
  </si>
  <si>
    <t>27AAAAA10299Z5</t>
  </si>
  <si>
    <t>27AAAAA10300Z5</t>
  </si>
  <si>
    <t>27AAAAA10301Z5</t>
  </si>
  <si>
    <t>27AAAAA10302Z5</t>
  </si>
  <si>
    <t>27AAAAA10303Z5</t>
  </si>
  <si>
    <t>27AAAAA10304Z5</t>
  </si>
  <si>
    <t>27AAAAA10305Z5</t>
  </si>
  <si>
    <t>27AAAAA10306Z5</t>
  </si>
  <si>
    <t>27AAAAA10307Z5</t>
  </si>
  <si>
    <t>27AAAAA10308Z5</t>
  </si>
  <si>
    <t>27AAAAA10309Z5</t>
  </si>
  <si>
    <t>27AAAAA10310Z5</t>
  </si>
  <si>
    <t>27AAAAA10311Z5</t>
  </si>
  <si>
    <t>27AAAAA10312Z5</t>
  </si>
  <si>
    <t>27AAAAA10313Z5</t>
  </si>
  <si>
    <t>27AAAAA10314Z5</t>
  </si>
  <si>
    <t>27AAAAA10315Z5</t>
  </si>
  <si>
    <t>27AAAAA10316Z5</t>
  </si>
  <si>
    <t>27AAAAA10317Z5</t>
  </si>
  <si>
    <t>27AAAAA10318Z5</t>
  </si>
  <si>
    <t>27AAAAA10319Z5</t>
  </si>
  <si>
    <t>27AAAAA10320Z5</t>
  </si>
  <si>
    <t>27AAAAA10321Z5</t>
  </si>
  <si>
    <t>27AAAAA10322Z5</t>
  </si>
  <si>
    <t>27AAAAA10323Z5</t>
  </si>
  <si>
    <t>27AAAAA10324Z5</t>
  </si>
  <si>
    <t>27AAAAA10325Z5</t>
  </si>
  <si>
    <t>27AAAAA10326Z5</t>
  </si>
  <si>
    <t>27AAAAA10327Z5</t>
  </si>
  <si>
    <t>27AAAAA10328Z5</t>
  </si>
  <si>
    <t>27AAAAA10329Z5</t>
  </si>
  <si>
    <t>27AAAAA10330Z5</t>
  </si>
  <si>
    <t>27AAAAA10331Z5</t>
  </si>
  <si>
    <t>27AAAAA10332Z5</t>
  </si>
  <si>
    <t>27AAAAA10333Z5</t>
  </si>
  <si>
    <t>27AAAAA10334Z5</t>
  </si>
  <si>
    <t>27AAAAA10335Z5</t>
  </si>
  <si>
    <t>27AAAAA10336Z5</t>
  </si>
  <si>
    <t>27AAAAA10337Z5</t>
  </si>
  <si>
    <t>27AAAAA10338Z5</t>
  </si>
  <si>
    <t>27AAAAA10339Z5</t>
  </si>
  <si>
    <t>27AAAAA10340Z5</t>
  </si>
  <si>
    <t>27AAAAA10341Z5</t>
  </si>
  <si>
    <t>27AAAAA10342Z5</t>
  </si>
  <si>
    <t>27AAAAA10343Z5</t>
  </si>
  <si>
    <t>27AAAAA10344Z5</t>
  </si>
  <si>
    <t>27AAAAA10345Z5</t>
  </si>
  <si>
    <t>27AAAAA10346Z5</t>
  </si>
  <si>
    <t>27AAAAA10347Z5</t>
  </si>
  <si>
    <t>27AAAAA10348Z5</t>
  </si>
  <si>
    <t>27AAAAA10349Z5</t>
  </si>
  <si>
    <t>27AAAAA10350Z5</t>
  </si>
  <si>
    <t>27AAAAA10351Z5</t>
  </si>
  <si>
    <t>27AAAAA10352Z5</t>
  </si>
  <si>
    <t>27AAAAA10353Z5</t>
  </si>
  <si>
    <t>27AAAAA10354Z5</t>
  </si>
  <si>
    <t>27AAAAA10355Z5</t>
  </si>
  <si>
    <t>27AAAAA10356Z5</t>
  </si>
  <si>
    <t>27AAAAA10357Z5</t>
  </si>
  <si>
    <t>27AAAAA10358Z5</t>
  </si>
  <si>
    <t>27AAAAA10359Z5</t>
  </si>
  <si>
    <t>27AAAAA10360Z5</t>
  </si>
  <si>
    <t>27AAAAA10361Z5</t>
  </si>
  <si>
    <t>27AAAAA10362Z5</t>
  </si>
  <si>
    <t>27AAAAA10363Z5</t>
  </si>
  <si>
    <t>27AAAAA10364Z5</t>
  </si>
  <si>
    <t>27AAAAA10365Z5</t>
  </si>
  <si>
    <t>27AAAAA10366Z5</t>
  </si>
  <si>
    <t>27AAAAA10367Z5</t>
  </si>
  <si>
    <t>27AAAAA10368Z5</t>
  </si>
  <si>
    <t>27AAAAA10369Z5</t>
  </si>
  <si>
    <t>27AAAAA10370Z5</t>
  </si>
  <si>
    <t>27AAAAA10371Z5</t>
  </si>
  <si>
    <t>27AAAAA10372Z5</t>
  </si>
  <si>
    <t>27AAAAA10373Z5</t>
  </si>
  <si>
    <t>27AAAAA10374Z5</t>
  </si>
  <si>
    <t>27AAAAA10375Z5</t>
  </si>
  <si>
    <t>27AAAAA10376Z5</t>
  </si>
  <si>
    <t>27AAAAA10377Z5</t>
  </si>
  <si>
    <t>27AAAAA10378Z5</t>
  </si>
  <si>
    <t>27AAAAA10379Z5</t>
  </si>
  <si>
    <t>27AAAAA10380Z5</t>
  </si>
  <si>
    <t>27AAAAA10381Z5</t>
  </si>
  <si>
    <t>27AAAAA10382Z5</t>
  </si>
  <si>
    <t>27AAAAA10383Z5</t>
  </si>
  <si>
    <t>27AAAAA10384Z5</t>
  </si>
  <si>
    <t>27AAAAA10385Z5</t>
  </si>
  <si>
    <t>27AAAAA10386Z5</t>
  </si>
  <si>
    <t>27AAAAA10387Z5</t>
  </si>
  <si>
    <t>27AAAAA10388Z5</t>
  </si>
  <si>
    <t>27AAAAA10389Z5</t>
  </si>
  <si>
    <t>27AAAAA10390Z5</t>
  </si>
  <si>
    <t>27AAAAA10391Z5</t>
  </si>
  <si>
    <t>27AAAAA10392Z5</t>
  </si>
  <si>
    <t>27AAAAA10393Z5</t>
  </si>
  <si>
    <t>27AAAAA10394Z5</t>
  </si>
  <si>
    <t>27AAAAA10395Z5</t>
  </si>
  <si>
    <t>27AAAAA10396Z5</t>
  </si>
  <si>
    <t>27AAAAA10397Z5</t>
  </si>
  <si>
    <t>27AAAAA10398Z5</t>
  </si>
  <si>
    <t>27AAAAA10399Z5</t>
  </si>
  <si>
    <t>27AAAAA10400Z5</t>
  </si>
  <si>
    <t>27AAAAA10401Z5</t>
  </si>
  <si>
    <t>27AAAAA10402Z5</t>
  </si>
  <si>
    <t>27AAAAA10403Z5</t>
  </si>
  <si>
    <t>27AAAAA10404Z5</t>
  </si>
  <si>
    <t>27AAAAA10405Z5</t>
  </si>
  <si>
    <t>27AAAAA10406Z5</t>
  </si>
  <si>
    <t>27AAAAA10407Z5</t>
  </si>
  <si>
    <t>27AAAAA10408Z5</t>
  </si>
  <si>
    <t>27AAAAA10409Z5</t>
  </si>
  <si>
    <t>27AAAAA10410Z5</t>
  </si>
  <si>
    <t>27AAAAA10411Z5</t>
  </si>
  <si>
    <t>27AAAAA10412Z5</t>
  </si>
  <si>
    <t>27AAAAA10413Z5</t>
  </si>
  <si>
    <t>27AAAAA10414Z5</t>
  </si>
  <si>
    <t>27AAAAA10415Z5</t>
  </si>
  <si>
    <t>27AAAAA10416Z5</t>
  </si>
  <si>
    <t>27AAAAA10417Z5</t>
  </si>
  <si>
    <t>27AAAAA10418Z5</t>
  </si>
  <si>
    <t>27AAAAA10419Z5</t>
  </si>
  <si>
    <t>27AAAAA10420Z5</t>
  </si>
  <si>
    <t>27AAAAA10421Z5</t>
  </si>
  <si>
    <t>27AAAAA10422Z5</t>
  </si>
  <si>
    <t>27AAAAA10423Z5</t>
  </si>
  <si>
    <t>27AAAAA10424Z5</t>
  </si>
  <si>
    <t>27AAAAA10425Z5</t>
  </si>
  <si>
    <t>27AAAAA10426Z5</t>
  </si>
  <si>
    <t>27AAAAA10427Z5</t>
  </si>
  <si>
    <t>27AAAAA10428Z5</t>
  </si>
  <si>
    <t>27AAAAA10429Z5</t>
  </si>
  <si>
    <t>27AAAAA10430Z5</t>
  </si>
  <si>
    <t>27AAAAA10431Z5</t>
  </si>
  <si>
    <t>27AAAAA10432Z5</t>
  </si>
  <si>
    <t>27AAAAA10433Z5</t>
  </si>
  <si>
    <t>27AAAAA10434Z5</t>
  </si>
  <si>
    <t>27AAAAA10435Z5</t>
  </si>
  <si>
    <t>27AAAAA10436Z5</t>
  </si>
  <si>
    <t>27AAAAA10437Z5</t>
  </si>
  <si>
    <t>27AAAAA10438Z5</t>
  </si>
  <si>
    <t>27AAAAA10439Z5</t>
  </si>
  <si>
    <t>27AAAAA10440Z5</t>
  </si>
  <si>
    <t>27AAAAA10441Z5</t>
  </si>
  <si>
    <t>27AAAAA10442Z5</t>
  </si>
  <si>
    <t>27AAAAA10443Z5</t>
  </si>
  <si>
    <t>27AAAAA10444Z5</t>
  </si>
  <si>
    <t>27AAAAA10445Z5</t>
  </si>
  <si>
    <t>27AAAAA10446Z5</t>
  </si>
  <si>
    <t>27AAAAA10447Z5</t>
  </si>
  <si>
    <t>27AAAAA10448Z5</t>
  </si>
  <si>
    <t>27AAAAA10449Z5</t>
  </si>
  <si>
    <t>27AAAAA10450Z5</t>
  </si>
  <si>
    <t>27AAAAA10451Z5</t>
  </si>
  <si>
    <t>27AAAAA10452Z5</t>
  </si>
  <si>
    <t>27AAAAA10453Z5</t>
  </si>
  <si>
    <t>27AAAAA10454Z5</t>
  </si>
  <si>
    <t>27AAAAA10455Z5</t>
  </si>
  <si>
    <t>27AAAAA10456Z5</t>
  </si>
  <si>
    <t>27AAAAA10457Z5</t>
  </si>
  <si>
    <t>27AAAAA10458Z5</t>
  </si>
  <si>
    <t>27AAAAA10459Z5</t>
  </si>
  <si>
    <t>27AAAAA10460Z5</t>
  </si>
  <si>
    <t>27AAAAA10461Z5</t>
  </si>
  <si>
    <t>27AAAAA10462Z5</t>
  </si>
  <si>
    <t>27AAAAA10463Z5</t>
  </si>
  <si>
    <t>27AAAAA10464Z5</t>
  </si>
  <si>
    <t>27AAAAA10465Z5</t>
  </si>
  <si>
    <t>27AAAAA10466Z5</t>
  </si>
  <si>
    <t>27AAAAA10467Z5</t>
  </si>
  <si>
    <t>27AAAAA10468Z5</t>
  </si>
  <si>
    <t>27AAAAA10469Z5</t>
  </si>
  <si>
    <t>27AAAAA10470Z5</t>
  </si>
  <si>
    <t>27AAAAA10471Z5</t>
  </si>
  <si>
    <t>27AAAAA10472Z5</t>
  </si>
  <si>
    <t>27AAAAA10473Z5</t>
  </si>
  <si>
    <t>27AAAAA10474Z5</t>
  </si>
  <si>
    <t>27AAAAA10475Z5</t>
  </si>
  <si>
    <t>27AAAAA10476Z5</t>
  </si>
  <si>
    <t>27AAAAA10477Z5</t>
  </si>
  <si>
    <t>27AAAAA10478Z5</t>
  </si>
  <si>
    <t>27AAAAA10479Z5</t>
  </si>
  <si>
    <t>27AAAAA10480Z5</t>
  </si>
  <si>
    <t>27AAAAA10481Z5</t>
  </si>
  <si>
    <t>27AAAAA10482Z5</t>
  </si>
  <si>
    <t>27AAAAA10483Z5</t>
  </si>
  <si>
    <t>27AAAAA10484Z5</t>
  </si>
  <si>
    <t>27AAAAA10485Z5</t>
  </si>
  <si>
    <t>27AAAAA10486Z5</t>
  </si>
  <si>
    <t>27AAAAA10487Z5</t>
  </si>
  <si>
    <t>27AAAAA10488Z5</t>
  </si>
  <si>
    <t>27AAAAA10489Z5</t>
  </si>
  <si>
    <t>27AAAAA10490Z5</t>
  </si>
  <si>
    <t>27AAAAA10491Z5</t>
  </si>
  <si>
    <t>27AAAAA10492Z5</t>
  </si>
  <si>
    <t>27AAAAA10493Z5</t>
  </si>
  <si>
    <t>27AAAAA10494Z5</t>
  </si>
  <si>
    <t>27AAAAA10495Z5</t>
  </si>
  <si>
    <t>27AAAAA10496Z5</t>
  </si>
  <si>
    <t>27AAAAA10497Z5</t>
  </si>
  <si>
    <t>27AAAAA10498Z5</t>
  </si>
  <si>
    <t>27AAAAA10499Z5</t>
  </si>
  <si>
    <t>27AAAAA10500Z5</t>
  </si>
  <si>
    <t>27AAAAA10501Z5</t>
  </si>
  <si>
    <t>27AAAAA10502Z5</t>
  </si>
  <si>
    <t>27AAAAA10503Z5</t>
  </si>
  <si>
    <t>27AAAAA10504Z5</t>
  </si>
  <si>
    <t>27AAAAA10505Z5</t>
  </si>
  <si>
    <t>27AAAAA10506Z5</t>
  </si>
  <si>
    <t>27AAAAA10507Z5</t>
  </si>
  <si>
    <t>27AAAAA10508Z5</t>
  </si>
  <si>
    <t>27AAAAA10509Z5</t>
  </si>
  <si>
    <t>27AAAAA10510Z5</t>
  </si>
  <si>
    <t>27AAAAA10511Z5</t>
  </si>
  <si>
    <t>27AAAAA10512Z5</t>
  </si>
  <si>
    <t>27AAAAA10513Z5</t>
  </si>
  <si>
    <t>27AAAAA10514Z5</t>
  </si>
  <si>
    <t>27AAAAA10515Z5</t>
  </si>
  <si>
    <t>27AAAAA10516Z5</t>
  </si>
  <si>
    <t>27AAAAA10517Z5</t>
  </si>
  <si>
    <t>27AAAAA10518Z5</t>
  </si>
  <si>
    <t>27AAAAA10519Z5</t>
  </si>
  <si>
    <t>27AAAAA10520Z5</t>
  </si>
  <si>
    <t>27AAAAA10521Z5</t>
  </si>
  <si>
    <t>27AAAAA10522Z5</t>
  </si>
  <si>
    <t>27AAAAA10523Z5</t>
  </si>
  <si>
    <t>27AAAAA10524Z5</t>
  </si>
  <si>
    <t>27AAAAA10525Z5</t>
  </si>
  <si>
    <t>27AAAAA10526Z5</t>
  </si>
  <si>
    <t>27AAAAA10527Z5</t>
  </si>
  <si>
    <t>27AAAAA10528Z5</t>
  </si>
  <si>
    <t>27AAAAA10529Z5</t>
  </si>
  <si>
    <t>27AAAAA10530Z5</t>
  </si>
  <si>
    <t>27AAAAA10531Z5</t>
  </si>
  <si>
    <t>27AAAAA10532Z5</t>
  </si>
  <si>
    <t>27AAAAA10533Z5</t>
  </si>
  <si>
    <t>27AAAAA10534Z5</t>
  </si>
  <si>
    <t>27AAAAA10535Z5</t>
  </si>
  <si>
    <t>27AAAAA10536Z5</t>
  </si>
  <si>
    <t>27AAAAA10537Z5</t>
  </si>
  <si>
    <t>27AAAAA10538Z5</t>
  </si>
  <si>
    <t>27AAAAA10539Z5</t>
  </si>
  <si>
    <t>27AAAAA10540Z5</t>
  </si>
  <si>
    <t>27AAAAA10541Z5</t>
  </si>
  <si>
    <t>27AAAAA10542Z5</t>
  </si>
  <si>
    <t>27AAAAA10543Z5</t>
  </si>
  <si>
    <t>27AAAAA10544Z5</t>
  </si>
  <si>
    <t>27AAAAA10545Z5</t>
  </si>
  <si>
    <t>27AAAAA10546Z5</t>
  </si>
  <si>
    <t>27AAAAA10547Z5</t>
  </si>
  <si>
    <t>27AAAAA10548Z5</t>
  </si>
  <si>
    <t>27AAAAA10549Z5</t>
  </si>
  <si>
    <t>27AAAAA10550Z5</t>
  </si>
  <si>
    <t>27AAAAA10551Z5</t>
  </si>
  <si>
    <t>27AAAAA10552Z5</t>
  </si>
  <si>
    <t>27AAAAA10553Z5</t>
  </si>
  <si>
    <t>27AAAAA10554Z5</t>
  </si>
  <si>
    <t>27AAAAA10555Z5</t>
  </si>
  <si>
    <t>27AAAAA10556Z5</t>
  </si>
  <si>
    <t>27AAAAA10557Z5</t>
  </si>
  <si>
    <t>27AAAAA10558Z5</t>
  </si>
  <si>
    <t>27AAAAA10559Z5</t>
  </si>
  <si>
    <t>27AAAAA10560Z5</t>
  </si>
  <si>
    <t>27AAAAA10561Z5</t>
  </si>
  <si>
    <t>27AAAAA10562Z5</t>
  </si>
  <si>
    <t>27AAAAA10563Z5</t>
  </si>
  <si>
    <t>27AAAAA10564Z5</t>
  </si>
  <si>
    <t>27AAAAA10565Z5</t>
  </si>
  <si>
    <t>27AAAAA10566Z5</t>
  </si>
  <si>
    <t>27AAAAA10567Z5</t>
  </si>
  <si>
    <t>27AAAAA10568Z5</t>
  </si>
  <si>
    <t>27AAAAA10569Z5</t>
  </si>
  <si>
    <t>27AAAAA10570Z5</t>
  </si>
  <si>
    <t>27AAAAA10571Z5</t>
  </si>
  <si>
    <t>27AAAAA10572Z5</t>
  </si>
  <si>
    <t>27AAAAA10573Z5</t>
  </si>
  <si>
    <t>27AAAAA10574Z5</t>
  </si>
  <si>
    <t>27AAAAA10575Z5</t>
  </si>
  <si>
    <t>27AAAAA10576Z5</t>
  </si>
  <si>
    <t>27AAAAA10577Z5</t>
  </si>
  <si>
    <t>27AAAAA10578Z5</t>
  </si>
  <si>
    <t>27AAAAA10579Z5</t>
  </si>
  <si>
    <t>27AAAAA10580Z5</t>
  </si>
  <si>
    <t>27AAAAA10581Z5</t>
  </si>
  <si>
    <t>27AAAAA10582Z5</t>
  </si>
  <si>
    <t>27AAAAA10583Z5</t>
  </si>
  <si>
    <t>27AAAAA10584Z5</t>
  </si>
  <si>
    <t>27AAAAA10585Z5</t>
  </si>
  <si>
    <t>27AAAAA10586Z5</t>
  </si>
  <si>
    <t>27AAAAA10587Z5</t>
  </si>
  <si>
    <t>27AAAAA10588Z5</t>
  </si>
  <si>
    <t>27AAAAA10589Z5</t>
  </si>
  <si>
    <t>27AAAAA10590Z5</t>
  </si>
  <si>
    <t>27AAAAA10591Z5</t>
  </si>
  <si>
    <t>27AAAAA10592Z5</t>
  </si>
  <si>
    <t>27AAAAA10593Z5</t>
  </si>
  <si>
    <t>27AAAAA10594Z5</t>
  </si>
  <si>
    <t>27AAAAA10595Z5</t>
  </si>
  <si>
    <t>27AAAAA10596Z5</t>
  </si>
  <si>
    <t>27AAAAA10597Z5</t>
  </si>
  <si>
    <t>27AAAAA10598Z5</t>
  </si>
  <si>
    <t>27AAAAA10599Z5</t>
  </si>
  <si>
    <t>27AAAAA10600Z5</t>
  </si>
  <si>
    <t>27AAAAA10601Z5</t>
  </si>
  <si>
    <t>27AAAAA10602Z5</t>
  </si>
  <si>
    <t>27AAAAA10603Z5</t>
  </si>
  <si>
    <t>27AAAAA10604Z5</t>
  </si>
  <si>
    <t>27AAAAA10605Z5</t>
  </si>
  <si>
    <t>27AAAAA10606Z5</t>
  </si>
  <si>
    <t>27AAAAA10607Z5</t>
  </si>
  <si>
    <t>27AAAAA10608Z5</t>
  </si>
  <si>
    <t>27AAAAA10609Z5</t>
  </si>
  <si>
    <t>27AAAAA10610Z5</t>
  </si>
  <si>
    <t>27AAAAA10611Z5</t>
  </si>
  <si>
    <t>27AAAAA10612Z5</t>
  </si>
  <si>
    <t>27AAAAA10613Z5</t>
  </si>
  <si>
    <t>27AAAAA10614Z5</t>
  </si>
  <si>
    <t>27AAAAA10615Z5</t>
  </si>
  <si>
    <t>27AAAAA10616Z5</t>
  </si>
  <si>
    <t>27AAAAA10617Z5</t>
  </si>
  <si>
    <t>27AAAAA10618Z5</t>
  </si>
  <si>
    <t>27AAAAA10619Z5</t>
  </si>
  <si>
    <t>27AAAAA10620Z5</t>
  </si>
  <si>
    <t>27AAAAA10621Z5</t>
  </si>
  <si>
    <t>27AAAAA10622Z5</t>
  </si>
  <si>
    <t>27AAAAA10623Z5</t>
  </si>
  <si>
    <t>27AAAAA10624Z5</t>
  </si>
  <si>
    <t>27AAAAA10625Z5</t>
  </si>
  <si>
    <t>27AAAAA10626Z5</t>
  </si>
  <si>
    <t>27AAAAA10627Z5</t>
  </si>
  <si>
    <t>27AAAAA10628Z5</t>
  </si>
  <si>
    <t>27AAAAA10629Z5</t>
  </si>
  <si>
    <t>27AAAAA10630Z5</t>
  </si>
  <si>
    <t>27AAAAA10631Z5</t>
  </si>
  <si>
    <t>27AAAAA10632Z5</t>
  </si>
  <si>
    <t>27AAAAA10633Z5</t>
  </si>
  <si>
    <t>27AAAAA10634Z5</t>
  </si>
  <si>
    <t>27AAAAA10635Z5</t>
  </si>
  <si>
    <t>27AAAAA10636Z5</t>
  </si>
  <si>
    <t>27AAAAA10637Z5</t>
  </si>
  <si>
    <t>27AAAAA10638Z5</t>
  </si>
  <si>
    <t>27AAAAA10639Z5</t>
  </si>
  <si>
    <t>27AAAAA10640Z5</t>
  </si>
  <si>
    <t>27AAAAA10641Z5</t>
  </si>
  <si>
    <t>27AAAAA10642Z5</t>
  </si>
  <si>
    <t>27AAAAA10643Z5</t>
  </si>
  <si>
    <t>27AAAAA10644Z5</t>
  </si>
  <si>
    <t>27AAAAA10645Z5</t>
  </si>
  <si>
    <t>27AAAAA10646Z5</t>
  </si>
  <si>
    <t>27AAAAA10647Z5</t>
  </si>
  <si>
    <t>27AAAAA10648Z5</t>
  </si>
  <si>
    <t>27AAAAA10649Z5</t>
  </si>
  <si>
    <t>27AAAAA10650Z5</t>
  </si>
  <si>
    <t>27AAAAA10651Z5</t>
  </si>
  <si>
    <t>27AAAAA10652Z5</t>
  </si>
  <si>
    <t>27AAAAA10653Z5</t>
  </si>
  <si>
    <t>27AAAAA10654Z5</t>
  </si>
  <si>
    <t>27AAAAA10655Z5</t>
  </si>
  <si>
    <t>27AAAAA10656Z5</t>
  </si>
  <si>
    <t>27AAAAA10657Z5</t>
  </si>
  <si>
    <t>27AAAAA10658Z5</t>
  </si>
  <si>
    <t>27AAAAA10659Z5</t>
  </si>
  <si>
    <t>27AAAAA10660Z5</t>
  </si>
  <si>
    <t>27AAAAA10661Z5</t>
  </si>
  <si>
    <t>27AAAAA10662Z5</t>
  </si>
  <si>
    <t>27AAAAA10663Z5</t>
  </si>
  <si>
    <t>27AAAAA10664Z5</t>
  </si>
  <si>
    <t>27AAAAA10665Z5</t>
  </si>
  <si>
    <t>27AAAAA10666Z5</t>
  </si>
  <si>
    <t>27AAAAA10667Z5</t>
  </si>
  <si>
    <t>27AAAAA10668Z5</t>
  </si>
  <si>
    <t>27AAAAA10669Z5</t>
  </si>
  <si>
    <t>27AAAAA10670Z5</t>
  </si>
  <si>
    <t>27AAAAA10671Z5</t>
  </si>
  <si>
    <t>27AAAAA10672Z5</t>
  </si>
  <si>
    <t>27AAAAA10673Z5</t>
  </si>
  <si>
    <t>27AAAAA10674Z5</t>
  </si>
  <si>
    <t>27AAAAA10675Z5</t>
  </si>
  <si>
    <t>27AAAAA10676Z5</t>
  </si>
  <si>
    <t>27AAAAA10677Z5</t>
  </si>
  <si>
    <t>27AAAAA10678Z5</t>
  </si>
  <si>
    <t>27AAAAA10679Z5</t>
  </si>
  <si>
    <t>27AAAAA10680Z5</t>
  </si>
  <si>
    <t>27AAAAA10681Z5</t>
  </si>
  <si>
    <t>27AAAAA10682Z5</t>
  </si>
  <si>
    <t>27AAAAA10683Z5</t>
  </si>
  <si>
    <t>27AAAAA10684Z5</t>
  </si>
  <si>
    <t>27AAAAA10685Z5</t>
  </si>
  <si>
    <t>27AAAAA10686Z5</t>
  </si>
  <si>
    <t>27AAAAA10687Z5</t>
  </si>
  <si>
    <t>27AAAAA10688Z5</t>
  </si>
  <si>
    <t>27AAAAA10689Z5</t>
  </si>
  <si>
    <t>27AAAAA10690Z5</t>
  </si>
  <si>
    <t>27AAAAA10691Z5</t>
  </si>
  <si>
    <t>27AAAAA10692Z5</t>
  </si>
  <si>
    <t>27AAAAA10693Z5</t>
  </si>
  <si>
    <t>27AAAAA10694Z5</t>
  </si>
  <si>
    <t>27AAAAA10695Z5</t>
  </si>
  <si>
    <t>27AAAAA10696Z5</t>
  </si>
  <si>
    <t>27AAAAA10697Z5</t>
  </si>
  <si>
    <t>27AAAAA10698Z5</t>
  </si>
  <si>
    <t>27AAAAA10699Z5</t>
  </si>
  <si>
    <t>27AAAAA10700Z5</t>
  </si>
  <si>
    <t>27AAAAA10701Z5</t>
  </si>
  <si>
    <t>27AAAAA10702Z5</t>
  </si>
  <si>
    <t>27AAAAA10703Z5</t>
  </si>
  <si>
    <t>27AAAAA10704Z5</t>
  </si>
  <si>
    <t>27AAAAA10705Z5</t>
  </si>
  <si>
    <t>27AAAAA10706Z5</t>
  </si>
  <si>
    <t>27AAAAA10707Z5</t>
  </si>
  <si>
    <t>27AAAAA10708Z5</t>
  </si>
  <si>
    <t>27AAAAA10709Z5</t>
  </si>
  <si>
    <t>27AAAAA10710Z5</t>
  </si>
  <si>
    <t>27AAAAA10711Z5</t>
  </si>
  <si>
    <t>27AAAAA10712Z5</t>
  </si>
  <si>
    <t>27AAAAA10713Z5</t>
  </si>
  <si>
    <t>27AAAAA10714Z5</t>
  </si>
  <si>
    <t>27AAAAA10715Z5</t>
  </si>
  <si>
    <t>27AAAAA10716Z5</t>
  </si>
  <si>
    <t>27AAAAA10717Z5</t>
  </si>
  <si>
    <t>27AAAAA10718Z5</t>
  </si>
  <si>
    <t>27AAAAA10719Z5</t>
  </si>
  <si>
    <t>27AAAAA10720Z5</t>
  </si>
  <si>
    <t>27AAAAA10721Z5</t>
  </si>
  <si>
    <t>27AAAAA10722Z5</t>
  </si>
  <si>
    <t>27AAAAA10723Z5</t>
  </si>
  <si>
    <t>27AAAAA10724Z5</t>
  </si>
  <si>
    <t>27AAAAA10725Z5</t>
  </si>
  <si>
    <t>27AAAAA10726Z5</t>
  </si>
  <si>
    <t>27AAAAA10727Z5</t>
  </si>
  <si>
    <t>27AAAAA10728Z5</t>
  </si>
  <si>
    <t>27AAAAA10729Z5</t>
  </si>
  <si>
    <t>27AAAAA10730Z5</t>
  </si>
  <si>
    <t>27AAAAA10731Z5</t>
  </si>
  <si>
    <t>27AAAAA10732Z5</t>
  </si>
  <si>
    <t>27AAAAA10733Z5</t>
  </si>
  <si>
    <t>27AAAAA10734Z5</t>
  </si>
  <si>
    <t>27AAAAA10735Z5</t>
  </si>
  <si>
    <t>27AAAAA10736Z5</t>
  </si>
  <si>
    <t>27AAAAA10737Z5</t>
  </si>
  <si>
    <t>27AAAAA10738Z5</t>
  </si>
  <si>
    <t>27AAAAA10739Z5</t>
  </si>
  <si>
    <t>27AAAAA10740Z5</t>
  </si>
  <si>
    <t>27AAAAA10741Z5</t>
  </si>
  <si>
    <t>27AAAAA10742Z5</t>
  </si>
  <si>
    <t>27AAAAA10743Z5</t>
  </si>
  <si>
    <t>27AAAAA10744Z5</t>
  </si>
  <si>
    <t>27AAAAA10745Z5</t>
  </si>
  <si>
    <t>27AAAAA10746Z5</t>
  </si>
  <si>
    <t>27AAAAA10747Z5</t>
  </si>
  <si>
    <t>27AAAAA10748Z5</t>
  </si>
  <si>
    <t>27AAAAA10749Z5</t>
  </si>
  <si>
    <t>27AAAAA10750Z5</t>
  </si>
  <si>
    <t>27AAAAA10751Z5</t>
  </si>
  <si>
    <t>27AAAAA10752Z5</t>
  </si>
  <si>
    <t>27AAAAA10753Z5</t>
  </si>
  <si>
    <t>27AAAAA10754Z5</t>
  </si>
  <si>
    <t>27AAAAA10755Z5</t>
  </si>
  <si>
    <t>27AAAAA10756Z5</t>
  </si>
  <si>
    <t>27AAAAA10757Z5</t>
  </si>
  <si>
    <t>27AAAAA10758Z5</t>
  </si>
  <si>
    <t>27AAAAA10759Z5</t>
  </si>
  <si>
    <t>27AAAAA10760Z5</t>
  </si>
  <si>
    <t>27AAAAA10761Z5</t>
  </si>
  <si>
    <t>27AAAAA10762Z5</t>
  </si>
  <si>
    <t>27AAAAA10763Z5</t>
  </si>
  <si>
    <t>27AAAAA10764Z5</t>
  </si>
  <si>
    <t>27AAAAA10765Z5</t>
  </si>
  <si>
    <t>27AAAAA10766Z5</t>
  </si>
  <si>
    <t>27AAAAA10767Z5</t>
  </si>
  <si>
    <t>27AAAAA10768Z5</t>
  </si>
  <si>
    <t>27AAAAA10769Z5</t>
  </si>
  <si>
    <t>27AAAAA10770Z5</t>
  </si>
  <si>
    <t>27AAAAA10771Z5</t>
  </si>
  <si>
    <t>27AAAAA10772Z5</t>
  </si>
  <si>
    <t>27AAAAA10773Z5</t>
  </si>
  <si>
    <t>27AAAAA10774Z5</t>
  </si>
  <si>
    <t>27AAAAA10775Z5</t>
  </si>
  <si>
    <t>27AAAAA10776Z5</t>
  </si>
  <si>
    <t>27AAAAA10777Z5</t>
  </si>
  <si>
    <t>27AAAAA10778Z5</t>
  </si>
  <si>
    <t>27AAAAA10779Z5</t>
  </si>
  <si>
    <t>27AAAAA10780Z5</t>
  </si>
  <si>
    <t>27AAAAA10781Z5</t>
  </si>
  <si>
    <t>27AAAAA10782Z5</t>
  </si>
  <si>
    <t>27AAAAA10783Z5</t>
  </si>
  <si>
    <t>27AAAAA10784Z5</t>
  </si>
  <si>
    <t>27AAAAA10785Z5</t>
  </si>
  <si>
    <t>27AAAAA10786Z5</t>
  </si>
  <si>
    <t>27AAAAA10787Z5</t>
  </si>
  <si>
    <t>27AAAAA10788Z5</t>
  </si>
  <si>
    <t>27AAAAA10789Z5</t>
  </si>
  <si>
    <t>27AAAAA10790Z5</t>
  </si>
  <si>
    <t>27AAAAA10791Z5</t>
  </si>
  <si>
    <t>27AAAAA10792Z5</t>
  </si>
  <si>
    <t>27AAAAA10793Z5</t>
  </si>
  <si>
    <t>27AAAAA10794Z5</t>
  </si>
  <si>
    <t>27AAAAA10795Z5</t>
  </si>
  <si>
    <t>27AAAAA10796Z5</t>
  </si>
  <si>
    <t>27AAAAA10797Z5</t>
  </si>
  <si>
    <t>27AAAAA10798Z5</t>
  </si>
  <si>
    <t>27AAAAA10799Z5</t>
  </si>
  <si>
    <t>27AAAAA10800Z5</t>
  </si>
  <si>
    <t>27AAAAA10801Z5</t>
  </si>
  <si>
    <t>27AAAAA10802Z5</t>
  </si>
  <si>
    <t>27AAAAA10803Z5</t>
  </si>
  <si>
    <t>27AAAAA10804Z5</t>
  </si>
  <si>
    <t>27AAAAA10805Z5</t>
  </si>
  <si>
    <t>27AAAAA10806Z5</t>
  </si>
  <si>
    <t>27AAAAA10807Z5</t>
  </si>
  <si>
    <t>27AAAAA10808Z5</t>
  </si>
  <si>
    <t>27AAAAA10809Z5</t>
  </si>
  <si>
    <t>27AAAAA10810Z5</t>
  </si>
  <si>
    <t>27AAAAA10811Z5</t>
  </si>
  <si>
    <t>27AAAAA10812Z5</t>
  </si>
  <si>
    <t>27AAAAA10813Z5</t>
  </si>
  <si>
    <t>27AAAAA10814Z5</t>
  </si>
  <si>
    <t>27AAAAA10815Z5</t>
  </si>
  <si>
    <t>27AAAAA10816Z5</t>
  </si>
  <si>
    <t>27AAAAA10817Z5</t>
  </si>
  <si>
    <t>27AAAAA10818Z5</t>
  </si>
  <si>
    <t>27AAAAA10819Z5</t>
  </si>
  <si>
    <t>27AAAAA10820Z5</t>
  </si>
  <si>
    <t>27AAAAA10821Z5</t>
  </si>
  <si>
    <t>27AAAAA10822Z5</t>
  </si>
  <si>
    <t>27AAAAA10823Z5</t>
  </si>
  <si>
    <t>27AAAAA10824Z5</t>
  </si>
  <si>
    <t>27AAAAA10825Z5</t>
  </si>
  <si>
    <t>27AAAAA10826Z5</t>
  </si>
  <si>
    <t>27AAAAA10827Z5</t>
  </si>
  <si>
    <t>27AAAAA10828Z5</t>
  </si>
  <si>
    <t>27AAAAA10829Z5</t>
  </si>
  <si>
    <t>27AAAAA10830Z5</t>
  </si>
  <si>
    <t>27AAAAA10831Z5</t>
  </si>
  <si>
    <t>27AAAAA10832Z5</t>
  </si>
  <si>
    <t>27AAAAA10833Z5</t>
  </si>
  <si>
    <t>27AAAAA10834Z5</t>
  </si>
  <si>
    <t>27AAAAA10835Z5</t>
  </si>
  <si>
    <t>27AAAAA10836Z5</t>
  </si>
  <si>
    <t>27AAAAA10837Z5</t>
  </si>
  <si>
    <t>27AAAAA10838Z5</t>
  </si>
  <si>
    <t>27AAAAA10839Z5</t>
  </si>
  <si>
    <t>27AAAAA10840Z5</t>
  </si>
  <si>
    <t>27AAAAA10841Z5</t>
  </si>
  <si>
    <t>27AAAAA10842Z5</t>
  </si>
  <si>
    <t>27AAAAA10843Z5</t>
  </si>
  <si>
    <t>27AAAAA10844Z5</t>
  </si>
  <si>
    <t>27AAAAA10845Z5</t>
  </si>
  <si>
    <t>27AAAAA10846Z5</t>
  </si>
  <si>
    <t>27AAAAA10847Z5</t>
  </si>
  <si>
    <t>27AAAAA10848Z5</t>
  </si>
  <si>
    <t>27AAAAA10849Z5</t>
  </si>
  <si>
    <t>27AAAAA10850Z5</t>
  </si>
  <si>
    <t>27AAAAA10851Z5</t>
  </si>
  <si>
    <t>27AAAAA10852Z5</t>
  </si>
  <si>
    <t>27AAAAA10853Z5</t>
  </si>
  <si>
    <t>27AAAAA10854Z5</t>
  </si>
  <si>
    <t>27AAAAA10855Z5</t>
  </si>
  <si>
    <t>27AAAAA10856Z5</t>
  </si>
  <si>
    <t>27AAAAA10857Z5</t>
  </si>
  <si>
    <t>27AAAAA10858Z5</t>
  </si>
  <si>
    <t>27AAAAA10859Z5</t>
  </si>
  <si>
    <t>27AAAAA10860Z5</t>
  </si>
  <si>
    <t>27AAAAA10861Z5</t>
  </si>
  <si>
    <t>27AAAAA10862Z5</t>
  </si>
  <si>
    <t>27AAAAA10863Z5</t>
  </si>
  <si>
    <t>27AAAAA10864Z5</t>
  </si>
  <si>
    <t>27AAAAA10865Z5</t>
  </si>
  <si>
    <t>27AAAAA10866Z5</t>
  </si>
  <si>
    <t>27AAAAA10867Z5</t>
  </si>
  <si>
    <t>27AAAAA10868Z5</t>
  </si>
  <si>
    <t>27AAAAA10869Z5</t>
  </si>
  <si>
    <t>27AAAAA10870Z5</t>
  </si>
  <si>
    <t>27AAAAA10871Z5</t>
  </si>
  <si>
    <t>27AAAAA10872Z5</t>
  </si>
  <si>
    <t>27AAAAA10873Z5</t>
  </si>
  <si>
    <t>27AAAAA10874Z5</t>
  </si>
  <si>
    <t>27AAAAA10875Z5</t>
  </si>
  <si>
    <t>27AAAAA10876Z5</t>
  </si>
  <si>
    <t>27AAAAA10877Z5</t>
  </si>
  <si>
    <t>27AAAAA10878Z5</t>
  </si>
  <si>
    <t>27AAAAA10879Z5</t>
  </si>
  <si>
    <t>27AAAAA10880Z5</t>
  </si>
  <si>
    <t>27AAAAA10881Z5</t>
  </si>
  <si>
    <t>27AAAAA10882Z5</t>
  </si>
  <si>
    <t>27AAAAA10883Z5</t>
  </si>
  <si>
    <t>27AAAAA10884Z5</t>
  </si>
  <si>
    <t>27AAAAA10885Z5</t>
  </si>
  <si>
    <t>27AAAAA10886Z5</t>
  </si>
  <si>
    <t>27AAAAA10887Z5</t>
  </si>
  <si>
    <t>27AAAAA10888Z5</t>
  </si>
  <si>
    <t>27AAAAA10889Z5</t>
  </si>
  <si>
    <t>27AAAAA10890Z5</t>
  </si>
  <si>
    <t>27AAAAA10891Z5</t>
  </si>
  <si>
    <t>27AAAAA10892Z5</t>
  </si>
  <si>
    <t>27AAAAA10893Z5</t>
  </si>
  <si>
    <t>27AAAAA10894Z5</t>
  </si>
  <si>
    <t>27AAAAA10895Z5</t>
  </si>
  <si>
    <t>27AAAAA10896Z5</t>
  </si>
  <si>
    <t>27AAAAA10897Z5</t>
  </si>
  <si>
    <t>27AAAAA10898Z5</t>
  </si>
  <si>
    <t>27AAAAA10899Z5</t>
  </si>
  <si>
    <t>27AAAAA10900Z5</t>
  </si>
  <si>
    <t>27AAAAA10901Z5</t>
  </si>
  <si>
    <t>27AAAAA10902Z5</t>
  </si>
  <si>
    <t>27AAAAA10903Z5</t>
  </si>
  <si>
    <t>27AAAAA10904Z5</t>
  </si>
  <si>
    <t>27AAAAA10905Z5</t>
  </si>
  <si>
    <t>27AAAAA10906Z5</t>
  </si>
  <si>
    <t>27AAAAA10907Z5</t>
  </si>
  <si>
    <t>27AAAAA10908Z5</t>
  </si>
  <si>
    <t>27AAAAA10909Z5</t>
  </si>
  <si>
    <t>27AAAAA10910Z5</t>
  </si>
  <si>
    <t>27AAAAA10911Z5</t>
  </si>
  <si>
    <t>27AAAAA10912Z5</t>
  </si>
  <si>
    <t>27AAAAA10913Z5</t>
  </si>
  <si>
    <t>27AAAAA10914Z5</t>
  </si>
  <si>
    <t>27AAAAA10915Z5</t>
  </si>
  <si>
    <t>27AAAAA10916Z5</t>
  </si>
  <si>
    <t>27AAAAA10917Z5</t>
  </si>
  <si>
    <t>27AAAAA10918Z5</t>
  </si>
  <si>
    <t>27AAAAA10919Z5</t>
  </si>
  <si>
    <t>27AAAAA10920Z5</t>
  </si>
  <si>
    <t>27AAAAA10921Z5</t>
  </si>
  <si>
    <t>27AAAAA10922Z5</t>
  </si>
  <si>
    <t>27AAAAA10923Z5</t>
  </si>
  <si>
    <t>27AAAAA10924Z5</t>
  </si>
  <si>
    <t>27AAAAA10925Z5</t>
  </si>
  <si>
    <t>27AAAAA10926Z5</t>
  </si>
  <si>
    <t>27AAAAA10927Z5</t>
  </si>
  <si>
    <t>27AAAAA10928Z5</t>
  </si>
  <si>
    <t>27AAAAA10929Z5</t>
  </si>
  <si>
    <t>27AAAAA10930Z5</t>
  </si>
  <si>
    <t>27AAAAA10931Z5</t>
  </si>
  <si>
    <t>27AAAAA10932Z5</t>
  </si>
  <si>
    <t>27AAAAA10933Z5</t>
  </si>
  <si>
    <t>27AAAAA10934Z5</t>
  </si>
  <si>
    <t>27AAAAA10935Z5</t>
  </si>
  <si>
    <t>27AAAAA10936Z5</t>
  </si>
  <si>
    <t>27AAAAA10937Z5</t>
  </si>
  <si>
    <t>27AAAAA10938Z5</t>
  </si>
  <si>
    <t>27AAAAA10939Z5</t>
  </si>
  <si>
    <t>27AAAAA10940Z5</t>
  </si>
  <si>
    <t>27AAAAA10941Z5</t>
  </si>
  <si>
    <t>27AAAAA10942Z5</t>
  </si>
  <si>
    <t>27AAAAA10943Z5</t>
  </si>
  <si>
    <t>27AAAAA10944Z5</t>
  </si>
  <si>
    <t>27AAAAA10945Z5</t>
  </si>
  <si>
    <t>27AAAAA10946Z5</t>
  </si>
  <si>
    <t>27AAAAA10947Z5</t>
  </si>
  <si>
    <t>27AAAAA10948Z5</t>
  </si>
  <si>
    <t>27AAAAA10949Z5</t>
  </si>
  <si>
    <t>27AAAAA10950Z5</t>
  </si>
  <si>
    <t>27AAAAA10951Z5</t>
  </si>
  <si>
    <t>27AAAAA10952Z5</t>
  </si>
  <si>
    <t>27AAAAA10953Z5</t>
  </si>
  <si>
    <t>27AAAAA10954Z5</t>
  </si>
  <si>
    <t>27AAAAA10955Z5</t>
  </si>
  <si>
    <t>27AAAAA10956Z5</t>
  </si>
  <si>
    <t>27AAAAA10957Z5</t>
  </si>
  <si>
    <t>27AAAAA10958Z5</t>
  </si>
  <si>
    <t>27AAAAA10959Z5</t>
  </si>
  <si>
    <t>27AAAAA10960Z5</t>
  </si>
  <si>
    <t>27AAAAA10961Z5</t>
  </si>
  <si>
    <t>27AAAAA10962Z5</t>
  </si>
  <si>
    <t>27AAAAA10963Z5</t>
  </si>
  <si>
    <t>27AAAAA10964Z5</t>
  </si>
  <si>
    <t>27AAAAA10965Z5</t>
  </si>
  <si>
    <t>27AAAAA10966Z5</t>
  </si>
  <si>
    <t>27AAAAA10967Z5</t>
  </si>
  <si>
    <t>27AAAAA10968Z5</t>
  </si>
  <si>
    <t>27AAAAA10969Z5</t>
  </si>
  <si>
    <t>27AAAAA10970Z5</t>
  </si>
  <si>
    <t>27AAAAA10971Z5</t>
  </si>
  <si>
    <t>27AAAAA10972Z5</t>
  </si>
  <si>
    <t>27AAAAA10973Z5</t>
  </si>
  <si>
    <t>27AAAAA10974Z5</t>
  </si>
  <si>
    <t>27AAAAA10975Z5</t>
  </si>
  <si>
    <t>27AAAAA10976Z5</t>
  </si>
  <si>
    <t>27AAAAA10977Z5</t>
  </si>
  <si>
    <t>27AAAAA10978Z5</t>
  </si>
  <si>
    <t>27AAAAA10979Z5</t>
  </si>
  <si>
    <t>27AAAAA10980Z5</t>
  </si>
  <si>
    <t>27AAAAA10981Z5</t>
  </si>
  <si>
    <t>27AAAAA10982Z5</t>
  </si>
  <si>
    <t>27AAAAA10983Z5</t>
  </si>
  <si>
    <t>27AAAAA10984Z5</t>
  </si>
  <si>
    <t>27AAAAA10985Z5</t>
  </si>
  <si>
    <t>27AAAAA10986Z5</t>
  </si>
  <si>
    <t>27AAAAA10987Z5</t>
  </si>
  <si>
    <t>27AAAAA10988Z5</t>
  </si>
  <si>
    <t>27AAAAA10989Z5</t>
  </si>
  <si>
    <t>27AAAAA10990Z5</t>
  </si>
  <si>
    <t>27AAAAA10991Z5</t>
  </si>
  <si>
    <t>27AAAAA10992Z5</t>
  </si>
  <si>
    <t>27AAAAA10993Z5</t>
  </si>
  <si>
    <t>27AAAAA10994Z5</t>
  </si>
  <si>
    <t>27AAAAA10995Z5</t>
  </si>
  <si>
    <t>27AAAAA10996Z5</t>
  </si>
  <si>
    <t>27AAAAA10997Z5</t>
  </si>
  <si>
    <t>27AAAAA10998Z5</t>
  </si>
  <si>
    <t>27AAAAA10999Z5</t>
  </si>
  <si>
    <t>27AAAAA11000Z5</t>
  </si>
  <si>
    <t>27AAAAA11001Z5</t>
  </si>
  <si>
    <t>27AAAAA11002Z5</t>
  </si>
  <si>
    <t>27AAAAA11003Z5</t>
  </si>
  <si>
    <t>27AAAAA11004Z5</t>
  </si>
  <si>
    <t>27AAAAA11005Z5</t>
  </si>
  <si>
    <t>27AAAAA11006Z5</t>
  </si>
  <si>
    <t>27AAAAA11007Z5</t>
  </si>
  <si>
    <t>27AAAAA11008Z5</t>
  </si>
  <si>
    <t>27AAAAA11009Z5</t>
  </si>
  <si>
    <t>27AAAAA11010Z5</t>
  </si>
  <si>
    <t>27AAAAA11011Z5</t>
  </si>
  <si>
    <t>27AAAAA11012Z5</t>
  </si>
  <si>
    <t>27AAAAA11013Z5</t>
  </si>
  <si>
    <t>27AAAAA11014Z5</t>
  </si>
  <si>
    <t>27AAAAA11015Z5</t>
  </si>
  <si>
    <t>27AAAAA11016Z5</t>
  </si>
  <si>
    <t>27AAAAA11017Z5</t>
  </si>
  <si>
    <t>27AAAAA11018Z5</t>
  </si>
  <si>
    <t>27AAAAA11019Z5</t>
  </si>
  <si>
    <t>27AAAAA11020Z5</t>
  </si>
  <si>
    <t>27AAAAA11021Z5</t>
  </si>
  <si>
    <t>27AAAAA11022Z5</t>
  </si>
  <si>
    <t>27AAAAA11023Z5</t>
  </si>
  <si>
    <t>27AAAAA11024Z5</t>
  </si>
  <si>
    <t>27AAAAA11025Z5</t>
  </si>
  <si>
    <t>27AAAAA11026Z5</t>
  </si>
  <si>
    <t>27AAAAA11027Z5</t>
  </si>
  <si>
    <t>27AAAAA11028Z5</t>
  </si>
  <si>
    <t>27AAAAA11029Z5</t>
  </si>
  <si>
    <t>27AAAAA11030Z5</t>
  </si>
  <si>
    <t>27AAAAA11031Z5</t>
  </si>
  <si>
    <t>27AAAAA11032Z5</t>
  </si>
  <si>
    <t>27AAAAA11033Z5</t>
  </si>
  <si>
    <t>27AAAAA11034Z5</t>
  </si>
  <si>
    <t>27AAAAA11035Z5</t>
  </si>
  <si>
    <t>27AAAAA11036Z5</t>
  </si>
  <si>
    <t>27AAAAA11037Z5</t>
  </si>
  <si>
    <t>27AAAAA11038Z5</t>
  </si>
  <si>
    <t>27AAAAA11039Z5</t>
  </si>
  <si>
    <t>27AAAAA11040Z5</t>
  </si>
  <si>
    <t>27AAAAA11041Z5</t>
  </si>
  <si>
    <t>27AAAAA11042Z5</t>
  </si>
  <si>
    <t>27AAAAA11043Z5</t>
  </si>
  <si>
    <t>27AAAAA11044Z5</t>
  </si>
  <si>
    <t>27AAAAA11045Z5</t>
  </si>
  <si>
    <t>27AAAAA11046Z5</t>
  </si>
  <si>
    <t>27AAAAA11047Z5</t>
  </si>
  <si>
    <t>27AAAAA11048Z5</t>
  </si>
  <si>
    <t>27AAAAA11049Z5</t>
  </si>
  <si>
    <t>27AAAAA11050Z5</t>
  </si>
  <si>
    <t>27AAAAA11051Z5</t>
  </si>
  <si>
    <t>27AAAAA11052Z5</t>
  </si>
  <si>
    <t>27AAAAA11053Z5</t>
  </si>
  <si>
    <t>27AAAAA11054Z5</t>
  </si>
  <si>
    <t>27AAAAA11055Z5</t>
  </si>
  <si>
    <t>27AAAAA11056Z5</t>
  </si>
  <si>
    <t>27AAAAA11057Z5</t>
  </si>
  <si>
    <t>27AAAAA11058Z5</t>
  </si>
  <si>
    <t>27AAAAA11059Z5</t>
  </si>
  <si>
    <t>27AAAAA11060Z5</t>
  </si>
  <si>
    <t>27AAAAA11061Z5</t>
  </si>
  <si>
    <t>27AAAAA11062Z5</t>
  </si>
  <si>
    <t>27AAAAA11063Z5</t>
  </si>
  <si>
    <t>27AAAAA11064Z5</t>
  </si>
  <si>
    <t>27AAAAA11065Z5</t>
  </si>
  <si>
    <t>27AAAAA11066Z5</t>
  </si>
  <si>
    <t>27AAAAA11067Z5</t>
  </si>
  <si>
    <t>27AAAAA11068Z5</t>
  </si>
  <si>
    <t>27AAAAA11069Z5</t>
  </si>
  <si>
    <t>27AAAAA11070Z5</t>
  </si>
  <si>
    <t>27AAAAA11071Z5</t>
  </si>
  <si>
    <t>27AAAAA11072Z5</t>
  </si>
  <si>
    <t>27AAAAA11073Z5</t>
  </si>
  <si>
    <t>27AAAAA11074Z5</t>
  </si>
  <si>
    <t>27AAAAA11075Z5</t>
  </si>
  <si>
    <t>27AAAAA11076Z5</t>
  </si>
  <si>
    <t>27AAAAA11077Z5</t>
  </si>
  <si>
    <t>27AAAAA11078Z5</t>
  </si>
  <si>
    <t>27AAAAA11079Z5</t>
  </si>
  <si>
    <t>27AAAAA11080Z5</t>
  </si>
  <si>
    <t>27AAAAA11081Z5</t>
  </si>
  <si>
    <t>27AAAAA11082Z5</t>
  </si>
  <si>
    <t>27AAAAA11083Z5</t>
  </si>
  <si>
    <t>27AAAAA11084Z5</t>
  </si>
  <si>
    <t>27AAAAA11085Z5</t>
  </si>
  <si>
    <t>27AAAAA11086Z5</t>
  </si>
  <si>
    <t>27AAAAA11087Z5</t>
  </si>
  <si>
    <t>27AAAAA11088Z5</t>
  </si>
  <si>
    <t>27AAAAA11089Z5</t>
  </si>
  <si>
    <t>27AAAAA11090Z5</t>
  </si>
  <si>
    <t>27AAAAA11091Z5</t>
  </si>
  <si>
    <t>27AAAAA11092Z5</t>
  </si>
  <si>
    <t>27AAAAA11093Z5</t>
  </si>
  <si>
    <t>27AAAAA11094Z5</t>
  </si>
  <si>
    <t>27AAAAA11095Z5</t>
  </si>
  <si>
    <t>27AAAAA11096Z5</t>
  </si>
  <si>
    <t>27AAAAA11097Z5</t>
  </si>
  <si>
    <t>27AAAAA11098Z5</t>
  </si>
  <si>
    <t>27AAAAA11099Z5</t>
  </si>
  <si>
    <t>27AAAAA11100Z5</t>
  </si>
  <si>
    <t>27AAAAA11101Z5</t>
  </si>
  <si>
    <t>27AAAAA11102Z5</t>
  </si>
  <si>
    <t>27AAAAA11103Z5</t>
  </si>
  <si>
    <t>27AAAAA11104Z5</t>
  </si>
  <si>
    <t>27AAAAA11105Z5</t>
  </si>
  <si>
    <t>27AAAAA11106Z5</t>
  </si>
  <si>
    <t>27AAAAA11107Z5</t>
  </si>
  <si>
    <t>27AAAAA11108Z5</t>
  </si>
  <si>
    <t>27AAAAA11109Z5</t>
  </si>
  <si>
    <t>27AAAAA11110Z5</t>
  </si>
  <si>
    <t>27AAAAA11111Z5</t>
  </si>
  <si>
    <t>27AAAAA11112Z5</t>
  </si>
  <si>
    <t>27AAAAA11113Z5</t>
  </si>
  <si>
    <t>27AAAAA11114Z5</t>
  </si>
  <si>
    <t>27AAAAA11115Z5</t>
  </si>
  <si>
    <t>27AAAAA11116Z5</t>
  </si>
  <si>
    <t>27AAAAA11117Z5</t>
  </si>
  <si>
    <t>27AAAAA11118Z5</t>
  </si>
  <si>
    <t>27AAAAA11119Z5</t>
  </si>
  <si>
    <t>27AAAAA11120Z5</t>
  </si>
  <si>
    <t>27AAAAA11121Z5</t>
  </si>
  <si>
    <t>27AAAAA11122Z5</t>
  </si>
  <si>
    <t>27AAAAA11123Z5</t>
  </si>
  <si>
    <t>27AAAAA11124Z5</t>
  </si>
  <si>
    <t>27AAAAA11125Z5</t>
  </si>
  <si>
    <t>27AAAAA11126Z5</t>
  </si>
  <si>
    <t>27AAAAA11127Z5</t>
  </si>
  <si>
    <t>27AAAAA11128Z5</t>
  </si>
  <si>
    <t>27AAAAA11129Z5</t>
  </si>
  <si>
    <t>27AAAAA11130Z5</t>
  </si>
  <si>
    <t>27AAAAA11131Z5</t>
  </si>
  <si>
    <t>27AAAAA11132Z5</t>
  </si>
  <si>
    <t>27AAAAA11133Z5</t>
  </si>
  <si>
    <t>27AAAAA11134Z5</t>
  </si>
  <si>
    <t>27AAAAA11135Z5</t>
  </si>
  <si>
    <t>27AAAAA11136Z5</t>
  </si>
  <si>
    <t>27AAAAA11137Z5</t>
  </si>
  <si>
    <t>27AAAAA11138Z5</t>
  </si>
  <si>
    <t>27AAAAA11139Z5</t>
  </si>
  <si>
    <t>27AAAAA11140Z5</t>
  </si>
  <si>
    <t>27AAAAA11141Z5</t>
  </si>
  <si>
    <t>27AAAAA11142Z5</t>
  </si>
  <si>
    <t>27AAAAA11143Z5</t>
  </si>
  <si>
    <t>27AAAAA11144Z5</t>
  </si>
  <si>
    <t>27AAAAA11145Z5</t>
  </si>
  <si>
    <t>27AAAAA11146Z5</t>
  </si>
  <si>
    <t>27AAAAA11147Z5</t>
  </si>
  <si>
    <t>27AAAAA11148Z5</t>
  </si>
  <si>
    <t>27AAAAA11149Z5</t>
  </si>
  <si>
    <t>27AAAAA11150Z5</t>
  </si>
  <si>
    <t>27AAAAA11151Z5</t>
  </si>
  <si>
    <t>27AAAAA11152Z5</t>
  </si>
  <si>
    <t>27AAAAA11153Z5</t>
  </si>
  <si>
    <t>27AAAAA11154Z5</t>
  </si>
  <si>
    <t>27AAAAA11155Z5</t>
  </si>
  <si>
    <t>27AAAAA11156Z5</t>
  </si>
  <si>
    <t>27AAAAA11157Z5</t>
  </si>
  <si>
    <t>27AAAAA11158Z5</t>
  </si>
  <si>
    <t>27AAAAA11159Z5</t>
  </si>
  <si>
    <t>27AAAAA11160Z5</t>
  </si>
  <si>
    <t>27AAAAA11161Z5</t>
  </si>
  <si>
    <t>27AAAAA11162Z5</t>
  </si>
  <si>
    <t>27AAAAA11163Z5</t>
  </si>
  <si>
    <t>27AAAAA11164Z5</t>
  </si>
  <si>
    <t>27AAAAA11165Z5</t>
  </si>
  <si>
    <t>27AAAAA11166Z5</t>
  </si>
  <si>
    <t>27AAAAA11167Z5</t>
  </si>
  <si>
    <t>27AAAAA11168Z5</t>
  </si>
  <si>
    <t>27AAAAA11169Z5</t>
  </si>
  <si>
    <t>27AAAAA11170Z5</t>
  </si>
  <si>
    <t>27AAAAA11171Z5</t>
  </si>
  <si>
    <t>27AAAAA11172Z5</t>
  </si>
  <si>
    <t>27AAAAA11173Z5</t>
  </si>
  <si>
    <t>27AAAAA11174Z5</t>
  </si>
  <si>
    <t>27AAAAA11175Z5</t>
  </si>
  <si>
    <t>27AAAAA11176Z5</t>
  </si>
  <si>
    <t>27AAAAA11177Z5</t>
  </si>
  <si>
    <t>27AAAAA11178Z5</t>
  </si>
  <si>
    <t>27AAAAA11179Z5</t>
  </si>
  <si>
    <t>27AAAAA11180Z5</t>
  </si>
  <si>
    <t>27AAAAA11181Z5</t>
  </si>
  <si>
    <t>27AAAAA11182Z5</t>
  </si>
  <si>
    <t>27AAAAA11183Z5</t>
  </si>
  <si>
    <t>27AAAAA11184Z5</t>
  </si>
  <si>
    <t>27AAAAA11185Z5</t>
  </si>
  <si>
    <t>27AAAAA11186Z5</t>
  </si>
  <si>
    <t>27AAAAA11187Z5</t>
  </si>
  <si>
    <t>27AAAAA11188Z5</t>
  </si>
  <si>
    <t>27AAAAA11189Z5</t>
  </si>
  <si>
    <t>27AAAAA11190Z5</t>
  </si>
  <si>
    <t>27AAAAA11191Z5</t>
  </si>
  <si>
    <t>27AAAAA11192Z5</t>
  </si>
  <si>
    <t>27AAAAA11193Z5</t>
  </si>
  <si>
    <t>27AAAAA11194Z5</t>
  </si>
  <si>
    <t>27AAAAA11195Z5</t>
  </si>
  <si>
    <t>27AAAAA11196Z5</t>
  </si>
  <si>
    <t>27AAAAA11197Z5</t>
  </si>
  <si>
    <t>27AAAAA11198Z5</t>
  </si>
  <si>
    <t>27AAAAA11199Z5</t>
  </si>
  <si>
    <t>27AAAAA11200Z5</t>
  </si>
  <si>
    <t>27AAAAA11201Z5</t>
  </si>
  <si>
    <t>27AAAAA11202Z5</t>
  </si>
  <si>
    <t>27AAAAA11203Z5</t>
  </si>
  <si>
    <t>27AAAAA11204Z5</t>
  </si>
  <si>
    <t>27AAAAA11205Z5</t>
  </si>
  <si>
    <t>27AAAAA11206Z5</t>
  </si>
  <si>
    <t>27AAAAA11207Z5</t>
  </si>
  <si>
    <t>27AAAAA11208Z5</t>
  </si>
  <si>
    <t>27AAAAA11209Z5</t>
  </si>
  <si>
    <t>27AAAAA11210Z5</t>
  </si>
  <si>
    <t>27AAAAA11211Z5</t>
  </si>
  <si>
    <t>27AAAAA11212Z5</t>
  </si>
  <si>
    <t>27AAAAA11213Z5</t>
  </si>
  <si>
    <t>27AAAAA11214Z5</t>
  </si>
  <si>
    <t>27AAAAA11215Z5</t>
  </si>
  <si>
    <t>27AAAAA11216Z5</t>
  </si>
  <si>
    <t>27AAAAA11217Z5</t>
  </si>
  <si>
    <t>27AAAAA11218Z5</t>
  </si>
  <si>
    <t>27AAAAA11219Z5</t>
  </si>
  <si>
    <t>27AAAAA11220Z5</t>
  </si>
  <si>
    <t>27AAAAA11221Z5</t>
  </si>
  <si>
    <t>27AAAAA11222Z5</t>
  </si>
  <si>
    <t>27AAAAA11223Z5</t>
  </si>
  <si>
    <t>27AAAAA11224Z5</t>
  </si>
  <si>
    <t>27AAAAA11225Z5</t>
  </si>
  <si>
    <t>27AAAAA11226Z5</t>
  </si>
  <si>
    <t>27AAAAA11227Z5</t>
  </si>
  <si>
    <t>27AAAAA11228Z5</t>
  </si>
  <si>
    <t>27AAAAA11229Z5</t>
  </si>
  <si>
    <t>27AAAAA11230Z5</t>
  </si>
  <si>
    <t>27AAAAA11231Z5</t>
  </si>
  <si>
    <t>27AAAAA11232Z5</t>
  </si>
  <si>
    <t>27AAAAA11233Z5</t>
  </si>
  <si>
    <t>27AAAAA11234Z5</t>
  </si>
  <si>
    <t>27AAAAA11235Z5</t>
  </si>
  <si>
    <t>27AAAAA11236Z5</t>
  </si>
  <si>
    <t>27AAAAA11237Z5</t>
  </si>
  <si>
    <t>27AAAAA11238Z5</t>
  </si>
  <si>
    <t>27AAAAA11239Z5</t>
  </si>
  <si>
    <t>27AAAAA11240Z5</t>
  </si>
  <si>
    <t>27AAAAA11241Z5</t>
  </si>
  <si>
    <t>27AAAAA11242Z5</t>
  </si>
  <si>
    <t>27AAAAA11243Z5</t>
  </si>
  <si>
    <t>27AAAAA11244Z5</t>
  </si>
  <si>
    <t>27AAAAA11245Z5</t>
  </si>
  <si>
    <t>27AAAAA11246Z5</t>
  </si>
  <si>
    <t>27AAAAA11247Z5</t>
  </si>
  <si>
    <t>27AAAAA11248Z5</t>
  </si>
  <si>
    <t>27AAAAA11249Z5</t>
  </si>
  <si>
    <t>27AAAAA11250Z5</t>
  </si>
  <si>
    <t>27AAAAA11251Z5</t>
  </si>
  <si>
    <t>27AAAAA11252Z5</t>
  </si>
  <si>
    <t>27AAAAA11253Z5</t>
  </si>
  <si>
    <t>27AAAAA11254Z5</t>
  </si>
  <si>
    <t>27AAAAA11255Z5</t>
  </si>
  <si>
    <t>27AAAAA11256Z5</t>
  </si>
  <si>
    <t>27AAAAA11257Z5</t>
  </si>
  <si>
    <t>27AAAAA11258Z5</t>
  </si>
  <si>
    <t>27AAAAA11259Z5</t>
  </si>
  <si>
    <t>27AAAAA11260Z5</t>
  </si>
  <si>
    <t>27AAAAA11261Z5</t>
  </si>
  <si>
    <t>27AAAAA11262Z5</t>
  </si>
  <si>
    <t>27AAAAA11263Z5</t>
  </si>
  <si>
    <t>27AAAAA11264Z5</t>
  </si>
  <si>
    <t>27AAAAA11265Z5</t>
  </si>
  <si>
    <t>27AAAAA11266Z5</t>
  </si>
  <si>
    <t>27AAAAA11267Z5</t>
  </si>
  <si>
    <t>27AAAAA11268Z5</t>
  </si>
  <si>
    <t>27AAAAA11269Z5</t>
  </si>
  <si>
    <t>27AAAAA11270Z5</t>
  </si>
  <si>
    <t>27AAAAA11271Z5</t>
  </si>
  <si>
    <t>27AAAAA11272Z5</t>
  </si>
  <si>
    <t>27AAAAA11273Z5</t>
  </si>
  <si>
    <t>27AAAAA11274Z5</t>
  </si>
  <si>
    <t>27AAAAA11275Z5</t>
  </si>
  <si>
    <t>27AAAAA11276Z5</t>
  </si>
  <si>
    <t>27AAAAA11277Z5</t>
  </si>
  <si>
    <t>27AAAAA11278Z5</t>
  </si>
  <si>
    <t>27AAAAA11279Z5</t>
  </si>
  <si>
    <t>27AAAAA11280Z5</t>
  </si>
  <si>
    <t>27AAAAA11281Z5</t>
  </si>
  <si>
    <t>27AAAAA11282Z5</t>
  </si>
  <si>
    <t>27AAAAA11283Z5</t>
  </si>
  <si>
    <t>27AAAAA11284Z5</t>
  </si>
  <si>
    <t>27AAAAA11285Z5</t>
  </si>
  <si>
    <t>27AAAAA11286Z5</t>
  </si>
  <si>
    <t>27AAAAA11287Z5</t>
  </si>
  <si>
    <t>27AAAAA11288Z5</t>
  </si>
  <si>
    <t>27AAAAA11289Z5</t>
  </si>
  <si>
    <t>27AAAAA11290Z5</t>
  </si>
  <si>
    <t>27AAAAA11291Z5</t>
  </si>
  <si>
    <t>27AAAAA11292Z5</t>
  </si>
  <si>
    <t>27AAAAA11293Z5</t>
  </si>
  <si>
    <t>27AAAAA11294Z5</t>
  </si>
  <si>
    <t>27AAAAA11295Z5</t>
  </si>
  <si>
    <t>27AAAAA11296Z5</t>
  </si>
  <si>
    <t>27AAAAA11297Z5</t>
  </si>
  <si>
    <t>27AAAAA11298Z5</t>
  </si>
  <si>
    <t>27AAAAA11299Z5</t>
  </si>
  <si>
    <t>27AAAAA11300Z5</t>
  </si>
  <si>
    <t>27AAAAA11301Z5</t>
  </si>
  <si>
    <t>27AAAAA11302Z5</t>
  </si>
  <si>
    <t>27AAAAA11303Z5</t>
  </si>
  <si>
    <t>27AAAAA11304Z5</t>
  </si>
  <si>
    <t>27AAAAA11305Z5</t>
  </si>
  <si>
    <t>27AAAAA11306Z5</t>
  </si>
  <si>
    <t>27AAAAA11307Z5</t>
  </si>
  <si>
    <t>27AAAAA11308Z5</t>
  </si>
  <si>
    <t>27AAAAA11309Z5</t>
  </si>
  <si>
    <t>27AAAAA11310Z5</t>
  </si>
  <si>
    <t>27AAAAA11311Z5</t>
  </si>
  <si>
    <t>27AAAAA11312Z5</t>
  </si>
  <si>
    <t>27AAAAA11313Z5</t>
  </si>
  <si>
    <t>27AAAAA11314Z5</t>
  </si>
  <si>
    <t>27AAAAA11315Z5</t>
  </si>
  <si>
    <t>27AAAAA11316Z5</t>
  </si>
  <si>
    <t>27AAAAA11317Z5</t>
  </si>
  <si>
    <t>27AAAAA11318Z5</t>
  </si>
  <si>
    <t>27AAAAA11319Z5</t>
  </si>
  <si>
    <t>27AAAAA11320Z5</t>
  </si>
  <si>
    <t>27AAAAA11321Z5</t>
  </si>
  <si>
    <t>27AAAAA11322Z5</t>
  </si>
  <si>
    <t>27AAAAA11323Z5</t>
  </si>
  <si>
    <t>27AAAAA11324Z5</t>
  </si>
  <si>
    <t>27AAAAA11325Z5</t>
  </si>
  <si>
    <t>27AAAAA11326Z5</t>
  </si>
  <si>
    <t>27AAAAA11327Z5</t>
  </si>
  <si>
    <t>27AAAAA11328Z5</t>
  </si>
  <si>
    <t>27AAAAA11329Z5</t>
  </si>
  <si>
    <t>27AAAAA11330Z5</t>
  </si>
  <si>
    <t>27AAAAA11331Z5</t>
  </si>
  <si>
    <t>27AAAAA11332Z5</t>
  </si>
  <si>
    <t>27AAAAA11333Z5</t>
  </si>
  <si>
    <t>27AAAAA11334Z5</t>
  </si>
  <si>
    <t>27AAAAA11335Z5</t>
  </si>
  <si>
    <t>27AAAAA11336Z5</t>
  </si>
  <si>
    <t>27AAAAA11337Z5</t>
  </si>
  <si>
    <t>27AAAAA11338Z5</t>
  </si>
  <si>
    <t>27AAAAA11339Z5</t>
  </si>
  <si>
    <t>27AAAAA11340Z5</t>
  </si>
  <si>
    <t>27AAAAA11341Z5</t>
  </si>
  <si>
    <t>27AAAAA11342Z5</t>
  </si>
  <si>
    <t>27AAAAA11343Z5</t>
  </si>
  <si>
    <t>27AAAAA11344Z5</t>
  </si>
  <si>
    <t>27AAAAA11345Z5</t>
  </si>
  <si>
    <t>27AAAAA11346Z5</t>
  </si>
  <si>
    <t>27AAAAA11347Z5</t>
  </si>
  <si>
    <t>27AAAAA11348Z5</t>
  </si>
  <si>
    <t>27AAAAA11349Z5</t>
  </si>
  <si>
    <t>27AAAAA11350Z5</t>
  </si>
  <si>
    <t>27AAAAA11351Z5</t>
  </si>
  <si>
    <t>27AAAAA11352Z5</t>
  </si>
  <si>
    <t>27AAAAA11353Z5</t>
  </si>
  <si>
    <t>27AAAAA11354Z5</t>
  </si>
  <si>
    <t>27AAAAA11355Z5</t>
  </si>
  <si>
    <t>27AAAAA11356Z5</t>
  </si>
  <si>
    <t>27AAAAA11357Z5</t>
  </si>
  <si>
    <t>27AAAAA11358Z5</t>
  </si>
  <si>
    <t>27AAAAA11359Z5</t>
  </si>
  <si>
    <t>27AAAAA11360Z5</t>
  </si>
  <si>
    <t>27AAAAA11361Z5</t>
  </si>
  <si>
    <t>27AAAAA11362Z5</t>
  </si>
  <si>
    <t>27AAAAA11363Z5</t>
  </si>
  <si>
    <t>27AAAAA11364Z5</t>
  </si>
  <si>
    <t>27AAAAA11365Z5</t>
  </si>
  <si>
    <t>27AAAAA11366Z5</t>
  </si>
  <si>
    <t>27AAAAA11367Z5</t>
  </si>
  <si>
    <t>27AAAAA11368Z5</t>
  </si>
  <si>
    <t>27AAAAA11369Z5</t>
  </si>
  <si>
    <t>27AAAAA11370Z5</t>
  </si>
  <si>
    <t>27AAAAA11371Z5</t>
  </si>
  <si>
    <t>27AAAAA11372Z5</t>
  </si>
  <si>
    <t>27AAAAA11373Z5</t>
  </si>
  <si>
    <t>27AAAAA11374Z5</t>
  </si>
  <si>
    <t>27AAAAA11375Z5</t>
  </si>
  <si>
    <t>27AAAAA11376Z5</t>
  </si>
  <si>
    <t>27AAAAA11377Z5</t>
  </si>
  <si>
    <t>27AAAAA11378Z5</t>
  </si>
  <si>
    <t>27AAAAA11379Z5</t>
  </si>
  <si>
    <t>27AAAAA11380Z5</t>
  </si>
  <si>
    <t>27AAAAA11381Z5</t>
  </si>
  <si>
    <t>27AAAAA11382Z5</t>
  </si>
  <si>
    <t>27AAAAA11383Z5</t>
  </si>
  <si>
    <t>27AAAAA11384Z5</t>
  </si>
  <si>
    <t>27AAAAA11385Z5</t>
  </si>
  <si>
    <t>27AAAAA11386Z5</t>
  </si>
  <si>
    <t>27AAAAA11387Z5</t>
  </si>
  <si>
    <t>27AAAAA11388Z5</t>
  </si>
  <si>
    <t>27AAAAA11389Z5</t>
  </si>
  <si>
    <t>27AAAAA11390Z5</t>
  </si>
  <si>
    <t>27AAAAA11391Z5</t>
  </si>
  <si>
    <t>27AAAAA11392Z5</t>
  </si>
  <si>
    <t>27AAAAA11393Z5</t>
  </si>
  <si>
    <t>27AAAAA11394Z5</t>
  </si>
  <si>
    <t>27AAAAA11395Z5</t>
  </si>
  <si>
    <t>27AAAAA11396Z5</t>
  </si>
  <si>
    <t>27AAAAA11397Z5</t>
  </si>
  <si>
    <t>27AAAAA11398Z5</t>
  </si>
  <si>
    <t>27AAAAA11399Z5</t>
  </si>
  <si>
    <t>27AAAAA11400Z5</t>
  </si>
  <si>
    <t>27AAAAA11401Z5</t>
  </si>
  <si>
    <t>27AAAAA11402Z5</t>
  </si>
  <si>
    <t>27AAAAA11403Z5</t>
  </si>
  <si>
    <t>27AAAAA11404Z5</t>
  </si>
  <si>
    <t>27AAAAA11405Z5</t>
  </si>
  <si>
    <t>27AAAAA11406Z5</t>
  </si>
  <si>
    <t>27AAAAA11407Z5</t>
  </si>
  <si>
    <t>27AAAAA11408Z5</t>
  </si>
  <si>
    <t>27AAAAA11409Z5</t>
  </si>
  <si>
    <t>27AAAAA11410Z5</t>
  </si>
  <si>
    <t>27AAAAA11411Z5</t>
  </si>
  <si>
    <t>27AAAAA11412Z5</t>
  </si>
  <si>
    <t>27AAAAA11413Z5</t>
  </si>
  <si>
    <t>27AAAAA11414Z5</t>
  </si>
  <si>
    <t>27AAAAA11415Z5</t>
  </si>
  <si>
    <t>27AAAAA11416Z5</t>
  </si>
  <si>
    <t>27AAAAA11417Z5</t>
  </si>
  <si>
    <t>27AAAAA11418Z5</t>
  </si>
  <si>
    <t>27AAAAA11419Z5</t>
  </si>
  <si>
    <t>27AAAAA11420Z5</t>
  </si>
  <si>
    <t>27AAAAA11421Z5</t>
  </si>
  <si>
    <t>27AAAAA11422Z5</t>
  </si>
  <si>
    <t>27AAAAA11423Z5</t>
  </si>
  <si>
    <t>27AAAAA11424Z5</t>
  </si>
  <si>
    <t>27AAAAA11425Z5</t>
  </si>
  <si>
    <t>27AAAAA11426Z5</t>
  </si>
  <si>
    <t>27AAAAA11427Z5</t>
  </si>
  <si>
    <t>27AAAAA11428Z5</t>
  </si>
  <si>
    <t>27AAAAA11429Z5</t>
  </si>
  <si>
    <t>27AAAAA11430Z5</t>
  </si>
  <si>
    <t>27AAAAA11431Z5</t>
  </si>
  <si>
    <t>27AAAAA11432Z5</t>
  </si>
  <si>
    <t>27AAAAA11433Z5</t>
  </si>
  <si>
    <t>27AAAAA11434Z5</t>
  </si>
  <si>
    <t>27AAAAA11435Z5</t>
  </si>
  <si>
    <t>27AAAAA11436Z5</t>
  </si>
  <si>
    <t>27AAAAA11437Z5</t>
  </si>
  <si>
    <t>27AAAAA11438Z5</t>
  </si>
  <si>
    <t>27AAAAA11439Z5</t>
  </si>
  <si>
    <t>27AAAAA11440Z5</t>
  </si>
  <si>
    <t>27AAAAA11441Z5</t>
  </si>
  <si>
    <t>27AAAAA11442Z5</t>
  </si>
  <si>
    <t>27AAAAA11443Z5</t>
  </si>
  <si>
    <t>27AAAAA11444Z5</t>
  </si>
  <si>
    <t>27AAAAA11445Z5</t>
  </si>
  <si>
    <t>27AAAAA11446Z5</t>
  </si>
  <si>
    <t>27AAAAA11447Z5</t>
  </si>
  <si>
    <t>27AAAAA11448Z5</t>
  </si>
  <si>
    <t>27AAAAA11449Z5</t>
  </si>
  <si>
    <t>27AAAAA11450Z5</t>
  </si>
  <si>
    <t>27AAAAA11451Z5</t>
  </si>
  <si>
    <t>27AAAAA11452Z5</t>
  </si>
  <si>
    <t>27AAAAA11453Z5</t>
  </si>
  <si>
    <t>27AAAAA11454Z5</t>
  </si>
  <si>
    <t>27AAAAA11455Z5</t>
  </si>
  <si>
    <t>27AAAAA11456Z5</t>
  </si>
  <si>
    <t>27AAAAA11457Z5</t>
  </si>
  <si>
    <t>27AAAAA11458Z5</t>
  </si>
  <si>
    <t>27AAAAA11459Z5</t>
  </si>
  <si>
    <t>27AAAAA11460Z5</t>
  </si>
  <si>
    <t>27AAAAA11461Z5</t>
  </si>
  <si>
    <t>27AAAAA11462Z5</t>
  </si>
  <si>
    <t>27AAAAA11463Z5</t>
  </si>
  <si>
    <t>27AAAAA11464Z5</t>
  </si>
  <si>
    <t>27AAAAA11465Z5</t>
  </si>
  <si>
    <t>27AAAAA11466Z5</t>
  </si>
  <si>
    <t>27AAAAA11467Z5</t>
  </si>
  <si>
    <t>27AAAAA11468Z5</t>
  </si>
  <si>
    <t>27AAAAA11469Z5</t>
  </si>
  <si>
    <t>27AAAAA11470Z5</t>
  </si>
  <si>
    <t>27AAAAA11471Z5</t>
  </si>
  <si>
    <t>27AAAAA11472Z5</t>
  </si>
  <si>
    <t>27AAAAA11473Z5</t>
  </si>
  <si>
    <t>27AAAAA11474Z5</t>
  </si>
  <si>
    <t>27AAAAA11475Z5</t>
  </si>
  <si>
    <t>27AAAAA11476Z5</t>
  </si>
  <si>
    <t>27AAAAA11477Z5</t>
  </si>
  <si>
    <t>27AAAAA11478Z5</t>
  </si>
  <si>
    <t>27AAAAA11479Z5</t>
  </si>
  <si>
    <t>27AAAAA11480Z5</t>
  </si>
  <si>
    <t>27AAAAA11481Z5</t>
  </si>
  <si>
    <t>27AAAAA11482Z5</t>
  </si>
  <si>
    <t>27AAAAA11483Z5</t>
  </si>
  <si>
    <t>27AAAAA11484Z5</t>
  </si>
  <si>
    <t>27AAAAA11485Z5</t>
  </si>
  <si>
    <t>27AAAAA11486Z5</t>
  </si>
  <si>
    <t>27AAAAA11487Z5</t>
  </si>
  <si>
    <t>27AAAAA11488Z5</t>
  </si>
  <si>
    <t>27AAAAA11489Z5</t>
  </si>
  <si>
    <t>27AAAAA11490Z5</t>
  </si>
  <si>
    <t>27AAAAA11491Z5</t>
  </si>
  <si>
    <t>27AAAAA11492Z5</t>
  </si>
  <si>
    <t>27AAAAA11493Z5</t>
  </si>
  <si>
    <t>27AAAAA11494Z5</t>
  </si>
  <si>
    <t>27AAAAA11495Z5</t>
  </si>
  <si>
    <t>27AAAAA11496Z5</t>
  </si>
  <si>
    <t>27AAAAA11497Z5</t>
  </si>
  <si>
    <t>27AAAAA11498Z5</t>
  </si>
  <si>
    <t>27AAAAA11499Z5</t>
  </si>
  <si>
    <t>27AAAAA11500Z5</t>
  </si>
  <si>
    <t>27AAAAA11501Z5</t>
  </si>
  <si>
    <t>27AAAAA11502Z5</t>
  </si>
  <si>
    <t>27AAAAA11503Z5</t>
  </si>
  <si>
    <t>27AAAAA11504Z5</t>
  </si>
  <si>
    <t>27AAAAA11505Z5</t>
  </si>
  <si>
    <t>27AAAAA11506Z5</t>
  </si>
  <si>
    <t>27AAAAA11507Z5</t>
  </si>
  <si>
    <t>27AAAAA11508Z5</t>
  </si>
  <si>
    <t>27AAAAA11509Z5</t>
  </si>
  <si>
    <t>27AAAAA11510Z5</t>
  </si>
  <si>
    <t>27AAAAA11511Z5</t>
  </si>
  <si>
    <t>27AAAAA11512Z5</t>
  </si>
  <si>
    <t>27AAAAA11513Z5</t>
  </si>
  <si>
    <t>27AAAAA11514Z5</t>
  </si>
  <si>
    <t>27AAAAA11515Z5</t>
  </si>
  <si>
    <t>27AAAAA11516Z5</t>
  </si>
  <si>
    <t>27AAAAA11517Z5</t>
  </si>
  <si>
    <t>27AAAAA11518Z5</t>
  </si>
  <si>
    <t>27AAAAA11519Z5</t>
  </si>
  <si>
    <t>27AAAAA11520Z5</t>
  </si>
  <si>
    <t>27AAAAA11521Z5</t>
  </si>
  <si>
    <t>27AAAAA11522Z5</t>
  </si>
  <si>
    <t>27AAAAA11523Z5</t>
  </si>
  <si>
    <t>27AAAAA11524Z5</t>
  </si>
  <si>
    <t>27AAAAA11525Z5</t>
  </si>
  <si>
    <t>27AAAAA11526Z5</t>
  </si>
  <si>
    <t>27AAAAA11527Z5</t>
  </si>
  <si>
    <t>27AAAAA11528Z5</t>
  </si>
  <si>
    <t>27AAAAA11529Z5</t>
  </si>
  <si>
    <t>27AAAAA11530Z5</t>
  </si>
  <si>
    <t>27AAAAA11531Z5</t>
  </si>
  <si>
    <t>27AAAAA11532Z5</t>
  </si>
  <si>
    <t>27AAAAA11533Z5</t>
  </si>
  <si>
    <t>27AAAAA11534Z5</t>
  </si>
  <si>
    <t>27AAAAA11535Z5</t>
  </si>
  <si>
    <t>27AAAAA11536Z5</t>
  </si>
  <si>
    <t>27AAAAA11537Z5</t>
  </si>
  <si>
    <t>27AAAAA11538Z5</t>
  </si>
  <si>
    <t>27AAAAA11539Z5</t>
  </si>
  <si>
    <t>27AAAAA11540Z5</t>
  </si>
  <si>
    <t>27AAAAA11541Z5</t>
  </si>
  <si>
    <t>27AAAAA11542Z5</t>
  </si>
  <si>
    <t>27AAAAA11543Z5</t>
  </si>
  <si>
    <t>27AAAAA11544Z5</t>
  </si>
  <si>
    <t>27AAAAA11545Z5</t>
  </si>
  <si>
    <t>27AAAAA11546Z5</t>
  </si>
  <si>
    <t>27AAAAA11547Z5</t>
  </si>
  <si>
    <t>27AAAAA11548Z5</t>
  </si>
  <si>
    <t>27AAAAA11549Z5</t>
  </si>
  <si>
    <t>27AAAAA11550Z5</t>
  </si>
  <si>
    <t>27AAAAA11551Z5</t>
  </si>
  <si>
    <t>27AAAAA11552Z5</t>
  </si>
  <si>
    <t>27AAAAA11553Z5</t>
  </si>
  <si>
    <t>27AAAAA11554Z5</t>
  </si>
  <si>
    <t>27AAAAA11555Z5</t>
  </si>
  <si>
    <t>27AAAAA11556Z5</t>
  </si>
  <si>
    <t>27AAAAA11557Z5</t>
  </si>
  <si>
    <t>27AAAAA11558Z5</t>
  </si>
  <si>
    <t>27AAAAA11559Z5</t>
  </si>
  <si>
    <t>27AAAAA11560Z5</t>
  </si>
  <si>
    <t>27AAAAA11561Z5</t>
  </si>
  <si>
    <t>27AAAAA11562Z5</t>
  </si>
  <si>
    <t>27AAAAA11563Z5</t>
  </si>
  <si>
    <t>27AAAAA11564Z5</t>
  </si>
  <si>
    <t>27AAAAA11565Z5</t>
  </si>
  <si>
    <t>27AAAAA11566Z5</t>
  </si>
  <si>
    <t>27AAAAA11567Z5</t>
  </si>
  <si>
    <t>27AAAAA11568Z5</t>
  </si>
  <si>
    <t>27AAAAA11569Z5</t>
  </si>
  <si>
    <t>27AAAAA11570Z5</t>
  </si>
  <si>
    <t>27AAAAA11571Z5</t>
  </si>
  <si>
    <t>27AAAAA11572Z5</t>
  </si>
  <si>
    <t>27AAAAA11573Z5</t>
  </si>
  <si>
    <t>27AAAAA11574Z5</t>
  </si>
  <si>
    <t>27AAAAA11575Z5</t>
  </si>
  <si>
    <t>27AAAAA11576Z5</t>
  </si>
  <si>
    <t>27AAAAA11577Z5</t>
  </si>
  <si>
    <t>27AAAAA11578Z5</t>
  </si>
  <si>
    <t>27AAAAA11579Z5</t>
  </si>
  <si>
    <t>27AAAAA11580Z5</t>
  </si>
  <si>
    <t>27AAAAA11581Z5</t>
  </si>
  <si>
    <t>27AAAAA11582Z5</t>
  </si>
  <si>
    <t>27AAAAA11583Z5</t>
  </si>
  <si>
    <t>27AAAAA11584Z5</t>
  </si>
  <si>
    <t>27AAAAA11585Z5</t>
  </si>
  <si>
    <t>27AAAAA11586Z5</t>
  </si>
  <si>
    <t>27AAAAA11587Z5</t>
  </si>
  <si>
    <t>27AAAAA11588Z5</t>
  </si>
  <si>
    <t>27AAAAA11589Z5</t>
  </si>
  <si>
    <t>27AAAAA11590Z5</t>
  </si>
  <si>
    <t>27AAAAA11591Z5</t>
  </si>
  <si>
    <t>27AAAAA11592Z5</t>
  </si>
  <si>
    <t>27AAAAA11593Z5</t>
  </si>
  <si>
    <t>27AAAAA11594Z5</t>
  </si>
  <si>
    <t>27AAAAA11595Z5</t>
  </si>
  <si>
    <t>27AAAAA11596Z5</t>
  </si>
  <si>
    <t>27AAAAA11597Z5</t>
  </si>
  <si>
    <t>27AAAAA11598Z5</t>
  </si>
  <si>
    <t>27AAAAA11599Z5</t>
  </si>
  <si>
    <t>27AAAAA11600Z5</t>
  </si>
  <si>
    <t>27AAAAA11601Z5</t>
  </si>
  <si>
    <t>27AAAAA11602Z5</t>
  </si>
  <si>
    <t>27AAAAA11603Z5</t>
  </si>
  <si>
    <t>27AAAAA11604Z5</t>
  </si>
  <si>
    <t>27AAAAA11605Z5</t>
  </si>
  <si>
    <t>27AAAAA11606Z5</t>
  </si>
  <si>
    <t>27AAAAA11607Z5</t>
  </si>
  <si>
    <t>27AAAAA11608Z5</t>
  </si>
  <si>
    <t>27AAAAA11609Z5</t>
  </si>
  <si>
    <t>27AAAAA11610Z5</t>
  </si>
  <si>
    <t>27AAAAA11611Z5</t>
  </si>
  <si>
    <t>27AAAAA11612Z5</t>
  </si>
  <si>
    <t>27AAAAA11613Z5</t>
  </si>
  <si>
    <t>27AAAAA11614Z5</t>
  </si>
  <si>
    <t>27AAAAA11615Z5</t>
  </si>
  <si>
    <t>27AAAAA11616Z5</t>
  </si>
  <si>
    <t>27AAAAA11617Z5</t>
  </si>
  <si>
    <t>27AAAAA11618Z5</t>
  </si>
  <si>
    <t>27AAAAA11619Z5</t>
  </si>
  <si>
    <t>27AAAAA11620Z5</t>
  </si>
  <si>
    <t>27AAAAA11621Z5</t>
  </si>
  <si>
    <t>27AAAAA11622Z5</t>
  </si>
  <si>
    <t>27AAAAA11623Z5</t>
  </si>
  <si>
    <t>27AAAAA11624Z5</t>
  </si>
  <si>
    <t>27AAAAA11625Z5</t>
  </si>
  <si>
    <t>27AAAAA11626Z5</t>
  </si>
  <si>
    <t>27AAAAA11627Z5</t>
  </si>
  <si>
    <t>27AAAAA11628Z5</t>
  </si>
  <si>
    <t>27AAAAA11629Z5</t>
  </si>
  <si>
    <t>27AAAAA11630Z5</t>
  </si>
  <si>
    <t>27AAAAA11631Z5</t>
  </si>
  <si>
    <t>27AAAAA11632Z5</t>
  </si>
  <si>
    <t>27AAAAA11633Z5</t>
  </si>
  <si>
    <t>27AAAAA11634Z5</t>
  </si>
  <si>
    <t>27AAAAA11635Z5</t>
  </si>
  <si>
    <t>27AAAAA11636Z5</t>
  </si>
  <si>
    <t>27AAAAA11637Z5</t>
  </si>
  <si>
    <t>27AAAAA11638Z5</t>
  </si>
  <si>
    <t>27AAAAA11639Z5</t>
  </si>
  <si>
    <t>27AAAAA11640Z5</t>
  </si>
  <si>
    <t>27AAAAA11641Z5</t>
  </si>
  <si>
    <t>27AAAAA11642Z5</t>
  </si>
  <si>
    <t>27AAAAA11643Z5</t>
  </si>
  <si>
    <t>27AAAAA11644Z5</t>
  </si>
  <si>
    <t>27AAAAA11645Z5</t>
  </si>
  <si>
    <t>27AAAAA11646Z5</t>
  </si>
  <si>
    <t>27AAAAA11647Z5</t>
  </si>
  <si>
    <t>27AAAAA11648Z5</t>
  </si>
  <si>
    <t>27AAAAA11649Z5</t>
  </si>
  <si>
    <t>27AAAAA11650Z5</t>
  </si>
  <si>
    <t>27AAAAA11651Z5</t>
  </si>
  <si>
    <t>27AAAAA11652Z5</t>
  </si>
  <si>
    <t>27AAAAA11653Z5</t>
  </si>
  <si>
    <t>27AAAAA11654Z5</t>
  </si>
  <si>
    <t>27AAAAA11655Z5</t>
  </si>
  <si>
    <t>27AAAAA11656Z5</t>
  </si>
  <si>
    <t>27AAAAA11657Z5</t>
  </si>
  <si>
    <t>27AAAAA11658Z5</t>
  </si>
  <si>
    <t>27AAAAA11659Z5</t>
  </si>
  <si>
    <t>27AAAAA11660Z5</t>
  </si>
  <si>
    <t>27AAAAA11661Z5</t>
  </si>
  <si>
    <t>27AAAAA11662Z5</t>
  </si>
  <si>
    <t>27AAAAA11663Z5</t>
  </si>
  <si>
    <t>27AAAAA11664Z5</t>
  </si>
  <si>
    <t>27AAAAA11665Z5</t>
  </si>
  <si>
    <t>27AAAAA11666Z5</t>
  </si>
  <si>
    <t>27AAAAA11667Z5</t>
  </si>
  <si>
    <t>27AAAAA11668Z5</t>
  </si>
  <si>
    <t>27AAAAA11669Z5</t>
  </si>
  <si>
    <t>27AAAAA11670Z5</t>
  </si>
  <si>
    <t>27AAAAA11671Z5</t>
  </si>
  <si>
    <t>27AAAAA11672Z5</t>
  </si>
  <si>
    <t>27AAAAA11673Z5</t>
  </si>
  <si>
    <t>27AAAAA11674Z5</t>
  </si>
  <si>
    <t>27AAAAA11675Z5</t>
  </si>
  <si>
    <t>27AAAAA11676Z5</t>
  </si>
  <si>
    <t>27AAAAA11677Z5</t>
  </si>
  <si>
    <t>27AAAAA11678Z5</t>
  </si>
  <si>
    <t>27AAAAA11679Z5</t>
  </si>
  <si>
    <t>27AAAAA11680Z5</t>
  </si>
  <si>
    <t>27AAAAA11681Z5</t>
  </si>
  <si>
    <t>27AAAAA11682Z5</t>
  </si>
  <si>
    <t>27AAAAA11683Z5</t>
  </si>
  <si>
    <t>27AAAAA11684Z5</t>
  </si>
  <si>
    <t>27AAAAA11685Z5</t>
  </si>
  <si>
    <t>27AAAAA11686Z5</t>
  </si>
  <si>
    <t>27AAAAA11687Z5</t>
  </si>
  <si>
    <t>27AAAAA11688Z5</t>
  </si>
  <si>
    <t>27AAAAA11689Z5</t>
  </si>
  <si>
    <t>27AAAAA11690Z5</t>
  </si>
  <si>
    <t>27AAAAA11691Z5</t>
  </si>
  <si>
    <t>27AAAAA11692Z5</t>
  </si>
  <si>
    <t>27AAAAA11693Z5</t>
  </si>
  <si>
    <t>27AAAAA11694Z5</t>
  </si>
  <si>
    <t>27AAAAA11695Z5</t>
  </si>
  <si>
    <t>27AAAAA11696Z5</t>
  </si>
  <si>
    <t>27AAAAA11697Z5</t>
  </si>
  <si>
    <t>27AAAAA11698Z5</t>
  </si>
  <si>
    <t>27AAAAA11699Z5</t>
  </si>
  <si>
    <t>27AAAAA11700Z5</t>
  </si>
  <si>
    <t>27AAAAA11701Z5</t>
  </si>
  <si>
    <t>27AAAAA11702Z5</t>
  </si>
  <si>
    <t>27AAAAA11703Z5</t>
  </si>
  <si>
    <t>27AAAAA11704Z5</t>
  </si>
  <si>
    <t>27AAAAA11705Z5</t>
  </si>
  <si>
    <t>27AAAAA11706Z5</t>
  </si>
  <si>
    <t>27AAAAA11707Z5</t>
  </si>
  <si>
    <t>27AAAAA11708Z5</t>
  </si>
  <si>
    <t>27AAAAA11709Z5</t>
  </si>
  <si>
    <t>27AAAAA11710Z5</t>
  </si>
  <si>
    <t>27AAAAA11711Z5</t>
  </si>
  <si>
    <t>27AAAAA11712Z5</t>
  </si>
  <si>
    <t>27AAAAA11713Z5</t>
  </si>
  <si>
    <t>27AAAAA11714Z5</t>
  </si>
  <si>
    <t>27AAAAA11715Z5</t>
  </si>
  <si>
    <t>27AAAAA11716Z5</t>
  </si>
  <si>
    <t>27AAAAA11717Z5</t>
  </si>
  <si>
    <t>27AAAAA11718Z5</t>
  </si>
  <si>
    <t>27AAAAA11719Z5</t>
  </si>
  <si>
    <t>27AAAAA11720Z5</t>
  </si>
  <si>
    <t>27AAAAA11721Z5</t>
  </si>
  <si>
    <t>27AAAAA11722Z5</t>
  </si>
  <si>
    <t>27AAAAA11723Z5</t>
  </si>
  <si>
    <t>27AAAAA11724Z5</t>
  </si>
  <si>
    <t>27AAAAA11725Z5</t>
  </si>
  <si>
    <t>27AAAAA11726Z5</t>
  </si>
  <si>
    <t>27AAAAA11727Z5</t>
  </si>
  <si>
    <t>27AAAAA11728Z5</t>
  </si>
  <si>
    <t>27AAAAA11729Z5</t>
  </si>
  <si>
    <t>27AAAAA11730Z5</t>
  </si>
  <si>
    <t>27AAAAA11731Z5</t>
  </si>
  <si>
    <t>27AAAAA11732Z5</t>
  </si>
  <si>
    <t>27AAAAA11733Z5</t>
  </si>
  <si>
    <t>27AAAAA11734Z5</t>
  </si>
  <si>
    <t>27AAAAA11735Z5</t>
  </si>
  <si>
    <t>27AAAAA11736Z5</t>
  </si>
  <si>
    <t>27AAAAA11737Z5</t>
  </si>
  <si>
    <t>27AAAAA11738Z5</t>
  </si>
  <si>
    <t>27AAAAA11739Z5</t>
  </si>
  <si>
    <t>27AAAAA11740Z5</t>
  </si>
  <si>
    <t>27AAAAA11741Z5</t>
  </si>
  <si>
    <t>27AAAAA11742Z5</t>
  </si>
  <si>
    <t>27AAAAA11743Z5</t>
  </si>
  <si>
    <t>27AAAAA11744Z5</t>
  </si>
  <si>
    <t>27AAAAA11745Z5</t>
  </si>
  <si>
    <t>27AAAAA11746Z5</t>
  </si>
  <si>
    <t>27AAAAA11747Z5</t>
  </si>
  <si>
    <t>27AAAAA11748Z5</t>
  </si>
  <si>
    <t>27AAAAA11749Z5</t>
  </si>
  <si>
    <t>27AAAAA11750Z5</t>
  </si>
  <si>
    <t>27AAAAA11751Z5</t>
  </si>
  <si>
    <t>27AAAAA11752Z5</t>
  </si>
  <si>
    <t>27AAAAA11753Z5</t>
  </si>
  <si>
    <t>27AAAAA11754Z5</t>
  </si>
  <si>
    <t>27AAAAA11755Z5</t>
  </si>
  <si>
    <t>27AAAAA11756Z5</t>
  </si>
  <si>
    <t>27AAAAA11757Z5</t>
  </si>
  <si>
    <t>27AAAAA11758Z5</t>
  </si>
  <si>
    <t>27AAAAA11759Z5</t>
  </si>
  <si>
    <t>27AAAAA11760Z5</t>
  </si>
  <si>
    <t>27AAAAA11761Z5</t>
  </si>
  <si>
    <t>27AAAAA11762Z5</t>
  </si>
  <si>
    <t>27AAAAA11763Z5</t>
  </si>
  <si>
    <t>27AAAAA11764Z5</t>
  </si>
  <si>
    <t>27AAAAA11765Z5</t>
  </si>
  <si>
    <t>27AAAAA11766Z5</t>
  </si>
  <si>
    <t>27AAAAA11767Z5</t>
  </si>
  <si>
    <t>27AAAAA11768Z5</t>
  </si>
  <si>
    <t>27AAAAA11769Z5</t>
  </si>
  <si>
    <t>27AAAAA11770Z5</t>
  </si>
  <si>
    <t>27AAAAA11771Z5</t>
  </si>
  <si>
    <t>27AAAAA11772Z5</t>
  </si>
  <si>
    <t>27AAAAA11773Z5</t>
  </si>
  <si>
    <t>27AAAAA11774Z5</t>
  </si>
  <si>
    <t>27AAAAA11775Z5</t>
  </si>
  <si>
    <t>27AAAAA11776Z5</t>
  </si>
  <si>
    <t>27AAAAA11777Z5</t>
  </si>
  <si>
    <t>27AAAAA11778Z5</t>
  </si>
  <si>
    <t>27AAAAA11779Z5</t>
  </si>
  <si>
    <t>27AAAAA11780Z5</t>
  </si>
  <si>
    <t>27AAAAA11781Z5</t>
  </si>
  <si>
    <t>27AAAAA11782Z5</t>
  </si>
  <si>
    <t>27AAAAA11783Z5</t>
  </si>
  <si>
    <t>27AAAAA11784Z5</t>
  </si>
  <si>
    <t>27AAAAA11785Z5</t>
  </si>
  <si>
    <t>27AAAAA11786Z5</t>
  </si>
  <si>
    <t>27AAAAA11787Z5</t>
  </si>
  <si>
    <t>27AAAAA11788Z5</t>
  </si>
  <si>
    <t>27AAAAA11789Z5</t>
  </si>
  <si>
    <t>27AAAAA11790Z5</t>
  </si>
  <si>
    <t>27AAAAA11791Z5</t>
  </si>
  <si>
    <t>27AAAAA11792Z5</t>
  </si>
  <si>
    <t>27AAAAA11793Z5</t>
  </si>
  <si>
    <t>27AAAAA11794Z5</t>
  </si>
  <si>
    <t>27AAAAA11795Z5</t>
  </si>
  <si>
    <t>27AAAAA11796Z5</t>
  </si>
  <si>
    <t>27AAAAA11797Z5</t>
  </si>
  <si>
    <t>27AAAAA11798Z5</t>
  </si>
  <si>
    <t>27AAAAA11799Z5</t>
  </si>
  <si>
    <t>27AAAAA11800Z5</t>
  </si>
  <si>
    <t>27AAAAA11801Z5</t>
  </si>
  <si>
    <t>27AAAAA11802Z5</t>
  </si>
  <si>
    <t>27AAAAA11803Z5</t>
  </si>
  <si>
    <t>27AAAAA11804Z5</t>
  </si>
  <si>
    <t>27AAAAA11805Z5</t>
  </si>
  <si>
    <t>27AAAAA11806Z5</t>
  </si>
  <si>
    <t>27AAAAA11807Z5</t>
  </si>
  <si>
    <t>27AAAAA11808Z5</t>
  </si>
  <si>
    <t>27AAAAA11809Z5</t>
  </si>
  <si>
    <t>27AAAAA11810Z5</t>
  </si>
  <si>
    <t>27AAAAA11811Z5</t>
  </si>
  <si>
    <t>27AAAAA11812Z5</t>
  </si>
  <si>
    <t>27AAAAA11813Z5</t>
  </si>
  <si>
    <t>27AAAAA11814Z5</t>
  </si>
  <si>
    <t>27AAAAA11815Z5</t>
  </si>
  <si>
    <t>27AAAAA11816Z5</t>
  </si>
  <si>
    <t>27AAAAA11817Z5</t>
  </si>
  <si>
    <t>27AAAAA11818Z5</t>
  </si>
  <si>
    <t>27AAAAA11819Z5</t>
  </si>
  <si>
    <t>27AAAAA11820Z5</t>
  </si>
  <si>
    <t>27AAAAA11821Z5</t>
  </si>
  <si>
    <t>27AAAAA11822Z5</t>
  </si>
  <si>
    <t>27AAAAA11823Z5</t>
  </si>
  <si>
    <t>27AAAAA11824Z5</t>
  </si>
  <si>
    <t>27AAAAA11825Z5</t>
  </si>
  <si>
    <t>27AAAAA11826Z5</t>
  </si>
  <si>
    <t>27AAAAA11827Z5</t>
  </si>
  <si>
    <t>27AAAAA11828Z5</t>
  </si>
  <si>
    <t>27AAAAA11829Z5</t>
  </si>
  <si>
    <t>27AAAAA11830Z5</t>
  </si>
  <si>
    <t>27AAAAA11831Z5</t>
  </si>
  <si>
    <t>27AAAAA11832Z5</t>
  </si>
  <si>
    <t>27AAAAA11833Z5</t>
  </si>
  <si>
    <t>27AAAAA11834Z5</t>
  </si>
  <si>
    <t>27AAAAA11835Z5</t>
  </si>
  <si>
    <t>27AAAAA11836Z5</t>
  </si>
  <si>
    <t>27AAAAA11837Z5</t>
  </si>
  <si>
    <t>27AAAAA11838Z5</t>
  </si>
  <si>
    <t>27AAAAA11839Z5</t>
  </si>
  <si>
    <t>27AAAAA11840Z5</t>
  </si>
  <si>
    <t>27AAAAA11841Z5</t>
  </si>
  <si>
    <t>27AAAAA11842Z5</t>
  </si>
  <si>
    <t>27AAAAA11843Z5</t>
  </si>
  <si>
    <t>27AAAAA11844Z5</t>
  </si>
  <si>
    <t>27AAAAA11845Z5</t>
  </si>
  <si>
    <t>27AAAAA11846Z5</t>
  </si>
  <si>
    <t>27AAAAA11847Z5</t>
  </si>
  <si>
    <t>27AAAAA11848Z5</t>
  </si>
  <si>
    <t>27AAAAA11849Z5</t>
  </si>
  <si>
    <t>27AAAAA11850Z5</t>
  </si>
  <si>
    <t>27AAAAA11851Z5</t>
  </si>
  <si>
    <t>27AAAAA11852Z5</t>
  </si>
  <si>
    <t>27AAAAA11853Z5</t>
  </si>
  <si>
    <t>27AAAAA11854Z5</t>
  </si>
  <si>
    <t>27AAAAA11855Z5</t>
  </si>
  <si>
    <t>27AAAAA11856Z5</t>
  </si>
  <si>
    <t>27AAAAA11857Z5</t>
  </si>
  <si>
    <t>27AAAAA11858Z5</t>
  </si>
  <si>
    <t>27AAAAA11859Z5</t>
  </si>
  <si>
    <t>27AAAAA11860Z5</t>
  </si>
  <si>
    <t>27AAAAA11861Z5</t>
  </si>
  <si>
    <t>27AAAAA11862Z5</t>
  </si>
  <si>
    <t>27AAAAA11863Z5</t>
  </si>
  <si>
    <t>27AAAAA11864Z5</t>
  </si>
  <si>
    <t>27AAAAA11865Z5</t>
  </si>
  <si>
    <t>27AAAAA11866Z5</t>
  </si>
  <si>
    <t>27AAAAA11867Z5</t>
  </si>
  <si>
    <t>27AAAAA11868Z5</t>
  </si>
  <si>
    <t>27AAAAA11869Z5</t>
  </si>
  <si>
    <t>27AAAAA11870Z5</t>
  </si>
  <si>
    <t>27AAAAA11871Z5</t>
  </si>
  <si>
    <t>27AAAAA11872Z5</t>
  </si>
  <si>
    <t>27AAAAA11873Z5</t>
  </si>
  <si>
    <t>27AAAAA11874Z5</t>
  </si>
  <si>
    <t>27AAAAA11875Z5</t>
  </si>
  <si>
    <t>27AAAAA11876Z5</t>
  </si>
  <si>
    <t>27AAAAA11877Z5</t>
  </si>
  <si>
    <t>27AAAAA11878Z5</t>
  </si>
  <si>
    <t>27AAAAA11879Z5</t>
  </si>
  <si>
    <t>27AAAAA11880Z5</t>
  </si>
  <si>
    <t>27AAAAA11881Z5</t>
  </si>
  <si>
    <t>27AAAAA11882Z5</t>
  </si>
  <si>
    <t>27AAAAA11883Z5</t>
  </si>
  <si>
    <t>27AAAAA11884Z5</t>
  </si>
  <si>
    <t>27AAAAA11885Z5</t>
  </si>
  <si>
    <t>27AAAAA11886Z5</t>
  </si>
  <si>
    <t>27AAAAA11887Z5</t>
  </si>
  <si>
    <t>27AAAAA11888Z5</t>
  </si>
  <si>
    <t>27AAAAA11889Z5</t>
  </si>
  <si>
    <t>27AAAAA11890Z5</t>
  </si>
  <si>
    <t>27AAAAA11891Z5</t>
  </si>
  <si>
    <t>27AAAAA11892Z5</t>
  </si>
  <si>
    <t>27AAAAA11893Z5</t>
  </si>
  <si>
    <t>27AAAAA11894Z5</t>
  </si>
  <si>
    <t>27AAAAA11895Z5</t>
  </si>
  <si>
    <t>27AAAAA11896Z5</t>
  </si>
  <si>
    <t>27AAAAA11897Z5</t>
  </si>
  <si>
    <t>27AAAAA11898Z5</t>
  </si>
  <si>
    <t>27AAAAA11899Z5</t>
  </si>
  <si>
    <t>27AAAAA11900Z5</t>
  </si>
  <si>
    <t>27AAAAA11901Z5</t>
  </si>
  <si>
    <t>27AAAAA11902Z5</t>
  </si>
  <si>
    <t>27AAAAA11903Z5</t>
  </si>
  <si>
    <t>27AAAAA11904Z5</t>
  </si>
  <si>
    <t>27AAAAA11905Z5</t>
  </si>
  <si>
    <t>27AAAAA11906Z5</t>
  </si>
  <si>
    <t>27AAAAA11907Z5</t>
  </si>
  <si>
    <t>27AAAAA11908Z5</t>
  </si>
  <si>
    <t>27AAAAA11909Z5</t>
  </si>
  <si>
    <t>27AAAAA11910Z5</t>
  </si>
  <si>
    <t>27AAAAA11911Z5</t>
  </si>
  <si>
    <t>27AAAAA11912Z5</t>
  </si>
  <si>
    <t>27AAAAA11913Z5</t>
  </si>
  <si>
    <t>27AAAAA11914Z5</t>
  </si>
  <si>
    <t>27AAAAA11915Z5</t>
  </si>
  <si>
    <t>27AAAAA11916Z5</t>
  </si>
  <si>
    <t>27AAAAA11917Z5</t>
  </si>
  <si>
    <t>27AAAAA11918Z5</t>
  </si>
  <si>
    <t>27AAAAA11919Z5</t>
  </si>
  <si>
    <t>27AAAAA11920Z5</t>
  </si>
  <si>
    <t>27AAAAA11921Z5</t>
  </si>
  <si>
    <t>27AAAAA11922Z5</t>
  </si>
  <si>
    <t>27AAAAA11923Z5</t>
  </si>
  <si>
    <t>27AAAAA11924Z5</t>
  </si>
  <si>
    <t>27AAAAA11925Z5</t>
  </si>
  <si>
    <t>27AAAAA11926Z5</t>
  </si>
  <si>
    <t>27AAAAA11927Z5</t>
  </si>
  <si>
    <t>27AAAAA11928Z5</t>
  </si>
  <si>
    <t>27AAAAA11929Z5</t>
  </si>
  <si>
    <t>27AAAAA11930Z5</t>
  </si>
  <si>
    <t>27AAAAA11931Z5</t>
  </si>
  <si>
    <t>27AAAAA11932Z5</t>
  </si>
  <si>
    <t>27AAAAA11933Z5</t>
  </si>
  <si>
    <t>27AAAAA11934Z5</t>
  </si>
  <si>
    <t>27AAAAA11935Z5</t>
  </si>
  <si>
    <t>27AAAAA11936Z5</t>
  </si>
  <si>
    <t>27AAAAA11937Z5</t>
  </si>
  <si>
    <t>27AAAAA11938Z5</t>
  </si>
  <si>
    <t>27AAAAA11939Z5</t>
  </si>
  <si>
    <t>27AAAAA11940Z5</t>
  </si>
  <si>
    <t>27AAAAA11941Z5</t>
  </si>
  <si>
    <t>27AAAAA11942Z5</t>
  </si>
  <si>
    <t>27AAAAA11943Z5</t>
  </si>
  <si>
    <t>27AAAAA11944Z5</t>
  </si>
  <si>
    <t>27AAAAA11945Z5</t>
  </si>
  <si>
    <t>27AAAAA11946Z5</t>
  </si>
  <si>
    <t>27AAAAA11947Z5</t>
  </si>
  <si>
    <t>27AAAAA11948Z5</t>
  </si>
  <si>
    <t>27AAAAA11949Z5</t>
  </si>
  <si>
    <t>27AAAAA11950Z5</t>
  </si>
  <si>
    <t>27AAAAA11951Z5</t>
  </si>
  <si>
    <t>27AAAAA11952Z5</t>
  </si>
  <si>
    <t>27AAAAA11953Z5</t>
  </si>
  <si>
    <t>27AAAAA11954Z5</t>
  </si>
  <si>
    <t>27AAAAA11955Z5</t>
  </si>
  <si>
    <t>27AAAAA11956Z5</t>
  </si>
  <si>
    <t>27AAAAA11957Z5</t>
  </si>
  <si>
    <t>27AAAAA11958Z5</t>
  </si>
  <si>
    <t>27AAAAA11959Z5</t>
  </si>
  <si>
    <t>27AAAAA11960Z5</t>
  </si>
  <si>
    <t>27AAAAA11961Z5</t>
  </si>
  <si>
    <t>27AAAAA11962Z5</t>
  </si>
  <si>
    <t>27AAAAA11963Z5</t>
  </si>
  <si>
    <t>27AAAAA11964Z5</t>
  </si>
  <si>
    <t>27AAAAA11965Z5</t>
  </si>
  <si>
    <t>27AAAAA11966Z5</t>
  </si>
  <si>
    <t>27AAAAA11967Z5</t>
  </si>
  <si>
    <t>27AAAAA11968Z5</t>
  </si>
  <si>
    <t>27AAAAA11969Z5</t>
  </si>
  <si>
    <t>27AAAAA11970Z5</t>
  </si>
  <si>
    <t>27AAAAA11971Z5</t>
  </si>
  <si>
    <t>27AAAAA11972Z5</t>
  </si>
  <si>
    <t>27AAAAA11973Z5</t>
  </si>
  <si>
    <t>27AAAAA11974Z5</t>
  </si>
  <si>
    <t>27AAAAA11975Z5</t>
  </si>
  <si>
    <t>27AAAAA11976Z5</t>
  </si>
  <si>
    <t>27AAAAA11977Z5</t>
  </si>
  <si>
    <t>27AAAAA11978Z5</t>
  </si>
  <si>
    <t>27AAAAA11979Z5</t>
  </si>
  <si>
    <t>27AAAAA11980Z5</t>
  </si>
  <si>
    <t>27AAAAA11981Z5</t>
  </si>
  <si>
    <t>27AAAAA11982Z5</t>
  </si>
  <si>
    <t>27AAAAA11983Z5</t>
  </si>
  <si>
    <t>27AAAAA11984Z5</t>
  </si>
  <si>
    <t>27AAAAA11985Z5</t>
  </si>
  <si>
    <t>27AAAAA11986Z5</t>
  </si>
  <si>
    <t>27AAAAA11987Z5</t>
  </si>
  <si>
    <t>27AAAAA11988Z5</t>
  </si>
  <si>
    <t>27AAAAA11989Z5</t>
  </si>
  <si>
    <t>27AAAAA11990Z5</t>
  </si>
  <si>
    <t>27AAAAA11991Z5</t>
  </si>
  <si>
    <t>27AAAAA11992Z5</t>
  </si>
  <si>
    <t>27AAAAA11993Z5</t>
  </si>
  <si>
    <t>27AAAAA11994Z5</t>
  </si>
  <si>
    <t>27AAAAA11995Z5</t>
  </si>
  <si>
    <t>27AAAAA11996Z5</t>
  </si>
  <si>
    <t>27AAAAA11997Z5</t>
  </si>
  <si>
    <t>27AAAAA11998Z5</t>
  </si>
  <si>
    <t>27AAAAA11999Z5</t>
  </si>
  <si>
    <t>27AAAAA12000Z5</t>
  </si>
  <si>
    <t>27AAAAA12001Z5</t>
  </si>
  <si>
    <t>27AAAAA12002Z5</t>
  </si>
  <si>
    <t>27AAAAA12003Z5</t>
  </si>
  <si>
    <t>27AAAAA12004Z5</t>
  </si>
  <si>
    <t>27AAAAA12005Z5</t>
  </si>
  <si>
    <t>27AAAAA12006Z5</t>
  </si>
  <si>
    <t>27AAAAA12007Z5</t>
  </si>
  <si>
    <t>27AAAAA12008Z5</t>
  </si>
  <si>
    <t>27AAAAA12009Z5</t>
  </si>
  <si>
    <t>27AAAAA12010Z5</t>
  </si>
  <si>
    <t>27AAAAA12011Z5</t>
  </si>
  <si>
    <t>27AAAAA12012Z5</t>
  </si>
  <si>
    <t>27AAAAA12013Z5</t>
  </si>
  <si>
    <t>27AAAAA12014Z5</t>
  </si>
  <si>
    <t>27AAAAA12015Z5</t>
  </si>
  <si>
    <t>27AAAAA12016Z5</t>
  </si>
  <si>
    <t>27AAAAA12017Z5</t>
  </si>
  <si>
    <t>27AAAAA12018Z5</t>
  </si>
  <si>
    <t>27AAAAA12019Z5</t>
  </si>
  <si>
    <t>27AAAAA12020Z5</t>
  </si>
  <si>
    <t>27AAAAA12021Z5</t>
  </si>
  <si>
    <t>27AAAAA12022Z5</t>
  </si>
  <si>
    <t>27AAAAA12023Z5</t>
  </si>
  <si>
    <t>27AAAAA12024Z5</t>
  </si>
  <si>
    <t>27AAAAA12025Z5</t>
  </si>
  <si>
    <t>27AAAAA12026Z5</t>
  </si>
  <si>
    <t>27AAAAA12027Z5</t>
  </si>
  <si>
    <t>27AAAAA12028Z5</t>
  </si>
  <si>
    <t>27AAAAA12029Z5</t>
  </si>
  <si>
    <t>27AAAAA12030Z5</t>
  </si>
  <si>
    <t>27AAAAA12031Z5</t>
  </si>
  <si>
    <t>27AAAAA12032Z5</t>
  </si>
  <si>
    <t>27AAAAA12033Z5</t>
  </si>
  <si>
    <t>27AAAAA12034Z5</t>
  </si>
  <si>
    <t>27AAAAA12035Z5</t>
  </si>
  <si>
    <t>27AAAAA12036Z5</t>
  </si>
  <si>
    <t>27AAAAA12037Z5</t>
  </si>
  <si>
    <t>27AAAAA12038Z5</t>
  </si>
  <si>
    <t>27AAAAA12039Z5</t>
  </si>
  <si>
    <t>27AAAAA12040Z5</t>
  </si>
  <si>
    <t>27AAAAA12041Z5</t>
  </si>
  <si>
    <t>27AAAAA12042Z5</t>
  </si>
  <si>
    <t>27AAAAA12043Z5</t>
  </si>
  <si>
    <t>27AAAAA12044Z5</t>
  </si>
  <si>
    <t>27AAAAA12045Z5</t>
  </si>
  <si>
    <t>27AAAAA12046Z5</t>
  </si>
  <si>
    <t>27AAAAA12047Z5</t>
  </si>
  <si>
    <t>27AAAAA12048Z5</t>
  </si>
  <si>
    <t>27AAAAA12049Z5</t>
  </si>
  <si>
    <t>27AAAAA12050Z5</t>
  </si>
  <si>
    <t>27AAAAA12051Z5</t>
  </si>
  <si>
    <t>27AAAAA12052Z5</t>
  </si>
  <si>
    <t>27AAAAA12053Z5</t>
  </si>
  <si>
    <t>27AAAAA12054Z5</t>
  </si>
  <si>
    <t>27AAAAA12055Z5</t>
  </si>
  <si>
    <t>27AAAAA12056Z5</t>
  </si>
  <si>
    <t>27AAAAA12057Z5</t>
  </si>
  <si>
    <t>27AAAAA12058Z5</t>
  </si>
  <si>
    <t>27AAAAA12059Z5</t>
  </si>
  <si>
    <t>27AAAAA12060Z5</t>
  </si>
  <si>
    <t>27AAAAA12061Z5</t>
  </si>
  <si>
    <t>27AAAAA12062Z5</t>
  </si>
  <si>
    <t>27AAAAA12063Z5</t>
  </si>
  <si>
    <t>27AAAAA12064Z5</t>
  </si>
  <si>
    <t>27AAAAA12065Z5</t>
  </si>
  <si>
    <t>27AAAAA12066Z5</t>
  </si>
  <si>
    <t>27AAAAA12067Z5</t>
  </si>
  <si>
    <t>27AAAAA12068Z5</t>
  </si>
  <si>
    <t>27AAAAA12069Z5</t>
  </si>
  <si>
    <t>27AAAAA12070Z5</t>
  </si>
  <si>
    <t>27AAAAA12071Z5</t>
  </si>
  <si>
    <t>27AAAAA12072Z5</t>
  </si>
  <si>
    <t>27AAAAA12073Z5</t>
  </si>
  <si>
    <t>27AAAAA12074Z5</t>
  </si>
  <si>
    <t>27AAAAA12075Z5</t>
  </si>
  <si>
    <t>27AAAAA12076Z5</t>
  </si>
  <si>
    <t>27AAAAA12077Z5</t>
  </si>
  <si>
    <t>27AAAAA12078Z5</t>
  </si>
  <si>
    <t>27AAAAA12079Z5</t>
  </si>
  <si>
    <t>27AAAAA12080Z5</t>
  </si>
  <si>
    <t>27AAAAA12081Z5</t>
  </si>
  <si>
    <t>27AAAAA12082Z5</t>
  </si>
  <si>
    <t>27AAAAA12083Z5</t>
  </si>
  <si>
    <t>27AAAAA12084Z5</t>
  </si>
  <si>
    <t>27AAAAA12085Z5</t>
  </si>
  <si>
    <t>27AAAAA12086Z5</t>
  </si>
  <si>
    <t>27AAAAA12087Z5</t>
  </si>
  <si>
    <t>27AAAAA12088Z5</t>
  </si>
  <si>
    <t>27AAAAA12089Z5</t>
  </si>
  <si>
    <t>27AAAAA12090Z5</t>
  </si>
  <si>
    <t>27AAAAA12091Z5</t>
  </si>
  <si>
    <t>27AAAAA12092Z5</t>
  </si>
  <si>
    <t>27AAAAA12093Z5</t>
  </si>
  <si>
    <t>27AAAAA12094Z5</t>
  </si>
  <si>
    <t>27AAAAA12095Z5</t>
  </si>
  <si>
    <t>27AAAAA12096Z5</t>
  </si>
  <si>
    <t>27AAAAA12097Z5</t>
  </si>
  <si>
    <t>27AAAAA12098Z5</t>
  </si>
  <si>
    <t>27AAAAA12099Z5</t>
  </si>
  <si>
    <t>27AAAAA12100Z5</t>
  </si>
  <si>
    <t>27AAAAA12101Z5</t>
  </si>
  <si>
    <t>27AAAAA12102Z5</t>
  </si>
  <si>
    <t>27AAAAA12103Z5</t>
  </si>
  <si>
    <t>27AAAAA12104Z5</t>
  </si>
  <si>
    <t>27AAAAA12105Z5</t>
  </si>
  <si>
    <t>27AAAAA12106Z5</t>
  </si>
  <si>
    <t>27AAAAA12107Z5</t>
  </si>
  <si>
    <t>27AAAAA12108Z5</t>
  </si>
  <si>
    <t>27AAAAA12109Z5</t>
  </si>
  <si>
    <t>27AAAAA12110Z5</t>
  </si>
  <si>
    <t>27AAAAA12111Z5</t>
  </si>
  <si>
    <t>27AAAAA12112Z5</t>
  </si>
  <si>
    <t>27AAAAA12113Z5</t>
  </si>
  <si>
    <t>27AAAAA12114Z5</t>
  </si>
  <si>
    <t>27AAAAA12115Z5</t>
  </si>
  <si>
    <t>27AAAAA12116Z5</t>
  </si>
  <si>
    <t>27AAAAA12117Z5</t>
  </si>
  <si>
    <t>27AAAAA12118Z5</t>
  </si>
  <si>
    <t>27AAAAA12119Z5</t>
  </si>
  <si>
    <t>27AAAAA12120Z5</t>
  </si>
  <si>
    <t>27AAAAA12121Z5</t>
  </si>
  <si>
    <t>27AAAAA12122Z5</t>
  </si>
  <si>
    <t>27AAAAA12123Z5</t>
  </si>
  <si>
    <t>27AAAAA12124Z5</t>
  </si>
  <si>
    <t>27AAAAA12125Z5</t>
  </si>
  <si>
    <t>27AAAAA12126Z5</t>
  </si>
  <si>
    <t>27AAAAA12127Z5</t>
  </si>
  <si>
    <t>27AAAAA12128Z5</t>
  </si>
  <si>
    <t>27AAAAA12129Z5</t>
  </si>
  <si>
    <t>27AAAAA12130Z5</t>
  </si>
  <si>
    <t>27AAAAA12131Z5</t>
  </si>
  <si>
    <t>27AAAAA12132Z5</t>
  </si>
  <si>
    <t>27AAAAA12133Z5</t>
  </si>
  <si>
    <t>27AAAAA12134Z5</t>
  </si>
  <si>
    <t>27AAAAA12135Z5</t>
  </si>
  <si>
    <t>27AAAAA12136Z5</t>
  </si>
  <si>
    <t>27AAAAA12137Z5</t>
  </si>
  <si>
    <t>27AAAAA12138Z5</t>
  </si>
  <si>
    <t>27AAAAA12139Z5</t>
  </si>
  <si>
    <t>27AAAAA12140Z5</t>
  </si>
  <si>
    <t>27AAAAA12141Z5</t>
  </si>
  <si>
    <t>27AAAAA12142Z5</t>
  </si>
  <si>
    <t>27AAAAA12143Z5</t>
  </si>
  <si>
    <t>27AAAAA12144Z5</t>
  </si>
  <si>
    <t>27AAAAA12145Z5</t>
  </si>
  <si>
    <t>27AAAAA12146Z5</t>
  </si>
  <si>
    <t>27AAAAA12147Z5</t>
  </si>
  <si>
    <t>27AAAAA12148Z5</t>
  </si>
  <si>
    <t>27AAAAA12149Z5</t>
  </si>
  <si>
    <t>27AAAAA12150Z5</t>
  </si>
  <si>
    <t>27AAAAA12151Z5</t>
  </si>
  <si>
    <t>27AAAAA12152Z5</t>
  </si>
  <si>
    <t>27AAAAA12153Z5</t>
  </si>
  <si>
    <t>27AAAAA12154Z5</t>
  </si>
  <si>
    <t>27AAAAA12155Z5</t>
  </si>
  <si>
    <t>27AAAAA12156Z5</t>
  </si>
  <si>
    <t>27AAAAA12157Z5</t>
  </si>
  <si>
    <t>27AAAAA12158Z5</t>
  </si>
  <si>
    <t>27AAAAA12159Z5</t>
  </si>
  <si>
    <t>27AAAAA12160Z5</t>
  </si>
  <si>
    <t>27AAAAA12161Z5</t>
  </si>
  <si>
    <t>27AAAAA12162Z5</t>
  </si>
  <si>
    <t>27AAAAA12163Z5</t>
  </si>
  <si>
    <t>27AAAAA12164Z5</t>
  </si>
  <si>
    <t>27AAAAA12165Z5</t>
  </si>
  <si>
    <t>27AAAAA12166Z5</t>
  </si>
  <si>
    <t>27AAAAA12167Z5</t>
  </si>
  <si>
    <t>27AAAAA12168Z5</t>
  </si>
  <si>
    <t>27AAAAA12169Z5</t>
  </si>
  <si>
    <t>27AAAAA12170Z5</t>
  </si>
  <si>
    <t>27AAAAA12171Z5</t>
  </si>
  <si>
    <t>27AAAAA12172Z5</t>
  </si>
  <si>
    <t>27AAAAA12173Z5</t>
  </si>
  <si>
    <t>27AAAAA12174Z5</t>
  </si>
  <si>
    <t>27AAAAA12175Z5</t>
  </si>
  <si>
    <t>27AAAAA12176Z5</t>
  </si>
  <si>
    <t>27AAAAA12177Z5</t>
  </si>
  <si>
    <t>27AAAAA12178Z5</t>
  </si>
  <si>
    <t>27AAAAA12179Z5</t>
  </si>
  <si>
    <t>27AAAAA12180Z5</t>
  </si>
  <si>
    <t>27AAAAA12181Z5</t>
  </si>
  <si>
    <t>27AAAAA12182Z5</t>
  </si>
  <si>
    <t>27AAAAA12183Z5</t>
  </si>
  <si>
    <t>27AAAAA12184Z5</t>
  </si>
  <si>
    <t>27AAAAA12185Z5</t>
  </si>
  <si>
    <t>27AAAAA12186Z5</t>
  </si>
  <si>
    <t>27AAAAA12187Z5</t>
  </si>
  <si>
    <t>27AAAAA12188Z5</t>
  </si>
  <si>
    <t>27AAAAA12189Z5</t>
  </si>
  <si>
    <t>27AAAAA12190Z5</t>
  </si>
  <si>
    <t>27AAAAA12191Z5</t>
  </si>
  <si>
    <t>27AAAAA12192Z5</t>
  </si>
  <si>
    <t>27AAAAA12193Z5</t>
  </si>
  <si>
    <t>27AAAAA12194Z5</t>
  </si>
  <si>
    <t>27AAAAA12195Z5</t>
  </si>
  <si>
    <t>27AAAAA12196Z5</t>
  </si>
  <si>
    <t>27AAAAA12197Z5</t>
  </si>
  <si>
    <t>27AAAAA12198Z5</t>
  </si>
  <si>
    <t>27AAAAA12199Z5</t>
  </si>
  <si>
    <t>27AAAAA12200Z5</t>
  </si>
  <si>
    <t>27AAAAA12201Z5</t>
  </si>
  <si>
    <t>27AAAAA12202Z5</t>
  </si>
  <si>
    <t>27AAAAA12203Z5</t>
  </si>
  <si>
    <t>27AAAAA12204Z5</t>
  </si>
  <si>
    <t>27AAAAA12205Z5</t>
  </si>
  <si>
    <t>27AAAAA12206Z5</t>
  </si>
  <si>
    <t>27AAAAA12207Z5</t>
  </si>
  <si>
    <t>27AAAAA12208Z5</t>
  </si>
  <si>
    <t>27AAAAA12209Z5</t>
  </si>
  <si>
    <t>27AAAAA12210Z5</t>
  </si>
  <si>
    <t>27AAAAA12211Z5</t>
  </si>
  <si>
    <t>27AAAAA12212Z5</t>
  </si>
  <si>
    <t>27AAAAA12213Z5</t>
  </si>
  <si>
    <t>27AAAAA12214Z5</t>
  </si>
  <si>
    <t>27AAAAA12215Z5</t>
  </si>
  <si>
    <t>27AAAAA12216Z5</t>
  </si>
  <si>
    <t>27AAAAA12217Z5</t>
  </si>
  <si>
    <t>27AAAAA12218Z5</t>
  </si>
  <si>
    <t>27AAAAA12219Z5</t>
  </si>
  <si>
    <t>27AAAAA12220Z5</t>
  </si>
  <si>
    <t>27AAAAA12221Z5</t>
  </si>
  <si>
    <t>27AAAAA12222Z5</t>
  </si>
  <si>
    <t>27AAAAA12223Z5</t>
  </si>
  <si>
    <t>27AAAAA12224Z5</t>
  </si>
  <si>
    <t>27AAAAA12225Z5</t>
  </si>
  <si>
    <t>27AAAAA12226Z5</t>
  </si>
  <si>
    <t>27AAAAA12227Z5</t>
  </si>
  <si>
    <t>27AAAAA12228Z5</t>
  </si>
  <si>
    <t>27AAAAA12229Z5</t>
  </si>
  <si>
    <t>27AAAAA12230Z5</t>
  </si>
  <si>
    <t>27AAAAA12231Z5</t>
  </si>
  <si>
    <t>27AAAAA12232Z5</t>
  </si>
  <si>
    <t>27AAAAA12233Z5</t>
  </si>
  <si>
    <t>27AAAAA12234Z5</t>
  </si>
  <si>
    <t>27AAAAA12235Z5</t>
  </si>
  <si>
    <t>27AAAAA12236Z5</t>
  </si>
  <si>
    <t>27AAAAA12237Z5</t>
  </si>
  <si>
    <t>27AAAAA12238Z5</t>
  </si>
  <si>
    <t>27AAAAA12239Z5</t>
  </si>
  <si>
    <t>27AAAAA12240Z5</t>
  </si>
  <si>
    <t>27AAAAA12241Z5</t>
  </si>
  <si>
    <t>27AAAAA12242Z5</t>
  </si>
  <si>
    <t>27AAAAA12243Z5</t>
  </si>
  <si>
    <t>27AAAAA12244Z5</t>
  </si>
  <si>
    <t>27AAAAA12245Z5</t>
  </si>
  <si>
    <t>27AAAAA12246Z5</t>
  </si>
  <si>
    <t>27AAAAA12247Z5</t>
  </si>
  <si>
    <t>27AAAAA12248Z5</t>
  </si>
  <si>
    <t>27AAAAA12249Z5</t>
  </si>
  <si>
    <t>27AAAAA12250Z5</t>
  </si>
  <si>
    <t>27AAAAA12251Z5</t>
  </si>
  <si>
    <t>27AAAAA12252Z5</t>
  </si>
  <si>
    <t>27AAAAA12253Z5</t>
  </si>
  <si>
    <t>27AAAAA12254Z5</t>
  </si>
  <si>
    <t>27AAAAA12255Z5</t>
  </si>
  <si>
    <t>27AAAAA12256Z5</t>
  </si>
  <si>
    <t>27AAAAA12257Z5</t>
  </si>
  <si>
    <t>27AAAAA12258Z5</t>
  </si>
  <si>
    <t>27AAAAA12259Z5</t>
  </si>
  <si>
    <t>27AAAAA12260Z5</t>
  </si>
  <si>
    <t>27AAAAA12261Z5</t>
  </si>
  <si>
    <t>27AAAAA12262Z5</t>
  </si>
  <si>
    <t>27AAAAA12263Z5</t>
  </si>
  <si>
    <t>27AAAAA12264Z5</t>
  </si>
  <si>
    <t>27AAAAA12265Z5</t>
  </si>
  <si>
    <t>27AAAAA12266Z5</t>
  </si>
  <si>
    <t>27AAAAA12267Z5</t>
  </si>
  <si>
    <t>27AAAAA12268Z5</t>
  </si>
  <si>
    <t>27AAAAA12269Z5</t>
  </si>
  <si>
    <t>27AAAAA12270Z5</t>
  </si>
  <si>
    <t>27AAAAA12271Z5</t>
  </si>
  <si>
    <t>27AAAAA12272Z5</t>
  </si>
  <si>
    <t>27AAAAA12273Z5</t>
  </si>
  <si>
    <t>27AAAAA12274Z5</t>
  </si>
  <si>
    <t>27AAAAA12275Z5</t>
  </si>
  <si>
    <t>27AAAAA12276Z5</t>
  </si>
  <si>
    <t>27AAAAA12277Z5</t>
  </si>
  <si>
    <t>27AAAAA12278Z5</t>
  </si>
  <si>
    <t>27AAAAA12279Z5</t>
  </si>
  <si>
    <t>27AAAAA12280Z5</t>
  </si>
  <si>
    <t>27AAAAA12281Z5</t>
  </si>
  <si>
    <t>27AAAAA12282Z5</t>
  </si>
  <si>
    <t>27AAAAA12283Z5</t>
  </si>
  <si>
    <t>27AAAAA12284Z5</t>
  </si>
  <si>
    <t>27AAAAA12285Z5</t>
  </si>
  <si>
    <t>27AAAAA12286Z5</t>
  </si>
  <si>
    <t>27AAAAA12287Z5</t>
  </si>
  <si>
    <t>27AAAAA12288Z5</t>
  </si>
  <si>
    <t>27AAAAA12289Z5</t>
  </si>
  <si>
    <t>27AAAAA12290Z5</t>
  </si>
  <si>
    <t>27AAAAA12291Z5</t>
  </si>
  <si>
    <t>27AAAAA12292Z5</t>
  </si>
  <si>
    <t>27AAAAA12293Z5</t>
  </si>
  <si>
    <t>27AAAAA12294Z5</t>
  </si>
  <si>
    <t>27AAAAA12295Z5</t>
  </si>
  <si>
    <t>27AAAAA12296Z5</t>
  </si>
  <si>
    <t>27AAAAA12297Z5</t>
  </si>
  <si>
    <t>27AAAAA12298Z5</t>
  </si>
  <si>
    <t>27AAAAA12299Z5</t>
  </si>
  <si>
    <t>27AAAAA12300Z5</t>
  </si>
  <si>
    <t>27AAAAA12301Z5</t>
  </si>
  <si>
    <t>27AAAAA12302Z5</t>
  </si>
  <si>
    <t>27AAAAA12303Z5</t>
  </si>
  <si>
    <t>27AAAAA12304Z5</t>
  </si>
  <si>
    <t>27AAAAA12305Z5</t>
  </si>
  <si>
    <t>27AAAAA12306Z5</t>
  </si>
  <si>
    <t>27AAAAA12307Z5</t>
  </si>
  <si>
    <t>27AAAAA12308Z5</t>
  </si>
  <si>
    <t>27AAAAA12309Z5</t>
  </si>
  <si>
    <t>27AAAAA12310Z5</t>
  </si>
  <si>
    <t>27AAAAA12311Z5</t>
  </si>
  <si>
    <t>27AAAAA12312Z5</t>
  </si>
  <si>
    <t>27AAAAA12313Z5</t>
  </si>
  <si>
    <t>27AAAAA12314Z5</t>
  </si>
  <si>
    <t>27AAAAA12315Z5</t>
  </si>
  <si>
    <t>27AAAAA12316Z5</t>
  </si>
  <si>
    <t>27AAAAA12317Z5</t>
  </si>
  <si>
    <t>27AAAAA12318Z5</t>
  </si>
  <si>
    <t>27AAAAA12319Z5</t>
  </si>
  <si>
    <t>27AAAAA12320Z5</t>
  </si>
  <si>
    <t>27AAAAA12321Z5</t>
  </si>
  <si>
    <t>27AAAAA12322Z5</t>
  </si>
  <si>
    <t>27AAAAA12323Z5</t>
  </si>
  <si>
    <t>27AAAAA12324Z5</t>
  </si>
  <si>
    <t>27AAAAA12325Z5</t>
  </si>
  <si>
    <t>27AAAAA12326Z5</t>
  </si>
  <si>
    <t>27AAAAA12327Z5</t>
  </si>
  <si>
    <t>27AAAAA12328Z5</t>
  </si>
  <si>
    <t>27AAAAA12329Z5</t>
  </si>
  <si>
    <t>27AAAAA12330Z5</t>
  </si>
  <si>
    <t>27AAAAA12331Z5</t>
  </si>
  <si>
    <t>27AAAAA12332Z5</t>
  </si>
  <si>
    <t>27AAAAA12333Z5</t>
  </si>
  <si>
    <t>27AAAAA12334Z5</t>
  </si>
  <si>
    <t>27AAAAA12335Z5</t>
  </si>
  <si>
    <t>27AAAAA12336Z5</t>
  </si>
  <si>
    <t>27AAAAA12337Z5</t>
  </si>
  <si>
    <t>27AAAAA12338Z5</t>
  </si>
  <si>
    <t>27AAAAA12339Z5</t>
  </si>
  <si>
    <t>27AAAAA12340Z5</t>
  </si>
  <si>
    <t>27AAAAA12341Z5</t>
  </si>
  <si>
    <t>27AAAAA12342Z5</t>
  </si>
  <si>
    <t>27AAAAA12343Z5</t>
  </si>
  <si>
    <t>27AAAAA12344Z5</t>
  </si>
  <si>
    <t>27AAAAA12345Z5</t>
  </si>
  <si>
    <t>27AAAAA12346Z5</t>
  </si>
  <si>
    <t>27AAAAA12347Z5</t>
  </si>
  <si>
    <t>27AAAAA12348Z5</t>
  </si>
  <si>
    <t>27AAAAA12349Z5</t>
  </si>
  <si>
    <t>27AAAAA12350Z5</t>
  </si>
  <si>
    <t>27AAAAA12351Z5</t>
  </si>
  <si>
    <t>27AAAAA12352Z5</t>
  </si>
  <si>
    <t>27AAAAA12353Z5</t>
  </si>
  <si>
    <t>27AAAAA12354Z5</t>
  </si>
  <si>
    <t>27AAAAA12355Z5</t>
  </si>
  <si>
    <t>27AAAAA12356Z5</t>
  </si>
  <si>
    <t>27AAAAA12357Z5</t>
  </si>
  <si>
    <t>27AAAAA12358Z5</t>
  </si>
  <si>
    <t>27AAAAA12359Z5</t>
  </si>
  <si>
    <t>27AAAAA12360Z5</t>
  </si>
  <si>
    <t>27AAAAA12361Z5</t>
  </si>
  <si>
    <t>27AAAAA12362Z5</t>
  </si>
  <si>
    <t>27AAAAA12363Z5</t>
  </si>
  <si>
    <t>27AAAAA12364Z5</t>
  </si>
  <si>
    <t>27AAAAA12365Z5</t>
  </si>
  <si>
    <t>27AAAAA12366Z5</t>
  </si>
  <si>
    <t>27AAAAA12367Z5</t>
  </si>
  <si>
    <t>27AAAAA12368Z5</t>
  </si>
  <si>
    <t>27AAAAA12369Z5</t>
  </si>
  <si>
    <t>27AAAAA12370Z5</t>
  </si>
  <si>
    <t>27AAAAA12371Z5</t>
  </si>
  <si>
    <t>27AAAAA12372Z5</t>
  </si>
  <si>
    <t>27AAAAA12373Z5</t>
  </si>
  <si>
    <t>27AAAAA12374Z5</t>
  </si>
  <si>
    <t>27AAAAA12375Z5</t>
  </si>
  <si>
    <t>27AAAAA12376Z5</t>
  </si>
  <si>
    <t>27AAAAA12377Z5</t>
  </si>
  <si>
    <t>27AAAAA12378Z5</t>
  </si>
  <si>
    <t>27AAAAA12379Z5</t>
  </si>
  <si>
    <t>27AAAAA12380Z5</t>
  </si>
  <si>
    <t>27AAAAA12381Z5</t>
  </si>
  <si>
    <t>27AAAAA12382Z5</t>
  </si>
  <si>
    <t>27AAAAA12383Z5</t>
  </si>
  <si>
    <t>27AAAAA12384Z5</t>
  </si>
  <si>
    <t>27AAAAA12385Z5</t>
  </si>
  <si>
    <t>27AAAAA12386Z5</t>
  </si>
  <si>
    <t>27AAAAA12387Z5</t>
  </si>
  <si>
    <t>27AAAAA12388Z5</t>
  </si>
  <si>
    <t>27AAAAA12389Z5</t>
  </si>
  <si>
    <t>27AAAAA12390Z5</t>
  </si>
  <si>
    <t>27AAAAA12391Z5</t>
  </si>
  <si>
    <t>27AAAAA12392Z5</t>
  </si>
  <si>
    <t>27AAAAA12393Z5</t>
  </si>
  <si>
    <t>27AAAAA12394Z5</t>
  </si>
  <si>
    <t>27AAAAA12395Z5</t>
  </si>
  <si>
    <t>27AAAAA12396Z5</t>
  </si>
  <si>
    <t>27AAAAA12397Z5</t>
  </si>
  <si>
    <t>27AAAAA12398Z5</t>
  </si>
  <si>
    <t>27AAAAA12399Z5</t>
  </si>
  <si>
    <t>27AAAAA12400Z5</t>
  </si>
  <si>
    <t>27AAAAA12401Z5</t>
  </si>
  <si>
    <t>27AAAAA12402Z5</t>
  </si>
  <si>
    <t>27AAAAA12403Z5</t>
  </si>
  <si>
    <t>27AAAAA12404Z5</t>
  </si>
  <si>
    <t>27AAAAA12405Z5</t>
  </si>
  <si>
    <t>27AAAAA12406Z5</t>
  </si>
  <si>
    <t>27AAAAA12407Z5</t>
  </si>
  <si>
    <t>27AAAAA12408Z5</t>
  </si>
  <si>
    <t>27AAAAA12409Z5</t>
  </si>
  <si>
    <t>27AAAAA12410Z5</t>
  </si>
  <si>
    <t>27AAAAA12411Z5</t>
  </si>
  <si>
    <t>27AAAAA12412Z5</t>
  </si>
  <si>
    <t>27AAAAA12413Z5</t>
  </si>
  <si>
    <t>27AAAAA12414Z5</t>
  </si>
  <si>
    <t>27AAAAA12415Z5</t>
  </si>
  <si>
    <t>27AAAAA12416Z5</t>
  </si>
  <si>
    <t>27AAAAA12417Z5</t>
  </si>
  <si>
    <t>27AAAAA12418Z5</t>
  </si>
  <si>
    <t>27AAAAA12419Z5</t>
  </si>
  <si>
    <t>27AAAAA12420Z5</t>
  </si>
  <si>
    <t>27AAAAA12421Z5</t>
  </si>
  <si>
    <t>27AAAAA12422Z5</t>
  </si>
  <si>
    <t>27AAAAA12423Z5</t>
  </si>
  <si>
    <t>27AAAAA12424Z5</t>
  </si>
  <si>
    <t>27AAAAA12425Z5</t>
  </si>
  <si>
    <t>27AAAAA12426Z5</t>
  </si>
  <si>
    <t>27AAAAA12427Z5</t>
  </si>
  <si>
    <t>27AAAAA12428Z5</t>
  </si>
  <si>
    <t>27AAAAA12429Z5</t>
  </si>
  <si>
    <t>27AAAAA12430Z5</t>
  </si>
  <si>
    <t>27AAAAA12431Z5</t>
  </si>
  <si>
    <t>27AAAAA12432Z5</t>
  </si>
  <si>
    <t>27AAAAA12433Z5</t>
  </si>
  <si>
    <t>27AAAAA12434Z5</t>
  </si>
  <si>
    <t>27AAAAA12435Z5</t>
  </si>
  <si>
    <t>27AAAAA12436Z5</t>
  </si>
  <si>
    <t>27AAAAA12437Z5</t>
  </si>
  <si>
    <t>27AAAAA12438Z5</t>
  </si>
  <si>
    <t>27AAAAA12439Z5</t>
  </si>
  <si>
    <t>27AAAAA12440Z5</t>
  </si>
  <si>
    <t>27AAAAA12441Z5</t>
  </si>
  <si>
    <t>27AAAAA12442Z5</t>
  </si>
  <si>
    <t>27AAAAA12443Z5</t>
  </si>
  <si>
    <t>27AAAAA12444Z5</t>
  </si>
  <si>
    <t>27AAAAA12445Z5</t>
  </si>
  <si>
    <t>27AAAAA12446Z5</t>
  </si>
  <si>
    <t>27AAAAA12447Z5</t>
  </si>
  <si>
    <t>27AAAAA12448Z5</t>
  </si>
  <si>
    <t>27AAAAA12449Z5</t>
  </si>
  <si>
    <t>27AAAAA12450Z5</t>
  </si>
  <si>
    <t>27AAAAA12451Z5</t>
  </si>
  <si>
    <t>27AAAAA12452Z5</t>
  </si>
  <si>
    <t>27AAAAA12453Z5</t>
  </si>
  <si>
    <t>27AAAAA12454Z5</t>
  </si>
  <si>
    <t>27AAAAA12455Z5</t>
  </si>
  <si>
    <t>27AAAAA12456Z5</t>
  </si>
  <si>
    <t>27AAAAA12457Z5</t>
  </si>
  <si>
    <t>27AAAAA12458Z5</t>
  </si>
  <si>
    <t>27AAAAA12459Z5</t>
  </si>
  <si>
    <t>27AAAAA12460Z5</t>
  </si>
  <si>
    <t>27AAAAA12461Z5</t>
  </si>
  <si>
    <t>27AAAAA12462Z5</t>
  </si>
  <si>
    <t>27AAAAA12463Z5</t>
  </si>
  <si>
    <t>27AAAAA12464Z5</t>
  </si>
  <si>
    <t>27AAAAA12465Z5</t>
  </si>
  <si>
    <t>27AAAAA12466Z5</t>
  </si>
  <si>
    <t>27AAAAA12467Z5</t>
  </si>
  <si>
    <t>27AAAAA12468Z5</t>
  </si>
  <si>
    <t>27AAAAA12469Z5</t>
  </si>
  <si>
    <t>27AAAAA12470Z5</t>
  </si>
  <si>
    <t>27AAAAA12471Z5</t>
  </si>
  <si>
    <t>27AAAAA12472Z5</t>
  </si>
  <si>
    <t>27AAAAA12473Z5</t>
  </si>
  <si>
    <t>27AAAAA12474Z5</t>
  </si>
  <si>
    <t>27AAAAA12475Z5</t>
  </si>
  <si>
    <t>27AAAAA12476Z5</t>
  </si>
  <si>
    <t>27AAAAA12477Z5</t>
  </si>
  <si>
    <t>27AAAAA12478Z5</t>
  </si>
  <si>
    <t>27AAAAA12479Z5</t>
  </si>
  <si>
    <t>27AAAAA12480Z5</t>
  </si>
  <si>
    <t>27AAAAA12481Z5</t>
  </si>
  <si>
    <t>27AAAAA12482Z5</t>
  </si>
  <si>
    <t>27AAAAA12483Z5</t>
  </si>
  <si>
    <t>27AAAAA12484Z5</t>
  </si>
  <si>
    <t>27AAAAA12485Z5</t>
  </si>
  <si>
    <t>27AAAAA12486Z5</t>
  </si>
  <si>
    <t>27AAAAA12487Z5</t>
  </si>
  <si>
    <t>27AAAAA12488Z5</t>
  </si>
  <si>
    <t>27AAAAA12489Z5</t>
  </si>
  <si>
    <t>27AAAAA12490Z5</t>
  </si>
  <si>
    <t>27AAAAA12491Z5</t>
  </si>
  <si>
    <t>27AAAAA12492Z5</t>
  </si>
  <si>
    <t>27AAAAA12493Z5</t>
  </si>
  <si>
    <t>27AAAAA12494Z5</t>
  </si>
  <si>
    <t>27AAAAA12495Z5</t>
  </si>
  <si>
    <t>27AAAAA12496Z5</t>
  </si>
  <si>
    <t>27AAAAA12497Z5</t>
  </si>
  <si>
    <t>27AAAAA12498Z5</t>
  </si>
  <si>
    <t>27AAAAA12499Z5</t>
  </si>
  <si>
    <t>27AAAAA12500Z5</t>
  </si>
  <si>
    <t>27AAAAA12501Z5</t>
  </si>
  <si>
    <t>27AAAAA12502Z5</t>
  </si>
  <si>
    <t>27AAAAA12503Z5</t>
  </si>
  <si>
    <t>27AAAAA12504Z5</t>
  </si>
  <si>
    <t>27AAAAA12505Z5</t>
  </si>
  <si>
    <t>27AAAAA12506Z5</t>
  </si>
  <si>
    <t>27AAAAA12507Z5</t>
  </si>
  <si>
    <t>27AAAAA12508Z5</t>
  </si>
  <si>
    <t>27AAAAA12509Z5</t>
  </si>
  <si>
    <t>27AAAAA12510Z5</t>
  </si>
  <si>
    <t>27AAAAA12511Z5</t>
  </si>
  <si>
    <t>27AAAAA12512Z5</t>
  </si>
  <si>
    <t>27AAAAA12513Z5</t>
  </si>
  <si>
    <t>27AAAAA12514Z5</t>
  </si>
  <si>
    <t>27AAAAA12515Z5</t>
  </si>
  <si>
    <t>27AAAAA12516Z5</t>
  </si>
  <si>
    <t>27AAAAA12517Z5</t>
  </si>
  <si>
    <t>27AAAAA12518Z5</t>
  </si>
  <si>
    <t>27AAAAA12519Z5</t>
  </si>
  <si>
    <t>27AAAAA12520Z5</t>
  </si>
  <si>
    <t>27AAAAA12521Z5</t>
  </si>
  <si>
    <t>27AAAAA12522Z5</t>
  </si>
  <si>
    <t>27AAAAA12523Z5</t>
  </si>
  <si>
    <t>27AAAAA12524Z5</t>
  </si>
  <si>
    <t>27AAAAA12525Z5</t>
  </si>
  <si>
    <t>27AAAAA12526Z5</t>
  </si>
  <si>
    <t>27AAAAA12527Z5</t>
  </si>
  <si>
    <t>27AAAAA12528Z5</t>
  </si>
  <si>
    <t>27AAAAA12529Z5</t>
  </si>
  <si>
    <t>27AAAAA12530Z5</t>
  </si>
  <si>
    <t>27AAAAA12531Z5</t>
  </si>
  <si>
    <t>27AAAAA12532Z5</t>
  </si>
  <si>
    <t>27AAAAA12533Z5</t>
  </si>
  <si>
    <t>27AAAAA12534Z5</t>
  </si>
  <si>
    <t>27AAAAA12535Z5</t>
  </si>
  <si>
    <t>27AAAAA12536Z5</t>
  </si>
  <si>
    <t>27AAAAA12537Z5</t>
  </si>
  <si>
    <t>27AAAAA12538Z5</t>
  </si>
  <si>
    <t>27AAAAA12539Z5</t>
  </si>
  <si>
    <t>27AAAAA12540Z5</t>
  </si>
  <si>
    <t>27AAAAA12541Z5</t>
  </si>
  <si>
    <t>27AAAAA12542Z5</t>
  </si>
  <si>
    <t>27AAAAA12543Z5</t>
  </si>
  <si>
    <t>27AAAAA12544Z5</t>
  </si>
  <si>
    <t>27AAAAA12545Z5</t>
  </si>
  <si>
    <t>27AAAAA12546Z5</t>
  </si>
  <si>
    <t>27AAAAA12547Z5</t>
  </si>
  <si>
    <t>27AAAAA12548Z5</t>
  </si>
  <si>
    <t>27AAAAA12549Z5</t>
  </si>
  <si>
    <t>27AAAAA12550Z5</t>
  </si>
  <si>
    <t>27AAAAA12551Z5</t>
  </si>
  <si>
    <t>27AAAAA12552Z5</t>
  </si>
  <si>
    <t>27AAAAA12553Z5</t>
  </si>
  <si>
    <t>27AAAAA12554Z5</t>
  </si>
  <si>
    <t>27AAAAA12555Z5</t>
  </si>
  <si>
    <t>27AAAAA12556Z5</t>
  </si>
  <si>
    <t>27AAAAA12557Z5</t>
  </si>
  <si>
    <t>27AAAAA12558Z5</t>
  </si>
  <si>
    <t>27AAAAA12559Z5</t>
  </si>
  <si>
    <t>27AAAAA12560Z5</t>
  </si>
  <si>
    <t>27AAAAA12561Z5</t>
  </si>
  <si>
    <t>27AAAAA12562Z5</t>
  </si>
  <si>
    <t>27AAAAA12563Z5</t>
  </si>
  <si>
    <t>27AAAAA12564Z5</t>
  </si>
  <si>
    <t>27AAAAA12565Z5</t>
  </si>
  <si>
    <t>27AAAAA12566Z5</t>
  </si>
  <si>
    <t>27AAAAA12567Z5</t>
  </si>
  <si>
    <t>27AAAAA12568Z5</t>
  </si>
  <si>
    <t>27AAAAA12569Z5</t>
  </si>
  <si>
    <t>27AAAAA12570Z5</t>
  </si>
  <si>
    <t>27AAAAA12571Z5</t>
  </si>
  <si>
    <t>27AAAAA12572Z5</t>
  </si>
  <si>
    <t>27AAAAA12573Z5</t>
  </si>
  <si>
    <t>27AAAAA12574Z5</t>
  </si>
  <si>
    <t>27AAAAA12575Z5</t>
  </si>
  <si>
    <t>27AAAAA12576Z5</t>
  </si>
  <si>
    <t>27AAAAA12577Z5</t>
  </si>
  <si>
    <t>27AAAAA12578Z5</t>
  </si>
  <si>
    <t>27AAAAA12579Z5</t>
  </si>
  <si>
    <t>27AAAAA12580Z5</t>
  </si>
  <si>
    <t>27AAAAA12581Z5</t>
  </si>
  <si>
    <t>27AAAAA12582Z5</t>
  </si>
  <si>
    <t>27AAAAA12583Z5</t>
  </si>
  <si>
    <t>27AAAAA12584Z5</t>
  </si>
  <si>
    <t>27AAAAA12585Z5</t>
  </si>
  <si>
    <t>27AAAAA12586Z5</t>
  </si>
  <si>
    <t>27AAAAA12587Z5</t>
  </si>
  <si>
    <t>27AAAAA12588Z5</t>
  </si>
  <si>
    <t>27AAAAA12589Z5</t>
  </si>
  <si>
    <t>27AAAAA12590Z5</t>
  </si>
  <si>
    <t>27AAAAA12591Z5</t>
  </si>
  <si>
    <t>27AAAAA12592Z5</t>
  </si>
  <si>
    <t>27AAAAA12593Z5</t>
  </si>
  <si>
    <t>27AAAAA12594Z5</t>
  </si>
  <si>
    <t>27AAAAA12595Z5</t>
  </si>
  <si>
    <t>27AAAAA12596Z5</t>
  </si>
  <si>
    <t>27AAAAA12597Z5</t>
  </si>
  <si>
    <t>27AAAAA12598Z5</t>
  </si>
  <si>
    <t>27AAAAA12599Z5</t>
  </si>
  <si>
    <t>27AAAAA12600Z5</t>
  </si>
  <si>
    <t>27AAAAA12601Z5</t>
  </si>
  <si>
    <t>27AAAAA12602Z5</t>
  </si>
  <si>
    <t>27AAAAA12603Z5</t>
  </si>
  <si>
    <t>27AAAAA12604Z5</t>
  </si>
  <si>
    <t>27AAAAA12605Z5</t>
  </si>
  <si>
    <t>27AAAAA12606Z5</t>
  </si>
  <si>
    <t>27AAAAA12607Z5</t>
  </si>
  <si>
    <t>27AAAAA12608Z5</t>
  </si>
  <si>
    <t>27AAAAA12609Z5</t>
  </si>
  <si>
    <t>27AAAAA12610Z5</t>
  </si>
  <si>
    <t>27AAAAA12611Z5</t>
  </si>
  <si>
    <t>27AAAAA12612Z5</t>
  </si>
  <si>
    <t>27AAAAA12613Z5</t>
  </si>
  <si>
    <t>27AAAAA12614Z5</t>
  </si>
  <si>
    <t>27AAAAA12615Z5</t>
  </si>
  <si>
    <t>27AAAAA12616Z5</t>
  </si>
  <si>
    <t>27AAAAA12617Z5</t>
  </si>
  <si>
    <t>27AAAAA12618Z5</t>
  </si>
  <si>
    <t>27AAAAA12619Z5</t>
  </si>
  <si>
    <t>27AAAAA12620Z5</t>
  </si>
  <si>
    <t>27AAAAA12621Z5</t>
  </si>
  <si>
    <t>27AAAAA12622Z5</t>
  </si>
  <si>
    <t>27AAAAA12623Z5</t>
  </si>
  <si>
    <t>27AAAAA12624Z5</t>
  </si>
  <si>
    <t>27AAAAA12625Z5</t>
  </si>
  <si>
    <t>27AAAAA12626Z5</t>
  </si>
  <si>
    <t>27AAAAA12627Z5</t>
  </si>
  <si>
    <t>27AAAAA12628Z5</t>
  </si>
  <si>
    <t>27AAAAA12629Z5</t>
  </si>
  <si>
    <t>27AAAAA12630Z5</t>
  </si>
  <si>
    <t>27AAAAA12631Z5</t>
  </si>
  <si>
    <t>27AAAAA12632Z5</t>
  </si>
  <si>
    <t>27AAAAA12633Z5</t>
  </si>
  <si>
    <t>27AAAAA12634Z5</t>
  </si>
  <si>
    <t>27AAAAA12635Z5</t>
  </si>
  <si>
    <t>27AAAAA12636Z5</t>
  </si>
  <si>
    <t>27AAAAA12637Z5</t>
  </si>
  <si>
    <t>27AAAAA12638Z5</t>
  </si>
  <si>
    <t>27AAAAA12639Z5</t>
  </si>
  <si>
    <t>27AAAAA12640Z5</t>
  </si>
  <si>
    <t>27AAAAA12641Z5</t>
  </si>
  <si>
    <t>27AAAAA12642Z5</t>
  </si>
  <si>
    <t>27AAAAA12643Z5</t>
  </si>
  <si>
    <t>27AAAAA12644Z5</t>
  </si>
  <si>
    <t>27AAAAA12645Z5</t>
  </si>
  <si>
    <t>27AAAAA12646Z5</t>
  </si>
  <si>
    <t>27AAAAA12647Z5</t>
  </si>
  <si>
    <t>27AAAAA12648Z5</t>
  </si>
  <si>
    <t>27AAAAA12649Z5</t>
  </si>
  <si>
    <t>27AAAAA12650Z5</t>
  </si>
  <si>
    <t>27AAAAA12651Z5</t>
  </si>
  <si>
    <t>27AAAAA12652Z5</t>
  </si>
  <si>
    <t>27AAAAA12653Z5</t>
  </si>
  <si>
    <t>27AAAAA12654Z5</t>
  </si>
  <si>
    <t>27AAAAA12655Z5</t>
  </si>
  <si>
    <t>27AAAAA12656Z5</t>
  </si>
  <si>
    <t>27AAAAA12657Z5</t>
  </si>
  <si>
    <t>27AAAAA12658Z5</t>
  </si>
  <si>
    <t>27AAAAA12659Z5</t>
  </si>
  <si>
    <t>27AAAAA12660Z5</t>
  </si>
  <si>
    <t>27AAAAA12661Z5</t>
  </si>
  <si>
    <t>27AAAAA12662Z5</t>
  </si>
  <si>
    <t>27AAAAA12663Z5</t>
  </si>
  <si>
    <t>27AAAAA12664Z5</t>
  </si>
  <si>
    <t>27AAAAA12665Z5</t>
  </si>
  <si>
    <t>27AAAAA12666Z5</t>
  </si>
  <si>
    <t>27AAAAA12667Z5</t>
  </si>
  <si>
    <t>27AAAAA12668Z5</t>
  </si>
  <si>
    <t>27AAAAA12669Z5</t>
  </si>
  <si>
    <t>27AAAAA12670Z5</t>
  </si>
  <si>
    <t>27AAAAA12671Z5</t>
  </si>
  <si>
    <t>27AAAAA12672Z5</t>
  </si>
  <si>
    <t>27AAAAA12673Z5</t>
  </si>
  <si>
    <t>27AAAAA12674Z5</t>
  </si>
  <si>
    <t>27AAAAA12675Z5</t>
  </si>
  <si>
    <t>27AAAAA12676Z5</t>
  </si>
  <si>
    <t>27AAAAA12677Z5</t>
  </si>
  <si>
    <t>27AAAAA12678Z5</t>
  </si>
  <si>
    <t>27AAAAA12679Z5</t>
  </si>
  <si>
    <t>27AAAAA12680Z5</t>
  </si>
  <si>
    <t>27AAAAA12681Z5</t>
  </si>
  <si>
    <t>27AAAAA12682Z5</t>
  </si>
  <si>
    <t>27AAAAA12683Z5</t>
  </si>
  <si>
    <t>27AAAAA12684Z5</t>
  </si>
  <si>
    <t>27AAAAA12685Z5</t>
  </si>
  <si>
    <t>27AAAAA12686Z5</t>
  </si>
  <si>
    <t>27AAAAA12687Z5</t>
  </si>
  <si>
    <t>27AAAAA12688Z5</t>
  </si>
  <si>
    <t>27AAAAA12689Z5</t>
  </si>
  <si>
    <t>27AAAAA12690Z5</t>
  </si>
  <si>
    <t>27AAAAA12691Z5</t>
  </si>
  <si>
    <t>27AAAAA12692Z5</t>
  </si>
  <si>
    <t>27AAAAA12693Z5</t>
  </si>
  <si>
    <t>27AAAAA12694Z5</t>
  </si>
  <si>
    <t>27AAAAA12695Z5</t>
  </si>
  <si>
    <t>27AAAAA12696Z5</t>
  </si>
  <si>
    <t>27AAAAA12697Z5</t>
  </si>
  <si>
    <t>27AAAAA12698Z5</t>
  </si>
  <si>
    <t>27AAAAA12699Z5</t>
  </si>
  <si>
    <t>27AAAAA12700Z5</t>
  </si>
  <si>
    <t>27AAAAA12701Z5</t>
  </si>
  <si>
    <t>27AAAAA12702Z5</t>
  </si>
  <si>
    <t>27AAAAA12703Z5</t>
  </si>
  <si>
    <t>27AAAAA12704Z5</t>
  </si>
  <si>
    <t>27AAAAA12705Z5</t>
  </si>
  <si>
    <t>27AAAAA12706Z5</t>
  </si>
  <si>
    <t>27AAAAA12707Z5</t>
  </si>
  <si>
    <t>27AAAAA12708Z5</t>
  </si>
  <si>
    <t>27AAAAA12709Z5</t>
  </si>
  <si>
    <t>27AAAAA12710Z5</t>
  </si>
  <si>
    <t>27AAAAA12711Z5</t>
  </si>
  <si>
    <t>27AAAAA12712Z5</t>
  </si>
  <si>
    <t>27AAAAA12713Z5</t>
  </si>
  <si>
    <t>27AAAAA12714Z5</t>
  </si>
  <si>
    <t>27AAAAA12715Z5</t>
  </si>
  <si>
    <t>27AAAAA12716Z5</t>
  </si>
  <si>
    <t>27AAAAA12717Z5</t>
  </si>
  <si>
    <t>27AAAAA12718Z5</t>
  </si>
  <si>
    <t>27AAAAA12719Z5</t>
  </si>
  <si>
    <t>27AAAAA12720Z5</t>
  </si>
  <si>
    <t>27AAAAA12721Z5</t>
  </si>
  <si>
    <t>27AAAAA12722Z5</t>
  </si>
  <si>
    <t>27AAAAA12723Z5</t>
  </si>
  <si>
    <t>27AAAAA12724Z5</t>
  </si>
  <si>
    <t>27AAAAA12725Z5</t>
  </si>
  <si>
    <t>27AAAAA12726Z5</t>
  </si>
  <si>
    <t>27AAAAA12727Z5</t>
  </si>
  <si>
    <t>27AAAAA12728Z5</t>
  </si>
  <si>
    <t>27AAAAA12729Z5</t>
  </si>
  <si>
    <t>27AAAAA12730Z5</t>
  </si>
  <si>
    <t>27AAAAA12731Z5</t>
  </si>
  <si>
    <t>27AAAAA12732Z5</t>
  </si>
  <si>
    <t>27AAAAA12733Z5</t>
  </si>
  <si>
    <t>27AAAAA12734Z5</t>
  </si>
  <si>
    <t>27AAAAA12735Z5</t>
  </si>
  <si>
    <t>27AAAAA12736Z5</t>
  </si>
  <si>
    <t>27AAAAA12737Z5</t>
  </si>
  <si>
    <t>27AAAAA12738Z5</t>
  </si>
  <si>
    <t>27AAAAA12739Z5</t>
  </si>
  <si>
    <t>27AAAAA12740Z5</t>
  </si>
  <si>
    <t>27AAAAA12741Z5</t>
  </si>
  <si>
    <t>27AAAAA12742Z5</t>
  </si>
  <si>
    <t>27AAAAA12743Z5</t>
  </si>
  <si>
    <t>27AAAAA12744Z5</t>
  </si>
  <si>
    <t>27AAAAA12745Z5</t>
  </si>
  <si>
    <t>27AAAAA12746Z5</t>
  </si>
  <si>
    <t>27AAAAA12747Z5</t>
  </si>
  <si>
    <t>27AAAAA12748Z5</t>
  </si>
  <si>
    <t>27AAAAA12749Z5</t>
  </si>
  <si>
    <t>27AAAAA12750Z5</t>
  </si>
  <si>
    <t>27AAAAA12751Z5</t>
  </si>
  <si>
    <t>27AAAAA12752Z5</t>
  </si>
  <si>
    <t>27AAAAA12753Z5</t>
  </si>
  <si>
    <t>27AAAAA12754Z5</t>
  </si>
  <si>
    <t>27AAAAA12755Z5</t>
  </si>
  <si>
    <t>27AAAAA12756Z5</t>
  </si>
  <si>
    <t>27AAAAA12757Z5</t>
  </si>
  <si>
    <t>27AAAAA12758Z5</t>
  </si>
  <si>
    <t>27AAAAA12759Z5</t>
  </si>
  <si>
    <t>27AAAAA12760Z5</t>
  </si>
  <si>
    <t>27AAAAA12761Z5</t>
  </si>
  <si>
    <t>27AAAAA12762Z5</t>
  </si>
  <si>
    <t>27AAAAA12763Z5</t>
  </si>
  <si>
    <t>27AAAAA12764Z5</t>
  </si>
  <si>
    <t>27AAAAA12765Z5</t>
  </si>
  <si>
    <t>27AAAAA12766Z5</t>
  </si>
  <si>
    <t>27AAAAA12767Z5</t>
  </si>
  <si>
    <t>27AAAAA12768Z5</t>
  </si>
  <si>
    <t>27AAAAA12769Z5</t>
  </si>
  <si>
    <t>27AAAAA12770Z5</t>
  </si>
  <si>
    <t>27AAAAA12771Z5</t>
  </si>
  <si>
    <t>27AAAAA12772Z5</t>
  </si>
  <si>
    <t>27AAAAA12773Z5</t>
  </si>
  <si>
    <t>27AAAAA12774Z5</t>
  </si>
  <si>
    <t>27AAAAA12775Z5</t>
  </si>
  <si>
    <t>27AAAAA12776Z5</t>
  </si>
  <si>
    <t>27AAAAA12777Z5</t>
  </si>
  <si>
    <t>27AAAAA12778Z5</t>
  </si>
  <si>
    <t>27AAAAA12779Z5</t>
  </si>
  <si>
    <t>27AAAAA12780Z5</t>
  </si>
  <si>
    <t>27AAAAA12781Z5</t>
  </si>
  <si>
    <t>27AAAAA12782Z5</t>
  </si>
  <si>
    <t>27AAAAA12783Z5</t>
  </si>
  <si>
    <t>27AAAAA12784Z5</t>
  </si>
  <si>
    <t>27AAAAA12785Z5</t>
  </si>
  <si>
    <t>27AAAAA12786Z5</t>
  </si>
  <si>
    <t>27AAAAA12787Z5</t>
  </si>
  <si>
    <t>27AAAAA12788Z5</t>
  </si>
  <si>
    <t>27AAAAA12789Z5</t>
  </si>
  <si>
    <t>27AAAAA12790Z5</t>
  </si>
  <si>
    <t>27AAAAA12791Z5</t>
  </si>
  <si>
    <t>27AAAAA12792Z5</t>
  </si>
  <si>
    <t>27AAAAA12793Z5</t>
  </si>
  <si>
    <t>27AAAAA12794Z5</t>
  </si>
  <si>
    <t>27AAAAA12795Z5</t>
  </si>
  <si>
    <t>27AAAAA12796Z5</t>
  </si>
  <si>
    <t>27AAAAA12797Z5</t>
  </si>
  <si>
    <t>27AAAAA12798Z5</t>
  </si>
  <si>
    <t>27AAAAA12799Z5</t>
  </si>
  <si>
    <t>27AAAAA12800Z5</t>
  </si>
  <si>
    <t>27AAAAA12801Z5</t>
  </si>
  <si>
    <t>27AAAAA12802Z5</t>
  </si>
  <si>
    <t>27AAAAA12803Z5</t>
  </si>
  <si>
    <t>27AAAAA12804Z5</t>
  </si>
  <si>
    <t>27AAAAA12805Z5</t>
  </si>
  <si>
    <t>27AAAAA12806Z5</t>
  </si>
  <si>
    <t>27AAAAA12807Z5</t>
  </si>
  <si>
    <t>27AAAAA12808Z5</t>
  </si>
  <si>
    <t>27AAAAA12809Z5</t>
  </si>
  <si>
    <t>27AAAAA12810Z5</t>
  </si>
  <si>
    <t>27AAAAA12811Z5</t>
  </si>
  <si>
    <t>27AAAAA12812Z5</t>
  </si>
  <si>
    <t>27AAAAA12813Z5</t>
  </si>
  <si>
    <t>27AAAAA12814Z5</t>
  </si>
  <si>
    <t>27AAAAA12815Z5</t>
  </si>
  <si>
    <t>27AAAAA12816Z5</t>
  </si>
  <si>
    <t>27AAAAA12817Z5</t>
  </si>
  <si>
    <t>27AAAAA12818Z5</t>
  </si>
  <si>
    <t>27AAAAA12819Z5</t>
  </si>
  <si>
    <t>27AAAAA12820Z5</t>
  </si>
  <si>
    <t>27AAAAA12821Z5</t>
  </si>
  <si>
    <t>27AAAAA12822Z5</t>
  </si>
  <si>
    <t>27AAAAA12823Z5</t>
  </si>
  <si>
    <t>27AAAAA12824Z5</t>
  </si>
  <si>
    <t>27AAAAA12825Z5</t>
  </si>
  <si>
    <t>27AAAAA12826Z5</t>
  </si>
  <si>
    <t>27AAAAA12827Z5</t>
  </si>
  <si>
    <t>27AAAAA12828Z5</t>
  </si>
  <si>
    <t>27AAAAA12829Z5</t>
  </si>
  <si>
    <t>27AAAAA12830Z5</t>
  </si>
  <si>
    <t>27AAAAA12831Z5</t>
  </si>
  <si>
    <t>27AAAAA12832Z5</t>
  </si>
  <si>
    <t>27AAAAA12833Z5</t>
  </si>
  <si>
    <t>27AAAAA12834Z5</t>
  </si>
  <si>
    <t>27AAAAA12835Z5</t>
  </si>
  <si>
    <t>27AAAAA12836Z5</t>
  </si>
  <si>
    <t>27AAAAA12837Z5</t>
  </si>
  <si>
    <t>27AAAAA12838Z5</t>
  </si>
  <si>
    <t>27AAAAA12839Z5</t>
  </si>
  <si>
    <t>27AAAAA12840Z5</t>
  </si>
  <si>
    <t>27AAAAA12841Z5</t>
  </si>
  <si>
    <t>27AAAAA12842Z5</t>
  </si>
  <si>
    <t>27AAAAA12843Z5</t>
  </si>
  <si>
    <t>27AAAAA12844Z5</t>
  </si>
  <si>
    <t>27AAAAA12845Z5</t>
  </si>
  <si>
    <t>27AAAAA12846Z5</t>
  </si>
  <si>
    <t>27AAAAA12847Z5</t>
  </si>
  <si>
    <t>27AAAAA12848Z5</t>
  </si>
  <si>
    <t>27AAAAA12849Z5</t>
  </si>
  <si>
    <t>27AAAAA12850Z5</t>
  </si>
  <si>
    <t>27AAAAA12851Z5</t>
  </si>
  <si>
    <t>27AAAAA12852Z5</t>
  </si>
  <si>
    <t>27AAAAA12853Z5</t>
  </si>
  <si>
    <t>27AAAAA12854Z5</t>
  </si>
  <si>
    <t>27AAAAA12855Z5</t>
  </si>
  <si>
    <t>27AAAAA12856Z5</t>
  </si>
  <si>
    <t>27AAAAA12857Z5</t>
  </si>
  <si>
    <t>27AAAAA12858Z5</t>
  </si>
  <si>
    <t>27AAAAA12859Z5</t>
  </si>
  <si>
    <t>27AAAAA12860Z5</t>
  </si>
  <si>
    <t>27AAAAA12861Z5</t>
  </si>
  <si>
    <t>27AAAAA12862Z5</t>
  </si>
  <si>
    <t>27AAAAA12863Z5</t>
  </si>
  <si>
    <t>27AAAAA12864Z5</t>
  </si>
  <si>
    <t>27AAAAA12865Z5</t>
  </si>
  <si>
    <t>27AAAAA12866Z5</t>
  </si>
  <si>
    <t>27AAAAA12867Z5</t>
  </si>
  <si>
    <t>27AAAAA12868Z5</t>
  </si>
  <si>
    <t>27AAAAA12869Z5</t>
  </si>
  <si>
    <t>27AAAAA12870Z5</t>
  </si>
  <si>
    <t>27AAAAA12871Z5</t>
  </si>
  <si>
    <t>27AAAAA12872Z5</t>
  </si>
  <si>
    <t>27AAAAA12873Z5</t>
  </si>
  <si>
    <t>27AAAAA12874Z5</t>
  </si>
  <si>
    <t>27AAAAA12875Z5</t>
  </si>
  <si>
    <t>27AAAAA12876Z5</t>
  </si>
  <si>
    <t>27AAAAA12877Z5</t>
  </si>
  <si>
    <t>27AAAAA12878Z5</t>
  </si>
  <si>
    <t>27AAAAA12879Z5</t>
  </si>
  <si>
    <t>27AAAAA12880Z5</t>
  </si>
  <si>
    <t>27AAAAA12881Z5</t>
  </si>
  <si>
    <t>27AAAAA12882Z5</t>
  </si>
  <si>
    <t>27AAAAA12883Z5</t>
  </si>
  <si>
    <t>27AAAAA12884Z5</t>
  </si>
  <si>
    <t>27AAAAA12885Z5</t>
  </si>
  <si>
    <t>27AAAAA12886Z5</t>
  </si>
  <si>
    <t>27AAAAA12887Z5</t>
  </si>
  <si>
    <t>27AAAAA12888Z5</t>
  </si>
  <si>
    <t>27AAAAA12889Z5</t>
  </si>
  <si>
    <t>27AAAAA12890Z5</t>
  </si>
  <si>
    <t>27AAAAA12891Z5</t>
  </si>
  <si>
    <t>27AAAAA12892Z5</t>
  </si>
  <si>
    <t>27AAAAA12893Z5</t>
  </si>
  <si>
    <t>27AAAAA12894Z5</t>
  </si>
  <si>
    <t>27AAAAA12895Z5</t>
  </si>
  <si>
    <t>27AAAAA12896Z5</t>
  </si>
  <si>
    <t>27AAAAA12897Z5</t>
  </si>
  <si>
    <t>27AAAAA12898Z5</t>
  </si>
  <si>
    <t>27AAAAA12899Z5</t>
  </si>
  <si>
    <t>27AAAAA12900Z5</t>
  </si>
  <si>
    <t>27AAAAA12901Z5</t>
  </si>
  <si>
    <t>27AAAAA12902Z5</t>
  </si>
  <si>
    <t>27AAAAA12903Z5</t>
  </si>
  <si>
    <t>27AAAAA12904Z5</t>
  </si>
  <si>
    <t>27AAAAA12905Z5</t>
  </si>
  <si>
    <t>27AAAAA12906Z5</t>
  </si>
  <si>
    <t>27AAAAA12907Z5</t>
  </si>
  <si>
    <t>27AAAAA12908Z5</t>
  </si>
  <si>
    <t>27AAAAA12909Z5</t>
  </si>
  <si>
    <t>27AAAAA12910Z5</t>
  </si>
  <si>
    <t>27AAAAA12911Z5</t>
  </si>
  <si>
    <t>27AAAAA12912Z5</t>
  </si>
  <si>
    <t>27AAAAA12913Z5</t>
  </si>
  <si>
    <t>27AAAAA12914Z5</t>
  </si>
  <si>
    <t>27AAAAA12915Z5</t>
  </si>
  <si>
    <t>27AAAAA12916Z5</t>
  </si>
  <si>
    <t>27AAAAA12917Z5</t>
  </si>
  <si>
    <t>27AAAAA12918Z5</t>
  </si>
  <si>
    <t>27AAAAA12919Z5</t>
  </si>
  <si>
    <t>27AAAAA12920Z5</t>
  </si>
  <si>
    <t>27AAAAA12921Z5</t>
  </si>
  <si>
    <t>27AAAAA12922Z5</t>
  </si>
  <si>
    <t>27AAAAA12923Z5</t>
  </si>
  <si>
    <t>27AAAAA12924Z5</t>
  </si>
  <si>
    <t>27AAAAA12925Z5</t>
  </si>
  <si>
    <t>27AAAAA12926Z5</t>
  </si>
  <si>
    <t>27AAAAA12927Z5</t>
  </si>
  <si>
    <t>27AAAAA12928Z5</t>
  </si>
  <si>
    <t>27AAAAA12929Z5</t>
  </si>
  <si>
    <t>27AAAAA12930Z5</t>
  </si>
  <si>
    <t>27AAAAA12931Z5</t>
  </si>
  <si>
    <t>27AAAAA12932Z5</t>
  </si>
  <si>
    <t>27AAAAA12933Z5</t>
  </si>
  <si>
    <t>27AAAAA12934Z5</t>
  </si>
  <si>
    <t>27AAAAA12935Z5</t>
  </si>
  <si>
    <t>27AAAAA12936Z5</t>
  </si>
  <si>
    <t>27AAAAA12937Z5</t>
  </si>
  <si>
    <t>27AAAAA12938Z5</t>
  </si>
  <si>
    <t>27AAAAA12939Z5</t>
  </si>
  <si>
    <t>27AAAAA12940Z5</t>
  </si>
  <si>
    <t>27AAAAA12941Z5</t>
  </si>
  <si>
    <t>27AAAAA12942Z5</t>
  </si>
  <si>
    <t>27AAAAA12943Z5</t>
  </si>
  <si>
    <t>27AAAAA12944Z5</t>
  </si>
  <si>
    <t>27AAAAA12945Z5</t>
  </si>
  <si>
    <t>27AAAAA12946Z5</t>
  </si>
  <si>
    <t>27AAAAA12947Z5</t>
  </si>
  <si>
    <t>27AAAAA12948Z5</t>
  </si>
  <si>
    <t>27AAAAA12949Z5</t>
  </si>
  <si>
    <t>27AAAAA12950Z5</t>
  </si>
  <si>
    <t>27AAAAA12951Z5</t>
  </si>
  <si>
    <t>27AAAAA12952Z5</t>
  </si>
  <si>
    <t>27AAAAA12953Z5</t>
  </si>
  <si>
    <t>27AAAAA12954Z5</t>
  </si>
  <si>
    <t>27AAAAA12955Z5</t>
  </si>
  <si>
    <t>27AAAAA12956Z5</t>
  </si>
  <si>
    <t>27AAAAA12957Z5</t>
  </si>
  <si>
    <t>27AAAAA12958Z5</t>
  </si>
  <si>
    <t>27AAAAA12959Z5</t>
  </si>
  <si>
    <t>27AAAAA12960Z5</t>
  </si>
  <si>
    <t>27AAAAA12961Z5</t>
  </si>
  <si>
    <t>27AAAAA12962Z5</t>
  </si>
  <si>
    <t>27AAAAA12963Z5</t>
  </si>
  <si>
    <t>27AAAAA12964Z5</t>
  </si>
  <si>
    <t>27AAAAA12965Z5</t>
  </si>
  <si>
    <t>27AAAAA12966Z5</t>
  </si>
  <si>
    <t>27AAAAA12967Z5</t>
  </si>
  <si>
    <t>27AAAAA12968Z5</t>
  </si>
  <si>
    <t>27AAAAA12969Z5</t>
  </si>
  <si>
    <t>27AAAAA12970Z5</t>
  </si>
  <si>
    <t>27AAAAA12971Z5</t>
  </si>
  <si>
    <t>27AAAAA12972Z5</t>
  </si>
  <si>
    <t>27AAAAA12973Z5</t>
  </si>
  <si>
    <t>27AAAAA12974Z5</t>
  </si>
  <si>
    <t>27AAAAA12975Z5</t>
  </si>
  <si>
    <t>27AAAAA12976Z5</t>
  </si>
  <si>
    <t>27AAAAA12977Z5</t>
  </si>
  <si>
    <t>27AAAAA12978Z5</t>
  </si>
  <si>
    <t>27AAAAA12979Z5</t>
  </si>
  <si>
    <t>27AAAAA12980Z5</t>
  </si>
  <si>
    <t>27AAAAA12981Z5</t>
  </si>
  <si>
    <t>27AAAAA12982Z5</t>
  </si>
  <si>
    <t>27AAAAA12983Z5</t>
  </si>
  <si>
    <t>27AAAAA12984Z5</t>
  </si>
  <si>
    <t>27AAAAA12985Z5</t>
  </si>
  <si>
    <t>27AAAAA12986Z5</t>
  </si>
  <si>
    <t>27AAAAA12987Z5</t>
  </si>
  <si>
    <t>27AAAAA12988Z5</t>
  </si>
  <si>
    <t>27AAAAA12989Z5</t>
  </si>
  <si>
    <t>27AAAAA12990Z5</t>
  </si>
  <si>
    <t>27AAAAA12991Z5</t>
  </si>
  <si>
    <t>27AAAAA12992Z5</t>
  </si>
  <si>
    <t>27AAAAA12993Z5</t>
  </si>
  <si>
    <t>27AAAAA12994Z5</t>
  </si>
  <si>
    <t>27AAAAA12995Z5</t>
  </si>
  <si>
    <t>27AAAAA12996Z5</t>
  </si>
  <si>
    <t>27AAAAA12997Z5</t>
  </si>
  <si>
    <t>27AAAAA12998Z5</t>
  </si>
  <si>
    <t>27AAAAA12999Z5</t>
  </si>
  <si>
    <t>27AAAAA13000Z5</t>
  </si>
  <si>
    <t>27AAAAA13001Z5</t>
  </si>
  <si>
    <t>27AAAAA13002Z5</t>
  </si>
  <si>
    <t>27AAAAA13003Z5</t>
  </si>
  <si>
    <t>27AAAAA13004Z5</t>
  </si>
  <si>
    <t>27AAAAA13005Z5</t>
  </si>
  <si>
    <t>27AAAAA13006Z5</t>
  </si>
  <si>
    <t>27AAAAA13007Z5</t>
  </si>
  <si>
    <t>27AAAAA13008Z5</t>
  </si>
  <si>
    <t>27AAAAA13009Z5</t>
  </si>
  <si>
    <t>27AAAAA13010Z5</t>
  </si>
  <si>
    <t>27AAAAA13011Z5</t>
  </si>
  <si>
    <t>27AAAAA13012Z5</t>
  </si>
  <si>
    <t>27AAAAA13013Z5</t>
  </si>
  <si>
    <t>27AAAAA13014Z5</t>
  </si>
  <si>
    <t>27AAAAA13015Z5</t>
  </si>
  <si>
    <t>27AAAAA13016Z5</t>
  </si>
  <si>
    <t>27AAAAA13017Z5</t>
  </si>
  <si>
    <t>27AAAAA13018Z5</t>
  </si>
  <si>
    <t>27AAAAA13019Z5</t>
  </si>
  <si>
    <t>27AAAAA13020Z5</t>
  </si>
  <si>
    <t>27AAAAA13021Z5</t>
  </si>
  <si>
    <t>27AAAAA13022Z5</t>
  </si>
  <si>
    <t>27AAAAA13023Z5</t>
  </si>
  <si>
    <t>27AAAAA13024Z5</t>
  </si>
  <si>
    <t>27AAAAA13025Z5</t>
  </si>
  <si>
    <t>27AAAAA13026Z5</t>
  </si>
  <si>
    <t>27AAAAA13027Z5</t>
  </si>
  <si>
    <t>27AAAAA13028Z5</t>
  </si>
  <si>
    <t>27AAAAA13029Z5</t>
  </si>
  <si>
    <t>27AAAAA13030Z5</t>
  </si>
  <si>
    <t>27AAAAA13031Z5</t>
  </si>
  <si>
    <t>27AAAAA13032Z5</t>
  </si>
  <si>
    <t>27AAAAA13033Z5</t>
  </si>
  <si>
    <t>27AAAAA13034Z5</t>
  </si>
  <si>
    <t>27AAAAA13035Z5</t>
  </si>
  <si>
    <t>27AAAAA13036Z5</t>
  </si>
  <si>
    <t>27AAAAA13037Z5</t>
  </si>
  <si>
    <t>27AAAAA13038Z5</t>
  </si>
  <si>
    <t>27AAAAA13039Z5</t>
  </si>
  <si>
    <t>27AAAAA13040Z5</t>
  </si>
  <si>
    <t>27AAAAA13041Z5</t>
  </si>
  <si>
    <t>27AAAAA13042Z5</t>
  </si>
  <si>
    <t>27AAAAA13043Z5</t>
  </si>
  <si>
    <t>27AAAAA13044Z5</t>
  </si>
  <si>
    <t>27AAAAA13045Z5</t>
  </si>
  <si>
    <t>27AAAAA13046Z5</t>
  </si>
  <si>
    <t>27AAAAA13047Z5</t>
  </si>
  <si>
    <t>27AAAAA13048Z5</t>
  </si>
  <si>
    <t>27AAAAA13049Z5</t>
  </si>
  <si>
    <t>27AAAAA13050Z5</t>
  </si>
  <si>
    <t>27AAAAA13051Z5</t>
  </si>
  <si>
    <t>27AAAAA13052Z5</t>
  </si>
  <si>
    <t>27AAAAA13053Z5</t>
  </si>
  <si>
    <t>27AAAAA13054Z5</t>
  </si>
  <si>
    <t>27AAAAA13055Z5</t>
  </si>
  <si>
    <t>27AAAAA13056Z5</t>
  </si>
  <si>
    <t>27AAAAA13057Z5</t>
  </si>
  <si>
    <t>27AAAAA13058Z5</t>
  </si>
  <si>
    <t>27AAAAA13059Z5</t>
  </si>
  <si>
    <t>27AAAAA13060Z5</t>
  </si>
  <si>
    <t>27AAAAA13061Z5</t>
  </si>
  <si>
    <t>27AAAAA13062Z5</t>
  </si>
  <si>
    <t>27AAAAA13063Z5</t>
  </si>
  <si>
    <t>27AAAAA13064Z5</t>
  </si>
  <si>
    <t>27AAAAA13065Z5</t>
  </si>
  <si>
    <t>27AAAAA13066Z5</t>
  </si>
  <si>
    <t>27AAAAA13067Z5</t>
  </si>
  <si>
    <t>27AAAAA13068Z5</t>
  </si>
  <si>
    <t>27AAAAA13069Z5</t>
  </si>
  <si>
    <t>27AAAAA13070Z5</t>
  </si>
  <si>
    <t>27AAAAA13071Z5</t>
  </si>
  <si>
    <t>27AAAAA13072Z5</t>
  </si>
  <si>
    <t>27AAAAA13073Z5</t>
  </si>
  <si>
    <t>27AAAAA13074Z5</t>
  </si>
  <si>
    <t>27AAAAA13075Z5</t>
  </si>
  <si>
    <t>27AAAAA13076Z5</t>
  </si>
  <si>
    <t>27AAAAA13077Z5</t>
  </si>
  <si>
    <t>27AAAAA13078Z5</t>
  </si>
  <si>
    <t>27AAAAA13079Z5</t>
  </si>
  <si>
    <t>27AAAAA13080Z5</t>
  </si>
  <si>
    <t>27AAAAA13081Z5</t>
  </si>
  <si>
    <t>27AAAAA13082Z5</t>
  </si>
  <si>
    <t>27AAAAA13083Z5</t>
  </si>
  <si>
    <t>27AAAAA13084Z5</t>
  </si>
  <si>
    <t>27AAAAA13085Z5</t>
  </si>
  <si>
    <t>27AAAAA13086Z5</t>
  </si>
  <si>
    <t>27AAAAA13087Z5</t>
  </si>
  <si>
    <t>27AAAAA13088Z5</t>
  </si>
  <si>
    <t>27AAAAA13089Z5</t>
  </si>
  <si>
    <t>27AAAAA13090Z5</t>
  </si>
  <si>
    <t>27AAAAA13091Z5</t>
  </si>
  <si>
    <t>27AAAAA13092Z5</t>
  </si>
  <si>
    <t>27AAAAA13093Z5</t>
  </si>
  <si>
    <t>27AAAAA13094Z5</t>
  </si>
  <si>
    <t>27AAAAA13095Z5</t>
  </si>
  <si>
    <t>27AAAAA13096Z5</t>
  </si>
  <si>
    <t>27AAAAA13097Z5</t>
  </si>
  <si>
    <t>27AAAAA13098Z5</t>
  </si>
  <si>
    <t>27AAAAA13099Z5</t>
  </si>
  <si>
    <t>27AAAAA13100Z5</t>
  </si>
  <si>
    <t>27AAAAA13101Z5</t>
  </si>
  <si>
    <t>27AAAAA13102Z5</t>
  </si>
  <si>
    <t>27AAAAA13103Z5</t>
  </si>
  <si>
    <t>27AAAAA13104Z5</t>
  </si>
  <si>
    <t>27AAAAA13105Z5</t>
  </si>
  <si>
    <t>27AAAAA13106Z5</t>
  </si>
  <si>
    <t>27AAAAA13107Z5</t>
  </si>
  <si>
    <t>27AAAAA13108Z5</t>
  </si>
  <si>
    <t>27AAAAA13109Z5</t>
  </si>
  <si>
    <t>27AAAAA13110Z5</t>
  </si>
  <si>
    <t>27AAAAA13111Z5</t>
  </si>
  <si>
    <t>27AAAAA13112Z5</t>
  </si>
  <si>
    <t>27AAAAA13113Z5</t>
  </si>
  <si>
    <t>27AAAAA13114Z5</t>
  </si>
  <si>
    <t>27AAAAA13115Z5</t>
  </si>
  <si>
    <t>27AAAAA13116Z5</t>
  </si>
  <si>
    <t>27AAAAA13117Z5</t>
  </si>
  <si>
    <t>27AAAAA13118Z5</t>
  </si>
  <si>
    <t>27AAAAA13119Z5</t>
  </si>
  <si>
    <t>27AAAAA13120Z5</t>
  </si>
  <si>
    <t>27AAAAA13121Z5</t>
  </si>
  <si>
    <t>27AAAAA13122Z5</t>
  </si>
  <si>
    <t>27AAAAA13123Z5</t>
  </si>
  <si>
    <t>27AAAAA13124Z5</t>
  </si>
  <si>
    <t>27AAAAA13125Z5</t>
  </si>
  <si>
    <t>27AAAAA13126Z5</t>
  </si>
  <si>
    <t>27AAAAA13127Z5</t>
  </si>
  <si>
    <t>27AAAAA13128Z5</t>
  </si>
  <si>
    <t>27AAAAA13129Z5</t>
  </si>
  <si>
    <t>27AAAAA13130Z5</t>
  </si>
  <si>
    <t>27AAAAA13131Z5</t>
  </si>
  <si>
    <t>27AAAAA13132Z5</t>
  </si>
  <si>
    <t>27AAAAA13133Z5</t>
  </si>
  <si>
    <t>27AAAAA13134Z5</t>
  </si>
  <si>
    <t>27AAAAA13135Z5</t>
  </si>
  <si>
    <t>27AAAAA13136Z5</t>
  </si>
  <si>
    <t>27AAAAA13137Z5</t>
  </si>
  <si>
    <t>27AAAAA13138Z5</t>
  </si>
  <si>
    <t>27AAAAA13139Z5</t>
  </si>
  <si>
    <t>27AAAAA13140Z5</t>
  </si>
  <si>
    <t>27AAAAA13141Z5</t>
  </si>
  <si>
    <t>27AAAAA13142Z5</t>
  </si>
  <si>
    <t>27AAAAA13143Z5</t>
  </si>
  <si>
    <t>27AAAAA13144Z5</t>
  </si>
  <si>
    <t>27AAAAA13145Z5</t>
  </si>
  <si>
    <t>27AAAAA13146Z5</t>
  </si>
  <si>
    <t>27AAAAA13147Z5</t>
  </si>
  <si>
    <t>27AAAAA13148Z5</t>
  </si>
  <si>
    <t>27AAAAA13149Z5</t>
  </si>
  <si>
    <t>27AAAAA13150Z5</t>
  </si>
  <si>
    <t>27AAAAA13151Z5</t>
  </si>
  <si>
    <t>27AAAAA13152Z5</t>
  </si>
  <si>
    <t>27AAAAA13153Z5</t>
  </si>
  <si>
    <t>27AAAAA13154Z5</t>
  </si>
  <si>
    <t>27AAAAA13155Z5</t>
  </si>
  <si>
    <t>27AAAAA13156Z5</t>
  </si>
  <si>
    <t>27AAAAA13157Z5</t>
  </si>
  <si>
    <t>27AAAAA13158Z5</t>
  </si>
  <si>
    <t>27AAAAA13159Z5</t>
  </si>
  <si>
    <t>27AAAAA13160Z5</t>
  </si>
  <si>
    <t>27AAAAA13161Z5</t>
  </si>
  <si>
    <t>27AAAAA13162Z5</t>
  </si>
  <si>
    <t>27AAAAA13163Z5</t>
  </si>
  <si>
    <t>27AAAAA13164Z5</t>
  </si>
  <si>
    <t>27AAAAA13165Z5</t>
  </si>
  <si>
    <t>27AAAAA13166Z5</t>
  </si>
  <si>
    <t>27AAAAA13167Z5</t>
  </si>
  <si>
    <t>27AAAAA13168Z5</t>
  </si>
  <si>
    <t>27AAAAA13169Z5</t>
  </si>
  <si>
    <t>27AAAAA13170Z5</t>
  </si>
  <si>
    <t>27AAAAA13171Z5</t>
  </si>
  <si>
    <t>27AAAAA13172Z5</t>
  </si>
  <si>
    <t>27AAAAA13173Z5</t>
  </si>
  <si>
    <t>27AAAAA13174Z5</t>
  </si>
  <si>
    <t>27AAAAA13175Z5</t>
  </si>
  <si>
    <t>27AAAAA13176Z5</t>
  </si>
  <si>
    <t>27AAAAA13177Z5</t>
  </si>
  <si>
    <t>27AAAAA13178Z5</t>
  </si>
  <si>
    <t>27AAAAA13179Z5</t>
  </si>
  <si>
    <t>27AAAAA13180Z5</t>
  </si>
  <si>
    <t>27AAAAA13181Z5</t>
  </si>
  <si>
    <t>27AAAAA13182Z5</t>
  </si>
  <si>
    <t>27AAAAA13183Z5</t>
  </si>
  <si>
    <t>27AAAAA13184Z5</t>
  </si>
  <si>
    <t>27AAAAA13185Z5</t>
  </si>
  <si>
    <t>27AAAAA13186Z5</t>
  </si>
  <si>
    <t>27AAAAA13187Z5</t>
  </si>
  <si>
    <t>27AAAAA13188Z5</t>
  </si>
  <si>
    <t>27AAAAA13189Z5</t>
  </si>
  <si>
    <t>27AAAAA13190Z5</t>
  </si>
  <si>
    <t>27AAAAA13191Z5</t>
  </si>
  <si>
    <t>27AAAAA13192Z5</t>
  </si>
  <si>
    <t>27AAAAA13193Z5</t>
  </si>
  <si>
    <t>27AAAAA13194Z5</t>
  </si>
  <si>
    <t>27AAAAA13195Z5</t>
  </si>
  <si>
    <t>27AAAAA13196Z5</t>
  </si>
  <si>
    <t>27AAAAA13197Z5</t>
  </si>
  <si>
    <t>27AAAAA13198Z5</t>
  </si>
  <si>
    <t>27AAAAA13199Z5</t>
  </si>
  <si>
    <t>27AAAAA13200Z5</t>
  </si>
  <si>
    <t>27AAAAA13201Z5</t>
  </si>
  <si>
    <t>27AAAAA13202Z5</t>
  </si>
  <si>
    <t>27AAAAA13203Z5</t>
  </si>
  <si>
    <t>27AAAAA13204Z5</t>
  </si>
  <si>
    <t>27AAAAA13205Z5</t>
  </si>
  <si>
    <t>27AAAAA13206Z5</t>
  </si>
  <si>
    <t>27AAAAA13207Z5</t>
  </si>
  <si>
    <t>27AAAAA13208Z5</t>
  </si>
  <si>
    <t>27AAAAA13209Z5</t>
  </si>
  <si>
    <t>27AAAAA13210Z5</t>
  </si>
  <si>
    <t>27AAAAA13211Z5</t>
  </si>
  <si>
    <t>27AAAAA13212Z5</t>
  </si>
  <si>
    <t>27AAAAA13213Z5</t>
  </si>
  <si>
    <t>27AAAAA13214Z5</t>
  </si>
  <si>
    <t>27AAAAA13215Z5</t>
  </si>
  <si>
    <t>27AAAAA13216Z5</t>
  </si>
  <si>
    <t>27AAAAA13217Z5</t>
  </si>
  <si>
    <t>27AAAAA13218Z5</t>
  </si>
  <si>
    <t>27AAAAA13219Z5</t>
  </si>
  <si>
    <t>27AAAAA13220Z5</t>
  </si>
  <si>
    <t>27AAAAA13221Z5</t>
  </si>
  <si>
    <t>27AAAAA13222Z5</t>
  </si>
  <si>
    <t>27AAAAA13223Z5</t>
  </si>
  <si>
    <t>27AAAAA13224Z5</t>
  </si>
  <si>
    <t>27AAAAA13225Z5</t>
  </si>
  <si>
    <t>27AAAAA13226Z5</t>
  </si>
  <si>
    <t>27AAAAA13227Z5</t>
  </si>
  <si>
    <t>27AAAAA13228Z5</t>
  </si>
  <si>
    <t>27AAAAA13229Z5</t>
  </si>
  <si>
    <t>27AAAAA13230Z5</t>
  </si>
  <si>
    <t>27AAAAA13231Z5</t>
  </si>
  <si>
    <t>27AAAAA13232Z5</t>
  </si>
  <si>
    <t>27AAAAA13233Z5</t>
  </si>
  <si>
    <t>27AAAAA13234Z5</t>
  </si>
  <si>
    <t>27AAAAA13235Z5</t>
  </si>
  <si>
    <t>27AAAAA13236Z5</t>
  </si>
  <si>
    <t>27AAAAA13237Z5</t>
  </si>
  <si>
    <t>27AAAAA13238Z5</t>
  </si>
  <si>
    <t>27AAAAA13239Z5</t>
  </si>
  <si>
    <t>27AAAAA13240Z5</t>
  </si>
  <si>
    <t>27AAAAA13241Z5</t>
  </si>
  <si>
    <t>27AAAAA13242Z5</t>
  </si>
  <si>
    <t>27AAAAA13243Z5</t>
  </si>
  <si>
    <t>27AAAAA13244Z5</t>
  </si>
  <si>
    <t>27AAAAA13245Z5</t>
  </si>
  <si>
    <t>27AAAAA13246Z5</t>
  </si>
  <si>
    <t>27AAAAA13247Z5</t>
  </si>
  <si>
    <t>27AAAAA13248Z5</t>
  </si>
  <si>
    <t>27AAAAA13249Z5</t>
  </si>
  <si>
    <t>27AAAAA13250Z5</t>
  </si>
  <si>
    <t>27AAAAA13251Z5</t>
  </si>
  <si>
    <t>27AAAAA13252Z5</t>
  </si>
  <si>
    <t>27AAAAA13253Z5</t>
  </si>
  <si>
    <t>27AAAAA13254Z5</t>
  </si>
  <si>
    <t>27AAAAA13255Z5</t>
  </si>
  <si>
    <t>27AAAAA13256Z5</t>
  </si>
  <si>
    <t>27AAAAA13257Z5</t>
  </si>
  <si>
    <t>27AAAAA13258Z5</t>
  </si>
  <si>
    <t>27AAAAA13259Z5</t>
  </si>
  <si>
    <t>27AAAAA13260Z5</t>
  </si>
  <si>
    <t>27AAAAA13261Z5</t>
  </si>
  <si>
    <t>27AAAAA13262Z5</t>
  </si>
  <si>
    <t>27AAAAA13263Z5</t>
  </si>
  <si>
    <t>27AAAAA13264Z5</t>
  </si>
  <si>
    <t>27AAAAA13265Z5</t>
  </si>
  <si>
    <t>27AAAAA13266Z5</t>
  </si>
  <si>
    <t>27AAAAA13267Z5</t>
  </si>
  <si>
    <t>27AAAAA13268Z5</t>
  </si>
  <si>
    <t>27AAAAA13269Z5</t>
  </si>
  <si>
    <t>27AAAAA13270Z5</t>
  </si>
  <si>
    <t>27AAAAA13271Z5</t>
  </si>
  <si>
    <t>27AAAAA13272Z5</t>
  </si>
  <si>
    <t>27AAAAA13273Z5</t>
  </si>
  <si>
    <t>27AAAAA13274Z5</t>
  </si>
  <si>
    <t>27AAAAA13275Z5</t>
  </si>
  <si>
    <t>27AAAAA13276Z5</t>
  </si>
  <si>
    <t>27AAAAA13277Z5</t>
  </si>
  <si>
    <t>27AAAAA13278Z5</t>
  </si>
  <si>
    <t>27AAAAA13279Z5</t>
  </si>
  <si>
    <t>27AAAAA13280Z5</t>
  </si>
  <si>
    <t>27AAAAA13281Z5</t>
  </si>
  <si>
    <t>27AAAAA13282Z5</t>
  </si>
  <si>
    <t>27AAAAA13283Z5</t>
  </si>
  <si>
    <t>27AAAAA13284Z5</t>
  </si>
  <si>
    <t>27AAAAA13285Z5</t>
  </si>
  <si>
    <t>27AAAAA13286Z5</t>
  </si>
  <si>
    <t>27AAAAA13287Z5</t>
  </si>
  <si>
    <t>27AAAAA13288Z5</t>
  </si>
  <si>
    <t>27AAAAA13289Z5</t>
  </si>
  <si>
    <t>27AAAAA13290Z5</t>
  </si>
  <si>
    <t>27AAAAA13291Z5</t>
  </si>
  <si>
    <t>27AAAAA13292Z5</t>
  </si>
  <si>
    <t>27AAAAA13293Z5</t>
  </si>
  <si>
    <t>27AAAAA13294Z5</t>
  </si>
  <si>
    <t>27AAAAA13295Z5</t>
  </si>
  <si>
    <t>27AAAAA13296Z5</t>
  </si>
  <si>
    <t>27AAAAA13297Z5</t>
  </si>
  <si>
    <t>27AAAAA13298Z5</t>
  </si>
  <si>
    <t>27AAAAA13299Z5</t>
  </si>
  <si>
    <t>27AAAAA13300Z5</t>
  </si>
  <si>
    <t>27AAAAA13301Z5</t>
  </si>
  <si>
    <t>27AAAAA13302Z5</t>
  </si>
  <si>
    <t>27AAAAA13303Z5</t>
  </si>
  <si>
    <t>27AAAAA13304Z5</t>
  </si>
  <si>
    <t>27AAAAA13305Z5</t>
  </si>
  <si>
    <t>27AAAAA13306Z5</t>
  </si>
  <si>
    <t>27AAAAA13307Z5</t>
  </si>
  <si>
    <t>27AAAAA13308Z5</t>
  </si>
  <si>
    <t>27AAAAA13309Z5</t>
  </si>
  <si>
    <t>27AAAAA13310Z5</t>
  </si>
  <si>
    <t>27AAAAA13311Z5</t>
  </si>
  <si>
    <t>27AAAAA13312Z5</t>
  </si>
  <si>
    <t>27AAAAA13313Z5</t>
  </si>
  <si>
    <t>27AAAAA13314Z5</t>
  </si>
  <si>
    <t>27AAAAA13315Z5</t>
  </si>
  <si>
    <t>27AAAAA13316Z5</t>
  </si>
  <si>
    <t>27AAAAA13317Z5</t>
  </si>
  <si>
    <t>27AAAAA13318Z5</t>
  </si>
  <si>
    <t>27AAAAA13319Z5</t>
  </si>
  <si>
    <t>27AAAAA13320Z5</t>
  </si>
  <si>
    <t>27AAAAA13321Z5</t>
  </si>
  <si>
    <t>27AAAAA13322Z5</t>
  </si>
  <si>
    <t>27AAAAA13323Z5</t>
  </si>
  <si>
    <t>27AAAAA13324Z5</t>
  </si>
  <si>
    <t>27AAAAA13325Z5</t>
  </si>
  <si>
    <t>27AAAAA13326Z5</t>
  </si>
  <si>
    <t>27AAAAA13327Z5</t>
  </si>
  <si>
    <t>27AAAAA13328Z5</t>
  </si>
  <si>
    <t>27AAAAA13329Z5</t>
  </si>
  <si>
    <t>27AAAAA13330Z5</t>
  </si>
  <si>
    <t>27AAAAA13331Z5</t>
  </si>
  <si>
    <t>27AAAAA13332Z5</t>
  </si>
  <si>
    <t>27AAAAA13333Z5</t>
  </si>
  <si>
    <t>27AAAAA13334Z5</t>
  </si>
  <si>
    <t>27AAAAA13335Z5</t>
  </si>
  <si>
    <t>27AAAAA13336Z5</t>
  </si>
  <si>
    <t>27AAAAA13337Z5</t>
  </si>
  <si>
    <t>27AAAAA13338Z5</t>
  </si>
  <si>
    <t>27AAAAA13339Z5</t>
  </si>
  <si>
    <t>27AAAAA13340Z5</t>
  </si>
  <si>
    <t>27AAAAA13341Z5</t>
  </si>
  <si>
    <t>27AAAAA13342Z5</t>
  </si>
  <si>
    <t>27AAAAA13343Z5</t>
  </si>
  <si>
    <t>27AAAAA13344Z5</t>
  </si>
  <si>
    <t>27AAAAA13345Z5</t>
  </si>
  <si>
    <t>27AAAAA13346Z5</t>
  </si>
  <si>
    <t>27AAAAA13347Z5</t>
  </si>
  <si>
    <t>27AAAAA13348Z5</t>
  </si>
  <si>
    <t>27AAAAA13349Z5</t>
  </si>
  <si>
    <t>27AAAAA13350Z5</t>
  </si>
  <si>
    <t>27AAAAA13351Z5</t>
  </si>
  <si>
    <t>27AAAAA13352Z5</t>
  </si>
  <si>
    <t>27AAAAA13353Z5</t>
  </si>
  <si>
    <t>27AAAAA13354Z5</t>
  </si>
  <si>
    <t>27AAAAA13355Z5</t>
  </si>
  <si>
    <t>27AAAAA13356Z5</t>
  </si>
  <si>
    <t>27AAAAA13357Z5</t>
  </si>
  <si>
    <t>27AAAAA13358Z5</t>
  </si>
  <si>
    <t>27AAAAA13359Z5</t>
  </si>
  <si>
    <t>27AAAAA13360Z5</t>
  </si>
  <si>
    <t>27AAAAA13361Z5</t>
  </si>
  <si>
    <t>27AAAAA13362Z5</t>
  </si>
  <si>
    <t>27AAAAA13363Z5</t>
  </si>
  <si>
    <t>27AAAAA13364Z5</t>
  </si>
  <si>
    <t>27AAAAA13365Z5</t>
  </si>
  <si>
    <t>27AAAAA13366Z5</t>
  </si>
  <si>
    <t>27AAAAA13367Z5</t>
  </si>
  <si>
    <t>27AAAAA13368Z5</t>
  </si>
  <si>
    <t>27AAAAA13369Z5</t>
  </si>
  <si>
    <t>27AAAAA13370Z5</t>
  </si>
  <si>
    <t>27AAAAA13371Z5</t>
  </si>
  <si>
    <t>27AAAAA13372Z5</t>
  </si>
  <si>
    <t>27AAAAA13373Z5</t>
  </si>
  <si>
    <t>27AAAAA13374Z5</t>
  </si>
  <si>
    <t>27AAAAA13375Z5</t>
  </si>
  <si>
    <t>27AAAAA13376Z5</t>
  </si>
  <si>
    <t>27AAAAA13377Z5</t>
  </si>
  <si>
    <t>27AAAAA13378Z5</t>
  </si>
  <si>
    <t>27AAAAA13379Z5</t>
  </si>
  <si>
    <t>27AAAAA13380Z5</t>
  </si>
  <si>
    <t>27AAAAA13381Z5</t>
  </si>
  <si>
    <t>27AAAAA13382Z5</t>
  </si>
  <si>
    <t>27AAAAA13383Z5</t>
  </si>
  <si>
    <t>27AAAAA13384Z5</t>
  </si>
  <si>
    <t>27AAAAA13385Z5</t>
  </si>
  <si>
    <t>27AAAAA13386Z5</t>
  </si>
  <si>
    <t>27AAAAA13387Z5</t>
  </si>
  <si>
    <t>27AAAAA13388Z5</t>
  </si>
  <si>
    <t>27AAAAA13389Z5</t>
  </si>
  <si>
    <t>27AAAAA13390Z5</t>
  </si>
  <si>
    <t>27AAAAA13391Z5</t>
  </si>
  <si>
    <t>27AAAAA13392Z5</t>
  </si>
  <si>
    <t>27AAAAA13393Z5</t>
  </si>
  <si>
    <t>27AAAAA13394Z5</t>
  </si>
  <si>
    <t>27AAAAA13395Z5</t>
  </si>
  <si>
    <t>27AAAAA13396Z5</t>
  </si>
  <si>
    <t>27AAAAA13397Z5</t>
  </si>
  <si>
    <t>27AAAAA13398Z5</t>
  </si>
  <si>
    <t>27AAAAA13399Z5</t>
  </si>
  <si>
    <t>27AAAAA13400Z5</t>
  </si>
  <si>
    <t>27AAAAA13401Z5</t>
  </si>
  <si>
    <t>27AAAAA13402Z5</t>
  </si>
  <si>
    <t>27AAAAA13403Z5</t>
  </si>
  <si>
    <t>27AAAAA13404Z5</t>
  </si>
  <si>
    <t>27AAAAA13405Z5</t>
  </si>
  <si>
    <t>27AAAAA13406Z5</t>
  </si>
  <si>
    <t>27AAAAA13407Z5</t>
  </si>
  <si>
    <t>27AAAAA13408Z5</t>
  </si>
  <si>
    <t>27AAAAA13409Z5</t>
  </si>
  <si>
    <t>27AAAAA13410Z5</t>
  </si>
  <si>
    <t>27AAAAA13411Z5</t>
  </si>
  <si>
    <t>27AAAAA13412Z5</t>
  </si>
  <si>
    <t>27AAAAA13413Z5</t>
  </si>
  <si>
    <t>27AAAAA13414Z5</t>
  </si>
  <si>
    <t>27AAAAA13415Z5</t>
  </si>
  <si>
    <t>27AAAAA13416Z5</t>
  </si>
  <si>
    <t>27AAAAA13417Z5</t>
  </si>
  <si>
    <t>27AAAAA13418Z5</t>
  </si>
  <si>
    <t>27AAAAA13419Z5</t>
  </si>
  <si>
    <t>27AAAAA13420Z5</t>
  </si>
  <si>
    <t>27AAAAA13421Z5</t>
  </si>
  <si>
    <t>27AAAAA13422Z5</t>
  </si>
  <si>
    <t>27AAAAA13423Z5</t>
  </si>
  <si>
    <t>27AAAAA13424Z5</t>
  </si>
  <si>
    <t>27AAAAA13425Z5</t>
  </si>
  <si>
    <t>27AAAAA13426Z5</t>
  </si>
  <si>
    <t>27AAAAA13427Z5</t>
  </si>
  <si>
    <t>27AAAAA13428Z5</t>
  </si>
  <si>
    <t>27AAAAA13429Z5</t>
  </si>
  <si>
    <t>27AAAAA13430Z5</t>
  </si>
  <si>
    <t>27AAAAA13431Z5</t>
  </si>
  <si>
    <t>27AAAAA13432Z5</t>
  </si>
  <si>
    <t>27AAAAA13433Z5</t>
  </si>
  <si>
    <t>27AAAAA13434Z5</t>
  </si>
  <si>
    <t>27AAAAA13435Z5</t>
  </si>
  <si>
    <t>27AAAAA13436Z5</t>
  </si>
  <si>
    <t>27AAAAA13437Z5</t>
  </si>
  <si>
    <t>27AAAAA13438Z5</t>
  </si>
  <si>
    <t>27AAAAA13439Z5</t>
  </si>
  <si>
    <t>27AAAAA13440Z5</t>
  </si>
  <si>
    <t>27AAAAA13441Z5</t>
  </si>
  <si>
    <t>27AAAAA13442Z5</t>
  </si>
  <si>
    <t>27AAAAA13443Z5</t>
  </si>
  <si>
    <t>27AAAAA13444Z5</t>
  </si>
  <si>
    <t>27AAAAA13445Z5</t>
  </si>
  <si>
    <t>27AAAAA13446Z5</t>
  </si>
  <si>
    <t>27AAAAA13447Z5</t>
  </si>
  <si>
    <t>27AAAAA13448Z5</t>
  </si>
  <si>
    <t>27AAAAA13449Z5</t>
  </si>
  <si>
    <t>27AAAAA13450Z5</t>
  </si>
  <si>
    <t>27AAAAA13451Z5</t>
  </si>
  <si>
    <t>27AAAAA13452Z5</t>
  </si>
  <si>
    <t>27AAAAA13453Z5</t>
  </si>
  <si>
    <t>27AAAAA13454Z5</t>
  </si>
  <si>
    <t>27AAAAA13455Z5</t>
  </si>
  <si>
    <t>27AAAAA13456Z5</t>
  </si>
  <si>
    <t>27AAAAA13457Z5</t>
  </si>
  <si>
    <t>27AAAAA13458Z5</t>
  </si>
  <si>
    <t>27AAAAA13459Z5</t>
  </si>
  <si>
    <t>27AAAAA13460Z5</t>
  </si>
  <si>
    <t>27AAAAA13461Z5</t>
  </si>
  <si>
    <t>27AAAAA13462Z5</t>
  </si>
  <si>
    <t>27AAAAA13463Z5</t>
  </si>
  <si>
    <t>27AAAAA13464Z5</t>
  </si>
  <si>
    <t>27AAAAA13465Z5</t>
  </si>
  <si>
    <t>27AAAAA13466Z5</t>
  </si>
  <si>
    <t>27AAAAA13467Z5</t>
  </si>
  <si>
    <t>27AAAAA13468Z5</t>
  </si>
  <si>
    <t>27AAAAA13469Z5</t>
  </si>
  <si>
    <t>27AAAAA13470Z5</t>
  </si>
  <si>
    <t>27AAAAA13471Z5</t>
  </si>
  <si>
    <t>27AAAAA13472Z5</t>
  </si>
  <si>
    <t>27AAAAA13473Z5</t>
  </si>
  <si>
    <t>27AAAAA13474Z5</t>
  </si>
  <si>
    <t>27AAAAA13475Z5</t>
  </si>
  <si>
    <t>27AAAAA13476Z5</t>
  </si>
  <si>
    <t>27AAAAA13477Z5</t>
  </si>
  <si>
    <t>27AAAAA13478Z5</t>
  </si>
  <si>
    <t>27AAAAA13479Z5</t>
  </si>
  <si>
    <t>27AAAAA13480Z5</t>
  </si>
  <si>
    <t>27AAAAA13481Z5</t>
  </si>
  <si>
    <t>27AAAAA13482Z5</t>
  </si>
  <si>
    <t>27AAAAA13483Z5</t>
  </si>
  <si>
    <t>27AAAAA13484Z5</t>
  </si>
  <si>
    <t>27AAAAA13485Z5</t>
  </si>
  <si>
    <t>27AAAAA13486Z5</t>
  </si>
  <si>
    <t>27AAAAA13487Z5</t>
  </si>
  <si>
    <t>27AAAAA13488Z5</t>
  </si>
  <si>
    <t>27AAAAA13489Z5</t>
  </si>
  <si>
    <t>27AAAAA13490Z5</t>
  </si>
  <si>
    <t>27AAAAA13491Z5</t>
  </si>
  <si>
    <t>27AAAAA13492Z5</t>
  </si>
  <si>
    <t>27AAAAA13493Z5</t>
  </si>
  <si>
    <t>27AAAAA13494Z5</t>
  </si>
  <si>
    <t>27AAAAA13495Z5</t>
  </si>
  <si>
    <t>27AAAAA13496Z5</t>
  </si>
  <si>
    <t>27AAAAA13497Z5</t>
  </si>
  <si>
    <t>27AAAAA13498Z5</t>
  </si>
  <si>
    <t>27AAAAA13499Z5</t>
  </si>
  <si>
    <t>27AAAAA13500Z5</t>
  </si>
  <si>
    <t>27AAAAA13501Z5</t>
  </si>
  <si>
    <t>27AAAAA13502Z5</t>
  </si>
  <si>
    <t>27AAAAA13503Z5</t>
  </si>
  <si>
    <t>27AAAAA13504Z5</t>
  </si>
  <si>
    <t>27AAAAA13505Z5</t>
  </si>
  <si>
    <t>27AAAAA13506Z5</t>
  </si>
  <si>
    <t>27AAAAA13507Z5</t>
  </si>
  <si>
    <t>27AAAAA13508Z5</t>
  </si>
  <si>
    <t>27AAAAA13509Z5</t>
  </si>
  <si>
    <t>27AAAAA13510Z5</t>
  </si>
  <si>
    <t>27AAAAA13511Z5</t>
  </si>
  <si>
    <t>27AAAAA13512Z5</t>
  </si>
  <si>
    <t>27AAAAA13513Z5</t>
  </si>
  <si>
    <t>27AAAAA13514Z5</t>
  </si>
  <si>
    <t>27AAAAA13515Z5</t>
  </si>
  <si>
    <t>27AAAAA13516Z5</t>
  </si>
  <si>
    <t>27AAAAA13517Z5</t>
  </si>
  <si>
    <t>27AAAAA13518Z5</t>
  </si>
  <si>
    <t>27AAAAA13519Z5</t>
  </si>
  <si>
    <t>27AAAAA13520Z5</t>
  </si>
  <si>
    <t>27AAAAA13521Z5</t>
  </si>
  <si>
    <t>27AAAAA13522Z5</t>
  </si>
  <si>
    <t>27AAAAA13523Z5</t>
  </si>
  <si>
    <t>27AAAAA13524Z5</t>
  </si>
  <si>
    <t>27AAAAA13525Z5</t>
  </si>
  <si>
    <t>27AAAAA13526Z5</t>
  </si>
  <si>
    <t>27AAAAA13527Z5</t>
  </si>
  <si>
    <t>27AAAAA13528Z5</t>
  </si>
  <si>
    <t>27AAAAA13529Z5</t>
  </si>
  <si>
    <t>27AAAAA13530Z5</t>
  </si>
  <si>
    <t>27AAAAA13531Z5</t>
  </si>
  <si>
    <t>27AAAAA13532Z5</t>
  </si>
  <si>
    <t>27AAAAA13533Z5</t>
  </si>
  <si>
    <t>27AAAAA13534Z5</t>
  </si>
  <si>
    <t>27AAAAA13535Z5</t>
  </si>
  <si>
    <t>27AAAAA13536Z5</t>
  </si>
  <si>
    <t>27AAAAA13537Z5</t>
  </si>
  <si>
    <t>27AAAAA13538Z5</t>
  </si>
  <si>
    <t>27AAAAA13539Z5</t>
  </si>
  <si>
    <t>27AAAAA13540Z5</t>
  </si>
  <si>
    <t>27AAAAA13541Z5</t>
  </si>
  <si>
    <t>27AAAAA13542Z5</t>
  </si>
  <si>
    <t>27AAAAA13543Z5</t>
  </si>
  <si>
    <t>27AAAAA13544Z5</t>
  </si>
  <si>
    <t>27AAAAA13545Z5</t>
  </si>
  <si>
    <t>27AAAAA13546Z5</t>
  </si>
  <si>
    <t>27AAAAA13547Z5</t>
  </si>
  <si>
    <t>27AAAAA13548Z5</t>
  </si>
  <si>
    <t>27AAAAA13549Z5</t>
  </si>
  <si>
    <t>27AAAAA13550Z5</t>
  </si>
  <si>
    <t>27AAAAA13551Z5</t>
  </si>
  <si>
    <t>27AAAAA13552Z5</t>
  </si>
  <si>
    <t>27AAAAA13553Z5</t>
  </si>
  <si>
    <t>27AAAAA13554Z5</t>
  </si>
  <si>
    <t>27AAAAA13555Z5</t>
  </si>
  <si>
    <t>27AAAAA13556Z5</t>
  </si>
  <si>
    <t>27AAAAA13557Z5</t>
  </si>
  <si>
    <t>27AAAAA13558Z5</t>
  </si>
  <si>
    <t>27AAAAA13559Z5</t>
  </si>
  <si>
    <t>27AAAAA13560Z5</t>
  </si>
  <si>
    <t>27AAAAA13561Z5</t>
  </si>
  <si>
    <t>27AAAAA13562Z5</t>
  </si>
  <si>
    <t>27AAAAA13563Z5</t>
  </si>
  <si>
    <t>27AAAAA13564Z5</t>
  </si>
  <si>
    <t>27AAAAA13565Z5</t>
  </si>
  <si>
    <t>27AAAAA13566Z5</t>
  </si>
  <si>
    <t>27AAAAA13567Z5</t>
  </si>
  <si>
    <t>27AAAAA13568Z5</t>
  </si>
  <si>
    <t>27AAAAA13569Z5</t>
  </si>
  <si>
    <t>27AAAAA13570Z5</t>
  </si>
  <si>
    <t>27AAAAA13571Z5</t>
  </si>
  <si>
    <t>27AAAAA13572Z5</t>
  </si>
  <si>
    <t>27AAAAA13573Z5</t>
  </si>
  <si>
    <t>27AAAAA13574Z5</t>
  </si>
  <si>
    <t>27AAAAA13575Z5</t>
  </si>
  <si>
    <t>27AAAAA13576Z5</t>
  </si>
  <si>
    <t>27AAAAA13577Z5</t>
  </si>
  <si>
    <t>27AAAAA13578Z5</t>
  </si>
  <si>
    <t>27AAAAA13579Z5</t>
  </si>
  <si>
    <t>27AAAAA13580Z5</t>
  </si>
  <si>
    <t>27AAAAA13581Z5</t>
  </si>
  <si>
    <t>27AAAAA13582Z5</t>
  </si>
  <si>
    <t>27AAAAA13583Z5</t>
  </si>
  <si>
    <t>27AAAAA13584Z5</t>
  </si>
  <si>
    <t>27AAAAA13585Z5</t>
  </si>
  <si>
    <t>27AAAAA13586Z5</t>
  </si>
  <si>
    <t>27AAAAA13587Z5</t>
  </si>
  <si>
    <t>27AAAAA13588Z5</t>
  </si>
  <si>
    <t>27AAAAA13589Z5</t>
  </si>
  <si>
    <t>27AAAAA13590Z5</t>
  </si>
  <si>
    <t>27AAAAA13591Z5</t>
  </si>
  <si>
    <t>27AAAAA13592Z5</t>
  </si>
  <si>
    <t>27AAAAA13593Z5</t>
  </si>
  <si>
    <t>27AAAAA13594Z5</t>
  </si>
  <si>
    <t>27AAAAA13595Z5</t>
  </si>
  <si>
    <t>27AAAAA13596Z5</t>
  </si>
  <si>
    <t>27AAAAA13597Z5</t>
  </si>
  <si>
    <t>27AAAAA13598Z5</t>
  </si>
  <si>
    <t>27AAAAA13599Z5</t>
  </si>
  <si>
    <t>27AAAAA13600Z5</t>
  </si>
  <si>
    <t>27AAAAA13601Z5</t>
  </si>
  <si>
    <t>27AAAAA13602Z5</t>
  </si>
  <si>
    <t>27AAAAA13603Z5</t>
  </si>
  <si>
    <t>27AAAAA13604Z5</t>
  </si>
  <si>
    <t>27AAAAA13605Z5</t>
  </si>
  <si>
    <t>27AAAAA13606Z5</t>
  </si>
  <si>
    <t>27AAAAA13607Z5</t>
  </si>
  <si>
    <t>27AAAAA13608Z5</t>
  </si>
  <si>
    <t>27AAAAA13609Z5</t>
  </si>
  <si>
    <t>27AAAAA13610Z5</t>
  </si>
  <si>
    <t>27AAAAA13611Z5</t>
  </si>
  <si>
    <t>27AAAAA13612Z5</t>
  </si>
  <si>
    <t>27AAAAA13613Z5</t>
  </si>
  <si>
    <t>27AAAAA13614Z5</t>
  </si>
  <si>
    <t>27AAAAA13615Z5</t>
  </si>
  <si>
    <t>27AAAAA13616Z5</t>
  </si>
  <si>
    <t>27AAAAA13617Z5</t>
  </si>
  <si>
    <t>27AAAAA13618Z5</t>
  </si>
  <si>
    <t>27AAAAA13619Z5</t>
  </si>
  <si>
    <t>27AAAAA13620Z5</t>
  </si>
  <si>
    <t>27AAAAA13621Z5</t>
  </si>
  <si>
    <t>27AAAAA13622Z5</t>
  </si>
  <si>
    <t>27AAAAA13623Z5</t>
  </si>
  <si>
    <t>27AAAAA13624Z5</t>
  </si>
  <si>
    <t>27AAAAA13625Z5</t>
  </si>
  <si>
    <t>27AAAAA13626Z5</t>
  </si>
  <si>
    <t>27AAAAA13627Z5</t>
  </si>
  <si>
    <t>27AAAAA13628Z5</t>
  </si>
  <si>
    <t>27AAAAA13629Z5</t>
  </si>
  <si>
    <t>27AAAAA13630Z5</t>
  </si>
  <si>
    <t>27AAAAA13631Z5</t>
  </si>
  <si>
    <t>27AAAAA13632Z5</t>
  </si>
  <si>
    <t>27AAAAA13633Z5</t>
  </si>
  <si>
    <t>27AAAAA13634Z5</t>
  </si>
  <si>
    <t>27AAAAA13635Z5</t>
  </si>
  <si>
    <t>27AAAAA13636Z5</t>
  </si>
  <si>
    <t>27AAAAA13637Z5</t>
  </si>
  <si>
    <t>27AAAAA13638Z5</t>
  </si>
  <si>
    <t>27AAAAA13639Z5</t>
  </si>
  <si>
    <t>27AAAAA13640Z5</t>
  </si>
  <si>
    <t>27AAAAA13641Z5</t>
  </si>
  <si>
    <t>27AAAAA13642Z5</t>
  </si>
  <si>
    <t>27AAAAA13643Z5</t>
  </si>
  <si>
    <t>27AAAAA13644Z5</t>
  </si>
  <si>
    <t>27AAAAA13645Z5</t>
  </si>
  <si>
    <t>27AAAAA13646Z5</t>
  </si>
  <si>
    <t>27AAAAA13647Z5</t>
  </si>
  <si>
    <t>27AAAAA13648Z5</t>
  </si>
  <si>
    <t>27AAAAA13649Z5</t>
  </si>
  <si>
    <t>27AAAAA13650Z5</t>
  </si>
  <si>
    <t>27AAAAA13651Z5</t>
  </si>
  <si>
    <t>27AAAAA13652Z5</t>
  </si>
  <si>
    <t>27AAAAA13653Z5</t>
  </si>
  <si>
    <t>27AAAAA13654Z5</t>
  </si>
  <si>
    <t>27AAAAA13655Z5</t>
  </si>
  <si>
    <t>27AAAAA13656Z5</t>
  </si>
  <si>
    <t>27AAAAA13657Z5</t>
  </si>
  <si>
    <t>27AAAAA13658Z5</t>
  </si>
  <si>
    <t>27AAAAA13659Z5</t>
  </si>
  <si>
    <t>27AAAAA13660Z5</t>
  </si>
  <si>
    <t>27AAAAA13661Z5</t>
  </si>
  <si>
    <t>27AAAAA13662Z5</t>
  </si>
  <si>
    <t>27AAAAA13663Z5</t>
  </si>
  <si>
    <t>27AAAAA13664Z5</t>
  </si>
  <si>
    <t>27AAAAA13665Z5</t>
  </si>
  <si>
    <t>27AAAAA13666Z5</t>
  </si>
  <si>
    <t>27AAAAA13667Z5</t>
  </si>
  <si>
    <t>27AAAAA13668Z5</t>
  </si>
  <si>
    <t>27AAAAA13669Z5</t>
  </si>
  <si>
    <t>27AAAAA13670Z5</t>
  </si>
  <si>
    <t>27AAAAA13671Z5</t>
  </si>
  <si>
    <t>27AAAAA13672Z5</t>
  </si>
  <si>
    <t>27AAAAA13673Z5</t>
  </si>
  <si>
    <t>27AAAAA13674Z5</t>
  </si>
  <si>
    <t>27AAAAA13675Z5</t>
  </si>
  <si>
    <t>27AAAAA13676Z5</t>
  </si>
  <si>
    <t>27AAAAA13677Z5</t>
  </si>
  <si>
    <t>27AAAAA13678Z5</t>
  </si>
  <si>
    <t>27AAAAA13679Z5</t>
  </si>
  <si>
    <t>27AAAAA13680Z5</t>
  </si>
  <si>
    <t>27AAAAA13681Z5</t>
  </si>
  <si>
    <t>27AAAAA13682Z5</t>
  </si>
  <si>
    <t>27AAAAA13683Z5</t>
  </si>
  <si>
    <t>27AAAAA13684Z5</t>
  </si>
  <si>
    <t>27AAAAA13685Z5</t>
  </si>
  <si>
    <t>27AAAAA13686Z5</t>
  </si>
  <si>
    <t>27AAAAA13687Z5</t>
  </si>
  <si>
    <t>27AAAAA13688Z5</t>
  </si>
  <si>
    <t>27AAAAA13689Z5</t>
  </si>
  <si>
    <t>27AAAAA13690Z5</t>
  </si>
  <si>
    <t>27AAAAA13691Z5</t>
  </si>
  <si>
    <t>27AAAAA13692Z5</t>
  </si>
  <si>
    <t>27AAAAA13693Z5</t>
  </si>
  <si>
    <t>27AAAAA13694Z5</t>
  </si>
  <si>
    <t>27AAAAA13695Z5</t>
  </si>
  <si>
    <t>27AAAAA13696Z5</t>
  </si>
  <si>
    <t>27AAAAA13697Z5</t>
  </si>
  <si>
    <t>27AAAAA13698Z5</t>
  </si>
  <si>
    <t>27AAAAA13699Z5</t>
  </si>
  <si>
    <t>27AAAAA13700Z5</t>
  </si>
  <si>
    <t>27AAAAA13701Z5</t>
  </si>
  <si>
    <t>27AAAAA13702Z5</t>
  </si>
  <si>
    <t>27AAAAA13703Z5</t>
  </si>
  <si>
    <t>27AAAAA13704Z5</t>
  </si>
  <si>
    <t>27AAAAA13705Z5</t>
  </si>
  <si>
    <t>27AAAAA13706Z5</t>
  </si>
  <si>
    <t>27AAAAA13707Z5</t>
  </si>
  <si>
    <t>27AAAAA13708Z5</t>
  </si>
  <si>
    <t>27AAAAA13709Z5</t>
  </si>
  <si>
    <t>27AAAAA13710Z5</t>
  </si>
  <si>
    <t>27AAAAA13711Z5</t>
  </si>
  <si>
    <t>27AAAAA13712Z5</t>
  </si>
  <si>
    <t>27AAAAA13713Z5</t>
  </si>
  <si>
    <t>27AAAAA13714Z5</t>
  </si>
  <si>
    <t>27AAAAA13715Z5</t>
  </si>
  <si>
    <t>27AAAAA13716Z5</t>
  </si>
  <si>
    <t>27AAAAA13717Z5</t>
  </si>
  <si>
    <t>27AAAAA13718Z5</t>
  </si>
  <si>
    <t>27AAAAA13719Z5</t>
  </si>
  <si>
    <t>27AAAAA13720Z5</t>
  </si>
  <si>
    <t>27AAAAA13721Z5</t>
  </si>
  <si>
    <t>27AAAAA13722Z5</t>
  </si>
  <si>
    <t>27AAAAA13723Z5</t>
  </si>
  <si>
    <t>27AAAAA13724Z5</t>
  </si>
  <si>
    <t>27AAAAA13725Z5</t>
  </si>
  <si>
    <t>27AAAAA13726Z5</t>
  </si>
  <si>
    <t>27AAAAA13727Z5</t>
  </si>
  <si>
    <t>27AAAAA13728Z5</t>
  </si>
  <si>
    <t>27AAAAA13729Z5</t>
  </si>
  <si>
    <t>27AAAAA13730Z5</t>
  </si>
  <si>
    <t>27AAAAA13731Z5</t>
  </si>
  <si>
    <t>27AAAAA13732Z5</t>
  </si>
  <si>
    <t>27AAAAA13733Z5</t>
  </si>
  <si>
    <t>27AAAAA13734Z5</t>
  </si>
  <si>
    <t>27AAAAA13735Z5</t>
  </si>
  <si>
    <t>27AAAAA13736Z5</t>
  </si>
  <si>
    <t>27AAAAA13737Z5</t>
  </si>
  <si>
    <t>27AAAAA13738Z5</t>
  </si>
  <si>
    <t>27AAAAA13739Z5</t>
  </si>
  <si>
    <t>27AAAAA13740Z5</t>
  </si>
  <si>
    <t>27AAAAA13741Z5</t>
  </si>
  <si>
    <t>27AAAAA13742Z5</t>
  </si>
  <si>
    <t>27AAAAA13743Z5</t>
  </si>
  <si>
    <t>27AAAAA13744Z5</t>
  </si>
  <si>
    <t>27AAAAA13745Z5</t>
  </si>
  <si>
    <t>27AAAAA13746Z5</t>
  </si>
  <si>
    <t>27AAAAA13747Z5</t>
  </si>
  <si>
    <t>27AAAAA13748Z5</t>
  </si>
  <si>
    <t>27AAAAA13749Z5</t>
  </si>
  <si>
    <t>27AAAAA13750Z5</t>
  </si>
  <si>
    <t>27AAAAA13751Z5</t>
  </si>
  <si>
    <t>27AAAAA13752Z5</t>
  </si>
  <si>
    <t>27AAAAA13753Z5</t>
  </si>
  <si>
    <t>27AAAAA13754Z5</t>
  </si>
  <si>
    <t>27AAAAA13755Z5</t>
  </si>
  <si>
    <t>27AAAAA13756Z5</t>
  </si>
  <si>
    <t>27AAAAA13757Z5</t>
  </si>
  <si>
    <t>27AAAAA13758Z5</t>
  </si>
  <si>
    <t>27AAAAA13759Z5</t>
  </si>
  <si>
    <t>27AAAAA13760Z5</t>
  </si>
  <si>
    <t>27AAAAA13761Z5</t>
  </si>
  <si>
    <t>27AAAAA13762Z5</t>
  </si>
  <si>
    <t>27AAAAA13763Z5</t>
  </si>
  <si>
    <t>27AAAAA13764Z5</t>
  </si>
  <si>
    <t>27AAAAA13765Z5</t>
  </si>
  <si>
    <t>27AAAAA13766Z5</t>
  </si>
  <si>
    <t>27AAAAA13767Z5</t>
  </si>
  <si>
    <t>27AAAAA13768Z5</t>
  </si>
  <si>
    <t>27AAAAA13769Z5</t>
  </si>
  <si>
    <t>27AAAAA13770Z5</t>
  </si>
  <si>
    <t>27AAAAA13771Z5</t>
  </si>
  <si>
    <t>27AAAAA13772Z5</t>
  </si>
  <si>
    <t>27AAAAA13773Z5</t>
  </si>
  <si>
    <t>27AAAAA13774Z5</t>
  </si>
  <si>
    <t>27AAAAA13775Z5</t>
  </si>
  <si>
    <t>27AAAAA13776Z5</t>
  </si>
  <si>
    <t>27AAAAA13777Z5</t>
  </si>
  <si>
    <t>27AAAAA13778Z5</t>
  </si>
  <si>
    <t>27AAAAA13779Z5</t>
  </si>
  <si>
    <t>27AAAAA13780Z5</t>
  </si>
  <si>
    <t>27AAAAA13781Z5</t>
  </si>
  <si>
    <t>27AAAAA13782Z5</t>
  </si>
  <si>
    <t>27AAAAA13783Z5</t>
  </si>
  <si>
    <t>27AAAAA13784Z5</t>
  </si>
  <si>
    <t>27AAAAA13785Z5</t>
  </si>
  <si>
    <t>27AAAAA13786Z5</t>
  </si>
  <si>
    <t>27AAAAA13787Z5</t>
  </si>
  <si>
    <t>27AAAAA13788Z5</t>
  </si>
  <si>
    <t>27AAAAA13789Z5</t>
  </si>
  <si>
    <t>27AAAAA13790Z5</t>
  </si>
  <si>
    <t>27AAAAA13791Z5</t>
  </si>
  <si>
    <t>27AAAAA13792Z5</t>
  </si>
  <si>
    <t>27AAAAA13793Z5</t>
  </si>
  <si>
    <t>27AAAAA13794Z5</t>
  </si>
  <si>
    <t>27AAAAA13795Z5</t>
  </si>
  <si>
    <t>27AAAAA13796Z5</t>
  </si>
  <si>
    <t>27AAAAA13797Z5</t>
  </si>
  <si>
    <t>27AAAAA13798Z5</t>
  </si>
  <si>
    <t>27AAAAA13799Z5</t>
  </si>
  <si>
    <t>27AAAAA13800Z5</t>
  </si>
  <si>
    <t>27AAAAA13801Z5</t>
  </si>
  <si>
    <t>27AAAAA13802Z5</t>
  </si>
  <si>
    <t>27AAAAA13803Z5</t>
  </si>
  <si>
    <t>27AAAAA13804Z5</t>
  </si>
  <si>
    <t>27AAAAA13805Z5</t>
  </si>
  <si>
    <t>27AAAAA13806Z5</t>
  </si>
  <si>
    <t>27AAAAA13807Z5</t>
  </si>
  <si>
    <t>27AAAAA13808Z5</t>
  </si>
  <si>
    <t>27AAAAA13809Z5</t>
  </si>
  <si>
    <t>27AAAAA13810Z5</t>
  </si>
  <si>
    <t>27AAAAA13811Z5</t>
  </si>
  <si>
    <t>27AAAAA13812Z5</t>
  </si>
  <si>
    <t>27AAAAA13813Z5</t>
  </si>
  <si>
    <t>27AAAAA13814Z5</t>
  </si>
  <si>
    <t>27AAAAA13815Z5</t>
  </si>
  <si>
    <t>27AAAAA13816Z5</t>
  </si>
  <si>
    <t>27AAAAA13817Z5</t>
  </si>
  <si>
    <t>27AAAAA13818Z5</t>
  </si>
  <si>
    <t>27AAAAA13819Z5</t>
  </si>
  <si>
    <t>27AAAAA13820Z5</t>
  </si>
  <si>
    <t>27AAAAA13821Z5</t>
  </si>
  <si>
    <t>27AAAAA13822Z5</t>
  </si>
  <si>
    <t>27AAAAA13823Z5</t>
  </si>
  <si>
    <t>27AAAAA13824Z5</t>
  </si>
  <si>
    <t>27AAAAA13825Z5</t>
  </si>
  <si>
    <t>27AAAAA13826Z5</t>
  </si>
  <si>
    <t>27AAAAA13827Z5</t>
  </si>
  <si>
    <t>27AAAAA13828Z5</t>
  </si>
  <si>
    <t>27AAAAA13829Z5</t>
  </si>
  <si>
    <t>27AAAAA13830Z5</t>
  </si>
  <si>
    <t>27AAAAA13831Z5</t>
  </si>
  <si>
    <t>27AAAAA13832Z5</t>
  </si>
  <si>
    <t>27AAAAA13833Z5</t>
  </si>
  <si>
    <t>27AAAAA13834Z5</t>
  </si>
  <si>
    <t>27AAAAA13835Z5</t>
  </si>
  <si>
    <t>27AAAAA13836Z5</t>
  </si>
  <si>
    <t>27AAAAA13837Z5</t>
  </si>
  <si>
    <t>27AAAAA13838Z5</t>
  </si>
  <si>
    <t>27AAAAA13839Z5</t>
  </si>
  <si>
    <t>27AAAAA13840Z5</t>
  </si>
  <si>
    <t>27AAAAA13841Z5</t>
  </si>
  <si>
    <t>27AAAAA13842Z5</t>
  </si>
  <si>
    <t>27AAAAA13843Z5</t>
  </si>
  <si>
    <t>27AAAAA13844Z5</t>
  </si>
  <si>
    <t>27AAAAA13845Z5</t>
  </si>
  <si>
    <t>27AAAAA13846Z5</t>
  </si>
  <si>
    <t>27AAAAA13847Z5</t>
  </si>
  <si>
    <t>27AAAAA13848Z5</t>
  </si>
  <si>
    <t>27AAAAA13849Z5</t>
  </si>
  <si>
    <t>27AAAAA13850Z5</t>
  </si>
  <si>
    <t>27AAAAA13851Z5</t>
  </si>
  <si>
    <t>27AAAAA13852Z5</t>
  </si>
  <si>
    <t>27AAAAA13853Z5</t>
  </si>
  <si>
    <t>27AAAAA13854Z5</t>
  </si>
  <si>
    <t>27AAAAA13855Z5</t>
  </si>
  <si>
    <t>27AAAAA13856Z5</t>
  </si>
  <si>
    <t>27AAAAA13857Z5</t>
  </si>
  <si>
    <t>27AAAAA13858Z5</t>
  </si>
  <si>
    <t>27AAAAA13859Z5</t>
  </si>
  <si>
    <t>27AAAAA13860Z5</t>
  </si>
  <si>
    <t>27AAAAA13861Z5</t>
  </si>
  <si>
    <t>27AAAAA13862Z5</t>
  </si>
  <si>
    <t>27AAAAA13863Z5</t>
  </si>
  <si>
    <t>27AAAAA13864Z5</t>
  </si>
  <si>
    <t>27AAAAA13865Z5</t>
  </si>
  <si>
    <t>27AAAAA13866Z5</t>
  </si>
  <si>
    <t>27AAAAA13867Z5</t>
  </si>
  <si>
    <t>27AAAAA13868Z5</t>
  </si>
  <si>
    <t>27AAAAA13869Z5</t>
  </si>
  <si>
    <t>27AAAAA13870Z5</t>
  </si>
  <si>
    <t>27AAAAA13871Z5</t>
  </si>
  <si>
    <t>27AAAAA13872Z5</t>
  </si>
  <si>
    <t>27AAAAA13873Z5</t>
  </si>
  <si>
    <t>27AAAAA13874Z5</t>
  </si>
  <si>
    <t>27AAAAA13875Z5</t>
  </si>
  <si>
    <t>27AAAAA13876Z5</t>
  </si>
  <si>
    <t>27AAAAA13877Z5</t>
  </si>
  <si>
    <t>27AAAAA13878Z5</t>
  </si>
  <si>
    <t>27AAAAA13879Z5</t>
  </si>
  <si>
    <t>27AAAAA13880Z5</t>
  </si>
  <si>
    <t>27AAAAA13881Z5</t>
  </si>
  <si>
    <t>27AAAAA13882Z5</t>
  </si>
  <si>
    <t>27AAAAA13883Z5</t>
  </si>
  <si>
    <t>27AAAAA13884Z5</t>
  </si>
  <si>
    <t>27AAAAA13885Z5</t>
  </si>
  <si>
    <t>27AAAAA13886Z5</t>
  </si>
  <si>
    <t>27AAAAA13887Z5</t>
  </si>
  <si>
    <t>27AAAAA13888Z5</t>
  </si>
  <si>
    <t>27AAAAA13889Z5</t>
  </si>
  <si>
    <t>27AAAAA13890Z5</t>
  </si>
  <si>
    <t>27AAAAA13891Z5</t>
  </si>
  <si>
    <t>27AAAAA13892Z5</t>
  </si>
  <si>
    <t>27AAAAA13893Z5</t>
  </si>
  <si>
    <t>27AAAAA13894Z5</t>
  </si>
  <si>
    <t>27AAAAA13895Z5</t>
  </si>
  <si>
    <t>27AAAAA13896Z5</t>
  </si>
  <si>
    <t>27AAAAA13897Z5</t>
  </si>
  <si>
    <t>27AAAAA13898Z5</t>
  </si>
  <si>
    <t>27AAAAA13899Z5</t>
  </si>
  <si>
    <t>27AAAAA13900Z5</t>
  </si>
  <si>
    <t>27AAAAA13901Z5</t>
  </si>
  <si>
    <t>27AAAAA13902Z5</t>
  </si>
  <si>
    <t>27AAAAA13903Z5</t>
  </si>
  <si>
    <t>27AAAAA13904Z5</t>
  </si>
  <si>
    <t>27AAAAA13905Z5</t>
  </si>
  <si>
    <t>27AAAAA13906Z5</t>
  </si>
  <si>
    <t>27AAAAA13907Z5</t>
  </si>
  <si>
    <t>27AAAAA13908Z5</t>
  </si>
  <si>
    <t>27AAAAA13909Z5</t>
  </si>
  <si>
    <t>27AAAAA13910Z5</t>
  </si>
  <si>
    <t>27AAAAA13911Z5</t>
  </si>
  <si>
    <t>27AAAAA13912Z5</t>
  </si>
  <si>
    <t>27AAAAA13913Z5</t>
  </si>
  <si>
    <t>27AAAAA13914Z5</t>
  </si>
  <si>
    <t>27AAAAA13915Z5</t>
  </si>
  <si>
    <t>27AAAAA13916Z5</t>
  </si>
  <si>
    <t>27AAAAA13917Z5</t>
  </si>
  <si>
    <t>27AAAAA13918Z5</t>
  </si>
  <si>
    <t>27AAAAA13919Z5</t>
  </si>
  <si>
    <t>27AAAAA13920Z5</t>
  </si>
  <si>
    <t>27AAAAA13921Z5</t>
  </si>
  <si>
    <t>27AAAAA13922Z5</t>
  </si>
  <si>
    <t>27AAAAA13923Z5</t>
  </si>
  <si>
    <t>27AAAAA13924Z5</t>
  </si>
  <si>
    <t>27AAAAA13925Z5</t>
  </si>
  <si>
    <t>27AAAAA13926Z5</t>
  </si>
  <si>
    <t>27AAAAA13927Z5</t>
  </si>
  <si>
    <t>27AAAAA13928Z5</t>
  </si>
  <si>
    <t>27AAAAA13929Z5</t>
  </si>
  <si>
    <t>27AAAAA13930Z5</t>
  </si>
  <si>
    <t>27AAAAA13931Z5</t>
  </si>
  <si>
    <t>27AAAAA13932Z5</t>
  </si>
  <si>
    <t>27AAAAA13933Z5</t>
  </si>
  <si>
    <t>27AAAAA13934Z5</t>
  </si>
  <si>
    <t>27AAAAA13935Z5</t>
  </si>
  <si>
    <t>27AAAAA13936Z5</t>
  </si>
  <si>
    <t>27AAAAA13937Z5</t>
  </si>
  <si>
    <t>27AAAAA13938Z5</t>
  </si>
  <si>
    <t>27AAAAA13939Z5</t>
  </si>
  <si>
    <t>27AAAAA13940Z5</t>
  </si>
  <si>
    <t>27AAAAA13941Z5</t>
  </si>
  <si>
    <t>27AAAAA13942Z5</t>
  </si>
  <si>
    <t>27AAAAA13943Z5</t>
  </si>
  <si>
    <t>27AAAAA13944Z5</t>
  </si>
  <si>
    <t>27AAAAA13945Z5</t>
  </si>
  <si>
    <t>27AAAAA13946Z5</t>
  </si>
  <si>
    <t>27AAAAA13947Z5</t>
  </si>
  <si>
    <t>27AAAAA13948Z5</t>
  </si>
  <si>
    <t>27AAAAA13949Z5</t>
  </si>
  <si>
    <t>27AAAAA13950Z5</t>
  </si>
  <si>
    <t>27AAAAA13951Z5</t>
  </si>
  <si>
    <t>27AAAAA13952Z5</t>
  </si>
  <si>
    <t>27AAAAA13953Z5</t>
  </si>
  <si>
    <t>27AAAAA13954Z5</t>
  </si>
  <si>
    <t>27AAAAA13955Z5</t>
  </si>
  <si>
    <t>27AAAAA13956Z5</t>
  </si>
  <si>
    <t>27AAAAA13957Z5</t>
  </si>
  <si>
    <t>27AAAAA13958Z5</t>
  </si>
  <si>
    <t>27AAAAA13959Z5</t>
  </si>
  <si>
    <t>27AAAAA13960Z5</t>
  </si>
  <si>
    <t>27AAAAA13961Z5</t>
  </si>
  <si>
    <t>27AAAAA13962Z5</t>
  </si>
  <si>
    <t>27AAAAA13963Z5</t>
  </si>
  <si>
    <t>27AAAAA13964Z5</t>
  </si>
  <si>
    <t>27AAAAA13965Z5</t>
  </si>
  <si>
    <t>27AAAAA13966Z5</t>
  </si>
  <si>
    <t>27AAAAA13967Z5</t>
  </si>
  <si>
    <t>27AAAAA13968Z5</t>
  </si>
  <si>
    <t>27AAAAA13969Z5</t>
  </si>
  <si>
    <t>27AAAAA13970Z5</t>
  </si>
  <si>
    <t>27AAAAA13971Z5</t>
  </si>
  <si>
    <t>27AAAAA13972Z5</t>
  </si>
  <si>
    <t>27AAAAA13973Z5</t>
  </si>
  <si>
    <t>27AAAAA13974Z5</t>
  </si>
  <si>
    <t>27AAAAA13975Z5</t>
  </si>
  <si>
    <t>27AAAAA13976Z5</t>
  </si>
  <si>
    <t>27AAAAA13977Z5</t>
  </si>
  <si>
    <t>27AAAAA13978Z5</t>
  </si>
  <si>
    <t>27AAAAA13979Z5</t>
  </si>
  <si>
    <t>27AAAAA13980Z5</t>
  </si>
  <si>
    <t>27AAAAA13981Z5</t>
  </si>
  <si>
    <t>27AAAAA13982Z5</t>
  </si>
  <si>
    <t>27AAAAA13983Z5</t>
  </si>
  <si>
    <t>27AAAAA13984Z5</t>
  </si>
  <si>
    <t>27AAAAA13985Z5</t>
  </si>
  <si>
    <t>27AAAAA13986Z5</t>
  </si>
  <si>
    <t>27AAAAA13987Z5</t>
  </si>
  <si>
    <t>27AAAAA13988Z5</t>
  </si>
  <si>
    <t>27AAAAA13989Z5</t>
  </si>
  <si>
    <t>27AAAAA13990Z5</t>
  </si>
  <si>
    <t>27AAAAA13991Z5</t>
  </si>
  <si>
    <t>27AAAAA13992Z5</t>
  </si>
  <si>
    <t>27AAAAA13993Z5</t>
  </si>
  <si>
    <t>27AAAAA13994Z5</t>
  </si>
  <si>
    <t>27AAAAA13995Z5</t>
  </si>
  <si>
    <t>27AAAAA13996Z5</t>
  </si>
  <si>
    <t>27AAAAA13997Z5</t>
  </si>
  <si>
    <t>27AAAAA13998Z5</t>
  </si>
  <si>
    <t>27AAAAA13999Z5</t>
  </si>
  <si>
    <t>27AAAAA14000Z5</t>
  </si>
  <si>
    <t>27AAAAA14001Z5</t>
  </si>
  <si>
    <t>27AAAAA14002Z5</t>
  </si>
  <si>
    <t>27AAAAA14003Z5</t>
  </si>
  <si>
    <t>27AAAAA14004Z5</t>
  </si>
  <si>
    <t>27AAAAA14005Z5</t>
  </si>
  <si>
    <t>27AAAAA14006Z5</t>
  </si>
  <si>
    <t>27AAAAA14007Z5</t>
  </si>
  <si>
    <t>27AAAAA14008Z5</t>
  </si>
  <si>
    <t>27AAAAA14009Z5</t>
  </si>
  <si>
    <t>27AAAAA14010Z5</t>
  </si>
  <si>
    <t>27AAAAA14011Z5</t>
  </si>
  <si>
    <t>27AAAAA14012Z5</t>
  </si>
  <si>
    <t>27AAAAA14013Z5</t>
  </si>
  <si>
    <t>27AAAAA14014Z5</t>
  </si>
  <si>
    <t>27AAAAA14015Z5</t>
  </si>
  <si>
    <t>27AAAAA14016Z5</t>
  </si>
  <si>
    <t>27AAAAA14017Z5</t>
  </si>
  <si>
    <t>27AAAAA14018Z5</t>
  </si>
  <si>
    <t>27AAAAA14019Z5</t>
  </si>
  <si>
    <t>27AAAAA14020Z5</t>
  </si>
  <si>
    <t>27AAAAA14021Z5</t>
  </si>
  <si>
    <t>27AAAAA14022Z5</t>
  </si>
  <si>
    <t>27AAAAA14023Z5</t>
  </si>
  <si>
    <t>27AAAAA14024Z5</t>
  </si>
  <si>
    <t>27AAAAA14025Z5</t>
  </si>
  <si>
    <t>27AAAAA14026Z5</t>
  </si>
  <si>
    <t>27AAAAA14027Z5</t>
  </si>
  <si>
    <t>27AAAAA14028Z5</t>
  </si>
  <si>
    <t>27AAAAA14029Z5</t>
  </si>
  <si>
    <t>27AAAAA14030Z5</t>
  </si>
  <si>
    <t>27AAAAA14031Z5</t>
  </si>
  <si>
    <t>27AAAAA14032Z5</t>
  </si>
  <si>
    <t>27AAAAA14033Z5</t>
  </si>
  <si>
    <t>27AAAAA14034Z5</t>
  </si>
  <si>
    <t>27AAAAA14035Z5</t>
  </si>
  <si>
    <t>27AAAAA14036Z5</t>
  </si>
  <si>
    <t>27AAAAA14037Z5</t>
  </si>
  <si>
    <t>27AAAAA14038Z5</t>
  </si>
  <si>
    <t>27AAAAA14039Z5</t>
  </si>
  <si>
    <t>27AAAAA14040Z5</t>
  </si>
  <si>
    <t>27AAAAA14041Z5</t>
  </si>
  <si>
    <t>27AAAAA14042Z5</t>
  </si>
  <si>
    <t>27AAAAA14043Z5</t>
  </si>
  <si>
    <t>27AAAAA14044Z5</t>
  </si>
  <si>
    <t>27AAAAA14045Z5</t>
  </si>
  <si>
    <t>27AAAAA14046Z5</t>
  </si>
  <si>
    <t>27AAAAA14047Z5</t>
  </si>
  <si>
    <t>27AAAAA14048Z5</t>
  </si>
  <si>
    <t>27AAAAA14049Z5</t>
  </si>
  <si>
    <t>27AAAAA14050Z5</t>
  </si>
  <si>
    <t>27AAAAA14051Z5</t>
  </si>
  <si>
    <t>27AAAAA14052Z5</t>
  </si>
  <si>
    <t>27AAAAA14053Z5</t>
  </si>
  <si>
    <t>27AAAAA14054Z5</t>
  </si>
  <si>
    <t>27AAAAA14055Z5</t>
  </si>
  <si>
    <t>27AAAAA14056Z5</t>
  </si>
  <si>
    <t>27AAAAA14057Z5</t>
  </si>
  <si>
    <t>27AAAAA14058Z5</t>
  </si>
  <si>
    <t>27AAAAA14059Z5</t>
  </si>
  <si>
    <t>27AAAAA14060Z5</t>
  </si>
  <si>
    <t>27AAAAA14061Z5</t>
  </si>
  <si>
    <t>27AAAAA14062Z5</t>
  </si>
  <si>
    <t>27AAAAA14063Z5</t>
  </si>
  <si>
    <t>27AAAAA14064Z5</t>
  </si>
  <si>
    <t>27AAAAA14065Z5</t>
  </si>
  <si>
    <t>27AAAAA14066Z5</t>
  </si>
  <si>
    <t>27AAAAA14067Z5</t>
  </si>
  <si>
    <t>27AAAAA14068Z5</t>
  </si>
  <si>
    <t>27AAAAA14069Z5</t>
  </si>
  <si>
    <t>27AAAAA14070Z5</t>
  </si>
  <si>
    <t>27AAAAA14071Z5</t>
  </si>
  <si>
    <t>27AAAAA14072Z5</t>
  </si>
  <si>
    <t>27AAAAA14073Z5</t>
  </si>
  <si>
    <t>27AAAAA14074Z5</t>
  </si>
  <si>
    <t>27AAAAA14075Z5</t>
  </si>
  <si>
    <t>27AAAAA14076Z5</t>
  </si>
  <si>
    <t>27AAAAA14077Z5</t>
  </si>
  <si>
    <t>27AAAAA14078Z5</t>
  </si>
  <si>
    <t>27AAAAA14079Z5</t>
  </si>
  <si>
    <t>27AAAAA14080Z5</t>
  </si>
  <si>
    <t>27AAAAA14081Z5</t>
  </si>
  <si>
    <t>27AAAAA14082Z5</t>
  </si>
  <si>
    <t>27AAAAA14083Z5</t>
  </si>
  <si>
    <t>27AAAAA14084Z5</t>
  </si>
  <si>
    <t>27AAAAA14085Z5</t>
  </si>
  <si>
    <t>27AAAAA14086Z5</t>
  </si>
  <si>
    <t>27AAAAA14087Z5</t>
  </si>
  <si>
    <t>27AAAAA14088Z5</t>
  </si>
  <si>
    <t>27AAAAA14089Z5</t>
  </si>
  <si>
    <t>27AAAAA14090Z5</t>
  </si>
  <si>
    <t>27AAAAA14091Z5</t>
  </si>
  <si>
    <t>27AAAAA14092Z5</t>
  </si>
  <si>
    <t>27AAAAA14093Z5</t>
  </si>
  <si>
    <t>27AAAAA14094Z5</t>
  </si>
  <si>
    <t>27AAAAA14095Z5</t>
  </si>
  <si>
    <t>27AAAAA14096Z5</t>
  </si>
  <si>
    <t>27AAAAA14097Z5</t>
  </si>
  <si>
    <t>27AAAAA14098Z5</t>
  </si>
  <si>
    <t>27AAAAA14099Z5</t>
  </si>
  <si>
    <t>27AAAAA14100Z5</t>
  </si>
  <si>
    <t>27AAAAA14101Z5</t>
  </si>
  <si>
    <t>27AAAAA14102Z5</t>
  </si>
  <si>
    <t>27AAAAA14103Z5</t>
  </si>
  <si>
    <t>27AAAAA14104Z5</t>
  </si>
  <si>
    <t>27AAAAA14105Z5</t>
  </si>
  <si>
    <t>27AAAAA14106Z5</t>
  </si>
  <si>
    <t>27AAAAA14107Z5</t>
  </si>
  <si>
    <t>27AAAAA14108Z5</t>
  </si>
  <si>
    <t>27AAAAA14109Z5</t>
  </si>
  <si>
    <t>27AAAAA14110Z5</t>
  </si>
  <si>
    <t>27AAAAA14111Z5</t>
  </si>
  <si>
    <t>27AAAAA14112Z5</t>
  </si>
  <si>
    <t>27AAAAA14113Z5</t>
  </si>
  <si>
    <t>27AAAAA14114Z5</t>
  </si>
  <si>
    <t>27AAAAA14115Z5</t>
  </si>
  <si>
    <t>27AAAAA14116Z5</t>
  </si>
  <si>
    <t>27AAAAA14117Z5</t>
  </si>
  <si>
    <t>27AAAAA14118Z5</t>
  </si>
  <si>
    <t>27AAAAA14119Z5</t>
  </si>
  <si>
    <t>27AAAAA14120Z5</t>
  </si>
  <si>
    <t>27AAAAA14121Z5</t>
  </si>
  <si>
    <t>27AAAAA14122Z5</t>
  </si>
  <si>
    <t>27AAAAA14123Z5</t>
  </si>
  <si>
    <t>27AAAAA14124Z5</t>
  </si>
  <si>
    <t>27AAAAA14125Z5</t>
  </si>
  <si>
    <t>27AAAAA14126Z5</t>
  </si>
  <si>
    <t>27AAAAA14127Z5</t>
  </si>
  <si>
    <t>27AAAAA14128Z5</t>
  </si>
  <si>
    <t>27AAAAA14129Z5</t>
  </si>
  <si>
    <t>27AAAAA14130Z5</t>
  </si>
  <si>
    <t>27AAAAA14131Z5</t>
  </si>
  <si>
    <t>27AAAAA14132Z5</t>
  </si>
  <si>
    <t>27AAAAA14133Z5</t>
  </si>
  <si>
    <t>27AAAAA14134Z5</t>
  </si>
  <si>
    <t>27AAAAA14135Z5</t>
  </si>
  <si>
    <t>27AAAAA14136Z5</t>
  </si>
  <si>
    <t>27AAAAA14137Z5</t>
  </si>
  <si>
    <t>27AAAAA14138Z5</t>
  </si>
  <si>
    <t>27AAAAA14139Z5</t>
  </si>
  <si>
    <t>27AAAAA14140Z5</t>
  </si>
  <si>
    <t>27AAAAA14141Z5</t>
  </si>
  <si>
    <t>27AAAAA14142Z5</t>
  </si>
  <si>
    <t>27AAAAA14143Z5</t>
  </si>
  <si>
    <t>27AAAAA14144Z5</t>
  </si>
  <si>
    <t>27AAAAA14145Z5</t>
  </si>
  <si>
    <t>27AAAAA14146Z5</t>
  </si>
  <si>
    <t>27AAAAA14147Z5</t>
  </si>
  <si>
    <t>27AAAAA14148Z5</t>
  </si>
  <si>
    <t>27AAAAA14149Z5</t>
  </si>
  <si>
    <t>27AAAAA14150Z5</t>
  </si>
  <si>
    <t>27AAAAA14151Z5</t>
  </si>
  <si>
    <t>27AAAAA14152Z5</t>
  </si>
  <si>
    <t>27AAAAA14153Z5</t>
  </si>
  <si>
    <t>27AAAAA14154Z5</t>
  </si>
  <si>
    <t>27AAAAA14155Z5</t>
  </si>
  <si>
    <t>27AAAAA14156Z5</t>
  </si>
  <si>
    <t>27AAAAA14157Z5</t>
  </si>
  <si>
    <t>27AAAAA14158Z5</t>
  </si>
  <si>
    <t>27AAAAA14159Z5</t>
  </si>
  <si>
    <t>27AAAAA14160Z5</t>
  </si>
  <si>
    <t>27AAAAA14161Z5</t>
  </si>
  <si>
    <t>27AAAAA14162Z5</t>
  </si>
  <si>
    <t>27AAAAA14163Z5</t>
  </si>
  <si>
    <t>27AAAAA14164Z5</t>
  </si>
  <si>
    <t>27AAAAA14165Z5</t>
  </si>
  <si>
    <t>27AAAAA14166Z5</t>
  </si>
  <si>
    <t>27AAAAA14167Z5</t>
  </si>
  <si>
    <t>27AAAAA14168Z5</t>
  </si>
  <si>
    <t>27AAAAA14169Z5</t>
  </si>
  <si>
    <t>27AAAAA14170Z5</t>
  </si>
  <si>
    <t>27AAAAA14171Z5</t>
  </si>
  <si>
    <t>27AAAAA14172Z5</t>
  </si>
  <si>
    <t>27AAAAA14173Z5</t>
  </si>
  <si>
    <t>27AAAAA14174Z5</t>
  </si>
  <si>
    <t>27AAAAA14175Z5</t>
  </si>
  <si>
    <t>27AAAAA14176Z5</t>
  </si>
  <si>
    <t>27AAAAA14177Z5</t>
  </si>
  <si>
    <t>27AAAAA14178Z5</t>
  </si>
  <si>
    <t>27AAAAA14179Z5</t>
  </si>
  <si>
    <t>27AAAAA14180Z5</t>
  </si>
  <si>
    <t>27AAAAA14181Z5</t>
  </si>
  <si>
    <t>27AAAAA14182Z5</t>
  </si>
  <si>
    <t>27AAAAA14183Z5</t>
  </si>
  <si>
    <t>27AAAAA14184Z5</t>
  </si>
  <si>
    <t>27AAAAA14185Z5</t>
  </si>
  <si>
    <t>27AAAAA14186Z5</t>
  </si>
  <si>
    <t>27AAAAA14187Z5</t>
  </si>
  <si>
    <t>27AAAAA14188Z5</t>
  </si>
  <si>
    <t>27AAAAA14189Z5</t>
  </si>
  <si>
    <t>27AAAAA14190Z5</t>
  </si>
  <si>
    <t>27AAAAA14191Z5</t>
  </si>
  <si>
    <t>27AAAAA14192Z5</t>
  </si>
  <si>
    <t>27AAAAA14193Z5</t>
  </si>
  <si>
    <t>27AAAAA14194Z5</t>
  </si>
  <si>
    <t>27AAAAA14195Z5</t>
  </si>
  <si>
    <t>27AAAAA14196Z5</t>
  </si>
  <si>
    <t>27AAAAA14197Z5</t>
  </si>
  <si>
    <t>27AAAAA14198Z5</t>
  </si>
  <si>
    <t>27AAAAA14199Z5</t>
  </si>
  <si>
    <t>27AAAAA14200Z5</t>
  </si>
  <si>
    <t>27AAAAA14201Z5</t>
  </si>
  <si>
    <t>27AAAAA14202Z5</t>
  </si>
  <si>
    <t>27AAAAA14203Z5</t>
  </si>
  <si>
    <t>27AAAAA14204Z5</t>
  </si>
  <si>
    <t>27AAAAA14205Z5</t>
  </si>
  <si>
    <t>27AAAAA14206Z5</t>
  </si>
  <si>
    <t>27AAAAA14207Z5</t>
  </si>
  <si>
    <t>27AAAAA14208Z5</t>
  </si>
  <si>
    <t>27AAAAA14209Z5</t>
  </si>
  <si>
    <t>27AAAAA14210Z5</t>
  </si>
  <si>
    <t>27AAAAA14211Z5</t>
  </si>
  <si>
    <t>27AAAAA14212Z5</t>
  </si>
  <si>
    <t>27AAAAA14213Z5</t>
  </si>
  <si>
    <t>27AAAAA14214Z5</t>
  </si>
  <si>
    <t>27AAAAA14215Z5</t>
  </si>
  <si>
    <t>27AAAAA14216Z5</t>
  </si>
  <si>
    <t>27AAAAA14217Z5</t>
  </si>
  <si>
    <t>27AAAAA14218Z5</t>
  </si>
  <si>
    <t>27AAAAA14219Z5</t>
  </si>
  <si>
    <t>27AAAAA14220Z5</t>
  </si>
  <si>
    <t>27AAAAA14221Z5</t>
  </si>
  <si>
    <t>27AAAAA14222Z5</t>
  </si>
  <si>
    <t>27AAAAA14223Z5</t>
  </si>
  <si>
    <t>27AAAAA14224Z5</t>
  </si>
  <si>
    <t>27AAAAA14225Z5</t>
  </si>
  <si>
    <t>27AAAAA14226Z5</t>
  </si>
  <si>
    <t>27AAAAA14227Z5</t>
  </si>
  <si>
    <t>27AAAAA14228Z5</t>
  </si>
  <si>
    <t>27AAAAA14229Z5</t>
  </si>
  <si>
    <t>27AAAAA14230Z5</t>
  </si>
  <si>
    <t>27AAAAA14231Z5</t>
  </si>
  <si>
    <t>27AAAAA14232Z5</t>
  </si>
  <si>
    <t>27AAAAA14233Z5</t>
  </si>
  <si>
    <t>27AAAAA14234Z5</t>
  </si>
  <si>
    <t>27AAAAA14235Z5</t>
  </si>
  <si>
    <t>27AAAAA14236Z5</t>
  </si>
  <si>
    <t>27AAAAA14237Z5</t>
  </si>
  <si>
    <t>27AAAAA14238Z5</t>
  </si>
  <si>
    <t>27AAAAA14239Z5</t>
  </si>
  <si>
    <t>27AAAAA14240Z5</t>
  </si>
  <si>
    <t>27AAAAA14241Z5</t>
  </si>
  <si>
    <t>27AAAAA14242Z5</t>
  </si>
  <si>
    <t>27AAAAA14243Z5</t>
  </si>
  <si>
    <t>27AAAAA14244Z5</t>
  </si>
  <si>
    <t>27AAAAA14245Z5</t>
  </si>
  <si>
    <t>27AAAAA14246Z5</t>
  </si>
  <si>
    <t>27AAAAA14247Z5</t>
  </si>
  <si>
    <t>27AAAAA14248Z5</t>
  </si>
  <si>
    <t>27AAAAA14249Z5</t>
  </si>
  <si>
    <t>27AAAAA14250Z5</t>
  </si>
  <si>
    <t>27AAAAA14251Z5</t>
  </si>
  <si>
    <t>27AAAAA14252Z5</t>
  </si>
  <si>
    <t>27AAAAA14253Z5</t>
  </si>
  <si>
    <t>27AAAAA14254Z5</t>
  </si>
  <si>
    <t>27AAAAA14255Z5</t>
  </si>
  <si>
    <t>27AAAAA14256Z5</t>
  </si>
  <si>
    <t>27AAAAA14257Z5</t>
  </si>
  <si>
    <t>27AAAAA14258Z5</t>
  </si>
  <si>
    <t>27AAAAA14259Z5</t>
  </si>
  <si>
    <t>27AAAAA14260Z5</t>
  </si>
  <si>
    <t>27AAAAA14261Z5</t>
  </si>
  <si>
    <t>27AAAAA14262Z5</t>
  </si>
  <si>
    <t>27AAAAA14263Z5</t>
  </si>
  <si>
    <t>27AAAAA14264Z5</t>
  </si>
  <si>
    <t>27AAAAA14265Z5</t>
  </si>
  <si>
    <t>27AAAAA14266Z5</t>
  </si>
  <si>
    <t>27AAAAA14267Z5</t>
  </si>
  <si>
    <t>27AAAAA14268Z5</t>
  </si>
  <si>
    <t>27AAAAA14269Z5</t>
  </si>
  <si>
    <t>27AAAAA14270Z5</t>
  </si>
  <si>
    <t>27AAAAA14271Z5</t>
  </si>
  <si>
    <t>27AAAAA14272Z5</t>
  </si>
  <si>
    <t>27AAAAA14273Z5</t>
  </si>
  <si>
    <t>27AAAAA14274Z5</t>
  </si>
  <si>
    <t>27AAAAA14275Z5</t>
  </si>
  <si>
    <t>27AAAAA14276Z5</t>
  </si>
  <si>
    <t>27AAAAA14277Z5</t>
  </si>
  <si>
    <t>27AAAAA14278Z5</t>
  </si>
  <si>
    <t>27AAAAA14279Z5</t>
  </si>
  <si>
    <t>27AAAAA14280Z5</t>
  </si>
  <si>
    <t>27AAAAA14281Z5</t>
  </si>
  <si>
    <t>27AAAAA14282Z5</t>
  </si>
  <si>
    <t>27AAAAA14283Z5</t>
  </si>
  <si>
    <t>27AAAAA14284Z5</t>
  </si>
  <si>
    <t>27AAAAA14285Z5</t>
  </si>
  <si>
    <t>27AAAAA14286Z5</t>
  </si>
  <si>
    <t>27AAAAA14287Z5</t>
  </si>
  <si>
    <t>27AAAAA14288Z5</t>
  </si>
  <si>
    <t>27AAAAA14289Z5</t>
  </si>
  <si>
    <t>27AAAAA14290Z5</t>
  </si>
  <si>
    <t>27AAAAA14291Z5</t>
  </si>
  <si>
    <t>27AAAAA14292Z5</t>
  </si>
  <si>
    <t>27AAAAA14293Z5</t>
  </si>
  <si>
    <t>27AAAAA14294Z5</t>
  </si>
  <si>
    <t>27AAAAA14295Z5</t>
  </si>
  <si>
    <t>27AAAAA14296Z5</t>
  </si>
  <si>
    <t>27AAAAA14297Z5</t>
  </si>
  <si>
    <t>27AAAAA14298Z5</t>
  </si>
  <si>
    <t>27AAAAA14299Z5</t>
  </si>
  <si>
    <t>27AAAAA14300Z5</t>
  </si>
  <si>
    <t>27AAAAA14301Z5</t>
  </si>
  <si>
    <t>27AAAAA14302Z5</t>
  </si>
  <si>
    <t>27AAAAA14303Z5</t>
  </si>
  <si>
    <t>27AAAAA14304Z5</t>
  </si>
  <si>
    <t>27AAAAA14305Z5</t>
  </si>
  <si>
    <t>27AAAAA14306Z5</t>
  </si>
  <si>
    <t>27AAAAA14307Z5</t>
  </si>
  <si>
    <t>27AAAAA14308Z5</t>
  </si>
  <si>
    <t>27AAAAA14309Z5</t>
  </si>
  <si>
    <t>27AAAAA14310Z5</t>
  </si>
  <si>
    <t>27AAAAA14311Z5</t>
  </si>
  <si>
    <t>27AAAAA14312Z5</t>
  </si>
  <si>
    <t>27AAAAA14313Z5</t>
  </si>
  <si>
    <t>27AAAAA14314Z5</t>
  </si>
  <si>
    <t>27AAAAA14315Z5</t>
  </si>
  <si>
    <t>27AAAAA14316Z5</t>
  </si>
  <si>
    <t>27AAAAA14317Z5</t>
  </si>
  <si>
    <t>27AAAAA14318Z5</t>
  </si>
  <si>
    <t>27AAAAA14319Z5</t>
  </si>
  <si>
    <t>27AAAAA14320Z5</t>
  </si>
  <si>
    <t>27AAAAA14321Z5</t>
  </si>
  <si>
    <t>27AAAAA14322Z5</t>
  </si>
  <si>
    <t>27AAAAA14323Z5</t>
  </si>
  <si>
    <t>27AAAAA14324Z5</t>
  </si>
  <si>
    <t>27AAAAA14325Z5</t>
  </si>
  <si>
    <t>27AAAAA14326Z5</t>
  </si>
  <si>
    <t>27AAAAA14327Z5</t>
  </si>
  <si>
    <t>27AAAAA14328Z5</t>
  </si>
  <si>
    <t>27AAAAA14329Z5</t>
  </si>
  <si>
    <t>27AAAAA14330Z5</t>
  </si>
  <si>
    <t>27AAAAA14331Z5</t>
  </si>
  <si>
    <t>27AAAAA14332Z5</t>
  </si>
  <si>
    <t>27AAAAA14333Z5</t>
  </si>
  <si>
    <t>27AAAAA14334Z5</t>
  </si>
  <si>
    <t>27AAAAA14335Z5</t>
  </si>
  <si>
    <t>27AAAAA14336Z5</t>
  </si>
  <si>
    <t>27AAAAA14337Z5</t>
  </si>
  <si>
    <t>27AAAAA14338Z5</t>
  </si>
  <si>
    <t>27AAAAA14339Z5</t>
  </si>
  <si>
    <t>27AAAAA14340Z5</t>
  </si>
  <si>
    <t>27AAAAA14341Z5</t>
  </si>
  <si>
    <t>27AAAAA14342Z5</t>
  </si>
  <si>
    <t>27AAAAA14343Z5</t>
  </si>
  <si>
    <t>27AAAAA14344Z5</t>
  </si>
  <si>
    <t>27AAAAA14345Z5</t>
  </si>
  <si>
    <t>27AAAAA14346Z5</t>
  </si>
  <si>
    <t>27AAAAA14347Z5</t>
  </si>
  <si>
    <t>27AAAAA14348Z5</t>
  </si>
  <si>
    <t>27AAAAA14349Z5</t>
  </si>
  <si>
    <t>27AAAAA14350Z5</t>
  </si>
  <si>
    <t>27AAAAA14351Z5</t>
  </si>
  <si>
    <t>27AAAAA14352Z5</t>
  </si>
  <si>
    <t>27AAAAA14353Z5</t>
  </si>
  <si>
    <t>27AAAAA14354Z5</t>
  </si>
  <si>
    <t>27AAAAA14355Z5</t>
  </si>
  <si>
    <t>27AAAAA14356Z5</t>
  </si>
  <si>
    <t>27AAAAA14357Z5</t>
  </si>
  <si>
    <t>27AAAAA14358Z5</t>
  </si>
  <si>
    <t>27AAAAA14359Z5</t>
  </si>
  <si>
    <t>27AAAAA14360Z5</t>
  </si>
  <si>
    <t>27AAAAA14361Z5</t>
  </si>
  <si>
    <t>27AAAAA14362Z5</t>
  </si>
  <si>
    <t>27AAAAA14363Z5</t>
  </si>
  <si>
    <t>27AAAAA14364Z5</t>
  </si>
  <si>
    <t>27AAAAA14365Z5</t>
  </si>
  <si>
    <t>27AAAAA14366Z5</t>
  </si>
  <si>
    <t>27AAAAA14367Z5</t>
  </si>
  <si>
    <t>27AAAAA14368Z5</t>
  </si>
  <si>
    <t>27AAAAA14369Z5</t>
  </si>
  <si>
    <t>27AAAAA14370Z5</t>
  </si>
  <si>
    <t>27AAAAA14371Z5</t>
  </si>
  <si>
    <t>27AAAAA14372Z5</t>
  </si>
  <si>
    <t>27AAAAA14373Z5</t>
  </si>
  <si>
    <t>27AAAAA14374Z5</t>
  </si>
  <si>
    <t>27AAAAA14375Z5</t>
  </si>
  <si>
    <t>27AAAAA14376Z5</t>
  </si>
  <si>
    <t>27AAAAA14377Z5</t>
  </si>
  <si>
    <t>27AAAAA14378Z5</t>
  </si>
  <si>
    <t>27AAAAA14379Z5</t>
  </si>
  <si>
    <t>27AAAAA14380Z5</t>
  </si>
  <si>
    <t>27AAAAA14381Z5</t>
  </si>
  <si>
    <t>27AAAAA14382Z5</t>
  </si>
  <si>
    <t>27AAAAA14383Z5</t>
  </si>
  <si>
    <t>27AAAAA14384Z5</t>
  </si>
  <si>
    <t>27AAAAA14385Z5</t>
  </si>
  <si>
    <t>27AAAAA14386Z5</t>
  </si>
  <si>
    <t>27AAAAA14387Z5</t>
  </si>
  <si>
    <t>27AAAAA14388Z5</t>
  </si>
  <si>
    <t>27AAAAA14389Z5</t>
  </si>
  <si>
    <t>27AAAAA14390Z5</t>
  </si>
  <si>
    <t>27AAAAA14391Z5</t>
  </si>
  <si>
    <t>27AAAAA14392Z5</t>
  </si>
  <si>
    <t>27AAAAA14393Z5</t>
  </si>
  <si>
    <t>27AAAAA14394Z5</t>
  </si>
  <si>
    <t>27AAAAA14395Z5</t>
  </si>
  <si>
    <t>27AAAAA14396Z5</t>
  </si>
  <si>
    <t>27AAAAA14397Z5</t>
  </si>
  <si>
    <t>27AAAAA14398Z5</t>
  </si>
  <si>
    <t>27AAAAA14399Z5</t>
  </si>
  <si>
    <t>27AAAAA14400Z5</t>
  </si>
  <si>
    <t>27AAAAA14401Z5</t>
  </si>
  <si>
    <t>27AAAAA14402Z5</t>
  </si>
  <si>
    <t>27AAAAA14403Z5</t>
  </si>
  <si>
    <t>27AAAAA14404Z5</t>
  </si>
  <si>
    <t>27AAAAA14405Z5</t>
  </si>
  <si>
    <t>27AAAAA14406Z5</t>
  </si>
  <si>
    <t>27AAAAA14407Z5</t>
  </si>
  <si>
    <t>27AAAAA14408Z5</t>
  </si>
  <si>
    <t>27AAAAA14409Z5</t>
  </si>
  <si>
    <t>27AAAAA14410Z5</t>
  </si>
  <si>
    <t>27AAAAA14411Z5</t>
  </si>
  <si>
    <t>27AAAAA14412Z5</t>
  </si>
  <si>
    <t>27AAAAA14413Z5</t>
  </si>
  <si>
    <t>27AAAAA14414Z5</t>
  </si>
  <si>
    <t>27AAAAA14415Z5</t>
  </si>
  <si>
    <t>27AAAAA14416Z5</t>
  </si>
  <si>
    <t>27AAAAA14417Z5</t>
  </si>
  <si>
    <t>27AAAAA14418Z5</t>
  </si>
  <si>
    <t>27AAAAA14419Z5</t>
  </si>
  <si>
    <t>27AAAAA14420Z5</t>
  </si>
  <si>
    <t>27AAAAA14421Z5</t>
  </si>
  <si>
    <t>27AAAAA14422Z5</t>
  </si>
  <si>
    <t>27AAAAA14423Z5</t>
  </si>
  <si>
    <t>27AAAAA14424Z5</t>
  </si>
  <si>
    <t>27AAAAA14425Z5</t>
  </si>
  <si>
    <t>27AAAAA14426Z5</t>
  </si>
  <si>
    <t>27AAAAA14427Z5</t>
  </si>
  <si>
    <t>27AAAAA14428Z5</t>
  </si>
  <si>
    <t>27AAAAA14429Z5</t>
  </si>
  <si>
    <t>27AAAAA14430Z5</t>
  </si>
  <si>
    <t>27AAAAA14431Z5</t>
  </si>
  <si>
    <t>27AAAAA14432Z5</t>
  </si>
  <si>
    <t>27AAAAA14433Z5</t>
  </si>
  <si>
    <t>27AAAAA14434Z5</t>
  </si>
  <si>
    <t>27AAAAA14435Z5</t>
  </si>
  <si>
    <t>27AAAAA14436Z5</t>
  </si>
  <si>
    <t>27AAAAA14437Z5</t>
  </si>
  <si>
    <t>27AAAAA14438Z5</t>
  </si>
  <si>
    <t>27AAAAA14439Z5</t>
  </si>
  <si>
    <t>27AAAAA14440Z5</t>
  </si>
  <si>
    <t>27AAAAA14441Z5</t>
  </si>
  <si>
    <t>27AAAAA14442Z5</t>
  </si>
  <si>
    <t>27AAAAA14443Z5</t>
  </si>
  <si>
    <t>27AAAAA14444Z5</t>
  </si>
  <si>
    <t>27AAAAA14445Z5</t>
  </si>
  <si>
    <t>27AAAAA14446Z5</t>
  </si>
  <si>
    <t>27AAAAA14447Z5</t>
  </si>
  <si>
    <t>27AAAAA14448Z5</t>
  </si>
  <si>
    <t>27AAAAA14449Z5</t>
  </si>
  <si>
    <t>27AAAAA14450Z5</t>
  </si>
  <si>
    <t>27AAAAA14451Z5</t>
  </si>
  <si>
    <t>27AAAAA14452Z5</t>
  </si>
  <si>
    <t>27AAAAA14453Z5</t>
  </si>
  <si>
    <t>27AAAAA14454Z5</t>
  </si>
  <si>
    <t>27AAAAA14455Z5</t>
  </si>
  <si>
    <t>27AAAAA14456Z5</t>
  </si>
  <si>
    <t>27AAAAA14457Z5</t>
  </si>
  <si>
    <t>27AAAAA14458Z5</t>
  </si>
  <si>
    <t>27AAAAA14459Z5</t>
  </si>
  <si>
    <t>27AAAAA14460Z5</t>
  </si>
  <si>
    <t>27AAAAA14461Z5</t>
  </si>
  <si>
    <t>27AAAAA14462Z5</t>
  </si>
  <si>
    <t>27AAAAA14463Z5</t>
  </si>
  <si>
    <t>27AAAAA14464Z5</t>
  </si>
  <si>
    <t>27AAAAA14465Z5</t>
  </si>
  <si>
    <t>27AAAAA14466Z5</t>
  </si>
  <si>
    <t>27AAAAA14467Z5</t>
  </si>
  <si>
    <t>27AAAAA14468Z5</t>
  </si>
  <si>
    <t>27AAAAA14469Z5</t>
  </si>
  <si>
    <t>27AAAAA14470Z5</t>
  </si>
  <si>
    <t>27AAAAA14471Z5</t>
  </si>
  <si>
    <t>27AAAAA14472Z5</t>
  </si>
  <si>
    <t>27AAAAA14473Z5</t>
  </si>
  <si>
    <t>27AAAAA14474Z5</t>
  </si>
  <si>
    <t>27AAAAA14475Z5</t>
  </si>
  <si>
    <t>27AAAAA14476Z5</t>
  </si>
  <si>
    <t>27AAAAA14477Z5</t>
  </si>
  <si>
    <t>27AAAAA14478Z5</t>
  </si>
  <si>
    <t>27AAAAA14479Z5</t>
  </si>
  <si>
    <t>27AAAAA14480Z5</t>
  </si>
  <si>
    <t>27AAAAA14481Z5</t>
  </si>
  <si>
    <t>27AAAAA14482Z5</t>
  </si>
  <si>
    <t>27AAAAA14483Z5</t>
  </si>
  <si>
    <t>27AAAAA14484Z5</t>
  </si>
  <si>
    <t>27AAAAA14485Z5</t>
  </si>
  <si>
    <t>27AAAAA14486Z5</t>
  </si>
  <si>
    <t>27AAAAA14487Z5</t>
  </si>
  <si>
    <t>27AAAAA14488Z5</t>
  </si>
  <si>
    <t>27AAAAA14489Z5</t>
  </si>
  <si>
    <t>27AAAAA14490Z5</t>
  </si>
  <si>
    <t>27AAAAA14491Z5</t>
  </si>
  <si>
    <t>27AAAAA14492Z5</t>
  </si>
  <si>
    <t>27AAAAA14493Z5</t>
  </si>
  <si>
    <t>27AAAAA14494Z5</t>
  </si>
  <si>
    <t>27AAAAA14495Z5</t>
  </si>
  <si>
    <t>27AAAAA14496Z5</t>
  </si>
  <si>
    <t>27AAAAA14497Z5</t>
  </si>
  <si>
    <t>27AAAAA14498Z5</t>
  </si>
  <si>
    <t>27AAAAA14499Z5</t>
  </si>
  <si>
    <t>27AAAAA14500Z5</t>
  </si>
  <si>
    <t>27AAAAA14501Z5</t>
  </si>
  <si>
    <t>27AAAAA14502Z5</t>
  </si>
  <si>
    <t>27AAAAA14503Z5</t>
  </si>
  <si>
    <t>27AAAAA14504Z5</t>
  </si>
  <si>
    <t>27AAAAA14505Z5</t>
  </si>
  <si>
    <t>27AAAAA14506Z5</t>
  </si>
  <si>
    <t>27AAAAA14507Z5</t>
  </si>
  <si>
    <t>27AAAAA14508Z5</t>
  </si>
  <si>
    <t>27AAAAA14509Z5</t>
  </si>
  <si>
    <t>27AAAAA14510Z5</t>
  </si>
  <si>
    <t>27AAAAA14511Z5</t>
  </si>
  <si>
    <t>27AAAAA14512Z5</t>
  </si>
  <si>
    <t>27AAAAA14513Z5</t>
  </si>
  <si>
    <t>27AAAAA14514Z5</t>
  </si>
  <si>
    <t>27AAAAA14515Z5</t>
  </si>
  <si>
    <t>27AAAAA14516Z5</t>
  </si>
  <si>
    <t>27AAAAA14517Z5</t>
  </si>
  <si>
    <t>27AAAAA14518Z5</t>
  </si>
  <si>
    <t>27AAAAA14519Z5</t>
  </si>
  <si>
    <t>27AAAAA14520Z5</t>
  </si>
  <si>
    <t>27AAAAA14521Z5</t>
  </si>
  <si>
    <t>27AAAAA14522Z5</t>
  </si>
  <si>
    <t>27AAAAA14523Z5</t>
  </si>
  <si>
    <t>27AAAAA14524Z5</t>
  </si>
  <si>
    <t>27AAAAA14525Z5</t>
  </si>
  <si>
    <t>27AAAAA14526Z5</t>
  </si>
  <si>
    <t>27AAAAA14527Z5</t>
  </si>
  <si>
    <t>27AAAAA14528Z5</t>
  </si>
  <si>
    <t>27AAAAA14529Z5</t>
  </si>
  <si>
    <t>27AAAAA14530Z5</t>
  </si>
  <si>
    <t>27AAAAA14531Z5</t>
  </si>
  <si>
    <t>27AAAAA14532Z5</t>
  </si>
  <si>
    <t>27AAAAA14533Z5</t>
  </si>
  <si>
    <t>27AAAAA14534Z5</t>
  </si>
  <si>
    <t>27AAAAA14535Z5</t>
  </si>
  <si>
    <t>27AAAAA14536Z5</t>
  </si>
  <si>
    <t>27AAAAA14537Z5</t>
  </si>
  <si>
    <t>27AAAAA14538Z5</t>
  </si>
  <si>
    <t>27AAAAA14539Z5</t>
  </si>
  <si>
    <t>27AAAAA14540Z5</t>
  </si>
  <si>
    <t>27AAAAA14541Z5</t>
  </si>
  <si>
    <t>27AAAAA14542Z5</t>
  </si>
  <si>
    <t>27AAAAA14543Z5</t>
  </si>
  <si>
    <t>27AAAAA14544Z5</t>
  </si>
  <si>
    <t>27AAAAA14545Z5</t>
  </si>
  <si>
    <t>27AAAAA14546Z5</t>
  </si>
  <si>
    <t>27AAAAA14547Z5</t>
  </si>
  <si>
    <t>27AAAAA14548Z5</t>
  </si>
  <si>
    <t>27AAAAA14549Z5</t>
  </si>
  <si>
    <t>27AAAAA14550Z5</t>
  </si>
  <si>
    <t>27AAAAA14551Z5</t>
  </si>
  <si>
    <t>27AAAAA14552Z5</t>
  </si>
  <si>
    <t>27AAAAA14553Z5</t>
  </si>
  <si>
    <t>27AAAAA14554Z5</t>
  </si>
  <si>
    <t>27AAAAA14555Z5</t>
  </si>
  <si>
    <t>27AAAAA14556Z5</t>
  </si>
  <si>
    <t>27AAAAA14557Z5</t>
  </si>
  <si>
    <t>27AAAAA14558Z5</t>
  </si>
  <si>
    <t>27AAAAA14559Z5</t>
  </si>
  <si>
    <t>27AAAAA14560Z5</t>
  </si>
  <si>
    <t>27AAAAA14561Z5</t>
  </si>
  <si>
    <t>27AAAAA14562Z5</t>
  </si>
  <si>
    <t>27AAAAA14563Z5</t>
  </si>
  <si>
    <t>27AAAAA14564Z5</t>
  </si>
  <si>
    <t>27AAAAA14565Z5</t>
  </si>
  <si>
    <t>27AAAAA14566Z5</t>
  </si>
  <si>
    <t>27AAAAA14567Z5</t>
  </si>
  <si>
    <t>27AAAAA14568Z5</t>
  </si>
  <si>
    <t>27AAAAA14569Z5</t>
  </si>
  <si>
    <t>27AAAAA14570Z5</t>
  </si>
  <si>
    <t>27AAAAA14571Z5</t>
  </si>
  <si>
    <t>27AAAAA14572Z5</t>
  </si>
  <si>
    <t>27AAAAA14573Z5</t>
  </si>
  <si>
    <t>27AAAAA14574Z5</t>
  </si>
  <si>
    <t>27AAAAA14575Z5</t>
  </si>
  <si>
    <t>27AAAAA14576Z5</t>
  </si>
  <si>
    <t>27AAAAA14577Z5</t>
  </si>
  <si>
    <t>27AAAAA14578Z5</t>
  </si>
  <si>
    <t>27AAAAA14579Z5</t>
  </si>
  <si>
    <t>27AAAAA14580Z5</t>
  </si>
  <si>
    <t>27AAAAA14581Z5</t>
  </si>
  <si>
    <t>27AAAAA14582Z5</t>
  </si>
  <si>
    <t>27AAAAA14583Z5</t>
  </si>
  <si>
    <t>27AAAAA14584Z5</t>
  </si>
  <si>
    <t>27AAAAA14585Z5</t>
  </si>
  <si>
    <t>27AAAAA14586Z5</t>
  </si>
  <si>
    <t>27AAAAA14587Z5</t>
  </si>
  <si>
    <t>27AAAAA14588Z5</t>
  </si>
  <si>
    <t>27AAAAA14589Z5</t>
  </si>
  <si>
    <t>27AAAAA14590Z5</t>
  </si>
  <si>
    <t>27AAAAA14591Z5</t>
  </si>
  <si>
    <t>27AAAAA14592Z5</t>
  </si>
  <si>
    <t>27AAAAA14593Z5</t>
  </si>
  <si>
    <t>27AAAAA14594Z5</t>
  </si>
  <si>
    <t>27AAAAA14595Z5</t>
  </si>
  <si>
    <t>27AAAAA14596Z5</t>
  </si>
  <si>
    <t>27AAAAA14597Z5</t>
  </si>
  <si>
    <t>27AAAAA14598Z5</t>
  </si>
  <si>
    <t>27AAAAA14599Z5</t>
  </si>
  <si>
    <t>27AAAAA14600Z5</t>
  </si>
  <si>
    <t>27AAAAA14601Z5</t>
  </si>
  <si>
    <t>27AAAAA14602Z5</t>
  </si>
  <si>
    <t>27AAAAA14603Z5</t>
  </si>
  <si>
    <t>27AAAAA14604Z5</t>
  </si>
  <si>
    <t>27AAAAA14605Z5</t>
  </si>
  <si>
    <t>27AAAAA14606Z5</t>
  </si>
  <si>
    <t>27AAAAA14607Z5</t>
  </si>
  <si>
    <t>27AAAAA14608Z5</t>
  </si>
  <si>
    <t>27AAAAA14609Z5</t>
  </si>
  <si>
    <t>27AAAAA14610Z5</t>
  </si>
  <si>
    <t>27AAAAA14611Z5</t>
  </si>
  <si>
    <t>27AAAAA14612Z5</t>
  </si>
  <si>
    <t>27AAAAA14613Z5</t>
  </si>
  <si>
    <t>27AAAAA14614Z5</t>
  </si>
  <si>
    <t>27AAAAA14615Z5</t>
  </si>
  <si>
    <t>27AAAAA14616Z5</t>
  </si>
  <si>
    <t>27AAAAA14617Z5</t>
  </si>
  <si>
    <t>27AAAAA14618Z5</t>
  </si>
  <si>
    <t>27AAAAA14619Z5</t>
  </si>
  <si>
    <t>27AAAAA14620Z5</t>
  </si>
  <si>
    <t>27AAAAA14621Z5</t>
  </si>
  <si>
    <t>27AAAAA14622Z5</t>
  </si>
  <si>
    <t>27AAAAA14623Z5</t>
  </si>
  <si>
    <t>27AAAAA14624Z5</t>
  </si>
  <si>
    <t>27AAAAA14625Z5</t>
  </si>
  <si>
    <t>27AAAAA14626Z5</t>
  </si>
  <si>
    <t>27AAAAA14627Z5</t>
  </si>
  <si>
    <t>27AAAAA14628Z5</t>
  </si>
  <si>
    <t>27AAAAA14629Z5</t>
  </si>
  <si>
    <t>27AAAAA14630Z5</t>
  </si>
  <si>
    <t>27AAAAA14631Z5</t>
  </si>
  <si>
    <t>27AAAAA14632Z5</t>
  </si>
  <si>
    <t>27AAAAA14633Z5</t>
  </si>
  <si>
    <t>27AAAAA14634Z5</t>
  </si>
  <si>
    <t>27AAAAA14635Z5</t>
  </si>
  <si>
    <t>27AAAAA14636Z5</t>
  </si>
  <si>
    <t>27AAAAA14637Z5</t>
  </si>
  <si>
    <t>27AAAAA14638Z5</t>
  </si>
  <si>
    <t>27AAAAA14639Z5</t>
  </si>
  <si>
    <t>27AAAAA14640Z5</t>
  </si>
  <si>
    <t>27AAAAA14641Z5</t>
  </si>
  <si>
    <t>27AAAAA14642Z5</t>
  </si>
  <si>
    <t>27AAAAA14643Z5</t>
  </si>
  <si>
    <t>27AAAAA14644Z5</t>
  </si>
  <si>
    <t>27AAAAA14645Z5</t>
  </si>
  <si>
    <t>27AAAAA14646Z5</t>
  </si>
  <si>
    <t>27AAAAA14647Z5</t>
  </si>
  <si>
    <t>27AAAAA14648Z5</t>
  </si>
  <si>
    <t>27AAAAA14649Z5</t>
  </si>
  <si>
    <t>27AAAAA14650Z5</t>
  </si>
  <si>
    <t>27AAAAA14651Z5</t>
  </si>
  <si>
    <t>27AAAAA14652Z5</t>
  </si>
  <si>
    <t>27AAAAA14653Z5</t>
  </si>
  <si>
    <t>27AAAAA14654Z5</t>
  </si>
  <si>
    <t>27AAAAA14655Z5</t>
  </si>
  <si>
    <t>27AAAAA14656Z5</t>
  </si>
  <si>
    <t>27AAAAA14657Z5</t>
  </si>
  <si>
    <t>27AAAAA14658Z5</t>
  </si>
  <si>
    <t>27AAAAA14659Z5</t>
  </si>
  <si>
    <t>27AAAAA14660Z5</t>
  </si>
  <si>
    <t>27AAAAA14661Z5</t>
  </si>
  <si>
    <t>27AAAAA14662Z5</t>
  </si>
  <si>
    <t>27AAAAA14663Z5</t>
  </si>
  <si>
    <t>27AAAAA14664Z5</t>
  </si>
  <si>
    <t>27AAAAA14665Z5</t>
  </si>
  <si>
    <t>27AAAAA14666Z5</t>
  </si>
  <si>
    <t>27AAAAA14667Z5</t>
  </si>
  <si>
    <t>27AAAAA14668Z5</t>
  </si>
  <si>
    <t>27AAAAA14669Z5</t>
  </si>
  <si>
    <t>27AAAAA14670Z5</t>
  </si>
  <si>
    <t>27AAAAA14671Z5</t>
  </si>
  <si>
    <t>27AAAAA14672Z5</t>
  </si>
  <si>
    <t>27AAAAA14673Z5</t>
  </si>
  <si>
    <t>27AAAAA14674Z5</t>
  </si>
  <si>
    <t>27AAAAA14675Z5</t>
  </si>
  <si>
    <t>27AAAAA14676Z5</t>
  </si>
  <si>
    <t>27AAAAA14677Z5</t>
  </si>
  <si>
    <t>27AAAAA14678Z5</t>
  </si>
  <si>
    <t>27AAAAA14679Z5</t>
  </si>
  <si>
    <t>27AAAAA14680Z5</t>
  </si>
  <si>
    <t>27AAAAA14681Z5</t>
  </si>
  <si>
    <t>27AAAAA14682Z5</t>
  </si>
  <si>
    <t>27AAAAA14683Z5</t>
  </si>
  <si>
    <t>27AAAAA14684Z5</t>
  </si>
  <si>
    <t>27AAAAA14685Z5</t>
  </si>
  <si>
    <t>27AAAAA14686Z5</t>
  </si>
  <si>
    <t>27AAAAA14687Z5</t>
  </si>
  <si>
    <t>27AAAAA14688Z5</t>
  </si>
  <si>
    <t>27AAAAA14689Z5</t>
  </si>
  <si>
    <t>27AAAAA14690Z5</t>
  </si>
  <si>
    <t>27AAAAA14691Z5</t>
  </si>
  <si>
    <t>27AAAAA14692Z5</t>
  </si>
  <si>
    <t>27AAAAA14693Z5</t>
  </si>
  <si>
    <t>27AAAAA14694Z5</t>
  </si>
  <si>
    <t>27AAAAA14695Z5</t>
  </si>
  <si>
    <t>27AAAAA14696Z5</t>
  </si>
  <si>
    <t>27AAAAA14697Z5</t>
  </si>
  <si>
    <t>27AAAAA14698Z5</t>
  </si>
  <si>
    <t>27AAAAA14699Z5</t>
  </si>
  <si>
    <t>27AAAAA14700Z5</t>
  </si>
  <si>
    <t>27AAAAA14701Z5</t>
  </si>
  <si>
    <t>27AAAAA14702Z5</t>
  </si>
  <si>
    <t>27AAAAA14703Z5</t>
  </si>
  <si>
    <t>27AAAAA14704Z5</t>
  </si>
  <si>
    <t>27AAAAA14705Z5</t>
  </si>
  <si>
    <t>27AAAAA14706Z5</t>
  </si>
  <si>
    <t>27AAAAA14707Z5</t>
  </si>
  <si>
    <t>27AAAAA14708Z5</t>
  </si>
  <si>
    <t>27AAAAA14709Z5</t>
  </si>
  <si>
    <t>27AAAAA14710Z5</t>
  </si>
  <si>
    <t>27AAAAA14711Z5</t>
  </si>
  <si>
    <t>27AAAAA14712Z5</t>
  </si>
  <si>
    <t>27AAAAA14713Z5</t>
  </si>
  <si>
    <t>27AAAAA14714Z5</t>
  </si>
  <si>
    <t>27AAAAA14715Z5</t>
  </si>
  <si>
    <t>27AAAAA14716Z5</t>
  </si>
  <si>
    <t>27AAAAA14717Z5</t>
  </si>
  <si>
    <t>27AAAAA14718Z5</t>
  </si>
  <si>
    <t>27AAAAA14719Z5</t>
  </si>
  <si>
    <t>27AAAAA14720Z5</t>
  </si>
  <si>
    <t>27AAAAA14721Z5</t>
  </si>
  <si>
    <t>27AAAAA14722Z5</t>
  </si>
  <si>
    <t>27AAAAA14723Z5</t>
  </si>
  <si>
    <t>27AAAAA14724Z5</t>
  </si>
  <si>
    <t>27AAAAA14725Z5</t>
  </si>
  <si>
    <t>27AAAAA14726Z5</t>
  </si>
  <si>
    <t>27AAAAA14727Z5</t>
  </si>
  <si>
    <t>27AAAAA14728Z5</t>
  </si>
  <si>
    <t>27AAAAA14729Z5</t>
  </si>
  <si>
    <t>27AAAAA14730Z5</t>
  </si>
  <si>
    <t>27AAAAA14731Z5</t>
  </si>
  <si>
    <t>27AAAAA14732Z5</t>
  </si>
  <si>
    <t>27AAAAA14733Z5</t>
  </si>
  <si>
    <t>27AAAAA14734Z5</t>
  </si>
  <si>
    <t>27AAAAA14735Z5</t>
  </si>
  <si>
    <t>27AAAAA14736Z5</t>
  </si>
  <si>
    <t>27AAAAA14737Z5</t>
  </si>
  <si>
    <t>27AAAAA14738Z5</t>
  </si>
  <si>
    <t>27AAAAA14739Z5</t>
  </si>
  <si>
    <t>27AAAAA14740Z5</t>
  </si>
  <si>
    <t>27AAAAA14741Z5</t>
  </si>
  <si>
    <t>27AAAAA14742Z5</t>
  </si>
  <si>
    <t>27AAAAA14743Z5</t>
  </si>
  <si>
    <t>27AAAAA14744Z5</t>
  </si>
  <si>
    <t>27AAAAA14745Z5</t>
  </si>
  <si>
    <t>27AAAAA14746Z5</t>
  </si>
  <si>
    <t>27AAAAA14747Z5</t>
  </si>
  <si>
    <t>27AAAAA14748Z5</t>
  </si>
  <si>
    <t>27AAAAA14749Z5</t>
  </si>
  <si>
    <t>27AAAAA14750Z5</t>
  </si>
  <si>
    <t>27AAAAA14751Z5</t>
  </si>
  <si>
    <t>27AAAAA14752Z5</t>
  </si>
  <si>
    <t>27AAAAA14753Z5</t>
  </si>
  <si>
    <t>27AAAAA14754Z5</t>
  </si>
  <si>
    <t>27AAAAA14755Z5</t>
  </si>
  <si>
    <t>27AAAAA14756Z5</t>
  </si>
  <si>
    <t>27AAAAA14757Z5</t>
  </si>
  <si>
    <t>27AAAAA14758Z5</t>
  </si>
  <si>
    <t>27AAAAA14759Z5</t>
  </si>
  <si>
    <t>27AAAAA14760Z5</t>
  </si>
  <si>
    <t>27AAAAA14761Z5</t>
  </si>
  <si>
    <t>27AAAAA14762Z5</t>
  </si>
  <si>
    <t>27AAAAA14763Z5</t>
  </si>
  <si>
    <t>27AAAAA14764Z5</t>
  </si>
  <si>
    <t>27AAAAA14765Z5</t>
  </si>
  <si>
    <t>27AAAAA14766Z5</t>
  </si>
  <si>
    <t>27AAAAA14767Z5</t>
  </si>
  <si>
    <t>27AAAAA14768Z5</t>
  </si>
  <si>
    <t>27AAAAA14769Z5</t>
  </si>
  <si>
    <t>27AAAAA14770Z5</t>
  </si>
  <si>
    <t>27AAAAA14771Z5</t>
  </si>
  <si>
    <t>27AAAAA14772Z5</t>
  </si>
  <si>
    <t>27AAAAA14773Z5</t>
  </si>
  <si>
    <t>27AAAAA14774Z5</t>
  </si>
  <si>
    <t>27AAAAA14775Z5</t>
  </si>
  <si>
    <t>27AAAAA14776Z5</t>
  </si>
  <si>
    <t>27AAAAA14777Z5</t>
  </si>
  <si>
    <t>27AAAAA14778Z5</t>
  </si>
  <si>
    <t>27AAAAA14779Z5</t>
  </si>
  <si>
    <t>27AAAAA14780Z5</t>
  </si>
  <si>
    <t>27AAAAA14781Z5</t>
  </si>
  <si>
    <t>27AAAAA14782Z5</t>
  </si>
  <si>
    <t>27AAAAA14783Z5</t>
  </si>
  <si>
    <t>27AAAAA14784Z5</t>
  </si>
  <si>
    <t>27AAAAA14785Z5</t>
  </si>
  <si>
    <t>27AAAAA14786Z5</t>
  </si>
  <si>
    <t>27AAAAA14787Z5</t>
  </si>
  <si>
    <t>27AAAAA14788Z5</t>
  </si>
  <si>
    <t>27AAAAA14789Z5</t>
  </si>
  <si>
    <t>27AAAAA14790Z5</t>
  </si>
  <si>
    <t>27AAAAA14791Z5</t>
  </si>
  <si>
    <t>27AAAAA14792Z5</t>
  </si>
  <si>
    <t>27AAAAA14793Z5</t>
  </si>
  <si>
    <t>27AAAAA14794Z5</t>
  </si>
  <si>
    <t>27AAAAA14795Z5</t>
  </si>
  <si>
    <t>27AAAAA14796Z5</t>
  </si>
  <si>
    <t>27AAAAA14797Z5</t>
  </si>
  <si>
    <t>27AAAAA14798Z5</t>
  </si>
  <si>
    <t>27AAAAA14799Z5</t>
  </si>
  <si>
    <t>27AAAAA14800Z5</t>
  </si>
  <si>
    <t>27AAAAA14801Z5</t>
  </si>
  <si>
    <t>27AAAAA14802Z5</t>
  </si>
  <si>
    <t>27AAAAA14803Z5</t>
  </si>
  <si>
    <t>27AAAAA14804Z5</t>
  </si>
  <si>
    <t>27AAAAA14805Z5</t>
  </si>
  <si>
    <t>27AAAAA14806Z5</t>
  </si>
  <si>
    <t>27AAAAA14807Z5</t>
  </si>
  <si>
    <t>27AAAAA14808Z5</t>
  </si>
  <si>
    <t>27AAAAA14809Z5</t>
  </si>
  <si>
    <t>27AAAAA14810Z5</t>
  </si>
  <si>
    <t>27AAAAA14811Z5</t>
  </si>
  <si>
    <t>27AAAAA14812Z5</t>
  </si>
  <si>
    <t>27AAAAA14813Z5</t>
  </si>
  <si>
    <t>27AAAAA14814Z5</t>
  </si>
  <si>
    <t>27AAAAA14815Z5</t>
  </si>
  <si>
    <t>27AAAAA14816Z5</t>
  </si>
  <si>
    <t>27AAAAA14817Z5</t>
  </si>
  <si>
    <t>27AAAAA14818Z5</t>
  </si>
  <si>
    <t>27AAAAA14819Z5</t>
  </si>
  <si>
    <t>27AAAAA14820Z5</t>
  </si>
  <si>
    <t>27AAAAA14821Z5</t>
  </si>
  <si>
    <t>27AAAAA14822Z5</t>
  </si>
  <si>
    <t>27AAAAA14823Z5</t>
  </si>
  <si>
    <t>27AAAAA14824Z5</t>
  </si>
  <si>
    <t>27AAAAA14825Z5</t>
  </si>
  <si>
    <t>27AAAAA14826Z5</t>
  </si>
  <si>
    <t>27AAAAA14827Z5</t>
  </si>
  <si>
    <t>27AAAAA14828Z5</t>
  </si>
  <si>
    <t>27AAAAA14829Z5</t>
  </si>
  <si>
    <t>27AAAAA14830Z5</t>
  </si>
  <si>
    <t>27AAAAA14831Z5</t>
  </si>
  <si>
    <t>27AAAAA14832Z5</t>
  </si>
  <si>
    <t>27AAAAA14833Z5</t>
  </si>
  <si>
    <t>27AAAAA14834Z5</t>
  </si>
  <si>
    <t>27AAAAA14835Z5</t>
  </si>
  <si>
    <t>27AAAAA14836Z5</t>
  </si>
  <si>
    <t>27AAAAA14837Z5</t>
  </si>
  <si>
    <t>27AAAAA14838Z5</t>
  </si>
  <si>
    <t>27AAAAA14839Z5</t>
  </si>
  <si>
    <t>27AAAAA14840Z5</t>
  </si>
  <si>
    <t>27AAAAA14841Z5</t>
  </si>
  <si>
    <t>27AAAAA14842Z5</t>
  </si>
  <si>
    <t>27AAAAA14843Z5</t>
  </si>
  <si>
    <t>27AAAAA14844Z5</t>
  </si>
  <si>
    <t>27AAAAA14845Z5</t>
  </si>
  <si>
    <t>27AAAAA14846Z5</t>
  </si>
  <si>
    <t>27AAAAA14847Z5</t>
  </si>
  <si>
    <t>27AAAAA14848Z5</t>
  </si>
  <si>
    <t>27AAAAA14849Z5</t>
  </si>
  <si>
    <t>27AAAAA14850Z5</t>
  </si>
  <si>
    <t>27AAAAA14851Z5</t>
  </si>
  <si>
    <t>27AAAAA14852Z5</t>
  </si>
  <si>
    <t>27AAAAA14853Z5</t>
  </si>
  <si>
    <t>27AAAAA14854Z5</t>
  </si>
  <si>
    <t>27AAAAA14855Z5</t>
  </si>
  <si>
    <t>27AAAAA14856Z5</t>
  </si>
  <si>
    <t>27AAAAA14857Z5</t>
  </si>
  <si>
    <t>27AAAAA14858Z5</t>
  </si>
  <si>
    <t>27AAAAA14859Z5</t>
  </si>
  <si>
    <t>27AAAAA14860Z5</t>
  </si>
  <si>
    <t>27AAAAA14861Z5</t>
  </si>
  <si>
    <t>27AAAAA14862Z5</t>
  </si>
  <si>
    <t>27AAAAA14863Z5</t>
  </si>
  <si>
    <t>27AAAAA14864Z5</t>
  </si>
  <si>
    <t>27AAAAA14865Z5</t>
  </si>
  <si>
    <t>27AAAAA14866Z5</t>
  </si>
  <si>
    <t>27AAAAA14867Z5</t>
  </si>
  <si>
    <t>27AAAAA14868Z5</t>
  </si>
  <si>
    <t>27AAAAA14869Z5</t>
  </si>
  <si>
    <t>27AAAAA14870Z5</t>
  </si>
  <si>
    <t>27AAAAA14871Z5</t>
  </si>
  <si>
    <t>27AAAAA14872Z5</t>
  </si>
  <si>
    <t>27AAAAA14873Z5</t>
  </si>
  <si>
    <t>27AAAAA14874Z5</t>
  </si>
  <si>
    <t>27AAAAA14875Z5</t>
  </si>
  <si>
    <t>27AAAAA14876Z5</t>
  </si>
  <si>
    <t>27AAAAA14877Z5</t>
  </si>
  <si>
    <t>27AAAAA14878Z5</t>
  </si>
  <si>
    <t>27AAAAA14879Z5</t>
  </si>
  <si>
    <t>27AAAAA14880Z5</t>
  </si>
  <si>
    <t>27AAAAA14881Z5</t>
  </si>
  <si>
    <t>27AAAAA14882Z5</t>
  </si>
  <si>
    <t>27AAAAA14883Z5</t>
  </si>
  <si>
    <t>27AAAAA14884Z5</t>
  </si>
  <si>
    <t>27AAAAA14885Z5</t>
  </si>
  <si>
    <t>27AAAAA14886Z5</t>
  </si>
  <si>
    <t>27AAAAA14887Z5</t>
  </si>
  <si>
    <t>27AAAAA14888Z5</t>
  </si>
  <si>
    <t>27AAAAA14889Z5</t>
  </si>
  <si>
    <t>27AAAAA14890Z5</t>
  </si>
  <si>
    <t>27AAAAA14891Z5</t>
  </si>
  <si>
    <t>27AAAAA14892Z5</t>
  </si>
  <si>
    <t>27AAAAA14893Z5</t>
  </si>
  <si>
    <t>27AAAAA14894Z5</t>
  </si>
  <si>
    <t>27AAAAA14895Z5</t>
  </si>
  <si>
    <t>27AAAAA14896Z5</t>
  </si>
  <si>
    <t>27AAAAA14897Z5</t>
  </si>
  <si>
    <t>27AAAAA14898Z5</t>
  </si>
  <si>
    <t>27AAAAA14899Z5</t>
  </si>
  <si>
    <t>27AAAAA14900Z5</t>
  </si>
  <si>
    <t>27AAAAA14901Z5</t>
  </si>
  <si>
    <t>27AAAAA14902Z5</t>
  </si>
  <si>
    <t>27AAAAA14903Z5</t>
  </si>
  <si>
    <t>27AAAAA14904Z5</t>
  </si>
  <si>
    <t>27AAAAA14905Z5</t>
  </si>
  <si>
    <t>27AAAAA14906Z5</t>
  </si>
  <si>
    <t>27AAAAA14907Z5</t>
  </si>
  <si>
    <t>27AAAAA14908Z5</t>
  </si>
  <si>
    <t>27AAAAA14909Z5</t>
  </si>
  <si>
    <t>27AAAAA14910Z5</t>
  </si>
  <si>
    <t>27AAAAA14911Z5</t>
  </si>
  <si>
    <t>27AAAAA14912Z5</t>
  </si>
  <si>
    <t>27AAAAA14913Z5</t>
  </si>
  <si>
    <t>27AAAAA14914Z5</t>
  </si>
  <si>
    <t>27AAAAA14915Z5</t>
  </si>
  <si>
    <t>27AAAAA14916Z5</t>
  </si>
  <si>
    <t>27AAAAA14917Z5</t>
  </si>
  <si>
    <t>27AAAAA14918Z5</t>
  </si>
  <si>
    <t>27AAAAA14919Z5</t>
  </si>
  <si>
    <t>27AAAAA14920Z5</t>
  </si>
  <si>
    <t>27AAAAA14921Z5</t>
  </si>
  <si>
    <t>27AAAAA14922Z5</t>
  </si>
  <si>
    <t>27AAAAA14923Z5</t>
  </si>
  <si>
    <t>27AAAAA14924Z5</t>
  </si>
  <si>
    <t>27AAAAA14925Z5</t>
  </si>
  <si>
    <t>27AAAAA14926Z5</t>
  </si>
  <si>
    <t>27AAAAA14927Z5</t>
  </si>
  <si>
    <t>27AAAAA14928Z5</t>
  </si>
  <si>
    <t>27AAAAA14929Z5</t>
  </si>
  <si>
    <t>27AAAAA14930Z5</t>
  </si>
  <si>
    <t>27AAAAA14931Z5</t>
  </si>
  <si>
    <t>27AAAAA14932Z5</t>
  </si>
  <si>
    <t>27AAAAA14933Z5</t>
  </si>
  <si>
    <t>27AAAAA14934Z5</t>
  </si>
  <si>
    <t>27AAAAA14935Z5</t>
  </si>
  <si>
    <t>27AAAAA14936Z5</t>
  </si>
  <si>
    <t>27AAAAA14937Z5</t>
  </si>
  <si>
    <t>27AAAAA14938Z5</t>
  </si>
  <si>
    <t>27AAAAA14939Z5</t>
  </si>
  <si>
    <t>27AAAAA14940Z5</t>
  </si>
  <si>
    <t>27AAAAA14941Z5</t>
  </si>
  <si>
    <t>27AAAAA14942Z5</t>
  </si>
  <si>
    <t>27AAAAA14943Z5</t>
  </si>
  <si>
    <t>27AAAAA14944Z5</t>
  </si>
  <si>
    <t>27AAAAA14945Z5</t>
  </si>
  <si>
    <t>27AAAAA14946Z5</t>
  </si>
  <si>
    <t>27AAAAA14947Z5</t>
  </si>
  <si>
    <t>27AAAAA14948Z5</t>
  </si>
  <si>
    <t>27AAAAA14949Z5</t>
  </si>
  <si>
    <t>27AAAAA14950Z5</t>
  </si>
  <si>
    <t>27AAAAA14951Z5</t>
  </si>
  <si>
    <t>27AAAAA14952Z5</t>
  </si>
  <si>
    <t>27AAAAA14953Z5</t>
  </si>
  <si>
    <t>27AAAAA14954Z5</t>
  </si>
  <si>
    <t>27AAAAA14955Z5</t>
  </si>
  <si>
    <t>27AAAAA14956Z5</t>
  </si>
  <si>
    <t>27AAAAA14957Z5</t>
  </si>
  <si>
    <t>27AAAAA14958Z5</t>
  </si>
  <si>
    <t>27AAAAA14959Z5</t>
  </si>
  <si>
    <t>27AAAAA14960Z5</t>
  </si>
  <si>
    <t>27AAAAA14961Z5</t>
  </si>
  <si>
    <t>27AAAAA14962Z5</t>
  </si>
  <si>
    <t>27AAAAA14963Z5</t>
  </si>
  <si>
    <t>27AAAAA14964Z5</t>
  </si>
  <si>
    <t>27AAAAA14965Z5</t>
  </si>
  <si>
    <t>27AAAAA14966Z5</t>
  </si>
  <si>
    <t>27AAAAA14967Z5</t>
  </si>
  <si>
    <t>27AAAAA14968Z5</t>
  </si>
  <si>
    <t>27AAAAA14969Z5</t>
  </si>
  <si>
    <t>27AAAAA14970Z5</t>
  </si>
  <si>
    <t>27AAAAA14971Z5</t>
  </si>
  <si>
    <t>27AAAAA14972Z5</t>
  </si>
  <si>
    <t>27AAAAA14973Z5</t>
  </si>
  <si>
    <t>27AAAAA14974Z5</t>
  </si>
  <si>
    <t>27AAAAA14975Z5</t>
  </si>
  <si>
    <t>27AAAAA14976Z5</t>
  </si>
  <si>
    <t>27AAAAA14977Z5</t>
  </si>
  <si>
    <t>27AAAAA14978Z5</t>
  </si>
  <si>
    <t>27AAAAA14979Z5</t>
  </si>
  <si>
    <t>27AAAAA14980Z5</t>
  </si>
  <si>
    <t>27AAAAA14981Z5</t>
  </si>
  <si>
    <t>27AAAAA14982Z5</t>
  </si>
  <si>
    <t>27AAAAA14983Z5</t>
  </si>
  <si>
    <t>27AAAAA14984Z5</t>
  </si>
  <si>
    <t>27AAAAA14985Z5</t>
  </si>
  <si>
    <t>27AAAAA14986Z5</t>
  </si>
  <si>
    <t>27AAAAA14987Z5</t>
  </si>
  <si>
    <t>27AAAAA14988Z5</t>
  </si>
  <si>
    <t>27AAAAA14989Z5</t>
  </si>
  <si>
    <t>27AAAAA14990Z5</t>
  </si>
  <si>
    <t>27AAAAA14991Z5</t>
  </si>
  <si>
    <t>27AAAAA14992Z5</t>
  </si>
  <si>
    <t>27AAAAA14993Z5</t>
  </si>
  <si>
    <t>27AAAAA14994Z5</t>
  </si>
  <si>
    <t>27AAAAA14995Z5</t>
  </si>
  <si>
    <t>27AAAAA14996Z5</t>
  </si>
  <si>
    <t>27AAAAA14997Z5</t>
  </si>
  <si>
    <t>27AAAAA14998Z5</t>
  </si>
  <si>
    <t>27AAAAA14999Z5</t>
  </si>
  <si>
    <t>27AAAAA15000Z5</t>
  </si>
  <si>
    <t>27AAAAA15001Z5</t>
  </si>
  <si>
    <t>Assertion</t>
  </si>
  <si>
    <t>Formula</t>
  </si>
  <si>
    <t>Result</t>
  </si>
  <si>
    <t>Final Late Fee &lt;= 10000</t>
  </si>
  <si>
    <t>No blank Final Late Fee</t>
  </si>
  <si>
    <t>Normal Late Fee &gt;= Final Late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</si>
</sst>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K12" sqref="K12"/>
    </sheetView>
  </sheetViews>
  <sheetFormatPr defaultRowHeight="14.4" x14ac:dyDescent="0.55000000000000004"/>
  <cols>
    <col min="1" max="1" width="20.26171875" bestFit="1" customWidth="1"/>
    <col min="2" max="2" width="13.05078125" bestFit="1" customWidth="1"/>
    <col min="3" max="3" width="9.734375" bestFit="1" customWidth="1"/>
    <col min="4" max="4" width="13.89453125" bestFit="1" customWidth="1"/>
    <col min="5" max="5" width="11.62890625" bestFit="1" customWidth="1"/>
    <col min="6" max="6" width="13.9453125" bestFit="1" customWidth="1"/>
    <col min="7" max="7" width="11.68359375" bestFit="1" customWidth="1"/>
    <col min="8" max="8" width="10.62890625" bestFit="1" customWidth="1"/>
    <col min="9" max="9" width="18.62890625" bestFit="1" customWidth="1"/>
    <col min="10" max="10" width="14.1015625" bestFit="1" customWidth="1"/>
    <col min="11" max="11" width="26.7890625" bestFit="1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500000000000000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>
        <v>1</v>
      </c>
      <c r="K2" t="s">
        <v>19</v>
      </c>
    </row>
    <row r="3" spans="1:11" x14ac:dyDescent="0.55000000000000004">
      <c r="A3" t="s">
        <v>20</v>
      </c>
      <c r="B3" t="s">
        <v>21</v>
      </c>
      <c r="C3" t="s">
        <v>22</v>
      </c>
      <c r="D3" t="s">
        <v>23</v>
      </c>
      <c r="E3" t="s">
        <v>23</v>
      </c>
      <c r="F3" t="s">
        <v>24</v>
      </c>
      <c r="G3" t="s">
        <v>25</v>
      </c>
      <c r="H3" t="s">
        <v>26</v>
      </c>
      <c r="I3">
        <v>0</v>
      </c>
      <c r="J3">
        <v>2</v>
      </c>
      <c r="K3" t="s">
        <v>27</v>
      </c>
    </row>
    <row r="4" spans="1:11" x14ac:dyDescent="0.55000000000000004">
      <c r="A4" t="s">
        <v>28</v>
      </c>
      <c r="B4" t="s">
        <v>21</v>
      </c>
      <c r="C4" t="s">
        <v>22</v>
      </c>
      <c r="D4" t="s">
        <v>23</v>
      </c>
      <c r="E4" t="s">
        <v>23</v>
      </c>
      <c r="F4" t="s">
        <v>24</v>
      </c>
      <c r="G4" t="s">
        <v>25</v>
      </c>
      <c r="H4" t="s">
        <v>29</v>
      </c>
      <c r="I4">
        <v>1000</v>
      </c>
      <c r="J4">
        <v>2</v>
      </c>
      <c r="K4" t="s">
        <v>30</v>
      </c>
    </row>
    <row r="5" spans="1:11" x14ac:dyDescent="0.55000000000000004">
      <c r="A5" t="s">
        <v>31</v>
      </c>
      <c r="B5" t="s">
        <v>21</v>
      </c>
      <c r="C5" t="s">
        <v>22</v>
      </c>
      <c r="D5" t="s">
        <v>32</v>
      </c>
      <c r="E5" t="s">
        <v>32</v>
      </c>
      <c r="F5" t="s">
        <v>24</v>
      </c>
      <c r="G5" t="s">
        <v>25</v>
      </c>
      <c r="H5" t="s">
        <v>26</v>
      </c>
      <c r="I5">
        <v>0</v>
      </c>
      <c r="J5">
        <v>2</v>
      </c>
      <c r="K5" t="s">
        <v>27</v>
      </c>
    </row>
    <row r="6" spans="1:11" x14ac:dyDescent="0.55000000000000004">
      <c r="A6" t="s">
        <v>33</v>
      </c>
      <c r="B6" t="s">
        <v>21</v>
      </c>
      <c r="C6" t="s">
        <v>22</v>
      </c>
      <c r="D6" t="s">
        <v>32</v>
      </c>
      <c r="E6" t="s">
        <v>32</v>
      </c>
      <c r="F6" t="s">
        <v>24</v>
      </c>
      <c r="G6" t="s">
        <v>25</v>
      </c>
      <c r="H6" t="s">
        <v>29</v>
      </c>
      <c r="I6">
        <v>1000</v>
      </c>
      <c r="J6">
        <v>2</v>
      </c>
      <c r="K6" t="s">
        <v>30</v>
      </c>
    </row>
    <row r="7" spans="1:11" x14ac:dyDescent="0.55000000000000004">
      <c r="A7" t="s">
        <v>34</v>
      </c>
      <c r="B7" t="s">
        <v>21</v>
      </c>
      <c r="C7" t="s">
        <v>22</v>
      </c>
      <c r="D7" t="s">
        <v>35</v>
      </c>
      <c r="E7" t="s">
        <v>35</v>
      </c>
      <c r="F7" t="s">
        <v>24</v>
      </c>
      <c r="G7" t="s">
        <v>25</v>
      </c>
      <c r="H7" t="s">
        <v>26</v>
      </c>
      <c r="I7">
        <v>0</v>
      </c>
      <c r="J7">
        <v>2</v>
      </c>
      <c r="K7" t="s">
        <v>27</v>
      </c>
    </row>
    <row r="8" spans="1:11" x14ac:dyDescent="0.55000000000000004">
      <c r="A8" t="s">
        <v>36</v>
      </c>
      <c r="B8" t="s">
        <v>21</v>
      </c>
      <c r="C8" t="s">
        <v>22</v>
      </c>
      <c r="D8" t="s">
        <v>35</v>
      </c>
      <c r="E8" t="s">
        <v>35</v>
      </c>
      <c r="F8" t="s">
        <v>24</v>
      </c>
      <c r="G8" t="s">
        <v>25</v>
      </c>
      <c r="H8" t="s">
        <v>29</v>
      </c>
      <c r="I8">
        <v>1000</v>
      </c>
      <c r="J8">
        <v>2</v>
      </c>
      <c r="K8" t="s">
        <v>30</v>
      </c>
    </row>
    <row r="9" spans="1:11" x14ac:dyDescent="0.55000000000000004">
      <c r="A9" t="s">
        <v>37</v>
      </c>
      <c r="B9" t="s">
        <v>21</v>
      </c>
      <c r="C9" t="s">
        <v>22</v>
      </c>
      <c r="D9" t="s">
        <v>38</v>
      </c>
      <c r="E9" t="s">
        <v>38</v>
      </c>
      <c r="F9" t="s">
        <v>24</v>
      </c>
      <c r="G9" t="s">
        <v>25</v>
      </c>
      <c r="H9" t="s">
        <v>26</v>
      </c>
      <c r="I9">
        <v>0</v>
      </c>
      <c r="J9">
        <v>2</v>
      </c>
      <c r="K9" t="s">
        <v>27</v>
      </c>
    </row>
    <row r="10" spans="1:11" x14ac:dyDescent="0.55000000000000004">
      <c r="A10" t="s">
        <v>39</v>
      </c>
      <c r="B10" t="s">
        <v>21</v>
      </c>
      <c r="C10" t="s">
        <v>22</v>
      </c>
      <c r="D10" t="s">
        <v>38</v>
      </c>
      <c r="E10" t="s">
        <v>38</v>
      </c>
      <c r="F10" t="s">
        <v>24</v>
      </c>
      <c r="G10" t="s">
        <v>25</v>
      </c>
      <c r="H10" t="s">
        <v>29</v>
      </c>
      <c r="I10">
        <v>1000</v>
      </c>
      <c r="J10">
        <v>2</v>
      </c>
      <c r="K10" t="s">
        <v>30</v>
      </c>
    </row>
    <row r="11" spans="1:11" x14ac:dyDescent="0.55000000000000004">
      <c r="A11" t="s">
        <v>40</v>
      </c>
      <c r="B11" t="s">
        <v>21</v>
      </c>
      <c r="C11" t="s">
        <v>22</v>
      </c>
      <c r="D11" t="s">
        <v>41</v>
      </c>
      <c r="E11" t="s">
        <v>41</v>
      </c>
      <c r="F11" t="s">
        <v>24</v>
      </c>
      <c r="G11" t="s">
        <v>25</v>
      </c>
      <c r="H11" t="s">
        <v>26</v>
      </c>
      <c r="I11">
        <v>0</v>
      </c>
      <c r="J11">
        <v>2</v>
      </c>
      <c r="K11" t="s">
        <v>27</v>
      </c>
    </row>
    <row r="12" spans="1:11" x14ac:dyDescent="0.55000000000000004">
      <c r="A12" t="s">
        <v>42</v>
      </c>
      <c r="B12" t="s">
        <v>21</v>
      </c>
      <c r="C12" t="s">
        <v>22</v>
      </c>
      <c r="D12" t="s">
        <v>41</v>
      </c>
      <c r="E12" t="s">
        <v>41</v>
      </c>
      <c r="F12" t="s">
        <v>24</v>
      </c>
      <c r="G12" t="s">
        <v>25</v>
      </c>
      <c r="H12" t="s">
        <v>29</v>
      </c>
      <c r="I12">
        <v>1000</v>
      </c>
      <c r="J12">
        <v>2</v>
      </c>
      <c r="K12" t="s">
        <v>30</v>
      </c>
    </row>
    <row r="13" spans="1:11" x14ac:dyDescent="0.55000000000000004">
      <c r="A13" t="s">
        <v>43</v>
      </c>
      <c r="B13" t="s">
        <v>44</v>
      </c>
      <c r="C13" t="s">
        <v>45</v>
      </c>
      <c r="D13" t="s">
        <v>14</v>
      </c>
      <c r="E13" t="s">
        <v>46</v>
      </c>
      <c r="F13" t="s">
        <v>47</v>
      </c>
      <c r="G13" t="s">
        <v>48</v>
      </c>
      <c r="H13" t="s">
        <v>26</v>
      </c>
      <c r="I13">
        <v>500</v>
      </c>
      <c r="J13">
        <v>5</v>
      </c>
      <c r="K13" t="s">
        <v>49</v>
      </c>
    </row>
    <row r="14" spans="1:11" x14ac:dyDescent="0.55000000000000004">
      <c r="A14" t="s">
        <v>50</v>
      </c>
      <c r="B14" t="s">
        <v>44</v>
      </c>
      <c r="C14" t="s">
        <v>51</v>
      </c>
      <c r="D14" t="s">
        <v>14</v>
      </c>
      <c r="E14" t="s">
        <v>46</v>
      </c>
      <c r="F14" t="s">
        <v>47</v>
      </c>
      <c r="G14" t="s">
        <v>48</v>
      </c>
      <c r="H14" t="s">
        <v>18</v>
      </c>
      <c r="I14">
        <v>10000</v>
      </c>
      <c r="J14">
        <v>6</v>
      </c>
      <c r="K14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001"/>
  <sheetViews>
    <sheetView workbookViewId="0"/>
  </sheetViews>
  <sheetFormatPr defaultRowHeight="14.4" x14ac:dyDescent="0.55000000000000004"/>
  <sheetData>
    <row r="1" spans="1:9" x14ac:dyDescent="0.55000000000000004">
      <c r="A1" s="1" t="s">
        <v>53</v>
      </c>
      <c r="B1" s="1" t="s">
        <v>54</v>
      </c>
      <c r="C1" s="1" t="s">
        <v>55</v>
      </c>
      <c r="D1" s="1" t="s">
        <v>7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 x14ac:dyDescent="0.55000000000000004">
      <c r="A2" t="str">
        <f>TEST_DATA!A2</f>
        <v>27AAAAA0002Z5</v>
      </c>
      <c r="B2" t="str">
        <f>TEST_DATA!B2</f>
        <v>May-2020</v>
      </c>
      <c r="C2">
        <f>TEST_DATA!C2</f>
        <v>44059</v>
      </c>
      <c r="D2" t="str">
        <f>TEST_DATA!D2</f>
        <v>NIL</v>
      </c>
      <c r="E2">
        <f>TEST_DATA!E2</f>
        <v>1126</v>
      </c>
      <c r="F2">
        <f>MIN(E2*200,10000)</f>
        <v>10000</v>
      </c>
      <c r="G2" t="e">
        <f ca="1">_xludf.MINIFS(CBIC_Late_Fee_Relief_Windows_1!$I$2:$I$100,CBIC_Late_Fee_Relief_Windows_1!$D$2:$D$100,"&lt;="&amp;B2,CBIC_Late_Fee_Relief_Windows_1!$E$2:$E$100,"&gt;="&amp;B2,CBIC_Late_Fee_Relief_Windows_1!$F$2:$F$100,"&lt;="&amp;C2,CBIC_Late_Fee_Relief_Windows_1!$G$2:$G$100,"&gt;="&amp;C2,CBIC_Late_Fee_Relief_Windows_1!$H$2:$H$100,D2)</f>
        <v>#NAME?</v>
      </c>
      <c r="H2" t="e">
        <f t="shared" ref="H2:H65" ca="1" si="0">MIN(F2,G2)</f>
        <v>#NAME?</v>
      </c>
      <c r="I2" t="e">
        <f ca="1">INDEX(CBIC_Late_Fee_Relief_Windows_1!$B$2:$B$100,MATCH(G2,CBIC_Late_Fee_Relief_Windows_1!$I$2:$I$100,0))</f>
        <v>#NAME?</v>
      </c>
    </row>
    <row r="3" spans="1:9" x14ac:dyDescent="0.55000000000000004">
      <c r="A3" t="str">
        <f>TEST_DATA!A3</f>
        <v>27AAAAA0003Z5</v>
      </c>
      <c r="B3" t="str">
        <f>TEST_DATA!B3</f>
        <v>Feb-2018</v>
      </c>
      <c r="C3">
        <f>TEST_DATA!C3</f>
        <v>43374</v>
      </c>
      <c r="D3" t="str">
        <f>TEST_DATA!D3</f>
        <v>NIL</v>
      </c>
      <c r="E3">
        <f>TEST_DATA!E3</f>
        <v>419</v>
      </c>
      <c r="F3">
        <f>MIN(E3*300,10000)</f>
        <v>10000</v>
      </c>
      <c r="G3" t="e">
        <f ca="1">_xludf.MINIFS(CBIC_Late_Fee_Relief_Windows_1!$I$3:$I$100,CBIC_Late_Fee_Relief_Windows_1!$D$3:$D$100,"&lt;="&amp;B3,CBIC_Late_Fee_Relief_Windows_1!$E$3:$E$100,"&gt;="&amp;B3,CBIC_Late_Fee_Relief_Windows_1!$F$3:$F$100,"&lt;="&amp;C3,CBIC_Late_Fee_Relief_Windows_1!$G$3:$G$100,"&gt;="&amp;C3,CBIC_Late_Fee_Relief_Windows_1!$H$3:$H$100,D3)</f>
        <v>#NAME?</v>
      </c>
      <c r="H3" t="e">
        <f t="shared" ca="1" si="0"/>
        <v>#NAME?</v>
      </c>
      <c r="I3" t="e">
        <f ca="1">INDEX(CBIC_Late_Fee_Relief_Windows_1!$B$3:$B$100,MATCH(G3,CBIC_Late_Fee_Relief_Windows_1!$I$3:$I$100,0))</f>
        <v>#NAME?</v>
      </c>
    </row>
    <row r="4" spans="1:9" x14ac:dyDescent="0.55000000000000004">
      <c r="A4" t="str">
        <f>TEST_DATA!A4</f>
        <v>27AAAAA0004Z5</v>
      </c>
      <c r="B4" t="str">
        <f>TEST_DATA!B4</f>
        <v>Jun-2020</v>
      </c>
      <c r="C4">
        <f>TEST_DATA!C4</f>
        <v>44009</v>
      </c>
      <c r="D4" t="str">
        <f>TEST_DATA!D4</f>
        <v>NON-NIL</v>
      </c>
      <c r="E4">
        <f>TEST_DATA!E4</f>
        <v>130</v>
      </c>
      <c r="F4">
        <f>MIN(E4*400,10000)</f>
        <v>10000</v>
      </c>
      <c r="G4" t="e">
        <f ca="1">_xludf.MINIFS(CBIC_Late_Fee_Relief_Windows_1!$I$4:$I$100,CBIC_Late_Fee_Relief_Windows_1!$D$4:$D$100,"&lt;="&amp;B4,CBIC_Late_Fee_Relief_Windows_1!$E$4:$E$100,"&gt;="&amp;B4,CBIC_Late_Fee_Relief_Windows_1!$F$4:$F$100,"&lt;="&amp;C4,CBIC_Late_Fee_Relief_Windows_1!$G$4:$G$100,"&gt;="&amp;C4,CBIC_Late_Fee_Relief_Windows_1!$H$4:$H$100,D4)</f>
        <v>#NAME?</v>
      </c>
      <c r="H4" t="e">
        <f t="shared" ca="1" si="0"/>
        <v>#NAME?</v>
      </c>
      <c r="I4" t="e">
        <f ca="1">INDEX(CBIC_Late_Fee_Relief_Windows_1!$B$4:$B$100,MATCH(G4,CBIC_Late_Fee_Relief_Windows_1!$I$4:$I$100,0))</f>
        <v>#NAME?</v>
      </c>
    </row>
    <row r="5" spans="1:9" x14ac:dyDescent="0.55000000000000004">
      <c r="A5" t="str">
        <f>TEST_DATA!A5</f>
        <v>27AAAAA0005Z5</v>
      </c>
      <c r="B5" t="str">
        <f>TEST_DATA!B5</f>
        <v>Jul-2017</v>
      </c>
      <c r="C5">
        <f>TEST_DATA!C5</f>
        <v>43108</v>
      </c>
      <c r="D5" t="str">
        <f>TEST_DATA!D5</f>
        <v>NIL</v>
      </c>
      <c r="E5">
        <f>TEST_DATA!E5</f>
        <v>952</v>
      </c>
      <c r="F5">
        <f>MIN(E5*500,10000)</f>
        <v>10000</v>
      </c>
      <c r="G5" t="e">
        <f ca="1">_xludf.MINIFS(CBIC_Late_Fee_Relief_Windows_1!$I$5:$I$100,CBIC_Late_Fee_Relief_Windows_1!$D$5:$D$100,"&lt;="&amp;B5,CBIC_Late_Fee_Relief_Windows_1!$E$5:$E$100,"&gt;="&amp;B5,CBIC_Late_Fee_Relief_Windows_1!$F$5:$F$100,"&lt;="&amp;C5,CBIC_Late_Fee_Relief_Windows_1!$G$5:$G$100,"&gt;="&amp;C5,CBIC_Late_Fee_Relief_Windows_1!$H$5:$H$100,D5)</f>
        <v>#NAME?</v>
      </c>
      <c r="H5" t="e">
        <f t="shared" ca="1" si="0"/>
        <v>#NAME?</v>
      </c>
      <c r="I5" t="e">
        <f ca="1">INDEX(CBIC_Late_Fee_Relief_Windows_1!$B$5:$B$100,MATCH(G5,CBIC_Late_Fee_Relief_Windows_1!$I$5:$I$100,0))</f>
        <v>#NAME?</v>
      </c>
    </row>
    <row r="6" spans="1:9" x14ac:dyDescent="0.55000000000000004">
      <c r="A6" t="str">
        <f>TEST_DATA!A6</f>
        <v>27AAAAA0006Z5</v>
      </c>
      <c r="B6" t="str">
        <f>TEST_DATA!B6</f>
        <v>Jun-2019</v>
      </c>
      <c r="C6">
        <f>TEST_DATA!C6</f>
        <v>43574</v>
      </c>
      <c r="D6" t="str">
        <f>TEST_DATA!D6</f>
        <v>NIL</v>
      </c>
      <c r="E6">
        <f>TEST_DATA!E6</f>
        <v>2932</v>
      </c>
      <c r="F6">
        <f>MIN(E6*600,10000)</f>
        <v>10000</v>
      </c>
      <c r="G6" t="e">
        <f ca="1">_xludf.MINIFS(CBIC_Late_Fee_Relief_Windows_1!$I$6:$I$100,CBIC_Late_Fee_Relief_Windows_1!$D$6:$D$100,"&lt;="&amp;B6,CBIC_Late_Fee_Relief_Windows_1!$E$6:$E$100,"&gt;="&amp;B6,CBIC_Late_Fee_Relief_Windows_1!$F$6:$F$100,"&lt;="&amp;C6,CBIC_Late_Fee_Relief_Windows_1!$G$6:$G$100,"&gt;="&amp;C6,CBIC_Late_Fee_Relief_Windows_1!$H$6:$H$100,D6)</f>
        <v>#NAME?</v>
      </c>
      <c r="H6" t="e">
        <f t="shared" ca="1" si="0"/>
        <v>#NAME?</v>
      </c>
      <c r="I6" t="e">
        <f ca="1">INDEX(CBIC_Late_Fee_Relief_Windows_1!$B$6:$B$100,MATCH(G6,CBIC_Late_Fee_Relief_Windows_1!$I$6:$I$100,0))</f>
        <v>#NAME?</v>
      </c>
    </row>
    <row r="7" spans="1:9" x14ac:dyDescent="0.55000000000000004">
      <c r="A7" t="str">
        <f>TEST_DATA!A7</f>
        <v>27AAAAA0007Z5</v>
      </c>
      <c r="B7" t="str">
        <f>TEST_DATA!B7</f>
        <v>May-2020</v>
      </c>
      <c r="C7">
        <f>TEST_DATA!C7</f>
        <v>44690</v>
      </c>
      <c r="D7" t="str">
        <f>TEST_DATA!D7</f>
        <v>NIL</v>
      </c>
      <c r="E7">
        <f>TEST_DATA!E7</f>
        <v>1839</v>
      </c>
      <c r="F7">
        <f>MIN(E7*700,10000)</f>
        <v>10000</v>
      </c>
      <c r="G7" t="e">
        <f ca="1">_xludf.MINIFS(CBIC_Late_Fee_Relief_Windows_1!$I$7:$I$100,CBIC_Late_Fee_Relief_Windows_1!$D$7:$D$100,"&lt;="&amp;B7,CBIC_Late_Fee_Relief_Windows_1!$E$7:$E$100,"&gt;="&amp;B7,CBIC_Late_Fee_Relief_Windows_1!$F$7:$F$100,"&lt;="&amp;C7,CBIC_Late_Fee_Relief_Windows_1!$G$7:$G$100,"&gt;="&amp;C7,CBIC_Late_Fee_Relief_Windows_1!$H$7:$H$100,D7)</f>
        <v>#NAME?</v>
      </c>
      <c r="H7" t="e">
        <f t="shared" ca="1" si="0"/>
        <v>#NAME?</v>
      </c>
      <c r="I7" t="e">
        <f ca="1">INDEX(CBIC_Late_Fee_Relief_Windows_1!$B$7:$B$100,MATCH(G7,CBIC_Late_Fee_Relief_Windows_1!$I$7:$I$100,0))</f>
        <v>#NAME?</v>
      </c>
    </row>
    <row r="8" spans="1:9" x14ac:dyDescent="0.55000000000000004">
      <c r="A8" t="str">
        <f>TEST_DATA!A8</f>
        <v>27AAAAA0008Z5</v>
      </c>
      <c r="B8" t="str">
        <f>TEST_DATA!B8</f>
        <v>Mar-2020</v>
      </c>
      <c r="C8">
        <f>TEST_DATA!C8</f>
        <v>44400</v>
      </c>
      <c r="D8" t="str">
        <f>TEST_DATA!D8</f>
        <v>NIL</v>
      </c>
      <c r="E8">
        <f>TEST_DATA!E8</f>
        <v>653</v>
      </c>
      <c r="F8">
        <f>MIN(E8*800,10000)</f>
        <v>10000</v>
      </c>
      <c r="G8" t="e">
        <f ca="1">_xludf.MINIFS(CBIC_Late_Fee_Relief_Windows_1!$I$8:$I$100,CBIC_Late_Fee_Relief_Windows_1!$D$8:$D$100,"&lt;="&amp;B8,CBIC_Late_Fee_Relief_Windows_1!$E$8:$E$100,"&gt;="&amp;B8,CBIC_Late_Fee_Relief_Windows_1!$F$8:$F$100,"&lt;="&amp;C8,CBIC_Late_Fee_Relief_Windows_1!$G$8:$G$100,"&gt;="&amp;C8,CBIC_Late_Fee_Relief_Windows_1!$H$8:$H$100,D8)</f>
        <v>#NAME?</v>
      </c>
      <c r="H8" t="e">
        <f t="shared" ca="1" si="0"/>
        <v>#NAME?</v>
      </c>
      <c r="I8" t="e">
        <f ca="1">INDEX(CBIC_Late_Fee_Relief_Windows_1!$B$8:$B$100,MATCH(G8,CBIC_Late_Fee_Relief_Windows_1!$I$8:$I$100,0))</f>
        <v>#NAME?</v>
      </c>
    </row>
    <row r="9" spans="1:9" x14ac:dyDescent="0.55000000000000004">
      <c r="A9" t="str">
        <f>TEST_DATA!A9</f>
        <v>27AAAAA0009Z5</v>
      </c>
      <c r="B9" t="str">
        <f>TEST_DATA!B9</f>
        <v>Jul-2020</v>
      </c>
      <c r="C9">
        <f>TEST_DATA!C9</f>
        <v>44696</v>
      </c>
      <c r="D9" t="str">
        <f>TEST_DATA!D9</f>
        <v>NON-NIL</v>
      </c>
      <c r="E9">
        <f>TEST_DATA!E9</f>
        <v>1138</v>
      </c>
      <c r="F9">
        <f>MIN(E9*900,10000)</f>
        <v>10000</v>
      </c>
      <c r="G9" t="e">
        <f ca="1">_xludf.MINIFS(CBIC_Late_Fee_Relief_Windows_1!$I$9:$I$100,CBIC_Late_Fee_Relief_Windows_1!$D$9:$D$100,"&lt;="&amp;B9,CBIC_Late_Fee_Relief_Windows_1!$E$9:$E$100,"&gt;="&amp;B9,CBIC_Late_Fee_Relief_Windows_1!$F$9:$F$100,"&lt;="&amp;C9,CBIC_Late_Fee_Relief_Windows_1!$G$9:$G$100,"&gt;="&amp;C9,CBIC_Late_Fee_Relief_Windows_1!$H$9:$H$100,D9)</f>
        <v>#NAME?</v>
      </c>
      <c r="H9" t="e">
        <f t="shared" ca="1" si="0"/>
        <v>#NAME?</v>
      </c>
      <c r="I9" t="e">
        <f ca="1">INDEX(CBIC_Late_Fee_Relief_Windows_1!$B$9:$B$100,MATCH(G9,CBIC_Late_Fee_Relief_Windows_1!$I$9:$I$100,0))</f>
        <v>#NAME?</v>
      </c>
    </row>
    <row r="10" spans="1:9" x14ac:dyDescent="0.55000000000000004">
      <c r="A10" t="str">
        <f>TEST_DATA!A10</f>
        <v>27AAAAA0010Z5</v>
      </c>
      <c r="B10" t="str">
        <f>TEST_DATA!B10</f>
        <v>Nov-2017</v>
      </c>
      <c r="C10">
        <f>TEST_DATA!C10</f>
        <v>43357</v>
      </c>
      <c r="D10" t="str">
        <f>TEST_DATA!D10</f>
        <v>NON-NIL</v>
      </c>
      <c r="E10">
        <f>TEST_DATA!E10</f>
        <v>418</v>
      </c>
      <c r="F10">
        <f>MIN(E10*1000,10000)</f>
        <v>10000</v>
      </c>
      <c r="G10" t="e">
        <f ca="1">_xludf.MINIFS(CBIC_Late_Fee_Relief_Windows_1!$I$10:$I$100,CBIC_Late_Fee_Relief_Windows_1!$D$10:$D$100,"&lt;="&amp;B10,CBIC_Late_Fee_Relief_Windows_1!$E$10:$E$100,"&gt;="&amp;B10,CBIC_Late_Fee_Relief_Windows_1!$F$10:$F$100,"&lt;="&amp;C10,CBIC_Late_Fee_Relief_Windows_1!$G$10:$G$100,"&gt;="&amp;C10,CBIC_Late_Fee_Relief_Windows_1!$H$10:$H$100,D10)</f>
        <v>#NAME?</v>
      </c>
      <c r="H10" t="e">
        <f t="shared" ca="1" si="0"/>
        <v>#NAME?</v>
      </c>
      <c r="I10" t="e">
        <f ca="1">INDEX(CBIC_Late_Fee_Relief_Windows_1!$B$10:$B$100,MATCH(G10,CBIC_Late_Fee_Relief_Windows_1!$I$10:$I$100,0))</f>
        <v>#NAME?</v>
      </c>
    </row>
    <row r="11" spans="1:9" x14ac:dyDescent="0.55000000000000004">
      <c r="A11" t="str">
        <f>TEST_DATA!A11</f>
        <v>27AAAAA0011Z5</v>
      </c>
      <c r="B11" t="str">
        <f>TEST_DATA!B11</f>
        <v>Sep-2017</v>
      </c>
      <c r="C11">
        <f>TEST_DATA!C11</f>
        <v>43695</v>
      </c>
      <c r="D11" t="str">
        <f>TEST_DATA!D11</f>
        <v>NIL</v>
      </c>
      <c r="E11">
        <f>TEST_DATA!E11</f>
        <v>1470</v>
      </c>
      <c r="F11">
        <f>MIN(E11*1100,10000)</f>
        <v>10000</v>
      </c>
      <c r="G11" t="e">
        <f ca="1">_xludf.MINIFS(CBIC_Late_Fee_Relief_Windows_1!$I$11:$I$100,CBIC_Late_Fee_Relief_Windows_1!$D$11:$D$100,"&lt;="&amp;B11,CBIC_Late_Fee_Relief_Windows_1!$E$11:$E$100,"&gt;="&amp;B11,CBIC_Late_Fee_Relief_Windows_1!$F$11:$F$100,"&lt;="&amp;C11,CBIC_Late_Fee_Relief_Windows_1!$G$11:$G$100,"&gt;="&amp;C11,CBIC_Late_Fee_Relief_Windows_1!$H$11:$H$100,D11)</f>
        <v>#NAME?</v>
      </c>
      <c r="H11" t="e">
        <f t="shared" ca="1" si="0"/>
        <v>#NAME?</v>
      </c>
      <c r="I11" t="e">
        <f ca="1">INDEX(CBIC_Late_Fee_Relief_Windows_1!$B$11:$B$100,MATCH(G11,CBIC_Late_Fee_Relief_Windows_1!$I$11:$I$100,0))</f>
        <v>#NAME?</v>
      </c>
    </row>
    <row r="12" spans="1:9" x14ac:dyDescent="0.55000000000000004">
      <c r="A12" t="str">
        <f>TEST_DATA!A12</f>
        <v>27AAAAA0012Z5</v>
      </c>
      <c r="B12" t="str">
        <f>TEST_DATA!B12</f>
        <v>Mar-2023</v>
      </c>
      <c r="C12">
        <f>TEST_DATA!C12</f>
        <v>44874</v>
      </c>
      <c r="D12" t="str">
        <f>TEST_DATA!D12</f>
        <v>NON-NIL</v>
      </c>
      <c r="E12">
        <f>TEST_DATA!E12</f>
        <v>177</v>
      </c>
      <c r="F12">
        <f>MIN(E12*1200,10000)</f>
        <v>10000</v>
      </c>
      <c r="G12" t="e">
        <f ca="1">_xludf.MINIFS(CBIC_Late_Fee_Relief_Windows_1!$I$12:$I$100,CBIC_Late_Fee_Relief_Windows_1!$D$12:$D$100,"&lt;="&amp;B12,CBIC_Late_Fee_Relief_Windows_1!$E$12:$E$100,"&gt;="&amp;B12,CBIC_Late_Fee_Relief_Windows_1!$F$12:$F$100,"&lt;="&amp;C12,CBIC_Late_Fee_Relief_Windows_1!$G$12:$G$100,"&gt;="&amp;C12,CBIC_Late_Fee_Relief_Windows_1!$H$12:$H$100,D12)</f>
        <v>#NAME?</v>
      </c>
      <c r="H12" t="e">
        <f t="shared" ca="1" si="0"/>
        <v>#NAME?</v>
      </c>
      <c r="I12" t="e">
        <f ca="1">INDEX(CBIC_Late_Fee_Relief_Windows_1!$B$12:$B$100,MATCH(G12,CBIC_Late_Fee_Relief_Windows_1!$I$12:$I$100,0))</f>
        <v>#NAME?</v>
      </c>
    </row>
    <row r="13" spans="1:9" x14ac:dyDescent="0.55000000000000004">
      <c r="A13" t="str">
        <f>TEST_DATA!A13</f>
        <v>27AAAAA0013Z5</v>
      </c>
      <c r="B13" t="str">
        <f>TEST_DATA!B13</f>
        <v>Jan-2021</v>
      </c>
      <c r="C13">
        <f>TEST_DATA!C13</f>
        <v>45347</v>
      </c>
      <c r="D13" t="str">
        <f>TEST_DATA!D13</f>
        <v>NIL</v>
      </c>
      <c r="E13">
        <f>TEST_DATA!E13</f>
        <v>1550</v>
      </c>
      <c r="F13">
        <f>MIN(E13*1300,10000)</f>
        <v>10000</v>
      </c>
      <c r="G13" t="e">
        <f ca="1">_xludf.MINIFS(CBIC_Late_Fee_Relief_Windows_1!$I$13:$I$100,CBIC_Late_Fee_Relief_Windows_1!$D$13:$D$100,"&lt;="&amp;B13,CBIC_Late_Fee_Relief_Windows_1!$E$13:$E$100,"&gt;="&amp;B13,CBIC_Late_Fee_Relief_Windows_1!$F$13:$F$100,"&lt;="&amp;C13,CBIC_Late_Fee_Relief_Windows_1!$G$13:$G$100,"&gt;="&amp;C13,CBIC_Late_Fee_Relief_Windows_1!$H$13:$H$100,D13)</f>
        <v>#NAME?</v>
      </c>
      <c r="H13" t="e">
        <f t="shared" ca="1" si="0"/>
        <v>#NAME?</v>
      </c>
      <c r="I13" t="e">
        <f ca="1">INDEX(CBIC_Late_Fee_Relief_Windows_1!$B$13:$B$100,MATCH(G13,CBIC_Late_Fee_Relief_Windows_1!$I$13:$I$100,0))</f>
        <v>#NAME?</v>
      </c>
    </row>
    <row r="14" spans="1:9" x14ac:dyDescent="0.55000000000000004">
      <c r="A14" t="str">
        <f>TEST_DATA!A14</f>
        <v>27AAAAA0014Z5</v>
      </c>
      <c r="B14" t="str">
        <f>TEST_DATA!B14</f>
        <v>Sep-2017</v>
      </c>
      <c r="C14">
        <f>TEST_DATA!C14</f>
        <v>44047</v>
      </c>
      <c r="D14" t="str">
        <f>TEST_DATA!D14</f>
        <v>NON-NIL</v>
      </c>
      <c r="E14">
        <f>TEST_DATA!E14</f>
        <v>2574</v>
      </c>
      <c r="F14">
        <f>MIN(E14*1400,10000)</f>
        <v>10000</v>
      </c>
      <c r="G14" t="e">
        <f ca="1">_xludf.MINIFS(CBIC_Late_Fee_Relief_Windows_1!$I$14:$I$100,CBIC_Late_Fee_Relief_Windows_1!$D$14:$D$100,"&lt;="&amp;B14,CBIC_Late_Fee_Relief_Windows_1!$E$14:$E$100,"&gt;="&amp;B14,CBIC_Late_Fee_Relief_Windows_1!$F$14:$F$100,"&lt;="&amp;C14,CBIC_Late_Fee_Relief_Windows_1!$G$14:$G$100,"&gt;="&amp;C14,CBIC_Late_Fee_Relief_Windows_1!$H$14:$H$100,D14)</f>
        <v>#NAME?</v>
      </c>
      <c r="H14" t="e">
        <f t="shared" ca="1" si="0"/>
        <v>#NAME?</v>
      </c>
      <c r="I14" t="e">
        <f ca="1">INDEX(CBIC_Late_Fee_Relief_Windows_1!$B$14:$B$100,MATCH(G14,CBIC_Late_Fee_Relief_Windows_1!$I$14:$I$100,0))</f>
        <v>#NAME?</v>
      </c>
    </row>
    <row r="15" spans="1:9" x14ac:dyDescent="0.55000000000000004">
      <c r="A15" t="str">
        <f>TEST_DATA!A15</f>
        <v>27AAAAA0015Z5</v>
      </c>
      <c r="B15" t="str">
        <f>TEST_DATA!B15</f>
        <v>Apr-2020</v>
      </c>
      <c r="C15">
        <f>TEST_DATA!C15</f>
        <v>44571</v>
      </c>
      <c r="D15" t="str">
        <f>TEST_DATA!D15</f>
        <v>NIL</v>
      </c>
      <c r="E15">
        <f>TEST_DATA!E15</f>
        <v>2885</v>
      </c>
      <c r="F15">
        <f>MIN(E15*1500,10000)</f>
        <v>10000</v>
      </c>
      <c r="G15" t="e">
        <f ca="1">_xludf.MINIFS(CBIC_Late_Fee_Relief_Windows_1!$I$15:$I$100,CBIC_Late_Fee_Relief_Windows_1!$D$15:$D$100,"&lt;="&amp;B15,CBIC_Late_Fee_Relief_Windows_1!$E$15:$E$100,"&gt;="&amp;B15,CBIC_Late_Fee_Relief_Windows_1!$F$15:$F$100,"&lt;="&amp;C15,CBIC_Late_Fee_Relief_Windows_1!$G$15:$G$100,"&gt;="&amp;C15,CBIC_Late_Fee_Relief_Windows_1!$H$15:$H$100,D15)</f>
        <v>#NAME?</v>
      </c>
      <c r="H15" t="e">
        <f t="shared" ca="1" si="0"/>
        <v>#NAME?</v>
      </c>
      <c r="I15" t="e">
        <f ca="1">INDEX(CBIC_Late_Fee_Relief_Windows_1!$B$15:$B$100,MATCH(G15,CBIC_Late_Fee_Relief_Windows_1!$I$15:$I$100,0))</f>
        <v>#NAME?</v>
      </c>
    </row>
    <row r="16" spans="1:9" x14ac:dyDescent="0.55000000000000004">
      <c r="A16" t="str">
        <f>TEST_DATA!A16</f>
        <v>27AAAAA0016Z5</v>
      </c>
      <c r="B16" t="str">
        <f>TEST_DATA!B16</f>
        <v>Sep-2017</v>
      </c>
      <c r="C16">
        <f>TEST_DATA!C16</f>
        <v>43010</v>
      </c>
      <c r="D16" t="str">
        <f>TEST_DATA!D16</f>
        <v>NIL</v>
      </c>
      <c r="E16">
        <f>TEST_DATA!E16</f>
        <v>1185</v>
      </c>
      <c r="F16">
        <f>MIN(E16*1600,10000)</f>
        <v>10000</v>
      </c>
      <c r="G16" t="e">
        <f ca="1">_xludf.MINIFS(CBIC_Late_Fee_Relief_Windows_1!$I$16:$I$100,CBIC_Late_Fee_Relief_Windows_1!$D$16:$D$100,"&lt;="&amp;B16,CBIC_Late_Fee_Relief_Windows_1!$E$16:$E$100,"&gt;="&amp;B16,CBIC_Late_Fee_Relief_Windows_1!$F$16:$F$100,"&lt;="&amp;C16,CBIC_Late_Fee_Relief_Windows_1!$G$16:$G$100,"&gt;="&amp;C16,CBIC_Late_Fee_Relief_Windows_1!$H$16:$H$100,D16)</f>
        <v>#NAME?</v>
      </c>
      <c r="H16" t="e">
        <f t="shared" ca="1" si="0"/>
        <v>#NAME?</v>
      </c>
      <c r="I16" t="e">
        <f ca="1">INDEX(CBIC_Late_Fee_Relief_Windows_1!$B$16:$B$100,MATCH(G16,CBIC_Late_Fee_Relief_Windows_1!$I$16:$I$100,0))</f>
        <v>#NAME?</v>
      </c>
    </row>
    <row r="17" spans="1:9" x14ac:dyDescent="0.55000000000000004">
      <c r="A17" t="str">
        <f>TEST_DATA!A17</f>
        <v>27AAAAA0017Z5</v>
      </c>
      <c r="B17" t="str">
        <f>TEST_DATA!B17</f>
        <v>Sep-2017</v>
      </c>
      <c r="C17">
        <f>TEST_DATA!C17</f>
        <v>43393</v>
      </c>
      <c r="D17" t="str">
        <f>TEST_DATA!D17</f>
        <v>NIL</v>
      </c>
      <c r="E17">
        <f>TEST_DATA!E17</f>
        <v>1556</v>
      </c>
      <c r="F17">
        <f>MIN(E17*1700,10000)</f>
        <v>10000</v>
      </c>
      <c r="G17" t="e">
        <f ca="1">_xludf.MINIFS(CBIC_Late_Fee_Relief_Windows_1!$I$17:$I$100,CBIC_Late_Fee_Relief_Windows_1!$D$17:$D$100,"&lt;="&amp;B17,CBIC_Late_Fee_Relief_Windows_1!$E$17:$E$100,"&gt;="&amp;B17,CBIC_Late_Fee_Relief_Windows_1!$F$17:$F$100,"&lt;="&amp;C17,CBIC_Late_Fee_Relief_Windows_1!$G$17:$G$100,"&gt;="&amp;C17,CBIC_Late_Fee_Relief_Windows_1!$H$17:$H$100,D17)</f>
        <v>#NAME?</v>
      </c>
      <c r="H17" t="e">
        <f t="shared" ca="1" si="0"/>
        <v>#NAME?</v>
      </c>
      <c r="I17" t="e">
        <f ca="1">INDEX(CBIC_Late_Fee_Relief_Windows_1!$B$17:$B$100,MATCH(G17,CBIC_Late_Fee_Relief_Windows_1!$I$17:$I$100,0))</f>
        <v>#NAME?</v>
      </c>
    </row>
    <row r="18" spans="1:9" x14ac:dyDescent="0.55000000000000004">
      <c r="A18" t="str">
        <f>TEST_DATA!A18</f>
        <v>27AAAAA0018Z5</v>
      </c>
      <c r="B18" t="str">
        <f>TEST_DATA!B18</f>
        <v>Mar-2018</v>
      </c>
      <c r="C18">
        <f>TEST_DATA!C18</f>
        <v>43845</v>
      </c>
      <c r="D18" t="str">
        <f>TEST_DATA!D18</f>
        <v>NON-NIL</v>
      </c>
      <c r="E18">
        <f>TEST_DATA!E18</f>
        <v>666</v>
      </c>
      <c r="F18">
        <f>MIN(E18*1800,10000)</f>
        <v>10000</v>
      </c>
      <c r="G18" t="e">
        <f ca="1">_xludf.MINIFS(CBIC_Late_Fee_Relief_Windows_1!$I$18:$I$100,CBIC_Late_Fee_Relief_Windows_1!$D$18:$D$100,"&lt;="&amp;B18,CBIC_Late_Fee_Relief_Windows_1!$E$18:$E$100,"&gt;="&amp;B18,CBIC_Late_Fee_Relief_Windows_1!$F$18:$F$100,"&lt;="&amp;C18,CBIC_Late_Fee_Relief_Windows_1!$G$18:$G$100,"&gt;="&amp;C18,CBIC_Late_Fee_Relief_Windows_1!$H$18:$H$100,D18)</f>
        <v>#NAME?</v>
      </c>
      <c r="H18" t="e">
        <f t="shared" ca="1" si="0"/>
        <v>#NAME?</v>
      </c>
      <c r="I18" t="e">
        <f ca="1">INDEX(CBIC_Late_Fee_Relief_Windows_1!$B$18:$B$100,MATCH(G18,CBIC_Late_Fee_Relief_Windows_1!$I$18:$I$100,0))</f>
        <v>#NAME?</v>
      </c>
    </row>
    <row r="19" spans="1:9" x14ac:dyDescent="0.55000000000000004">
      <c r="A19" t="str">
        <f>TEST_DATA!A19</f>
        <v>27AAAAA0019Z5</v>
      </c>
      <c r="B19" t="str">
        <f>TEST_DATA!B19</f>
        <v>Jun-2018</v>
      </c>
      <c r="C19">
        <f>TEST_DATA!C19</f>
        <v>43644</v>
      </c>
      <c r="D19" t="str">
        <f>TEST_DATA!D19</f>
        <v>NIL</v>
      </c>
      <c r="E19">
        <f>TEST_DATA!E19</f>
        <v>2745</v>
      </c>
      <c r="F19">
        <f>MIN(E19*1900,10000)</f>
        <v>10000</v>
      </c>
      <c r="G19" t="e">
        <f ca="1">_xludf.MINIFS(CBIC_Late_Fee_Relief_Windows_1!$I$19:$I$100,CBIC_Late_Fee_Relief_Windows_1!$D$19:$D$100,"&lt;="&amp;B19,CBIC_Late_Fee_Relief_Windows_1!$E$19:$E$100,"&gt;="&amp;B19,CBIC_Late_Fee_Relief_Windows_1!$F$19:$F$100,"&lt;="&amp;C19,CBIC_Late_Fee_Relief_Windows_1!$G$19:$G$100,"&gt;="&amp;C19,CBIC_Late_Fee_Relief_Windows_1!$H$19:$H$100,D19)</f>
        <v>#NAME?</v>
      </c>
      <c r="H19" t="e">
        <f t="shared" ca="1" si="0"/>
        <v>#NAME?</v>
      </c>
      <c r="I19" t="e">
        <f ca="1">INDEX(CBIC_Late_Fee_Relief_Windows_1!$B$19:$B$100,MATCH(G19,CBIC_Late_Fee_Relief_Windows_1!$I$19:$I$100,0))</f>
        <v>#NAME?</v>
      </c>
    </row>
    <row r="20" spans="1:9" x14ac:dyDescent="0.55000000000000004">
      <c r="A20" t="str">
        <f>TEST_DATA!A20</f>
        <v>27AAAAA0020Z5</v>
      </c>
      <c r="B20" t="str">
        <f>TEST_DATA!B20</f>
        <v>Mar-2018</v>
      </c>
      <c r="C20">
        <f>TEST_DATA!C20</f>
        <v>44354</v>
      </c>
      <c r="D20" t="str">
        <f>TEST_DATA!D20</f>
        <v>NIL</v>
      </c>
      <c r="E20">
        <f>TEST_DATA!E20</f>
        <v>2495</v>
      </c>
      <c r="F20">
        <f>MIN(E20*2000,10000)</f>
        <v>10000</v>
      </c>
      <c r="G20" t="e">
        <f ca="1">_xludf.MINIFS(CBIC_Late_Fee_Relief_Windows_1!$I$20:$I$100,CBIC_Late_Fee_Relief_Windows_1!$D$20:$D$100,"&lt;="&amp;B20,CBIC_Late_Fee_Relief_Windows_1!$E$20:$E$100,"&gt;="&amp;B20,CBIC_Late_Fee_Relief_Windows_1!$F$20:$F$100,"&lt;="&amp;C20,CBIC_Late_Fee_Relief_Windows_1!$G$20:$G$100,"&gt;="&amp;C20,CBIC_Late_Fee_Relief_Windows_1!$H$20:$H$100,D20)</f>
        <v>#NAME?</v>
      </c>
      <c r="H20" t="e">
        <f t="shared" ca="1" si="0"/>
        <v>#NAME?</v>
      </c>
      <c r="I20" t="e">
        <f ca="1">INDEX(CBIC_Late_Fee_Relief_Windows_1!$B$20:$B$100,MATCH(G20,CBIC_Late_Fee_Relief_Windows_1!$I$20:$I$100,0))</f>
        <v>#NAME?</v>
      </c>
    </row>
    <row r="21" spans="1:9" x14ac:dyDescent="0.55000000000000004">
      <c r="A21" t="str">
        <f>TEST_DATA!A21</f>
        <v>27AAAAA0021Z5</v>
      </c>
      <c r="B21" t="str">
        <f>TEST_DATA!B21</f>
        <v>May-2020</v>
      </c>
      <c r="C21">
        <f>TEST_DATA!C21</f>
        <v>44181</v>
      </c>
      <c r="D21" t="str">
        <f>TEST_DATA!D21</f>
        <v>NIL</v>
      </c>
      <c r="E21">
        <f>TEST_DATA!E21</f>
        <v>669</v>
      </c>
      <c r="F21">
        <f>MIN(E21*2100,10000)</f>
        <v>10000</v>
      </c>
      <c r="G21" t="e">
        <f ca="1">_xludf.MINIFS(CBIC_Late_Fee_Relief_Windows_1!$I$21:$I$100,CBIC_Late_Fee_Relief_Windows_1!$D$21:$D$100,"&lt;="&amp;B21,CBIC_Late_Fee_Relief_Windows_1!$E$21:$E$100,"&gt;="&amp;B21,CBIC_Late_Fee_Relief_Windows_1!$F$21:$F$100,"&lt;="&amp;C21,CBIC_Late_Fee_Relief_Windows_1!$G$21:$G$100,"&gt;="&amp;C21,CBIC_Late_Fee_Relief_Windows_1!$H$21:$H$100,D21)</f>
        <v>#NAME?</v>
      </c>
      <c r="H21" t="e">
        <f t="shared" ca="1" si="0"/>
        <v>#NAME?</v>
      </c>
      <c r="I21" t="e">
        <f ca="1">INDEX(CBIC_Late_Fee_Relief_Windows_1!$B$21:$B$100,MATCH(G21,CBIC_Late_Fee_Relief_Windows_1!$I$21:$I$100,0))</f>
        <v>#NAME?</v>
      </c>
    </row>
    <row r="22" spans="1:9" x14ac:dyDescent="0.55000000000000004">
      <c r="A22" t="str">
        <f>TEST_DATA!A22</f>
        <v>27AAAAA0022Z5</v>
      </c>
      <c r="B22" t="str">
        <f>TEST_DATA!B22</f>
        <v>Sep-2018</v>
      </c>
      <c r="C22">
        <f>TEST_DATA!C22</f>
        <v>43694</v>
      </c>
      <c r="D22" t="str">
        <f>TEST_DATA!D22</f>
        <v>NON-NIL</v>
      </c>
      <c r="E22">
        <f>TEST_DATA!E22</f>
        <v>2621</v>
      </c>
      <c r="F22">
        <f>MIN(E22*2200,10000)</f>
        <v>10000</v>
      </c>
      <c r="G22" t="e">
        <f ca="1">_xludf.MINIFS(CBIC_Late_Fee_Relief_Windows_1!$I$22:$I$100,CBIC_Late_Fee_Relief_Windows_1!$D$22:$D$100,"&lt;="&amp;B22,CBIC_Late_Fee_Relief_Windows_1!$E$22:$E$100,"&gt;="&amp;B22,CBIC_Late_Fee_Relief_Windows_1!$F$22:$F$100,"&lt;="&amp;C22,CBIC_Late_Fee_Relief_Windows_1!$G$22:$G$100,"&gt;="&amp;C22,CBIC_Late_Fee_Relief_Windows_1!$H$22:$H$100,D22)</f>
        <v>#NAME?</v>
      </c>
      <c r="H22" t="e">
        <f t="shared" ca="1" si="0"/>
        <v>#NAME?</v>
      </c>
      <c r="I22" t="e">
        <f ca="1">INDEX(CBIC_Late_Fee_Relief_Windows_1!$B$22:$B$100,MATCH(G22,CBIC_Late_Fee_Relief_Windows_1!$I$22:$I$100,0))</f>
        <v>#NAME?</v>
      </c>
    </row>
    <row r="23" spans="1:9" x14ac:dyDescent="0.55000000000000004">
      <c r="A23" t="str">
        <f>TEST_DATA!A23</f>
        <v>27AAAAA0023Z5</v>
      </c>
      <c r="B23" t="str">
        <f>TEST_DATA!B23</f>
        <v>Jul-2020</v>
      </c>
      <c r="C23">
        <f>TEST_DATA!C23</f>
        <v>44280</v>
      </c>
      <c r="D23" t="str">
        <f>TEST_DATA!D23</f>
        <v>NON-NIL</v>
      </c>
      <c r="E23">
        <f>TEST_DATA!E23</f>
        <v>229</v>
      </c>
      <c r="F23">
        <f>MIN(E23*2300,10000)</f>
        <v>10000</v>
      </c>
      <c r="G23" t="e">
        <f ca="1">_xludf.MINIFS(CBIC_Late_Fee_Relief_Windows_1!$I$23:$I$100,CBIC_Late_Fee_Relief_Windows_1!$D$23:$D$100,"&lt;="&amp;B23,CBIC_Late_Fee_Relief_Windows_1!$E$23:$E$100,"&gt;="&amp;B23,CBIC_Late_Fee_Relief_Windows_1!$F$23:$F$100,"&lt;="&amp;C23,CBIC_Late_Fee_Relief_Windows_1!$G$23:$G$100,"&gt;="&amp;C23,CBIC_Late_Fee_Relief_Windows_1!$H$23:$H$100,D23)</f>
        <v>#NAME?</v>
      </c>
      <c r="H23" t="e">
        <f t="shared" ca="1" si="0"/>
        <v>#NAME?</v>
      </c>
      <c r="I23" t="e">
        <f ca="1">INDEX(CBIC_Late_Fee_Relief_Windows_1!$B$23:$B$100,MATCH(G23,CBIC_Late_Fee_Relief_Windows_1!$I$23:$I$100,0))</f>
        <v>#NAME?</v>
      </c>
    </row>
    <row r="24" spans="1:9" x14ac:dyDescent="0.55000000000000004">
      <c r="A24" t="str">
        <f>TEST_DATA!A24</f>
        <v>27AAAAA0024Z5</v>
      </c>
      <c r="B24" t="str">
        <f>TEST_DATA!B24</f>
        <v>Feb-2018</v>
      </c>
      <c r="C24">
        <f>TEST_DATA!C24</f>
        <v>42982</v>
      </c>
      <c r="D24" t="str">
        <f>TEST_DATA!D24</f>
        <v>NON-NIL</v>
      </c>
      <c r="E24">
        <f>TEST_DATA!E24</f>
        <v>1643</v>
      </c>
      <c r="F24">
        <f>MIN(E24*2400,10000)</f>
        <v>10000</v>
      </c>
      <c r="G24" t="e">
        <f ca="1">_xludf.MINIFS(CBIC_Late_Fee_Relief_Windows_1!$I$24:$I$100,CBIC_Late_Fee_Relief_Windows_1!$D$24:$D$100,"&lt;="&amp;B24,CBIC_Late_Fee_Relief_Windows_1!$E$24:$E$100,"&gt;="&amp;B24,CBIC_Late_Fee_Relief_Windows_1!$F$24:$F$100,"&lt;="&amp;C24,CBIC_Late_Fee_Relief_Windows_1!$G$24:$G$100,"&gt;="&amp;C24,CBIC_Late_Fee_Relief_Windows_1!$H$24:$H$100,D24)</f>
        <v>#NAME?</v>
      </c>
      <c r="H24" t="e">
        <f t="shared" ca="1" si="0"/>
        <v>#NAME?</v>
      </c>
      <c r="I24" t="e">
        <f ca="1">INDEX(CBIC_Late_Fee_Relief_Windows_1!$B$24:$B$100,MATCH(G24,CBIC_Late_Fee_Relief_Windows_1!$I$24:$I$100,0))</f>
        <v>#NAME?</v>
      </c>
    </row>
    <row r="25" spans="1:9" x14ac:dyDescent="0.55000000000000004">
      <c r="A25" t="str">
        <f>TEST_DATA!A25</f>
        <v>27AAAAA0025Z5</v>
      </c>
      <c r="B25" t="str">
        <f>TEST_DATA!B25</f>
        <v>Mar-2018</v>
      </c>
      <c r="C25">
        <f>TEST_DATA!C25</f>
        <v>43052</v>
      </c>
      <c r="D25" t="str">
        <f>TEST_DATA!D25</f>
        <v>NIL</v>
      </c>
      <c r="E25">
        <f>TEST_DATA!E25</f>
        <v>2323</v>
      </c>
      <c r="F25">
        <f>MIN(E25*2500,10000)</f>
        <v>10000</v>
      </c>
      <c r="G25" t="e">
        <f ca="1">_xludf.MINIFS(CBIC_Late_Fee_Relief_Windows_1!$I$25:$I$100,CBIC_Late_Fee_Relief_Windows_1!$D$25:$D$100,"&lt;="&amp;B25,CBIC_Late_Fee_Relief_Windows_1!$E$25:$E$100,"&gt;="&amp;B25,CBIC_Late_Fee_Relief_Windows_1!$F$25:$F$100,"&lt;="&amp;C25,CBIC_Late_Fee_Relief_Windows_1!$G$25:$G$100,"&gt;="&amp;C25,CBIC_Late_Fee_Relief_Windows_1!$H$25:$H$100,D25)</f>
        <v>#NAME?</v>
      </c>
      <c r="H25" t="e">
        <f t="shared" ca="1" si="0"/>
        <v>#NAME?</v>
      </c>
      <c r="I25" t="e">
        <f ca="1">INDEX(CBIC_Late_Fee_Relief_Windows_1!$B$25:$B$100,MATCH(G25,CBIC_Late_Fee_Relief_Windows_1!$I$25:$I$100,0))</f>
        <v>#NAME?</v>
      </c>
    </row>
    <row r="26" spans="1:9" x14ac:dyDescent="0.55000000000000004">
      <c r="A26" t="str">
        <f>TEST_DATA!A26</f>
        <v>27AAAAA0026Z5</v>
      </c>
      <c r="B26" t="str">
        <f>TEST_DATA!B26</f>
        <v>Dec-2024</v>
      </c>
      <c r="C26">
        <f>TEST_DATA!C26</f>
        <v>44754</v>
      </c>
      <c r="D26" t="str">
        <f>TEST_DATA!D26</f>
        <v>NIL</v>
      </c>
      <c r="E26">
        <f>TEST_DATA!E26</f>
        <v>2684</v>
      </c>
      <c r="F26">
        <f>MIN(E26*2600,10000)</f>
        <v>10000</v>
      </c>
      <c r="G26" t="e">
        <f ca="1">_xludf.MINIFS(CBIC_Late_Fee_Relief_Windows_1!$I$26:$I$100,CBIC_Late_Fee_Relief_Windows_1!$D$26:$D$100,"&lt;="&amp;B26,CBIC_Late_Fee_Relief_Windows_1!$E$26:$E$100,"&gt;="&amp;B26,CBIC_Late_Fee_Relief_Windows_1!$F$26:$F$100,"&lt;="&amp;C26,CBIC_Late_Fee_Relief_Windows_1!$G$26:$G$100,"&gt;="&amp;C26,CBIC_Late_Fee_Relief_Windows_1!$H$26:$H$100,D26)</f>
        <v>#NAME?</v>
      </c>
      <c r="H26" t="e">
        <f t="shared" ca="1" si="0"/>
        <v>#NAME?</v>
      </c>
      <c r="I26" t="e">
        <f ca="1">INDEX(CBIC_Late_Fee_Relief_Windows_1!$B$26:$B$100,MATCH(G26,CBIC_Late_Fee_Relief_Windows_1!$I$26:$I$100,0))</f>
        <v>#NAME?</v>
      </c>
    </row>
    <row r="27" spans="1:9" x14ac:dyDescent="0.55000000000000004">
      <c r="A27" t="str">
        <f>TEST_DATA!A27</f>
        <v>27AAAAA0027Z5</v>
      </c>
      <c r="B27" t="str">
        <f>TEST_DATA!B27</f>
        <v>Jan-2019</v>
      </c>
      <c r="C27">
        <f>TEST_DATA!C27</f>
        <v>45086</v>
      </c>
      <c r="D27" t="str">
        <f>TEST_DATA!D27</f>
        <v>NON-NIL</v>
      </c>
      <c r="E27">
        <f>TEST_DATA!E27</f>
        <v>585</v>
      </c>
      <c r="F27">
        <f>MIN(E27*2700,10000)</f>
        <v>10000</v>
      </c>
      <c r="G27" t="e">
        <f ca="1">_xludf.MINIFS(CBIC_Late_Fee_Relief_Windows_1!$I$27:$I$100,CBIC_Late_Fee_Relief_Windows_1!$D$27:$D$100,"&lt;="&amp;B27,CBIC_Late_Fee_Relief_Windows_1!$E$27:$E$100,"&gt;="&amp;B27,CBIC_Late_Fee_Relief_Windows_1!$F$27:$F$100,"&lt;="&amp;C27,CBIC_Late_Fee_Relief_Windows_1!$G$27:$G$100,"&gt;="&amp;C27,CBIC_Late_Fee_Relief_Windows_1!$H$27:$H$100,D27)</f>
        <v>#NAME?</v>
      </c>
      <c r="H27" t="e">
        <f t="shared" ca="1" si="0"/>
        <v>#NAME?</v>
      </c>
      <c r="I27" t="e">
        <f ca="1">INDEX(CBIC_Late_Fee_Relief_Windows_1!$B$27:$B$100,MATCH(G27,CBIC_Late_Fee_Relief_Windows_1!$I$27:$I$100,0))</f>
        <v>#NAME?</v>
      </c>
    </row>
    <row r="28" spans="1:9" x14ac:dyDescent="0.55000000000000004">
      <c r="A28" t="str">
        <f>TEST_DATA!A28</f>
        <v>27AAAAA0028Z5</v>
      </c>
      <c r="B28" t="str">
        <f>TEST_DATA!B28</f>
        <v>Mar-2018</v>
      </c>
      <c r="C28">
        <f>TEST_DATA!C28</f>
        <v>43202</v>
      </c>
      <c r="D28" t="str">
        <f>TEST_DATA!D28</f>
        <v>NIL</v>
      </c>
      <c r="E28">
        <f>TEST_DATA!E28</f>
        <v>2299</v>
      </c>
      <c r="F28">
        <f>MIN(E28*2800,10000)</f>
        <v>10000</v>
      </c>
      <c r="G28" t="e">
        <f ca="1">_xludf.MINIFS(CBIC_Late_Fee_Relief_Windows_1!$I$28:$I$100,CBIC_Late_Fee_Relief_Windows_1!$D$28:$D$100,"&lt;="&amp;B28,CBIC_Late_Fee_Relief_Windows_1!$E$28:$E$100,"&gt;="&amp;B28,CBIC_Late_Fee_Relief_Windows_1!$F$28:$F$100,"&lt;="&amp;C28,CBIC_Late_Fee_Relief_Windows_1!$G$28:$G$100,"&gt;="&amp;C28,CBIC_Late_Fee_Relief_Windows_1!$H$28:$H$100,D28)</f>
        <v>#NAME?</v>
      </c>
      <c r="H28" t="e">
        <f t="shared" ca="1" si="0"/>
        <v>#NAME?</v>
      </c>
      <c r="I28" t="e">
        <f ca="1">INDEX(CBIC_Late_Fee_Relief_Windows_1!$B$28:$B$100,MATCH(G28,CBIC_Late_Fee_Relief_Windows_1!$I$28:$I$100,0))</f>
        <v>#NAME?</v>
      </c>
    </row>
    <row r="29" spans="1:9" x14ac:dyDescent="0.55000000000000004">
      <c r="A29" t="str">
        <f>TEST_DATA!A29</f>
        <v>27AAAAA0029Z5</v>
      </c>
      <c r="B29" t="str">
        <f>TEST_DATA!B29</f>
        <v>Dec-2019</v>
      </c>
      <c r="C29">
        <f>TEST_DATA!C29</f>
        <v>44542</v>
      </c>
      <c r="D29" t="str">
        <f>TEST_DATA!D29</f>
        <v>NON-NIL</v>
      </c>
      <c r="E29">
        <f>TEST_DATA!E29</f>
        <v>2390</v>
      </c>
      <c r="F29">
        <f>MIN(E29*2900,10000)</f>
        <v>10000</v>
      </c>
      <c r="G29" t="e">
        <f ca="1">_xludf.MINIFS(CBIC_Late_Fee_Relief_Windows_1!$I$29:$I$100,CBIC_Late_Fee_Relief_Windows_1!$D$29:$D$100,"&lt;="&amp;B29,CBIC_Late_Fee_Relief_Windows_1!$E$29:$E$100,"&gt;="&amp;B29,CBIC_Late_Fee_Relief_Windows_1!$F$29:$F$100,"&lt;="&amp;C29,CBIC_Late_Fee_Relief_Windows_1!$G$29:$G$100,"&gt;="&amp;C29,CBIC_Late_Fee_Relief_Windows_1!$H$29:$H$100,D29)</f>
        <v>#NAME?</v>
      </c>
      <c r="H29" t="e">
        <f t="shared" ca="1" si="0"/>
        <v>#NAME?</v>
      </c>
      <c r="I29" t="e">
        <f ca="1">INDEX(CBIC_Late_Fee_Relief_Windows_1!$B$29:$B$100,MATCH(G29,CBIC_Late_Fee_Relief_Windows_1!$I$29:$I$100,0))</f>
        <v>#NAME?</v>
      </c>
    </row>
    <row r="30" spans="1:9" x14ac:dyDescent="0.55000000000000004">
      <c r="A30" t="str">
        <f>TEST_DATA!A30</f>
        <v>27AAAAA0030Z5</v>
      </c>
      <c r="B30" t="str">
        <f>TEST_DATA!B30</f>
        <v>Jul-2018</v>
      </c>
      <c r="C30">
        <f>TEST_DATA!C30</f>
        <v>43658</v>
      </c>
      <c r="D30" t="str">
        <f>TEST_DATA!D30</f>
        <v>NIL</v>
      </c>
      <c r="E30">
        <f>TEST_DATA!E30</f>
        <v>566</v>
      </c>
      <c r="F30">
        <f>MIN(E30*3000,10000)</f>
        <v>10000</v>
      </c>
      <c r="G30" t="e">
        <f ca="1">_xludf.MINIFS(CBIC_Late_Fee_Relief_Windows_1!$I$30:$I$100,CBIC_Late_Fee_Relief_Windows_1!$D$30:$D$100,"&lt;="&amp;B30,CBIC_Late_Fee_Relief_Windows_1!$E$30:$E$100,"&gt;="&amp;B30,CBIC_Late_Fee_Relief_Windows_1!$F$30:$F$100,"&lt;="&amp;C30,CBIC_Late_Fee_Relief_Windows_1!$G$30:$G$100,"&gt;="&amp;C30,CBIC_Late_Fee_Relief_Windows_1!$H$30:$H$100,D30)</f>
        <v>#NAME?</v>
      </c>
      <c r="H30" t="e">
        <f t="shared" ca="1" si="0"/>
        <v>#NAME?</v>
      </c>
      <c r="I30" t="e">
        <f ca="1">INDEX(CBIC_Late_Fee_Relief_Windows_1!$B$30:$B$100,MATCH(G30,CBIC_Late_Fee_Relief_Windows_1!$I$30:$I$100,0))</f>
        <v>#NAME?</v>
      </c>
    </row>
    <row r="31" spans="1:9" x14ac:dyDescent="0.55000000000000004">
      <c r="A31" t="str">
        <f>TEST_DATA!A31</f>
        <v>27AAAAA0031Z5</v>
      </c>
      <c r="B31" t="str">
        <f>TEST_DATA!B31</f>
        <v>Jun-2019</v>
      </c>
      <c r="C31">
        <f>TEST_DATA!C31</f>
        <v>45487</v>
      </c>
      <c r="D31" t="str">
        <f>TEST_DATA!D31</f>
        <v>NIL</v>
      </c>
      <c r="E31">
        <f>TEST_DATA!E31</f>
        <v>192</v>
      </c>
      <c r="F31">
        <f>MIN(E31*3100,10000)</f>
        <v>10000</v>
      </c>
      <c r="G31" t="e">
        <f ca="1">_xludf.MINIFS(CBIC_Late_Fee_Relief_Windows_1!$I$31:$I$100,CBIC_Late_Fee_Relief_Windows_1!$D$31:$D$100,"&lt;="&amp;B31,CBIC_Late_Fee_Relief_Windows_1!$E$31:$E$100,"&gt;="&amp;B31,CBIC_Late_Fee_Relief_Windows_1!$F$31:$F$100,"&lt;="&amp;C31,CBIC_Late_Fee_Relief_Windows_1!$G$31:$G$100,"&gt;="&amp;C31,CBIC_Late_Fee_Relief_Windows_1!$H$31:$H$100,D31)</f>
        <v>#NAME?</v>
      </c>
      <c r="H31" t="e">
        <f t="shared" ca="1" si="0"/>
        <v>#NAME?</v>
      </c>
      <c r="I31" t="e">
        <f ca="1">INDEX(CBIC_Late_Fee_Relief_Windows_1!$B$31:$B$100,MATCH(G31,CBIC_Late_Fee_Relief_Windows_1!$I$31:$I$100,0))</f>
        <v>#NAME?</v>
      </c>
    </row>
    <row r="32" spans="1:9" x14ac:dyDescent="0.55000000000000004">
      <c r="A32" t="str">
        <f>TEST_DATA!A32</f>
        <v>27AAAAA0032Z5</v>
      </c>
      <c r="B32" t="str">
        <f>TEST_DATA!B32</f>
        <v>Mar-2023</v>
      </c>
      <c r="C32">
        <f>TEST_DATA!C32</f>
        <v>43915</v>
      </c>
      <c r="D32" t="str">
        <f>TEST_DATA!D32</f>
        <v>NIL</v>
      </c>
      <c r="E32">
        <f>TEST_DATA!E32</f>
        <v>2570</v>
      </c>
      <c r="F32">
        <f>MIN(E32*3200,10000)</f>
        <v>10000</v>
      </c>
      <c r="G32" t="e">
        <f ca="1">_xludf.MINIFS(CBIC_Late_Fee_Relief_Windows_1!$I$32:$I$100,CBIC_Late_Fee_Relief_Windows_1!$D$32:$D$100,"&lt;="&amp;B32,CBIC_Late_Fee_Relief_Windows_1!$E$32:$E$100,"&gt;="&amp;B32,CBIC_Late_Fee_Relief_Windows_1!$F$32:$F$100,"&lt;="&amp;C32,CBIC_Late_Fee_Relief_Windows_1!$G$32:$G$100,"&gt;="&amp;C32,CBIC_Late_Fee_Relief_Windows_1!$H$32:$H$100,D32)</f>
        <v>#NAME?</v>
      </c>
      <c r="H32" t="e">
        <f t="shared" ca="1" si="0"/>
        <v>#NAME?</v>
      </c>
      <c r="I32" t="e">
        <f ca="1">INDEX(CBIC_Late_Fee_Relief_Windows_1!$B$32:$B$100,MATCH(G32,CBIC_Late_Fee_Relief_Windows_1!$I$32:$I$100,0))</f>
        <v>#NAME?</v>
      </c>
    </row>
    <row r="33" spans="1:9" x14ac:dyDescent="0.55000000000000004">
      <c r="A33" t="str">
        <f>TEST_DATA!A33</f>
        <v>27AAAAA0033Z5</v>
      </c>
      <c r="B33" t="str">
        <f>TEST_DATA!B33</f>
        <v>Dec-2017</v>
      </c>
      <c r="C33">
        <f>TEST_DATA!C33</f>
        <v>44539</v>
      </c>
      <c r="D33" t="str">
        <f>TEST_DATA!D33</f>
        <v>NON-NIL</v>
      </c>
      <c r="E33">
        <f>TEST_DATA!E33</f>
        <v>2442</v>
      </c>
      <c r="F33">
        <f>MIN(E33*3300,10000)</f>
        <v>10000</v>
      </c>
      <c r="G33" t="e">
        <f ca="1">_xludf.MINIFS(CBIC_Late_Fee_Relief_Windows_1!$I$33:$I$100,CBIC_Late_Fee_Relief_Windows_1!$D$33:$D$100,"&lt;="&amp;B33,CBIC_Late_Fee_Relief_Windows_1!$E$33:$E$100,"&gt;="&amp;B33,CBIC_Late_Fee_Relief_Windows_1!$F$33:$F$100,"&lt;="&amp;C33,CBIC_Late_Fee_Relief_Windows_1!$G$33:$G$100,"&gt;="&amp;C33,CBIC_Late_Fee_Relief_Windows_1!$H$33:$H$100,D33)</f>
        <v>#NAME?</v>
      </c>
      <c r="H33" t="e">
        <f t="shared" ca="1" si="0"/>
        <v>#NAME?</v>
      </c>
      <c r="I33" t="e">
        <f ca="1">INDEX(CBIC_Late_Fee_Relief_Windows_1!$B$33:$B$100,MATCH(G33,CBIC_Late_Fee_Relief_Windows_1!$I$33:$I$100,0))</f>
        <v>#NAME?</v>
      </c>
    </row>
    <row r="34" spans="1:9" x14ac:dyDescent="0.55000000000000004">
      <c r="A34" t="str">
        <f>TEST_DATA!A34</f>
        <v>27AAAAA0034Z5</v>
      </c>
      <c r="B34" t="str">
        <f>TEST_DATA!B34</f>
        <v>Sep-2017</v>
      </c>
      <c r="C34">
        <f>TEST_DATA!C34</f>
        <v>43705</v>
      </c>
      <c r="D34" t="str">
        <f>TEST_DATA!D34</f>
        <v>NON-NIL</v>
      </c>
      <c r="E34">
        <f>TEST_DATA!E34</f>
        <v>2440</v>
      </c>
      <c r="F34">
        <f>MIN(E34*3400,10000)</f>
        <v>10000</v>
      </c>
      <c r="G34" t="e">
        <f ca="1">_xludf.MINIFS(CBIC_Late_Fee_Relief_Windows_1!$I$34:$I$100,CBIC_Late_Fee_Relief_Windows_1!$D$34:$D$100,"&lt;="&amp;B34,CBIC_Late_Fee_Relief_Windows_1!$E$34:$E$100,"&gt;="&amp;B34,CBIC_Late_Fee_Relief_Windows_1!$F$34:$F$100,"&lt;="&amp;C34,CBIC_Late_Fee_Relief_Windows_1!$G$34:$G$100,"&gt;="&amp;C34,CBIC_Late_Fee_Relief_Windows_1!$H$34:$H$100,D34)</f>
        <v>#NAME?</v>
      </c>
      <c r="H34" t="e">
        <f t="shared" ca="1" si="0"/>
        <v>#NAME?</v>
      </c>
      <c r="I34" t="e">
        <f ca="1">INDEX(CBIC_Late_Fee_Relief_Windows_1!$B$34:$B$100,MATCH(G34,CBIC_Late_Fee_Relief_Windows_1!$I$34:$I$100,0))</f>
        <v>#NAME?</v>
      </c>
    </row>
    <row r="35" spans="1:9" x14ac:dyDescent="0.55000000000000004">
      <c r="A35" t="str">
        <f>TEST_DATA!A35</f>
        <v>27AAAAA0035Z5</v>
      </c>
      <c r="B35" t="str">
        <f>TEST_DATA!B35</f>
        <v>Sep-2018</v>
      </c>
      <c r="C35">
        <f>TEST_DATA!C35</f>
        <v>44000</v>
      </c>
      <c r="D35" t="str">
        <f>TEST_DATA!D35</f>
        <v>NON-NIL</v>
      </c>
      <c r="E35">
        <f>TEST_DATA!E35</f>
        <v>2266</v>
      </c>
      <c r="F35">
        <f>MIN(E35*3500,10000)</f>
        <v>10000</v>
      </c>
      <c r="G35" t="e">
        <f ca="1">_xludf.MINIFS(CBIC_Late_Fee_Relief_Windows_1!$I$35:$I$100,CBIC_Late_Fee_Relief_Windows_1!$D$35:$D$100,"&lt;="&amp;B35,CBIC_Late_Fee_Relief_Windows_1!$E$35:$E$100,"&gt;="&amp;B35,CBIC_Late_Fee_Relief_Windows_1!$F$35:$F$100,"&lt;="&amp;C35,CBIC_Late_Fee_Relief_Windows_1!$G$35:$G$100,"&gt;="&amp;C35,CBIC_Late_Fee_Relief_Windows_1!$H$35:$H$100,D35)</f>
        <v>#NAME?</v>
      </c>
      <c r="H35" t="e">
        <f t="shared" ca="1" si="0"/>
        <v>#NAME?</v>
      </c>
      <c r="I35" t="e">
        <f ca="1">INDEX(CBIC_Late_Fee_Relief_Windows_1!$B$35:$B$100,MATCH(G35,CBIC_Late_Fee_Relief_Windows_1!$I$35:$I$100,0))</f>
        <v>#NAME?</v>
      </c>
    </row>
    <row r="36" spans="1:9" x14ac:dyDescent="0.55000000000000004">
      <c r="A36" t="str">
        <f>TEST_DATA!A36</f>
        <v>27AAAAA0036Z5</v>
      </c>
      <c r="B36" t="str">
        <f>TEST_DATA!B36</f>
        <v>Mar-2023</v>
      </c>
      <c r="C36">
        <f>TEST_DATA!C36</f>
        <v>43513</v>
      </c>
      <c r="D36" t="str">
        <f>TEST_DATA!D36</f>
        <v>NIL</v>
      </c>
      <c r="E36">
        <f>TEST_DATA!E36</f>
        <v>2792</v>
      </c>
      <c r="F36">
        <f>MIN(E36*3600,10000)</f>
        <v>10000</v>
      </c>
      <c r="G36" t="e">
        <f ca="1">_xludf.MINIFS(CBIC_Late_Fee_Relief_Windows_1!$I$36:$I$100,CBIC_Late_Fee_Relief_Windows_1!$D$36:$D$100,"&lt;="&amp;B36,CBIC_Late_Fee_Relief_Windows_1!$E$36:$E$100,"&gt;="&amp;B36,CBIC_Late_Fee_Relief_Windows_1!$F$36:$F$100,"&lt;="&amp;C36,CBIC_Late_Fee_Relief_Windows_1!$G$36:$G$100,"&gt;="&amp;C36,CBIC_Late_Fee_Relief_Windows_1!$H$36:$H$100,D36)</f>
        <v>#NAME?</v>
      </c>
      <c r="H36" t="e">
        <f t="shared" ca="1" si="0"/>
        <v>#NAME?</v>
      </c>
      <c r="I36" t="e">
        <f ca="1">INDEX(CBIC_Late_Fee_Relief_Windows_1!$B$36:$B$100,MATCH(G36,CBIC_Late_Fee_Relief_Windows_1!$I$36:$I$100,0))</f>
        <v>#NAME?</v>
      </c>
    </row>
    <row r="37" spans="1:9" x14ac:dyDescent="0.55000000000000004">
      <c r="A37" t="str">
        <f>TEST_DATA!A37</f>
        <v>27AAAAA0037Z5</v>
      </c>
      <c r="B37" t="str">
        <f>TEST_DATA!B37</f>
        <v>Dec-2024</v>
      </c>
      <c r="C37">
        <f>TEST_DATA!C37</f>
        <v>45665</v>
      </c>
      <c r="D37" t="str">
        <f>TEST_DATA!D37</f>
        <v>NON-NIL</v>
      </c>
      <c r="E37">
        <f>TEST_DATA!E37</f>
        <v>2625</v>
      </c>
      <c r="F37">
        <f>MIN(E37*3700,10000)</f>
        <v>10000</v>
      </c>
      <c r="G37" t="e">
        <f ca="1">_xludf.MINIFS(CBIC_Late_Fee_Relief_Windows_1!$I$37:$I$100,CBIC_Late_Fee_Relief_Windows_1!$D$37:$D$100,"&lt;="&amp;B37,CBIC_Late_Fee_Relief_Windows_1!$E$37:$E$100,"&gt;="&amp;B37,CBIC_Late_Fee_Relief_Windows_1!$F$37:$F$100,"&lt;="&amp;C37,CBIC_Late_Fee_Relief_Windows_1!$G$37:$G$100,"&gt;="&amp;C37,CBIC_Late_Fee_Relief_Windows_1!$H$37:$H$100,D37)</f>
        <v>#NAME?</v>
      </c>
      <c r="H37" t="e">
        <f t="shared" ca="1" si="0"/>
        <v>#NAME?</v>
      </c>
      <c r="I37" t="e">
        <f ca="1">INDEX(CBIC_Late_Fee_Relief_Windows_1!$B$37:$B$100,MATCH(G37,CBIC_Late_Fee_Relief_Windows_1!$I$37:$I$100,0))</f>
        <v>#NAME?</v>
      </c>
    </row>
    <row r="38" spans="1:9" x14ac:dyDescent="0.55000000000000004">
      <c r="A38" t="str">
        <f>TEST_DATA!A38</f>
        <v>27AAAAA0038Z5</v>
      </c>
      <c r="B38" t="str">
        <f>TEST_DATA!B38</f>
        <v>May-2018</v>
      </c>
      <c r="C38">
        <f>TEST_DATA!C38</f>
        <v>43145</v>
      </c>
      <c r="D38" t="str">
        <f>TEST_DATA!D38</f>
        <v>NON-NIL</v>
      </c>
      <c r="E38">
        <f>TEST_DATA!E38</f>
        <v>1780</v>
      </c>
      <c r="F38">
        <f>MIN(E38*3800,10000)</f>
        <v>10000</v>
      </c>
      <c r="G38" t="e">
        <f ca="1">_xludf.MINIFS(CBIC_Late_Fee_Relief_Windows_1!$I$38:$I$100,CBIC_Late_Fee_Relief_Windows_1!$D$38:$D$100,"&lt;="&amp;B38,CBIC_Late_Fee_Relief_Windows_1!$E$38:$E$100,"&gt;="&amp;B38,CBIC_Late_Fee_Relief_Windows_1!$F$38:$F$100,"&lt;="&amp;C38,CBIC_Late_Fee_Relief_Windows_1!$G$38:$G$100,"&gt;="&amp;C38,CBIC_Late_Fee_Relief_Windows_1!$H$38:$H$100,D38)</f>
        <v>#NAME?</v>
      </c>
      <c r="H38" t="e">
        <f t="shared" ca="1" si="0"/>
        <v>#NAME?</v>
      </c>
      <c r="I38" t="e">
        <f ca="1">INDEX(CBIC_Late_Fee_Relief_Windows_1!$B$38:$B$100,MATCH(G38,CBIC_Late_Fee_Relief_Windows_1!$I$38:$I$100,0))</f>
        <v>#NAME?</v>
      </c>
    </row>
    <row r="39" spans="1:9" x14ac:dyDescent="0.55000000000000004">
      <c r="A39" t="str">
        <f>TEST_DATA!A39</f>
        <v>27AAAAA0039Z5</v>
      </c>
      <c r="B39" t="str">
        <f>TEST_DATA!B39</f>
        <v>Dec-2017</v>
      </c>
      <c r="C39">
        <f>TEST_DATA!C39</f>
        <v>43846</v>
      </c>
      <c r="D39" t="str">
        <f>TEST_DATA!D39</f>
        <v>NIL</v>
      </c>
      <c r="E39">
        <f>TEST_DATA!E39</f>
        <v>2957</v>
      </c>
      <c r="F39">
        <f>MIN(E39*3900,10000)</f>
        <v>10000</v>
      </c>
      <c r="G39" t="e">
        <f ca="1">_xludf.MINIFS(CBIC_Late_Fee_Relief_Windows_1!$I$39:$I$100,CBIC_Late_Fee_Relief_Windows_1!$D$39:$D$100,"&lt;="&amp;B39,CBIC_Late_Fee_Relief_Windows_1!$E$39:$E$100,"&gt;="&amp;B39,CBIC_Late_Fee_Relief_Windows_1!$F$39:$F$100,"&lt;="&amp;C39,CBIC_Late_Fee_Relief_Windows_1!$G$39:$G$100,"&gt;="&amp;C39,CBIC_Late_Fee_Relief_Windows_1!$H$39:$H$100,D39)</f>
        <v>#NAME?</v>
      </c>
      <c r="H39" t="e">
        <f t="shared" ca="1" si="0"/>
        <v>#NAME?</v>
      </c>
      <c r="I39" t="e">
        <f ca="1">INDEX(CBIC_Late_Fee_Relief_Windows_1!$B$39:$B$100,MATCH(G39,CBIC_Late_Fee_Relief_Windows_1!$I$39:$I$100,0))</f>
        <v>#NAME?</v>
      </c>
    </row>
    <row r="40" spans="1:9" x14ac:dyDescent="0.55000000000000004">
      <c r="A40" t="str">
        <f>TEST_DATA!A40</f>
        <v>27AAAAA0040Z5</v>
      </c>
      <c r="B40" t="str">
        <f>TEST_DATA!B40</f>
        <v>Dec-2024</v>
      </c>
      <c r="C40">
        <f>TEST_DATA!C40</f>
        <v>44544</v>
      </c>
      <c r="D40" t="str">
        <f>TEST_DATA!D40</f>
        <v>NIL</v>
      </c>
      <c r="E40">
        <f>TEST_DATA!E40</f>
        <v>2079</v>
      </c>
      <c r="F40">
        <f>MIN(E40*4000,10000)</f>
        <v>10000</v>
      </c>
      <c r="G40" t="e">
        <f ca="1">_xludf.MINIFS(CBIC_Late_Fee_Relief_Windows_1!$I$40:$I$100,CBIC_Late_Fee_Relief_Windows_1!$D$40:$D$100,"&lt;="&amp;B40,CBIC_Late_Fee_Relief_Windows_1!$E$40:$E$100,"&gt;="&amp;B40,CBIC_Late_Fee_Relief_Windows_1!$F$40:$F$100,"&lt;="&amp;C40,CBIC_Late_Fee_Relief_Windows_1!$G$40:$G$100,"&gt;="&amp;C40,CBIC_Late_Fee_Relief_Windows_1!$H$40:$H$100,D40)</f>
        <v>#NAME?</v>
      </c>
      <c r="H40" t="e">
        <f t="shared" ca="1" si="0"/>
        <v>#NAME?</v>
      </c>
      <c r="I40" t="e">
        <f ca="1">INDEX(CBIC_Late_Fee_Relief_Windows_1!$B$40:$B$100,MATCH(G40,CBIC_Late_Fee_Relief_Windows_1!$I$40:$I$100,0))</f>
        <v>#NAME?</v>
      </c>
    </row>
    <row r="41" spans="1:9" x14ac:dyDescent="0.55000000000000004">
      <c r="A41" t="str">
        <f>TEST_DATA!A41</f>
        <v>27AAAAA0041Z5</v>
      </c>
      <c r="B41" t="str">
        <f>TEST_DATA!B41</f>
        <v>Oct-2017</v>
      </c>
      <c r="C41">
        <f>TEST_DATA!C41</f>
        <v>44197</v>
      </c>
      <c r="D41" t="str">
        <f>TEST_DATA!D41</f>
        <v>NON-NIL</v>
      </c>
      <c r="E41">
        <f>TEST_DATA!E41</f>
        <v>2617</v>
      </c>
      <c r="F41">
        <f>MIN(E41*4100,10000)</f>
        <v>10000</v>
      </c>
      <c r="G41" t="e">
        <f ca="1">_xludf.MINIFS(CBIC_Late_Fee_Relief_Windows_1!$I$41:$I$100,CBIC_Late_Fee_Relief_Windows_1!$D$41:$D$100,"&lt;="&amp;B41,CBIC_Late_Fee_Relief_Windows_1!$E$41:$E$100,"&gt;="&amp;B41,CBIC_Late_Fee_Relief_Windows_1!$F$41:$F$100,"&lt;="&amp;C41,CBIC_Late_Fee_Relief_Windows_1!$G$41:$G$100,"&gt;="&amp;C41,CBIC_Late_Fee_Relief_Windows_1!$H$41:$H$100,D41)</f>
        <v>#NAME?</v>
      </c>
      <c r="H41" t="e">
        <f t="shared" ca="1" si="0"/>
        <v>#NAME?</v>
      </c>
      <c r="I41" t="e">
        <f ca="1">INDEX(CBIC_Late_Fee_Relief_Windows_1!$B$41:$B$100,MATCH(G41,CBIC_Late_Fee_Relief_Windows_1!$I$41:$I$100,0))</f>
        <v>#NAME?</v>
      </c>
    </row>
    <row r="42" spans="1:9" x14ac:dyDescent="0.55000000000000004">
      <c r="A42" t="str">
        <f>TEST_DATA!A42</f>
        <v>27AAAAA0042Z5</v>
      </c>
      <c r="B42" t="str">
        <f>TEST_DATA!B42</f>
        <v>Jun-2019</v>
      </c>
      <c r="C42">
        <f>TEST_DATA!C42</f>
        <v>44280</v>
      </c>
      <c r="D42" t="str">
        <f>TEST_DATA!D42</f>
        <v>NIL</v>
      </c>
      <c r="E42">
        <f>TEST_DATA!E42</f>
        <v>1531</v>
      </c>
      <c r="F42">
        <f>MIN(E42*4200,10000)</f>
        <v>10000</v>
      </c>
      <c r="G42" t="e">
        <f ca="1">_xludf.MINIFS(CBIC_Late_Fee_Relief_Windows_1!$I$42:$I$100,CBIC_Late_Fee_Relief_Windows_1!$D$42:$D$100,"&lt;="&amp;B42,CBIC_Late_Fee_Relief_Windows_1!$E$42:$E$100,"&gt;="&amp;B42,CBIC_Late_Fee_Relief_Windows_1!$F$42:$F$100,"&lt;="&amp;C42,CBIC_Late_Fee_Relief_Windows_1!$G$42:$G$100,"&gt;="&amp;C42,CBIC_Late_Fee_Relief_Windows_1!$H$42:$H$100,D42)</f>
        <v>#NAME?</v>
      </c>
      <c r="H42" t="e">
        <f t="shared" ca="1" si="0"/>
        <v>#NAME?</v>
      </c>
      <c r="I42" t="e">
        <f ca="1">INDEX(CBIC_Late_Fee_Relief_Windows_1!$B$42:$B$100,MATCH(G42,CBIC_Late_Fee_Relief_Windows_1!$I$42:$I$100,0))</f>
        <v>#NAME?</v>
      </c>
    </row>
    <row r="43" spans="1:9" x14ac:dyDescent="0.55000000000000004">
      <c r="A43" t="str">
        <f>TEST_DATA!A43</f>
        <v>27AAAAA0043Z5</v>
      </c>
      <c r="B43" t="str">
        <f>TEST_DATA!B43</f>
        <v>Mar-2021</v>
      </c>
      <c r="C43">
        <f>TEST_DATA!C43</f>
        <v>44127</v>
      </c>
      <c r="D43" t="str">
        <f>TEST_DATA!D43</f>
        <v>NIL</v>
      </c>
      <c r="E43">
        <f>TEST_DATA!E43</f>
        <v>2453</v>
      </c>
      <c r="F43">
        <f>MIN(E43*4300,10000)</f>
        <v>10000</v>
      </c>
      <c r="G43" t="e">
        <f ca="1">_xludf.MINIFS(CBIC_Late_Fee_Relief_Windows_1!$I$43:$I$100,CBIC_Late_Fee_Relief_Windows_1!$D$43:$D$100,"&lt;="&amp;B43,CBIC_Late_Fee_Relief_Windows_1!$E$43:$E$100,"&gt;="&amp;B43,CBIC_Late_Fee_Relief_Windows_1!$F$43:$F$100,"&lt;="&amp;C43,CBIC_Late_Fee_Relief_Windows_1!$G$43:$G$100,"&gt;="&amp;C43,CBIC_Late_Fee_Relief_Windows_1!$H$43:$H$100,D43)</f>
        <v>#NAME?</v>
      </c>
      <c r="H43" t="e">
        <f t="shared" ca="1" si="0"/>
        <v>#NAME?</v>
      </c>
      <c r="I43" t="e">
        <f ca="1">INDEX(CBIC_Late_Fee_Relief_Windows_1!$B$43:$B$100,MATCH(G43,CBIC_Late_Fee_Relief_Windows_1!$I$43:$I$100,0))</f>
        <v>#NAME?</v>
      </c>
    </row>
    <row r="44" spans="1:9" x14ac:dyDescent="0.55000000000000004">
      <c r="A44" t="str">
        <f>TEST_DATA!A44</f>
        <v>27AAAAA0044Z5</v>
      </c>
      <c r="B44" t="str">
        <f>TEST_DATA!B44</f>
        <v>May-2018</v>
      </c>
      <c r="C44">
        <f>TEST_DATA!C44</f>
        <v>43917</v>
      </c>
      <c r="D44" t="str">
        <f>TEST_DATA!D44</f>
        <v>NIL</v>
      </c>
      <c r="E44">
        <f>TEST_DATA!E44</f>
        <v>458</v>
      </c>
      <c r="F44">
        <f>MIN(E44*4400,10000)</f>
        <v>10000</v>
      </c>
      <c r="G44" t="e">
        <f ca="1">_xludf.MINIFS(CBIC_Late_Fee_Relief_Windows_1!$I$44:$I$100,CBIC_Late_Fee_Relief_Windows_1!$D$44:$D$100,"&lt;="&amp;B44,CBIC_Late_Fee_Relief_Windows_1!$E$44:$E$100,"&gt;="&amp;B44,CBIC_Late_Fee_Relief_Windows_1!$F$44:$F$100,"&lt;="&amp;C44,CBIC_Late_Fee_Relief_Windows_1!$G$44:$G$100,"&gt;="&amp;C44,CBIC_Late_Fee_Relief_Windows_1!$H$44:$H$100,D44)</f>
        <v>#NAME?</v>
      </c>
      <c r="H44" t="e">
        <f t="shared" ca="1" si="0"/>
        <v>#NAME?</v>
      </c>
      <c r="I44" t="e">
        <f ca="1">INDEX(CBIC_Late_Fee_Relief_Windows_1!$B$44:$B$100,MATCH(G44,CBIC_Late_Fee_Relief_Windows_1!$I$44:$I$100,0))</f>
        <v>#NAME?</v>
      </c>
    </row>
    <row r="45" spans="1:9" x14ac:dyDescent="0.55000000000000004">
      <c r="A45" t="str">
        <f>TEST_DATA!A45</f>
        <v>27AAAAA0045Z5</v>
      </c>
      <c r="B45" t="str">
        <f>TEST_DATA!B45</f>
        <v>Jun-2018</v>
      </c>
      <c r="C45">
        <f>TEST_DATA!C45</f>
        <v>43546</v>
      </c>
      <c r="D45" t="str">
        <f>TEST_DATA!D45</f>
        <v>NIL</v>
      </c>
      <c r="E45">
        <f>TEST_DATA!E45</f>
        <v>237</v>
      </c>
      <c r="F45">
        <f>MIN(E45*4500,10000)</f>
        <v>10000</v>
      </c>
      <c r="G45" t="e">
        <f ca="1">_xludf.MINIFS(CBIC_Late_Fee_Relief_Windows_1!$I$45:$I$100,CBIC_Late_Fee_Relief_Windows_1!$D$45:$D$100,"&lt;="&amp;B45,CBIC_Late_Fee_Relief_Windows_1!$E$45:$E$100,"&gt;="&amp;B45,CBIC_Late_Fee_Relief_Windows_1!$F$45:$F$100,"&lt;="&amp;C45,CBIC_Late_Fee_Relief_Windows_1!$G$45:$G$100,"&gt;="&amp;C45,CBIC_Late_Fee_Relief_Windows_1!$H$45:$H$100,D45)</f>
        <v>#NAME?</v>
      </c>
      <c r="H45" t="e">
        <f t="shared" ca="1" si="0"/>
        <v>#NAME?</v>
      </c>
      <c r="I45" t="e">
        <f ca="1">INDEX(CBIC_Late_Fee_Relief_Windows_1!$B$45:$B$100,MATCH(G45,CBIC_Late_Fee_Relief_Windows_1!$I$45:$I$100,0))</f>
        <v>#NAME?</v>
      </c>
    </row>
    <row r="46" spans="1:9" x14ac:dyDescent="0.55000000000000004">
      <c r="A46" t="str">
        <f>TEST_DATA!A46</f>
        <v>27AAAAA0046Z5</v>
      </c>
      <c r="B46" t="str">
        <f>TEST_DATA!B46</f>
        <v>Feb-2018</v>
      </c>
      <c r="C46">
        <f>TEST_DATA!C46</f>
        <v>44078</v>
      </c>
      <c r="D46" t="str">
        <f>TEST_DATA!D46</f>
        <v>NIL</v>
      </c>
      <c r="E46">
        <f>TEST_DATA!E46</f>
        <v>350</v>
      </c>
      <c r="F46">
        <f>MIN(E46*4600,10000)</f>
        <v>10000</v>
      </c>
      <c r="G46" t="e">
        <f ca="1">_xludf.MINIFS(CBIC_Late_Fee_Relief_Windows_1!$I$46:$I$100,CBIC_Late_Fee_Relief_Windows_1!$D$46:$D$100,"&lt;="&amp;B46,CBIC_Late_Fee_Relief_Windows_1!$E$46:$E$100,"&gt;="&amp;B46,CBIC_Late_Fee_Relief_Windows_1!$F$46:$F$100,"&lt;="&amp;C46,CBIC_Late_Fee_Relief_Windows_1!$G$46:$G$100,"&gt;="&amp;C46,CBIC_Late_Fee_Relief_Windows_1!$H$46:$H$100,D46)</f>
        <v>#NAME?</v>
      </c>
      <c r="H46" t="e">
        <f t="shared" ca="1" si="0"/>
        <v>#NAME?</v>
      </c>
      <c r="I46" t="e">
        <f ca="1">INDEX(CBIC_Late_Fee_Relief_Windows_1!$B$46:$B$100,MATCH(G46,CBIC_Late_Fee_Relief_Windows_1!$I$46:$I$100,0))</f>
        <v>#NAME?</v>
      </c>
    </row>
    <row r="47" spans="1:9" x14ac:dyDescent="0.55000000000000004">
      <c r="A47" t="str">
        <f>TEST_DATA!A47</f>
        <v>27AAAAA0047Z5</v>
      </c>
      <c r="B47" t="str">
        <f>TEST_DATA!B47</f>
        <v>Jan-2021</v>
      </c>
      <c r="C47">
        <f>TEST_DATA!C47</f>
        <v>45456</v>
      </c>
      <c r="D47" t="str">
        <f>TEST_DATA!D47</f>
        <v>NIL</v>
      </c>
      <c r="E47">
        <f>TEST_DATA!E47</f>
        <v>2181</v>
      </c>
      <c r="F47">
        <f>MIN(E47*4700,10000)</f>
        <v>10000</v>
      </c>
      <c r="G47" t="e">
        <f ca="1">_xludf.MINIFS(CBIC_Late_Fee_Relief_Windows_1!$I$47:$I$100,CBIC_Late_Fee_Relief_Windows_1!$D$47:$D$100,"&lt;="&amp;B47,CBIC_Late_Fee_Relief_Windows_1!$E$47:$E$100,"&gt;="&amp;B47,CBIC_Late_Fee_Relief_Windows_1!$F$47:$F$100,"&lt;="&amp;C47,CBIC_Late_Fee_Relief_Windows_1!$G$47:$G$100,"&gt;="&amp;C47,CBIC_Late_Fee_Relief_Windows_1!$H$47:$H$100,D47)</f>
        <v>#NAME?</v>
      </c>
      <c r="H47" t="e">
        <f t="shared" ca="1" si="0"/>
        <v>#NAME?</v>
      </c>
      <c r="I47" t="e">
        <f ca="1">INDEX(CBIC_Late_Fee_Relief_Windows_1!$B$47:$B$100,MATCH(G47,CBIC_Late_Fee_Relief_Windows_1!$I$47:$I$100,0))</f>
        <v>#NAME?</v>
      </c>
    </row>
    <row r="48" spans="1:9" x14ac:dyDescent="0.55000000000000004">
      <c r="A48" t="str">
        <f>TEST_DATA!A48</f>
        <v>27AAAAA0048Z5</v>
      </c>
      <c r="B48" t="str">
        <f>TEST_DATA!B48</f>
        <v>Mar-2021</v>
      </c>
      <c r="C48">
        <f>TEST_DATA!C48</f>
        <v>43981</v>
      </c>
      <c r="D48" t="str">
        <f>TEST_DATA!D48</f>
        <v>NIL</v>
      </c>
      <c r="E48">
        <f>TEST_DATA!E48</f>
        <v>2702</v>
      </c>
      <c r="F48">
        <f>MIN(E48*4800,10000)</f>
        <v>10000</v>
      </c>
      <c r="G48" t="e">
        <f ca="1">_xludf.MINIFS(CBIC_Late_Fee_Relief_Windows_1!$I$48:$I$100,CBIC_Late_Fee_Relief_Windows_1!$D$48:$D$100,"&lt;="&amp;B48,CBIC_Late_Fee_Relief_Windows_1!$E$48:$E$100,"&gt;="&amp;B48,CBIC_Late_Fee_Relief_Windows_1!$F$48:$F$100,"&lt;="&amp;C48,CBIC_Late_Fee_Relief_Windows_1!$G$48:$G$100,"&gt;="&amp;C48,CBIC_Late_Fee_Relief_Windows_1!$H$48:$H$100,D48)</f>
        <v>#NAME?</v>
      </c>
      <c r="H48" t="e">
        <f t="shared" ca="1" si="0"/>
        <v>#NAME?</v>
      </c>
      <c r="I48" t="e">
        <f ca="1">INDEX(CBIC_Late_Fee_Relief_Windows_1!$B$48:$B$100,MATCH(G48,CBIC_Late_Fee_Relief_Windows_1!$I$48:$I$100,0))</f>
        <v>#NAME?</v>
      </c>
    </row>
    <row r="49" spans="1:9" x14ac:dyDescent="0.55000000000000004">
      <c r="A49" t="str">
        <f>TEST_DATA!A49</f>
        <v>27AAAAA0049Z5</v>
      </c>
      <c r="B49" t="str">
        <f>TEST_DATA!B49</f>
        <v>Jan-2019</v>
      </c>
      <c r="C49">
        <f>TEST_DATA!C49</f>
        <v>45717</v>
      </c>
      <c r="D49" t="str">
        <f>TEST_DATA!D49</f>
        <v>NIL</v>
      </c>
      <c r="E49">
        <f>TEST_DATA!E49</f>
        <v>1085</v>
      </c>
      <c r="F49">
        <f>MIN(E49*4900,10000)</f>
        <v>10000</v>
      </c>
      <c r="G49" t="e">
        <f ca="1">_xludf.MINIFS(CBIC_Late_Fee_Relief_Windows_1!$I$49:$I$100,CBIC_Late_Fee_Relief_Windows_1!$D$49:$D$100,"&lt;="&amp;B49,CBIC_Late_Fee_Relief_Windows_1!$E$49:$E$100,"&gt;="&amp;B49,CBIC_Late_Fee_Relief_Windows_1!$F$49:$F$100,"&lt;="&amp;C49,CBIC_Late_Fee_Relief_Windows_1!$G$49:$G$100,"&gt;="&amp;C49,CBIC_Late_Fee_Relief_Windows_1!$H$49:$H$100,D49)</f>
        <v>#NAME?</v>
      </c>
      <c r="H49" t="e">
        <f t="shared" ca="1" si="0"/>
        <v>#NAME?</v>
      </c>
      <c r="I49" t="e">
        <f ca="1">INDEX(CBIC_Late_Fee_Relief_Windows_1!$B$49:$B$100,MATCH(G49,CBIC_Late_Fee_Relief_Windows_1!$I$49:$I$100,0))</f>
        <v>#NAME?</v>
      </c>
    </row>
    <row r="50" spans="1:9" x14ac:dyDescent="0.55000000000000004">
      <c r="A50" t="str">
        <f>TEST_DATA!A50</f>
        <v>27AAAAA0050Z5</v>
      </c>
      <c r="B50" t="str">
        <f>TEST_DATA!B50</f>
        <v>Jun-2019</v>
      </c>
      <c r="C50">
        <f>TEST_DATA!C50</f>
        <v>45199</v>
      </c>
      <c r="D50" t="str">
        <f>TEST_DATA!D50</f>
        <v>NIL</v>
      </c>
      <c r="E50">
        <f>TEST_DATA!E50</f>
        <v>2208</v>
      </c>
      <c r="F50">
        <f>MIN(E50*5000,10000)</f>
        <v>10000</v>
      </c>
      <c r="G50" t="e">
        <f ca="1">_xludf.MINIFS(CBIC_Late_Fee_Relief_Windows_1!$I$50:$I$100,CBIC_Late_Fee_Relief_Windows_1!$D$50:$D$100,"&lt;="&amp;B50,CBIC_Late_Fee_Relief_Windows_1!$E$50:$E$100,"&gt;="&amp;B50,CBIC_Late_Fee_Relief_Windows_1!$F$50:$F$100,"&lt;="&amp;C50,CBIC_Late_Fee_Relief_Windows_1!$G$50:$G$100,"&gt;="&amp;C50,CBIC_Late_Fee_Relief_Windows_1!$H$50:$H$100,D50)</f>
        <v>#NAME?</v>
      </c>
      <c r="H50" t="e">
        <f t="shared" ca="1" si="0"/>
        <v>#NAME?</v>
      </c>
      <c r="I50" t="e">
        <f ca="1">INDEX(CBIC_Late_Fee_Relief_Windows_1!$B$50:$B$100,MATCH(G50,CBIC_Late_Fee_Relief_Windows_1!$I$50:$I$100,0))</f>
        <v>#NAME?</v>
      </c>
    </row>
    <row r="51" spans="1:9" x14ac:dyDescent="0.55000000000000004">
      <c r="A51" t="str">
        <f>TEST_DATA!A51</f>
        <v>27AAAAA0051Z5</v>
      </c>
      <c r="B51" t="str">
        <f>TEST_DATA!B51</f>
        <v>Mar-2021</v>
      </c>
      <c r="C51">
        <f>TEST_DATA!C51</f>
        <v>44289</v>
      </c>
      <c r="D51" t="str">
        <f>TEST_DATA!D51</f>
        <v>NON-NIL</v>
      </c>
      <c r="E51">
        <f>TEST_DATA!E51</f>
        <v>1634</v>
      </c>
      <c r="F51">
        <f>MIN(E51*5100,10000)</f>
        <v>10000</v>
      </c>
      <c r="G51" t="e">
        <f ca="1">_xludf.MINIFS(CBIC_Late_Fee_Relief_Windows_1!$I$51:$I$100,CBIC_Late_Fee_Relief_Windows_1!$D$51:$D$100,"&lt;="&amp;B51,CBIC_Late_Fee_Relief_Windows_1!$E$51:$E$100,"&gt;="&amp;B51,CBIC_Late_Fee_Relief_Windows_1!$F$51:$F$100,"&lt;="&amp;C51,CBIC_Late_Fee_Relief_Windows_1!$G$51:$G$100,"&gt;="&amp;C51,CBIC_Late_Fee_Relief_Windows_1!$H$51:$H$100,D51)</f>
        <v>#NAME?</v>
      </c>
      <c r="H51" t="e">
        <f t="shared" ca="1" si="0"/>
        <v>#NAME?</v>
      </c>
      <c r="I51" t="e">
        <f ca="1">INDEX(CBIC_Late_Fee_Relief_Windows_1!$B$51:$B$100,MATCH(G51,CBIC_Late_Fee_Relief_Windows_1!$I$51:$I$100,0))</f>
        <v>#NAME?</v>
      </c>
    </row>
    <row r="52" spans="1:9" x14ac:dyDescent="0.55000000000000004">
      <c r="A52" t="str">
        <f>TEST_DATA!A52</f>
        <v>27AAAAA0052Z5</v>
      </c>
      <c r="B52" t="str">
        <f>TEST_DATA!B52</f>
        <v>Jun-2020</v>
      </c>
      <c r="C52">
        <f>TEST_DATA!C52</f>
        <v>44595</v>
      </c>
      <c r="D52" t="str">
        <f>TEST_DATA!D52</f>
        <v>NON-NIL</v>
      </c>
      <c r="E52">
        <f>TEST_DATA!E52</f>
        <v>2119</v>
      </c>
      <c r="F52">
        <f>MIN(E52*5200,10000)</f>
        <v>10000</v>
      </c>
      <c r="G52" t="e">
        <f ca="1">_xludf.MINIFS(CBIC_Late_Fee_Relief_Windows_1!$I$52:$I$100,CBIC_Late_Fee_Relief_Windows_1!$D$52:$D$100,"&lt;="&amp;B52,CBIC_Late_Fee_Relief_Windows_1!$E$52:$E$100,"&gt;="&amp;B52,CBIC_Late_Fee_Relief_Windows_1!$F$52:$F$100,"&lt;="&amp;C52,CBIC_Late_Fee_Relief_Windows_1!$G$52:$G$100,"&gt;="&amp;C52,CBIC_Late_Fee_Relief_Windows_1!$H$52:$H$100,D52)</f>
        <v>#NAME?</v>
      </c>
      <c r="H52" t="e">
        <f t="shared" ca="1" si="0"/>
        <v>#NAME?</v>
      </c>
      <c r="I52" t="e">
        <f ca="1">INDEX(CBIC_Late_Fee_Relief_Windows_1!$B$52:$B$100,MATCH(G52,CBIC_Late_Fee_Relief_Windows_1!$I$52:$I$100,0))</f>
        <v>#NAME?</v>
      </c>
    </row>
    <row r="53" spans="1:9" x14ac:dyDescent="0.55000000000000004">
      <c r="A53" t="str">
        <f>TEST_DATA!A53</f>
        <v>27AAAAA0053Z5</v>
      </c>
      <c r="B53" t="str">
        <f>TEST_DATA!B53</f>
        <v>Sep-2018</v>
      </c>
      <c r="C53">
        <f>TEST_DATA!C53</f>
        <v>43164</v>
      </c>
      <c r="D53" t="str">
        <f>TEST_DATA!D53</f>
        <v>NIL</v>
      </c>
      <c r="E53">
        <f>TEST_DATA!E53</f>
        <v>920</v>
      </c>
      <c r="F53">
        <f>MIN(E53*5300,10000)</f>
        <v>10000</v>
      </c>
      <c r="G53" t="e">
        <f ca="1">_xludf.MINIFS(CBIC_Late_Fee_Relief_Windows_1!$I$53:$I$100,CBIC_Late_Fee_Relief_Windows_1!$D$53:$D$100,"&lt;="&amp;B53,CBIC_Late_Fee_Relief_Windows_1!$E$53:$E$100,"&gt;="&amp;B53,CBIC_Late_Fee_Relief_Windows_1!$F$53:$F$100,"&lt;="&amp;C53,CBIC_Late_Fee_Relief_Windows_1!$G$53:$G$100,"&gt;="&amp;C53,CBIC_Late_Fee_Relief_Windows_1!$H$53:$H$100,D53)</f>
        <v>#NAME?</v>
      </c>
      <c r="H53" t="e">
        <f t="shared" ca="1" si="0"/>
        <v>#NAME?</v>
      </c>
      <c r="I53" t="e">
        <f ca="1">INDEX(CBIC_Late_Fee_Relief_Windows_1!$B$53:$B$100,MATCH(G53,CBIC_Late_Fee_Relief_Windows_1!$I$53:$I$100,0))</f>
        <v>#NAME?</v>
      </c>
    </row>
    <row r="54" spans="1:9" x14ac:dyDescent="0.55000000000000004">
      <c r="A54" t="str">
        <f>TEST_DATA!A54</f>
        <v>27AAAAA0054Z5</v>
      </c>
      <c r="B54" t="str">
        <f>TEST_DATA!B54</f>
        <v>Sep-2017</v>
      </c>
      <c r="C54">
        <f>TEST_DATA!C54</f>
        <v>43609</v>
      </c>
      <c r="D54" t="str">
        <f>TEST_DATA!D54</f>
        <v>NIL</v>
      </c>
      <c r="E54">
        <f>TEST_DATA!E54</f>
        <v>2409</v>
      </c>
      <c r="F54">
        <f>MIN(E54*5400,10000)</f>
        <v>10000</v>
      </c>
      <c r="G54" t="e">
        <f ca="1">_xludf.MINIFS(CBIC_Late_Fee_Relief_Windows_1!$I$54:$I$100,CBIC_Late_Fee_Relief_Windows_1!$D$54:$D$100,"&lt;="&amp;B54,CBIC_Late_Fee_Relief_Windows_1!$E$54:$E$100,"&gt;="&amp;B54,CBIC_Late_Fee_Relief_Windows_1!$F$54:$F$100,"&lt;="&amp;C54,CBIC_Late_Fee_Relief_Windows_1!$G$54:$G$100,"&gt;="&amp;C54,CBIC_Late_Fee_Relief_Windows_1!$H$54:$H$100,D54)</f>
        <v>#NAME?</v>
      </c>
      <c r="H54" t="e">
        <f t="shared" ca="1" si="0"/>
        <v>#NAME?</v>
      </c>
      <c r="I54" t="e">
        <f ca="1">INDEX(CBIC_Late_Fee_Relief_Windows_1!$B$54:$B$100,MATCH(G54,CBIC_Late_Fee_Relief_Windows_1!$I$54:$I$100,0))</f>
        <v>#NAME?</v>
      </c>
    </row>
    <row r="55" spans="1:9" x14ac:dyDescent="0.55000000000000004">
      <c r="A55" t="str">
        <f>TEST_DATA!A55</f>
        <v>27AAAAA0055Z5</v>
      </c>
      <c r="B55" t="str">
        <f>TEST_DATA!B55</f>
        <v>Dec-2019</v>
      </c>
      <c r="C55">
        <f>TEST_DATA!C55</f>
        <v>44408</v>
      </c>
      <c r="D55" t="str">
        <f>TEST_DATA!D55</f>
        <v>NIL</v>
      </c>
      <c r="E55">
        <f>TEST_DATA!E55</f>
        <v>29</v>
      </c>
      <c r="F55">
        <f>MIN(E55*5500,10000)</f>
        <v>10000</v>
      </c>
      <c r="G55" t="e">
        <f ca="1">_xludf.MINIFS(CBIC_Late_Fee_Relief_Windows_1!$I$55:$I$100,CBIC_Late_Fee_Relief_Windows_1!$D$55:$D$100,"&lt;="&amp;B55,CBIC_Late_Fee_Relief_Windows_1!$E$55:$E$100,"&gt;="&amp;B55,CBIC_Late_Fee_Relief_Windows_1!$F$55:$F$100,"&lt;="&amp;C55,CBIC_Late_Fee_Relief_Windows_1!$G$55:$G$100,"&gt;="&amp;C55,CBIC_Late_Fee_Relief_Windows_1!$H$55:$H$100,D55)</f>
        <v>#NAME?</v>
      </c>
      <c r="H55" t="e">
        <f t="shared" ca="1" si="0"/>
        <v>#NAME?</v>
      </c>
      <c r="I55" t="e">
        <f ca="1">INDEX(CBIC_Late_Fee_Relief_Windows_1!$B$55:$B$100,MATCH(G55,CBIC_Late_Fee_Relief_Windows_1!$I$55:$I$100,0))</f>
        <v>#NAME?</v>
      </c>
    </row>
    <row r="56" spans="1:9" x14ac:dyDescent="0.55000000000000004">
      <c r="A56" t="str">
        <f>TEST_DATA!A56</f>
        <v>27AAAAA0056Z5</v>
      </c>
      <c r="B56" t="str">
        <f>TEST_DATA!B56</f>
        <v>Sep-2017</v>
      </c>
      <c r="C56">
        <f>TEST_DATA!C56</f>
        <v>44366</v>
      </c>
      <c r="D56" t="str">
        <f>TEST_DATA!D56</f>
        <v>NIL</v>
      </c>
      <c r="E56">
        <f>TEST_DATA!E56</f>
        <v>937</v>
      </c>
      <c r="F56">
        <f>MIN(E56*5600,10000)</f>
        <v>10000</v>
      </c>
      <c r="G56" t="e">
        <f ca="1">_xludf.MINIFS(CBIC_Late_Fee_Relief_Windows_1!$I$56:$I$100,CBIC_Late_Fee_Relief_Windows_1!$D$56:$D$100,"&lt;="&amp;B56,CBIC_Late_Fee_Relief_Windows_1!$E$56:$E$100,"&gt;="&amp;B56,CBIC_Late_Fee_Relief_Windows_1!$F$56:$F$100,"&lt;="&amp;C56,CBIC_Late_Fee_Relief_Windows_1!$G$56:$G$100,"&gt;="&amp;C56,CBIC_Late_Fee_Relief_Windows_1!$H$56:$H$100,D56)</f>
        <v>#NAME?</v>
      </c>
      <c r="H56" t="e">
        <f t="shared" ca="1" si="0"/>
        <v>#NAME?</v>
      </c>
      <c r="I56" t="e">
        <f ca="1">INDEX(CBIC_Late_Fee_Relief_Windows_1!$B$56:$B$100,MATCH(G56,CBIC_Late_Fee_Relief_Windows_1!$I$56:$I$100,0))</f>
        <v>#NAME?</v>
      </c>
    </row>
    <row r="57" spans="1:9" x14ac:dyDescent="0.55000000000000004">
      <c r="A57" t="str">
        <f>TEST_DATA!A57</f>
        <v>27AAAAA0057Z5</v>
      </c>
      <c r="B57" t="str">
        <f>TEST_DATA!B57</f>
        <v>Sep-2017</v>
      </c>
      <c r="C57">
        <f>TEST_DATA!C57</f>
        <v>42981</v>
      </c>
      <c r="D57" t="str">
        <f>TEST_DATA!D57</f>
        <v>NON-NIL</v>
      </c>
      <c r="E57">
        <f>TEST_DATA!E57</f>
        <v>290</v>
      </c>
      <c r="F57">
        <f>MIN(E57*5700,10000)</f>
        <v>10000</v>
      </c>
      <c r="G57" t="e">
        <f ca="1">_xludf.MINIFS(CBIC_Late_Fee_Relief_Windows_1!$I$57:$I$100,CBIC_Late_Fee_Relief_Windows_1!$D$57:$D$100,"&lt;="&amp;B57,CBIC_Late_Fee_Relief_Windows_1!$E$57:$E$100,"&gt;="&amp;B57,CBIC_Late_Fee_Relief_Windows_1!$F$57:$F$100,"&lt;="&amp;C57,CBIC_Late_Fee_Relief_Windows_1!$G$57:$G$100,"&gt;="&amp;C57,CBIC_Late_Fee_Relief_Windows_1!$H$57:$H$100,D57)</f>
        <v>#NAME?</v>
      </c>
      <c r="H57" t="e">
        <f t="shared" ca="1" si="0"/>
        <v>#NAME?</v>
      </c>
      <c r="I57" t="e">
        <f ca="1">INDEX(CBIC_Late_Fee_Relief_Windows_1!$B$57:$B$100,MATCH(G57,CBIC_Late_Fee_Relief_Windows_1!$I$57:$I$100,0))</f>
        <v>#NAME?</v>
      </c>
    </row>
    <row r="58" spans="1:9" x14ac:dyDescent="0.55000000000000004">
      <c r="A58" t="str">
        <f>TEST_DATA!A58</f>
        <v>27AAAAA0058Z5</v>
      </c>
      <c r="B58" t="str">
        <f>TEST_DATA!B58</f>
        <v>Jun-2019</v>
      </c>
      <c r="C58">
        <f>TEST_DATA!C58</f>
        <v>44440</v>
      </c>
      <c r="D58" t="str">
        <f>TEST_DATA!D58</f>
        <v>NON-NIL</v>
      </c>
      <c r="E58">
        <f>TEST_DATA!E58</f>
        <v>2740</v>
      </c>
      <c r="F58">
        <f>MIN(E58*5800,10000)</f>
        <v>10000</v>
      </c>
      <c r="G58" t="e">
        <f ca="1">_xludf.MINIFS(CBIC_Late_Fee_Relief_Windows_1!$I$58:$I$100,CBIC_Late_Fee_Relief_Windows_1!$D$58:$D$100,"&lt;="&amp;B58,CBIC_Late_Fee_Relief_Windows_1!$E$58:$E$100,"&gt;="&amp;B58,CBIC_Late_Fee_Relief_Windows_1!$F$58:$F$100,"&lt;="&amp;C58,CBIC_Late_Fee_Relief_Windows_1!$G$58:$G$100,"&gt;="&amp;C58,CBIC_Late_Fee_Relief_Windows_1!$H$58:$H$100,D58)</f>
        <v>#NAME?</v>
      </c>
      <c r="H58" t="e">
        <f t="shared" ca="1" si="0"/>
        <v>#NAME?</v>
      </c>
      <c r="I58" t="e">
        <f ca="1">INDEX(CBIC_Late_Fee_Relief_Windows_1!$B$58:$B$100,MATCH(G58,CBIC_Late_Fee_Relief_Windows_1!$I$58:$I$100,0))</f>
        <v>#NAME?</v>
      </c>
    </row>
    <row r="59" spans="1:9" x14ac:dyDescent="0.55000000000000004">
      <c r="A59" t="str">
        <f>TEST_DATA!A59</f>
        <v>27AAAAA0059Z5</v>
      </c>
      <c r="B59" t="str">
        <f>TEST_DATA!B59</f>
        <v>Jan-2019</v>
      </c>
      <c r="C59">
        <f>TEST_DATA!C59</f>
        <v>44343</v>
      </c>
      <c r="D59" t="str">
        <f>TEST_DATA!D59</f>
        <v>NIL</v>
      </c>
      <c r="E59">
        <f>TEST_DATA!E59</f>
        <v>2962</v>
      </c>
      <c r="F59">
        <f>MIN(E59*5900,10000)</f>
        <v>10000</v>
      </c>
      <c r="G59" t="e">
        <f ca="1">_xludf.MINIFS(CBIC_Late_Fee_Relief_Windows_1!$I$59:$I$100,CBIC_Late_Fee_Relief_Windows_1!$D$59:$D$100,"&lt;="&amp;B59,CBIC_Late_Fee_Relief_Windows_1!$E$59:$E$100,"&gt;="&amp;B59,CBIC_Late_Fee_Relief_Windows_1!$F$59:$F$100,"&lt;="&amp;C59,CBIC_Late_Fee_Relief_Windows_1!$G$59:$G$100,"&gt;="&amp;C59,CBIC_Late_Fee_Relief_Windows_1!$H$59:$H$100,D59)</f>
        <v>#NAME?</v>
      </c>
      <c r="H59" t="e">
        <f t="shared" ca="1" si="0"/>
        <v>#NAME?</v>
      </c>
      <c r="I59" t="e">
        <f ca="1">INDEX(CBIC_Late_Fee_Relief_Windows_1!$B$59:$B$100,MATCH(G59,CBIC_Late_Fee_Relief_Windows_1!$I$59:$I$100,0))</f>
        <v>#NAME?</v>
      </c>
    </row>
    <row r="60" spans="1:9" x14ac:dyDescent="0.55000000000000004">
      <c r="A60" t="str">
        <f>TEST_DATA!A60</f>
        <v>27AAAAA0060Z5</v>
      </c>
      <c r="B60" t="str">
        <f>TEST_DATA!B60</f>
        <v>Dec-2024</v>
      </c>
      <c r="C60">
        <f>TEST_DATA!C60</f>
        <v>45804</v>
      </c>
      <c r="D60" t="str">
        <f>TEST_DATA!D60</f>
        <v>NON-NIL</v>
      </c>
      <c r="E60">
        <f>TEST_DATA!E60</f>
        <v>995</v>
      </c>
      <c r="F60">
        <f>MIN(E60*6000,10000)</f>
        <v>10000</v>
      </c>
      <c r="G60" t="e">
        <f ca="1">_xludf.MINIFS(CBIC_Late_Fee_Relief_Windows_1!$I$60:$I$100,CBIC_Late_Fee_Relief_Windows_1!$D$60:$D$100,"&lt;="&amp;B60,CBIC_Late_Fee_Relief_Windows_1!$E$60:$E$100,"&gt;="&amp;B60,CBIC_Late_Fee_Relief_Windows_1!$F$60:$F$100,"&lt;="&amp;C60,CBIC_Late_Fee_Relief_Windows_1!$G$60:$G$100,"&gt;="&amp;C60,CBIC_Late_Fee_Relief_Windows_1!$H$60:$H$100,D60)</f>
        <v>#NAME?</v>
      </c>
      <c r="H60" t="e">
        <f t="shared" ca="1" si="0"/>
        <v>#NAME?</v>
      </c>
      <c r="I60" t="e">
        <f ca="1">INDEX(CBIC_Late_Fee_Relief_Windows_1!$B$60:$B$100,MATCH(G60,CBIC_Late_Fee_Relief_Windows_1!$I$60:$I$100,0))</f>
        <v>#NAME?</v>
      </c>
    </row>
    <row r="61" spans="1:9" x14ac:dyDescent="0.55000000000000004">
      <c r="A61" t="str">
        <f>TEST_DATA!A61</f>
        <v>27AAAAA0061Z5</v>
      </c>
      <c r="B61" t="str">
        <f>TEST_DATA!B61</f>
        <v>Apr-2021</v>
      </c>
      <c r="C61">
        <f>TEST_DATA!C61</f>
        <v>45403</v>
      </c>
      <c r="D61" t="str">
        <f>TEST_DATA!D61</f>
        <v>NON-NIL</v>
      </c>
      <c r="E61">
        <f>TEST_DATA!E61</f>
        <v>779</v>
      </c>
      <c r="F61">
        <f>MIN(E61*6100,10000)</f>
        <v>10000</v>
      </c>
      <c r="G61" t="e">
        <f ca="1">_xludf.MINIFS(CBIC_Late_Fee_Relief_Windows_1!$I$61:$I$100,CBIC_Late_Fee_Relief_Windows_1!$D$61:$D$100,"&lt;="&amp;B61,CBIC_Late_Fee_Relief_Windows_1!$E$61:$E$100,"&gt;="&amp;B61,CBIC_Late_Fee_Relief_Windows_1!$F$61:$F$100,"&lt;="&amp;C61,CBIC_Late_Fee_Relief_Windows_1!$G$61:$G$100,"&gt;="&amp;C61,CBIC_Late_Fee_Relief_Windows_1!$H$61:$H$100,D61)</f>
        <v>#NAME?</v>
      </c>
      <c r="H61" t="e">
        <f t="shared" ca="1" si="0"/>
        <v>#NAME?</v>
      </c>
      <c r="I61" t="e">
        <f ca="1">INDEX(CBIC_Late_Fee_Relief_Windows_1!$B$61:$B$100,MATCH(G61,CBIC_Late_Fee_Relief_Windows_1!$I$61:$I$100,0))</f>
        <v>#NAME?</v>
      </c>
    </row>
    <row r="62" spans="1:9" x14ac:dyDescent="0.55000000000000004">
      <c r="A62" t="str">
        <f>TEST_DATA!A62</f>
        <v>27AAAAA0062Z5</v>
      </c>
      <c r="B62" t="str">
        <f>TEST_DATA!B62</f>
        <v>Oct-2017</v>
      </c>
      <c r="C62">
        <f>TEST_DATA!C62</f>
        <v>43115</v>
      </c>
      <c r="D62" t="str">
        <f>TEST_DATA!D62</f>
        <v>NON-NIL</v>
      </c>
      <c r="E62">
        <f>TEST_DATA!E62</f>
        <v>1451</v>
      </c>
      <c r="F62">
        <f>MIN(E62*6200,10000)</f>
        <v>10000</v>
      </c>
      <c r="G62" t="e">
        <f ca="1">_xludf.MINIFS(CBIC_Late_Fee_Relief_Windows_1!$I$62:$I$100,CBIC_Late_Fee_Relief_Windows_1!$D$62:$D$100,"&lt;="&amp;B62,CBIC_Late_Fee_Relief_Windows_1!$E$62:$E$100,"&gt;="&amp;B62,CBIC_Late_Fee_Relief_Windows_1!$F$62:$F$100,"&lt;="&amp;C62,CBIC_Late_Fee_Relief_Windows_1!$G$62:$G$100,"&gt;="&amp;C62,CBIC_Late_Fee_Relief_Windows_1!$H$62:$H$100,D62)</f>
        <v>#NAME?</v>
      </c>
      <c r="H62" t="e">
        <f t="shared" ca="1" si="0"/>
        <v>#NAME?</v>
      </c>
      <c r="I62" t="e">
        <f ca="1">INDEX(CBIC_Late_Fee_Relief_Windows_1!$B$62:$B$100,MATCH(G62,CBIC_Late_Fee_Relief_Windows_1!$I$62:$I$100,0))</f>
        <v>#NAME?</v>
      </c>
    </row>
    <row r="63" spans="1:9" x14ac:dyDescent="0.55000000000000004">
      <c r="A63" t="str">
        <f>TEST_DATA!A63</f>
        <v>27AAAAA0063Z5</v>
      </c>
      <c r="B63" t="str">
        <f>TEST_DATA!B63</f>
        <v>Aug-2018</v>
      </c>
      <c r="C63">
        <f>TEST_DATA!C63</f>
        <v>43758</v>
      </c>
      <c r="D63" t="str">
        <f>TEST_DATA!D63</f>
        <v>NON-NIL</v>
      </c>
      <c r="E63">
        <f>TEST_DATA!E63</f>
        <v>2986</v>
      </c>
      <c r="F63">
        <f>MIN(E63*6300,10000)</f>
        <v>10000</v>
      </c>
      <c r="G63" t="e">
        <f ca="1">_xludf.MINIFS(CBIC_Late_Fee_Relief_Windows_1!$I$63:$I$100,CBIC_Late_Fee_Relief_Windows_1!$D$63:$D$100,"&lt;="&amp;B63,CBIC_Late_Fee_Relief_Windows_1!$E$63:$E$100,"&gt;="&amp;B63,CBIC_Late_Fee_Relief_Windows_1!$F$63:$F$100,"&lt;="&amp;C63,CBIC_Late_Fee_Relief_Windows_1!$G$63:$G$100,"&gt;="&amp;C63,CBIC_Late_Fee_Relief_Windows_1!$H$63:$H$100,D63)</f>
        <v>#NAME?</v>
      </c>
      <c r="H63" t="e">
        <f t="shared" ca="1" si="0"/>
        <v>#NAME?</v>
      </c>
      <c r="I63" t="e">
        <f ca="1">INDEX(CBIC_Late_Fee_Relief_Windows_1!$B$63:$B$100,MATCH(G63,CBIC_Late_Fee_Relief_Windows_1!$I$63:$I$100,0))</f>
        <v>#NAME?</v>
      </c>
    </row>
    <row r="64" spans="1:9" x14ac:dyDescent="0.55000000000000004">
      <c r="A64" t="str">
        <f>TEST_DATA!A64</f>
        <v>27AAAAA0064Z5</v>
      </c>
      <c r="B64" t="str">
        <f>TEST_DATA!B64</f>
        <v>Aug-2017</v>
      </c>
      <c r="C64">
        <f>TEST_DATA!C64</f>
        <v>44296</v>
      </c>
      <c r="D64" t="str">
        <f>TEST_DATA!D64</f>
        <v>NIL</v>
      </c>
      <c r="E64">
        <f>TEST_DATA!E64</f>
        <v>248</v>
      </c>
      <c r="F64">
        <f>MIN(E64*6400,10000)</f>
        <v>10000</v>
      </c>
      <c r="G64" t="e">
        <f ca="1">_xludf.MINIFS(CBIC_Late_Fee_Relief_Windows_1!$I$64:$I$100,CBIC_Late_Fee_Relief_Windows_1!$D$64:$D$100,"&lt;="&amp;B64,CBIC_Late_Fee_Relief_Windows_1!$E$64:$E$100,"&gt;="&amp;B64,CBIC_Late_Fee_Relief_Windows_1!$F$64:$F$100,"&lt;="&amp;C64,CBIC_Late_Fee_Relief_Windows_1!$G$64:$G$100,"&gt;="&amp;C64,CBIC_Late_Fee_Relief_Windows_1!$H$64:$H$100,D64)</f>
        <v>#NAME?</v>
      </c>
      <c r="H64" t="e">
        <f t="shared" ca="1" si="0"/>
        <v>#NAME?</v>
      </c>
      <c r="I64" t="e">
        <f ca="1">INDEX(CBIC_Late_Fee_Relief_Windows_1!$B$64:$B$100,MATCH(G64,CBIC_Late_Fee_Relief_Windows_1!$I$64:$I$100,0))</f>
        <v>#NAME?</v>
      </c>
    </row>
    <row r="65" spans="1:9" x14ac:dyDescent="0.55000000000000004">
      <c r="A65" t="str">
        <f>TEST_DATA!A65</f>
        <v>27AAAAA0065Z5</v>
      </c>
      <c r="B65" t="str">
        <f>TEST_DATA!B65</f>
        <v>Jul-2018</v>
      </c>
      <c r="C65">
        <f>TEST_DATA!C65</f>
        <v>44408</v>
      </c>
      <c r="D65" t="str">
        <f>TEST_DATA!D65</f>
        <v>NON-NIL</v>
      </c>
      <c r="E65">
        <f>TEST_DATA!E65</f>
        <v>447</v>
      </c>
      <c r="F65">
        <f>MIN(E65*6500,10000)</f>
        <v>10000</v>
      </c>
      <c r="G65" t="e">
        <f ca="1">_xludf.MINIFS(CBIC_Late_Fee_Relief_Windows_1!$I$65:$I$100,CBIC_Late_Fee_Relief_Windows_1!$D$65:$D$100,"&lt;="&amp;B65,CBIC_Late_Fee_Relief_Windows_1!$E$65:$E$100,"&gt;="&amp;B65,CBIC_Late_Fee_Relief_Windows_1!$F$65:$F$100,"&lt;="&amp;C65,CBIC_Late_Fee_Relief_Windows_1!$G$65:$G$100,"&gt;="&amp;C65,CBIC_Late_Fee_Relief_Windows_1!$H$65:$H$100,D65)</f>
        <v>#NAME?</v>
      </c>
      <c r="H65" t="e">
        <f t="shared" ca="1" si="0"/>
        <v>#NAME?</v>
      </c>
      <c r="I65" t="e">
        <f ca="1">INDEX(CBIC_Late_Fee_Relief_Windows_1!$B$65:$B$100,MATCH(G65,CBIC_Late_Fee_Relief_Windows_1!$I$65:$I$100,0))</f>
        <v>#NAME?</v>
      </c>
    </row>
    <row r="66" spans="1:9" x14ac:dyDescent="0.55000000000000004">
      <c r="A66" t="str">
        <f>TEST_DATA!A66</f>
        <v>27AAAAA0066Z5</v>
      </c>
      <c r="B66" t="str">
        <f>TEST_DATA!B66</f>
        <v>Feb-2018</v>
      </c>
      <c r="C66">
        <f>TEST_DATA!C66</f>
        <v>43309</v>
      </c>
      <c r="D66" t="str">
        <f>TEST_DATA!D66</f>
        <v>NIL</v>
      </c>
      <c r="E66">
        <f>TEST_DATA!E66</f>
        <v>2196</v>
      </c>
      <c r="F66">
        <f>MIN(E66*6600,10000)</f>
        <v>10000</v>
      </c>
      <c r="G66" t="e">
        <f ca="1">_xludf.MINIFS(CBIC_Late_Fee_Relief_Windows_1!$I$66:$I$100,CBIC_Late_Fee_Relief_Windows_1!$D$66:$D$100,"&lt;="&amp;B66,CBIC_Late_Fee_Relief_Windows_1!$E$66:$E$100,"&gt;="&amp;B66,CBIC_Late_Fee_Relief_Windows_1!$F$66:$F$100,"&lt;="&amp;C66,CBIC_Late_Fee_Relief_Windows_1!$G$66:$G$100,"&gt;="&amp;C66,CBIC_Late_Fee_Relief_Windows_1!$H$66:$H$100,D66)</f>
        <v>#NAME?</v>
      </c>
      <c r="H66" t="e">
        <f t="shared" ref="H66:H129" ca="1" si="1">MIN(F66,G66)</f>
        <v>#NAME?</v>
      </c>
      <c r="I66" t="e">
        <f ca="1">INDEX(CBIC_Late_Fee_Relief_Windows_1!$B$66:$B$100,MATCH(G66,CBIC_Late_Fee_Relief_Windows_1!$I$66:$I$100,0))</f>
        <v>#NAME?</v>
      </c>
    </row>
    <row r="67" spans="1:9" x14ac:dyDescent="0.55000000000000004">
      <c r="A67" t="str">
        <f>TEST_DATA!A67</f>
        <v>27AAAAA0067Z5</v>
      </c>
      <c r="B67" t="str">
        <f>TEST_DATA!B67</f>
        <v>Sep-2018</v>
      </c>
      <c r="C67">
        <f>TEST_DATA!C67</f>
        <v>43204</v>
      </c>
      <c r="D67" t="str">
        <f>TEST_DATA!D67</f>
        <v>NON-NIL</v>
      </c>
      <c r="E67">
        <f>TEST_DATA!E67</f>
        <v>751</v>
      </c>
      <c r="F67">
        <f>MIN(E67*6700,10000)</f>
        <v>10000</v>
      </c>
      <c r="G67" t="e">
        <f ca="1">_xludf.MINIFS(CBIC_Late_Fee_Relief_Windows_1!$I$67:$I$100,CBIC_Late_Fee_Relief_Windows_1!$D$67:$D$100,"&lt;="&amp;B67,CBIC_Late_Fee_Relief_Windows_1!$E$67:$E$100,"&gt;="&amp;B67,CBIC_Late_Fee_Relief_Windows_1!$F$67:$F$100,"&lt;="&amp;C67,CBIC_Late_Fee_Relief_Windows_1!$G$67:$G$100,"&gt;="&amp;C67,CBIC_Late_Fee_Relief_Windows_1!$H$67:$H$100,D67)</f>
        <v>#NAME?</v>
      </c>
      <c r="H67" t="e">
        <f t="shared" ca="1" si="1"/>
        <v>#NAME?</v>
      </c>
      <c r="I67" t="e">
        <f ca="1">INDEX(CBIC_Late_Fee_Relief_Windows_1!$B$67:$B$100,MATCH(G67,CBIC_Late_Fee_Relief_Windows_1!$I$67:$I$100,0))</f>
        <v>#NAME?</v>
      </c>
    </row>
    <row r="68" spans="1:9" x14ac:dyDescent="0.55000000000000004">
      <c r="A68" t="str">
        <f>TEST_DATA!A68</f>
        <v>27AAAAA0068Z5</v>
      </c>
      <c r="B68" t="str">
        <f>TEST_DATA!B68</f>
        <v>Mar-2018</v>
      </c>
      <c r="C68">
        <f>TEST_DATA!C68</f>
        <v>43864</v>
      </c>
      <c r="D68" t="str">
        <f>TEST_DATA!D68</f>
        <v>NIL</v>
      </c>
      <c r="E68">
        <f>TEST_DATA!E68</f>
        <v>308</v>
      </c>
      <c r="F68">
        <f>MIN(E68*6800,10000)</f>
        <v>10000</v>
      </c>
      <c r="G68" t="e">
        <f ca="1">_xludf.MINIFS(CBIC_Late_Fee_Relief_Windows_1!$I$68:$I$100,CBIC_Late_Fee_Relief_Windows_1!$D$68:$D$100,"&lt;="&amp;B68,CBIC_Late_Fee_Relief_Windows_1!$E$68:$E$100,"&gt;="&amp;B68,CBIC_Late_Fee_Relief_Windows_1!$F$68:$F$100,"&lt;="&amp;C68,CBIC_Late_Fee_Relief_Windows_1!$G$68:$G$100,"&gt;="&amp;C68,CBIC_Late_Fee_Relief_Windows_1!$H$68:$H$100,D68)</f>
        <v>#NAME?</v>
      </c>
      <c r="H68" t="e">
        <f t="shared" ca="1" si="1"/>
        <v>#NAME?</v>
      </c>
      <c r="I68" t="e">
        <f ca="1">INDEX(CBIC_Late_Fee_Relief_Windows_1!$B$68:$B$100,MATCH(G68,CBIC_Late_Fee_Relief_Windows_1!$I$68:$I$100,0))</f>
        <v>#NAME?</v>
      </c>
    </row>
    <row r="69" spans="1:9" x14ac:dyDescent="0.55000000000000004">
      <c r="A69" t="str">
        <f>TEST_DATA!A69</f>
        <v>27AAAAA0069Z5</v>
      </c>
      <c r="B69" t="str">
        <f>TEST_DATA!B69</f>
        <v>Sep-2018</v>
      </c>
      <c r="C69">
        <f>TEST_DATA!C69</f>
        <v>44044</v>
      </c>
      <c r="D69" t="str">
        <f>TEST_DATA!D69</f>
        <v>NIL</v>
      </c>
      <c r="E69">
        <f>TEST_DATA!E69</f>
        <v>207</v>
      </c>
      <c r="F69">
        <f>MIN(E69*6900,10000)</f>
        <v>10000</v>
      </c>
      <c r="G69" t="e">
        <f ca="1">_xludf.MINIFS(CBIC_Late_Fee_Relief_Windows_1!$I$69:$I$100,CBIC_Late_Fee_Relief_Windows_1!$D$69:$D$100,"&lt;="&amp;B69,CBIC_Late_Fee_Relief_Windows_1!$E$69:$E$100,"&gt;="&amp;B69,CBIC_Late_Fee_Relief_Windows_1!$F$69:$F$100,"&lt;="&amp;C69,CBIC_Late_Fee_Relief_Windows_1!$G$69:$G$100,"&gt;="&amp;C69,CBIC_Late_Fee_Relief_Windows_1!$H$69:$H$100,D69)</f>
        <v>#NAME?</v>
      </c>
      <c r="H69" t="e">
        <f t="shared" ca="1" si="1"/>
        <v>#NAME?</v>
      </c>
      <c r="I69" t="e">
        <f ca="1">INDEX(CBIC_Late_Fee_Relief_Windows_1!$B$69:$B$100,MATCH(G69,CBIC_Late_Fee_Relief_Windows_1!$I$69:$I$100,0))</f>
        <v>#NAME?</v>
      </c>
    </row>
    <row r="70" spans="1:9" x14ac:dyDescent="0.55000000000000004">
      <c r="A70" t="str">
        <f>TEST_DATA!A70</f>
        <v>27AAAAA0070Z5</v>
      </c>
      <c r="B70" t="str">
        <f>TEST_DATA!B70</f>
        <v>May-2020</v>
      </c>
      <c r="C70">
        <f>TEST_DATA!C70</f>
        <v>43861</v>
      </c>
      <c r="D70" t="str">
        <f>TEST_DATA!D70</f>
        <v>NIL</v>
      </c>
      <c r="E70">
        <f>TEST_DATA!E70</f>
        <v>968</v>
      </c>
      <c r="F70">
        <f>MIN(E70*7000,10000)</f>
        <v>10000</v>
      </c>
      <c r="G70" t="e">
        <f ca="1">_xludf.MINIFS(CBIC_Late_Fee_Relief_Windows_1!$I$70:$I$100,CBIC_Late_Fee_Relief_Windows_1!$D$70:$D$100,"&lt;="&amp;B70,CBIC_Late_Fee_Relief_Windows_1!$E$70:$E$100,"&gt;="&amp;B70,CBIC_Late_Fee_Relief_Windows_1!$F$70:$F$100,"&lt;="&amp;C70,CBIC_Late_Fee_Relief_Windows_1!$G$70:$G$100,"&gt;="&amp;C70,CBIC_Late_Fee_Relief_Windows_1!$H$70:$H$100,D70)</f>
        <v>#NAME?</v>
      </c>
      <c r="H70" t="e">
        <f t="shared" ca="1" si="1"/>
        <v>#NAME?</v>
      </c>
      <c r="I70" t="e">
        <f ca="1">INDEX(CBIC_Late_Fee_Relief_Windows_1!$B$70:$B$100,MATCH(G70,CBIC_Late_Fee_Relief_Windows_1!$I$70:$I$100,0))</f>
        <v>#NAME?</v>
      </c>
    </row>
    <row r="71" spans="1:9" x14ac:dyDescent="0.55000000000000004">
      <c r="A71" t="str">
        <f>TEST_DATA!A71</f>
        <v>27AAAAA0071Z5</v>
      </c>
      <c r="B71" t="str">
        <f>TEST_DATA!B71</f>
        <v>Dec-2017</v>
      </c>
      <c r="C71">
        <f>TEST_DATA!C71</f>
        <v>43749</v>
      </c>
      <c r="D71" t="str">
        <f>TEST_DATA!D71</f>
        <v>NON-NIL</v>
      </c>
      <c r="E71">
        <f>TEST_DATA!E71</f>
        <v>1971</v>
      </c>
      <c r="F71">
        <f>MIN(E71*7100,10000)</f>
        <v>10000</v>
      </c>
      <c r="G71" t="e">
        <f ca="1">_xludf.MINIFS(CBIC_Late_Fee_Relief_Windows_1!$I$71:$I$100,CBIC_Late_Fee_Relief_Windows_1!$D$71:$D$100,"&lt;="&amp;B71,CBIC_Late_Fee_Relief_Windows_1!$E$71:$E$100,"&gt;="&amp;B71,CBIC_Late_Fee_Relief_Windows_1!$F$71:$F$100,"&lt;="&amp;C71,CBIC_Late_Fee_Relief_Windows_1!$G$71:$G$100,"&gt;="&amp;C71,CBIC_Late_Fee_Relief_Windows_1!$H$71:$H$100,D71)</f>
        <v>#NAME?</v>
      </c>
      <c r="H71" t="e">
        <f t="shared" ca="1" si="1"/>
        <v>#NAME?</v>
      </c>
      <c r="I71" t="e">
        <f ca="1">INDEX(CBIC_Late_Fee_Relief_Windows_1!$B$71:$B$100,MATCH(G71,CBIC_Late_Fee_Relief_Windows_1!$I$71:$I$100,0))</f>
        <v>#NAME?</v>
      </c>
    </row>
    <row r="72" spans="1:9" x14ac:dyDescent="0.55000000000000004">
      <c r="A72" t="str">
        <f>TEST_DATA!A72</f>
        <v>27AAAAA0072Z5</v>
      </c>
      <c r="B72" t="str">
        <f>TEST_DATA!B72</f>
        <v>Jan-2018</v>
      </c>
      <c r="C72">
        <f>TEST_DATA!C72</f>
        <v>43738</v>
      </c>
      <c r="D72" t="str">
        <f>TEST_DATA!D72</f>
        <v>NIL</v>
      </c>
      <c r="E72">
        <f>TEST_DATA!E72</f>
        <v>674</v>
      </c>
      <c r="F72">
        <f>MIN(E72*7200,10000)</f>
        <v>10000</v>
      </c>
      <c r="G72" t="e">
        <f ca="1">_xludf.MINIFS(CBIC_Late_Fee_Relief_Windows_1!$I$72:$I$100,CBIC_Late_Fee_Relief_Windows_1!$D$72:$D$100,"&lt;="&amp;B72,CBIC_Late_Fee_Relief_Windows_1!$E$72:$E$100,"&gt;="&amp;B72,CBIC_Late_Fee_Relief_Windows_1!$F$72:$F$100,"&lt;="&amp;C72,CBIC_Late_Fee_Relief_Windows_1!$G$72:$G$100,"&gt;="&amp;C72,CBIC_Late_Fee_Relief_Windows_1!$H$72:$H$100,D72)</f>
        <v>#NAME?</v>
      </c>
      <c r="H72" t="e">
        <f t="shared" ca="1" si="1"/>
        <v>#NAME?</v>
      </c>
      <c r="I72" t="e">
        <f ca="1">INDEX(CBIC_Late_Fee_Relief_Windows_1!$B$72:$B$100,MATCH(G72,CBIC_Late_Fee_Relief_Windows_1!$I$72:$I$100,0))</f>
        <v>#NAME?</v>
      </c>
    </row>
    <row r="73" spans="1:9" x14ac:dyDescent="0.55000000000000004">
      <c r="A73" t="str">
        <f>TEST_DATA!A73</f>
        <v>27AAAAA0073Z5</v>
      </c>
      <c r="B73" t="str">
        <f>TEST_DATA!B73</f>
        <v>Jul-2018</v>
      </c>
      <c r="C73">
        <f>TEST_DATA!C73</f>
        <v>42921</v>
      </c>
      <c r="D73" t="str">
        <f>TEST_DATA!D73</f>
        <v>NON-NIL</v>
      </c>
      <c r="E73">
        <f>TEST_DATA!E73</f>
        <v>1086</v>
      </c>
      <c r="F73">
        <f>MIN(E73*7300,10000)</f>
        <v>10000</v>
      </c>
      <c r="G73" t="e">
        <f ca="1">_xludf.MINIFS(CBIC_Late_Fee_Relief_Windows_1!$I$73:$I$100,CBIC_Late_Fee_Relief_Windows_1!$D$73:$D$100,"&lt;="&amp;B73,CBIC_Late_Fee_Relief_Windows_1!$E$73:$E$100,"&gt;="&amp;B73,CBIC_Late_Fee_Relief_Windows_1!$F$73:$F$100,"&lt;="&amp;C73,CBIC_Late_Fee_Relief_Windows_1!$G$73:$G$100,"&gt;="&amp;C73,CBIC_Late_Fee_Relief_Windows_1!$H$73:$H$100,D73)</f>
        <v>#NAME?</v>
      </c>
      <c r="H73" t="e">
        <f t="shared" ca="1" si="1"/>
        <v>#NAME?</v>
      </c>
      <c r="I73" t="e">
        <f ca="1">INDEX(CBIC_Late_Fee_Relief_Windows_1!$B$73:$B$100,MATCH(G73,CBIC_Late_Fee_Relief_Windows_1!$I$73:$I$100,0))</f>
        <v>#NAME?</v>
      </c>
    </row>
    <row r="74" spans="1:9" x14ac:dyDescent="0.55000000000000004">
      <c r="A74" t="str">
        <f>TEST_DATA!A74</f>
        <v>27AAAAA0074Z5</v>
      </c>
      <c r="B74" t="str">
        <f>TEST_DATA!B74</f>
        <v>Apr-2021</v>
      </c>
      <c r="C74">
        <f>TEST_DATA!C74</f>
        <v>45329</v>
      </c>
      <c r="D74" t="str">
        <f>TEST_DATA!D74</f>
        <v>NON-NIL</v>
      </c>
      <c r="E74">
        <f>TEST_DATA!E74</f>
        <v>1732</v>
      </c>
      <c r="F74">
        <f>MIN(E74*7400,10000)</f>
        <v>10000</v>
      </c>
      <c r="G74" t="e">
        <f ca="1">_xludf.MINIFS(CBIC_Late_Fee_Relief_Windows_1!$I$74:$I$100,CBIC_Late_Fee_Relief_Windows_1!$D$74:$D$100,"&lt;="&amp;B74,CBIC_Late_Fee_Relief_Windows_1!$E$74:$E$100,"&gt;="&amp;B74,CBIC_Late_Fee_Relief_Windows_1!$F$74:$F$100,"&lt;="&amp;C74,CBIC_Late_Fee_Relief_Windows_1!$G$74:$G$100,"&gt;="&amp;C74,CBIC_Late_Fee_Relief_Windows_1!$H$74:$H$100,D74)</f>
        <v>#NAME?</v>
      </c>
      <c r="H74" t="e">
        <f t="shared" ca="1" si="1"/>
        <v>#NAME?</v>
      </c>
      <c r="I74" t="e">
        <f ca="1">INDEX(CBIC_Late_Fee_Relief_Windows_1!$B$74:$B$100,MATCH(G74,CBIC_Late_Fee_Relief_Windows_1!$I$74:$I$100,0))</f>
        <v>#NAME?</v>
      </c>
    </row>
    <row r="75" spans="1:9" x14ac:dyDescent="0.55000000000000004">
      <c r="A75" t="str">
        <f>TEST_DATA!A75</f>
        <v>27AAAAA0075Z5</v>
      </c>
      <c r="B75" t="str">
        <f>TEST_DATA!B75</f>
        <v>Jul-2020</v>
      </c>
      <c r="C75">
        <f>TEST_DATA!C75</f>
        <v>44827</v>
      </c>
      <c r="D75" t="str">
        <f>TEST_DATA!D75</f>
        <v>NIL</v>
      </c>
      <c r="E75">
        <f>TEST_DATA!E75</f>
        <v>777</v>
      </c>
      <c r="F75">
        <f>MIN(E75*7500,10000)</f>
        <v>10000</v>
      </c>
      <c r="G75" t="e">
        <f ca="1">_xludf.MINIFS(CBIC_Late_Fee_Relief_Windows_1!$I$75:$I$100,CBIC_Late_Fee_Relief_Windows_1!$D$75:$D$100,"&lt;="&amp;B75,CBIC_Late_Fee_Relief_Windows_1!$E$75:$E$100,"&gt;="&amp;B75,CBIC_Late_Fee_Relief_Windows_1!$F$75:$F$100,"&lt;="&amp;C75,CBIC_Late_Fee_Relief_Windows_1!$G$75:$G$100,"&gt;="&amp;C75,CBIC_Late_Fee_Relief_Windows_1!$H$75:$H$100,D75)</f>
        <v>#NAME?</v>
      </c>
      <c r="H75" t="e">
        <f t="shared" ca="1" si="1"/>
        <v>#NAME?</v>
      </c>
      <c r="I75" t="e">
        <f ca="1">INDEX(CBIC_Late_Fee_Relief_Windows_1!$B$75:$B$100,MATCH(G75,CBIC_Late_Fee_Relief_Windows_1!$I$75:$I$100,0))</f>
        <v>#NAME?</v>
      </c>
    </row>
    <row r="76" spans="1:9" x14ac:dyDescent="0.55000000000000004">
      <c r="A76" t="str">
        <f>TEST_DATA!A76</f>
        <v>27AAAAA0076Z5</v>
      </c>
      <c r="B76" t="str">
        <f>TEST_DATA!B76</f>
        <v>Apr-2018</v>
      </c>
      <c r="C76">
        <f>TEST_DATA!C76</f>
        <v>43362</v>
      </c>
      <c r="D76" t="str">
        <f>TEST_DATA!D76</f>
        <v>NIL</v>
      </c>
      <c r="E76">
        <f>TEST_DATA!E76</f>
        <v>2372</v>
      </c>
      <c r="F76">
        <f>MIN(E76*7600,10000)</f>
        <v>10000</v>
      </c>
      <c r="G76" t="e">
        <f ca="1">_xludf.MINIFS(CBIC_Late_Fee_Relief_Windows_1!$I$76:$I$100,CBIC_Late_Fee_Relief_Windows_1!$D$76:$D$100,"&lt;="&amp;B76,CBIC_Late_Fee_Relief_Windows_1!$E$76:$E$100,"&gt;="&amp;B76,CBIC_Late_Fee_Relief_Windows_1!$F$76:$F$100,"&lt;="&amp;C76,CBIC_Late_Fee_Relief_Windows_1!$G$76:$G$100,"&gt;="&amp;C76,CBIC_Late_Fee_Relief_Windows_1!$H$76:$H$100,D76)</f>
        <v>#NAME?</v>
      </c>
      <c r="H76" t="e">
        <f t="shared" ca="1" si="1"/>
        <v>#NAME?</v>
      </c>
      <c r="I76" t="e">
        <f ca="1">INDEX(CBIC_Late_Fee_Relief_Windows_1!$B$76:$B$100,MATCH(G76,CBIC_Late_Fee_Relief_Windows_1!$I$76:$I$100,0))</f>
        <v>#NAME?</v>
      </c>
    </row>
    <row r="77" spans="1:9" x14ac:dyDescent="0.55000000000000004">
      <c r="A77" t="str">
        <f>TEST_DATA!A77</f>
        <v>27AAAAA0077Z5</v>
      </c>
      <c r="B77" t="str">
        <f>TEST_DATA!B77</f>
        <v>Jan-2021</v>
      </c>
      <c r="C77">
        <f>TEST_DATA!C77</f>
        <v>45686</v>
      </c>
      <c r="D77" t="str">
        <f>TEST_DATA!D77</f>
        <v>NIL</v>
      </c>
      <c r="E77">
        <f>TEST_DATA!E77</f>
        <v>1284</v>
      </c>
      <c r="F77">
        <f>MIN(E77*7700,10000)</f>
        <v>10000</v>
      </c>
      <c r="G77" t="e">
        <f ca="1">_xludf.MINIFS(CBIC_Late_Fee_Relief_Windows_1!$I$77:$I$100,CBIC_Late_Fee_Relief_Windows_1!$D$77:$D$100,"&lt;="&amp;B77,CBIC_Late_Fee_Relief_Windows_1!$E$77:$E$100,"&gt;="&amp;B77,CBIC_Late_Fee_Relief_Windows_1!$F$77:$F$100,"&lt;="&amp;C77,CBIC_Late_Fee_Relief_Windows_1!$G$77:$G$100,"&gt;="&amp;C77,CBIC_Late_Fee_Relief_Windows_1!$H$77:$H$100,D77)</f>
        <v>#NAME?</v>
      </c>
      <c r="H77" t="e">
        <f t="shared" ca="1" si="1"/>
        <v>#NAME?</v>
      </c>
      <c r="I77" t="e">
        <f ca="1">INDEX(CBIC_Late_Fee_Relief_Windows_1!$B$77:$B$100,MATCH(G77,CBIC_Late_Fee_Relief_Windows_1!$I$77:$I$100,0))</f>
        <v>#NAME?</v>
      </c>
    </row>
    <row r="78" spans="1:9" x14ac:dyDescent="0.55000000000000004">
      <c r="A78" t="str">
        <f>TEST_DATA!A78</f>
        <v>27AAAAA0078Z5</v>
      </c>
      <c r="B78" t="str">
        <f>TEST_DATA!B78</f>
        <v>Aug-2017</v>
      </c>
      <c r="C78">
        <f>TEST_DATA!C78</f>
        <v>43019</v>
      </c>
      <c r="D78" t="str">
        <f>TEST_DATA!D78</f>
        <v>NON-NIL</v>
      </c>
      <c r="E78">
        <f>TEST_DATA!E78</f>
        <v>2059</v>
      </c>
      <c r="F78">
        <f>MIN(E78*7800,10000)</f>
        <v>10000</v>
      </c>
      <c r="G78" t="e">
        <f ca="1">_xludf.MINIFS(CBIC_Late_Fee_Relief_Windows_1!$I$78:$I$100,CBIC_Late_Fee_Relief_Windows_1!$D$78:$D$100,"&lt;="&amp;B78,CBIC_Late_Fee_Relief_Windows_1!$E$78:$E$100,"&gt;="&amp;B78,CBIC_Late_Fee_Relief_Windows_1!$F$78:$F$100,"&lt;="&amp;C78,CBIC_Late_Fee_Relief_Windows_1!$G$78:$G$100,"&gt;="&amp;C78,CBIC_Late_Fee_Relief_Windows_1!$H$78:$H$100,D78)</f>
        <v>#NAME?</v>
      </c>
      <c r="H78" t="e">
        <f t="shared" ca="1" si="1"/>
        <v>#NAME?</v>
      </c>
      <c r="I78" t="e">
        <f ca="1">INDEX(CBIC_Late_Fee_Relief_Windows_1!$B$78:$B$100,MATCH(G78,CBIC_Late_Fee_Relief_Windows_1!$I$78:$I$100,0))</f>
        <v>#NAME?</v>
      </c>
    </row>
    <row r="79" spans="1:9" x14ac:dyDescent="0.55000000000000004">
      <c r="A79" t="str">
        <f>TEST_DATA!A79</f>
        <v>27AAAAA0079Z5</v>
      </c>
      <c r="B79" t="str">
        <f>TEST_DATA!B79</f>
        <v>Mar-2023</v>
      </c>
      <c r="C79">
        <f>TEST_DATA!C79</f>
        <v>45641</v>
      </c>
      <c r="D79" t="str">
        <f>TEST_DATA!D79</f>
        <v>NIL</v>
      </c>
      <c r="E79">
        <f>TEST_DATA!E79</f>
        <v>232</v>
      </c>
      <c r="F79">
        <f>MIN(E79*7900,10000)</f>
        <v>10000</v>
      </c>
      <c r="G79" t="e">
        <f ca="1">_xludf.MINIFS(CBIC_Late_Fee_Relief_Windows_1!$I$79:$I$100,CBIC_Late_Fee_Relief_Windows_1!$D$79:$D$100,"&lt;="&amp;B79,CBIC_Late_Fee_Relief_Windows_1!$E$79:$E$100,"&gt;="&amp;B79,CBIC_Late_Fee_Relief_Windows_1!$F$79:$F$100,"&lt;="&amp;C79,CBIC_Late_Fee_Relief_Windows_1!$G$79:$G$100,"&gt;="&amp;C79,CBIC_Late_Fee_Relief_Windows_1!$H$79:$H$100,D79)</f>
        <v>#NAME?</v>
      </c>
      <c r="H79" t="e">
        <f t="shared" ca="1" si="1"/>
        <v>#NAME?</v>
      </c>
      <c r="I79" t="e">
        <f ca="1">INDEX(CBIC_Late_Fee_Relief_Windows_1!$B$79:$B$100,MATCH(G79,CBIC_Late_Fee_Relief_Windows_1!$I$79:$I$100,0))</f>
        <v>#NAME?</v>
      </c>
    </row>
    <row r="80" spans="1:9" x14ac:dyDescent="0.55000000000000004">
      <c r="A80" t="str">
        <f>TEST_DATA!A80</f>
        <v>27AAAAA0080Z5</v>
      </c>
      <c r="B80" t="str">
        <f>TEST_DATA!B80</f>
        <v>Jun-2019</v>
      </c>
      <c r="C80">
        <f>TEST_DATA!C80</f>
        <v>43794</v>
      </c>
      <c r="D80" t="str">
        <f>TEST_DATA!D80</f>
        <v>NIL</v>
      </c>
      <c r="E80">
        <f>TEST_DATA!E80</f>
        <v>280</v>
      </c>
      <c r="F80">
        <f>MIN(E80*8000,10000)</f>
        <v>10000</v>
      </c>
      <c r="G80" t="e">
        <f ca="1">_xludf.MINIFS(CBIC_Late_Fee_Relief_Windows_1!$I$80:$I$100,CBIC_Late_Fee_Relief_Windows_1!$D$80:$D$100,"&lt;="&amp;B80,CBIC_Late_Fee_Relief_Windows_1!$E$80:$E$100,"&gt;="&amp;B80,CBIC_Late_Fee_Relief_Windows_1!$F$80:$F$100,"&lt;="&amp;C80,CBIC_Late_Fee_Relief_Windows_1!$G$80:$G$100,"&gt;="&amp;C80,CBIC_Late_Fee_Relief_Windows_1!$H$80:$H$100,D80)</f>
        <v>#NAME?</v>
      </c>
      <c r="H80" t="e">
        <f t="shared" ca="1" si="1"/>
        <v>#NAME?</v>
      </c>
      <c r="I80" t="e">
        <f ca="1">INDEX(CBIC_Late_Fee_Relief_Windows_1!$B$80:$B$100,MATCH(G80,CBIC_Late_Fee_Relief_Windows_1!$I$80:$I$100,0))</f>
        <v>#NAME?</v>
      </c>
    </row>
    <row r="81" spans="1:9" x14ac:dyDescent="0.55000000000000004">
      <c r="A81" t="str">
        <f>TEST_DATA!A81</f>
        <v>27AAAAA0081Z5</v>
      </c>
      <c r="B81" t="str">
        <f>TEST_DATA!B81</f>
        <v>Apr-2020</v>
      </c>
      <c r="C81">
        <f>TEST_DATA!C81</f>
        <v>43970</v>
      </c>
      <c r="D81" t="str">
        <f>TEST_DATA!D81</f>
        <v>NIL</v>
      </c>
      <c r="E81">
        <f>TEST_DATA!E81</f>
        <v>1653</v>
      </c>
      <c r="F81">
        <f>MIN(E81*8100,10000)</f>
        <v>10000</v>
      </c>
      <c r="G81" t="e">
        <f ca="1">_xludf.MINIFS(CBIC_Late_Fee_Relief_Windows_1!$I$81:$I$100,CBIC_Late_Fee_Relief_Windows_1!$D$81:$D$100,"&lt;="&amp;B81,CBIC_Late_Fee_Relief_Windows_1!$E$81:$E$100,"&gt;="&amp;B81,CBIC_Late_Fee_Relief_Windows_1!$F$81:$F$100,"&lt;="&amp;C81,CBIC_Late_Fee_Relief_Windows_1!$G$81:$G$100,"&gt;="&amp;C81,CBIC_Late_Fee_Relief_Windows_1!$H$81:$H$100,D81)</f>
        <v>#NAME?</v>
      </c>
      <c r="H81" t="e">
        <f t="shared" ca="1" si="1"/>
        <v>#NAME?</v>
      </c>
      <c r="I81" t="e">
        <f ca="1">INDEX(CBIC_Late_Fee_Relief_Windows_1!$B$81:$B$100,MATCH(G81,CBIC_Late_Fee_Relief_Windows_1!$I$81:$I$100,0))</f>
        <v>#NAME?</v>
      </c>
    </row>
    <row r="82" spans="1:9" x14ac:dyDescent="0.55000000000000004">
      <c r="A82" t="str">
        <f>TEST_DATA!A82</f>
        <v>27AAAAA0082Z5</v>
      </c>
      <c r="B82" t="str">
        <f>TEST_DATA!B82</f>
        <v>Oct-2017</v>
      </c>
      <c r="C82">
        <f>TEST_DATA!C82</f>
        <v>44083</v>
      </c>
      <c r="D82" t="str">
        <f>TEST_DATA!D82</f>
        <v>NIL</v>
      </c>
      <c r="E82">
        <f>TEST_DATA!E82</f>
        <v>2371</v>
      </c>
      <c r="F82">
        <f>MIN(E82*8200,10000)</f>
        <v>10000</v>
      </c>
      <c r="G82" t="e">
        <f ca="1">_xludf.MINIFS(CBIC_Late_Fee_Relief_Windows_1!$I$82:$I$100,CBIC_Late_Fee_Relief_Windows_1!$D$82:$D$100,"&lt;="&amp;B82,CBIC_Late_Fee_Relief_Windows_1!$E$82:$E$100,"&gt;="&amp;B82,CBIC_Late_Fee_Relief_Windows_1!$F$82:$F$100,"&lt;="&amp;C82,CBIC_Late_Fee_Relief_Windows_1!$G$82:$G$100,"&gt;="&amp;C82,CBIC_Late_Fee_Relief_Windows_1!$H$82:$H$100,D82)</f>
        <v>#NAME?</v>
      </c>
      <c r="H82" t="e">
        <f t="shared" ca="1" si="1"/>
        <v>#NAME?</v>
      </c>
      <c r="I82" t="e">
        <f ca="1">INDEX(CBIC_Late_Fee_Relief_Windows_1!$B$82:$B$100,MATCH(G82,CBIC_Late_Fee_Relief_Windows_1!$I$82:$I$100,0))</f>
        <v>#NAME?</v>
      </c>
    </row>
    <row r="83" spans="1:9" x14ac:dyDescent="0.55000000000000004">
      <c r="A83" t="str">
        <f>TEST_DATA!A83</f>
        <v>27AAAAA0083Z5</v>
      </c>
      <c r="B83" t="str">
        <f>TEST_DATA!B83</f>
        <v>Apr-2020</v>
      </c>
      <c r="C83">
        <f>TEST_DATA!C83</f>
        <v>43912</v>
      </c>
      <c r="D83" t="str">
        <f>TEST_DATA!D83</f>
        <v>NIL</v>
      </c>
      <c r="E83">
        <f>TEST_DATA!E83</f>
        <v>1717</v>
      </c>
      <c r="F83">
        <f>MIN(E83*8300,10000)</f>
        <v>10000</v>
      </c>
      <c r="G83" t="e">
        <f ca="1">_xludf.MINIFS(CBIC_Late_Fee_Relief_Windows_1!$I$83:$I$100,CBIC_Late_Fee_Relief_Windows_1!$D$83:$D$100,"&lt;="&amp;B83,CBIC_Late_Fee_Relief_Windows_1!$E$83:$E$100,"&gt;="&amp;B83,CBIC_Late_Fee_Relief_Windows_1!$F$83:$F$100,"&lt;="&amp;C83,CBIC_Late_Fee_Relief_Windows_1!$G$83:$G$100,"&gt;="&amp;C83,CBIC_Late_Fee_Relief_Windows_1!$H$83:$H$100,D83)</f>
        <v>#NAME?</v>
      </c>
      <c r="H83" t="e">
        <f t="shared" ca="1" si="1"/>
        <v>#NAME?</v>
      </c>
      <c r="I83" t="e">
        <f ca="1">INDEX(CBIC_Late_Fee_Relief_Windows_1!$B$83:$B$100,MATCH(G83,CBIC_Late_Fee_Relief_Windows_1!$I$83:$I$100,0))</f>
        <v>#NAME?</v>
      </c>
    </row>
    <row r="84" spans="1:9" x14ac:dyDescent="0.55000000000000004">
      <c r="A84" t="str">
        <f>TEST_DATA!A84</f>
        <v>27AAAAA0084Z5</v>
      </c>
      <c r="B84" t="str">
        <f>TEST_DATA!B84</f>
        <v>Jun-2020</v>
      </c>
      <c r="C84">
        <f>TEST_DATA!C84</f>
        <v>44901</v>
      </c>
      <c r="D84" t="str">
        <f>TEST_DATA!D84</f>
        <v>NON-NIL</v>
      </c>
      <c r="E84">
        <f>TEST_DATA!E84</f>
        <v>1068</v>
      </c>
      <c r="F84">
        <f>MIN(E84*8400,10000)</f>
        <v>10000</v>
      </c>
      <c r="G84" t="e">
        <f ca="1">_xludf.MINIFS(CBIC_Late_Fee_Relief_Windows_1!$I$84:$I$100,CBIC_Late_Fee_Relief_Windows_1!$D$84:$D$100,"&lt;="&amp;B84,CBIC_Late_Fee_Relief_Windows_1!$E$84:$E$100,"&gt;="&amp;B84,CBIC_Late_Fee_Relief_Windows_1!$F$84:$F$100,"&lt;="&amp;C84,CBIC_Late_Fee_Relief_Windows_1!$G$84:$G$100,"&gt;="&amp;C84,CBIC_Late_Fee_Relief_Windows_1!$H$84:$H$100,D84)</f>
        <v>#NAME?</v>
      </c>
      <c r="H84" t="e">
        <f t="shared" ca="1" si="1"/>
        <v>#NAME?</v>
      </c>
      <c r="I84" t="e">
        <f ca="1">INDEX(CBIC_Late_Fee_Relief_Windows_1!$B$84:$B$100,MATCH(G84,CBIC_Late_Fee_Relief_Windows_1!$I$84:$I$100,0))</f>
        <v>#NAME?</v>
      </c>
    </row>
    <row r="85" spans="1:9" x14ac:dyDescent="0.55000000000000004">
      <c r="A85" t="str">
        <f>TEST_DATA!A85</f>
        <v>27AAAAA0085Z5</v>
      </c>
      <c r="B85" t="str">
        <f>TEST_DATA!B85</f>
        <v>Jan-2018</v>
      </c>
      <c r="C85">
        <f>TEST_DATA!C85</f>
        <v>44288</v>
      </c>
      <c r="D85" t="str">
        <f>TEST_DATA!D85</f>
        <v>NON-NIL</v>
      </c>
      <c r="E85">
        <f>TEST_DATA!E85</f>
        <v>977</v>
      </c>
      <c r="F85">
        <f>MIN(E85*8500,10000)</f>
        <v>10000</v>
      </c>
      <c r="G85" t="e">
        <f ca="1">_xludf.MINIFS(CBIC_Late_Fee_Relief_Windows_1!$I$85:$I$100,CBIC_Late_Fee_Relief_Windows_1!$D$85:$D$100,"&lt;="&amp;B85,CBIC_Late_Fee_Relief_Windows_1!$E$85:$E$100,"&gt;="&amp;B85,CBIC_Late_Fee_Relief_Windows_1!$F$85:$F$100,"&lt;="&amp;C85,CBIC_Late_Fee_Relief_Windows_1!$G$85:$G$100,"&gt;="&amp;C85,CBIC_Late_Fee_Relief_Windows_1!$H$85:$H$100,D85)</f>
        <v>#NAME?</v>
      </c>
      <c r="H85" t="e">
        <f t="shared" ca="1" si="1"/>
        <v>#NAME?</v>
      </c>
      <c r="I85" t="e">
        <f ca="1">INDEX(CBIC_Late_Fee_Relief_Windows_1!$B$85:$B$100,MATCH(G85,CBIC_Late_Fee_Relief_Windows_1!$I$85:$I$100,0))</f>
        <v>#NAME?</v>
      </c>
    </row>
    <row r="86" spans="1:9" x14ac:dyDescent="0.55000000000000004">
      <c r="A86" t="str">
        <f>TEST_DATA!A86</f>
        <v>27AAAAA0086Z5</v>
      </c>
      <c r="B86" t="str">
        <f>TEST_DATA!B86</f>
        <v>Mar-2018</v>
      </c>
      <c r="C86">
        <f>TEST_DATA!C86</f>
        <v>43727</v>
      </c>
      <c r="D86" t="str">
        <f>TEST_DATA!D86</f>
        <v>NIL</v>
      </c>
      <c r="E86">
        <f>TEST_DATA!E86</f>
        <v>2751</v>
      </c>
      <c r="F86">
        <f>MIN(E86*8600,10000)</f>
        <v>10000</v>
      </c>
      <c r="G86" t="e">
        <f ca="1">_xludf.MINIFS(CBIC_Late_Fee_Relief_Windows_1!$I$86:$I$100,CBIC_Late_Fee_Relief_Windows_1!$D$86:$D$100,"&lt;="&amp;B86,CBIC_Late_Fee_Relief_Windows_1!$E$86:$E$100,"&gt;="&amp;B86,CBIC_Late_Fee_Relief_Windows_1!$F$86:$F$100,"&lt;="&amp;C86,CBIC_Late_Fee_Relief_Windows_1!$G$86:$G$100,"&gt;="&amp;C86,CBIC_Late_Fee_Relief_Windows_1!$H$86:$H$100,D86)</f>
        <v>#NAME?</v>
      </c>
      <c r="H86" t="e">
        <f t="shared" ca="1" si="1"/>
        <v>#NAME?</v>
      </c>
      <c r="I86" t="e">
        <f ca="1">INDEX(CBIC_Late_Fee_Relief_Windows_1!$B$86:$B$100,MATCH(G86,CBIC_Late_Fee_Relief_Windows_1!$I$86:$I$100,0))</f>
        <v>#NAME?</v>
      </c>
    </row>
    <row r="87" spans="1:9" x14ac:dyDescent="0.55000000000000004">
      <c r="A87" t="str">
        <f>TEST_DATA!A87</f>
        <v>27AAAAA0087Z5</v>
      </c>
      <c r="B87" t="str">
        <f>TEST_DATA!B87</f>
        <v>May-2020</v>
      </c>
      <c r="C87">
        <f>TEST_DATA!C87</f>
        <v>44445</v>
      </c>
      <c r="D87" t="str">
        <f>TEST_DATA!D87</f>
        <v>NON-NIL</v>
      </c>
      <c r="E87">
        <f>TEST_DATA!E87</f>
        <v>1295</v>
      </c>
      <c r="F87">
        <f>MIN(E87*8700,10000)</f>
        <v>10000</v>
      </c>
      <c r="G87" t="e">
        <f ca="1">_xludf.MINIFS(CBIC_Late_Fee_Relief_Windows_1!$I$87:$I$100,CBIC_Late_Fee_Relief_Windows_1!$D$87:$D$100,"&lt;="&amp;B87,CBIC_Late_Fee_Relief_Windows_1!$E$87:$E$100,"&gt;="&amp;B87,CBIC_Late_Fee_Relief_Windows_1!$F$87:$F$100,"&lt;="&amp;C87,CBIC_Late_Fee_Relief_Windows_1!$G$87:$G$100,"&gt;="&amp;C87,CBIC_Late_Fee_Relief_Windows_1!$H$87:$H$100,D87)</f>
        <v>#NAME?</v>
      </c>
      <c r="H87" t="e">
        <f t="shared" ca="1" si="1"/>
        <v>#NAME?</v>
      </c>
      <c r="I87" t="e">
        <f ca="1">INDEX(CBIC_Late_Fee_Relief_Windows_1!$B$87:$B$100,MATCH(G87,CBIC_Late_Fee_Relief_Windows_1!$I$87:$I$100,0))</f>
        <v>#NAME?</v>
      </c>
    </row>
    <row r="88" spans="1:9" x14ac:dyDescent="0.55000000000000004">
      <c r="A88" t="str">
        <f>TEST_DATA!A88</f>
        <v>27AAAAA0088Z5</v>
      </c>
      <c r="B88" t="str">
        <f>TEST_DATA!B88</f>
        <v>Mar-2021</v>
      </c>
      <c r="C88">
        <f>TEST_DATA!C88</f>
        <v>43763</v>
      </c>
      <c r="D88" t="str">
        <f>TEST_DATA!D88</f>
        <v>NIL</v>
      </c>
      <c r="E88">
        <f>TEST_DATA!E88</f>
        <v>1877</v>
      </c>
      <c r="F88">
        <f>MIN(E88*8800,10000)</f>
        <v>10000</v>
      </c>
      <c r="G88" t="e">
        <f ca="1">_xludf.MINIFS(CBIC_Late_Fee_Relief_Windows_1!$I$88:$I$100,CBIC_Late_Fee_Relief_Windows_1!$D$88:$D$100,"&lt;="&amp;B88,CBIC_Late_Fee_Relief_Windows_1!$E$88:$E$100,"&gt;="&amp;B88,CBIC_Late_Fee_Relief_Windows_1!$F$88:$F$100,"&lt;="&amp;C88,CBIC_Late_Fee_Relief_Windows_1!$G$88:$G$100,"&gt;="&amp;C88,CBIC_Late_Fee_Relief_Windows_1!$H$88:$H$100,D88)</f>
        <v>#NAME?</v>
      </c>
      <c r="H88" t="e">
        <f t="shared" ca="1" si="1"/>
        <v>#NAME?</v>
      </c>
      <c r="I88" t="e">
        <f ca="1">INDEX(CBIC_Late_Fee_Relief_Windows_1!$B$88:$B$100,MATCH(G88,CBIC_Late_Fee_Relief_Windows_1!$I$88:$I$100,0))</f>
        <v>#NAME?</v>
      </c>
    </row>
    <row r="89" spans="1:9" x14ac:dyDescent="0.55000000000000004">
      <c r="A89" t="str">
        <f>TEST_DATA!A89</f>
        <v>27AAAAA0089Z5</v>
      </c>
      <c r="B89" t="str">
        <f>TEST_DATA!B89</f>
        <v>Apr-2020</v>
      </c>
      <c r="C89">
        <f>TEST_DATA!C89</f>
        <v>44035</v>
      </c>
      <c r="D89" t="str">
        <f>TEST_DATA!D89</f>
        <v>NIL</v>
      </c>
      <c r="E89">
        <f>TEST_DATA!E89</f>
        <v>2202</v>
      </c>
      <c r="F89">
        <f>MIN(E89*8900,10000)</f>
        <v>10000</v>
      </c>
      <c r="G89" t="e">
        <f ca="1">_xludf.MINIFS(CBIC_Late_Fee_Relief_Windows_1!$I$89:$I$100,CBIC_Late_Fee_Relief_Windows_1!$D$89:$D$100,"&lt;="&amp;B89,CBIC_Late_Fee_Relief_Windows_1!$E$89:$E$100,"&gt;="&amp;B89,CBIC_Late_Fee_Relief_Windows_1!$F$89:$F$100,"&lt;="&amp;C89,CBIC_Late_Fee_Relief_Windows_1!$G$89:$G$100,"&gt;="&amp;C89,CBIC_Late_Fee_Relief_Windows_1!$H$89:$H$100,D89)</f>
        <v>#NAME?</v>
      </c>
      <c r="H89" t="e">
        <f t="shared" ca="1" si="1"/>
        <v>#NAME?</v>
      </c>
      <c r="I89" t="e">
        <f ca="1">INDEX(CBIC_Late_Fee_Relief_Windows_1!$B$89:$B$100,MATCH(G89,CBIC_Late_Fee_Relief_Windows_1!$I$89:$I$100,0))</f>
        <v>#NAME?</v>
      </c>
    </row>
    <row r="90" spans="1:9" x14ac:dyDescent="0.55000000000000004">
      <c r="A90" t="str">
        <f>TEST_DATA!A90</f>
        <v>27AAAAA0090Z5</v>
      </c>
      <c r="B90" t="str">
        <f>TEST_DATA!B90</f>
        <v>Jan-2018</v>
      </c>
      <c r="C90">
        <f>TEST_DATA!C90</f>
        <v>43953</v>
      </c>
      <c r="D90" t="str">
        <f>TEST_DATA!D90</f>
        <v>NON-NIL</v>
      </c>
      <c r="E90">
        <f>TEST_DATA!E90</f>
        <v>542</v>
      </c>
      <c r="F90">
        <f>MIN(E90*9000,10000)</f>
        <v>10000</v>
      </c>
      <c r="G90" t="e">
        <f ca="1">_xludf.MINIFS(CBIC_Late_Fee_Relief_Windows_1!$I$90:$I$100,CBIC_Late_Fee_Relief_Windows_1!$D$90:$D$100,"&lt;="&amp;B90,CBIC_Late_Fee_Relief_Windows_1!$E$90:$E$100,"&gt;="&amp;B90,CBIC_Late_Fee_Relief_Windows_1!$F$90:$F$100,"&lt;="&amp;C90,CBIC_Late_Fee_Relief_Windows_1!$G$90:$G$100,"&gt;="&amp;C90,CBIC_Late_Fee_Relief_Windows_1!$H$90:$H$100,D90)</f>
        <v>#NAME?</v>
      </c>
      <c r="H90" t="e">
        <f t="shared" ca="1" si="1"/>
        <v>#NAME?</v>
      </c>
      <c r="I90" t="e">
        <f ca="1">INDEX(CBIC_Late_Fee_Relief_Windows_1!$B$90:$B$100,MATCH(G90,CBIC_Late_Fee_Relief_Windows_1!$I$90:$I$100,0))</f>
        <v>#NAME?</v>
      </c>
    </row>
    <row r="91" spans="1:9" x14ac:dyDescent="0.55000000000000004">
      <c r="A91" t="str">
        <f>TEST_DATA!A91</f>
        <v>27AAAAA0091Z5</v>
      </c>
      <c r="B91" t="str">
        <f>TEST_DATA!B91</f>
        <v>Jun-2018</v>
      </c>
      <c r="C91">
        <f>TEST_DATA!C91</f>
        <v>43057</v>
      </c>
      <c r="D91" t="str">
        <f>TEST_DATA!D91</f>
        <v>NIL</v>
      </c>
      <c r="E91">
        <f>TEST_DATA!E91</f>
        <v>1513</v>
      </c>
      <c r="F91">
        <f>MIN(E91*9100,10000)</f>
        <v>10000</v>
      </c>
      <c r="G91" t="e">
        <f ca="1">_xludf.MINIFS(CBIC_Late_Fee_Relief_Windows_1!$I$91:$I$100,CBIC_Late_Fee_Relief_Windows_1!$D$91:$D$100,"&lt;="&amp;B91,CBIC_Late_Fee_Relief_Windows_1!$E$91:$E$100,"&gt;="&amp;B91,CBIC_Late_Fee_Relief_Windows_1!$F$91:$F$100,"&lt;="&amp;C91,CBIC_Late_Fee_Relief_Windows_1!$G$91:$G$100,"&gt;="&amp;C91,CBIC_Late_Fee_Relief_Windows_1!$H$91:$H$100,D91)</f>
        <v>#NAME?</v>
      </c>
      <c r="H91" t="e">
        <f t="shared" ca="1" si="1"/>
        <v>#NAME?</v>
      </c>
      <c r="I91" t="e">
        <f ca="1">INDEX(CBIC_Late_Fee_Relief_Windows_1!$B$91:$B$100,MATCH(G91,CBIC_Late_Fee_Relief_Windows_1!$I$91:$I$100,0))</f>
        <v>#NAME?</v>
      </c>
    </row>
    <row r="92" spans="1:9" x14ac:dyDescent="0.55000000000000004">
      <c r="A92" t="str">
        <f>TEST_DATA!A92</f>
        <v>27AAAAA0092Z5</v>
      </c>
      <c r="B92" t="str">
        <f>TEST_DATA!B92</f>
        <v>Apr-2018</v>
      </c>
      <c r="C92">
        <f>TEST_DATA!C92</f>
        <v>43240</v>
      </c>
      <c r="D92" t="str">
        <f>TEST_DATA!D92</f>
        <v>NON-NIL</v>
      </c>
      <c r="E92">
        <f>TEST_DATA!E92</f>
        <v>2225</v>
      </c>
      <c r="F92">
        <f>MIN(E92*9200,10000)</f>
        <v>10000</v>
      </c>
      <c r="G92" t="e">
        <f ca="1">_xludf.MINIFS(CBIC_Late_Fee_Relief_Windows_1!$I$92:$I$100,CBIC_Late_Fee_Relief_Windows_1!$D$92:$D$100,"&lt;="&amp;B92,CBIC_Late_Fee_Relief_Windows_1!$E$92:$E$100,"&gt;="&amp;B92,CBIC_Late_Fee_Relief_Windows_1!$F$92:$F$100,"&lt;="&amp;C92,CBIC_Late_Fee_Relief_Windows_1!$G$92:$G$100,"&gt;="&amp;C92,CBIC_Late_Fee_Relief_Windows_1!$H$92:$H$100,D92)</f>
        <v>#NAME?</v>
      </c>
      <c r="H92" t="e">
        <f t="shared" ca="1" si="1"/>
        <v>#NAME?</v>
      </c>
      <c r="I92" t="e">
        <f ca="1">INDEX(CBIC_Late_Fee_Relief_Windows_1!$B$92:$B$100,MATCH(G92,CBIC_Late_Fee_Relief_Windows_1!$I$92:$I$100,0))</f>
        <v>#NAME?</v>
      </c>
    </row>
    <row r="93" spans="1:9" x14ac:dyDescent="0.55000000000000004">
      <c r="A93" t="str">
        <f>TEST_DATA!A93</f>
        <v>27AAAAA0093Z5</v>
      </c>
      <c r="B93" t="str">
        <f>TEST_DATA!B93</f>
        <v>Jul-2020</v>
      </c>
      <c r="C93">
        <f>TEST_DATA!C93</f>
        <v>44450</v>
      </c>
      <c r="D93" t="str">
        <f>TEST_DATA!D93</f>
        <v>NIL</v>
      </c>
      <c r="E93">
        <f>TEST_DATA!E93</f>
        <v>2735</v>
      </c>
      <c r="F93">
        <f>MIN(E93*9300,10000)</f>
        <v>10000</v>
      </c>
      <c r="G93" t="e">
        <f ca="1">_xludf.MINIFS(CBIC_Late_Fee_Relief_Windows_1!$I$93:$I$100,CBIC_Late_Fee_Relief_Windows_1!$D$93:$D$100,"&lt;="&amp;B93,CBIC_Late_Fee_Relief_Windows_1!$E$93:$E$100,"&gt;="&amp;B93,CBIC_Late_Fee_Relief_Windows_1!$F$93:$F$100,"&lt;="&amp;C93,CBIC_Late_Fee_Relief_Windows_1!$G$93:$G$100,"&gt;="&amp;C93,CBIC_Late_Fee_Relief_Windows_1!$H$93:$H$100,D93)</f>
        <v>#NAME?</v>
      </c>
      <c r="H93" t="e">
        <f t="shared" ca="1" si="1"/>
        <v>#NAME?</v>
      </c>
      <c r="I93" t="e">
        <f ca="1">INDEX(CBIC_Late_Fee_Relief_Windows_1!$B$93:$B$100,MATCH(G93,CBIC_Late_Fee_Relief_Windows_1!$I$93:$I$100,0))</f>
        <v>#NAME?</v>
      </c>
    </row>
    <row r="94" spans="1:9" x14ac:dyDescent="0.55000000000000004">
      <c r="A94" t="str">
        <f>TEST_DATA!A94</f>
        <v>27AAAAA0094Z5</v>
      </c>
      <c r="B94" t="str">
        <f>TEST_DATA!B94</f>
        <v>Dec-2022</v>
      </c>
      <c r="C94">
        <f>TEST_DATA!C94</f>
        <v>45737</v>
      </c>
      <c r="D94" t="str">
        <f>TEST_DATA!D94</f>
        <v>NON-NIL</v>
      </c>
      <c r="E94">
        <f>TEST_DATA!E94</f>
        <v>2717</v>
      </c>
      <c r="F94">
        <f>MIN(E94*9400,10000)</f>
        <v>10000</v>
      </c>
      <c r="G94" t="e">
        <f ca="1">_xludf.MINIFS(CBIC_Late_Fee_Relief_Windows_1!$I$94:$I$100,CBIC_Late_Fee_Relief_Windows_1!$D$94:$D$100,"&lt;="&amp;B94,CBIC_Late_Fee_Relief_Windows_1!$E$94:$E$100,"&gt;="&amp;B94,CBIC_Late_Fee_Relief_Windows_1!$F$94:$F$100,"&lt;="&amp;C94,CBIC_Late_Fee_Relief_Windows_1!$G$94:$G$100,"&gt;="&amp;C94,CBIC_Late_Fee_Relief_Windows_1!$H$94:$H$100,D94)</f>
        <v>#NAME?</v>
      </c>
      <c r="H94" t="e">
        <f t="shared" ca="1" si="1"/>
        <v>#NAME?</v>
      </c>
      <c r="I94" t="e">
        <f ca="1">INDEX(CBIC_Late_Fee_Relief_Windows_1!$B$94:$B$100,MATCH(G94,CBIC_Late_Fee_Relief_Windows_1!$I$94:$I$100,0))</f>
        <v>#NAME?</v>
      </c>
    </row>
    <row r="95" spans="1:9" x14ac:dyDescent="0.55000000000000004">
      <c r="A95" t="str">
        <f>TEST_DATA!A95</f>
        <v>27AAAAA0095Z5</v>
      </c>
      <c r="B95" t="str">
        <f>TEST_DATA!B95</f>
        <v>Oct-2017</v>
      </c>
      <c r="C95">
        <f>TEST_DATA!C95</f>
        <v>43192</v>
      </c>
      <c r="D95" t="str">
        <f>TEST_DATA!D95</f>
        <v>NON-NIL</v>
      </c>
      <c r="E95">
        <f>TEST_DATA!E95</f>
        <v>472</v>
      </c>
      <c r="F95">
        <f>MIN(E95*9500,10000)</f>
        <v>10000</v>
      </c>
      <c r="G95" t="e">
        <f ca="1">_xludf.MINIFS(CBIC_Late_Fee_Relief_Windows_1!$I$95:$I$100,CBIC_Late_Fee_Relief_Windows_1!$D$95:$D$100,"&lt;="&amp;B95,CBIC_Late_Fee_Relief_Windows_1!$E$95:$E$100,"&gt;="&amp;B95,CBIC_Late_Fee_Relief_Windows_1!$F$95:$F$100,"&lt;="&amp;C95,CBIC_Late_Fee_Relief_Windows_1!$G$95:$G$100,"&gt;="&amp;C95,CBIC_Late_Fee_Relief_Windows_1!$H$95:$H$100,D95)</f>
        <v>#NAME?</v>
      </c>
      <c r="H95" t="e">
        <f t="shared" ca="1" si="1"/>
        <v>#NAME?</v>
      </c>
      <c r="I95" t="e">
        <f ca="1">INDEX(CBIC_Late_Fee_Relief_Windows_1!$B$95:$B$100,MATCH(G95,CBIC_Late_Fee_Relief_Windows_1!$I$95:$I$100,0))</f>
        <v>#NAME?</v>
      </c>
    </row>
    <row r="96" spans="1:9" x14ac:dyDescent="0.55000000000000004">
      <c r="A96" t="str">
        <f>TEST_DATA!A96</f>
        <v>27AAAAA0096Z5</v>
      </c>
      <c r="B96" t="str">
        <f>TEST_DATA!B96</f>
        <v>Dec-2024</v>
      </c>
      <c r="C96">
        <f>TEST_DATA!C96</f>
        <v>43904</v>
      </c>
      <c r="D96" t="str">
        <f>TEST_DATA!D96</f>
        <v>NIL</v>
      </c>
      <c r="E96">
        <f>TEST_DATA!E96</f>
        <v>1115</v>
      </c>
      <c r="F96">
        <f>MIN(E96*9600,10000)</f>
        <v>10000</v>
      </c>
      <c r="G96" t="e">
        <f ca="1">_xludf.MINIFS(CBIC_Late_Fee_Relief_Windows_1!$I$96:$I$100,CBIC_Late_Fee_Relief_Windows_1!$D$96:$D$100,"&lt;="&amp;B96,CBIC_Late_Fee_Relief_Windows_1!$E$96:$E$100,"&gt;="&amp;B96,CBIC_Late_Fee_Relief_Windows_1!$F$96:$F$100,"&lt;="&amp;C96,CBIC_Late_Fee_Relief_Windows_1!$G$96:$G$100,"&gt;="&amp;C96,CBIC_Late_Fee_Relief_Windows_1!$H$96:$H$100,D96)</f>
        <v>#NAME?</v>
      </c>
      <c r="H96" t="e">
        <f t="shared" ca="1" si="1"/>
        <v>#NAME?</v>
      </c>
      <c r="I96" t="e">
        <f ca="1">INDEX(CBIC_Late_Fee_Relief_Windows_1!$B$96:$B$100,MATCH(G96,CBIC_Late_Fee_Relief_Windows_1!$I$96:$I$100,0))</f>
        <v>#NAME?</v>
      </c>
    </row>
    <row r="97" spans="1:9" x14ac:dyDescent="0.55000000000000004">
      <c r="A97" t="str">
        <f>TEST_DATA!A97</f>
        <v>27AAAAA0097Z5</v>
      </c>
      <c r="B97" t="str">
        <f>TEST_DATA!B97</f>
        <v>Apr-2018</v>
      </c>
      <c r="C97">
        <f>TEST_DATA!C97</f>
        <v>44155</v>
      </c>
      <c r="D97" t="str">
        <f>TEST_DATA!D97</f>
        <v>NIL</v>
      </c>
      <c r="E97">
        <f>TEST_DATA!E97</f>
        <v>2939</v>
      </c>
      <c r="F97">
        <f>MIN(E97*9700,10000)</f>
        <v>10000</v>
      </c>
      <c r="G97" t="e">
        <f ca="1">_xludf.MINIFS(CBIC_Late_Fee_Relief_Windows_1!$I$97:$I$100,CBIC_Late_Fee_Relief_Windows_1!$D$97:$D$100,"&lt;="&amp;B97,CBIC_Late_Fee_Relief_Windows_1!$E$97:$E$100,"&gt;="&amp;B97,CBIC_Late_Fee_Relief_Windows_1!$F$97:$F$100,"&lt;="&amp;C97,CBIC_Late_Fee_Relief_Windows_1!$G$97:$G$100,"&gt;="&amp;C97,CBIC_Late_Fee_Relief_Windows_1!$H$97:$H$100,D97)</f>
        <v>#NAME?</v>
      </c>
      <c r="H97" t="e">
        <f t="shared" ca="1" si="1"/>
        <v>#NAME?</v>
      </c>
      <c r="I97" t="e">
        <f ca="1">INDEX(CBIC_Late_Fee_Relief_Windows_1!$B$97:$B$100,MATCH(G97,CBIC_Late_Fee_Relief_Windows_1!$I$97:$I$100,0))</f>
        <v>#NAME?</v>
      </c>
    </row>
    <row r="98" spans="1:9" x14ac:dyDescent="0.55000000000000004">
      <c r="A98" t="str">
        <f>TEST_DATA!A98</f>
        <v>27AAAAA0098Z5</v>
      </c>
      <c r="B98" t="str">
        <f>TEST_DATA!B98</f>
        <v>May-2018</v>
      </c>
      <c r="C98">
        <f>TEST_DATA!C98</f>
        <v>43333</v>
      </c>
      <c r="D98" t="str">
        <f>TEST_DATA!D98</f>
        <v>NON-NIL</v>
      </c>
      <c r="E98">
        <f>TEST_DATA!E98</f>
        <v>2070</v>
      </c>
      <c r="F98">
        <f>MIN(E98*9800,10000)</f>
        <v>10000</v>
      </c>
      <c r="G98" t="e">
        <f ca="1">_xludf.MINIFS(CBIC_Late_Fee_Relief_Windows_1!$I$98:$I$100,CBIC_Late_Fee_Relief_Windows_1!$D$98:$D$100,"&lt;="&amp;B98,CBIC_Late_Fee_Relief_Windows_1!$E$98:$E$100,"&gt;="&amp;B98,CBIC_Late_Fee_Relief_Windows_1!$F$98:$F$100,"&lt;="&amp;C98,CBIC_Late_Fee_Relief_Windows_1!$G$98:$G$100,"&gt;="&amp;C98,CBIC_Late_Fee_Relief_Windows_1!$H$98:$H$100,D98)</f>
        <v>#NAME?</v>
      </c>
      <c r="H98" t="e">
        <f t="shared" ca="1" si="1"/>
        <v>#NAME?</v>
      </c>
      <c r="I98" t="e">
        <f ca="1">INDEX(CBIC_Late_Fee_Relief_Windows_1!$B$98:$B$100,MATCH(G98,CBIC_Late_Fee_Relief_Windows_1!$I$98:$I$100,0))</f>
        <v>#NAME?</v>
      </c>
    </row>
    <row r="99" spans="1:9" x14ac:dyDescent="0.55000000000000004">
      <c r="A99" t="str">
        <f>TEST_DATA!A99</f>
        <v>27AAAAA0099Z5</v>
      </c>
      <c r="B99" t="str">
        <f>TEST_DATA!B99</f>
        <v>Jan-2019</v>
      </c>
      <c r="C99">
        <f>TEST_DATA!C99</f>
        <v>44494</v>
      </c>
      <c r="D99" t="str">
        <f>TEST_DATA!D99</f>
        <v>NIL</v>
      </c>
      <c r="E99">
        <f>TEST_DATA!E99</f>
        <v>378</v>
      </c>
      <c r="F99">
        <f>MIN(E99*9900,10000)</f>
        <v>10000</v>
      </c>
      <c r="G99" t="e">
        <f ca="1">_xludf.MINIFS(CBIC_Late_Fee_Relief_Windows_1!$I$99:$I$100,CBIC_Late_Fee_Relief_Windows_1!$D$99:$D$100,"&lt;="&amp;B99,CBIC_Late_Fee_Relief_Windows_1!$E$99:$E$100,"&gt;="&amp;B99,CBIC_Late_Fee_Relief_Windows_1!$F$99:$F$100,"&lt;="&amp;C99,CBIC_Late_Fee_Relief_Windows_1!$G$99:$G$100,"&gt;="&amp;C99,CBIC_Late_Fee_Relief_Windows_1!$H$99:$H$100,D99)</f>
        <v>#NAME?</v>
      </c>
      <c r="H99" t="e">
        <f t="shared" ca="1" si="1"/>
        <v>#NAME?</v>
      </c>
      <c r="I99" t="e">
        <f ca="1">INDEX(CBIC_Late_Fee_Relief_Windows_1!$B$99:$B$100,MATCH(G99,CBIC_Late_Fee_Relief_Windows_1!$I$99:$I$100,0))</f>
        <v>#NAME?</v>
      </c>
    </row>
    <row r="100" spans="1:9" x14ac:dyDescent="0.55000000000000004">
      <c r="A100" t="str">
        <f>TEST_DATA!A100</f>
        <v>27AAAAA0100Z5</v>
      </c>
      <c r="B100" t="str">
        <f>TEST_DATA!B100</f>
        <v>May-2020</v>
      </c>
      <c r="C100">
        <f>TEST_DATA!C100</f>
        <v>44698</v>
      </c>
      <c r="D100" t="str">
        <f>TEST_DATA!D100</f>
        <v>NON-NIL</v>
      </c>
      <c r="E100">
        <f>TEST_DATA!E100</f>
        <v>180</v>
      </c>
      <c r="F100">
        <f>MIN(E100*10000,10000)</f>
        <v>10000</v>
      </c>
      <c r="G100" t="e">
        <f ca="1">_xludf.MINIFS(CBIC_Late_Fee_Relief_Windows_1!$I$100:$I$100,CBIC_Late_Fee_Relief_Windows_1!$D$100:$D$100,"&lt;="&amp;B100,CBIC_Late_Fee_Relief_Windows_1!$E$100:$E$100,"&gt;="&amp;B100,CBIC_Late_Fee_Relief_Windows_1!$F$100:$F$100,"&lt;="&amp;C100,CBIC_Late_Fee_Relief_Windows_1!$G$100:$G$100,"&gt;="&amp;C100,CBIC_Late_Fee_Relief_Windows_1!$H$100:$H$100,D100)</f>
        <v>#NAME?</v>
      </c>
      <c r="H100" t="e">
        <f t="shared" ca="1" si="1"/>
        <v>#NAME?</v>
      </c>
      <c r="I100" t="e">
        <f ca="1">INDEX(CBIC_Late_Fee_Relief_Windows_1!$B$100:$B$100,MATCH(G100,CBIC_Late_Fee_Relief_Windows_1!$I$100:$I$100,0))</f>
        <v>#NAME?</v>
      </c>
    </row>
    <row r="101" spans="1:9" x14ac:dyDescent="0.55000000000000004">
      <c r="A101" t="str">
        <f>TEST_DATA!A101</f>
        <v>27AAAAA0101Z5</v>
      </c>
      <c r="B101" t="str">
        <f>TEST_DATA!B101</f>
        <v>Jul-2017</v>
      </c>
      <c r="C101">
        <f>TEST_DATA!C101</f>
        <v>43600</v>
      </c>
      <c r="D101" t="str">
        <f>TEST_DATA!D101</f>
        <v>NIL</v>
      </c>
      <c r="E101">
        <f>TEST_DATA!E101</f>
        <v>2609</v>
      </c>
      <c r="F101">
        <f>MIN(E101*10100,10000)</f>
        <v>10000</v>
      </c>
      <c r="G101" t="e">
        <f ca="1">_xludf.MINIFS(CBIC_Late_Fee_Relief_Windows_1!$I$100:$I$101,CBIC_Late_Fee_Relief_Windows_1!$D$100:$D$101,"&lt;="&amp;B101,CBIC_Late_Fee_Relief_Windows_1!$E$100:$E$101,"&gt;="&amp;B101,CBIC_Late_Fee_Relief_Windows_1!$F$100:$F$101,"&lt;="&amp;C101,CBIC_Late_Fee_Relief_Windows_1!$G$100:$G$101,"&gt;="&amp;C101,CBIC_Late_Fee_Relief_Windows_1!$H$100:$H$101,D101)</f>
        <v>#NAME?</v>
      </c>
      <c r="H101" t="e">
        <f t="shared" ca="1" si="1"/>
        <v>#NAME?</v>
      </c>
      <c r="I101" t="e">
        <f ca="1">INDEX(CBIC_Late_Fee_Relief_Windows_1!$B$100:$B$101,MATCH(G101,CBIC_Late_Fee_Relief_Windows_1!$I$100:$I$101,0))</f>
        <v>#NAME?</v>
      </c>
    </row>
    <row r="102" spans="1:9" x14ac:dyDescent="0.55000000000000004">
      <c r="A102" t="str">
        <f>TEST_DATA!A102</f>
        <v>27AAAAA0102Z5</v>
      </c>
      <c r="B102" t="str">
        <f>TEST_DATA!B102</f>
        <v>Mar-2018</v>
      </c>
      <c r="C102">
        <f>TEST_DATA!C102</f>
        <v>43247</v>
      </c>
      <c r="D102" t="str">
        <f>TEST_DATA!D102</f>
        <v>NON-NIL</v>
      </c>
      <c r="E102">
        <f>TEST_DATA!E102</f>
        <v>2259</v>
      </c>
      <c r="F102">
        <f>MIN(E102*10200,10000)</f>
        <v>10000</v>
      </c>
      <c r="G102" t="e">
        <f ca="1">_xludf.MINIFS(CBIC_Late_Fee_Relief_Windows_1!$I$100:$I$102,CBIC_Late_Fee_Relief_Windows_1!$D$100:$D$102,"&lt;="&amp;B102,CBIC_Late_Fee_Relief_Windows_1!$E$100:$E$102,"&gt;="&amp;B102,CBIC_Late_Fee_Relief_Windows_1!$F$100:$F$102,"&lt;="&amp;C102,CBIC_Late_Fee_Relief_Windows_1!$G$100:$G$102,"&gt;="&amp;C102,CBIC_Late_Fee_Relief_Windows_1!$H$100:$H$102,D102)</f>
        <v>#NAME?</v>
      </c>
      <c r="H102" t="e">
        <f t="shared" ca="1" si="1"/>
        <v>#NAME?</v>
      </c>
      <c r="I102" t="e">
        <f ca="1">INDEX(CBIC_Late_Fee_Relief_Windows_1!$B$100:$B$102,MATCH(G102,CBIC_Late_Fee_Relief_Windows_1!$I$100:$I$102,0))</f>
        <v>#NAME?</v>
      </c>
    </row>
    <row r="103" spans="1:9" x14ac:dyDescent="0.55000000000000004">
      <c r="A103" t="str">
        <f>TEST_DATA!A103</f>
        <v>27AAAAA0103Z5</v>
      </c>
      <c r="B103" t="str">
        <f>TEST_DATA!B103</f>
        <v>Jul-2020</v>
      </c>
      <c r="C103">
        <f>TEST_DATA!C103</f>
        <v>44706</v>
      </c>
      <c r="D103" t="str">
        <f>TEST_DATA!D103</f>
        <v>NIL</v>
      </c>
      <c r="E103">
        <f>TEST_DATA!E103</f>
        <v>458</v>
      </c>
      <c r="F103">
        <f>MIN(E103*10300,10000)</f>
        <v>10000</v>
      </c>
      <c r="G103" t="e">
        <f ca="1">_xludf.MINIFS(CBIC_Late_Fee_Relief_Windows_1!$I$100:$I$103,CBIC_Late_Fee_Relief_Windows_1!$D$100:$D$103,"&lt;="&amp;B103,CBIC_Late_Fee_Relief_Windows_1!$E$100:$E$103,"&gt;="&amp;B103,CBIC_Late_Fee_Relief_Windows_1!$F$100:$F$103,"&lt;="&amp;C103,CBIC_Late_Fee_Relief_Windows_1!$G$100:$G$103,"&gt;="&amp;C103,CBIC_Late_Fee_Relief_Windows_1!$H$100:$H$103,D103)</f>
        <v>#NAME?</v>
      </c>
      <c r="H103" t="e">
        <f t="shared" ca="1" si="1"/>
        <v>#NAME?</v>
      </c>
      <c r="I103" t="e">
        <f ca="1">INDEX(CBIC_Late_Fee_Relief_Windows_1!$B$100:$B$103,MATCH(G103,CBIC_Late_Fee_Relief_Windows_1!$I$100:$I$103,0))</f>
        <v>#NAME?</v>
      </c>
    </row>
    <row r="104" spans="1:9" x14ac:dyDescent="0.55000000000000004">
      <c r="A104" t="str">
        <f>TEST_DATA!A104</f>
        <v>27AAAAA0104Z5</v>
      </c>
      <c r="B104" t="str">
        <f>TEST_DATA!B104</f>
        <v>Sep-2017</v>
      </c>
      <c r="C104">
        <f>TEST_DATA!C104</f>
        <v>44332</v>
      </c>
      <c r="D104" t="str">
        <f>TEST_DATA!D104</f>
        <v>NIL</v>
      </c>
      <c r="E104">
        <f>TEST_DATA!E104</f>
        <v>2234</v>
      </c>
      <c r="F104">
        <f>MIN(E104*10400,10000)</f>
        <v>10000</v>
      </c>
      <c r="G104" t="e">
        <f ca="1">_xludf.MINIFS(CBIC_Late_Fee_Relief_Windows_1!$I$100:$I$104,CBIC_Late_Fee_Relief_Windows_1!$D$100:$D$104,"&lt;="&amp;B104,CBIC_Late_Fee_Relief_Windows_1!$E$100:$E$104,"&gt;="&amp;B104,CBIC_Late_Fee_Relief_Windows_1!$F$100:$F$104,"&lt;="&amp;C104,CBIC_Late_Fee_Relief_Windows_1!$G$100:$G$104,"&gt;="&amp;C104,CBIC_Late_Fee_Relief_Windows_1!$H$100:$H$104,D104)</f>
        <v>#NAME?</v>
      </c>
      <c r="H104" t="e">
        <f t="shared" ca="1" si="1"/>
        <v>#NAME?</v>
      </c>
      <c r="I104" t="e">
        <f ca="1">INDEX(CBIC_Late_Fee_Relief_Windows_1!$B$100:$B$104,MATCH(G104,CBIC_Late_Fee_Relief_Windows_1!$I$100:$I$104,0))</f>
        <v>#NAME?</v>
      </c>
    </row>
    <row r="105" spans="1:9" x14ac:dyDescent="0.55000000000000004">
      <c r="A105" t="str">
        <f>TEST_DATA!A105</f>
        <v>27AAAAA0105Z5</v>
      </c>
      <c r="B105" t="str">
        <f>TEST_DATA!B105</f>
        <v>Aug-2017</v>
      </c>
      <c r="C105">
        <f>TEST_DATA!C105</f>
        <v>43673</v>
      </c>
      <c r="D105" t="str">
        <f>TEST_DATA!D105</f>
        <v>NIL</v>
      </c>
      <c r="E105">
        <f>TEST_DATA!E105</f>
        <v>1760</v>
      </c>
      <c r="F105">
        <f>MIN(E105*10500,10000)</f>
        <v>10000</v>
      </c>
      <c r="G105" t="e">
        <f ca="1">_xludf.MINIFS(CBIC_Late_Fee_Relief_Windows_1!$I$100:$I$105,CBIC_Late_Fee_Relief_Windows_1!$D$100:$D$105,"&lt;="&amp;B105,CBIC_Late_Fee_Relief_Windows_1!$E$100:$E$105,"&gt;="&amp;B105,CBIC_Late_Fee_Relief_Windows_1!$F$100:$F$105,"&lt;="&amp;C105,CBIC_Late_Fee_Relief_Windows_1!$G$100:$G$105,"&gt;="&amp;C105,CBIC_Late_Fee_Relief_Windows_1!$H$100:$H$105,D105)</f>
        <v>#NAME?</v>
      </c>
      <c r="H105" t="e">
        <f t="shared" ca="1" si="1"/>
        <v>#NAME?</v>
      </c>
      <c r="I105" t="e">
        <f ca="1">INDEX(CBIC_Late_Fee_Relief_Windows_1!$B$100:$B$105,MATCH(G105,CBIC_Late_Fee_Relief_Windows_1!$I$100:$I$105,0))</f>
        <v>#NAME?</v>
      </c>
    </row>
    <row r="106" spans="1:9" x14ac:dyDescent="0.55000000000000004">
      <c r="A106" t="str">
        <f>TEST_DATA!A106</f>
        <v>27AAAAA0106Z5</v>
      </c>
      <c r="B106" t="str">
        <f>TEST_DATA!B106</f>
        <v>Nov-2017</v>
      </c>
      <c r="C106">
        <f>TEST_DATA!C106</f>
        <v>43002</v>
      </c>
      <c r="D106" t="str">
        <f>TEST_DATA!D106</f>
        <v>NON-NIL</v>
      </c>
      <c r="E106">
        <f>TEST_DATA!E106</f>
        <v>1493</v>
      </c>
      <c r="F106">
        <f>MIN(E106*10600,10000)</f>
        <v>10000</v>
      </c>
      <c r="G106" t="e">
        <f ca="1">_xludf.MINIFS(CBIC_Late_Fee_Relief_Windows_1!$I$100:$I$106,CBIC_Late_Fee_Relief_Windows_1!$D$100:$D$106,"&lt;="&amp;B106,CBIC_Late_Fee_Relief_Windows_1!$E$100:$E$106,"&gt;="&amp;B106,CBIC_Late_Fee_Relief_Windows_1!$F$100:$F$106,"&lt;="&amp;C106,CBIC_Late_Fee_Relief_Windows_1!$G$100:$G$106,"&gt;="&amp;C106,CBIC_Late_Fee_Relief_Windows_1!$H$100:$H$106,D106)</f>
        <v>#NAME?</v>
      </c>
      <c r="H106" t="e">
        <f t="shared" ca="1" si="1"/>
        <v>#NAME?</v>
      </c>
      <c r="I106" t="e">
        <f ca="1">INDEX(CBIC_Late_Fee_Relief_Windows_1!$B$100:$B$106,MATCH(G106,CBIC_Late_Fee_Relief_Windows_1!$I$100:$I$106,0))</f>
        <v>#NAME?</v>
      </c>
    </row>
    <row r="107" spans="1:9" x14ac:dyDescent="0.55000000000000004">
      <c r="A107" t="str">
        <f>TEST_DATA!A107</f>
        <v>27AAAAA0107Z5</v>
      </c>
      <c r="B107" t="str">
        <f>TEST_DATA!B107</f>
        <v>Dec-2024</v>
      </c>
      <c r="C107">
        <f>TEST_DATA!C107</f>
        <v>43629</v>
      </c>
      <c r="D107" t="str">
        <f>TEST_DATA!D107</f>
        <v>NON-NIL</v>
      </c>
      <c r="E107">
        <f>TEST_DATA!E107</f>
        <v>860</v>
      </c>
      <c r="F107">
        <f>MIN(E107*10700,10000)</f>
        <v>10000</v>
      </c>
      <c r="G107" t="e">
        <f ca="1">_xludf.MINIFS(CBIC_Late_Fee_Relief_Windows_1!$I$100:$I$107,CBIC_Late_Fee_Relief_Windows_1!$D$100:$D$107,"&lt;="&amp;B107,CBIC_Late_Fee_Relief_Windows_1!$E$100:$E$107,"&gt;="&amp;B107,CBIC_Late_Fee_Relief_Windows_1!$F$100:$F$107,"&lt;="&amp;C107,CBIC_Late_Fee_Relief_Windows_1!$G$100:$G$107,"&gt;="&amp;C107,CBIC_Late_Fee_Relief_Windows_1!$H$100:$H$107,D107)</f>
        <v>#NAME?</v>
      </c>
      <c r="H107" t="e">
        <f t="shared" ca="1" si="1"/>
        <v>#NAME?</v>
      </c>
      <c r="I107" t="e">
        <f ca="1">INDEX(CBIC_Late_Fee_Relief_Windows_1!$B$100:$B$107,MATCH(G107,CBIC_Late_Fee_Relief_Windows_1!$I$100:$I$107,0))</f>
        <v>#NAME?</v>
      </c>
    </row>
    <row r="108" spans="1:9" x14ac:dyDescent="0.55000000000000004">
      <c r="A108" t="str">
        <f>TEST_DATA!A108</f>
        <v>27AAAAA0108Z5</v>
      </c>
      <c r="B108" t="str">
        <f>TEST_DATA!B108</f>
        <v>Jun-2020</v>
      </c>
      <c r="C108">
        <f>TEST_DATA!C108</f>
        <v>44342</v>
      </c>
      <c r="D108" t="str">
        <f>TEST_DATA!D108</f>
        <v>NIL</v>
      </c>
      <c r="E108">
        <f>TEST_DATA!E108</f>
        <v>1448</v>
      </c>
      <c r="F108">
        <f>MIN(E108*10800,10000)</f>
        <v>10000</v>
      </c>
      <c r="G108" t="e">
        <f ca="1">_xludf.MINIFS(CBIC_Late_Fee_Relief_Windows_1!$I$100:$I$108,CBIC_Late_Fee_Relief_Windows_1!$D$100:$D$108,"&lt;="&amp;B108,CBIC_Late_Fee_Relief_Windows_1!$E$100:$E$108,"&gt;="&amp;B108,CBIC_Late_Fee_Relief_Windows_1!$F$100:$F$108,"&lt;="&amp;C108,CBIC_Late_Fee_Relief_Windows_1!$G$100:$G$108,"&gt;="&amp;C108,CBIC_Late_Fee_Relief_Windows_1!$H$100:$H$108,D108)</f>
        <v>#NAME?</v>
      </c>
      <c r="H108" t="e">
        <f t="shared" ca="1" si="1"/>
        <v>#NAME?</v>
      </c>
      <c r="I108" t="e">
        <f ca="1">INDEX(CBIC_Late_Fee_Relief_Windows_1!$B$100:$B$108,MATCH(G108,CBIC_Late_Fee_Relief_Windows_1!$I$100:$I$108,0))</f>
        <v>#NAME?</v>
      </c>
    </row>
    <row r="109" spans="1:9" x14ac:dyDescent="0.55000000000000004">
      <c r="A109" t="str">
        <f>TEST_DATA!A109</f>
        <v>27AAAAA0109Z5</v>
      </c>
      <c r="B109" t="str">
        <f>TEST_DATA!B109</f>
        <v>Mar-2021</v>
      </c>
      <c r="C109">
        <f>TEST_DATA!C109</f>
        <v>45759</v>
      </c>
      <c r="D109" t="str">
        <f>TEST_DATA!D109</f>
        <v>NON-NIL</v>
      </c>
      <c r="E109">
        <f>TEST_DATA!E109</f>
        <v>2542</v>
      </c>
      <c r="F109">
        <f>MIN(E109*10900,10000)</f>
        <v>10000</v>
      </c>
      <c r="G109" t="e">
        <f ca="1">_xludf.MINIFS(CBIC_Late_Fee_Relief_Windows_1!$I$100:$I$109,CBIC_Late_Fee_Relief_Windows_1!$D$100:$D$109,"&lt;="&amp;B109,CBIC_Late_Fee_Relief_Windows_1!$E$100:$E$109,"&gt;="&amp;B109,CBIC_Late_Fee_Relief_Windows_1!$F$100:$F$109,"&lt;="&amp;C109,CBIC_Late_Fee_Relief_Windows_1!$G$100:$G$109,"&gt;="&amp;C109,CBIC_Late_Fee_Relief_Windows_1!$H$100:$H$109,D109)</f>
        <v>#NAME?</v>
      </c>
      <c r="H109" t="e">
        <f t="shared" ca="1" si="1"/>
        <v>#NAME?</v>
      </c>
      <c r="I109" t="e">
        <f ca="1">INDEX(CBIC_Late_Fee_Relief_Windows_1!$B$100:$B$109,MATCH(G109,CBIC_Late_Fee_Relief_Windows_1!$I$100:$I$109,0))</f>
        <v>#NAME?</v>
      </c>
    </row>
    <row r="110" spans="1:9" x14ac:dyDescent="0.55000000000000004">
      <c r="A110" t="str">
        <f>TEST_DATA!A110</f>
        <v>27AAAAA0110Z5</v>
      </c>
      <c r="B110" t="str">
        <f>TEST_DATA!B110</f>
        <v>Jan-2021</v>
      </c>
      <c r="C110">
        <f>TEST_DATA!C110</f>
        <v>44099</v>
      </c>
      <c r="D110" t="str">
        <f>TEST_DATA!D110</f>
        <v>NIL</v>
      </c>
      <c r="E110">
        <f>TEST_DATA!E110</f>
        <v>665</v>
      </c>
      <c r="F110">
        <f>MIN(E110*11000,10000)</f>
        <v>10000</v>
      </c>
      <c r="G110" t="e">
        <f ca="1">_xludf.MINIFS(CBIC_Late_Fee_Relief_Windows_1!$I$100:$I$110,CBIC_Late_Fee_Relief_Windows_1!$D$100:$D$110,"&lt;="&amp;B110,CBIC_Late_Fee_Relief_Windows_1!$E$100:$E$110,"&gt;="&amp;B110,CBIC_Late_Fee_Relief_Windows_1!$F$100:$F$110,"&lt;="&amp;C110,CBIC_Late_Fee_Relief_Windows_1!$G$100:$G$110,"&gt;="&amp;C110,CBIC_Late_Fee_Relief_Windows_1!$H$100:$H$110,D110)</f>
        <v>#NAME?</v>
      </c>
      <c r="H110" t="e">
        <f t="shared" ca="1" si="1"/>
        <v>#NAME?</v>
      </c>
      <c r="I110" t="e">
        <f ca="1">INDEX(CBIC_Late_Fee_Relief_Windows_1!$B$100:$B$110,MATCH(G110,CBIC_Late_Fee_Relief_Windows_1!$I$100:$I$110,0))</f>
        <v>#NAME?</v>
      </c>
    </row>
    <row r="111" spans="1:9" x14ac:dyDescent="0.55000000000000004">
      <c r="A111" t="str">
        <f>TEST_DATA!A111</f>
        <v>27AAAAA0111Z5</v>
      </c>
      <c r="B111" t="str">
        <f>TEST_DATA!B111</f>
        <v>Apr-2021</v>
      </c>
      <c r="C111">
        <f>TEST_DATA!C111</f>
        <v>44191</v>
      </c>
      <c r="D111" t="str">
        <f>TEST_DATA!D111</f>
        <v>NON-NIL</v>
      </c>
      <c r="E111">
        <f>TEST_DATA!E111</f>
        <v>101</v>
      </c>
      <c r="F111">
        <f>MIN(E111*11100,10000)</f>
        <v>10000</v>
      </c>
      <c r="G111" t="e">
        <f ca="1">_xludf.MINIFS(CBIC_Late_Fee_Relief_Windows_1!$I$100:$I$111,CBIC_Late_Fee_Relief_Windows_1!$D$100:$D$111,"&lt;="&amp;B111,CBIC_Late_Fee_Relief_Windows_1!$E$100:$E$111,"&gt;="&amp;B111,CBIC_Late_Fee_Relief_Windows_1!$F$100:$F$111,"&lt;="&amp;C111,CBIC_Late_Fee_Relief_Windows_1!$G$100:$G$111,"&gt;="&amp;C111,CBIC_Late_Fee_Relief_Windows_1!$H$100:$H$111,D111)</f>
        <v>#NAME?</v>
      </c>
      <c r="H111" t="e">
        <f t="shared" ca="1" si="1"/>
        <v>#NAME?</v>
      </c>
      <c r="I111" t="e">
        <f ca="1">INDEX(CBIC_Late_Fee_Relief_Windows_1!$B$100:$B$111,MATCH(G111,CBIC_Late_Fee_Relief_Windows_1!$I$100:$I$111,0))</f>
        <v>#NAME?</v>
      </c>
    </row>
    <row r="112" spans="1:9" x14ac:dyDescent="0.55000000000000004">
      <c r="A112" t="str">
        <f>TEST_DATA!A112</f>
        <v>27AAAAA0112Z5</v>
      </c>
      <c r="B112" t="str">
        <f>TEST_DATA!B112</f>
        <v>Dec-2017</v>
      </c>
      <c r="C112">
        <f>TEST_DATA!C112</f>
        <v>44425</v>
      </c>
      <c r="D112" t="str">
        <f>TEST_DATA!D112</f>
        <v>NON-NIL</v>
      </c>
      <c r="E112">
        <f>TEST_DATA!E112</f>
        <v>1686</v>
      </c>
      <c r="F112">
        <f>MIN(E112*11200,10000)</f>
        <v>10000</v>
      </c>
      <c r="G112" t="e">
        <f ca="1">_xludf.MINIFS(CBIC_Late_Fee_Relief_Windows_1!$I$100:$I$112,CBIC_Late_Fee_Relief_Windows_1!$D$100:$D$112,"&lt;="&amp;B112,CBIC_Late_Fee_Relief_Windows_1!$E$100:$E$112,"&gt;="&amp;B112,CBIC_Late_Fee_Relief_Windows_1!$F$100:$F$112,"&lt;="&amp;C112,CBIC_Late_Fee_Relief_Windows_1!$G$100:$G$112,"&gt;="&amp;C112,CBIC_Late_Fee_Relief_Windows_1!$H$100:$H$112,D112)</f>
        <v>#NAME?</v>
      </c>
      <c r="H112" t="e">
        <f t="shared" ca="1" si="1"/>
        <v>#NAME?</v>
      </c>
      <c r="I112" t="e">
        <f ca="1">INDEX(CBIC_Late_Fee_Relief_Windows_1!$B$100:$B$112,MATCH(G112,CBIC_Late_Fee_Relief_Windows_1!$I$100:$I$112,0))</f>
        <v>#NAME?</v>
      </c>
    </row>
    <row r="113" spans="1:9" x14ac:dyDescent="0.55000000000000004">
      <c r="A113" t="str">
        <f>TEST_DATA!A113</f>
        <v>27AAAAA0113Z5</v>
      </c>
      <c r="B113" t="str">
        <f>TEST_DATA!B113</f>
        <v>Apr-2021</v>
      </c>
      <c r="C113">
        <f>TEST_DATA!C113</f>
        <v>44482</v>
      </c>
      <c r="D113" t="str">
        <f>TEST_DATA!D113</f>
        <v>NON-NIL</v>
      </c>
      <c r="E113">
        <f>TEST_DATA!E113</f>
        <v>652</v>
      </c>
      <c r="F113">
        <f>MIN(E113*11300,10000)</f>
        <v>10000</v>
      </c>
      <c r="G113" t="e">
        <f ca="1">_xludf.MINIFS(CBIC_Late_Fee_Relief_Windows_1!$I$100:$I$113,CBIC_Late_Fee_Relief_Windows_1!$D$100:$D$113,"&lt;="&amp;B113,CBIC_Late_Fee_Relief_Windows_1!$E$100:$E$113,"&gt;="&amp;B113,CBIC_Late_Fee_Relief_Windows_1!$F$100:$F$113,"&lt;="&amp;C113,CBIC_Late_Fee_Relief_Windows_1!$G$100:$G$113,"&gt;="&amp;C113,CBIC_Late_Fee_Relief_Windows_1!$H$100:$H$113,D113)</f>
        <v>#NAME?</v>
      </c>
      <c r="H113" t="e">
        <f t="shared" ca="1" si="1"/>
        <v>#NAME?</v>
      </c>
      <c r="I113" t="e">
        <f ca="1">INDEX(CBIC_Late_Fee_Relief_Windows_1!$B$100:$B$113,MATCH(G113,CBIC_Late_Fee_Relief_Windows_1!$I$100:$I$113,0))</f>
        <v>#NAME?</v>
      </c>
    </row>
    <row r="114" spans="1:9" x14ac:dyDescent="0.55000000000000004">
      <c r="A114" t="str">
        <f>TEST_DATA!A114</f>
        <v>27AAAAA0114Z5</v>
      </c>
      <c r="B114" t="str">
        <f>TEST_DATA!B114</f>
        <v>Apr-2021</v>
      </c>
      <c r="C114">
        <f>TEST_DATA!C114</f>
        <v>43908</v>
      </c>
      <c r="D114" t="str">
        <f>TEST_DATA!D114</f>
        <v>NON-NIL</v>
      </c>
      <c r="E114">
        <f>TEST_DATA!E114</f>
        <v>158</v>
      </c>
      <c r="F114">
        <f>MIN(E114*11400,10000)</f>
        <v>10000</v>
      </c>
      <c r="G114" t="e">
        <f ca="1">_xludf.MINIFS(CBIC_Late_Fee_Relief_Windows_1!$I$100:$I$114,CBIC_Late_Fee_Relief_Windows_1!$D$100:$D$114,"&lt;="&amp;B114,CBIC_Late_Fee_Relief_Windows_1!$E$100:$E$114,"&gt;="&amp;B114,CBIC_Late_Fee_Relief_Windows_1!$F$100:$F$114,"&lt;="&amp;C114,CBIC_Late_Fee_Relief_Windows_1!$G$100:$G$114,"&gt;="&amp;C114,CBIC_Late_Fee_Relief_Windows_1!$H$100:$H$114,D114)</f>
        <v>#NAME?</v>
      </c>
      <c r="H114" t="e">
        <f t="shared" ca="1" si="1"/>
        <v>#NAME?</v>
      </c>
      <c r="I114" t="e">
        <f ca="1">INDEX(CBIC_Late_Fee_Relief_Windows_1!$B$100:$B$114,MATCH(G114,CBIC_Late_Fee_Relief_Windows_1!$I$100:$I$114,0))</f>
        <v>#NAME?</v>
      </c>
    </row>
    <row r="115" spans="1:9" x14ac:dyDescent="0.55000000000000004">
      <c r="A115" t="str">
        <f>TEST_DATA!A115</f>
        <v>27AAAAA0115Z5</v>
      </c>
      <c r="B115" t="str">
        <f>TEST_DATA!B115</f>
        <v>Mar-2023</v>
      </c>
      <c r="C115">
        <f>TEST_DATA!C115</f>
        <v>45393</v>
      </c>
      <c r="D115" t="str">
        <f>TEST_DATA!D115</f>
        <v>NIL</v>
      </c>
      <c r="E115">
        <f>TEST_DATA!E115</f>
        <v>817</v>
      </c>
      <c r="F115">
        <f>MIN(E115*11500,10000)</f>
        <v>10000</v>
      </c>
      <c r="G115" t="e">
        <f ca="1">_xludf.MINIFS(CBIC_Late_Fee_Relief_Windows_1!$I$100:$I$115,CBIC_Late_Fee_Relief_Windows_1!$D$100:$D$115,"&lt;="&amp;B115,CBIC_Late_Fee_Relief_Windows_1!$E$100:$E$115,"&gt;="&amp;B115,CBIC_Late_Fee_Relief_Windows_1!$F$100:$F$115,"&lt;="&amp;C115,CBIC_Late_Fee_Relief_Windows_1!$G$100:$G$115,"&gt;="&amp;C115,CBIC_Late_Fee_Relief_Windows_1!$H$100:$H$115,D115)</f>
        <v>#NAME?</v>
      </c>
      <c r="H115" t="e">
        <f t="shared" ca="1" si="1"/>
        <v>#NAME?</v>
      </c>
      <c r="I115" t="e">
        <f ca="1">INDEX(CBIC_Late_Fee_Relief_Windows_1!$B$100:$B$115,MATCH(G115,CBIC_Late_Fee_Relief_Windows_1!$I$100:$I$115,0))</f>
        <v>#NAME?</v>
      </c>
    </row>
    <row r="116" spans="1:9" x14ac:dyDescent="0.55000000000000004">
      <c r="A116" t="str">
        <f>TEST_DATA!A116</f>
        <v>27AAAAA0116Z5</v>
      </c>
      <c r="B116" t="str">
        <f>TEST_DATA!B116</f>
        <v>Dec-2022</v>
      </c>
      <c r="C116">
        <f>TEST_DATA!C116</f>
        <v>45351</v>
      </c>
      <c r="D116" t="str">
        <f>TEST_DATA!D116</f>
        <v>NON-NIL</v>
      </c>
      <c r="E116">
        <f>TEST_DATA!E116</f>
        <v>1250</v>
      </c>
      <c r="F116">
        <f>MIN(E116*11600,10000)</f>
        <v>10000</v>
      </c>
      <c r="G116" t="e">
        <f ca="1">_xludf.MINIFS(CBIC_Late_Fee_Relief_Windows_1!$I$100:$I$116,CBIC_Late_Fee_Relief_Windows_1!$D$100:$D$116,"&lt;="&amp;B116,CBIC_Late_Fee_Relief_Windows_1!$E$100:$E$116,"&gt;="&amp;B116,CBIC_Late_Fee_Relief_Windows_1!$F$100:$F$116,"&lt;="&amp;C116,CBIC_Late_Fee_Relief_Windows_1!$G$100:$G$116,"&gt;="&amp;C116,CBIC_Late_Fee_Relief_Windows_1!$H$100:$H$116,D116)</f>
        <v>#NAME?</v>
      </c>
      <c r="H116" t="e">
        <f t="shared" ca="1" si="1"/>
        <v>#NAME?</v>
      </c>
      <c r="I116" t="e">
        <f ca="1">INDEX(CBIC_Late_Fee_Relief_Windows_1!$B$100:$B$116,MATCH(G116,CBIC_Late_Fee_Relief_Windows_1!$I$100:$I$116,0))</f>
        <v>#NAME?</v>
      </c>
    </row>
    <row r="117" spans="1:9" x14ac:dyDescent="0.55000000000000004">
      <c r="A117" t="str">
        <f>TEST_DATA!A117</f>
        <v>27AAAAA0117Z5</v>
      </c>
      <c r="B117" t="str">
        <f>TEST_DATA!B117</f>
        <v>Dec-2022</v>
      </c>
      <c r="C117">
        <f>TEST_DATA!C117</f>
        <v>44398</v>
      </c>
      <c r="D117" t="str">
        <f>TEST_DATA!D117</f>
        <v>NIL</v>
      </c>
      <c r="E117">
        <f>TEST_DATA!E117</f>
        <v>96</v>
      </c>
      <c r="F117">
        <f>MIN(E117*11700,10000)</f>
        <v>10000</v>
      </c>
      <c r="G117" t="e">
        <f ca="1">_xludf.MINIFS(CBIC_Late_Fee_Relief_Windows_1!$I$100:$I$117,CBIC_Late_Fee_Relief_Windows_1!$D$100:$D$117,"&lt;="&amp;B117,CBIC_Late_Fee_Relief_Windows_1!$E$100:$E$117,"&gt;="&amp;B117,CBIC_Late_Fee_Relief_Windows_1!$F$100:$F$117,"&lt;="&amp;C117,CBIC_Late_Fee_Relief_Windows_1!$G$100:$G$117,"&gt;="&amp;C117,CBIC_Late_Fee_Relief_Windows_1!$H$100:$H$117,D117)</f>
        <v>#NAME?</v>
      </c>
      <c r="H117" t="e">
        <f t="shared" ca="1" si="1"/>
        <v>#NAME?</v>
      </c>
      <c r="I117" t="e">
        <f ca="1">INDEX(CBIC_Late_Fee_Relief_Windows_1!$B$100:$B$117,MATCH(G117,CBIC_Late_Fee_Relief_Windows_1!$I$100:$I$117,0))</f>
        <v>#NAME?</v>
      </c>
    </row>
    <row r="118" spans="1:9" x14ac:dyDescent="0.55000000000000004">
      <c r="A118" t="str">
        <f>TEST_DATA!A118</f>
        <v>27AAAAA0118Z5</v>
      </c>
      <c r="B118" t="str">
        <f>TEST_DATA!B118</f>
        <v>Jun-2020</v>
      </c>
      <c r="C118">
        <f>TEST_DATA!C118</f>
        <v>44226</v>
      </c>
      <c r="D118" t="str">
        <f>TEST_DATA!D118</f>
        <v>NON-NIL</v>
      </c>
      <c r="E118">
        <f>TEST_DATA!E118</f>
        <v>1344</v>
      </c>
      <c r="F118">
        <f>MIN(E118*11800,10000)</f>
        <v>10000</v>
      </c>
      <c r="G118" t="e">
        <f ca="1">_xludf.MINIFS(CBIC_Late_Fee_Relief_Windows_1!$I$100:$I$118,CBIC_Late_Fee_Relief_Windows_1!$D$100:$D$118,"&lt;="&amp;B118,CBIC_Late_Fee_Relief_Windows_1!$E$100:$E$118,"&gt;="&amp;B118,CBIC_Late_Fee_Relief_Windows_1!$F$100:$F$118,"&lt;="&amp;C118,CBIC_Late_Fee_Relief_Windows_1!$G$100:$G$118,"&gt;="&amp;C118,CBIC_Late_Fee_Relief_Windows_1!$H$100:$H$118,D118)</f>
        <v>#NAME?</v>
      </c>
      <c r="H118" t="e">
        <f t="shared" ca="1" si="1"/>
        <v>#NAME?</v>
      </c>
      <c r="I118" t="e">
        <f ca="1">INDEX(CBIC_Late_Fee_Relief_Windows_1!$B$100:$B$118,MATCH(G118,CBIC_Late_Fee_Relief_Windows_1!$I$100:$I$118,0))</f>
        <v>#NAME?</v>
      </c>
    </row>
    <row r="119" spans="1:9" x14ac:dyDescent="0.55000000000000004">
      <c r="A119" t="str">
        <f>TEST_DATA!A119</f>
        <v>27AAAAA0119Z5</v>
      </c>
      <c r="B119" t="str">
        <f>TEST_DATA!B119</f>
        <v>Mar-2018</v>
      </c>
      <c r="C119">
        <f>TEST_DATA!C119</f>
        <v>43059</v>
      </c>
      <c r="D119" t="str">
        <f>TEST_DATA!D119</f>
        <v>NON-NIL</v>
      </c>
      <c r="E119">
        <f>TEST_DATA!E119</f>
        <v>1438</v>
      </c>
      <c r="F119">
        <f>MIN(E119*11900,10000)</f>
        <v>10000</v>
      </c>
      <c r="G119" t="e">
        <f ca="1">_xludf.MINIFS(CBIC_Late_Fee_Relief_Windows_1!$I$100:$I$119,CBIC_Late_Fee_Relief_Windows_1!$D$100:$D$119,"&lt;="&amp;B119,CBIC_Late_Fee_Relief_Windows_1!$E$100:$E$119,"&gt;="&amp;B119,CBIC_Late_Fee_Relief_Windows_1!$F$100:$F$119,"&lt;="&amp;C119,CBIC_Late_Fee_Relief_Windows_1!$G$100:$G$119,"&gt;="&amp;C119,CBIC_Late_Fee_Relief_Windows_1!$H$100:$H$119,D119)</f>
        <v>#NAME?</v>
      </c>
      <c r="H119" t="e">
        <f t="shared" ca="1" si="1"/>
        <v>#NAME?</v>
      </c>
      <c r="I119" t="e">
        <f ca="1">INDEX(CBIC_Late_Fee_Relief_Windows_1!$B$100:$B$119,MATCH(G119,CBIC_Late_Fee_Relief_Windows_1!$I$100:$I$119,0))</f>
        <v>#NAME?</v>
      </c>
    </row>
    <row r="120" spans="1:9" x14ac:dyDescent="0.55000000000000004">
      <c r="A120" t="str">
        <f>TEST_DATA!A120</f>
        <v>27AAAAA0120Z5</v>
      </c>
      <c r="B120" t="str">
        <f>TEST_DATA!B120</f>
        <v>May-2020</v>
      </c>
      <c r="C120">
        <f>TEST_DATA!C120</f>
        <v>44874</v>
      </c>
      <c r="D120" t="str">
        <f>TEST_DATA!D120</f>
        <v>NON-NIL</v>
      </c>
      <c r="E120">
        <f>TEST_DATA!E120</f>
        <v>2783</v>
      </c>
      <c r="F120">
        <f>MIN(E120*12000,10000)</f>
        <v>10000</v>
      </c>
      <c r="G120" t="e">
        <f ca="1">_xludf.MINIFS(CBIC_Late_Fee_Relief_Windows_1!$I$100:$I$120,CBIC_Late_Fee_Relief_Windows_1!$D$100:$D$120,"&lt;="&amp;B120,CBIC_Late_Fee_Relief_Windows_1!$E$100:$E$120,"&gt;="&amp;B120,CBIC_Late_Fee_Relief_Windows_1!$F$100:$F$120,"&lt;="&amp;C120,CBIC_Late_Fee_Relief_Windows_1!$G$100:$G$120,"&gt;="&amp;C120,CBIC_Late_Fee_Relief_Windows_1!$H$100:$H$120,D120)</f>
        <v>#NAME?</v>
      </c>
      <c r="H120" t="e">
        <f t="shared" ca="1" si="1"/>
        <v>#NAME?</v>
      </c>
      <c r="I120" t="e">
        <f ca="1">INDEX(CBIC_Late_Fee_Relief_Windows_1!$B$100:$B$120,MATCH(G120,CBIC_Late_Fee_Relief_Windows_1!$I$100:$I$120,0))</f>
        <v>#NAME?</v>
      </c>
    </row>
    <row r="121" spans="1:9" x14ac:dyDescent="0.55000000000000004">
      <c r="A121" t="str">
        <f>TEST_DATA!A121</f>
        <v>27AAAAA0121Z5</v>
      </c>
      <c r="B121" t="str">
        <f>TEST_DATA!B121</f>
        <v>Dec-2022</v>
      </c>
      <c r="C121">
        <f>TEST_DATA!C121</f>
        <v>45662</v>
      </c>
      <c r="D121" t="str">
        <f>TEST_DATA!D121</f>
        <v>NON-NIL</v>
      </c>
      <c r="E121">
        <f>TEST_DATA!E121</f>
        <v>113</v>
      </c>
      <c r="F121">
        <f>MIN(E121*12100,10000)</f>
        <v>10000</v>
      </c>
      <c r="G121" t="e">
        <f ca="1">_xludf.MINIFS(CBIC_Late_Fee_Relief_Windows_1!$I$100:$I$121,CBIC_Late_Fee_Relief_Windows_1!$D$100:$D$121,"&lt;="&amp;B121,CBIC_Late_Fee_Relief_Windows_1!$E$100:$E$121,"&gt;="&amp;B121,CBIC_Late_Fee_Relief_Windows_1!$F$100:$F$121,"&lt;="&amp;C121,CBIC_Late_Fee_Relief_Windows_1!$G$100:$G$121,"&gt;="&amp;C121,CBIC_Late_Fee_Relief_Windows_1!$H$100:$H$121,D121)</f>
        <v>#NAME?</v>
      </c>
      <c r="H121" t="e">
        <f t="shared" ca="1" si="1"/>
        <v>#NAME?</v>
      </c>
      <c r="I121" t="e">
        <f ca="1">INDEX(CBIC_Late_Fee_Relief_Windows_1!$B$100:$B$121,MATCH(G121,CBIC_Late_Fee_Relief_Windows_1!$I$100:$I$121,0))</f>
        <v>#NAME?</v>
      </c>
    </row>
    <row r="122" spans="1:9" x14ac:dyDescent="0.55000000000000004">
      <c r="A122" t="str">
        <f>TEST_DATA!A122</f>
        <v>27AAAAA0122Z5</v>
      </c>
      <c r="B122" t="str">
        <f>TEST_DATA!B122</f>
        <v>Oct-2017</v>
      </c>
      <c r="C122">
        <f>TEST_DATA!C122</f>
        <v>43451</v>
      </c>
      <c r="D122" t="str">
        <f>TEST_DATA!D122</f>
        <v>NIL</v>
      </c>
      <c r="E122">
        <f>TEST_DATA!E122</f>
        <v>2378</v>
      </c>
      <c r="F122">
        <f>MIN(E122*12200,10000)</f>
        <v>10000</v>
      </c>
      <c r="G122" t="e">
        <f ca="1">_xludf.MINIFS(CBIC_Late_Fee_Relief_Windows_1!$I$100:$I$122,CBIC_Late_Fee_Relief_Windows_1!$D$100:$D$122,"&lt;="&amp;B122,CBIC_Late_Fee_Relief_Windows_1!$E$100:$E$122,"&gt;="&amp;B122,CBIC_Late_Fee_Relief_Windows_1!$F$100:$F$122,"&lt;="&amp;C122,CBIC_Late_Fee_Relief_Windows_1!$G$100:$G$122,"&gt;="&amp;C122,CBIC_Late_Fee_Relief_Windows_1!$H$100:$H$122,D122)</f>
        <v>#NAME?</v>
      </c>
      <c r="H122" t="e">
        <f t="shared" ca="1" si="1"/>
        <v>#NAME?</v>
      </c>
      <c r="I122" t="e">
        <f ca="1">INDEX(CBIC_Late_Fee_Relief_Windows_1!$B$100:$B$122,MATCH(G122,CBIC_Late_Fee_Relief_Windows_1!$I$100:$I$122,0))</f>
        <v>#NAME?</v>
      </c>
    </row>
    <row r="123" spans="1:9" x14ac:dyDescent="0.55000000000000004">
      <c r="A123" t="str">
        <f>TEST_DATA!A123</f>
        <v>27AAAAA0123Z5</v>
      </c>
      <c r="B123" t="str">
        <f>TEST_DATA!B123</f>
        <v>Mar-2018</v>
      </c>
      <c r="C123">
        <f>TEST_DATA!C123</f>
        <v>42995</v>
      </c>
      <c r="D123" t="str">
        <f>TEST_DATA!D123</f>
        <v>NIL</v>
      </c>
      <c r="E123">
        <f>TEST_DATA!E123</f>
        <v>2443</v>
      </c>
      <c r="F123">
        <f>MIN(E123*12300,10000)</f>
        <v>10000</v>
      </c>
      <c r="G123" t="e">
        <f ca="1">_xludf.MINIFS(CBIC_Late_Fee_Relief_Windows_1!$I$100:$I$123,CBIC_Late_Fee_Relief_Windows_1!$D$100:$D$123,"&lt;="&amp;B123,CBIC_Late_Fee_Relief_Windows_1!$E$100:$E$123,"&gt;="&amp;B123,CBIC_Late_Fee_Relief_Windows_1!$F$100:$F$123,"&lt;="&amp;C123,CBIC_Late_Fee_Relief_Windows_1!$G$100:$G$123,"&gt;="&amp;C123,CBIC_Late_Fee_Relief_Windows_1!$H$100:$H$123,D123)</f>
        <v>#NAME?</v>
      </c>
      <c r="H123" t="e">
        <f t="shared" ca="1" si="1"/>
        <v>#NAME?</v>
      </c>
      <c r="I123" t="e">
        <f ca="1">INDEX(CBIC_Late_Fee_Relief_Windows_1!$B$100:$B$123,MATCH(G123,CBIC_Late_Fee_Relief_Windows_1!$I$100:$I$123,0))</f>
        <v>#NAME?</v>
      </c>
    </row>
    <row r="124" spans="1:9" x14ac:dyDescent="0.55000000000000004">
      <c r="A124" t="str">
        <f>TEST_DATA!A124</f>
        <v>27AAAAA0124Z5</v>
      </c>
      <c r="B124" t="str">
        <f>TEST_DATA!B124</f>
        <v>Aug-2018</v>
      </c>
      <c r="C124">
        <f>TEST_DATA!C124</f>
        <v>43624</v>
      </c>
      <c r="D124" t="str">
        <f>TEST_DATA!D124</f>
        <v>NON-NIL</v>
      </c>
      <c r="E124">
        <f>TEST_DATA!E124</f>
        <v>1787</v>
      </c>
      <c r="F124">
        <f>MIN(E124*12400,10000)</f>
        <v>10000</v>
      </c>
      <c r="G124" t="e">
        <f ca="1">_xludf.MINIFS(CBIC_Late_Fee_Relief_Windows_1!$I$100:$I$124,CBIC_Late_Fee_Relief_Windows_1!$D$100:$D$124,"&lt;="&amp;B124,CBIC_Late_Fee_Relief_Windows_1!$E$100:$E$124,"&gt;="&amp;B124,CBIC_Late_Fee_Relief_Windows_1!$F$100:$F$124,"&lt;="&amp;C124,CBIC_Late_Fee_Relief_Windows_1!$G$100:$G$124,"&gt;="&amp;C124,CBIC_Late_Fee_Relief_Windows_1!$H$100:$H$124,D124)</f>
        <v>#NAME?</v>
      </c>
      <c r="H124" t="e">
        <f t="shared" ca="1" si="1"/>
        <v>#NAME?</v>
      </c>
      <c r="I124" t="e">
        <f ca="1">INDEX(CBIC_Late_Fee_Relief_Windows_1!$B$100:$B$124,MATCH(G124,CBIC_Late_Fee_Relief_Windows_1!$I$100:$I$124,0))</f>
        <v>#NAME?</v>
      </c>
    </row>
    <row r="125" spans="1:9" x14ac:dyDescent="0.55000000000000004">
      <c r="A125" t="str">
        <f>TEST_DATA!A125</f>
        <v>27AAAAA0125Z5</v>
      </c>
      <c r="B125" t="str">
        <f>TEST_DATA!B125</f>
        <v>Apr-2020</v>
      </c>
      <c r="C125">
        <f>TEST_DATA!C125</f>
        <v>44878</v>
      </c>
      <c r="D125" t="str">
        <f>TEST_DATA!D125</f>
        <v>NIL</v>
      </c>
      <c r="E125">
        <f>TEST_DATA!E125</f>
        <v>1577</v>
      </c>
      <c r="F125">
        <f>MIN(E125*12500,10000)</f>
        <v>10000</v>
      </c>
      <c r="G125" t="e">
        <f ca="1">_xludf.MINIFS(CBIC_Late_Fee_Relief_Windows_1!$I$100:$I$125,CBIC_Late_Fee_Relief_Windows_1!$D$100:$D$125,"&lt;="&amp;B125,CBIC_Late_Fee_Relief_Windows_1!$E$100:$E$125,"&gt;="&amp;B125,CBIC_Late_Fee_Relief_Windows_1!$F$100:$F$125,"&lt;="&amp;C125,CBIC_Late_Fee_Relief_Windows_1!$G$100:$G$125,"&gt;="&amp;C125,CBIC_Late_Fee_Relief_Windows_1!$H$100:$H$125,D125)</f>
        <v>#NAME?</v>
      </c>
      <c r="H125" t="e">
        <f t="shared" ca="1" si="1"/>
        <v>#NAME?</v>
      </c>
      <c r="I125" t="e">
        <f ca="1">INDEX(CBIC_Late_Fee_Relief_Windows_1!$B$100:$B$125,MATCH(G125,CBIC_Late_Fee_Relief_Windows_1!$I$100:$I$125,0))</f>
        <v>#NAME?</v>
      </c>
    </row>
    <row r="126" spans="1:9" x14ac:dyDescent="0.55000000000000004">
      <c r="A126" t="str">
        <f>TEST_DATA!A126</f>
        <v>27AAAAA0126Z5</v>
      </c>
      <c r="B126" t="str">
        <f>TEST_DATA!B126</f>
        <v>Dec-2024</v>
      </c>
      <c r="C126">
        <f>TEST_DATA!C126</f>
        <v>45827</v>
      </c>
      <c r="D126" t="str">
        <f>TEST_DATA!D126</f>
        <v>NIL</v>
      </c>
      <c r="E126">
        <f>TEST_DATA!E126</f>
        <v>1043</v>
      </c>
      <c r="F126">
        <f>MIN(E126*12600,10000)</f>
        <v>10000</v>
      </c>
      <c r="G126" t="e">
        <f ca="1">_xludf.MINIFS(CBIC_Late_Fee_Relief_Windows_1!$I$100:$I$126,CBIC_Late_Fee_Relief_Windows_1!$D$100:$D$126,"&lt;="&amp;B126,CBIC_Late_Fee_Relief_Windows_1!$E$100:$E$126,"&gt;="&amp;B126,CBIC_Late_Fee_Relief_Windows_1!$F$100:$F$126,"&lt;="&amp;C126,CBIC_Late_Fee_Relief_Windows_1!$G$100:$G$126,"&gt;="&amp;C126,CBIC_Late_Fee_Relief_Windows_1!$H$100:$H$126,D126)</f>
        <v>#NAME?</v>
      </c>
      <c r="H126" t="e">
        <f t="shared" ca="1" si="1"/>
        <v>#NAME?</v>
      </c>
      <c r="I126" t="e">
        <f ca="1">INDEX(CBIC_Late_Fee_Relief_Windows_1!$B$100:$B$126,MATCH(G126,CBIC_Late_Fee_Relief_Windows_1!$I$100:$I$126,0))</f>
        <v>#NAME?</v>
      </c>
    </row>
    <row r="127" spans="1:9" x14ac:dyDescent="0.55000000000000004">
      <c r="A127" t="str">
        <f>TEST_DATA!A127</f>
        <v>27AAAAA0127Z5</v>
      </c>
      <c r="B127" t="str">
        <f>TEST_DATA!B127</f>
        <v>Aug-2017</v>
      </c>
      <c r="C127">
        <f>TEST_DATA!C127</f>
        <v>44368</v>
      </c>
      <c r="D127" t="str">
        <f>TEST_DATA!D127</f>
        <v>NON-NIL</v>
      </c>
      <c r="E127">
        <f>TEST_DATA!E127</f>
        <v>6</v>
      </c>
      <c r="F127">
        <f>MIN(E127*12700,10000)</f>
        <v>10000</v>
      </c>
      <c r="G127" t="e">
        <f ca="1">_xludf.MINIFS(CBIC_Late_Fee_Relief_Windows_1!$I$100:$I$127,CBIC_Late_Fee_Relief_Windows_1!$D$100:$D$127,"&lt;="&amp;B127,CBIC_Late_Fee_Relief_Windows_1!$E$100:$E$127,"&gt;="&amp;B127,CBIC_Late_Fee_Relief_Windows_1!$F$100:$F$127,"&lt;="&amp;C127,CBIC_Late_Fee_Relief_Windows_1!$G$100:$G$127,"&gt;="&amp;C127,CBIC_Late_Fee_Relief_Windows_1!$H$100:$H$127,D127)</f>
        <v>#NAME?</v>
      </c>
      <c r="H127" t="e">
        <f t="shared" ca="1" si="1"/>
        <v>#NAME?</v>
      </c>
      <c r="I127" t="e">
        <f ca="1">INDEX(CBIC_Late_Fee_Relief_Windows_1!$B$100:$B$127,MATCH(G127,CBIC_Late_Fee_Relief_Windows_1!$I$100:$I$127,0))</f>
        <v>#NAME?</v>
      </c>
    </row>
    <row r="128" spans="1:9" x14ac:dyDescent="0.55000000000000004">
      <c r="A128" t="str">
        <f>TEST_DATA!A128</f>
        <v>27AAAAA0128Z5</v>
      </c>
      <c r="B128" t="str">
        <f>TEST_DATA!B128</f>
        <v>Jun-2019</v>
      </c>
      <c r="C128">
        <f>TEST_DATA!C128</f>
        <v>45671</v>
      </c>
      <c r="D128" t="str">
        <f>TEST_DATA!D128</f>
        <v>NIL</v>
      </c>
      <c r="E128">
        <f>TEST_DATA!E128</f>
        <v>1491</v>
      </c>
      <c r="F128">
        <f>MIN(E128*12800,10000)</f>
        <v>10000</v>
      </c>
      <c r="G128" t="e">
        <f ca="1">_xludf.MINIFS(CBIC_Late_Fee_Relief_Windows_1!$I$100:$I$128,CBIC_Late_Fee_Relief_Windows_1!$D$100:$D$128,"&lt;="&amp;B128,CBIC_Late_Fee_Relief_Windows_1!$E$100:$E$128,"&gt;="&amp;B128,CBIC_Late_Fee_Relief_Windows_1!$F$100:$F$128,"&lt;="&amp;C128,CBIC_Late_Fee_Relief_Windows_1!$G$100:$G$128,"&gt;="&amp;C128,CBIC_Late_Fee_Relief_Windows_1!$H$100:$H$128,D128)</f>
        <v>#NAME?</v>
      </c>
      <c r="H128" t="e">
        <f t="shared" ca="1" si="1"/>
        <v>#NAME?</v>
      </c>
      <c r="I128" t="e">
        <f ca="1">INDEX(CBIC_Late_Fee_Relief_Windows_1!$B$100:$B$128,MATCH(G128,CBIC_Late_Fee_Relief_Windows_1!$I$100:$I$128,0))</f>
        <v>#NAME?</v>
      </c>
    </row>
    <row r="129" spans="1:9" x14ac:dyDescent="0.55000000000000004">
      <c r="A129" t="str">
        <f>TEST_DATA!A129</f>
        <v>27AAAAA0129Z5</v>
      </c>
      <c r="B129" t="str">
        <f>TEST_DATA!B129</f>
        <v>Aug-2018</v>
      </c>
      <c r="C129">
        <f>TEST_DATA!C129</f>
        <v>43060</v>
      </c>
      <c r="D129" t="str">
        <f>TEST_DATA!D129</f>
        <v>NON-NIL</v>
      </c>
      <c r="E129">
        <f>TEST_DATA!E129</f>
        <v>2552</v>
      </c>
      <c r="F129">
        <f>MIN(E129*12900,10000)</f>
        <v>10000</v>
      </c>
      <c r="G129" t="e">
        <f ca="1">_xludf.MINIFS(CBIC_Late_Fee_Relief_Windows_1!$I$100:$I$129,CBIC_Late_Fee_Relief_Windows_1!$D$100:$D$129,"&lt;="&amp;B129,CBIC_Late_Fee_Relief_Windows_1!$E$100:$E$129,"&gt;="&amp;B129,CBIC_Late_Fee_Relief_Windows_1!$F$100:$F$129,"&lt;="&amp;C129,CBIC_Late_Fee_Relief_Windows_1!$G$100:$G$129,"&gt;="&amp;C129,CBIC_Late_Fee_Relief_Windows_1!$H$100:$H$129,D129)</f>
        <v>#NAME?</v>
      </c>
      <c r="H129" t="e">
        <f t="shared" ca="1" si="1"/>
        <v>#NAME?</v>
      </c>
      <c r="I129" t="e">
        <f ca="1">INDEX(CBIC_Late_Fee_Relief_Windows_1!$B$100:$B$129,MATCH(G129,CBIC_Late_Fee_Relief_Windows_1!$I$100:$I$129,0))</f>
        <v>#NAME?</v>
      </c>
    </row>
    <row r="130" spans="1:9" x14ac:dyDescent="0.55000000000000004">
      <c r="A130" t="str">
        <f>TEST_DATA!A130</f>
        <v>27AAAAA0130Z5</v>
      </c>
      <c r="B130" t="str">
        <f>TEST_DATA!B130</f>
        <v>May-2018</v>
      </c>
      <c r="C130">
        <f>TEST_DATA!C130</f>
        <v>44275</v>
      </c>
      <c r="D130" t="str">
        <f>TEST_DATA!D130</f>
        <v>NIL</v>
      </c>
      <c r="E130">
        <f>TEST_DATA!E130</f>
        <v>2948</v>
      </c>
      <c r="F130">
        <f>MIN(E130*13000,10000)</f>
        <v>10000</v>
      </c>
      <c r="G130" t="e">
        <f ca="1">_xludf.MINIFS(CBIC_Late_Fee_Relief_Windows_1!$I$100:$I$130,CBIC_Late_Fee_Relief_Windows_1!$D$100:$D$130,"&lt;="&amp;B130,CBIC_Late_Fee_Relief_Windows_1!$E$100:$E$130,"&gt;="&amp;B130,CBIC_Late_Fee_Relief_Windows_1!$F$100:$F$130,"&lt;="&amp;C130,CBIC_Late_Fee_Relief_Windows_1!$G$100:$G$130,"&gt;="&amp;C130,CBIC_Late_Fee_Relief_Windows_1!$H$100:$H$130,D130)</f>
        <v>#NAME?</v>
      </c>
      <c r="H130" t="e">
        <f t="shared" ref="H130:H193" ca="1" si="2">MIN(F130,G130)</f>
        <v>#NAME?</v>
      </c>
      <c r="I130" t="e">
        <f ca="1">INDEX(CBIC_Late_Fee_Relief_Windows_1!$B$100:$B$130,MATCH(G130,CBIC_Late_Fee_Relief_Windows_1!$I$100:$I$130,0))</f>
        <v>#NAME?</v>
      </c>
    </row>
    <row r="131" spans="1:9" x14ac:dyDescent="0.55000000000000004">
      <c r="A131" t="str">
        <f>TEST_DATA!A131</f>
        <v>27AAAAA0131Z5</v>
      </c>
      <c r="B131" t="str">
        <f>TEST_DATA!B131</f>
        <v>Dec-2024</v>
      </c>
      <c r="C131">
        <f>TEST_DATA!C131</f>
        <v>44696</v>
      </c>
      <c r="D131" t="str">
        <f>TEST_DATA!D131</f>
        <v>NON-NIL</v>
      </c>
      <c r="E131">
        <f>TEST_DATA!E131</f>
        <v>2731</v>
      </c>
      <c r="F131">
        <f>MIN(E131*13100,10000)</f>
        <v>10000</v>
      </c>
      <c r="G131" t="e">
        <f ca="1">_xludf.MINIFS(CBIC_Late_Fee_Relief_Windows_1!$I$100:$I$131,CBIC_Late_Fee_Relief_Windows_1!$D$100:$D$131,"&lt;="&amp;B131,CBIC_Late_Fee_Relief_Windows_1!$E$100:$E$131,"&gt;="&amp;B131,CBIC_Late_Fee_Relief_Windows_1!$F$100:$F$131,"&lt;="&amp;C131,CBIC_Late_Fee_Relief_Windows_1!$G$100:$G$131,"&gt;="&amp;C131,CBIC_Late_Fee_Relief_Windows_1!$H$100:$H$131,D131)</f>
        <v>#NAME?</v>
      </c>
      <c r="H131" t="e">
        <f t="shared" ca="1" si="2"/>
        <v>#NAME?</v>
      </c>
      <c r="I131" t="e">
        <f ca="1">INDEX(CBIC_Late_Fee_Relief_Windows_1!$B$100:$B$131,MATCH(G131,CBIC_Late_Fee_Relief_Windows_1!$I$100:$I$131,0))</f>
        <v>#NAME?</v>
      </c>
    </row>
    <row r="132" spans="1:9" x14ac:dyDescent="0.55000000000000004">
      <c r="A132" t="str">
        <f>TEST_DATA!A132</f>
        <v>27AAAAA0132Z5</v>
      </c>
      <c r="B132" t="str">
        <f>TEST_DATA!B132</f>
        <v>Aug-2018</v>
      </c>
      <c r="C132">
        <f>TEST_DATA!C132</f>
        <v>43585</v>
      </c>
      <c r="D132" t="str">
        <f>TEST_DATA!D132</f>
        <v>NON-NIL</v>
      </c>
      <c r="E132">
        <f>TEST_DATA!E132</f>
        <v>2855</v>
      </c>
      <c r="F132">
        <f>MIN(E132*13200,10000)</f>
        <v>10000</v>
      </c>
      <c r="G132" t="e">
        <f ca="1">_xludf.MINIFS(CBIC_Late_Fee_Relief_Windows_1!$I$100:$I$132,CBIC_Late_Fee_Relief_Windows_1!$D$100:$D$132,"&lt;="&amp;B132,CBIC_Late_Fee_Relief_Windows_1!$E$100:$E$132,"&gt;="&amp;B132,CBIC_Late_Fee_Relief_Windows_1!$F$100:$F$132,"&lt;="&amp;C132,CBIC_Late_Fee_Relief_Windows_1!$G$100:$G$132,"&gt;="&amp;C132,CBIC_Late_Fee_Relief_Windows_1!$H$100:$H$132,D132)</f>
        <v>#NAME?</v>
      </c>
      <c r="H132" t="e">
        <f t="shared" ca="1" si="2"/>
        <v>#NAME?</v>
      </c>
      <c r="I132" t="e">
        <f ca="1">INDEX(CBIC_Late_Fee_Relief_Windows_1!$B$100:$B$132,MATCH(G132,CBIC_Late_Fee_Relief_Windows_1!$I$100:$I$132,0))</f>
        <v>#NAME?</v>
      </c>
    </row>
    <row r="133" spans="1:9" x14ac:dyDescent="0.55000000000000004">
      <c r="A133" t="str">
        <f>TEST_DATA!A133</f>
        <v>27AAAAA0133Z5</v>
      </c>
      <c r="B133" t="str">
        <f>TEST_DATA!B133</f>
        <v>Apr-2018</v>
      </c>
      <c r="C133">
        <f>TEST_DATA!C133</f>
        <v>44052</v>
      </c>
      <c r="D133" t="str">
        <f>TEST_DATA!D133</f>
        <v>NIL</v>
      </c>
      <c r="E133">
        <f>TEST_DATA!E133</f>
        <v>785</v>
      </c>
      <c r="F133">
        <f>MIN(E133*13300,10000)</f>
        <v>10000</v>
      </c>
      <c r="G133" t="e">
        <f ca="1">_xludf.MINIFS(CBIC_Late_Fee_Relief_Windows_1!$I$100:$I$133,CBIC_Late_Fee_Relief_Windows_1!$D$100:$D$133,"&lt;="&amp;B133,CBIC_Late_Fee_Relief_Windows_1!$E$100:$E$133,"&gt;="&amp;B133,CBIC_Late_Fee_Relief_Windows_1!$F$100:$F$133,"&lt;="&amp;C133,CBIC_Late_Fee_Relief_Windows_1!$G$100:$G$133,"&gt;="&amp;C133,CBIC_Late_Fee_Relief_Windows_1!$H$100:$H$133,D133)</f>
        <v>#NAME?</v>
      </c>
      <c r="H133" t="e">
        <f t="shared" ca="1" si="2"/>
        <v>#NAME?</v>
      </c>
      <c r="I133" t="e">
        <f ca="1">INDEX(CBIC_Late_Fee_Relief_Windows_1!$B$100:$B$133,MATCH(G133,CBIC_Late_Fee_Relief_Windows_1!$I$100:$I$133,0))</f>
        <v>#NAME?</v>
      </c>
    </row>
    <row r="134" spans="1:9" x14ac:dyDescent="0.55000000000000004">
      <c r="A134" t="str">
        <f>TEST_DATA!A134</f>
        <v>27AAAAA0134Z5</v>
      </c>
      <c r="B134" t="str">
        <f>TEST_DATA!B134</f>
        <v>Aug-2018</v>
      </c>
      <c r="C134">
        <f>TEST_DATA!C134</f>
        <v>44278</v>
      </c>
      <c r="D134" t="str">
        <f>TEST_DATA!D134</f>
        <v>NON-NIL</v>
      </c>
      <c r="E134">
        <f>TEST_DATA!E134</f>
        <v>2774</v>
      </c>
      <c r="F134">
        <f>MIN(E134*13400,10000)</f>
        <v>10000</v>
      </c>
      <c r="G134" t="e">
        <f ca="1">_xludf.MINIFS(CBIC_Late_Fee_Relief_Windows_1!$I$100:$I$134,CBIC_Late_Fee_Relief_Windows_1!$D$100:$D$134,"&lt;="&amp;B134,CBIC_Late_Fee_Relief_Windows_1!$E$100:$E$134,"&gt;="&amp;B134,CBIC_Late_Fee_Relief_Windows_1!$F$100:$F$134,"&lt;="&amp;C134,CBIC_Late_Fee_Relief_Windows_1!$G$100:$G$134,"&gt;="&amp;C134,CBIC_Late_Fee_Relief_Windows_1!$H$100:$H$134,D134)</f>
        <v>#NAME?</v>
      </c>
      <c r="H134" t="e">
        <f t="shared" ca="1" si="2"/>
        <v>#NAME?</v>
      </c>
      <c r="I134" t="e">
        <f ca="1">INDEX(CBIC_Late_Fee_Relief_Windows_1!$B$100:$B$134,MATCH(G134,CBIC_Late_Fee_Relief_Windows_1!$I$100:$I$134,0))</f>
        <v>#NAME?</v>
      </c>
    </row>
    <row r="135" spans="1:9" x14ac:dyDescent="0.55000000000000004">
      <c r="A135" t="str">
        <f>TEST_DATA!A135</f>
        <v>27AAAAA0135Z5</v>
      </c>
      <c r="B135" t="str">
        <f>TEST_DATA!B135</f>
        <v>Jan-2021</v>
      </c>
      <c r="C135">
        <f>TEST_DATA!C135</f>
        <v>44178</v>
      </c>
      <c r="D135" t="str">
        <f>TEST_DATA!D135</f>
        <v>NON-NIL</v>
      </c>
      <c r="E135">
        <f>TEST_DATA!E135</f>
        <v>1663</v>
      </c>
      <c r="F135">
        <f>MIN(E135*13500,10000)</f>
        <v>10000</v>
      </c>
      <c r="G135" t="e">
        <f ca="1">_xludf.MINIFS(CBIC_Late_Fee_Relief_Windows_1!$I$100:$I$135,CBIC_Late_Fee_Relief_Windows_1!$D$100:$D$135,"&lt;="&amp;B135,CBIC_Late_Fee_Relief_Windows_1!$E$100:$E$135,"&gt;="&amp;B135,CBIC_Late_Fee_Relief_Windows_1!$F$100:$F$135,"&lt;="&amp;C135,CBIC_Late_Fee_Relief_Windows_1!$G$100:$G$135,"&gt;="&amp;C135,CBIC_Late_Fee_Relief_Windows_1!$H$100:$H$135,D135)</f>
        <v>#NAME?</v>
      </c>
      <c r="H135" t="e">
        <f t="shared" ca="1" si="2"/>
        <v>#NAME?</v>
      </c>
      <c r="I135" t="e">
        <f ca="1">INDEX(CBIC_Late_Fee_Relief_Windows_1!$B$100:$B$135,MATCH(G135,CBIC_Late_Fee_Relief_Windows_1!$I$100:$I$135,0))</f>
        <v>#NAME?</v>
      </c>
    </row>
    <row r="136" spans="1:9" x14ac:dyDescent="0.55000000000000004">
      <c r="A136" t="str">
        <f>TEST_DATA!A136</f>
        <v>27AAAAA0136Z5</v>
      </c>
      <c r="B136" t="str">
        <f>TEST_DATA!B136</f>
        <v>Dec-2019</v>
      </c>
      <c r="C136">
        <f>TEST_DATA!C136</f>
        <v>43467</v>
      </c>
      <c r="D136" t="str">
        <f>TEST_DATA!D136</f>
        <v>NON-NIL</v>
      </c>
      <c r="E136">
        <f>TEST_DATA!E136</f>
        <v>1175</v>
      </c>
      <c r="F136">
        <f>MIN(E136*13600,10000)</f>
        <v>10000</v>
      </c>
      <c r="G136" t="e">
        <f ca="1">_xludf.MINIFS(CBIC_Late_Fee_Relief_Windows_1!$I$100:$I$136,CBIC_Late_Fee_Relief_Windows_1!$D$100:$D$136,"&lt;="&amp;B136,CBIC_Late_Fee_Relief_Windows_1!$E$100:$E$136,"&gt;="&amp;B136,CBIC_Late_Fee_Relief_Windows_1!$F$100:$F$136,"&lt;="&amp;C136,CBIC_Late_Fee_Relief_Windows_1!$G$100:$G$136,"&gt;="&amp;C136,CBIC_Late_Fee_Relief_Windows_1!$H$100:$H$136,D136)</f>
        <v>#NAME?</v>
      </c>
      <c r="H136" t="e">
        <f t="shared" ca="1" si="2"/>
        <v>#NAME?</v>
      </c>
      <c r="I136" t="e">
        <f ca="1">INDEX(CBIC_Late_Fee_Relief_Windows_1!$B$100:$B$136,MATCH(G136,CBIC_Late_Fee_Relief_Windows_1!$I$100:$I$136,0))</f>
        <v>#NAME?</v>
      </c>
    </row>
    <row r="137" spans="1:9" x14ac:dyDescent="0.55000000000000004">
      <c r="A137" t="str">
        <f>TEST_DATA!A137</f>
        <v>27AAAAA0137Z5</v>
      </c>
      <c r="B137" t="str">
        <f>TEST_DATA!B137</f>
        <v>Jan-2018</v>
      </c>
      <c r="C137">
        <f>TEST_DATA!C137</f>
        <v>43797</v>
      </c>
      <c r="D137" t="str">
        <f>TEST_DATA!D137</f>
        <v>NON-NIL</v>
      </c>
      <c r="E137">
        <f>TEST_DATA!E137</f>
        <v>1904</v>
      </c>
      <c r="F137">
        <f>MIN(E137*13700,10000)</f>
        <v>10000</v>
      </c>
      <c r="G137" t="e">
        <f ca="1">_xludf.MINIFS(CBIC_Late_Fee_Relief_Windows_1!$I$100:$I$137,CBIC_Late_Fee_Relief_Windows_1!$D$100:$D$137,"&lt;="&amp;B137,CBIC_Late_Fee_Relief_Windows_1!$E$100:$E$137,"&gt;="&amp;B137,CBIC_Late_Fee_Relief_Windows_1!$F$100:$F$137,"&lt;="&amp;C137,CBIC_Late_Fee_Relief_Windows_1!$G$100:$G$137,"&gt;="&amp;C137,CBIC_Late_Fee_Relief_Windows_1!$H$100:$H$137,D137)</f>
        <v>#NAME?</v>
      </c>
      <c r="H137" t="e">
        <f t="shared" ca="1" si="2"/>
        <v>#NAME?</v>
      </c>
      <c r="I137" t="e">
        <f ca="1">INDEX(CBIC_Late_Fee_Relief_Windows_1!$B$100:$B$137,MATCH(G137,CBIC_Late_Fee_Relief_Windows_1!$I$100:$I$137,0))</f>
        <v>#NAME?</v>
      </c>
    </row>
    <row r="138" spans="1:9" x14ac:dyDescent="0.55000000000000004">
      <c r="A138" t="str">
        <f>TEST_DATA!A138</f>
        <v>27AAAAA0138Z5</v>
      </c>
      <c r="B138" t="str">
        <f>TEST_DATA!B138</f>
        <v>Sep-2018</v>
      </c>
      <c r="C138">
        <f>TEST_DATA!C138</f>
        <v>43822</v>
      </c>
      <c r="D138" t="str">
        <f>TEST_DATA!D138</f>
        <v>NIL</v>
      </c>
      <c r="E138">
        <f>TEST_DATA!E138</f>
        <v>2093</v>
      </c>
      <c r="F138">
        <f>MIN(E138*13800,10000)</f>
        <v>10000</v>
      </c>
      <c r="G138" t="e">
        <f ca="1">_xludf.MINIFS(CBIC_Late_Fee_Relief_Windows_1!$I$100:$I$138,CBIC_Late_Fee_Relief_Windows_1!$D$100:$D$138,"&lt;="&amp;B138,CBIC_Late_Fee_Relief_Windows_1!$E$100:$E$138,"&gt;="&amp;B138,CBIC_Late_Fee_Relief_Windows_1!$F$100:$F$138,"&lt;="&amp;C138,CBIC_Late_Fee_Relief_Windows_1!$G$100:$G$138,"&gt;="&amp;C138,CBIC_Late_Fee_Relief_Windows_1!$H$100:$H$138,D138)</f>
        <v>#NAME?</v>
      </c>
      <c r="H138" t="e">
        <f t="shared" ca="1" si="2"/>
        <v>#NAME?</v>
      </c>
      <c r="I138" t="e">
        <f ca="1">INDEX(CBIC_Late_Fee_Relief_Windows_1!$B$100:$B$138,MATCH(G138,CBIC_Late_Fee_Relief_Windows_1!$I$100:$I$138,0))</f>
        <v>#NAME?</v>
      </c>
    </row>
    <row r="139" spans="1:9" x14ac:dyDescent="0.55000000000000004">
      <c r="A139" t="str">
        <f>TEST_DATA!A139</f>
        <v>27AAAAA0139Z5</v>
      </c>
      <c r="B139" t="str">
        <f>TEST_DATA!B139</f>
        <v>Jan-2019</v>
      </c>
      <c r="C139">
        <f>TEST_DATA!C139</f>
        <v>44161</v>
      </c>
      <c r="D139" t="str">
        <f>TEST_DATA!D139</f>
        <v>NIL</v>
      </c>
      <c r="E139">
        <f>TEST_DATA!E139</f>
        <v>1162</v>
      </c>
      <c r="F139">
        <f>MIN(E139*13900,10000)</f>
        <v>10000</v>
      </c>
      <c r="G139" t="e">
        <f ca="1">_xludf.MINIFS(CBIC_Late_Fee_Relief_Windows_1!$I$100:$I$139,CBIC_Late_Fee_Relief_Windows_1!$D$100:$D$139,"&lt;="&amp;B139,CBIC_Late_Fee_Relief_Windows_1!$E$100:$E$139,"&gt;="&amp;B139,CBIC_Late_Fee_Relief_Windows_1!$F$100:$F$139,"&lt;="&amp;C139,CBIC_Late_Fee_Relief_Windows_1!$G$100:$G$139,"&gt;="&amp;C139,CBIC_Late_Fee_Relief_Windows_1!$H$100:$H$139,D139)</f>
        <v>#NAME?</v>
      </c>
      <c r="H139" t="e">
        <f t="shared" ca="1" si="2"/>
        <v>#NAME?</v>
      </c>
      <c r="I139" t="e">
        <f ca="1">INDEX(CBIC_Late_Fee_Relief_Windows_1!$B$100:$B$139,MATCH(G139,CBIC_Late_Fee_Relief_Windows_1!$I$100:$I$139,0))</f>
        <v>#NAME?</v>
      </c>
    </row>
    <row r="140" spans="1:9" x14ac:dyDescent="0.55000000000000004">
      <c r="A140" t="str">
        <f>TEST_DATA!A140</f>
        <v>27AAAAA0140Z5</v>
      </c>
      <c r="B140" t="str">
        <f>TEST_DATA!B140</f>
        <v>Jun-2019</v>
      </c>
      <c r="C140">
        <f>TEST_DATA!C140</f>
        <v>44838</v>
      </c>
      <c r="D140" t="str">
        <f>TEST_DATA!D140</f>
        <v>NIL</v>
      </c>
      <c r="E140">
        <f>TEST_DATA!E140</f>
        <v>962</v>
      </c>
      <c r="F140">
        <f>MIN(E140*14000,10000)</f>
        <v>10000</v>
      </c>
      <c r="G140" t="e">
        <f ca="1">_xludf.MINIFS(CBIC_Late_Fee_Relief_Windows_1!$I$100:$I$140,CBIC_Late_Fee_Relief_Windows_1!$D$100:$D$140,"&lt;="&amp;B140,CBIC_Late_Fee_Relief_Windows_1!$E$100:$E$140,"&gt;="&amp;B140,CBIC_Late_Fee_Relief_Windows_1!$F$100:$F$140,"&lt;="&amp;C140,CBIC_Late_Fee_Relief_Windows_1!$G$100:$G$140,"&gt;="&amp;C140,CBIC_Late_Fee_Relief_Windows_1!$H$100:$H$140,D140)</f>
        <v>#NAME?</v>
      </c>
      <c r="H140" t="e">
        <f t="shared" ca="1" si="2"/>
        <v>#NAME?</v>
      </c>
      <c r="I140" t="e">
        <f ca="1">INDEX(CBIC_Late_Fee_Relief_Windows_1!$B$100:$B$140,MATCH(G140,CBIC_Late_Fee_Relief_Windows_1!$I$100:$I$140,0))</f>
        <v>#NAME?</v>
      </c>
    </row>
    <row r="141" spans="1:9" x14ac:dyDescent="0.55000000000000004">
      <c r="A141" t="str">
        <f>TEST_DATA!A141</f>
        <v>27AAAAA0141Z5</v>
      </c>
      <c r="B141" t="str">
        <f>TEST_DATA!B141</f>
        <v>Jun-2020</v>
      </c>
      <c r="C141">
        <f>TEST_DATA!C141</f>
        <v>44466</v>
      </c>
      <c r="D141" t="str">
        <f>TEST_DATA!D141</f>
        <v>NIL</v>
      </c>
      <c r="E141">
        <f>TEST_DATA!E141</f>
        <v>815</v>
      </c>
      <c r="F141">
        <f>MIN(E141*14100,10000)</f>
        <v>10000</v>
      </c>
      <c r="G141" t="e">
        <f ca="1">_xludf.MINIFS(CBIC_Late_Fee_Relief_Windows_1!$I$100:$I$141,CBIC_Late_Fee_Relief_Windows_1!$D$100:$D$141,"&lt;="&amp;B141,CBIC_Late_Fee_Relief_Windows_1!$E$100:$E$141,"&gt;="&amp;B141,CBIC_Late_Fee_Relief_Windows_1!$F$100:$F$141,"&lt;="&amp;C141,CBIC_Late_Fee_Relief_Windows_1!$G$100:$G$141,"&gt;="&amp;C141,CBIC_Late_Fee_Relief_Windows_1!$H$100:$H$141,D141)</f>
        <v>#NAME?</v>
      </c>
      <c r="H141" t="e">
        <f t="shared" ca="1" si="2"/>
        <v>#NAME?</v>
      </c>
      <c r="I141" t="e">
        <f ca="1">INDEX(CBIC_Late_Fee_Relief_Windows_1!$B$100:$B$141,MATCH(G141,CBIC_Late_Fee_Relief_Windows_1!$I$100:$I$141,0))</f>
        <v>#NAME?</v>
      </c>
    </row>
    <row r="142" spans="1:9" x14ac:dyDescent="0.55000000000000004">
      <c r="A142" t="str">
        <f>TEST_DATA!A142</f>
        <v>27AAAAA0142Z5</v>
      </c>
      <c r="B142" t="str">
        <f>TEST_DATA!B142</f>
        <v>Nov-2017</v>
      </c>
      <c r="C142">
        <f>TEST_DATA!C142</f>
        <v>42967</v>
      </c>
      <c r="D142" t="str">
        <f>TEST_DATA!D142</f>
        <v>NIL</v>
      </c>
      <c r="E142">
        <f>TEST_DATA!E142</f>
        <v>1002</v>
      </c>
      <c r="F142">
        <f>MIN(E142*14200,10000)</f>
        <v>10000</v>
      </c>
      <c r="G142" t="e">
        <f ca="1">_xludf.MINIFS(CBIC_Late_Fee_Relief_Windows_1!$I$100:$I$142,CBIC_Late_Fee_Relief_Windows_1!$D$100:$D$142,"&lt;="&amp;B142,CBIC_Late_Fee_Relief_Windows_1!$E$100:$E$142,"&gt;="&amp;B142,CBIC_Late_Fee_Relief_Windows_1!$F$100:$F$142,"&lt;="&amp;C142,CBIC_Late_Fee_Relief_Windows_1!$G$100:$G$142,"&gt;="&amp;C142,CBIC_Late_Fee_Relief_Windows_1!$H$100:$H$142,D142)</f>
        <v>#NAME?</v>
      </c>
      <c r="H142" t="e">
        <f t="shared" ca="1" si="2"/>
        <v>#NAME?</v>
      </c>
      <c r="I142" t="e">
        <f ca="1">INDEX(CBIC_Late_Fee_Relief_Windows_1!$B$100:$B$142,MATCH(G142,CBIC_Late_Fee_Relief_Windows_1!$I$100:$I$142,0))</f>
        <v>#NAME?</v>
      </c>
    </row>
    <row r="143" spans="1:9" x14ac:dyDescent="0.55000000000000004">
      <c r="A143" t="str">
        <f>TEST_DATA!A143</f>
        <v>27AAAAA0143Z5</v>
      </c>
      <c r="B143" t="str">
        <f>TEST_DATA!B143</f>
        <v>Jan-2019</v>
      </c>
      <c r="C143">
        <f>TEST_DATA!C143</f>
        <v>43764</v>
      </c>
      <c r="D143" t="str">
        <f>TEST_DATA!D143</f>
        <v>NON-NIL</v>
      </c>
      <c r="E143">
        <f>TEST_DATA!E143</f>
        <v>1697</v>
      </c>
      <c r="F143">
        <f>MIN(E143*14300,10000)</f>
        <v>10000</v>
      </c>
      <c r="G143" t="e">
        <f ca="1">_xludf.MINIFS(CBIC_Late_Fee_Relief_Windows_1!$I$100:$I$143,CBIC_Late_Fee_Relief_Windows_1!$D$100:$D$143,"&lt;="&amp;B143,CBIC_Late_Fee_Relief_Windows_1!$E$100:$E$143,"&gt;="&amp;B143,CBIC_Late_Fee_Relief_Windows_1!$F$100:$F$143,"&lt;="&amp;C143,CBIC_Late_Fee_Relief_Windows_1!$G$100:$G$143,"&gt;="&amp;C143,CBIC_Late_Fee_Relief_Windows_1!$H$100:$H$143,D143)</f>
        <v>#NAME?</v>
      </c>
      <c r="H143" t="e">
        <f t="shared" ca="1" si="2"/>
        <v>#NAME?</v>
      </c>
      <c r="I143" t="e">
        <f ca="1">INDEX(CBIC_Late_Fee_Relief_Windows_1!$B$100:$B$143,MATCH(G143,CBIC_Late_Fee_Relief_Windows_1!$I$100:$I$143,0))</f>
        <v>#NAME?</v>
      </c>
    </row>
    <row r="144" spans="1:9" x14ac:dyDescent="0.55000000000000004">
      <c r="A144" t="str">
        <f>TEST_DATA!A144</f>
        <v>27AAAAA0144Z5</v>
      </c>
      <c r="B144" t="str">
        <f>TEST_DATA!B144</f>
        <v>Dec-2024</v>
      </c>
      <c r="C144">
        <f>TEST_DATA!C144</f>
        <v>45823</v>
      </c>
      <c r="D144" t="str">
        <f>TEST_DATA!D144</f>
        <v>NIL</v>
      </c>
      <c r="E144">
        <f>TEST_DATA!E144</f>
        <v>2942</v>
      </c>
      <c r="F144">
        <f>MIN(E144*14400,10000)</f>
        <v>10000</v>
      </c>
      <c r="G144" t="e">
        <f ca="1">_xludf.MINIFS(CBIC_Late_Fee_Relief_Windows_1!$I$100:$I$144,CBIC_Late_Fee_Relief_Windows_1!$D$100:$D$144,"&lt;="&amp;B144,CBIC_Late_Fee_Relief_Windows_1!$E$100:$E$144,"&gt;="&amp;B144,CBIC_Late_Fee_Relief_Windows_1!$F$100:$F$144,"&lt;="&amp;C144,CBIC_Late_Fee_Relief_Windows_1!$G$100:$G$144,"&gt;="&amp;C144,CBIC_Late_Fee_Relief_Windows_1!$H$100:$H$144,D144)</f>
        <v>#NAME?</v>
      </c>
      <c r="H144" t="e">
        <f t="shared" ca="1" si="2"/>
        <v>#NAME?</v>
      </c>
      <c r="I144" t="e">
        <f ca="1">INDEX(CBIC_Late_Fee_Relief_Windows_1!$B$100:$B$144,MATCH(G144,CBIC_Late_Fee_Relief_Windows_1!$I$100:$I$144,0))</f>
        <v>#NAME?</v>
      </c>
    </row>
    <row r="145" spans="1:9" x14ac:dyDescent="0.55000000000000004">
      <c r="A145" t="str">
        <f>TEST_DATA!A145</f>
        <v>27AAAAA0145Z5</v>
      </c>
      <c r="B145" t="str">
        <f>TEST_DATA!B145</f>
        <v>Jul-2020</v>
      </c>
      <c r="C145">
        <f>TEST_DATA!C145</f>
        <v>44617</v>
      </c>
      <c r="D145" t="str">
        <f>TEST_DATA!D145</f>
        <v>NON-NIL</v>
      </c>
      <c r="E145">
        <f>TEST_DATA!E145</f>
        <v>1636</v>
      </c>
      <c r="F145">
        <f>MIN(E145*14500,10000)</f>
        <v>10000</v>
      </c>
      <c r="G145" t="e">
        <f ca="1">_xludf.MINIFS(CBIC_Late_Fee_Relief_Windows_1!$I$100:$I$145,CBIC_Late_Fee_Relief_Windows_1!$D$100:$D$145,"&lt;="&amp;B145,CBIC_Late_Fee_Relief_Windows_1!$E$100:$E$145,"&gt;="&amp;B145,CBIC_Late_Fee_Relief_Windows_1!$F$100:$F$145,"&lt;="&amp;C145,CBIC_Late_Fee_Relief_Windows_1!$G$100:$G$145,"&gt;="&amp;C145,CBIC_Late_Fee_Relief_Windows_1!$H$100:$H$145,D145)</f>
        <v>#NAME?</v>
      </c>
      <c r="H145" t="e">
        <f t="shared" ca="1" si="2"/>
        <v>#NAME?</v>
      </c>
      <c r="I145" t="e">
        <f ca="1">INDEX(CBIC_Late_Fee_Relief_Windows_1!$B$100:$B$145,MATCH(G145,CBIC_Late_Fee_Relief_Windows_1!$I$100:$I$145,0))</f>
        <v>#NAME?</v>
      </c>
    </row>
    <row r="146" spans="1:9" x14ac:dyDescent="0.55000000000000004">
      <c r="A146" t="str">
        <f>TEST_DATA!A146</f>
        <v>27AAAAA0146Z5</v>
      </c>
      <c r="B146" t="str">
        <f>TEST_DATA!B146</f>
        <v>Feb-2018</v>
      </c>
      <c r="C146">
        <f>TEST_DATA!C146</f>
        <v>43219</v>
      </c>
      <c r="D146" t="str">
        <f>TEST_DATA!D146</f>
        <v>NIL</v>
      </c>
      <c r="E146">
        <f>TEST_DATA!E146</f>
        <v>436</v>
      </c>
      <c r="F146">
        <f>MIN(E146*14600,10000)</f>
        <v>10000</v>
      </c>
      <c r="G146" t="e">
        <f ca="1">_xludf.MINIFS(CBIC_Late_Fee_Relief_Windows_1!$I$100:$I$146,CBIC_Late_Fee_Relief_Windows_1!$D$100:$D$146,"&lt;="&amp;B146,CBIC_Late_Fee_Relief_Windows_1!$E$100:$E$146,"&gt;="&amp;B146,CBIC_Late_Fee_Relief_Windows_1!$F$100:$F$146,"&lt;="&amp;C146,CBIC_Late_Fee_Relief_Windows_1!$G$100:$G$146,"&gt;="&amp;C146,CBIC_Late_Fee_Relief_Windows_1!$H$100:$H$146,D146)</f>
        <v>#NAME?</v>
      </c>
      <c r="H146" t="e">
        <f t="shared" ca="1" si="2"/>
        <v>#NAME?</v>
      </c>
      <c r="I146" t="e">
        <f ca="1">INDEX(CBIC_Late_Fee_Relief_Windows_1!$B$100:$B$146,MATCH(G146,CBIC_Late_Fee_Relief_Windows_1!$I$100:$I$146,0))</f>
        <v>#NAME?</v>
      </c>
    </row>
    <row r="147" spans="1:9" x14ac:dyDescent="0.55000000000000004">
      <c r="A147" t="str">
        <f>TEST_DATA!A147</f>
        <v>27AAAAA0147Z5</v>
      </c>
      <c r="B147" t="str">
        <f>TEST_DATA!B147</f>
        <v>Mar-2021</v>
      </c>
      <c r="C147">
        <f>TEST_DATA!C147</f>
        <v>45207</v>
      </c>
      <c r="D147" t="str">
        <f>TEST_DATA!D147</f>
        <v>NIL</v>
      </c>
      <c r="E147">
        <f>TEST_DATA!E147</f>
        <v>720</v>
      </c>
      <c r="F147">
        <f>MIN(E147*14700,10000)</f>
        <v>10000</v>
      </c>
      <c r="G147" t="e">
        <f ca="1">_xludf.MINIFS(CBIC_Late_Fee_Relief_Windows_1!$I$100:$I$147,CBIC_Late_Fee_Relief_Windows_1!$D$100:$D$147,"&lt;="&amp;B147,CBIC_Late_Fee_Relief_Windows_1!$E$100:$E$147,"&gt;="&amp;B147,CBIC_Late_Fee_Relief_Windows_1!$F$100:$F$147,"&lt;="&amp;C147,CBIC_Late_Fee_Relief_Windows_1!$G$100:$G$147,"&gt;="&amp;C147,CBIC_Late_Fee_Relief_Windows_1!$H$100:$H$147,D147)</f>
        <v>#NAME?</v>
      </c>
      <c r="H147" t="e">
        <f t="shared" ca="1" si="2"/>
        <v>#NAME?</v>
      </c>
      <c r="I147" t="e">
        <f ca="1">INDEX(CBIC_Late_Fee_Relief_Windows_1!$B$100:$B$147,MATCH(G147,CBIC_Late_Fee_Relief_Windows_1!$I$100:$I$147,0))</f>
        <v>#NAME?</v>
      </c>
    </row>
    <row r="148" spans="1:9" x14ac:dyDescent="0.55000000000000004">
      <c r="A148" t="str">
        <f>TEST_DATA!A148</f>
        <v>27AAAAA0148Z5</v>
      </c>
      <c r="B148" t="str">
        <f>TEST_DATA!B148</f>
        <v>Apr-2021</v>
      </c>
      <c r="C148">
        <f>TEST_DATA!C148</f>
        <v>45587</v>
      </c>
      <c r="D148" t="str">
        <f>TEST_DATA!D148</f>
        <v>NON-NIL</v>
      </c>
      <c r="E148">
        <f>TEST_DATA!E148</f>
        <v>205</v>
      </c>
      <c r="F148">
        <f>MIN(E148*14800,10000)</f>
        <v>10000</v>
      </c>
      <c r="G148" t="e">
        <f ca="1">_xludf.MINIFS(CBIC_Late_Fee_Relief_Windows_1!$I$100:$I$148,CBIC_Late_Fee_Relief_Windows_1!$D$100:$D$148,"&lt;="&amp;B148,CBIC_Late_Fee_Relief_Windows_1!$E$100:$E$148,"&gt;="&amp;B148,CBIC_Late_Fee_Relief_Windows_1!$F$100:$F$148,"&lt;="&amp;C148,CBIC_Late_Fee_Relief_Windows_1!$G$100:$G$148,"&gt;="&amp;C148,CBIC_Late_Fee_Relief_Windows_1!$H$100:$H$148,D148)</f>
        <v>#NAME?</v>
      </c>
      <c r="H148" t="e">
        <f t="shared" ca="1" si="2"/>
        <v>#NAME?</v>
      </c>
      <c r="I148" t="e">
        <f ca="1">INDEX(CBIC_Late_Fee_Relief_Windows_1!$B$100:$B$148,MATCH(G148,CBIC_Late_Fee_Relief_Windows_1!$I$100:$I$148,0))</f>
        <v>#NAME?</v>
      </c>
    </row>
    <row r="149" spans="1:9" x14ac:dyDescent="0.55000000000000004">
      <c r="A149" t="str">
        <f>TEST_DATA!A149</f>
        <v>27AAAAA0149Z5</v>
      </c>
      <c r="B149" t="str">
        <f>TEST_DATA!B149</f>
        <v>Dec-2019</v>
      </c>
      <c r="C149">
        <f>TEST_DATA!C149</f>
        <v>44486</v>
      </c>
      <c r="D149" t="str">
        <f>TEST_DATA!D149</f>
        <v>NIL</v>
      </c>
      <c r="E149">
        <f>TEST_DATA!E149</f>
        <v>1869</v>
      </c>
      <c r="F149">
        <f>MIN(E149*14900,10000)</f>
        <v>10000</v>
      </c>
      <c r="G149" t="e">
        <f ca="1">_xludf.MINIFS(CBIC_Late_Fee_Relief_Windows_1!$I$100:$I$149,CBIC_Late_Fee_Relief_Windows_1!$D$100:$D$149,"&lt;="&amp;B149,CBIC_Late_Fee_Relief_Windows_1!$E$100:$E$149,"&gt;="&amp;B149,CBIC_Late_Fee_Relief_Windows_1!$F$100:$F$149,"&lt;="&amp;C149,CBIC_Late_Fee_Relief_Windows_1!$G$100:$G$149,"&gt;="&amp;C149,CBIC_Late_Fee_Relief_Windows_1!$H$100:$H$149,D149)</f>
        <v>#NAME?</v>
      </c>
      <c r="H149" t="e">
        <f t="shared" ca="1" si="2"/>
        <v>#NAME?</v>
      </c>
      <c r="I149" t="e">
        <f ca="1">INDEX(CBIC_Late_Fee_Relief_Windows_1!$B$100:$B$149,MATCH(G149,CBIC_Late_Fee_Relief_Windows_1!$I$100:$I$149,0))</f>
        <v>#NAME?</v>
      </c>
    </row>
    <row r="150" spans="1:9" x14ac:dyDescent="0.55000000000000004">
      <c r="A150" t="str">
        <f>TEST_DATA!A150</f>
        <v>27AAAAA0150Z5</v>
      </c>
      <c r="B150" t="str">
        <f>TEST_DATA!B150</f>
        <v>Nov-2017</v>
      </c>
      <c r="C150">
        <f>TEST_DATA!C150</f>
        <v>44558</v>
      </c>
      <c r="D150" t="str">
        <f>TEST_DATA!D150</f>
        <v>NON-NIL</v>
      </c>
      <c r="E150">
        <f>TEST_DATA!E150</f>
        <v>2734</v>
      </c>
      <c r="F150">
        <f>MIN(E150*15000,10000)</f>
        <v>10000</v>
      </c>
      <c r="G150" t="e">
        <f ca="1">_xludf.MINIFS(CBIC_Late_Fee_Relief_Windows_1!$I$100:$I$150,CBIC_Late_Fee_Relief_Windows_1!$D$100:$D$150,"&lt;="&amp;B150,CBIC_Late_Fee_Relief_Windows_1!$E$100:$E$150,"&gt;="&amp;B150,CBIC_Late_Fee_Relief_Windows_1!$F$100:$F$150,"&lt;="&amp;C150,CBIC_Late_Fee_Relief_Windows_1!$G$100:$G$150,"&gt;="&amp;C150,CBIC_Late_Fee_Relief_Windows_1!$H$100:$H$150,D150)</f>
        <v>#NAME?</v>
      </c>
      <c r="H150" t="e">
        <f t="shared" ca="1" si="2"/>
        <v>#NAME?</v>
      </c>
      <c r="I150" t="e">
        <f ca="1">INDEX(CBIC_Late_Fee_Relief_Windows_1!$B$100:$B$150,MATCH(G150,CBIC_Late_Fee_Relief_Windows_1!$I$100:$I$150,0))</f>
        <v>#NAME?</v>
      </c>
    </row>
    <row r="151" spans="1:9" x14ac:dyDescent="0.55000000000000004">
      <c r="A151" t="str">
        <f>TEST_DATA!A151</f>
        <v>27AAAAA0151Z5</v>
      </c>
      <c r="B151" t="str">
        <f>TEST_DATA!B151</f>
        <v>Jun-2019</v>
      </c>
      <c r="C151">
        <f>TEST_DATA!C151</f>
        <v>45755</v>
      </c>
      <c r="D151" t="str">
        <f>TEST_DATA!D151</f>
        <v>NON-NIL</v>
      </c>
      <c r="E151">
        <f>TEST_DATA!E151</f>
        <v>1812</v>
      </c>
      <c r="F151">
        <f>MIN(E151*15100,10000)</f>
        <v>10000</v>
      </c>
      <c r="G151" t="e">
        <f ca="1">_xludf.MINIFS(CBIC_Late_Fee_Relief_Windows_1!$I$100:$I$151,CBIC_Late_Fee_Relief_Windows_1!$D$100:$D$151,"&lt;="&amp;B151,CBIC_Late_Fee_Relief_Windows_1!$E$100:$E$151,"&gt;="&amp;B151,CBIC_Late_Fee_Relief_Windows_1!$F$100:$F$151,"&lt;="&amp;C151,CBIC_Late_Fee_Relief_Windows_1!$G$100:$G$151,"&gt;="&amp;C151,CBIC_Late_Fee_Relief_Windows_1!$H$100:$H$151,D151)</f>
        <v>#NAME?</v>
      </c>
      <c r="H151" t="e">
        <f t="shared" ca="1" si="2"/>
        <v>#NAME?</v>
      </c>
      <c r="I151" t="e">
        <f ca="1">INDEX(CBIC_Late_Fee_Relief_Windows_1!$B$100:$B$151,MATCH(G151,CBIC_Late_Fee_Relief_Windows_1!$I$100:$I$151,0))</f>
        <v>#NAME?</v>
      </c>
    </row>
    <row r="152" spans="1:9" x14ac:dyDescent="0.55000000000000004">
      <c r="A152" t="str">
        <f>TEST_DATA!A152</f>
        <v>27AAAAA0152Z5</v>
      </c>
      <c r="B152" t="str">
        <f>TEST_DATA!B152</f>
        <v>Apr-2020</v>
      </c>
      <c r="C152">
        <f>TEST_DATA!C152</f>
        <v>44864</v>
      </c>
      <c r="D152" t="str">
        <f>TEST_DATA!D152</f>
        <v>NON-NIL</v>
      </c>
      <c r="E152">
        <f>TEST_DATA!E152</f>
        <v>2244</v>
      </c>
      <c r="F152">
        <f>MIN(E152*15200,10000)</f>
        <v>10000</v>
      </c>
      <c r="G152" t="e">
        <f ca="1">_xludf.MINIFS(CBIC_Late_Fee_Relief_Windows_1!$I$100:$I$152,CBIC_Late_Fee_Relief_Windows_1!$D$100:$D$152,"&lt;="&amp;B152,CBIC_Late_Fee_Relief_Windows_1!$E$100:$E$152,"&gt;="&amp;B152,CBIC_Late_Fee_Relief_Windows_1!$F$100:$F$152,"&lt;="&amp;C152,CBIC_Late_Fee_Relief_Windows_1!$G$100:$G$152,"&gt;="&amp;C152,CBIC_Late_Fee_Relief_Windows_1!$H$100:$H$152,D152)</f>
        <v>#NAME?</v>
      </c>
      <c r="H152" t="e">
        <f t="shared" ca="1" si="2"/>
        <v>#NAME?</v>
      </c>
      <c r="I152" t="e">
        <f ca="1">INDEX(CBIC_Late_Fee_Relief_Windows_1!$B$100:$B$152,MATCH(G152,CBIC_Late_Fee_Relief_Windows_1!$I$100:$I$152,0))</f>
        <v>#NAME?</v>
      </c>
    </row>
    <row r="153" spans="1:9" x14ac:dyDescent="0.55000000000000004">
      <c r="A153" t="str">
        <f>TEST_DATA!A153</f>
        <v>27AAAAA0153Z5</v>
      </c>
      <c r="B153" t="str">
        <f>TEST_DATA!B153</f>
        <v>Sep-2018</v>
      </c>
      <c r="C153">
        <f>TEST_DATA!C153</f>
        <v>43242</v>
      </c>
      <c r="D153" t="str">
        <f>TEST_DATA!D153</f>
        <v>NON-NIL</v>
      </c>
      <c r="E153">
        <f>TEST_DATA!E153</f>
        <v>1843</v>
      </c>
      <c r="F153">
        <f>MIN(E153*15300,10000)</f>
        <v>10000</v>
      </c>
      <c r="G153" t="e">
        <f ca="1">_xludf.MINIFS(CBIC_Late_Fee_Relief_Windows_1!$I$100:$I$153,CBIC_Late_Fee_Relief_Windows_1!$D$100:$D$153,"&lt;="&amp;B153,CBIC_Late_Fee_Relief_Windows_1!$E$100:$E$153,"&gt;="&amp;B153,CBIC_Late_Fee_Relief_Windows_1!$F$100:$F$153,"&lt;="&amp;C153,CBIC_Late_Fee_Relief_Windows_1!$G$100:$G$153,"&gt;="&amp;C153,CBIC_Late_Fee_Relief_Windows_1!$H$100:$H$153,D153)</f>
        <v>#NAME?</v>
      </c>
      <c r="H153" t="e">
        <f t="shared" ca="1" si="2"/>
        <v>#NAME?</v>
      </c>
      <c r="I153" t="e">
        <f ca="1">INDEX(CBIC_Late_Fee_Relief_Windows_1!$B$100:$B$153,MATCH(G153,CBIC_Late_Fee_Relief_Windows_1!$I$100:$I$153,0))</f>
        <v>#NAME?</v>
      </c>
    </row>
    <row r="154" spans="1:9" x14ac:dyDescent="0.55000000000000004">
      <c r="A154" t="str">
        <f>TEST_DATA!A154</f>
        <v>27AAAAA0154Z5</v>
      </c>
      <c r="B154" t="str">
        <f>TEST_DATA!B154</f>
        <v>Mar-2018</v>
      </c>
      <c r="C154">
        <f>TEST_DATA!C154</f>
        <v>44456</v>
      </c>
      <c r="D154" t="str">
        <f>TEST_DATA!D154</f>
        <v>NIL</v>
      </c>
      <c r="E154">
        <f>TEST_DATA!E154</f>
        <v>2611</v>
      </c>
      <c r="F154">
        <f>MIN(E154*15400,10000)</f>
        <v>10000</v>
      </c>
      <c r="G154" t="e">
        <f ca="1">_xludf.MINIFS(CBIC_Late_Fee_Relief_Windows_1!$I$100:$I$154,CBIC_Late_Fee_Relief_Windows_1!$D$100:$D$154,"&lt;="&amp;B154,CBIC_Late_Fee_Relief_Windows_1!$E$100:$E$154,"&gt;="&amp;B154,CBIC_Late_Fee_Relief_Windows_1!$F$100:$F$154,"&lt;="&amp;C154,CBIC_Late_Fee_Relief_Windows_1!$G$100:$G$154,"&gt;="&amp;C154,CBIC_Late_Fee_Relief_Windows_1!$H$100:$H$154,D154)</f>
        <v>#NAME?</v>
      </c>
      <c r="H154" t="e">
        <f t="shared" ca="1" si="2"/>
        <v>#NAME?</v>
      </c>
      <c r="I154" t="e">
        <f ca="1">INDEX(CBIC_Late_Fee_Relief_Windows_1!$B$100:$B$154,MATCH(G154,CBIC_Late_Fee_Relief_Windows_1!$I$100:$I$154,0))</f>
        <v>#NAME?</v>
      </c>
    </row>
    <row r="155" spans="1:9" x14ac:dyDescent="0.55000000000000004">
      <c r="A155" t="str">
        <f>TEST_DATA!A155</f>
        <v>27AAAAA0155Z5</v>
      </c>
      <c r="B155" t="str">
        <f>TEST_DATA!B155</f>
        <v>Mar-2018</v>
      </c>
      <c r="C155">
        <f>TEST_DATA!C155</f>
        <v>44485</v>
      </c>
      <c r="D155" t="str">
        <f>TEST_DATA!D155</f>
        <v>NON-NIL</v>
      </c>
      <c r="E155">
        <f>TEST_DATA!E155</f>
        <v>2567</v>
      </c>
      <c r="F155">
        <f>MIN(E155*15500,10000)</f>
        <v>10000</v>
      </c>
      <c r="G155" t="e">
        <f ca="1">_xludf.MINIFS(CBIC_Late_Fee_Relief_Windows_1!$I$100:$I$155,CBIC_Late_Fee_Relief_Windows_1!$D$100:$D$155,"&lt;="&amp;B155,CBIC_Late_Fee_Relief_Windows_1!$E$100:$E$155,"&gt;="&amp;B155,CBIC_Late_Fee_Relief_Windows_1!$F$100:$F$155,"&lt;="&amp;C155,CBIC_Late_Fee_Relief_Windows_1!$G$100:$G$155,"&gt;="&amp;C155,CBIC_Late_Fee_Relief_Windows_1!$H$100:$H$155,D155)</f>
        <v>#NAME?</v>
      </c>
      <c r="H155" t="e">
        <f t="shared" ca="1" si="2"/>
        <v>#NAME?</v>
      </c>
      <c r="I155" t="e">
        <f ca="1">INDEX(CBIC_Late_Fee_Relief_Windows_1!$B$100:$B$155,MATCH(G155,CBIC_Late_Fee_Relief_Windows_1!$I$100:$I$155,0))</f>
        <v>#NAME?</v>
      </c>
    </row>
    <row r="156" spans="1:9" x14ac:dyDescent="0.55000000000000004">
      <c r="A156" t="str">
        <f>TEST_DATA!A156</f>
        <v>27AAAAA0156Z5</v>
      </c>
      <c r="B156" t="str">
        <f>TEST_DATA!B156</f>
        <v>Feb-2018</v>
      </c>
      <c r="C156">
        <f>TEST_DATA!C156</f>
        <v>43479</v>
      </c>
      <c r="D156" t="str">
        <f>TEST_DATA!D156</f>
        <v>NON-NIL</v>
      </c>
      <c r="E156">
        <f>TEST_DATA!E156</f>
        <v>317</v>
      </c>
      <c r="F156">
        <f>MIN(E156*15600,10000)</f>
        <v>10000</v>
      </c>
      <c r="G156" t="e">
        <f ca="1">_xludf.MINIFS(CBIC_Late_Fee_Relief_Windows_1!$I$100:$I$156,CBIC_Late_Fee_Relief_Windows_1!$D$100:$D$156,"&lt;="&amp;B156,CBIC_Late_Fee_Relief_Windows_1!$E$100:$E$156,"&gt;="&amp;B156,CBIC_Late_Fee_Relief_Windows_1!$F$100:$F$156,"&lt;="&amp;C156,CBIC_Late_Fee_Relief_Windows_1!$G$100:$G$156,"&gt;="&amp;C156,CBIC_Late_Fee_Relief_Windows_1!$H$100:$H$156,D156)</f>
        <v>#NAME?</v>
      </c>
      <c r="H156" t="e">
        <f t="shared" ca="1" si="2"/>
        <v>#NAME?</v>
      </c>
      <c r="I156" t="e">
        <f ca="1">INDEX(CBIC_Late_Fee_Relief_Windows_1!$B$100:$B$156,MATCH(G156,CBIC_Late_Fee_Relief_Windows_1!$I$100:$I$156,0))</f>
        <v>#NAME?</v>
      </c>
    </row>
    <row r="157" spans="1:9" x14ac:dyDescent="0.55000000000000004">
      <c r="A157" t="str">
        <f>TEST_DATA!A157</f>
        <v>27AAAAA0157Z5</v>
      </c>
      <c r="B157" t="str">
        <f>TEST_DATA!B157</f>
        <v>Jul-2020</v>
      </c>
      <c r="C157">
        <f>TEST_DATA!C157</f>
        <v>44416</v>
      </c>
      <c r="D157" t="str">
        <f>TEST_DATA!D157</f>
        <v>NIL</v>
      </c>
      <c r="E157">
        <f>TEST_DATA!E157</f>
        <v>1112</v>
      </c>
      <c r="F157">
        <f>MIN(E157*15700,10000)</f>
        <v>10000</v>
      </c>
      <c r="G157" t="e">
        <f ca="1">_xludf.MINIFS(CBIC_Late_Fee_Relief_Windows_1!$I$100:$I$157,CBIC_Late_Fee_Relief_Windows_1!$D$100:$D$157,"&lt;="&amp;B157,CBIC_Late_Fee_Relief_Windows_1!$E$100:$E$157,"&gt;="&amp;B157,CBIC_Late_Fee_Relief_Windows_1!$F$100:$F$157,"&lt;="&amp;C157,CBIC_Late_Fee_Relief_Windows_1!$G$100:$G$157,"&gt;="&amp;C157,CBIC_Late_Fee_Relief_Windows_1!$H$100:$H$157,D157)</f>
        <v>#NAME?</v>
      </c>
      <c r="H157" t="e">
        <f t="shared" ca="1" si="2"/>
        <v>#NAME?</v>
      </c>
      <c r="I157" t="e">
        <f ca="1">INDEX(CBIC_Late_Fee_Relief_Windows_1!$B$100:$B$157,MATCH(G157,CBIC_Late_Fee_Relief_Windows_1!$I$100:$I$157,0))</f>
        <v>#NAME?</v>
      </c>
    </row>
    <row r="158" spans="1:9" x14ac:dyDescent="0.55000000000000004">
      <c r="A158" t="str">
        <f>TEST_DATA!A158</f>
        <v>27AAAAA0158Z5</v>
      </c>
      <c r="B158" t="str">
        <f>TEST_DATA!B158</f>
        <v>May-2018</v>
      </c>
      <c r="C158">
        <f>TEST_DATA!C158</f>
        <v>43571</v>
      </c>
      <c r="D158" t="str">
        <f>TEST_DATA!D158</f>
        <v>NIL</v>
      </c>
      <c r="E158">
        <f>TEST_DATA!E158</f>
        <v>566</v>
      </c>
      <c r="F158">
        <f>MIN(E158*15800,10000)</f>
        <v>10000</v>
      </c>
      <c r="G158" t="e">
        <f ca="1">_xludf.MINIFS(CBIC_Late_Fee_Relief_Windows_1!$I$100:$I$158,CBIC_Late_Fee_Relief_Windows_1!$D$100:$D$158,"&lt;="&amp;B158,CBIC_Late_Fee_Relief_Windows_1!$E$100:$E$158,"&gt;="&amp;B158,CBIC_Late_Fee_Relief_Windows_1!$F$100:$F$158,"&lt;="&amp;C158,CBIC_Late_Fee_Relief_Windows_1!$G$100:$G$158,"&gt;="&amp;C158,CBIC_Late_Fee_Relief_Windows_1!$H$100:$H$158,D158)</f>
        <v>#NAME?</v>
      </c>
      <c r="H158" t="e">
        <f t="shared" ca="1" si="2"/>
        <v>#NAME?</v>
      </c>
      <c r="I158" t="e">
        <f ca="1">INDEX(CBIC_Late_Fee_Relief_Windows_1!$B$100:$B$158,MATCH(G158,CBIC_Late_Fee_Relief_Windows_1!$I$100:$I$158,0))</f>
        <v>#NAME?</v>
      </c>
    </row>
    <row r="159" spans="1:9" x14ac:dyDescent="0.55000000000000004">
      <c r="A159" t="str">
        <f>TEST_DATA!A159</f>
        <v>27AAAAA0159Z5</v>
      </c>
      <c r="B159" t="str">
        <f>TEST_DATA!B159</f>
        <v>Nov-2017</v>
      </c>
      <c r="C159">
        <f>TEST_DATA!C159</f>
        <v>43390</v>
      </c>
      <c r="D159" t="str">
        <f>TEST_DATA!D159</f>
        <v>NON-NIL</v>
      </c>
      <c r="E159">
        <f>TEST_DATA!E159</f>
        <v>2842</v>
      </c>
      <c r="F159">
        <f>MIN(E159*15900,10000)</f>
        <v>10000</v>
      </c>
      <c r="G159" t="e">
        <f ca="1">_xludf.MINIFS(CBIC_Late_Fee_Relief_Windows_1!$I$100:$I$159,CBIC_Late_Fee_Relief_Windows_1!$D$100:$D$159,"&lt;="&amp;B159,CBIC_Late_Fee_Relief_Windows_1!$E$100:$E$159,"&gt;="&amp;B159,CBIC_Late_Fee_Relief_Windows_1!$F$100:$F$159,"&lt;="&amp;C159,CBIC_Late_Fee_Relief_Windows_1!$G$100:$G$159,"&gt;="&amp;C159,CBIC_Late_Fee_Relief_Windows_1!$H$100:$H$159,D159)</f>
        <v>#NAME?</v>
      </c>
      <c r="H159" t="e">
        <f t="shared" ca="1" si="2"/>
        <v>#NAME?</v>
      </c>
      <c r="I159" t="e">
        <f ca="1">INDEX(CBIC_Late_Fee_Relief_Windows_1!$B$100:$B$159,MATCH(G159,CBIC_Late_Fee_Relief_Windows_1!$I$100:$I$159,0))</f>
        <v>#NAME?</v>
      </c>
    </row>
    <row r="160" spans="1:9" x14ac:dyDescent="0.55000000000000004">
      <c r="A160" t="str">
        <f>TEST_DATA!A160</f>
        <v>27AAAAA0160Z5</v>
      </c>
      <c r="B160" t="str">
        <f>TEST_DATA!B160</f>
        <v>Nov-2017</v>
      </c>
      <c r="C160">
        <f>TEST_DATA!C160</f>
        <v>44363</v>
      </c>
      <c r="D160" t="str">
        <f>TEST_DATA!D160</f>
        <v>NIL</v>
      </c>
      <c r="E160">
        <f>TEST_DATA!E160</f>
        <v>263</v>
      </c>
      <c r="F160">
        <f>MIN(E160*16000,10000)</f>
        <v>10000</v>
      </c>
      <c r="G160" t="e">
        <f ca="1">_xludf.MINIFS(CBIC_Late_Fee_Relief_Windows_1!$I$100:$I$160,CBIC_Late_Fee_Relief_Windows_1!$D$100:$D$160,"&lt;="&amp;B160,CBIC_Late_Fee_Relief_Windows_1!$E$100:$E$160,"&gt;="&amp;B160,CBIC_Late_Fee_Relief_Windows_1!$F$100:$F$160,"&lt;="&amp;C160,CBIC_Late_Fee_Relief_Windows_1!$G$100:$G$160,"&gt;="&amp;C160,CBIC_Late_Fee_Relief_Windows_1!$H$100:$H$160,D160)</f>
        <v>#NAME?</v>
      </c>
      <c r="H160" t="e">
        <f t="shared" ca="1" si="2"/>
        <v>#NAME?</v>
      </c>
      <c r="I160" t="e">
        <f ca="1">INDEX(CBIC_Late_Fee_Relief_Windows_1!$B$100:$B$160,MATCH(G160,CBIC_Late_Fee_Relief_Windows_1!$I$100:$I$160,0))</f>
        <v>#NAME?</v>
      </c>
    </row>
    <row r="161" spans="1:9" x14ac:dyDescent="0.55000000000000004">
      <c r="A161" t="str">
        <f>TEST_DATA!A161</f>
        <v>27AAAAA0161Z5</v>
      </c>
      <c r="B161" t="str">
        <f>TEST_DATA!B161</f>
        <v>Aug-2018</v>
      </c>
      <c r="C161">
        <f>TEST_DATA!C161</f>
        <v>43751</v>
      </c>
      <c r="D161" t="str">
        <f>TEST_DATA!D161</f>
        <v>NON-NIL</v>
      </c>
      <c r="E161">
        <f>TEST_DATA!E161</f>
        <v>2222</v>
      </c>
      <c r="F161">
        <f>MIN(E161*16100,10000)</f>
        <v>10000</v>
      </c>
      <c r="G161" t="e">
        <f ca="1">_xludf.MINIFS(CBIC_Late_Fee_Relief_Windows_1!$I$100:$I$161,CBIC_Late_Fee_Relief_Windows_1!$D$100:$D$161,"&lt;="&amp;B161,CBIC_Late_Fee_Relief_Windows_1!$E$100:$E$161,"&gt;="&amp;B161,CBIC_Late_Fee_Relief_Windows_1!$F$100:$F$161,"&lt;="&amp;C161,CBIC_Late_Fee_Relief_Windows_1!$G$100:$G$161,"&gt;="&amp;C161,CBIC_Late_Fee_Relief_Windows_1!$H$100:$H$161,D161)</f>
        <v>#NAME?</v>
      </c>
      <c r="H161" t="e">
        <f t="shared" ca="1" si="2"/>
        <v>#NAME?</v>
      </c>
      <c r="I161" t="e">
        <f ca="1">INDEX(CBIC_Late_Fee_Relief_Windows_1!$B$100:$B$161,MATCH(G161,CBIC_Late_Fee_Relief_Windows_1!$I$100:$I$161,0))</f>
        <v>#NAME?</v>
      </c>
    </row>
    <row r="162" spans="1:9" x14ac:dyDescent="0.55000000000000004">
      <c r="A162" t="str">
        <f>TEST_DATA!A162</f>
        <v>27AAAAA0162Z5</v>
      </c>
      <c r="B162" t="str">
        <f>TEST_DATA!B162</f>
        <v>Sep-2018</v>
      </c>
      <c r="C162">
        <f>TEST_DATA!C162</f>
        <v>43768</v>
      </c>
      <c r="D162" t="str">
        <f>TEST_DATA!D162</f>
        <v>NIL</v>
      </c>
      <c r="E162">
        <f>TEST_DATA!E162</f>
        <v>847</v>
      </c>
      <c r="F162">
        <f>MIN(E162*16200,10000)</f>
        <v>10000</v>
      </c>
      <c r="G162" t="e">
        <f ca="1">_xludf.MINIFS(CBIC_Late_Fee_Relief_Windows_1!$I$100:$I$162,CBIC_Late_Fee_Relief_Windows_1!$D$100:$D$162,"&lt;="&amp;B162,CBIC_Late_Fee_Relief_Windows_1!$E$100:$E$162,"&gt;="&amp;B162,CBIC_Late_Fee_Relief_Windows_1!$F$100:$F$162,"&lt;="&amp;C162,CBIC_Late_Fee_Relief_Windows_1!$G$100:$G$162,"&gt;="&amp;C162,CBIC_Late_Fee_Relief_Windows_1!$H$100:$H$162,D162)</f>
        <v>#NAME?</v>
      </c>
      <c r="H162" t="e">
        <f t="shared" ca="1" si="2"/>
        <v>#NAME?</v>
      </c>
      <c r="I162" t="e">
        <f ca="1">INDEX(CBIC_Late_Fee_Relief_Windows_1!$B$100:$B$162,MATCH(G162,CBIC_Late_Fee_Relief_Windows_1!$I$100:$I$162,0))</f>
        <v>#NAME?</v>
      </c>
    </row>
    <row r="163" spans="1:9" x14ac:dyDescent="0.55000000000000004">
      <c r="A163" t="str">
        <f>TEST_DATA!A163</f>
        <v>27AAAAA0163Z5</v>
      </c>
      <c r="B163" t="str">
        <f>TEST_DATA!B163</f>
        <v>Dec-2022</v>
      </c>
      <c r="C163">
        <f>TEST_DATA!C163</f>
        <v>45186</v>
      </c>
      <c r="D163" t="str">
        <f>TEST_DATA!D163</f>
        <v>NON-NIL</v>
      </c>
      <c r="E163">
        <f>TEST_DATA!E163</f>
        <v>2392</v>
      </c>
      <c r="F163">
        <f>MIN(E163*16300,10000)</f>
        <v>10000</v>
      </c>
      <c r="G163" t="e">
        <f ca="1">_xludf.MINIFS(CBIC_Late_Fee_Relief_Windows_1!$I$100:$I$163,CBIC_Late_Fee_Relief_Windows_1!$D$100:$D$163,"&lt;="&amp;B163,CBIC_Late_Fee_Relief_Windows_1!$E$100:$E$163,"&gt;="&amp;B163,CBIC_Late_Fee_Relief_Windows_1!$F$100:$F$163,"&lt;="&amp;C163,CBIC_Late_Fee_Relief_Windows_1!$G$100:$G$163,"&gt;="&amp;C163,CBIC_Late_Fee_Relief_Windows_1!$H$100:$H$163,D163)</f>
        <v>#NAME?</v>
      </c>
      <c r="H163" t="e">
        <f t="shared" ca="1" si="2"/>
        <v>#NAME?</v>
      </c>
      <c r="I163" t="e">
        <f ca="1">INDEX(CBIC_Late_Fee_Relief_Windows_1!$B$100:$B$163,MATCH(G163,CBIC_Late_Fee_Relief_Windows_1!$I$100:$I$163,0))</f>
        <v>#NAME?</v>
      </c>
    </row>
    <row r="164" spans="1:9" x14ac:dyDescent="0.55000000000000004">
      <c r="A164" t="str">
        <f>TEST_DATA!A164</f>
        <v>27AAAAA0164Z5</v>
      </c>
      <c r="B164" t="str">
        <f>TEST_DATA!B164</f>
        <v>Jul-2020</v>
      </c>
      <c r="C164">
        <f>TEST_DATA!C164</f>
        <v>43871</v>
      </c>
      <c r="D164" t="str">
        <f>TEST_DATA!D164</f>
        <v>NON-NIL</v>
      </c>
      <c r="E164">
        <f>TEST_DATA!E164</f>
        <v>1953</v>
      </c>
      <c r="F164">
        <f>MIN(E164*16400,10000)</f>
        <v>10000</v>
      </c>
      <c r="G164" t="e">
        <f ca="1">_xludf.MINIFS(CBIC_Late_Fee_Relief_Windows_1!$I$100:$I$164,CBIC_Late_Fee_Relief_Windows_1!$D$100:$D$164,"&lt;="&amp;B164,CBIC_Late_Fee_Relief_Windows_1!$E$100:$E$164,"&gt;="&amp;B164,CBIC_Late_Fee_Relief_Windows_1!$F$100:$F$164,"&lt;="&amp;C164,CBIC_Late_Fee_Relief_Windows_1!$G$100:$G$164,"&gt;="&amp;C164,CBIC_Late_Fee_Relief_Windows_1!$H$100:$H$164,D164)</f>
        <v>#NAME?</v>
      </c>
      <c r="H164" t="e">
        <f t="shared" ca="1" si="2"/>
        <v>#NAME?</v>
      </c>
      <c r="I164" t="e">
        <f ca="1">INDEX(CBIC_Late_Fee_Relief_Windows_1!$B$100:$B$164,MATCH(G164,CBIC_Late_Fee_Relief_Windows_1!$I$100:$I$164,0))</f>
        <v>#NAME?</v>
      </c>
    </row>
    <row r="165" spans="1:9" x14ac:dyDescent="0.55000000000000004">
      <c r="A165" t="str">
        <f>TEST_DATA!A165</f>
        <v>27AAAAA0165Z5</v>
      </c>
      <c r="B165" t="str">
        <f>TEST_DATA!B165</f>
        <v>Jul-2017</v>
      </c>
      <c r="C165">
        <f>TEST_DATA!C165</f>
        <v>43637</v>
      </c>
      <c r="D165" t="str">
        <f>TEST_DATA!D165</f>
        <v>NON-NIL</v>
      </c>
      <c r="E165">
        <f>TEST_DATA!E165</f>
        <v>1597</v>
      </c>
      <c r="F165">
        <f>MIN(E165*16500,10000)</f>
        <v>10000</v>
      </c>
      <c r="G165" t="e">
        <f ca="1">_xludf.MINIFS(CBIC_Late_Fee_Relief_Windows_1!$I$100:$I$165,CBIC_Late_Fee_Relief_Windows_1!$D$100:$D$165,"&lt;="&amp;B165,CBIC_Late_Fee_Relief_Windows_1!$E$100:$E$165,"&gt;="&amp;B165,CBIC_Late_Fee_Relief_Windows_1!$F$100:$F$165,"&lt;="&amp;C165,CBIC_Late_Fee_Relief_Windows_1!$G$100:$G$165,"&gt;="&amp;C165,CBIC_Late_Fee_Relief_Windows_1!$H$100:$H$165,D165)</f>
        <v>#NAME?</v>
      </c>
      <c r="H165" t="e">
        <f t="shared" ca="1" si="2"/>
        <v>#NAME?</v>
      </c>
      <c r="I165" t="e">
        <f ca="1">INDEX(CBIC_Late_Fee_Relief_Windows_1!$B$100:$B$165,MATCH(G165,CBIC_Late_Fee_Relief_Windows_1!$I$100:$I$165,0))</f>
        <v>#NAME?</v>
      </c>
    </row>
    <row r="166" spans="1:9" x14ac:dyDescent="0.55000000000000004">
      <c r="A166" t="str">
        <f>TEST_DATA!A166</f>
        <v>27AAAAA0166Z5</v>
      </c>
      <c r="B166" t="str">
        <f>TEST_DATA!B166</f>
        <v>Mar-2023</v>
      </c>
      <c r="C166">
        <f>TEST_DATA!C166</f>
        <v>45182</v>
      </c>
      <c r="D166" t="str">
        <f>TEST_DATA!D166</f>
        <v>NIL</v>
      </c>
      <c r="E166">
        <f>TEST_DATA!E166</f>
        <v>1999</v>
      </c>
      <c r="F166">
        <f>MIN(E166*16600,10000)</f>
        <v>10000</v>
      </c>
      <c r="G166" t="e">
        <f ca="1">_xludf.MINIFS(CBIC_Late_Fee_Relief_Windows_1!$I$100:$I$166,CBIC_Late_Fee_Relief_Windows_1!$D$100:$D$166,"&lt;="&amp;B166,CBIC_Late_Fee_Relief_Windows_1!$E$100:$E$166,"&gt;="&amp;B166,CBIC_Late_Fee_Relief_Windows_1!$F$100:$F$166,"&lt;="&amp;C166,CBIC_Late_Fee_Relief_Windows_1!$G$100:$G$166,"&gt;="&amp;C166,CBIC_Late_Fee_Relief_Windows_1!$H$100:$H$166,D166)</f>
        <v>#NAME?</v>
      </c>
      <c r="H166" t="e">
        <f t="shared" ca="1" si="2"/>
        <v>#NAME?</v>
      </c>
      <c r="I166" t="e">
        <f ca="1">INDEX(CBIC_Late_Fee_Relief_Windows_1!$B$100:$B$166,MATCH(G166,CBIC_Late_Fee_Relief_Windows_1!$I$100:$I$166,0))</f>
        <v>#NAME?</v>
      </c>
    </row>
    <row r="167" spans="1:9" x14ac:dyDescent="0.55000000000000004">
      <c r="A167" t="str">
        <f>TEST_DATA!A167</f>
        <v>27AAAAA0167Z5</v>
      </c>
      <c r="B167" t="str">
        <f>TEST_DATA!B167</f>
        <v>Feb-2018</v>
      </c>
      <c r="C167">
        <f>TEST_DATA!C167</f>
        <v>43475</v>
      </c>
      <c r="D167" t="str">
        <f>TEST_DATA!D167</f>
        <v>NON-NIL</v>
      </c>
      <c r="E167">
        <f>TEST_DATA!E167</f>
        <v>1989</v>
      </c>
      <c r="F167">
        <f>MIN(E167*16700,10000)</f>
        <v>10000</v>
      </c>
      <c r="G167" t="e">
        <f ca="1">_xludf.MINIFS(CBIC_Late_Fee_Relief_Windows_1!$I$100:$I$167,CBIC_Late_Fee_Relief_Windows_1!$D$100:$D$167,"&lt;="&amp;B167,CBIC_Late_Fee_Relief_Windows_1!$E$100:$E$167,"&gt;="&amp;B167,CBIC_Late_Fee_Relief_Windows_1!$F$100:$F$167,"&lt;="&amp;C167,CBIC_Late_Fee_Relief_Windows_1!$G$100:$G$167,"&gt;="&amp;C167,CBIC_Late_Fee_Relief_Windows_1!$H$100:$H$167,D167)</f>
        <v>#NAME?</v>
      </c>
      <c r="H167" t="e">
        <f t="shared" ca="1" si="2"/>
        <v>#NAME?</v>
      </c>
      <c r="I167" t="e">
        <f ca="1">INDEX(CBIC_Late_Fee_Relief_Windows_1!$B$100:$B$167,MATCH(G167,CBIC_Late_Fee_Relief_Windows_1!$I$100:$I$167,0))</f>
        <v>#NAME?</v>
      </c>
    </row>
    <row r="168" spans="1:9" x14ac:dyDescent="0.55000000000000004">
      <c r="A168" t="str">
        <f>TEST_DATA!A168</f>
        <v>27AAAAA0168Z5</v>
      </c>
      <c r="B168" t="str">
        <f>TEST_DATA!B168</f>
        <v>Jul-2017</v>
      </c>
      <c r="C168">
        <f>TEST_DATA!C168</f>
        <v>43713</v>
      </c>
      <c r="D168" t="str">
        <f>TEST_DATA!D168</f>
        <v>NON-NIL</v>
      </c>
      <c r="E168">
        <f>TEST_DATA!E168</f>
        <v>2739</v>
      </c>
      <c r="F168">
        <f>MIN(E168*16800,10000)</f>
        <v>10000</v>
      </c>
      <c r="G168" t="e">
        <f ca="1">_xludf.MINIFS(CBIC_Late_Fee_Relief_Windows_1!$I$100:$I$168,CBIC_Late_Fee_Relief_Windows_1!$D$100:$D$168,"&lt;="&amp;B168,CBIC_Late_Fee_Relief_Windows_1!$E$100:$E$168,"&gt;="&amp;B168,CBIC_Late_Fee_Relief_Windows_1!$F$100:$F$168,"&lt;="&amp;C168,CBIC_Late_Fee_Relief_Windows_1!$G$100:$G$168,"&gt;="&amp;C168,CBIC_Late_Fee_Relief_Windows_1!$H$100:$H$168,D168)</f>
        <v>#NAME?</v>
      </c>
      <c r="H168" t="e">
        <f t="shared" ca="1" si="2"/>
        <v>#NAME?</v>
      </c>
      <c r="I168" t="e">
        <f ca="1">INDEX(CBIC_Late_Fee_Relief_Windows_1!$B$100:$B$168,MATCH(G168,CBIC_Late_Fee_Relief_Windows_1!$I$100:$I$168,0))</f>
        <v>#NAME?</v>
      </c>
    </row>
    <row r="169" spans="1:9" x14ac:dyDescent="0.55000000000000004">
      <c r="A169" t="str">
        <f>TEST_DATA!A169</f>
        <v>27AAAAA0169Z5</v>
      </c>
      <c r="B169" t="str">
        <f>TEST_DATA!B169</f>
        <v>Jun-2020</v>
      </c>
      <c r="C169">
        <f>TEST_DATA!C169</f>
        <v>44659</v>
      </c>
      <c r="D169" t="str">
        <f>TEST_DATA!D169</f>
        <v>NIL</v>
      </c>
      <c r="E169">
        <f>TEST_DATA!E169</f>
        <v>1914</v>
      </c>
      <c r="F169">
        <f>MIN(E169*16900,10000)</f>
        <v>10000</v>
      </c>
      <c r="G169" t="e">
        <f ca="1">_xludf.MINIFS(CBIC_Late_Fee_Relief_Windows_1!$I$100:$I$169,CBIC_Late_Fee_Relief_Windows_1!$D$100:$D$169,"&lt;="&amp;B169,CBIC_Late_Fee_Relief_Windows_1!$E$100:$E$169,"&gt;="&amp;B169,CBIC_Late_Fee_Relief_Windows_1!$F$100:$F$169,"&lt;="&amp;C169,CBIC_Late_Fee_Relief_Windows_1!$G$100:$G$169,"&gt;="&amp;C169,CBIC_Late_Fee_Relief_Windows_1!$H$100:$H$169,D169)</f>
        <v>#NAME?</v>
      </c>
      <c r="H169" t="e">
        <f t="shared" ca="1" si="2"/>
        <v>#NAME?</v>
      </c>
      <c r="I169" t="e">
        <f ca="1">INDEX(CBIC_Late_Fee_Relief_Windows_1!$B$100:$B$169,MATCH(G169,CBIC_Late_Fee_Relief_Windows_1!$I$100:$I$169,0))</f>
        <v>#NAME?</v>
      </c>
    </row>
    <row r="170" spans="1:9" x14ac:dyDescent="0.55000000000000004">
      <c r="A170" t="str">
        <f>TEST_DATA!A170</f>
        <v>27AAAAA0170Z5</v>
      </c>
      <c r="B170" t="str">
        <f>TEST_DATA!B170</f>
        <v>Nov-2017</v>
      </c>
      <c r="C170">
        <f>TEST_DATA!C170</f>
        <v>44191</v>
      </c>
      <c r="D170" t="str">
        <f>TEST_DATA!D170</f>
        <v>NIL</v>
      </c>
      <c r="E170">
        <f>TEST_DATA!E170</f>
        <v>1613</v>
      </c>
      <c r="F170">
        <f>MIN(E170*17000,10000)</f>
        <v>10000</v>
      </c>
      <c r="G170" t="e">
        <f ca="1">_xludf.MINIFS(CBIC_Late_Fee_Relief_Windows_1!$I$100:$I$170,CBIC_Late_Fee_Relief_Windows_1!$D$100:$D$170,"&lt;="&amp;B170,CBIC_Late_Fee_Relief_Windows_1!$E$100:$E$170,"&gt;="&amp;B170,CBIC_Late_Fee_Relief_Windows_1!$F$100:$F$170,"&lt;="&amp;C170,CBIC_Late_Fee_Relief_Windows_1!$G$100:$G$170,"&gt;="&amp;C170,CBIC_Late_Fee_Relief_Windows_1!$H$100:$H$170,D170)</f>
        <v>#NAME?</v>
      </c>
      <c r="H170" t="e">
        <f t="shared" ca="1" si="2"/>
        <v>#NAME?</v>
      </c>
      <c r="I170" t="e">
        <f ca="1">INDEX(CBIC_Late_Fee_Relief_Windows_1!$B$100:$B$170,MATCH(G170,CBIC_Late_Fee_Relief_Windows_1!$I$100:$I$170,0))</f>
        <v>#NAME?</v>
      </c>
    </row>
    <row r="171" spans="1:9" x14ac:dyDescent="0.55000000000000004">
      <c r="A171" t="str">
        <f>TEST_DATA!A171</f>
        <v>27AAAAA0171Z5</v>
      </c>
      <c r="B171" t="str">
        <f>TEST_DATA!B171</f>
        <v>Mar-2020</v>
      </c>
      <c r="C171">
        <f>TEST_DATA!C171</f>
        <v>43886</v>
      </c>
      <c r="D171" t="str">
        <f>TEST_DATA!D171</f>
        <v>NIL</v>
      </c>
      <c r="E171">
        <f>TEST_DATA!E171</f>
        <v>2632</v>
      </c>
      <c r="F171">
        <f>MIN(E171*17100,10000)</f>
        <v>10000</v>
      </c>
      <c r="G171" t="e">
        <f ca="1">_xludf.MINIFS(CBIC_Late_Fee_Relief_Windows_1!$I$100:$I$171,CBIC_Late_Fee_Relief_Windows_1!$D$100:$D$171,"&lt;="&amp;B171,CBIC_Late_Fee_Relief_Windows_1!$E$100:$E$171,"&gt;="&amp;B171,CBIC_Late_Fee_Relief_Windows_1!$F$100:$F$171,"&lt;="&amp;C171,CBIC_Late_Fee_Relief_Windows_1!$G$100:$G$171,"&gt;="&amp;C171,CBIC_Late_Fee_Relief_Windows_1!$H$100:$H$171,D171)</f>
        <v>#NAME?</v>
      </c>
      <c r="H171" t="e">
        <f t="shared" ca="1" si="2"/>
        <v>#NAME?</v>
      </c>
      <c r="I171" t="e">
        <f ca="1">INDEX(CBIC_Late_Fee_Relief_Windows_1!$B$100:$B$171,MATCH(G171,CBIC_Late_Fee_Relief_Windows_1!$I$100:$I$171,0))</f>
        <v>#NAME?</v>
      </c>
    </row>
    <row r="172" spans="1:9" x14ac:dyDescent="0.55000000000000004">
      <c r="A172" t="str">
        <f>TEST_DATA!A172</f>
        <v>27AAAAA0172Z5</v>
      </c>
      <c r="B172" t="str">
        <f>TEST_DATA!B172</f>
        <v>Aug-2018</v>
      </c>
      <c r="C172">
        <f>TEST_DATA!C172</f>
        <v>43194</v>
      </c>
      <c r="D172" t="str">
        <f>TEST_DATA!D172</f>
        <v>NON-NIL</v>
      </c>
      <c r="E172">
        <f>TEST_DATA!E172</f>
        <v>744</v>
      </c>
      <c r="F172">
        <f>MIN(E172*17200,10000)</f>
        <v>10000</v>
      </c>
      <c r="G172" t="e">
        <f ca="1">_xludf.MINIFS(CBIC_Late_Fee_Relief_Windows_1!$I$100:$I$172,CBIC_Late_Fee_Relief_Windows_1!$D$100:$D$172,"&lt;="&amp;B172,CBIC_Late_Fee_Relief_Windows_1!$E$100:$E$172,"&gt;="&amp;B172,CBIC_Late_Fee_Relief_Windows_1!$F$100:$F$172,"&lt;="&amp;C172,CBIC_Late_Fee_Relief_Windows_1!$G$100:$G$172,"&gt;="&amp;C172,CBIC_Late_Fee_Relief_Windows_1!$H$100:$H$172,D172)</f>
        <v>#NAME?</v>
      </c>
      <c r="H172" t="e">
        <f t="shared" ca="1" si="2"/>
        <v>#NAME?</v>
      </c>
      <c r="I172" t="e">
        <f ca="1">INDEX(CBIC_Late_Fee_Relief_Windows_1!$B$100:$B$172,MATCH(G172,CBIC_Late_Fee_Relief_Windows_1!$I$100:$I$172,0))</f>
        <v>#NAME?</v>
      </c>
    </row>
    <row r="173" spans="1:9" x14ac:dyDescent="0.55000000000000004">
      <c r="A173" t="str">
        <f>TEST_DATA!A173</f>
        <v>27AAAAA0173Z5</v>
      </c>
      <c r="B173" t="str">
        <f>TEST_DATA!B173</f>
        <v>Aug-2017</v>
      </c>
      <c r="C173">
        <f>TEST_DATA!C173</f>
        <v>43449</v>
      </c>
      <c r="D173" t="str">
        <f>TEST_DATA!D173</f>
        <v>NON-NIL</v>
      </c>
      <c r="E173">
        <f>TEST_DATA!E173</f>
        <v>1340</v>
      </c>
      <c r="F173">
        <f>MIN(E173*17300,10000)</f>
        <v>10000</v>
      </c>
      <c r="G173" t="e">
        <f ca="1">_xludf.MINIFS(CBIC_Late_Fee_Relief_Windows_1!$I$100:$I$173,CBIC_Late_Fee_Relief_Windows_1!$D$100:$D$173,"&lt;="&amp;B173,CBIC_Late_Fee_Relief_Windows_1!$E$100:$E$173,"&gt;="&amp;B173,CBIC_Late_Fee_Relief_Windows_1!$F$100:$F$173,"&lt;="&amp;C173,CBIC_Late_Fee_Relief_Windows_1!$G$100:$G$173,"&gt;="&amp;C173,CBIC_Late_Fee_Relief_Windows_1!$H$100:$H$173,D173)</f>
        <v>#NAME?</v>
      </c>
      <c r="H173" t="e">
        <f t="shared" ca="1" si="2"/>
        <v>#NAME?</v>
      </c>
      <c r="I173" t="e">
        <f ca="1">INDEX(CBIC_Late_Fee_Relief_Windows_1!$B$100:$B$173,MATCH(G173,CBIC_Late_Fee_Relief_Windows_1!$I$100:$I$173,0))</f>
        <v>#NAME?</v>
      </c>
    </row>
    <row r="174" spans="1:9" x14ac:dyDescent="0.55000000000000004">
      <c r="A174" t="str">
        <f>TEST_DATA!A174</f>
        <v>27AAAAA0174Z5</v>
      </c>
      <c r="B174" t="str">
        <f>TEST_DATA!B174</f>
        <v>Jan-2018</v>
      </c>
      <c r="C174">
        <f>TEST_DATA!C174</f>
        <v>43848</v>
      </c>
      <c r="D174" t="str">
        <f>TEST_DATA!D174</f>
        <v>NON-NIL</v>
      </c>
      <c r="E174">
        <f>TEST_DATA!E174</f>
        <v>1382</v>
      </c>
      <c r="F174">
        <f>MIN(E174*17400,10000)</f>
        <v>10000</v>
      </c>
      <c r="G174" t="e">
        <f ca="1">_xludf.MINIFS(CBIC_Late_Fee_Relief_Windows_1!$I$100:$I$174,CBIC_Late_Fee_Relief_Windows_1!$D$100:$D$174,"&lt;="&amp;B174,CBIC_Late_Fee_Relief_Windows_1!$E$100:$E$174,"&gt;="&amp;B174,CBIC_Late_Fee_Relief_Windows_1!$F$100:$F$174,"&lt;="&amp;C174,CBIC_Late_Fee_Relief_Windows_1!$G$100:$G$174,"&gt;="&amp;C174,CBIC_Late_Fee_Relief_Windows_1!$H$100:$H$174,D174)</f>
        <v>#NAME?</v>
      </c>
      <c r="H174" t="e">
        <f t="shared" ca="1" si="2"/>
        <v>#NAME?</v>
      </c>
      <c r="I174" t="e">
        <f ca="1">INDEX(CBIC_Late_Fee_Relief_Windows_1!$B$100:$B$174,MATCH(G174,CBIC_Late_Fee_Relief_Windows_1!$I$100:$I$174,0))</f>
        <v>#NAME?</v>
      </c>
    </row>
    <row r="175" spans="1:9" x14ac:dyDescent="0.55000000000000004">
      <c r="A175" t="str">
        <f>TEST_DATA!A175</f>
        <v>27AAAAA0175Z5</v>
      </c>
      <c r="B175" t="str">
        <f>TEST_DATA!B175</f>
        <v>Mar-2021</v>
      </c>
      <c r="C175">
        <f>TEST_DATA!C175</f>
        <v>45018</v>
      </c>
      <c r="D175" t="str">
        <f>TEST_DATA!D175</f>
        <v>NON-NIL</v>
      </c>
      <c r="E175">
        <f>TEST_DATA!E175</f>
        <v>1726</v>
      </c>
      <c r="F175">
        <f>MIN(E175*17500,10000)</f>
        <v>10000</v>
      </c>
      <c r="G175" t="e">
        <f ca="1">_xludf.MINIFS(CBIC_Late_Fee_Relief_Windows_1!$I$100:$I$175,CBIC_Late_Fee_Relief_Windows_1!$D$100:$D$175,"&lt;="&amp;B175,CBIC_Late_Fee_Relief_Windows_1!$E$100:$E$175,"&gt;="&amp;B175,CBIC_Late_Fee_Relief_Windows_1!$F$100:$F$175,"&lt;="&amp;C175,CBIC_Late_Fee_Relief_Windows_1!$G$100:$G$175,"&gt;="&amp;C175,CBIC_Late_Fee_Relief_Windows_1!$H$100:$H$175,D175)</f>
        <v>#NAME?</v>
      </c>
      <c r="H175" t="e">
        <f t="shared" ca="1" si="2"/>
        <v>#NAME?</v>
      </c>
      <c r="I175" t="e">
        <f ca="1">INDEX(CBIC_Late_Fee_Relief_Windows_1!$B$100:$B$175,MATCH(G175,CBIC_Late_Fee_Relief_Windows_1!$I$100:$I$175,0))</f>
        <v>#NAME?</v>
      </c>
    </row>
    <row r="176" spans="1:9" x14ac:dyDescent="0.55000000000000004">
      <c r="A176" t="str">
        <f>TEST_DATA!A176</f>
        <v>27AAAAA0176Z5</v>
      </c>
      <c r="B176" t="str">
        <f>TEST_DATA!B176</f>
        <v>Mar-2018</v>
      </c>
      <c r="C176">
        <f>TEST_DATA!C176</f>
        <v>43084</v>
      </c>
      <c r="D176" t="str">
        <f>TEST_DATA!D176</f>
        <v>NON-NIL</v>
      </c>
      <c r="E176">
        <f>TEST_DATA!E176</f>
        <v>79</v>
      </c>
      <c r="F176">
        <f>MIN(E176*17600,10000)</f>
        <v>10000</v>
      </c>
      <c r="G176" t="e">
        <f ca="1">_xludf.MINIFS(CBIC_Late_Fee_Relief_Windows_1!$I$100:$I$176,CBIC_Late_Fee_Relief_Windows_1!$D$100:$D$176,"&lt;="&amp;B176,CBIC_Late_Fee_Relief_Windows_1!$E$100:$E$176,"&gt;="&amp;B176,CBIC_Late_Fee_Relief_Windows_1!$F$100:$F$176,"&lt;="&amp;C176,CBIC_Late_Fee_Relief_Windows_1!$G$100:$G$176,"&gt;="&amp;C176,CBIC_Late_Fee_Relief_Windows_1!$H$100:$H$176,D176)</f>
        <v>#NAME?</v>
      </c>
      <c r="H176" t="e">
        <f t="shared" ca="1" si="2"/>
        <v>#NAME?</v>
      </c>
      <c r="I176" t="e">
        <f ca="1">INDEX(CBIC_Late_Fee_Relief_Windows_1!$B$100:$B$176,MATCH(G176,CBIC_Late_Fee_Relief_Windows_1!$I$100:$I$176,0))</f>
        <v>#NAME?</v>
      </c>
    </row>
    <row r="177" spans="1:9" x14ac:dyDescent="0.55000000000000004">
      <c r="A177" t="str">
        <f>TEST_DATA!A177</f>
        <v>27AAAAA0177Z5</v>
      </c>
      <c r="B177" t="str">
        <f>TEST_DATA!B177</f>
        <v>Jan-2021</v>
      </c>
      <c r="C177">
        <f>TEST_DATA!C177</f>
        <v>45675</v>
      </c>
      <c r="D177" t="str">
        <f>TEST_DATA!D177</f>
        <v>NIL</v>
      </c>
      <c r="E177">
        <f>TEST_DATA!E177</f>
        <v>1433</v>
      </c>
      <c r="F177">
        <f>MIN(E177*17700,10000)</f>
        <v>10000</v>
      </c>
      <c r="G177" t="e">
        <f ca="1">_xludf.MINIFS(CBIC_Late_Fee_Relief_Windows_1!$I$100:$I$177,CBIC_Late_Fee_Relief_Windows_1!$D$100:$D$177,"&lt;="&amp;B177,CBIC_Late_Fee_Relief_Windows_1!$E$100:$E$177,"&gt;="&amp;B177,CBIC_Late_Fee_Relief_Windows_1!$F$100:$F$177,"&lt;="&amp;C177,CBIC_Late_Fee_Relief_Windows_1!$G$100:$G$177,"&gt;="&amp;C177,CBIC_Late_Fee_Relief_Windows_1!$H$100:$H$177,D177)</f>
        <v>#NAME?</v>
      </c>
      <c r="H177" t="e">
        <f t="shared" ca="1" si="2"/>
        <v>#NAME?</v>
      </c>
      <c r="I177" t="e">
        <f ca="1">INDEX(CBIC_Late_Fee_Relief_Windows_1!$B$100:$B$177,MATCH(G177,CBIC_Late_Fee_Relief_Windows_1!$I$100:$I$177,0))</f>
        <v>#NAME?</v>
      </c>
    </row>
    <row r="178" spans="1:9" x14ac:dyDescent="0.55000000000000004">
      <c r="A178" t="str">
        <f>TEST_DATA!A178</f>
        <v>27AAAAA0178Z5</v>
      </c>
      <c r="B178" t="str">
        <f>TEST_DATA!B178</f>
        <v>Feb-2018</v>
      </c>
      <c r="C178">
        <f>TEST_DATA!C178</f>
        <v>44248</v>
      </c>
      <c r="D178" t="str">
        <f>TEST_DATA!D178</f>
        <v>NIL</v>
      </c>
      <c r="E178">
        <f>TEST_DATA!E178</f>
        <v>2669</v>
      </c>
      <c r="F178">
        <f>MIN(E178*17800,10000)</f>
        <v>10000</v>
      </c>
      <c r="G178" t="e">
        <f ca="1">_xludf.MINIFS(CBIC_Late_Fee_Relief_Windows_1!$I$100:$I$178,CBIC_Late_Fee_Relief_Windows_1!$D$100:$D$178,"&lt;="&amp;B178,CBIC_Late_Fee_Relief_Windows_1!$E$100:$E$178,"&gt;="&amp;B178,CBIC_Late_Fee_Relief_Windows_1!$F$100:$F$178,"&lt;="&amp;C178,CBIC_Late_Fee_Relief_Windows_1!$G$100:$G$178,"&gt;="&amp;C178,CBIC_Late_Fee_Relief_Windows_1!$H$100:$H$178,D178)</f>
        <v>#NAME?</v>
      </c>
      <c r="H178" t="e">
        <f t="shared" ca="1" si="2"/>
        <v>#NAME?</v>
      </c>
      <c r="I178" t="e">
        <f ca="1">INDEX(CBIC_Late_Fee_Relief_Windows_1!$B$100:$B$178,MATCH(G178,CBIC_Late_Fee_Relief_Windows_1!$I$100:$I$178,0))</f>
        <v>#NAME?</v>
      </c>
    </row>
    <row r="179" spans="1:9" x14ac:dyDescent="0.55000000000000004">
      <c r="A179" t="str">
        <f>TEST_DATA!A179</f>
        <v>27AAAAA0179Z5</v>
      </c>
      <c r="B179" t="str">
        <f>TEST_DATA!B179</f>
        <v>Aug-2017</v>
      </c>
      <c r="C179">
        <f>TEST_DATA!C179</f>
        <v>44461</v>
      </c>
      <c r="D179" t="str">
        <f>TEST_DATA!D179</f>
        <v>NIL</v>
      </c>
      <c r="E179">
        <f>TEST_DATA!E179</f>
        <v>1012</v>
      </c>
      <c r="F179">
        <f>MIN(E179*17900,10000)</f>
        <v>10000</v>
      </c>
      <c r="G179" t="e">
        <f ca="1">_xludf.MINIFS(CBIC_Late_Fee_Relief_Windows_1!$I$100:$I$179,CBIC_Late_Fee_Relief_Windows_1!$D$100:$D$179,"&lt;="&amp;B179,CBIC_Late_Fee_Relief_Windows_1!$E$100:$E$179,"&gt;="&amp;B179,CBIC_Late_Fee_Relief_Windows_1!$F$100:$F$179,"&lt;="&amp;C179,CBIC_Late_Fee_Relief_Windows_1!$G$100:$G$179,"&gt;="&amp;C179,CBIC_Late_Fee_Relief_Windows_1!$H$100:$H$179,D179)</f>
        <v>#NAME?</v>
      </c>
      <c r="H179" t="e">
        <f t="shared" ca="1" si="2"/>
        <v>#NAME?</v>
      </c>
      <c r="I179" t="e">
        <f ca="1">INDEX(CBIC_Late_Fee_Relief_Windows_1!$B$100:$B$179,MATCH(G179,CBIC_Late_Fee_Relief_Windows_1!$I$100:$I$179,0))</f>
        <v>#NAME?</v>
      </c>
    </row>
    <row r="180" spans="1:9" x14ac:dyDescent="0.55000000000000004">
      <c r="A180" t="str">
        <f>TEST_DATA!A180</f>
        <v>27AAAAA0180Z5</v>
      </c>
      <c r="B180" t="str">
        <f>TEST_DATA!B180</f>
        <v>Jan-2018</v>
      </c>
      <c r="C180">
        <f>TEST_DATA!C180</f>
        <v>42958</v>
      </c>
      <c r="D180" t="str">
        <f>TEST_DATA!D180</f>
        <v>NIL</v>
      </c>
      <c r="E180">
        <f>TEST_DATA!E180</f>
        <v>977</v>
      </c>
      <c r="F180">
        <f>MIN(E180*18000,10000)</f>
        <v>10000</v>
      </c>
      <c r="G180" t="e">
        <f ca="1">_xludf.MINIFS(CBIC_Late_Fee_Relief_Windows_1!$I$100:$I$180,CBIC_Late_Fee_Relief_Windows_1!$D$100:$D$180,"&lt;="&amp;B180,CBIC_Late_Fee_Relief_Windows_1!$E$100:$E$180,"&gt;="&amp;B180,CBIC_Late_Fee_Relief_Windows_1!$F$100:$F$180,"&lt;="&amp;C180,CBIC_Late_Fee_Relief_Windows_1!$G$100:$G$180,"&gt;="&amp;C180,CBIC_Late_Fee_Relief_Windows_1!$H$100:$H$180,D180)</f>
        <v>#NAME?</v>
      </c>
      <c r="H180" t="e">
        <f t="shared" ca="1" si="2"/>
        <v>#NAME?</v>
      </c>
      <c r="I180" t="e">
        <f ca="1">INDEX(CBIC_Late_Fee_Relief_Windows_1!$B$100:$B$180,MATCH(G180,CBIC_Late_Fee_Relief_Windows_1!$I$100:$I$180,0))</f>
        <v>#NAME?</v>
      </c>
    </row>
    <row r="181" spans="1:9" x14ac:dyDescent="0.55000000000000004">
      <c r="A181" t="str">
        <f>TEST_DATA!A181</f>
        <v>27AAAAA0181Z5</v>
      </c>
      <c r="B181" t="str">
        <f>TEST_DATA!B181</f>
        <v>Nov-2017</v>
      </c>
      <c r="C181">
        <f>TEST_DATA!C181</f>
        <v>43886</v>
      </c>
      <c r="D181" t="str">
        <f>TEST_DATA!D181</f>
        <v>NIL</v>
      </c>
      <c r="E181">
        <f>TEST_DATA!E181</f>
        <v>2310</v>
      </c>
      <c r="F181">
        <f>MIN(E181*18100,10000)</f>
        <v>10000</v>
      </c>
      <c r="G181" t="e">
        <f ca="1">_xludf.MINIFS(CBIC_Late_Fee_Relief_Windows_1!$I$100:$I$181,CBIC_Late_Fee_Relief_Windows_1!$D$100:$D$181,"&lt;="&amp;B181,CBIC_Late_Fee_Relief_Windows_1!$E$100:$E$181,"&gt;="&amp;B181,CBIC_Late_Fee_Relief_Windows_1!$F$100:$F$181,"&lt;="&amp;C181,CBIC_Late_Fee_Relief_Windows_1!$G$100:$G$181,"&gt;="&amp;C181,CBIC_Late_Fee_Relief_Windows_1!$H$100:$H$181,D181)</f>
        <v>#NAME?</v>
      </c>
      <c r="H181" t="e">
        <f t="shared" ca="1" si="2"/>
        <v>#NAME?</v>
      </c>
      <c r="I181" t="e">
        <f ca="1">INDEX(CBIC_Late_Fee_Relief_Windows_1!$B$100:$B$181,MATCH(G181,CBIC_Late_Fee_Relief_Windows_1!$I$100:$I$181,0))</f>
        <v>#NAME?</v>
      </c>
    </row>
    <row r="182" spans="1:9" x14ac:dyDescent="0.55000000000000004">
      <c r="A182" t="str">
        <f>TEST_DATA!A182</f>
        <v>27AAAAA0182Z5</v>
      </c>
      <c r="B182" t="str">
        <f>TEST_DATA!B182</f>
        <v>Jan-2018</v>
      </c>
      <c r="C182">
        <f>TEST_DATA!C182</f>
        <v>43869</v>
      </c>
      <c r="D182" t="str">
        <f>TEST_DATA!D182</f>
        <v>NON-NIL</v>
      </c>
      <c r="E182">
        <f>TEST_DATA!E182</f>
        <v>1510</v>
      </c>
      <c r="F182">
        <f>MIN(E182*18200,10000)</f>
        <v>10000</v>
      </c>
      <c r="G182" t="e">
        <f ca="1">_xludf.MINIFS(CBIC_Late_Fee_Relief_Windows_1!$I$100:$I$182,CBIC_Late_Fee_Relief_Windows_1!$D$100:$D$182,"&lt;="&amp;B182,CBIC_Late_Fee_Relief_Windows_1!$E$100:$E$182,"&gt;="&amp;B182,CBIC_Late_Fee_Relief_Windows_1!$F$100:$F$182,"&lt;="&amp;C182,CBIC_Late_Fee_Relief_Windows_1!$G$100:$G$182,"&gt;="&amp;C182,CBIC_Late_Fee_Relief_Windows_1!$H$100:$H$182,D182)</f>
        <v>#NAME?</v>
      </c>
      <c r="H182" t="e">
        <f t="shared" ca="1" si="2"/>
        <v>#NAME?</v>
      </c>
      <c r="I182" t="e">
        <f ca="1">INDEX(CBIC_Late_Fee_Relief_Windows_1!$B$100:$B$182,MATCH(G182,CBIC_Late_Fee_Relief_Windows_1!$I$100:$I$182,0))</f>
        <v>#NAME?</v>
      </c>
    </row>
    <row r="183" spans="1:9" x14ac:dyDescent="0.55000000000000004">
      <c r="A183" t="str">
        <f>TEST_DATA!A183</f>
        <v>27AAAAA0183Z5</v>
      </c>
      <c r="B183" t="str">
        <f>TEST_DATA!B183</f>
        <v>Dec-2017</v>
      </c>
      <c r="C183">
        <f>TEST_DATA!C183</f>
        <v>44157</v>
      </c>
      <c r="D183" t="str">
        <f>TEST_DATA!D183</f>
        <v>NIL</v>
      </c>
      <c r="E183">
        <f>TEST_DATA!E183</f>
        <v>670</v>
      </c>
      <c r="F183">
        <f>MIN(E183*18300,10000)</f>
        <v>10000</v>
      </c>
      <c r="G183" t="e">
        <f ca="1">_xludf.MINIFS(CBIC_Late_Fee_Relief_Windows_1!$I$100:$I$183,CBIC_Late_Fee_Relief_Windows_1!$D$100:$D$183,"&lt;="&amp;B183,CBIC_Late_Fee_Relief_Windows_1!$E$100:$E$183,"&gt;="&amp;B183,CBIC_Late_Fee_Relief_Windows_1!$F$100:$F$183,"&lt;="&amp;C183,CBIC_Late_Fee_Relief_Windows_1!$G$100:$G$183,"&gt;="&amp;C183,CBIC_Late_Fee_Relief_Windows_1!$H$100:$H$183,D183)</f>
        <v>#NAME?</v>
      </c>
      <c r="H183" t="e">
        <f t="shared" ca="1" si="2"/>
        <v>#NAME?</v>
      </c>
      <c r="I183" t="e">
        <f ca="1">INDEX(CBIC_Late_Fee_Relief_Windows_1!$B$100:$B$183,MATCH(G183,CBIC_Late_Fee_Relief_Windows_1!$I$100:$I$183,0))</f>
        <v>#NAME?</v>
      </c>
    </row>
    <row r="184" spans="1:9" x14ac:dyDescent="0.55000000000000004">
      <c r="A184" t="str">
        <f>TEST_DATA!A184</f>
        <v>27AAAAA0184Z5</v>
      </c>
      <c r="B184" t="str">
        <f>TEST_DATA!B184</f>
        <v>Apr-2018</v>
      </c>
      <c r="C184">
        <f>TEST_DATA!C184</f>
        <v>43138</v>
      </c>
      <c r="D184" t="str">
        <f>TEST_DATA!D184</f>
        <v>NIL</v>
      </c>
      <c r="E184">
        <f>TEST_DATA!E184</f>
        <v>1277</v>
      </c>
      <c r="F184">
        <f>MIN(E184*18400,10000)</f>
        <v>10000</v>
      </c>
      <c r="G184" t="e">
        <f ca="1">_xludf.MINIFS(CBIC_Late_Fee_Relief_Windows_1!$I$100:$I$184,CBIC_Late_Fee_Relief_Windows_1!$D$100:$D$184,"&lt;="&amp;B184,CBIC_Late_Fee_Relief_Windows_1!$E$100:$E$184,"&gt;="&amp;B184,CBIC_Late_Fee_Relief_Windows_1!$F$100:$F$184,"&lt;="&amp;C184,CBIC_Late_Fee_Relief_Windows_1!$G$100:$G$184,"&gt;="&amp;C184,CBIC_Late_Fee_Relief_Windows_1!$H$100:$H$184,D184)</f>
        <v>#NAME?</v>
      </c>
      <c r="H184" t="e">
        <f t="shared" ca="1" si="2"/>
        <v>#NAME?</v>
      </c>
      <c r="I184" t="e">
        <f ca="1">INDEX(CBIC_Late_Fee_Relief_Windows_1!$B$100:$B$184,MATCH(G184,CBIC_Late_Fee_Relief_Windows_1!$I$100:$I$184,0))</f>
        <v>#NAME?</v>
      </c>
    </row>
    <row r="185" spans="1:9" x14ac:dyDescent="0.55000000000000004">
      <c r="A185" t="str">
        <f>TEST_DATA!A185</f>
        <v>27AAAAA0185Z5</v>
      </c>
      <c r="B185" t="str">
        <f>TEST_DATA!B185</f>
        <v>Mar-2020</v>
      </c>
      <c r="C185">
        <f>TEST_DATA!C185</f>
        <v>44599</v>
      </c>
      <c r="D185" t="str">
        <f>TEST_DATA!D185</f>
        <v>NON-NIL</v>
      </c>
      <c r="E185">
        <f>TEST_DATA!E185</f>
        <v>2928</v>
      </c>
      <c r="F185">
        <f>MIN(E185*18500,10000)</f>
        <v>10000</v>
      </c>
      <c r="G185" t="e">
        <f ca="1">_xludf.MINIFS(CBIC_Late_Fee_Relief_Windows_1!$I$100:$I$185,CBIC_Late_Fee_Relief_Windows_1!$D$100:$D$185,"&lt;="&amp;B185,CBIC_Late_Fee_Relief_Windows_1!$E$100:$E$185,"&gt;="&amp;B185,CBIC_Late_Fee_Relief_Windows_1!$F$100:$F$185,"&lt;="&amp;C185,CBIC_Late_Fee_Relief_Windows_1!$G$100:$G$185,"&gt;="&amp;C185,CBIC_Late_Fee_Relief_Windows_1!$H$100:$H$185,D185)</f>
        <v>#NAME?</v>
      </c>
      <c r="H185" t="e">
        <f t="shared" ca="1" si="2"/>
        <v>#NAME?</v>
      </c>
      <c r="I185" t="e">
        <f ca="1">INDEX(CBIC_Late_Fee_Relief_Windows_1!$B$100:$B$185,MATCH(G185,CBIC_Late_Fee_Relief_Windows_1!$I$100:$I$185,0))</f>
        <v>#NAME?</v>
      </c>
    </row>
    <row r="186" spans="1:9" x14ac:dyDescent="0.55000000000000004">
      <c r="A186" t="str">
        <f>TEST_DATA!A186</f>
        <v>27AAAAA0186Z5</v>
      </c>
      <c r="B186" t="str">
        <f>TEST_DATA!B186</f>
        <v>Jan-2018</v>
      </c>
      <c r="C186">
        <f>TEST_DATA!C186</f>
        <v>43072</v>
      </c>
      <c r="D186" t="str">
        <f>TEST_DATA!D186</f>
        <v>NIL</v>
      </c>
      <c r="E186">
        <f>TEST_DATA!E186</f>
        <v>417</v>
      </c>
      <c r="F186">
        <f>MIN(E186*18600,10000)</f>
        <v>10000</v>
      </c>
      <c r="G186" t="e">
        <f ca="1">_xludf.MINIFS(CBIC_Late_Fee_Relief_Windows_1!$I$100:$I$186,CBIC_Late_Fee_Relief_Windows_1!$D$100:$D$186,"&lt;="&amp;B186,CBIC_Late_Fee_Relief_Windows_1!$E$100:$E$186,"&gt;="&amp;B186,CBIC_Late_Fee_Relief_Windows_1!$F$100:$F$186,"&lt;="&amp;C186,CBIC_Late_Fee_Relief_Windows_1!$G$100:$G$186,"&gt;="&amp;C186,CBIC_Late_Fee_Relief_Windows_1!$H$100:$H$186,D186)</f>
        <v>#NAME?</v>
      </c>
      <c r="H186" t="e">
        <f t="shared" ca="1" si="2"/>
        <v>#NAME?</v>
      </c>
      <c r="I186" t="e">
        <f ca="1">INDEX(CBIC_Late_Fee_Relief_Windows_1!$B$100:$B$186,MATCH(G186,CBIC_Late_Fee_Relief_Windows_1!$I$100:$I$186,0))</f>
        <v>#NAME?</v>
      </c>
    </row>
    <row r="187" spans="1:9" x14ac:dyDescent="0.55000000000000004">
      <c r="A187" t="str">
        <f>TEST_DATA!A187</f>
        <v>27AAAAA0187Z5</v>
      </c>
      <c r="B187" t="str">
        <f>TEST_DATA!B187</f>
        <v>Jul-2020</v>
      </c>
      <c r="C187">
        <f>TEST_DATA!C187</f>
        <v>44448</v>
      </c>
      <c r="D187" t="str">
        <f>TEST_DATA!D187</f>
        <v>NIL</v>
      </c>
      <c r="E187">
        <f>TEST_DATA!E187</f>
        <v>2318</v>
      </c>
      <c r="F187">
        <f>MIN(E187*18700,10000)</f>
        <v>10000</v>
      </c>
      <c r="G187" t="e">
        <f ca="1">_xludf.MINIFS(CBIC_Late_Fee_Relief_Windows_1!$I$100:$I$187,CBIC_Late_Fee_Relief_Windows_1!$D$100:$D$187,"&lt;="&amp;B187,CBIC_Late_Fee_Relief_Windows_1!$E$100:$E$187,"&gt;="&amp;B187,CBIC_Late_Fee_Relief_Windows_1!$F$100:$F$187,"&lt;="&amp;C187,CBIC_Late_Fee_Relief_Windows_1!$G$100:$G$187,"&gt;="&amp;C187,CBIC_Late_Fee_Relief_Windows_1!$H$100:$H$187,D187)</f>
        <v>#NAME?</v>
      </c>
      <c r="H187" t="e">
        <f t="shared" ca="1" si="2"/>
        <v>#NAME?</v>
      </c>
      <c r="I187" t="e">
        <f ca="1">INDEX(CBIC_Late_Fee_Relief_Windows_1!$B$100:$B$187,MATCH(G187,CBIC_Late_Fee_Relief_Windows_1!$I$100:$I$187,0))</f>
        <v>#NAME?</v>
      </c>
    </row>
    <row r="188" spans="1:9" x14ac:dyDescent="0.55000000000000004">
      <c r="A188" t="str">
        <f>TEST_DATA!A188</f>
        <v>27AAAAA0188Z5</v>
      </c>
      <c r="B188" t="str">
        <f>TEST_DATA!B188</f>
        <v>Apr-2021</v>
      </c>
      <c r="C188">
        <f>TEST_DATA!C188</f>
        <v>43634</v>
      </c>
      <c r="D188" t="str">
        <f>TEST_DATA!D188</f>
        <v>NON-NIL</v>
      </c>
      <c r="E188">
        <f>TEST_DATA!E188</f>
        <v>2182</v>
      </c>
      <c r="F188">
        <f>MIN(E188*18800,10000)</f>
        <v>10000</v>
      </c>
      <c r="G188" t="e">
        <f ca="1">_xludf.MINIFS(CBIC_Late_Fee_Relief_Windows_1!$I$100:$I$188,CBIC_Late_Fee_Relief_Windows_1!$D$100:$D$188,"&lt;="&amp;B188,CBIC_Late_Fee_Relief_Windows_1!$E$100:$E$188,"&gt;="&amp;B188,CBIC_Late_Fee_Relief_Windows_1!$F$100:$F$188,"&lt;="&amp;C188,CBIC_Late_Fee_Relief_Windows_1!$G$100:$G$188,"&gt;="&amp;C188,CBIC_Late_Fee_Relief_Windows_1!$H$100:$H$188,D188)</f>
        <v>#NAME?</v>
      </c>
      <c r="H188" t="e">
        <f t="shared" ca="1" si="2"/>
        <v>#NAME?</v>
      </c>
      <c r="I188" t="e">
        <f ca="1">INDEX(CBIC_Late_Fee_Relief_Windows_1!$B$100:$B$188,MATCH(G188,CBIC_Late_Fee_Relief_Windows_1!$I$100:$I$188,0))</f>
        <v>#NAME?</v>
      </c>
    </row>
    <row r="189" spans="1:9" x14ac:dyDescent="0.55000000000000004">
      <c r="A189" t="str">
        <f>TEST_DATA!A189</f>
        <v>27AAAAA0189Z5</v>
      </c>
      <c r="B189" t="str">
        <f>TEST_DATA!B189</f>
        <v>Aug-2018</v>
      </c>
      <c r="C189">
        <f>TEST_DATA!C189</f>
        <v>44271</v>
      </c>
      <c r="D189" t="str">
        <f>TEST_DATA!D189</f>
        <v>NON-NIL</v>
      </c>
      <c r="E189">
        <f>TEST_DATA!E189</f>
        <v>282</v>
      </c>
      <c r="F189">
        <f>MIN(E189*18900,10000)</f>
        <v>10000</v>
      </c>
      <c r="G189" t="e">
        <f ca="1">_xludf.MINIFS(CBIC_Late_Fee_Relief_Windows_1!$I$100:$I$189,CBIC_Late_Fee_Relief_Windows_1!$D$100:$D$189,"&lt;="&amp;B189,CBIC_Late_Fee_Relief_Windows_1!$E$100:$E$189,"&gt;="&amp;B189,CBIC_Late_Fee_Relief_Windows_1!$F$100:$F$189,"&lt;="&amp;C189,CBIC_Late_Fee_Relief_Windows_1!$G$100:$G$189,"&gt;="&amp;C189,CBIC_Late_Fee_Relief_Windows_1!$H$100:$H$189,D189)</f>
        <v>#NAME?</v>
      </c>
      <c r="H189" t="e">
        <f t="shared" ca="1" si="2"/>
        <v>#NAME?</v>
      </c>
      <c r="I189" t="e">
        <f ca="1">INDEX(CBIC_Late_Fee_Relief_Windows_1!$B$100:$B$189,MATCH(G189,CBIC_Late_Fee_Relief_Windows_1!$I$100:$I$189,0))</f>
        <v>#NAME?</v>
      </c>
    </row>
    <row r="190" spans="1:9" x14ac:dyDescent="0.55000000000000004">
      <c r="A190" t="str">
        <f>TEST_DATA!A190</f>
        <v>27AAAAA0190Z5</v>
      </c>
      <c r="B190" t="str">
        <f>TEST_DATA!B190</f>
        <v>Jun-2019</v>
      </c>
      <c r="C190">
        <f>TEST_DATA!C190</f>
        <v>44863</v>
      </c>
      <c r="D190" t="str">
        <f>TEST_DATA!D190</f>
        <v>NIL</v>
      </c>
      <c r="E190">
        <f>TEST_DATA!E190</f>
        <v>1720</v>
      </c>
      <c r="F190">
        <f>MIN(E190*19000,10000)</f>
        <v>10000</v>
      </c>
      <c r="G190" t="e">
        <f ca="1">_xludf.MINIFS(CBIC_Late_Fee_Relief_Windows_1!$I$100:$I$190,CBIC_Late_Fee_Relief_Windows_1!$D$100:$D$190,"&lt;="&amp;B190,CBIC_Late_Fee_Relief_Windows_1!$E$100:$E$190,"&gt;="&amp;B190,CBIC_Late_Fee_Relief_Windows_1!$F$100:$F$190,"&lt;="&amp;C190,CBIC_Late_Fee_Relief_Windows_1!$G$100:$G$190,"&gt;="&amp;C190,CBIC_Late_Fee_Relief_Windows_1!$H$100:$H$190,D190)</f>
        <v>#NAME?</v>
      </c>
      <c r="H190" t="e">
        <f t="shared" ca="1" si="2"/>
        <v>#NAME?</v>
      </c>
      <c r="I190" t="e">
        <f ca="1">INDEX(CBIC_Late_Fee_Relief_Windows_1!$B$100:$B$190,MATCH(G190,CBIC_Late_Fee_Relief_Windows_1!$I$100:$I$190,0))</f>
        <v>#NAME?</v>
      </c>
    </row>
    <row r="191" spans="1:9" x14ac:dyDescent="0.55000000000000004">
      <c r="A191" t="str">
        <f>TEST_DATA!A191</f>
        <v>27AAAAA0191Z5</v>
      </c>
      <c r="B191" t="str">
        <f>TEST_DATA!B191</f>
        <v>Dec-2022</v>
      </c>
      <c r="C191">
        <f>TEST_DATA!C191</f>
        <v>45473</v>
      </c>
      <c r="D191" t="str">
        <f>TEST_DATA!D191</f>
        <v>NIL</v>
      </c>
      <c r="E191">
        <f>TEST_DATA!E191</f>
        <v>1775</v>
      </c>
      <c r="F191">
        <f>MIN(E191*19100,10000)</f>
        <v>10000</v>
      </c>
      <c r="G191" t="e">
        <f ca="1">_xludf.MINIFS(CBIC_Late_Fee_Relief_Windows_1!$I$100:$I$191,CBIC_Late_Fee_Relief_Windows_1!$D$100:$D$191,"&lt;="&amp;B191,CBIC_Late_Fee_Relief_Windows_1!$E$100:$E$191,"&gt;="&amp;B191,CBIC_Late_Fee_Relief_Windows_1!$F$100:$F$191,"&lt;="&amp;C191,CBIC_Late_Fee_Relief_Windows_1!$G$100:$G$191,"&gt;="&amp;C191,CBIC_Late_Fee_Relief_Windows_1!$H$100:$H$191,D191)</f>
        <v>#NAME?</v>
      </c>
      <c r="H191" t="e">
        <f t="shared" ca="1" si="2"/>
        <v>#NAME?</v>
      </c>
      <c r="I191" t="e">
        <f ca="1">INDEX(CBIC_Late_Fee_Relief_Windows_1!$B$100:$B$191,MATCH(G191,CBIC_Late_Fee_Relief_Windows_1!$I$100:$I$191,0))</f>
        <v>#NAME?</v>
      </c>
    </row>
    <row r="192" spans="1:9" x14ac:dyDescent="0.55000000000000004">
      <c r="A192" t="str">
        <f>TEST_DATA!A192</f>
        <v>27AAAAA0192Z5</v>
      </c>
      <c r="B192" t="str">
        <f>TEST_DATA!B192</f>
        <v>Jun-2018</v>
      </c>
      <c r="C192">
        <f>TEST_DATA!C192</f>
        <v>44218</v>
      </c>
      <c r="D192" t="str">
        <f>TEST_DATA!D192</f>
        <v>NON-NIL</v>
      </c>
      <c r="E192">
        <f>TEST_DATA!E192</f>
        <v>2897</v>
      </c>
      <c r="F192">
        <f>MIN(E192*19200,10000)</f>
        <v>10000</v>
      </c>
      <c r="G192" t="e">
        <f ca="1">_xludf.MINIFS(CBIC_Late_Fee_Relief_Windows_1!$I$100:$I$192,CBIC_Late_Fee_Relief_Windows_1!$D$100:$D$192,"&lt;="&amp;B192,CBIC_Late_Fee_Relief_Windows_1!$E$100:$E$192,"&gt;="&amp;B192,CBIC_Late_Fee_Relief_Windows_1!$F$100:$F$192,"&lt;="&amp;C192,CBIC_Late_Fee_Relief_Windows_1!$G$100:$G$192,"&gt;="&amp;C192,CBIC_Late_Fee_Relief_Windows_1!$H$100:$H$192,D192)</f>
        <v>#NAME?</v>
      </c>
      <c r="H192" t="e">
        <f t="shared" ca="1" si="2"/>
        <v>#NAME?</v>
      </c>
      <c r="I192" t="e">
        <f ca="1">INDEX(CBIC_Late_Fee_Relief_Windows_1!$B$100:$B$192,MATCH(G192,CBIC_Late_Fee_Relief_Windows_1!$I$100:$I$192,0))</f>
        <v>#NAME?</v>
      </c>
    </row>
    <row r="193" spans="1:9" x14ac:dyDescent="0.55000000000000004">
      <c r="A193" t="str">
        <f>TEST_DATA!A193</f>
        <v>27AAAAA0193Z5</v>
      </c>
      <c r="B193" t="str">
        <f>TEST_DATA!B193</f>
        <v>Nov-2017</v>
      </c>
      <c r="C193">
        <f>TEST_DATA!C193</f>
        <v>43808</v>
      </c>
      <c r="D193" t="str">
        <f>TEST_DATA!D193</f>
        <v>NIL</v>
      </c>
      <c r="E193">
        <f>TEST_DATA!E193</f>
        <v>2137</v>
      </c>
      <c r="F193">
        <f>MIN(E193*19300,10000)</f>
        <v>10000</v>
      </c>
      <c r="G193" t="e">
        <f ca="1">_xludf.MINIFS(CBIC_Late_Fee_Relief_Windows_1!$I$100:$I$193,CBIC_Late_Fee_Relief_Windows_1!$D$100:$D$193,"&lt;="&amp;B193,CBIC_Late_Fee_Relief_Windows_1!$E$100:$E$193,"&gt;="&amp;B193,CBIC_Late_Fee_Relief_Windows_1!$F$100:$F$193,"&lt;="&amp;C193,CBIC_Late_Fee_Relief_Windows_1!$G$100:$G$193,"&gt;="&amp;C193,CBIC_Late_Fee_Relief_Windows_1!$H$100:$H$193,D193)</f>
        <v>#NAME?</v>
      </c>
      <c r="H193" t="e">
        <f t="shared" ca="1" si="2"/>
        <v>#NAME?</v>
      </c>
      <c r="I193" t="e">
        <f ca="1">INDEX(CBIC_Late_Fee_Relief_Windows_1!$B$100:$B$193,MATCH(G193,CBIC_Late_Fee_Relief_Windows_1!$I$100:$I$193,0))</f>
        <v>#NAME?</v>
      </c>
    </row>
    <row r="194" spans="1:9" x14ac:dyDescent="0.55000000000000004">
      <c r="A194" t="str">
        <f>TEST_DATA!A194</f>
        <v>27AAAAA0194Z5</v>
      </c>
      <c r="B194" t="str">
        <f>TEST_DATA!B194</f>
        <v>May-2020</v>
      </c>
      <c r="C194">
        <f>TEST_DATA!C194</f>
        <v>44384</v>
      </c>
      <c r="D194" t="str">
        <f>TEST_DATA!D194</f>
        <v>NON-NIL</v>
      </c>
      <c r="E194">
        <f>TEST_DATA!E194</f>
        <v>1904</v>
      </c>
      <c r="F194">
        <f>MIN(E194*19400,10000)</f>
        <v>10000</v>
      </c>
      <c r="G194" t="e">
        <f ca="1">_xludf.MINIFS(CBIC_Late_Fee_Relief_Windows_1!$I$100:$I$194,CBIC_Late_Fee_Relief_Windows_1!$D$100:$D$194,"&lt;="&amp;B194,CBIC_Late_Fee_Relief_Windows_1!$E$100:$E$194,"&gt;="&amp;B194,CBIC_Late_Fee_Relief_Windows_1!$F$100:$F$194,"&lt;="&amp;C194,CBIC_Late_Fee_Relief_Windows_1!$G$100:$G$194,"&gt;="&amp;C194,CBIC_Late_Fee_Relief_Windows_1!$H$100:$H$194,D194)</f>
        <v>#NAME?</v>
      </c>
      <c r="H194" t="e">
        <f t="shared" ref="H194:H257" ca="1" si="3">MIN(F194,G194)</f>
        <v>#NAME?</v>
      </c>
      <c r="I194" t="e">
        <f ca="1">INDEX(CBIC_Late_Fee_Relief_Windows_1!$B$100:$B$194,MATCH(G194,CBIC_Late_Fee_Relief_Windows_1!$I$100:$I$194,0))</f>
        <v>#NAME?</v>
      </c>
    </row>
    <row r="195" spans="1:9" x14ac:dyDescent="0.55000000000000004">
      <c r="A195" t="str">
        <f>TEST_DATA!A195</f>
        <v>27AAAAA0195Z5</v>
      </c>
      <c r="B195" t="str">
        <f>TEST_DATA!B195</f>
        <v>Aug-2018</v>
      </c>
      <c r="C195">
        <f>TEST_DATA!C195</f>
        <v>44414</v>
      </c>
      <c r="D195" t="str">
        <f>TEST_DATA!D195</f>
        <v>NON-NIL</v>
      </c>
      <c r="E195">
        <f>TEST_DATA!E195</f>
        <v>1320</v>
      </c>
      <c r="F195">
        <f>MIN(E195*19500,10000)</f>
        <v>10000</v>
      </c>
      <c r="G195" t="e">
        <f ca="1">_xludf.MINIFS(CBIC_Late_Fee_Relief_Windows_1!$I$100:$I$195,CBIC_Late_Fee_Relief_Windows_1!$D$100:$D$195,"&lt;="&amp;B195,CBIC_Late_Fee_Relief_Windows_1!$E$100:$E$195,"&gt;="&amp;B195,CBIC_Late_Fee_Relief_Windows_1!$F$100:$F$195,"&lt;="&amp;C195,CBIC_Late_Fee_Relief_Windows_1!$G$100:$G$195,"&gt;="&amp;C195,CBIC_Late_Fee_Relief_Windows_1!$H$100:$H$195,D195)</f>
        <v>#NAME?</v>
      </c>
      <c r="H195" t="e">
        <f t="shared" ca="1" si="3"/>
        <v>#NAME?</v>
      </c>
      <c r="I195" t="e">
        <f ca="1">INDEX(CBIC_Late_Fee_Relief_Windows_1!$B$100:$B$195,MATCH(G195,CBIC_Late_Fee_Relief_Windows_1!$I$100:$I$195,0))</f>
        <v>#NAME?</v>
      </c>
    </row>
    <row r="196" spans="1:9" x14ac:dyDescent="0.55000000000000004">
      <c r="A196" t="str">
        <f>TEST_DATA!A196</f>
        <v>27AAAAA0196Z5</v>
      </c>
      <c r="B196" t="str">
        <f>TEST_DATA!B196</f>
        <v>Mar-2023</v>
      </c>
      <c r="C196">
        <f>TEST_DATA!C196</f>
        <v>44471</v>
      </c>
      <c r="D196" t="str">
        <f>TEST_DATA!D196</f>
        <v>NIL</v>
      </c>
      <c r="E196">
        <f>TEST_DATA!E196</f>
        <v>1142</v>
      </c>
      <c r="F196">
        <f>MIN(E196*19600,10000)</f>
        <v>10000</v>
      </c>
      <c r="G196" t="e">
        <f ca="1">_xludf.MINIFS(CBIC_Late_Fee_Relief_Windows_1!$I$100:$I$196,CBIC_Late_Fee_Relief_Windows_1!$D$100:$D$196,"&lt;="&amp;B196,CBIC_Late_Fee_Relief_Windows_1!$E$100:$E$196,"&gt;="&amp;B196,CBIC_Late_Fee_Relief_Windows_1!$F$100:$F$196,"&lt;="&amp;C196,CBIC_Late_Fee_Relief_Windows_1!$G$100:$G$196,"&gt;="&amp;C196,CBIC_Late_Fee_Relief_Windows_1!$H$100:$H$196,D196)</f>
        <v>#NAME?</v>
      </c>
      <c r="H196" t="e">
        <f t="shared" ca="1" si="3"/>
        <v>#NAME?</v>
      </c>
      <c r="I196" t="e">
        <f ca="1">INDEX(CBIC_Late_Fee_Relief_Windows_1!$B$100:$B$196,MATCH(G196,CBIC_Late_Fee_Relief_Windows_1!$I$100:$I$196,0))</f>
        <v>#NAME?</v>
      </c>
    </row>
    <row r="197" spans="1:9" x14ac:dyDescent="0.55000000000000004">
      <c r="A197" t="str">
        <f>TEST_DATA!A197</f>
        <v>27AAAAA0197Z5</v>
      </c>
      <c r="B197" t="str">
        <f>TEST_DATA!B197</f>
        <v>Dec-2024</v>
      </c>
      <c r="C197">
        <f>TEST_DATA!C197</f>
        <v>45312</v>
      </c>
      <c r="D197" t="str">
        <f>TEST_DATA!D197</f>
        <v>NIL</v>
      </c>
      <c r="E197">
        <f>TEST_DATA!E197</f>
        <v>1903</v>
      </c>
      <c r="F197">
        <f>MIN(E197*19700,10000)</f>
        <v>10000</v>
      </c>
      <c r="G197" t="e">
        <f ca="1">_xludf.MINIFS(CBIC_Late_Fee_Relief_Windows_1!$I$100:$I$197,CBIC_Late_Fee_Relief_Windows_1!$D$100:$D$197,"&lt;="&amp;B197,CBIC_Late_Fee_Relief_Windows_1!$E$100:$E$197,"&gt;="&amp;B197,CBIC_Late_Fee_Relief_Windows_1!$F$100:$F$197,"&lt;="&amp;C197,CBIC_Late_Fee_Relief_Windows_1!$G$100:$G$197,"&gt;="&amp;C197,CBIC_Late_Fee_Relief_Windows_1!$H$100:$H$197,D197)</f>
        <v>#NAME?</v>
      </c>
      <c r="H197" t="e">
        <f t="shared" ca="1" si="3"/>
        <v>#NAME?</v>
      </c>
      <c r="I197" t="e">
        <f ca="1">INDEX(CBIC_Late_Fee_Relief_Windows_1!$B$100:$B$197,MATCH(G197,CBIC_Late_Fee_Relief_Windows_1!$I$100:$I$197,0))</f>
        <v>#NAME?</v>
      </c>
    </row>
    <row r="198" spans="1:9" x14ac:dyDescent="0.55000000000000004">
      <c r="A198" t="str">
        <f>TEST_DATA!A198</f>
        <v>27AAAAA0198Z5</v>
      </c>
      <c r="B198" t="str">
        <f>TEST_DATA!B198</f>
        <v>Mar-2020</v>
      </c>
      <c r="C198">
        <f>TEST_DATA!C198</f>
        <v>44607</v>
      </c>
      <c r="D198" t="str">
        <f>TEST_DATA!D198</f>
        <v>NON-NIL</v>
      </c>
      <c r="E198">
        <f>TEST_DATA!E198</f>
        <v>117</v>
      </c>
      <c r="F198">
        <f>MIN(E198*19800,10000)</f>
        <v>10000</v>
      </c>
      <c r="G198" t="e">
        <f ca="1">_xludf.MINIFS(CBIC_Late_Fee_Relief_Windows_1!$I$100:$I$198,CBIC_Late_Fee_Relief_Windows_1!$D$100:$D$198,"&lt;="&amp;B198,CBIC_Late_Fee_Relief_Windows_1!$E$100:$E$198,"&gt;="&amp;B198,CBIC_Late_Fee_Relief_Windows_1!$F$100:$F$198,"&lt;="&amp;C198,CBIC_Late_Fee_Relief_Windows_1!$G$100:$G$198,"&gt;="&amp;C198,CBIC_Late_Fee_Relief_Windows_1!$H$100:$H$198,D198)</f>
        <v>#NAME?</v>
      </c>
      <c r="H198" t="e">
        <f t="shared" ca="1" si="3"/>
        <v>#NAME?</v>
      </c>
      <c r="I198" t="e">
        <f ca="1">INDEX(CBIC_Late_Fee_Relief_Windows_1!$B$100:$B$198,MATCH(G198,CBIC_Late_Fee_Relief_Windows_1!$I$100:$I$198,0))</f>
        <v>#NAME?</v>
      </c>
    </row>
    <row r="199" spans="1:9" x14ac:dyDescent="0.55000000000000004">
      <c r="A199" t="str">
        <f>TEST_DATA!A199</f>
        <v>27AAAAA0199Z5</v>
      </c>
      <c r="B199" t="str">
        <f>TEST_DATA!B199</f>
        <v>Jan-2019</v>
      </c>
      <c r="C199">
        <f>TEST_DATA!C199</f>
        <v>44797</v>
      </c>
      <c r="D199" t="str">
        <f>TEST_DATA!D199</f>
        <v>NIL</v>
      </c>
      <c r="E199">
        <f>TEST_DATA!E199</f>
        <v>1997</v>
      </c>
      <c r="F199">
        <f>MIN(E199*19900,10000)</f>
        <v>10000</v>
      </c>
      <c r="G199" t="e">
        <f ca="1">_xludf.MINIFS(CBIC_Late_Fee_Relief_Windows_1!$I$100:$I$199,CBIC_Late_Fee_Relief_Windows_1!$D$100:$D$199,"&lt;="&amp;B199,CBIC_Late_Fee_Relief_Windows_1!$E$100:$E$199,"&gt;="&amp;B199,CBIC_Late_Fee_Relief_Windows_1!$F$100:$F$199,"&lt;="&amp;C199,CBIC_Late_Fee_Relief_Windows_1!$G$100:$G$199,"&gt;="&amp;C199,CBIC_Late_Fee_Relief_Windows_1!$H$100:$H$199,D199)</f>
        <v>#NAME?</v>
      </c>
      <c r="H199" t="e">
        <f t="shared" ca="1" si="3"/>
        <v>#NAME?</v>
      </c>
      <c r="I199" t="e">
        <f ca="1">INDEX(CBIC_Late_Fee_Relief_Windows_1!$B$100:$B$199,MATCH(G199,CBIC_Late_Fee_Relief_Windows_1!$I$100:$I$199,0))</f>
        <v>#NAME?</v>
      </c>
    </row>
    <row r="200" spans="1:9" x14ac:dyDescent="0.55000000000000004">
      <c r="A200" t="str">
        <f>TEST_DATA!A200</f>
        <v>27AAAAA0200Z5</v>
      </c>
      <c r="B200" t="str">
        <f>TEST_DATA!B200</f>
        <v>Jan-2018</v>
      </c>
      <c r="C200">
        <f>TEST_DATA!C200</f>
        <v>43643</v>
      </c>
      <c r="D200" t="str">
        <f>TEST_DATA!D200</f>
        <v>NON-NIL</v>
      </c>
      <c r="E200">
        <f>TEST_DATA!E200</f>
        <v>1394</v>
      </c>
      <c r="F200">
        <f>MIN(E200*20000,10000)</f>
        <v>10000</v>
      </c>
      <c r="G200" t="e">
        <f ca="1">_xludf.MINIFS(CBIC_Late_Fee_Relief_Windows_1!$I$100:$I$200,CBIC_Late_Fee_Relief_Windows_1!$D$100:$D$200,"&lt;="&amp;B200,CBIC_Late_Fee_Relief_Windows_1!$E$100:$E$200,"&gt;="&amp;B200,CBIC_Late_Fee_Relief_Windows_1!$F$100:$F$200,"&lt;="&amp;C200,CBIC_Late_Fee_Relief_Windows_1!$G$100:$G$200,"&gt;="&amp;C200,CBIC_Late_Fee_Relief_Windows_1!$H$100:$H$200,D200)</f>
        <v>#NAME?</v>
      </c>
      <c r="H200" t="e">
        <f t="shared" ca="1" si="3"/>
        <v>#NAME?</v>
      </c>
      <c r="I200" t="e">
        <f ca="1">INDEX(CBIC_Late_Fee_Relief_Windows_1!$B$100:$B$200,MATCH(G200,CBIC_Late_Fee_Relief_Windows_1!$I$100:$I$200,0))</f>
        <v>#NAME?</v>
      </c>
    </row>
    <row r="201" spans="1:9" x14ac:dyDescent="0.55000000000000004">
      <c r="A201" t="str">
        <f>TEST_DATA!A201</f>
        <v>27AAAAA0201Z5</v>
      </c>
      <c r="B201" t="str">
        <f>TEST_DATA!B201</f>
        <v>Mar-2018</v>
      </c>
      <c r="C201">
        <f>TEST_DATA!C201</f>
        <v>44137</v>
      </c>
      <c r="D201" t="str">
        <f>TEST_DATA!D201</f>
        <v>NON-NIL</v>
      </c>
      <c r="E201">
        <f>TEST_DATA!E201</f>
        <v>2276</v>
      </c>
      <c r="F201">
        <f>MIN(E201*20100,10000)</f>
        <v>10000</v>
      </c>
      <c r="G201" t="e">
        <f ca="1">_xludf.MINIFS(CBIC_Late_Fee_Relief_Windows_1!$I$100:$I$201,CBIC_Late_Fee_Relief_Windows_1!$D$100:$D$201,"&lt;="&amp;B201,CBIC_Late_Fee_Relief_Windows_1!$E$100:$E$201,"&gt;="&amp;B201,CBIC_Late_Fee_Relief_Windows_1!$F$100:$F$201,"&lt;="&amp;C201,CBIC_Late_Fee_Relief_Windows_1!$G$100:$G$201,"&gt;="&amp;C201,CBIC_Late_Fee_Relief_Windows_1!$H$100:$H$201,D201)</f>
        <v>#NAME?</v>
      </c>
      <c r="H201" t="e">
        <f t="shared" ca="1" si="3"/>
        <v>#NAME?</v>
      </c>
      <c r="I201" t="e">
        <f ca="1">INDEX(CBIC_Late_Fee_Relief_Windows_1!$B$100:$B$201,MATCH(G201,CBIC_Late_Fee_Relief_Windows_1!$I$100:$I$201,0))</f>
        <v>#NAME?</v>
      </c>
    </row>
    <row r="202" spans="1:9" x14ac:dyDescent="0.55000000000000004">
      <c r="A202" t="str">
        <f>TEST_DATA!A202</f>
        <v>27AAAAA0202Z5</v>
      </c>
      <c r="B202" t="str">
        <f>TEST_DATA!B202</f>
        <v>Jul-2017</v>
      </c>
      <c r="C202">
        <f>TEST_DATA!C202</f>
        <v>43975</v>
      </c>
      <c r="D202" t="str">
        <f>TEST_DATA!D202</f>
        <v>NIL</v>
      </c>
      <c r="E202">
        <f>TEST_DATA!E202</f>
        <v>350</v>
      </c>
      <c r="F202">
        <f>MIN(E202*20200,10000)</f>
        <v>10000</v>
      </c>
      <c r="G202" t="e">
        <f ca="1">_xludf.MINIFS(CBIC_Late_Fee_Relief_Windows_1!$I$100:$I$202,CBIC_Late_Fee_Relief_Windows_1!$D$100:$D$202,"&lt;="&amp;B202,CBIC_Late_Fee_Relief_Windows_1!$E$100:$E$202,"&gt;="&amp;B202,CBIC_Late_Fee_Relief_Windows_1!$F$100:$F$202,"&lt;="&amp;C202,CBIC_Late_Fee_Relief_Windows_1!$G$100:$G$202,"&gt;="&amp;C202,CBIC_Late_Fee_Relief_Windows_1!$H$100:$H$202,D202)</f>
        <v>#NAME?</v>
      </c>
      <c r="H202" t="e">
        <f t="shared" ca="1" si="3"/>
        <v>#NAME?</v>
      </c>
      <c r="I202" t="e">
        <f ca="1">INDEX(CBIC_Late_Fee_Relief_Windows_1!$B$100:$B$202,MATCH(G202,CBIC_Late_Fee_Relief_Windows_1!$I$100:$I$202,0))</f>
        <v>#NAME?</v>
      </c>
    </row>
    <row r="203" spans="1:9" x14ac:dyDescent="0.55000000000000004">
      <c r="A203" t="str">
        <f>TEST_DATA!A203</f>
        <v>27AAAAA0203Z5</v>
      </c>
      <c r="B203" t="str">
        <f>TEST_DATA!B203</f>
        <v>Feb-2018</v>
      </c>
      <c r="C203">
        <f>TEST_DATA!C203</f>
        <v>44391</v>
      </c>
      <c r="D203" t="str">
        <f>TEST_DATA!D203</f>
        <v>NON-NIL</v>
      </c>
      <c r="E203">
        <f>TEST_DATA!E203</f>
        <v>2001</v>
      </c>
      <c r="F203">
        <f>MIN(E203*20300,10000)</f>
        <v>10000</v>
      </c>
      <c r="G203" t="e">
        <f ca="1">_xludf.MINIFS(CBIC_Late_Fee_Relief_Windows_1!$I$100:$I$203,CBIC_Late_Fee_Relief_Windows_1!$D$100:$D$203,"&lt;="&amp;B203,CBIC_Late_Fee_Relief_Windows_1!$E$100:$E$203,"&gt;="&amp;B203,CBIC_Late_Fee_Relief_Windows_1!$F$100:$F$203,"&lt;="&amp;C203,CBIC_Late_Fee_Relief_Windows_1!$G$100:$G$203,"&gt;="&amp;C203,CBIC_Late_Fee_Relief_Windows_1!$H$100:$H$203,D203)</f>
        <v>#NAME?</v>
      </c>
      <c r="H203" t="e">
        <f t="shared" ca="1" si="3"/>
        <v>#NAME?</v>
      </c>
      <c r="I203" t="e">
        <f ca="1">INDEX(CBIC_Late_Fee_Relief_Windows_1!$B$100:$B$203,MATCH(G203,CBIC_Late_Fee_Relief_Windows_1!$I$100:$I$203,0))</f>
        <v>#NAME?</v>
      </c>
    </row>
    <row r="204" spans="1:9" x14ac:dyDescent="0.55000000000000004">
      <c r="A204" t="str">
        <f>TEST_DATA!A204</f>
        <v>27AAAAA0204Z5</v>
      </c>
      <c r="B204" t="str">
        <f>TEST_DATA!B204</f>
        <v>Dec-2019</v>
      </c>
      <c r="C204">
        <f>TEST_DATA!C204</f>
        <v>44450</v>
      </c>
      <c r="D204" t="str">
        <f>TEST_DATA!D204</f>
        <v>NON-NIL</v>
      </c>
      <c r="E204">
        <f>TEST_DATA!E204</f>
        <v>2645</v>
      </c>
      <c r="F204">
        <f>MIN(E204*20400,10000)</f>
        <v>10000</v>
      </c>
      <c r="G204" t="e">
        <f ca="1">_xludf.MINIFS(CBIC_Late_Fee_Relief_Windows_1!$I$100:$I$204,CBIC_Late_Fee_Relief_Windows_1!$D$100:$D$204,"&lt;="&amp;B204,CBIC_Late_Fee_Relief_Windows_1!$E$100:$E$204,"&gt;="&amp;B204,CBIC_Late_Fee_Relief_Windows_1!$F$100:$F$204,"&lt;="&amp;C204,CBIC_Late_Fee_Relief_Windows_1!$G$100:$G$204,"&gt;="&amp;C204,CBIC_Late_Fee_Relief_Windows_1!$H$100:$H$204,D204)</f>
        <v>#NAME?</v>
      </c>
      <c r="H204" t="e">
        <f t="shared" ca="1" si="3"/>
        <v>#NAME?</v>
      </c>
      <c r="I204" t="e">
        <f ca="1">INDEX(CBIC_Late_Fee_Relief_Windows_1!$B$100:$B$204,MATCH(G204,CBIC_Late_Fee_Relief_Windows_1!$I$100:$I$204,0))</f>
        <v>#NAME?</v>
      </c>
    </row>
    <row r="205" spans="1:9" x14ac:dyDescent="0.55000000000000004">
      <c r="A205" t="str">
        <f>TEST_DATA!A205</f>
        <v>27AAAAA0205Z5</v>
      </c>
      <c r="B205" t="str">
        <f>TEST_DATA!B205</f>
        <v>Jul-2020</v>
      </c>
      <c r="C205">
        <f>TEST_DATA!C205</f>
        <v>44836</v>
      </c>
      <c r="D205" t="str">
        <f>TEST_DATA!D205</f>
        <v>NON-NIL</v>
      </c>
      <c r="E205">
        <f>TEST_DATA!E205</f>
        <v>70</v>
      </c>
      <c r="F205">
        <f>MIN(E205*20500,10000)</f>
        <v>10000</v>
      </c>
      <c r="G205" t="e">
        <f ca="1">_xludf.MINIFS(CBIC_Late_Fee_Relief_Windows_1!$I$100:$I$205,CBIC_Late_Fee_Relief_Windows_1!$D$100:$D$205,"&lt;="&amp;B205,CBIC_Late_Fee_Relief_Windows_1!$E$100:$E$205,"&gt;="&amp;B205,CBIC_Late_Fee_Relief_Windows_1!$F$100:$F$205,"&lt;="&amp;C205,CBIC_Late_Fee_Relief_Windows_1!$G$100:$G$205,"&gt;="&amp;C205,CBIC_Late_Fee_Relief_Windows_1!$H$100:$H$205,D205)</f>
        <v>#NAME?</v>
      </c>
      <c r="H205" t="e">
        <f t="shared" ca="1" si="3"/>
        <v>#NAME?</v>
      </c>
      <c r="I205" t="e">
        <f ca="1">INDEX(CBIC_Late_Fee_Relief_Windows_1!$B$100:$B$205,MATCH(G205,CBIC_Late_Fee_Relief_Windows_1!$I$100:$I$205,0))</f>
        <v>#NAME?</v>
      </c>
    </row>
    <row r="206" spans="1:9" x14ac:dyDescent="0.55000000000000004">
      <c r="A206" t="str">
        <f>TEST_DATA!A206</f>
        <v>27AAAAA0206Z5</v>
      </c>
      <c r="B206" t="str">
        <f>TEST_DATA!B206</f>
        <v>Sep-2017</v>
      </c>
      <c r="C206">
        <f>TEST_DATA!C206</f>
        <v>43519</v>
      </c>
      <c r="D206" t="str">
        <f>TEST_DATA!D206</f>
        <v>NIL</v>
      </c>
      <c r="E206">
        <f>TEST_DATA!E206</f>
        <v>1656</v>
      </c>
      <c r="F206">
        <f>MIN(E206*20600,10000)</f>
        <v>10000</v>
      </c>
      <c r="G206" t="e">
        <f ca="1">_xludf.MINIFS(CBIC_Late_Fee_Relief_Windows_1!$I$100:$I$206,CBIC_Late_Fee_Relief_Windows_1!$D$100:$D$206,"&lt;="&amp;B206,CBIC_Late_Fee_Relief_Windows_1!$E$100:$E$206,"&gt;="&amp;B206,CBIC_Late_Fee_Relief_Windows_1!$F$100:$F$206,"&lt;="&amp;C206,CBIC_Late_Fee_Relief_Windows_1!$G$100:$G$206,"&gt;="&amp;C206,CBIC_Late_Fee_Relief_Windows_1!$H$100:$H$206,D206)</f>
        <v>#NAME?</v>
      </c>
      <c r="H206" t="e">
        <f t="shared" ca="1" si="3"/>
        <v>#NAME?</v>
      </c>
      <c r="I206" t="e">
        <f ca="1">INDEX(CBIC_Late_Fee_Relief_Windows_1!$B$100:$B$206,MATCH(G206,CBIC_Late_Fee_Relief_Windows_1!$I$100:$I$206,0))</f>
        <v>#NAME?</v>
      </c>
    </row>
    <row r="207" spans="1:9" x14ac:dyDescent="0.55000000000000004">
      <c r="A207" t="str">
        <f>TEST_DATA!A207</f>
        <v>27AAAAA0207Z5</v>
      </c>
      <c r="B207" t="str">
        <f>TEST_DATA!B207</f>
        <v>Jul-2020</v>
      </c>
      <c r="C207">
        <f>TEST_DATA!C207</f>
        <v>44329</v>
      </c>
      <c r="D207" t="str">
        <f>TEST_DATA!D207</f>
        <v>NON-NIL</v>
      </c>
      <c r="E207">
        <f>TEST_DATA!E207</f>
        <v>2719</v>
      </c>
      <c r="F207">
        <f>MIN(E207*20700,10000)</f>
        <v>10000</v>
      </c>
      <c r="G207" t="e">
        <f ca="1">_xludf.MINIFS(CBIC_Late_Fee_Relief_Windows_1!$I$100:$I$207,CBIC_Late_Fee_Relief_Windows_1!$D$100:$D$207,"&lt;="&amp;B207,CBIC_Late_Fee_Relief_Windows_1!$E$100:$E$207,"&gt;="&amp;B207,CBIC_Late_Fee_Relief_Windows_1!$F$100:$F$207,"&lt;="&amp;C207,CBIC_Late_Fee_Relief_Windows_1!$G$100:$G$207,"&gt;="&amp;C207,CBIC_Late_Fee_Relief_Windows_1!$H$100:$H$207,D207)</f>
        <v>#NAME?</v>
      </c>
      <c r="H207" t="e">
        <f t="shared" ca="1" si="3"/>
        <v>#NAME?</v>
      </c>
      <c r="I207" t="e">
        <f ca="1">INDEX(CBIC_Late_Fee_Relief_Windows_1!$B$100:$B$207,MATCH(G207,CBIC_Late_Fee_Relief_Windows_1!$I$100:$I$207,0))</f>
        <v>#NAME?</v>
      </c>
    </row>
    <row r="208" spans="1:9" x14ac:dyDescent="0.55000000000000004">
      <c r="A208" t="str">
        <f>TEST_DATA!A208</f>
        <v>27AAAAA0208Z5</v>
      </c>
      <c r="B208" t="str">
        <f>TEST_DATA!B208</f>
        <v>Mar-2020</v>
      </c>
      <c r="C208">
        <f>TEST_DATA!C208</f>
        <v>44586</v>
      </c>
      <c r="D208" t="str">
        <f>TEST_DATA!D208</f>
        <v>NON-NIL</v>
      </c>
      <c r="E208">
        <f>TEST_DATA!E208</f>
        <v>2267</v>
      </c>
      <c r="F208">
        <f>MIN(E208*20800,10000)</f>
        <v>10000</v>
      </c>
      <c r="G208" t="e">
        <f ca="1">_xludf.MINIFS(CBIC_Late_Fee_Relief_Windows_1!$I$100:$I$208,CBIC_Late_Fee_Relief_Windows_1!$D$100:$D$208,"&lt;="&amp;B208,CBIC_Late_Fee_Relief_Windows_1!$E$100:$E$208,"&gt;="&amp;B208,CBIC_Late_Fee_Relief_Windows_1!$F$100:$F$208,"&lt;="&amp;C208,CBIC_Late_Fee_Relief_Windows_1!$G$100:$G$208,"&gt;="&amp;C208,CBIC_Late_Fee_Relief_Windows_1!$H$100:$H$208,D208)</f>
        <v>#NAME?</v>
      </c>
      <c r="H208" t="e">
        <f t="shared" ca="1" si="3"/>
        <v>#NAME?</v>
      </c>
      <c r="I208" t="e">
        <f ca="1">INDEX(CBIC_Late_Fee_Relief_Windows_1!$B$100:$B$208,MATCH(G208,CBIC_Late_Fee_Relief_Windows_1!$I$100:$I$208,0))</f>
        <v>#NAME?</v>
      </c>
    </row>
    <row r="209" spans="1:9" x14ac:dyDescent="0.55000000000000004">
      <c r="A209" t="str">
        <f>TEST_DATA!A209</f>
        <v>27AAAAA0209Z5</v>
      </c>
      <c r="B209" t="str">
        <f>TEST_DATA!B209</f>
        <v>Jun-2019</v>
      </c>
      <c r="C209">
        <f>TEST_DATA!C209</f>
        <v>44874</v>
      </c>
      <c r="D209" t="str">
        <f>TEST_DATA!D209</f>
        <v>NON-NIL</v>
      </c>
      <c r="E209">
        <f>TEST_DATA!E209</f>
        <v>2254</v>
      </c>
      <c r="F209">
        <f>MIN(E209*20900,10000)</f>
        <v>10000</v>
      </c>
      <c r="G209" t="e">
        <f ca="1">_xludf.MINIFS(CBIC_Late_Fee_Relief_Windows_1!$I$100:$I$209,CBIC_Late_Fee_Relief_Windows_1!$D$100:$D$209,"&lt;="&amp;B209,CBIC_Late_Fee_Relief_Windows_1!$E$100:$E$209,"&gt;="&amp;B209,CBIC_Late_Fee_Relief_Windows_1!$F$100:$F$209,"&lt;="&amp;C209,CBIC_Late_Fee_Relief_Windows_1!$G$100:$G$209,"&gt;="&amp;C209,CBIC_Late_Fee_Relief_Windows_1!$H$100:$H$209,D209)</f>
        <v>#NAME?</v>
      </c>
      <c r="H209" t="e">
        <f t="shared" ca="1" si="3"/>
        <v>#NAME?</v>
      </c>
      <c r="I209" t="e">
        <f ca="1">INDEX(CBIC_Late_Fee_Relief_Windows_1!$B$100:$B$209,MATCH(G209,CBIC_Late_Fee_Relief_Windows_1!$I$100:$I$209,0))</f>
        <v>#NAME?</v>
      </c>
    </row>
    <row r="210" spans="1:9" x14ac:dyDescent="0.55000000000000004">
      <c r="A210" t="str">
        <f>TEST_DATA!A210</f>
        <v>27AAAAA0210Z5</v>
      </c>
      <c r="B210" t="str">
        <f>TEST_DATA!B210</f>
        <v>May-2018</v>
      </c>
      <c r="C210">
        <f>TEST_DATA!C210</f>
        <v>43637</v>
      </c>
      <c r="D210" t="str">
        <f>TEST_DATA!D210</f>
        <v>NON-NIL</v>
      </c>
      <c r="E210">
        <f>TEST_DATA!E210</f>
        <v>1109</v>
      </c>
      <c r="F210">
        <f>MIN(E210*21000,10000)</f>
        <v>10000</v>
      </c>
      <c r="G210" t="e">
        <f ca="1">_xludf.MINIFS(CBIC_Late_Fee_Relief_Windows_1!$I$100:$I$210,CBIC_Late_Fee_Relief_Windows_1!$D$100:$D$210,"&lt;="&amp;B210,CBIC_Late_Fee_Relief_Windows_1!$E$100:$E$210,"&gt;="&amp;B210,CBIC_Late_Fee_Relief_Windows_1!$F$100:$F$210,"&lt;="&amp;C210,CBIC_Late_Fee_Relief_Windows_1!$G$100:$G$210,"&gt;="&amp;C210,CBIC_Late_Fee_Relief_Windows_1!$H$100:$H$210,D210)</f>
        <v>#NAME?</v>
      </c>
      <c r="H210" t="e">
        <f t="shared" ca="1" si="3"/>
        <v>#NAME?</v>
      </c>
      <c r="I210" t="e">
        <f ca="1">INDEX(CBIC_Late_Fee_Relief_Windows_1!$B$100:$B$210,MATCH(G210,CBIC_Late_Fee_Relief_Windows_1!$I$100:$I$210,0))</f>
        <v>#NAME?</v>
      </c>
    </row>
    <row r="211" spans="1:9" x14ac:dyDescent="0.55000000000000004">
      <c r="A211" t="str">
        <f>TEST_DATA!A211</f>
        <v>27AAAAA0211Z5</v>
      </c>
      <c r="B211" t="str">
        <f>TEST_DATA!B211</f>
        <v>Apr-2018</v>
      </c>
      <c r="C211">
        <f>TEST_DATA!C211</f>
        <v>43431</v>
      </c>
      <c r="D211" t="str">
        <f>TEST_DATA!D211</f>
        <v>NIL</v>
      </c>
      <c r="E211">
        <f>TEST_DATA!E211</f>
        <v>494</v>
      </c>
      <c r="F211">
        <f>MIN(E211*21100,10000)</f>
        <v>10000</v>
      </c>
      <c r="G211" t="e">
        <f ca="1">_xludf.MINIFS(CBIC_Late_Fee_Relief_Windows_1!$I$100:$I$211,CBIC_Late_Fee_Relief_Windows_1!$D$100:$D$211,"&lt;="&amp;B211,CBIC_Late_Fee_Relief_Windows_1!$E$100:$E$211,"&gt;="&amp;B211,CBIC_Late_Fee_Relief_Windows_1!$F$100:$F$211,"&lt;="&amp;C211,CBIC_Late_Fee_Relief_Windows_1!$G$100:$G$211,"&gt;="&amp;C211,CBIC_Late_Fee_Relief_Windows_1!$H$100:$H$211,D211)</f>
        <v>#NAME?</v>
      </c>
      <c r="H211" t="e">
        <f t="shared" ca="1" si="3"/>
        <v>#NAME?</v>
      </c>
      <c r="I211" t="e">
        <f ca="1">INDEX(CBIC_Late_Fee_Relief_Windows_1!$B$100:$B$211,MATCH(G211,CBIC_Late_Fee_Relief_Windows_1!$I$100:$I$211,0))</f>
        <v>#NAME?</v>
      </c>
    </row>
    <row r="212" spans="1:9" x14ac:dyDescent="0.55000000000000004">
      <c r="A212" t="str">
        <f>TEST_DATA!A212</f>
        <v>27AAAAA0212Z5</v>
      </c>
      <c r="B212" t="str">
        <f>TEST_DATA!B212</f>
        <v>Jan-2021</v>
      </c>
      <c r="C212">
        <f>TEST_DATA!C212</f>
        <v>44254</v>
      </c>
      <c r="D212" t="str">
        <f>TEST_DATA!D212</f>
        <v>NON-NIL</v>
      </c>
      <c r="E212">
        <f>TEST_DATA!E212</f>
        <v>489</v>
      </c>
      <c r="F212">
        <f>MIN(E212*21200,10000)</f>
        <v>10000</v>
      </c>
      <c r="G212" t="e">
        <f ca="1">_xludf.MINIFS(CBIC_Late_Fee_Relief_Windows_1!$I$100:$I$212,CBIC_Late_Fee_Relief_Windows_1!$D$100:$D$212,"&lt;="&amp;B212,CBIC_Late_Fee_Relief_Windows_1!$E$100:$E$212,"&gt;="&amp;B212,CBIC_Late_Fee_Relief_Windows_1!$F$100:$F$212,"&lt;="&amp;C212,CBIC_Late_Fee_Relief_Windows_1!$G$100:$G$212,"&gt;="&amp;C212,CBIC_Late_Fee_Relief_Windows_1!$H$100:$H$212,D212)</f>
        <v>#NAME?</v>
      </c>
      <c r="H212" t="e">
        <f t="shared" ca="1" si="3"/>
        <v>#NAME?</v>
      </c>
      <c r="I212" t="e">
        <f ca="1">INDEX(CBIC_Late_Fee_Relief_Windows_1!$B$100:$B$212,MATCH(G212,CBIC_Late_Fee_Relief_Windows_1!$I$100:$I$212,0))</f>
        <v>#NAME?</v>
      </c>
    </row>
    <row r="213" spans="1:9" x14ac:dyDescent="0.55000000000000004">
      <c r="A213" t="str">
        <f>TEST_DATA!A213</f>
        <v>27AAAAA0213Z5</v>
      </c>
      <c r="B213" t="str">
        <f>TEST_DATA!B213</f>
        <v>Jan-2021</v>
      </c>
      <c r="C213">
        <f>TEST_DATA!C213</f>
        <v>45660</v>
      </c>
      <c r="D213" t="str">
        <f>TEST_DATA!D213</f>
        <v>NIL</v>
      </c>
      <c r="E213">
        <f>TEST_DATA!E213</f>
        <v>784</v>
      </c>
      <c r="F213">
        <f>MIN(E213*21300,10000)</f>
        <v>10000</v>
      </c>
      <c r="G213" t="e">
        <f ca="1">_xludf.MINIFS(CBIC_Late_Fee_Relief_Windows_1!$I$100:$I$213,CBIC_Late_Fee_Relief_Windows_1!$D$100:$D$213,"&lt;="&amp;B213,CBIC_Late_Fee_Relief_Windows_1!$E$100:$E$213,"&gt;="&amp;B213,CBIC_Late_Fee_Relief_Windows_1!$F$100:$F$213,"&lt;="&amp;C213,CBIC_Late_Fee_Relief_Windows_1!$G$100:$G$213,"&gt;="&amp;C213,CBIC_Late_Fee_Relief_Windows_1!$H$100:$H$213,D213)</f>
        <v>#NAME?</v>
      </c>
      <c r="H213" t="e">
        <f t="shared" ca="1" si="3"/>
        <v>#NAME?</v>
      </c>
      <c r="I213" t="e">
        <f ca="1">INDEX(CBIC_Late_Fee_Relief_Windows_1!$B$100:$B$213,MATCH(G213,CBIC_Late_Fee_Relief_Windows_1!$I$100:$I$213,0))</f>
        <v>#NAME?</v>
      </c>
    </row>
    <row r="214" spans="1:9" x14ac:dyDescent="0.55000000000000004">
      <c r="A214" t="str">
        <f>TEST_DATA!A214</f>
        <v>27AAAAA0214Z5</v>
      </c>
      <c r="B214" t="str">
        <f>TEST_DATA!B214</f>
        <v>Jan-2018</v>
      </c>
      <c r="C214">
        <f>TEST_DATA!C214</f>
        <v>44429</v>
      </c>
      <c r="D214" t="str">
        <f>TEST_DATA!D214</f>
        <v>NON-NIL</v>
      </c>
      <c r="E214">
        <f>TEST_DATA!E214</f>
        <v>1132</v>
      </c>
      <c r="F214">
        <f>MIN(E214*21400,10000)</f>
        <v>10000</v>
      </c>
      <c r="G214" t="e">
        <f ca="1">_xludf.MINIFS(CBIC_Late_Fee_Relief_Windows_1!$I$100:$I$214,CBIC_Late_Fee_Relief_Windows_1!$D$100:$D$214,"&lt;="&amp;B214,CBIC_Late_Fee_Relief_Windows_1!$E$100:$E$214,"&gt;="&amp;B214,CBIC_Late_Fee_Relief_Windows_1!$F$100:$F$214,"&lt;="&amp;C214,CBIC_Late_Fee_Relief_Windows_1!$G$100:$G$214,"&gt;="&amp;C214,CBIC_Late_Fee_Relief_Windows_1!$H$100:$H$214,D214)</f>
        <v>#NAME?</v>
      </c>
      <c r="H214" t="e">
        <f t="shared" ca="1" si="3"/>
        <v>#NAME?</v>
      </c>
      <c r="I214" t="e">
        <f ca="1">INDEX(CBIC_Late_Fee_Relief_Windows_1!$B$100:$B$214,MATCH(G214,CBIC_Late_Fee_Relief_Windows_1!$I$100:$I$214,0))</f>
        <v>#NAME?</v>
      </c>
    </row>
    <row r="215" spans="1:9" x14ac:dyDescent="0.55000000000000004">
      <c r="A215" t="str">
        <f>TEST_DATA!A215</f>
        <v>27AAAAA0215Z5</v>
      </c>
      <c r="B215" t="str">
        <f>TEST_DATA!B215</f>
        <v>Jan-2021</v>
      </c>
      <c r="C215">
        <f>TEST_DATA!C215</f>
        <v>45614</v>
      </c>
      <c r="D215" t="str">
        <f>TEST_DATA!D215</f>
        <v>NON-NIL</v>
      </c>
      <c r="E215">
        <f>TEST_DATA!E215</f>
        <v>411</v>
      </c>
      <c r="F215">
        <f>MIN(E215*21500,10000)</f>
        <v>10000</v>
      </c>
      <c r="G215" t="e">
        <f ca="1">_xludf.MINIFS(CBIC_Late_Fee_Relief_Windows_1!$I$100:$I$215,CBIC_Late_Fee_Relief_Windows_1!$D$100:$D$215,"&lt;="&amp;B215,CBIC_Late_Fee_Relief_Windows_1!$E$100:$E$215,"&gt;="&amp;B215,CBIC_Late_Fee_Relief_Windows_1!$F$100:$F$215,"&lt;="&amp;C215,CBIC_Late_Fee_Relief_Windows_1!$G$100:$G$215,"&gt;="&amp;C215,CBIC_Late_Fee_Relief_Windows_1!$H$100:$H$215,D215)</f>
        <v>#NAME?</v>
      </c>
      <c r="H215" t="e">
        <f t="shared" ca="1" si="3"/>
        <v>#NAME?</v>
      </c>
      <c r="I215" t="e">
        <f ca="1">INDEX(CBIC_Late_Fee_Relief_Windows_1!$B$100:$B$215,MATCH(G215,CBIC_Late_Fee_Relief_Windows_1!$I$100:$I$215,0))</f>
        <v>#NAME?</v>
      </c>
    </row>
    <row r="216" spans="1:9" x14ac:dyDescent="0.55000000000000004">
      <c r="A216" t="str">
        <f>TEST_DATA!A216</f>
        <v>27AAAAA0216Z5</v>
      </c>
      <c r="B216" t="str">
        <f>TEST_DATA!B216</f>
        <v>Dec-2022</v>
      </c>
      <c r="C216">
        <f>TEST_DATA!C216</f>
        <v>44261</v>
      </c>
      <c r="D216" t="str">
        <f>TEST_DATA!D216</f>
        <v>NON-NIL</v>
      </c>
      <c r="E216">
        <f>TEST_DATA!E216</f>
        <v>931</v>
      </c>
      <c r="F216">
        <f>MIN(E216*21600,10000)</f>
        <v>10000</v>
      </c>
      <c r="G216" t="e">
        <f ca="1">_xludf.MINIFS(CBIC_Late_Fee_Relief_Windows_1!$I$100:$I$216,CBIC_Late_Fee_Relief_Windows_1!$D$100:$D$216,"&lt;="&amp;B216,CBIC_Late_Fee_Relief_Windows_1!$E$100:$E$216,"&gt;="&amp;B216,CBIC_Late_Fee_Relief_Windows_1!$F$100:$F$216,"&lt;="&amp;C216,CBIC_Late_Fee_Relief_Windows_1!$G$100:$G$216,"&gt;="&amp;C216,CBIC_Late_Fee_Relief_Windows_1!$H$100:$H$216,D216)</f>
        <v>#NAME?</v>
      </c>
      <c r="H216" t="e">
        <f t="shared" ca="1" si="3"/>
        <v>#NAME?</v>
      </c>
      <c r="I216" t="e">
        <f ca="1">INDEX(CBIC_Late_Fee_Relief_Windows_1!$B$100:$B$216,MATCH(G216,CBIC_Late_Fee_Relief_Windows_1!$I$100:$I$216,0))</f>
        <v>#NAME?</v>
      </c>
    </row>
    <row r="217" spans="1:9" x14ac:dyDescent="0.55000000000000004">
      <c r="A217" t="str">
        <f>TEST_DATA!A217</f>
        <v>27AAAAA0217Z5</v>
      </c>
      <c r="B217" t="str">
        <f>TEST_DATA!B217</f>
        <v>Jun-2018</v>
      </c>
      <c r="C217">
        <f>TEST_DATA!C217</f>
        <v>43284</v>
      </c>
      <c r="D217" t="str">
        <f>TEST_DATA!D217</f>
        <v>NON-NIL</v>
      </c>
      <c r="E217">
        <f>TEST_DATA!E217</f>
        <v>57</v>
      </c>
      <c r="F217">
        <f>MIN(E217*21700,10000)</f>
        <v>10000</v>
      </c>
      <c r="G217" t="e">
        <f ca="1">_xludf.MINIFS(CBIC_Late_Fee_Relief_Windows_1!$I$100:$I$217,CBIC_Late_Fee_Relief_Windows_1!$D$100:$D$217,"&lt;="&amp;B217,CBIC_Late_Fee_Relief_Windows_1!$E$100:$E$217,"&gt;="&amp;B217,CBIC_Late_Fee_Relief_Windows_1!$F$100:$F$217,"&lt;="&amp;C217,CBIC_Late_Fee_Relief_Windows_1!$G$100:$G$217,"&gt;="&amp;C217,CBIC_Late_Fee_Relief_Windows_1!$H$100:$H$217,D217)</f>
        <v>#NAME?</v>
      </c>
      <c r="H217" t="e">
        <f t="shared" ca="1" si="3"/>
        <v>#NAME?</v>
      </c>
      <c r="I217" t="e">
        <f ca="1">INDEX(CBIC_Late_Fee_Relief_Windows_1!$B$100:$B$217,MATCH(G217,CBIC_Late_Fee_Relief_Windows_1!$I$100:$I$217,0))</f>
        <v>#NAME?</v>
      </c>
    </row>
    <row r="218" spans="1:9" x14ac:dyDescent="0.55000000000000004">
      <c r="A218" t="str">
        <f>TEST_DATA!A218</f>
        <v>27AAAAA0218Z5</v>
      </c>
      <c r="B218" t="str">
        <f>TEST_DATA!B218</f>
        <v>Jul-2020</v>
      </c>
      <c r="C218">
        <f>TEST_DATA!C218</f>
        <v>44924</v>
      </c>
      <c r="D218" t="str">
        <f>TEST_DATA!D218</f>
        <v>NIL</v>
      </c>
      <c r="E218">
        <f>TEST_DATA!E218</f>
        <v>1123</v>
      </c>
      <c r="F218">
        <f>MIN(E218*21800,10000)</f>
        <v>10000</v>
      </c>
      <c r="G218" t="e">
        <f ca="1">_xludf.MINIFS(CBIC_Late_Fee_Relief_Windows_1!$I$100:$I$218,CBIC_Late_Fee_Relief_Windows_1!$D$100:$D$218,"&lt;="&amp;B218,CBIC_Late_Fee_Relief_Windows_1!$E$100:$E$218,"&gt;="&amp;B218,CBIC_Late_Fee_Relief_Windows_1!$F$100:$F$218,"&lt;="&amp;C218,CBIC_Late_Fee_Relief_Windows_1!$G$100:$G$218,"&gt;="&amp;C218,CBIC_Late_Fee_Relief_Windows_1!$H$100:$H$218,D218)</f>
        <v>#NAME?</v>
      </c>
      <c r="H218" t="e">
        <f t="shared" ca="1" si="3"/>
        <v>#NAME?</v>
      </c>
      <c r="I218" t="e">
        <f ca="1">INDEX(CBIC_Late_Fee_Relief_Windows_1!$B$100:$B$218,MATCH(G218,CBIC_Late_Fee_Relief_Windows_1!$I$100:$I$218,0))</f>
        <v>#NAME?</v>
      </c>
    </row>
    <row r="219" spans="1:9" x14ac:dyDescent="0.55000000000000004">
      <c r="A219" t="str">
        <f>TEST_DATA!A219</f>
        <v>27AAAAA0219Z5</v>
      </c>
      <c r="B219" t="str">
        <f>TEST_DATA!B219</f>
        <v>Aug-2017</v>
      </c>
      <c r="C219">
        <f>TEST_DATA!C219</f>
        <v>43028</v>
      </c>
      <c r="D219" t="str">
        <f>TEST_DATA!D219</f>
        <v>NON-NIL</v>
      </c>
      <c r="E219">
        <f>TEST_DATA!E219</f>
        <v>2856</v>
      </c>
      <c r="F219">
        <f>MIN(E219*21900,10000)</f>
        <v>10000</v>
      </c>
      <c r="G219" t="e">
        <f ca="1">_xludf.MINIFS(CBIC_Late_Fee_Relief_Windows_1!$I$100:$I$219,CBIC_Late_Fee_Relief_Windows_1!$D$100:$D$219,"&lt;="&amp;B219,CBIC_Late_Fee_Relief_Windows_1!$E$100:$E$219,"&gt;="&amp;B219,CBIC_Late_Fee_Relief_Windows_1!$F$100:$F$219,"&lt;="&amp;C219,CBIC_Late_Fee_Relief_Windows_1!$G$100:$G$219,"&gt;="&amp;C219,CBIC_Late_Fee_Relief_Windows_1!$H$100:$H$219,D219)</f>
        <v>#NAME?</v>
      </c>
      <c r="H219" t="e">
        <f t="shared" ca="1" si="3"/>
        <v>#NAME?</v>
      </c>
      <c r="I219" t="e">
        <f ca="1">INDEX(CBIC_Late_Fee_Relief_Windows_1!$B$100:$B$219,MATCH(G219,CBIC_Late_Fee_Relief_Windows_1!$I$100:$I$219,0))</f>
        <v>#NAME?</v>
      </c>
    </row>
    <row r="220" spans="1:9" x14ac:dyDescent="0.55000000000000004">
      <c r="A220" t="str">
        <f>TEST_DATA!A220</f>
        <v>27AAAAA0220Z5</v>
      </c>
      <c r="B220" t="str">
        <f>TEST_DATA!B220</f>
        <v>Nov-2017</v>
      </c>
      <c r="C220">
        <f>TEST_DATA!C220</f>
        <v>44223</v>
      </c>
      <c r="D220" t="str">
        <f>TEST_DATA!D220</f>
        <v>NON-NIL</v>
      </c>
      <c r="E220">
        <f>TEST_DATA!E220</f>
        <v>420</v>
      </c>
      <c r="F220">
        <f>MIN(E220*22000,10000)</f>
        <v>10000</v>
      </c>
      <c r="G220" t="e">
        <f ca="1">_xludf.MINIFS(CBIC_Late_Fee_Relief_Windows_1!$I$100:$I$220,CBIC_Late_Fee_Relief_Windows_1!$D$100:$D$220,"&lt;="&amp;B220,CBIC_Late_Fee_Relief_Windows_1!$E$100:$E$220,"&gt;="&amp;B220,CBIC_Late_Fee_Relief_Windows_1!$F$100:$F$220,"&lt;="&amp;C220,CBIC_Late_Fee_Relief_Windows_1!$G$100:$G$220,"&gt;="&amp;C220,CBIC_Late_Fee_Relief_Windows_1!$H$100:$H$220,D220)</f>
        <v>#NAME?</v>
      </c>
      <c r="H220" t="e">
        <f t="shared" ca="1" si="3"/>
        <v>#NAME?</v>
      </c>
      <c r="I220" t="e">
        <f ca="1">INDEX(CBIC_Late_Fee_Relief_Windows_1!$B$100:$B$220,MATCH(G220,CBIC_Late_Fee_Relief_Windows_1!$I$100:$I$220,0))</f>
        <v>#NAME?</v>
      </c>
    </row>
    <row r="221" spans="1:9" x14ac:dyDescent="0.55000000000000004">
      <c r="A221" t="str">
        <f>TEST_DATA!A221</f>
        <v>27AAAAA0221Z5</v>
      </c>
      <c r="B221" t="str">
        <f>TEST_DATA!B221</f>
        <v>Mar-2023</v>
      </c>
      <c r="C221">
        <f>TEST_DATA!C221</f>
        <v>43516</v>
      </c>
      <c r="D221" t="str">
        <f>TEST_DATA!D221</f>
        <v>NON-NIL</v>
      </c>
      <c r="E221">
        <f>TEST_DATA!E221</f>
        <v>1922</v>
      </c>
      <c r="F221">
        <f>MIN(E221*22100,10000)</f>
        <v>10000</v>
      </c>
      <c r="G221" t="e">
        <f ca="1">_xludf.MINIFS(CBIC_Late_Fee_Relief_Windows_1!$I$100:$I$221,CBIC_Late_Fee_Relief_Windows_1!$D$100:$D$221,"&lt;="&amp;B221,CBIC_Late_Fee_Relief_Windows_1!$E$100:$E$221,"&gt;="&amp;B221,CBIC_Late_Fee_Relief_Windows_1!$F$100:$F$221,"&lt;="&amp;C221,CBIC_Late_Fee_Relief_Windows_1!$G$100:$G$221,"&gt;="&amp;C221,CBIC_Late_Fee_Relief_Windows_1!$H$100:$H$221,D221)</f>
        <v>#NAME?</v>
      </c>
      <c r="H221" t="e">
        <f t="shared" ca="1" si="3"/>
        <v>#NAME?</v>
      </c>
      <c r="I221" t="e">
        <f ca="1">INDEX(CBIC_Late_Fee_Relief_Windows_1!$B$100:$B$221,MATCH(G221,CBIC_Late_Fee_Relief_Windows_1!$I$100:$I$221,0))</f>
        <v>#NAME?</v>
      </c>
    </row>
    <row r="222" spans="1:9" x14ac:dyDescent="0.55000000000000004">
      <c r="A222" t="str">
        <f>TEST_DATA!A222</f>
        <v>27AAAAA0222Z5</v>
      </c>
      <c r="B222" t="str">
        <f>TEST_DATA!B222</f>
        <v>Jan-2019</v>
      </c>
      <c r="C222">
        <f>TEST_DATA!C222</f>
        <v>45270</v>
      </c>
      <c r="D222" t="str">
        <f>TEST_DATA!D222</f>
        <v>NON-NIL</v>
      </c>
      <c r="E222">
        <f>TEST_DATA!E222</f>
        <v>755</v>
      </c>
      <c r="F222">
        <f>MIN(E222*22200,10000)</f>
        <v>10000</v>
      </c>
      <c r="G222" t="e">
        <f ca="1">_xludf.MINIFS(CBIC_Late_Fee_Relief_Windows_1!$I$100:$I$222,CBIC_Late_Fee_Relief_Windows_1!$D$100:$D$222,"&lt;="&amp;B222,CBIC_Late_Fee_Relief_Windows_1!$E$100:$E$222,"&gt;="&amp;B222,CBIC_Late_Fee_Relief_Windows_1!$F$100:$F$222,"&lt;="&amp;C222,CBIC_Late_Fee_Relief_Windows_1!$G$100:$G$222,"&gt;="&amp;C222,CBIC_Late_Fee_Relief_Windows_1!$H$100:$H$222,D222)</f>
        <v>#NAME?</v>
      </c>
      <c r="H222" t="e">
        <f t="shared" ca="1" si="3"/>
        <v>#NAME?</v>
      </c>
      <c r="I222" t="e">
        <f ca="1">INDEX(CBIC_Late_Fee_Relief_Windows_1!$B$100:$B$222,MATCH(G222,CBIC_Late_Fee_Relief_Windows_1!$I$100:$I$222,0))</f>
        <v>#NAME?</v>
      </c>
    </row>
    <row r="223" spans="1:9" x14ac:dyDescent="0.55000000000000004">
      <c r="A223" t="str">
        <f>TEST_DATA!A223</f>
        <v>27AAAAA0223Z5</v>
      </c>
      <c r="B223" t="str">
        <f>TEST_DATA!B223</f>
        <v>Aug-2017</v>
      </c>
      <c r="C223">
        <f>TEST_DATA!C223</f>
        <v>43434</v>
      </c>
      <c r="D223" t="str">
        <f>TEST_DATA!D223</f>
        <v>NON-NIL</v>
      </c>
      <c r="E223">
        <f>TEST_DATA!E223</f>
        <v>467</v>
      </c>
      <c r="F223">
        <f>MIN(E223*22300,10000)</f>
        <v>10000</v>
      </c>
      <c r="G223" t="e">
        <f ca="1">_xludf.MINIFS(CBIC_Late_Fee_Relief_Windows_1!$I$100:$I$223,CBIC_Late_Fee_Relief_Windows_1!$D$100:$D$223,"&lt;="&amp;B223,CBIC_Late_Fee_Relief_Windows_1!$E$100:$E$223,"&gt;="&amp;B223,CBIC_Late_Fee_Relief_Windows_1!$F$100:$F$223,"&lt;="&amp;C223,CBIC_Late_Fee_Relief_Windows_1!$G$100:$G$223,"&gt;="&amp;C223,CBIC_Late_Fee_Relief_Windows_1!$H$100:$H$223,D223)</f>
        <v>#NAME?</v>
      </c>
      <c r="H223" t="e">
        <f t="shared" ca="1" si="3"/>
        <v>#NAME?</v>
      </c>
      <c r="I223" t="e">
        <f ca="1">INDEX(CBIC_Late_Fee_Relief_Windows_1!$B$100:$B$223,MATCH(G223,CBIC_Late_Fee_Relief_Windows_1!$I$100:$I$223,0))</f>
        <v>#NAME?</v>
      </c>
    </row>
    <row r="224" spans="1:9" x14ac:dyDescent="0.55000000000000004">
      <c r="A224" t="str">
        <f>TEST_DATA!A224</f>
        <v>27AAAAA0224Z5</v>
      </c>
      <c r="B224" t="str">
        <f>TEST_DATA!B224</f>
        <v>Dec-2022</v>
      </c>
      <c r="C224">
        <f>TEST_DATA!C224</f>
        <v>43733</v>
      </c>
      <c r="D224" t="str">
        <f>TEST_DATA!D224</f>
        <v>NON-NIL</v>
      </c>
      <c r="E224">
        <f>TEST_DATA!E224</f>
        <v>2014</v>
      </c>
      <c r="F224">
        <f>MIN(E224*22400,10000)</f>
        <v>10000</v>
      </c>
      <c r="G224" t="e">
        <f ca="1">_xludf.MINIFS(CBIC_Late_Fee_Relief_Windows_1!$I$100:$I$224,CBIC_Late_Fee_Relief_Windows_1!$D$100:$D$224,"&lt;="&amp;B224,CBIC_Late_Fee_Relief_Windows_1!$E$100:$E$224,"&gt;="&amp;B224,CBIC_Late_Fee_Relief_Windows_1!$F$100:$F$224,"&lt;="&amp;C224,CBIC_Late_Fee_Relief_Windows_1!$G$100:$G$224,"&gt;="&amp;C224,CBIC_Late_Fee_Relief_Windows_1!$H$100:$H$224,D224)</f>
        <v>#NAME?</v>
      </c>
      <c r="H224" t="e">
        <f t="shared" ca="1" si="3"/>
        <v>#NAME?</v>
      </c>
      <c r="I224" t="e">
        <f ca="1">INDEX(CBIC_Late_Fee_Relief_Windows_1!$B$100:$B$224,MATCH(G224,CBIC_Late_Fee_Relief_Windows_1!$I$100:$I$224,0))</f>
        <v>#NAME?</v>
      </c>
    </row>
    <row r="225" spans="1:9" x14ac:dyDescent="0.55000000000000004">
      <c r="A225" t="str">
        <f>TEST_DATA!A225</f>
        <v>27AAAAA0225Z5</v>
      </c>
      <c r="B225" t="str">
        <f>TEST_DATA!B225</f>
        <v>Sep-2017</v>
      </c>
      <c r="C225">
        <f>TEST_DATA!C225</f>
        <v>44098</v>
      </c>
      <c r="D225" t="str">
        <f>TEST_DATA!D225</f>
        <v>NIL</v>
      </c>
      <c r="E225">
        <f>TEST_DATA!E225</f>
        <v>621</v>
      </c>
      <c r="F225">
        <f>MIN(E225*22500,10000)</f>
        <v>10000</v>
      </c>
      <c r="G225" t="e">
        <f ca="1">_xludf.MINIFS(CBIC_Late_Fee_Relief_Windows_1!$I$100:$I$225,CBIC_Late_Fee_Relief_Windows_1!$D$100:$D$225,"&lt;="&amp;B225,CBIC_Late_Fee_Relief_Windows_1!$E$100:$E$225,"&gt;="&amp;B225,CBIC_Late_Fee_Relief_Windows_1!$F$100:$F$225,"&lt;="&amp;C225,CBIC_Late_Fee_Relief_Windows_1!$G$100:$G$225,"&gt;="&amp;C225,CBIC_Late_Fee_Relief_Windows_1!$H$100:$H$225,D225)</f>
        <v>#NAME?</v>
      </c>
      <c r="H225" t="e">
        <f t="shared" ca="1" si="3"/>
        <v>#NAME?</v>
      </c>
      <c r="I225" t="e">
        <f ca="1">INDEX(CBIC_Late_Fee_Relief_Windows_1!$B$100:$B$225,MATCH(G225,CBIC_Late_Fee_Relief_Windows_1!$I$100:$I$225,0))</f>
        <v>#NAME?</v>
      </c>
    </row>
    <row r="226" spans="1:9" x14ac:dyDescent="0.55000000000000004">
      <c r="A226" t="str">
        <f>TEST_DATA!A226</f>
        <v>27AAAAA0226Z5</v>
      </c>
      <c r="B226" t="str">
        <f>TEST_DATA!B226</f>
        <v>Nov-2017</v>
      </c>
      <c r="C226">
        <f>TEST_DATA!C226</f>
        <v>44069</v>
      </c>
      <c r="D226" t="str">
        <f>TEST_DATA!D226</f>
        <v>NON-NIL</v>
      </c>
      <c r="E226">
        <f>TEST_DATA!E226</f>
        <v>348</v>
      </c>
      <c r="F226">
        <f>MIN(E226*22600,10000)</f>
        <v>10000</v>
      </c>
      <c r="G226" t="e">
        <f ca="1">_xludf.MINIFS(CBIC_Late_Fee_Relief_Windows_1!$I$100:$I$226,CBIC_Late_Fee_Relief_Windows_1!$D$100:$D$226,"&lt;="&amp;B226,CBIC_Late_Fee_Relief_Windows_1!$E$100:$E$226,"&gt;="&amp;B226,CBIC_Late_Fee_Relief_Windows_1!$F$100:$F$226,"&lt;="&amp;C226,CBIC_Late_Fee_Relief_Windows_1!$G$100:$G$226,"&gt;="&amp;C226,CBIC_Late_Fee_Relief_Windows_1!$H$100:$H$226,D226)</f>
        <v>#NAME?</v>
      </c>
      <c r="H226" t="e">
        <f t="shared" ca="1" si="3"/>
        <v>#NAME?</v>
      </c>
      <c r="I226" t="e">
        <f ca="1">INDEX(CBIC_Late_Fee_Relief_Windows_1!$B$100:$B$226,MATCH(G226,CBIC_Late_Fee_Relief_Windows_1!$I$100:$I$226,0))</f>
        <v>#NAME?</v>
      </c>
    </row>
    <row r="227" spans="1:9" x14ac:dyDescent="0.55000000000000004">
      <c r="A227" t="str">
        <f>TEST_DATA!A227</f>
        <v>27AAAAA0227Z5</v>
      </c>
      <c r="B227" t="str">
        <f>TEST_DATA!B227</f>
        <v>Feb-2018</v>
      </c>
      <c r="C227">
        <f>TEST_DATA!C227</f>
        <v>43159</v>
      </c>
      <c r="D227" t="str">
        <f>TEST_DATA!D227</f>
        <v>NON-NIL</v>
      </c>
      <c r="E227">
        <f>TEST_DATA!E227</f>
        <v>2483</v>
      </c>
      <c r="F227">
        <f>MIN(E227*22700,10000)</f>
        <v>10000</v>
      </c>
      <c r="G227" t="e">
        <f ca="1">_xludf.MINIFS(CBIC_Late_Fee_Relief_Windows_1!$I$100:$I$227,CBIC_Late_Fee_Relief_Windows_1!$D$100:$D$227,"&lt;="&amp;B227,CBIC_Late_Fee_Relief_Windows_1!$E$100:$E$227,"&gt;="&amp;B227,CBIC_Late_Fee_Relief_Windows_1!$F$100:$F$227,"&lt;="&amp;C227,CBIC_Late_Fee_Relief_Windows_1!$G$100:$G$227,"&gt;="&amp;C227,CBIC_Late_Fee_Relief_Windows_1!$H$100:$H$227,D227)</f>
        <v>#NAME?</v>
      </c>
      <c r="H227" t="e">
        <f t="shared" ca="1" si="3"/>
        <v>#NAME?</v>
      </c>
      <c r="I227" t="e">
        <f ca="1">INDEX(CBIC_Late_Fee_Relief_Windows_1!$B$100:$B$227,MATCH(G227,CBIC_Late_Fee_Relief_Windows_1!$I$100:$I$227,0))</f>
        <v>#NAME?</v>
      </c>
    </row>
    <row r="228" spans="1:9" x14ac:dyDescent="0.55000000000000004">
      <c r="A228" t="str">
        <f>TEST_DATA!A228</f>
        <v>27AAAAA0228Z5</v>
      </c>
      <c r="B228" t="str">
        <f>TEST_DATA!B228</f>
        <v>Apr-2020</v>
      </c>
      <c r="C228">
        <f>TEST_DATA!C228</f>
        <v>44293</v>
      </c>
      <c r="D228" t="str">
        <f>TEST_DATA!D228</f>
        <v>NON-NIL</v>
      </c>
      <c r="E228">
        <f>TEST_DATA!E228</f>
        <v>1845</v>
      </c>
      <c r="F228">
        <f>MIN(E228*22800,10000)</f>
        <v>10000</v>
      </c>
      <c r="G228" t="e">
        <f ca="1">_xludf.MINIFS(CBIC_Late_Fee_Relief_Windows_1!$I$100:$I$228,CBIC_Late_Fee_Relief_Windows_1!$D$100:$D$228,"&lt;="&amp;B228,CBIC_Late_Fee_Relief_Windows_1!$E$100:$E$228,"&gt;="&amp;B228,CBIC_Late_Fee_Relief_Windows_1!$F$100:$F$228,"&lt;="&amp;C228,CBIC_Late_Fee_Relief_Windows_1!$G$100:$G$228,"&gt;="&amp;C228,CBIC_Late_Fee_Relief_Windows_1!$H$100:$H$228,D228)</f>
        <v>#NAME?</v>
      </c>
      <c r="H228" t="e">
        <f t="shared" ca="1" si="3"/>
        <v>#NAME?</v>
      </c>
      <c r="I228" t="e">
        <f ca="1">INDEX(CBIC_Late_Fee_Relief_Windows_1!$B$100:$B$228,MATCH(G228,CBIC_Late_Fee_Relief_Windows_1!$I$100:$I$228,0))</f>
        <v>#NAME?</v>
      </c>
    </row>
    <row r="229" spans="1:9" x14ac:dyDescent="0.55000000000000004">
      <c r="A229" t="str">
        <f>TEST_DATA!A229</f>
        <v>27AAAAA0229Z5</v>
      </c>
      <c r="B229" t="str">
        <f>TEST_DATA!B229</f>
        <v>Sep-2018</v>
      </c>
      <c r="C229">
        <f>TEST_DATA!C229</f>
        <v>43525</v>
      </c>
      <c r="D229" t="str">
        <f>TEST_DATA!D229</f>
        <v>NON-NIL</v>
      </c>
      <c r="E229">
        <f>TEST_DATA!E229</f>
        <v>1250</v>
      </c>
      <c r="F229">
        <f>MIN(E229*22900,10000)</f>
        <v>10000</v>
      </c>
      <c r="G229" t="e">
        <f ca="1">_xludf.MINIFS(CBIC_Late_Fee_Relief_Windows_1!$I$100:$I$229,CBIC_Late_Fee_Relief_Windows_1!$D$100:$D$229,"&lt;="&amp;B229,CBIC_Late_Fee_Relief_Windows_1!$E$100:$E$229,"&gt;="&amp;B229,CBIC_Late_Fee_Relief_Windows_1!$F$100:$F$229,"&lt;="&amp;C229,CBIC_Late_Fee_Relief_Windows_1!$G$100:$G$229,"&gt;="&amp;C229,CBIC_Late_Fee_Relief_Windows_1!$H$100:$H$229,D229)</f>
        <v>#NAME?</v>
      </c>
      <c r="H229" t="e">
        <f t="shared" ca="1" si="3"/>
        <v>#NAME?</v>
      </c>
      <c r="I229" t="e">
        <f ca="1">INDEX(CBIC_Late_Fee_Relief_Windows_1!$B$100:$B$229,MATCH(G229,CBIC_Late_Fee_Relief_Windows_1!$I$100:$I$229,0))</f>
        <v>#NAME?</v>
      </c>
    </row>
    <row r="230" spans="1:9" x14ac:dyDescent="0.55000000000000004">
      <c r="A230" t="str">
        <f>TEST_DATA!A230</f>
        <v>27AAAAA0230Z5</v>
      </c>
      <c r="B230" t="str">
        <f>TEST_DATA!B230</f>
        <v>Mar-2020</v>
      </c>
      <c r="C230">
        <f>TEST_DATA!C230</f>
        <v>43954</v>
      </c>
      <c r="D230" t="str">
        <f>TEST_DATA!D230</f>
        <v>NIL</v>
      </c>
      <c r="E230">
        <f>TEST_DATA!E230</f>
        <v>851</v>
      </c>
      <c r="F230">
        <f>MIN(E230*23000,10000)</f>
        <v>10000</v>
      </c>
      <c r="G230" t="e">
        <f ca="1">_xludf.MINIFS(CBIC_Late_Fee_Relief_Windows_1!$I$100:$I$230,CBIC_Late_Fee_Relief_Windows_1!$D$100:$D$230,"&lt;="&amp;B230,CBIC_Late_Fee_Relief_Windows_1!$E$100:$E$230,"&gt;="&amp;B230,CBIC_Late_Fee_Relief_Windows_1!$F$100:$F$230,"&lt;="&amp;C230,CBIC_Late_Fee_Relief_Windows_1!$G$100:$G$230,"&gt;="&amp;C230,CBIC_Late_Fee_Relief_Windows_1!$H$100:$H$230,D230)</f>
        <v>#NAME?</v>
      </c>
      <c r="H230" t="e">
        <f t="shared" ca="1" si="3"/>
        <v>#NAME?</v>
      </c>
      <c r="I230" t="e">
        <f ca="1">INDEX(CBIC_Late_Fee_Relief_Windows_1!$B$100:$B$230,MATCH(G230,CBIC_Late_Fee_Relief_Windows_1!$I$100:$I$230,0))</f>
        <v>#NAME?</v>
      </c>
    </row>
    <row r="231" spans="1:9" x14ac:dyDescent="0.55000000000000004">
      <c r="A231" t="str">
        <f>TEST_DATA!A231</f>
        <v>27AAAAA0231Z5</v>
      </c>
      <c r="B231" t="str">
        <f>TEST_DATA!B231</f>
        <v>May-2020</v>
      </c>
      <c r="C231">
        <f>TEST_DATA!C231</f>
        <v>44263</v>
      </c>
      <c r="D231" t="str">
        <f>TEST_DATA!D231</f>
        <v>NON-NIL</v>
      </c>
      <c r="E231">
        <f>TEST_DATA!E231</f>
        <v>2705</v>
      </c>
      <c r="F231">
        <f>MIN(E231*23100,10000)</f>
        <v>10000</v>
      </c>
      <c r="G231" t="e">
        <f ca="1">_xludf.MINIFS(CBIC_Late_Fee_Relief_Windows_1!$I$100:$I$231,CBIC_Late_Fee_Relief_Windows_1!$D$100:$D$231,"&lt;="&amp;B231,CBIC_Late_Fee_Relief_Windows_1!$E$100:$E$231,"&gt;="&amp;B231,CBIC_Late_Fee_Relief_Windows_1!$F$100:$F$231,"&lt;="&amp;C231,CBIC_Late_Fee_Relief_Windows_1!$G$100:$G$231,"&gt;="&amp;C231,CBIC_Late_Fee_Relief_Windows_1!$H$100:$H$231,D231)</f>
        <v>#NAME?</v>
      </c>
      <c r="H231" t="e">
        <f t="shared" ca="1" si="3"/>
        <v>#NAME?</v>
      </c>
      <c r="I231" t="e">
        <f ca="1">INDEX(CBIC_Late_Fee_Relief_Windows_1!$B$100:$B$231,MATCH(G231,CBIC_Late_Fee_Relief_Windows_1!$I$100:$I$231,0))</f>
        <v>#NAME?</v>
      </c>
    </row>
    <row r="232" spans="1:9" x14ac:dyDescent="0.55000000000000004">
      <c r="A232" t="str">
        <f>TEST_DATA!A232</f>
        <v>27AAAAA0232Z5</v>
      </c>
      <c r="B232" t="str">
        <f>TEST_DATA!B232</f>
        <v>Sep-2017</v>
      </c>
      <c r="C232">
        <f>TEST_DATA!C232</f>
        <v>43238</v>
      </c>
      <c r="D232" t="str">
        <f>TEST_DATA!D232</f>
        <v>NIL</v>
      </c>
      <c r="E232">
        <f>TEST_DATA!E232</f>
        <v>711</v>
      </c>
      <c r="F232">
        <f>MIN(E232*23200,10000)</f>
        <v>10000</v>
      </c>
      <c r="G232" t="e">
        <f ca="1">_xludf.MINIFS(CBIC_Late_Fee_Relief_Windows_1!$I$100:$I$232,CBIC_Late_Fee_Relief_Windows_1!$D$100:$D$232,"&lt;="&amp;B232,CBIC_Late_Fee_Relief_Windows_1!$E$100:$E$232,"&gt;="&amp;B232,CBIC_Late_Fee_Relief_Windows_1!$F$100:$F$232,"&lt;="&amp;C232,CBIC_Late_Fee_Relief_Windows_1!$G$100:$G$232,"&gt;="&amp;C232,CBIC_Late_Fee_Relief_Windows_1!$H$100:$H$232,D232)</f>
        <v>#NAME?</v>
      </c>
      <c r="H232" t="e">
        <f t="shared" ca="1" si="3"/>
        <v>#NAME?</v>
      </c>
      <c r="I232" t="e">
        <f ca="1">INDEX(CBIC_Late_Fee_Relief_Windows_1!$B$100:$B$232,MATCH(G232,CBIC_Late_Fee_Relief_Windows_1!$I$100:$I$232,0))</f>
        <v>#NAME?</v>
      </c>
    </row>
    <row r="233" spans="1:9" x14ac:dyDescent="0.55000000000000004">
      <c r="A233" t="str">
        <f>TEST_DATA!A233</f>
        <v>27AAAAA0233Z5</v>
      </c>
      <c r="B233" t="str">
        <f>TEST_DATA!B233</f>
        <v>Dec-2019</v>
      </c>
      <c r="C233">
        <f>TEST_DATA!C233</f>
        <v>43773</v>
      </c>
      <c r="D233" t="str">
        <f>TEST_DATA!D233</f>
        <v>NIL</v>
      </c>
      <c r="E233">
        <f>TEST_DATA!E233</f>
        <v>10</v>
      </c>
      <c r="F233">
        <f>MIN(E233*23300,10000)</f>
        <v>10000</v>
      </c>
      <c r="G233" t="e">
        <f ca="1">_xludf.MINIFS(CBIC_Late_Fee_Relief_Windows_1!$I$100:$I$233,CBIC_Late_Fee_Relief_Windows_1!$D$100:$D$233,"&lt;="&amp;B233,CBIC_Late_Fee_Relief_Windows_1!$E$100:$E$233,"&gt;="&amp;B233,CBIC_Late_Fee_Relief_Windows_1!$F$100:$F$233,"&lt;="&amp;C233,CBIC_Late_Fee_Relief_Windows_1!$G$100:$G$233,"&gt;="&amp;C233,CBIC_Late_Fee_Relief_Windows_1!$H$100:$H$233,D233)</f>
        <v>#NAME?</v>
      </c>
      <c r="H233" t="e">
        <f t="shared" ca="1" si="3"/>
        <v>#NAME?</v>
      </c>
      <c r="I233" t="e">
        <f ca="1">INDEX(CBIC_Late_Fee_Relief_Windows_1!$B$100:$B$233,MATCH(G233,CBIC_Late_Fee_Relief_Windows_1!$I$100:$I$233,0))</f>
        <v>#NAME?</v>
      </c>
    </row>
    <row r="234" spans="1:9" x14ac:dyDescent="0.55000000000000004">
      <c r="A234" t="str">
        <f>TEST_DATA!A234</f>
        <v>27AAAAA0234Z5</v>
      </c>
      <c r="B234" t="str">
        <f>TEST_DATA!B234</f>
        <v>Aug-2018</v>
      </c>
      <c r="C234">
        <f>TEST_DATA!C234</f>
        <v>43839</v>
      </c>
      <c r="D234" t="str">
        <f>TEST_DATA!D234</f>
        <v>NON-NIL</v>
      </c>
      <c r="E234">
        <f>TEST_DATA!E234</f>
        <v>1192</v>
      </c>
      <c r="F234">
        <f>MIN(E234*23400,10000)</f>
        <v>10000</v>
      </c>
      <c r="G234" t="e">
        <f ca="1">_xludf.MINIFS(CBIC_Late_Fee_Relief_Windows_1!$I$100:$I$234,CBIC_Late_Fee_Relief_Windows_1!$D$100:$D$234,"&lt;="&amp;B234,CBIC_Late_Fee_Relief_Windows_1!$E$100:$E$234,"&gt;="&amp;B234,CBIC_Late_Fee_Relief_Windows_1!$F$100:$F$234,"&lt;="&amp;C234,CBIC_Late_Fee_Relief_Windows_1!$G$100:$G$234,"&gt;="&amp;C234,CBIC_Late_Fee_Relief_Windows_1!$H$100:$H$234,D234)</f>
        <v>#NAME?</v>
      </c>
      <c r="H234" t="e">
        <f t="shared" ca="1" si="3"/>
        <v>#NAME?</v>
      </c>
      <c r="I234" t="e">
        <f ca="1">INDEX(CBIC_Late_Fee_Relief_Windows_1!$B$100:$B$234,MATCH(G234,CBIC_Late_Fee_Relief_Windows_1!$I$100:$I$234,0))</f>
        <v>#NAME?</v>
      </c>
    </row>
    <row r="235" spans="1:9" x14ac:dyDescent="0.55000000000000004">
      <c r="A235" t="str">
        <f>TEST_DATA!A235</f>
        <v>27AAAAA0235Z5</v>
      </c>
      <c r="B235" t="str">
        <f>TEST_DATA!B235</f>
        <v>Aug-2017</v>
      </c>
      <c r="C235">
        <f>TEST_DATA!C235</f>
        <v>43391</v>
      </c>
      <c r="D235" t="str">
        <f>TEST_DATA!D235</f>
        <v>NON-NIL</v>
      </c>
      <c r="E235">
        <f>TEST_DATA!E235</f>
        <v>2895</v>
      </c>
      <c r="F235">
        <f>MIN(E235*23500,10000)</f>
        <v>10000</v>
      </c>
      <c r="G235" t="e">
        <f ca="1">_xludf.MINIFS(CBIC_Late_Fee_Relief_Windows_1!$I$100:$I$235,CBIC_Late_Fee_Relief_Windows_1!$D$100:$D$235,"&lt;="&amp;B235,CBIC_Late_Fee_Relief_Windows_1!$E$100:$E$235,"&gt;="&amp;B235,CBIC_Late_Fee_Relief_Windows_1!$F$100:$F$235,"&lt;="&amp;C235,CBIC_Late_Fee_Relief_Windows_1!$G$100:$G$235,"&gt;="&amp;C235,CBIC_Late_Fee_Relief_Windows_1!$H$100:$H$235,D235)</f>
        <v>#NAME?</v>
      </c>
      <c r="H235" t="e">
        <f t="shared" ca="1" si="3"/>
        <v>#NAME?</v>
      </c>
      <c r="I235" t="e">
        <f ca="1">INDEX(CBIC_Late_Fee_Relief_Windows_1!$B$100:$B$235,MATCH(G235,CBIC_Late_Fee_Relief_Windows_1!$I$100:$I$235,0))</f>
        <v>#NAME?</v>
      </c>
    </row>
    <row r="236" spans="1:9" x14ac:dyDescent="0.55000000000000004">
      <c r="A236" t="str">
        <f>TEST_DATA!A236</f>
        <v>27AAAAA0236Z5</v>
      </c>
      <c r="B236" t="str">
        <f>TEST_DATA!B236</f>
        <v>Apr-2018</v>
      </c>
      <c r="C236">
        <f>TEST_DATA!C236</f>
        <v>44356</v>
      </c>
      <c r="D236" t="str">
        <f>TEST_DATA!D236</f>
        <v>NON-NIL</v>
      </c>
      <c r="E236">
        <f>TEST_DATA!E236</f>
        <v>291</v>
      </c>
      <c r="F236">
        <f>MIN(E236*23600,10000)</f>
        <v>10000</v>
      </c>
      <c r="G236" t="e">
        <f ca="1">_xludf.MINIFS(CBIC_Late_Fee_Relief_Windows_1!$I$100:$I$236,CBIC_Late_Fee_Relief_Windows_1!$D$100:$D$236,"&lt;="&amp;B236,CBIC_Late_Fee_Relief_Windows_1!$E$100:$E$236,"&gt;="&amp;B236,CBIC_Late_Fee_Relief_Windows_1!$F$100:$F$236,"&lt;="&amp;C236,CBIC_Late_Fee_Relief_Windows_1!$G$100:$G$236,"&gt;="&amp;C236,CBIC_Late_Fee_Relief_Windows_1!$H$100:$H$236,D236)</f>
        <v>#NAME?</v>
      </c>
      <c r="H236" t="e">
        <f t="shared" ca="1" si="3"/>
        <v>#NAME?</v>
      </c>
      <c r="I236" t="e">
        <f ca="1">INDEX(CBIC_Late_Fee_Relief_Windows_1!$B$100:$B$236,MATCH(G236,CBIC_Late_Fee_Relief_Windows_1!$I$100:$I$236,0))</f>
        <v>#NAME?</v>
      </c>
    </row>
    <row r="237" spans="1:9" x14ac:dyDescent="0.55000000000000004">
      <c r="A237" t="str">
        <f>TEST_DATA!A237</f>
        <v>27AAAAA0237Z5</v>
      </c>
      <c r="B237" t="str">
        <f>TEST_DATA!B237</f>
        <v>Jun-2020</v>
      </c>
      <c r="C237">
        <f>TEST_DATA!C237</f>
        <v>44309</v>
      </c>
      <c r="D237" t="str">
        <f>TEST_DATA!D237</f>
        <v>NON-NIL</v>
      </c>
      <c r="E237">
        <f>TEST_DATA!E237</f>
        <v>2560</v>
      </c>
      <c r="F237">
        <f>MIN(E237*23700,10000)</f>
        <v>10000</v>
      </c>
      <c r="G237" t="e">
        <f ca="1">_xludf.MINIFS(CBIC_Late_Fee_Relief_Windows_1!$I$100:$I$237,CBIC_Late_Fee_Relief_Windows_1!$D$100:$D$237,"&lt;="&amp;B237,CBIC_Late_Fee_Relief_Windows_1!$E$100:$E$237,"&gt;="&amp;B237,CBIC_Late_Fee_Relief_Windows_1!$F$100:$F$237,"&lt;="&amp;C237,CBIC_Late_Fee_Relief_Windows_1!$G$100:$G$237,"&gt;="&amp;C237,CBIC_Late_Fee_Relief_Windows_1!$H$100:$H$237,D237)</f>
        <v>#NAME?</v>
      </c>
      <c r="H237" t="e">
        <f t="shared" ca="1" si="3"/>
        <v>#NAME?</v>
      </c>
      <c r="I237" t="e">
        <f ca="1">INDEX(CBIC_Late_Fee_Relief_Windows_1!$B$100:$B$237,MATCH(G237,CBIC_Late_Fee_Relief_Windows_1!$I$100:$I$237,0))</f>
        <v>#NAME?</v>
      </c>
    </row>
    <row r="238" spans="1:9" x14ac:dyDescent="0.55000000000000004">
      <c r="A238" t="str">
        <f>TEST_DATA!A238</f>
        <v>27AAAAA0238Z5</v>
      </c>
      <c r="B238" t="str">
        <f>TEST_DATA!B238</f>
        <v>Mar-2020</v>
      </c>
      <c r="C238">
        <f>TEST_DATA!C238</f>
        <v>44236</v>
      </c>
      <c r="D238" t="str">
        <f>TEST_DATA!D238</f>
        <v>NON-NIL</v>
      </c>
      <c r="E238">
        <f>TEST_DATA!E238</f>
        <v>470</v>
      </c>
      <c r="F238">
        <f>MIN(E238*23800,10000)</f>
        <v>10000</v>
      </c>
      <c r="G238" t="e">
        <f ca="1">_xludf.MINIFS(CBIC_Late_Fee_Relief_Windows_1!$I$100:$I$238,CBIC_Late_Fee_Relief_Windows_1!$D$100:$D$238,"&lt;="&amp;B238,CBIC_Late_Fee_Relief_Windows_1!$E$100:$E$238,"&gt;="&amp;B238,CBIC_Late_Fee_Relief_Windows_1!$F$100:$F$238,"&lt;="&amp;C238,CBIC_Late_Fee_Relief_Windows_1!$G$100:$G$238,"&gt;="&amp;C238,CBIC_Late_Fee_Relief_Windows_1!$H$100:$H$238,D238)</f>
        <v>#NAME?</v>
      </c>
      <c r="H238" t="e">
        <f t="shared" ca="1" si="3"/>
        <v>#NAME?</v>
      </c>
      <c r="I238" t="e">
        <f ca="1">INDEX(CBIC_Late_Fee_Relief_Windows_1!$B$100:$B$238,MATCH(G238,CBIC_Late_Fee_Relief_Windows_1!$I$100:$I$238,0))</f>
        <v>#NAME?</v>
      </c>
    </row>
    <row r="239" spans="1:9" x14ac:dyDescent="0.55000000000000004">
      <c r="A239" t="str">
        <f>TEST_DATA!A239</f>
        <v>27AAAAA0239Z5</v>
      </c>
      <c r="B239" t="str">
        <f>TEST_DATA!B239</f>
        <v>Dec-2019</v>
      </c>
      <c r="C239">
        <f>TEST_DATA!C239</f>
        <v>44386</v>
      </c>
      <c r="D239" t="str">
        <f>TEST_DATA!D239</f>
        <v>NIL</v>
      </c>
      <c r="E239">
        <f>TEST_DATA!E239</f>
        <v>1088</v>
      </c>
      <c r="F239">
        <f>MIN(E239*23900,10000)</f>
        <v>10000</v>
      </c>
      <c r="G239" t="e">
        <f ca="1">_xludf.MINIFS(CBIC_Late_Fee_Relief_Windows_1!$I$100:$I$239,CBIC_Late_Fee_Relief_Windows_1!$D$100:$D$239,"&lt;="&amp;B239,CBIC_Late_Fee_Relief_Windows_1!$E$100:$E$239,"&gt;="&amp;B239,CBIC_Late_Fee_Relief_Windows_1!$F$100:$F$239,"&lt;="&amp;C239,CBIC_Late_Fee_Relief_Windows_1!$G$100:$G$239,"&gt;="&amp;C239,CBIC_Late_Fee_Relief_Windows_1!$H$100:$H$239,D239)</f>
        <v>#NAME?</v>
      </c>
      <c r="H239" t="e">
        <f t="shared" ca="1" si="3"/>
        <v>#NAME?</v>
      </c>
      <c r="I239" t="e">
        <f ca="1">INDEX(CBIC_Late_Fee_Relief_Windows_1!$B$100:$B$239,MATCH(G239,CBIC_Late_Fee_Relief_Windows_1!$I$100:$I$239,0))</f>
        <v>#NAME?</v>
      </c>
    </row>
    <row r="240" spans="1:9" x14ac:dyDescent="0.55000000000000004">
      <c r="A240" t="str">
        <f>TEST_DATA!A240</f>
        <v>27AAAAA0240Z5</v>
      </c>
      <c r="B240" t="str">
        <f>TEST_DATA!B240</f>
        <v>Dec-2022</v>
      </c>
      <c r="C240">
        <f>TEST_DATA!C240</f>
        <v>44048</v>
      </c>
      <c r="D240" t="str">
        <f>TEST_DATA!D240</f>
        <v>NIL</v>
      </c>
      <c r="E240">
        <f>TEST_DATA!E240</f>
        <v>244</v>
      </c>
      <c r="F240">
        <f>MIN(E240*24000,10000)</f>
        <v>10000</v>
      </c>
      <c r="G240" t="e">
        <f ca="1">_xludf.MINIFS(CBIC_Late_Fee_Relief_Windows_1!$I$100:$I$240,CBIC_Late_Fee_Relief_Windows_1!$D$100:$D$240,"&lt;="&amp;B240,CBIC_Late_Fee_Relief_Windows_1!$E$100:$E$240,"&gt;="&amp;B240,CBIC_Late_Fee_Relief_Windows_1!$F$100:$F$240,"&lt;="&amp;C240,CBIC_Late_Fee_Relief_Windows_1!$G$100:$G$240,"&gt;="&amp;C240,CBIC_Late_Fee_Relief_Windows_1!$H$100:$H$240,D240)</f>
        <v>#NAME?</v>
      </c>
      <c r="H240" t="e">
        <f t="shared" ca="1" si="3"/>
        <v>#NAME?</v>
      </c>
      <c r="I240" t="e">
        <f ca="1">INDEX(CBIC_Late_Fee_Relief_Windows_1!$B$100:$B$240,MATCH(G240,CBIC_Late_Fee_Relief_Windows_1!$I$100:$I$240,0))</f>
        <v>#NAME?</v>
      </c>
    </row>
    <row r="241" spans="1:9" x14ac:dyDescent="0.55000000000000004">
      <c r="A241" t="str">
        <f>TEST_DATA!A241</f>
        <v>27AAAAA0241Z5</v>
      </c>
      <c r="B241" t="str">
        <f>TEST_DATA!B241</f>
        <v>Dec-2017</v>
      </c>
      <c r="C241">
        <f>TEST_DATA!C241</f>
        <v>44540</v>
      </c>
      <c r="D241" t="str">
        <f>TEST_DATA!D241</f>
        <v>NON-NIL</v>
      </c>
      <c r="E241">
        <f>TEST_DATA!E241</f>
        <v>2437</v>
      </c>
      <c r="F241">
        <f>MIN(E241*24100,10000)</f>
        <v>10000</v>
      </c>
      <c r="G241" t="e">
        <f ca="1">_xludf.MINIFS(CBIC_Late_Fee_Relief_Windows_1!$I$100:$I$241,CBIC_Late_Fee_Relief_Windows_1!$D$100:$D$241,"&lt;="&amp;B241,CBIC_Late_Fee_Relief_Windows_1!$E$100:$E$241,"&gt;="&amp;B241,CBIC_Late_Fee_Relief_Windows_1!$F$100:$F$241,"&lt;="&amp;C241,CBIC_Late_Fee_Relief_Windows_1!$G$100:$G$241,"&gt;="&amp;C241,CBIC_Late_Fee_Relief_Windows_1!$H$100:$H$241,D241)</f>
        <v>#NAME?</v>
      </c>
      <c r="H241" t="e">
        <f t="shared" ca="1" si="3"/>
        <v>#NAME?</v>
      </c>
      <c r="I241" t="e">
        <f ca="1">INDEX(CBIC_Late_Fee_Relief_Windows_1!$B$100:$B$241,MATCH(G241,CBIC_Late_Fee_Relief_Windows_1!$I$100:$I$241,0))</f>
        <v>#NAME?</v>
      </c>
    </row>
    <row r="242" spans="1:9" x14ac:dyDescent="0.55000000000000004">
      <c r="A242" t="str">
        <f>TEST_DATA!A242</f>
        <v>27AAAAA0242Z5</v>
      </c>
      <c r="B242" t="str">
        <f>TEST_DATA!B242</f>
        <v>Jan-2021</v>
      </c>
      <c r="C242">
        <f>TEST_DATA!C242</f>
        <v>45797</v>
      </c>
      <c r="D242" t="str">
        <f>TEST_DATA!D242</f>
        <v>NON-NIL</v>
      </c>
      <c r="E242">
        <f>TEST_DATA!E242</f>
        <v>1798</v>
      </c>
      <c r="F242">
        <f>MIN(E242*24200,10000)</f>
        <v>10000</v>
      </c>
      <c r="G242" t="e">
        <f ca="1">_xludf.MINIFS(CBIC_Late_Fee_Relief_Windows_1!$I$100:$I$242,CBIC_Late_Fee_Relief_Windows_1!$D$100:$D$242,"&lt;="&amp;B242,CBIC_Late_Fee_Relief_Windows_1!$E$100:$E$242,"&gt;="&amp;B242,CBIC_Late_Fee_Relief_Windows_1!$F$100:$F$242,"&lt;="&amp;C242,CBIC_Late_Fee_Relief_Windows_1!$G$100:$G$242,"&gt;="&amp;C242,CBIC_Late_Fee_Relief_Windows_1!$H$100:$H$242,D242)</f>
        <v>#NAME?</v>
      </c>
      <c r="H242" t="e">
        <f t="shared" ca="1" si="3"/>
        <v>#NAME?</v>
      </c>
      <c r="I242" t="e">
        <f ca="1">INDEX(CBIC_Late_Fee_Relief_Windows_1!$B$100:$B$242,MATCH(G242,CBIC_Late_Fee_Relief_Windows_1!$I$100:$I$242,0))</f>
        <v>#NAME?</v>
      </c>
    </row>
    <row r="243" spans="1:9" x14ac:dyDescent="0.55000000000000004">
      <c r="A243" t="str">
        <f>TEST_DATA!A243</f>
        <v>27AAAAA0243Z5</v>
      </c>
      <c r="B243" t="str">
        <f>TEST_DATA!B243</f>
        <v>Oct-2017</v>
      </c>
      <c r="C243">
        <f>TEST_DATA!C243</f>
        <v>43876</v>
      </c>
      <c r="D243" t="str">
        <f>TEST_DATA!D243</f>
        <v>NON-NIL</v>
      </c>
      <c r="E243">
        <f>TEST_DATA!E243</f>
        <v>2866</v>
      </c>
      <c r="F243">
        <f>MIN(E243*24300,10000)</f>
        <v>10000</v>
      </c>
      <c r="G243" t="e">
        <f ca="1">_xludf.MINIFS(CBIC_Late_Fee_Relief_Windows_1!$I$100:$I$243,CBIC_Late_Fee_Relief_Windows_1!$D$100:$D$243,"&lt;="&amp;B243,CBIC_Late_Fee_Relief_Windows_1!$E$100:$E$243,"&gt;="&amp;B243,CBIC_Late_Fee_Relief_Windows_1!$F$100:$F$243,"&lt;="&amp;C243,CBIC_Late_Fee_Relief_Windows_1!$G$100:$G$243,"&gt;="&amp;C243,CBIC_Late_Fee_Relief_Windows_1!$H$100:$H$243,D243)</f>
        <v>#NAME?</v>
      </c>
      <c r="H243" t="e">
        <f t="shared" ca="1" si="3"/>
        <v>#NAME?</v>
      </c>
      <c r="I243" t="e">
        <f ca="1">INDEX(CBIC_Late_Fee_Relief_Windows_1!$B$100:$B$243,MATCH(G243,CBIC_Late_Fee_Relief_Windows_1!$I$100:$I$243,0))</f>
        <v>#NAME?</v>
      </c>
    </row>
    <row r="244" spans="1:9" x14ac:dyDescent="0.55000000000000004">
      <c r="A244" t="str">
        <f>TEST_DATA!A244</f>
        <v>27AAAAA0244Z5</v>
      </c>
      <c r="B244" t="str">
        <f>TEST_DATA!B244</f>
        <v>Jul-2018</v>
      </c>
      <c r="C244">
        <f>TEST_DATA!C244</f>
        <v>43474</v>
      </c>
      <c r="D244" t="str">
        <f>TEST_DATA!D244</f>
        <v>NON-NIL</v>
      </c>
      <c r="E244">
        <f>TEST_DATA!E244</f>
        <v>1793</v>
      </c>
      <c r="F244">
        <f>MIN(E244*24400,10000)</f>
        <v>10000</v>
      </c>
      <c r="G244" t="e">
        <f ca="1">_xludf.MINIFS(CBIC_Late_Fee_Relief_Windows_1!$I$100:$I$244,CBIC_Late_Fee_Relief_Windows_1!$D$100:$D$244,"&lt;="&amp;B244,CBIC_Late_Fee_Relief_Windows_1!$E$100:$E$244,"&gt;="&amp;B244,CBIC_Late_Fee_Relief_Windows_1!$F$100:$F$244,"&lt;="&amp;C244,CBIC_Late_Fee_Relief_Windows_1!$G$100:$G$244,"&gt;="&amp;C244,CBIC_Late_Fee_Relief_Windows_1!$H$100:$H$244,D244)</f>
        <v>#NAME?</v>
      </c>
      <c r="H244" t="e">
        <f t="shared" ca="1" si="3"/>
        <v>#NAME?</v>
      </c>
      <c r="I244" t="e">
        <f ca="1">INDEX(CBIC_Late_Fee_Relief_Windows_1!$B$100:$B$244,MATCH(G244,CBIC_Late_Fee_Relief_Windows_1!$I$100:$I$244,0))</f>
        <v>#NAME?</v>
      </c>
    </row>
    <row r="245" spans="1:9" x14ac:dyDescent="0.55000000000000004">
      <c r="A245" t="str">
        <f>TEST_DATA!A245</f>
        <v>27AAAAA0245Z5</v>
      </c>
      <c r="B245" t="str">
        <f>TEST_DATA!B245</f>
        <v>Sep-2017</v>
      </c>
      <c r="C245">
        <f>TEST_DATA!C245</f>
        <v>44141</v>
      </c>
      <c r="D245" t="str">
        <f>TEST_DATA!D245</f>
        <v>NIL</v>
      </c>
      <c r="E245">
        <f>TEST_DATA!E245</f>
        <v>1769</v>
      </c>
      <c r="F245">
        <f>MIN(E245*24500,10000)</f>
        <v>10000</v>
      </c>
      <c r="G245" t="e">
        <f ca="1">_xludf.MINIFS(CBIC_Late_Fee_Relief_Windows_1!$I$100:$I$245,CBIC_Late_Fee_Relief_Windows_1!$D$100:$D$245,"&lt;="&amp;B245,CBIC_Late_Fee_Relief_Windows_1!$E$100:$E$245,"&gt;="&amp;B245,CBIC_Late_Fee_Relief_Windows_1!$F$100:$F$245,"&lt;="&amp;C245,CBIC_Late_Fee_Relief_Windows_1!$G$100:$G$245,"&gt;="&amp;C245,CBIC_Late_Fee_Relief_Windows_1!$H$100:$H$245,D245)</f>
        <v>#NAME?</v>
      </c>
      <c r="H245" t="e">
        <f t="shared" ca="1" si="3"/>
        <v>#NAME?</v>
      </c>
      <c r="I245" t="e">
        <f ca="1">INDEX(CBIC_Late_Fee_Relief_Windows_1!$B$100:$B$245,MATCH(G245,CBIC_Late_Fee_Relief_Windows_1!$I$100:$I$245,0))</f>
        <v>#NAME?</v>
      </c>
    </row>
    <row r="246" spans="1:9" x14ac:dyDescent="0.55000000000000004">
      <c r="A246" t="str">
        <f>TEST_DATA!A246</f>
        <v>27AAAAA0246Z5</v>
      </c>
      <c r="B246" t="str">
        <f>TEST_DATA!B246</f>
        <v>Jan-2021</v>
      </c>
      <c r="C246">
        <f>TEST_DATA!C246</f>
        <v>44786</v>
      </c>
      <c r="D246" t="str">
        <f>TEST_DATA!D246</f>
        <v>NON-NIL</v>
      </c>
      <c r="E246">
        <f>TEST_DATA!E246</f>
        <v>105</v>
      </c>
      <c r="F246">
        <f>MIN(E246*24600,10000)</f>
        <v>10000</v>
      </c>
      <c r="G246" t="e">
        <f ca="1">_xludf.MINIFS(CBIC_Late_Fee_Relief_Windows_1!$I$100:$I$246,CBIC_Late_Fee_Relief_Windows_1!$D$100:$D$246,"&lt;="&amp;B246,CBIC_Late_Fee_Relief_Windows_1!$E$100:$E$246,"&gt;="&amp;B246,CBIC_Late_Fee_Relief_Windows_1!$F$100:$F$246,"&lt;="&amp;C246,CBIC_Late_Fee_Relief_Windows_1!$G$100:$G$246,"&gt;="&amp;C246,CBIC_Late_Fee_Relief_Windows_1!$H$100:$H$246,D246)</f>
        <v>#NAME?</v>
      </c>
      <c r="H246" t="e">
        <f t="shared" ca="1" si="3"/>
        <v>#NAME?</v>
      </c>
      <c r="I246" t="e">
        <f ca="1">INDEX(CBIC_Late_Fee_Relief_Windows_1!$B$100:$B$246,MATCH(G246,CBIC_Late_Fee_Relief_Windows_1!$I$100:$I$246,0))</f>
        <v>#NAME?</v>
      </c>
    </row>
    <row r="247" spans="1:9" x14ac:dyDescent="0.55000000000000004">
      <c r="A247" t="str">
        <f>TEST_DATA!A247</f>
        <v>27AAAAA0247Z5</v>
      </c>
      <c r="B247" t="str">
        <f>TEST_DATA!B247</f>
        <v>Sep-2017</v>
      </c>
      <c r="C247">
        <f>TEST_DATA!C247</f>
        <v>43385</v>
      </c>
      <c r="D247" t="str">
        <f>TEST_DATA!D247</f>
        <v>NIL</v>
      </c>
      <c r="E247">
        <f>TEST_DATA!E247</f>
        <v>2753</v>
      </c>
      <c r="F247">
        <f>MIN(E247*24700,10000)</f>
        <v>10000</v>
      </c>
      <c r="G247" t="e">
        <f ca="1">_xludf.MINIFS(CBIC_Late_Fee_Relief_Windows_1!$I$100:$I$247,CBIC_Late_Fee_Relief_Windows_1!$D$100:$D$247,"&lt;="&amp;B247,CBIC_Late_Fee_Relief_Windows_1!$E$100:$E$247,"&gt;="&amp;B247,CBIC_Late_Fee_Relief_Windows_1!$F$100:$F$247,"&lt;="&amp;C247,CBIC_Late_Fee_Relief_Windows_1!$G$100:$G$247,"&gt;="&amp;C247,CBIC_Late_Fee_Relief_Windows_1!$H$100:$H$247,D247)</f>
        <v>#NAME?</v>
      </c>
      <c r="H247" t="e">
        <f t="shared" ca="1" si="3"/>
        <v>#NAME?</v>
      </c>
      <c r="I247" t="e">
        <f ca="1">INDEX(CBIC_Late_Fee_Relief_Windows_1!$B$100:$B$247,MATCH(G247,CBIC_Late_Fee_Relief_Windows_1!$I$100:$I$247,0))</f>
        <v>#NAME?</v>
      </c>
    </row>
    <row r="248" spans="1:9" x14ac:dyDescent="0.55000000000000004">
      <c r="A248" t="str">
        <f>TEST_DATA!A248</f>
        <v>27AAAAA0248Z5</v>
      </c>
      <c r="B248" t="str">
        <f>TEST_DATA!B248</f>
        <v>Dec-2022</v>
      </c>
      <c r="C248">
        <f>TEST_DATA!C248</f>
        <v>44569</v>
      </c>
      <c r="D248" t="str">
        <f>TEST_DATA!D248</f>
        <v>NIL</v>
      </c>
      <c r="E248">
        <f>TEST_DATA!E248</f>
        <v>717</v>
      </c>
      <c r="F248">
        <f>MIN(E248*24800,10000)</f>
        <v>10000</v>
      </c>
      <c r="G248" t="e">
        <f ca="1">_xludf.MINIFS(CBIC_Late_Fee_Relief_Windows_1!$I$100:$I$248,CBIC_Late_Fee_Relief_Windows_1!$D$100:$D$248,"&lt;="&amp;B248,CBIC_Late_Fee_Relief_Windows_1!$E$100:$E$248,"&gt;="&amp;B248,CBIC_Late_Fee_Relief_Windows_1!$F$100:$F$248,"&lt;="&amp;C248,CBIC_Late_Fee_Relief_Windows_1!$G$100:$G$248,"&gt;="&amp;C248,CBIC_Late_Fee_Relief_Windows_1!$H$100:$H$248,D248)</f>
        <v>#NAME?</v>
      </c>
      <c r="H248" t="e">
        <f t="shared" ca="1" si="3"/>
        <v>#NAME?</v>
      </c>
      <c r="I248" t="e">
        <f ca="1">INDEX(CBIC_Late_Fee_Relief_Windows_1!$B$100:$B$248,MATCH(G248,CBIC_Late_Fee_Relief_Windows_1!$I$100:$I$248,0))</f>
        <v>#NAME?</v>
      </c>
    </row>
    <row r="249" spans="1:9" x14ac:dyDescent="0.55000000000000004">
      <c r="A249" t="str">
        <f>TEST_DATA!A249</f>
        <v>27AAAAA0249Z5</v>
      </c>
      <c r="B249" t="str">
        <f>TEST_DATA!B249</f>
        <v>Jan-2019</v>
      </c>
      <c r="C249">
        <f>TEST_DATA!C249</f>
        <v>45591</v>
      </c>
      <c r="D249" t="str">
        <f>TEST_DATA!D249</f>
        <v>NON-NIL</v>
      </c>
      <c r="E249">
        <f>TEST_DATA!E249</f>
        <v>1139</v>
      </c>
      <c r="F249">
        <f>MIN(E249*24900,10000)</f>
        <v>10000</v>
      </c>
      <c r="G249" t="e">
        <f ca="1">_xludf.MINIFS(CBIC_Late_Fee_Relief_Windows_1!$I$100:$I$249,CBIC_Late_Fee_Relief_Windows_1!$D$100:$D$249,"&lt;="&amp;B249,CBIC_Late_Fee_Relief_Windows_1!$E$100:$E$249,"&gt;="&amp;B249,CBIC_Late_Fee_Relief_Windows_1!$F$100:$F$249,"&lt;="&amp;C249,CBIC_Late_Fee_Relief_Windows_1!$G$100:$G$249,"&gt;="&amp;C249,CBIC_Late_Fee_Relief_Windows_1!$H$100:$H$249,D249)</f>
        <v>#NAME?</v>
      </c>
      <c r="H249" t="e">
        <f t="shared" ca="1" si="3"/>
        <v>#NAME?</v>
      </c>
      <c r="I249" t="e">
        <f ca="1">INDEX(CBIC_Late_Fee_Relief_Windows_1!$B$100:$B$249,MATCH(G249,CBIC_Late_Fee_Relief_Windows_1!$I$100:$I$249,0))</f>
        <v>#NAME?</v>
      </c>
    </row>
    <row r="250" spans="1:9" x14ac:dyDescent="0.55000000000000004">
      <c r="A250" t="str">
        <f>TEST_DATA!A250</f>
        <v>27AAAAA0250Z5</v>
      </c>
      <c r="B250" t="str">
        <f>TEST_DATA!B250</f>
        <v>Dec-2017</v>
      </c>
      <c r="C250">
        <f>TEST_DATA!C250</f>
        <v>44115</v>
      </c>
      <c r="D250" t="str">
        <f>TEST_DATA!D250</f>
        <v>NON-NIL</v>
      </c>
      <c r="E250">
        <f>TEST_DATA!E250</f>
        <v>2600</v>
      </c>
      <c r="F250">
        <f>MIN(E250*25000,10000)</f>
        <v>10000</v>
      </c>
      <c r="G250" t="e">
        <f ca="1">_xludf.MINIFS(CBIC_Late_Fee_Relief_Windows_1!$I$100:$I$250,CBIC_Late_Fee_Relief_Windows_1!$D$100:$D$250,"&lt;="&amp;B250,CBIC_Late_Fee_Relief_Windows_1!$E$100:$E$250,"&gt;="&amp;B250,CBIC_Late_Fee_Relief_Windows_1!$F$100:$F$250,"&lt;="&amp;C250,CBIC_Late_Fee_Relief_Windows_1!$G$100:$G$250,"&gt;="&amp;C250,CBIC_Late_Fee_Relief_Windows_1!$H$100:$H$250,D250)</f>
        <v>#NAME?</v>
      </c>
      <c r="H250" t="e">
        <f t="shared" ca="1" si="3"/>
        <v>#NAME?</v>
      </c>
      <c r="I250" t="e">
        <f ca="1">INDEX(CBIC_Late_Fee_Relief_Windows_1!$B$100:$B$250,MATCH(G250,CBIC_Late_Fee_Relief_Windows_1!$I$100:$I$250,0))</f>
        <v>#NAME?</v>
      </c>
    </row>
    <row r="251" spans="1:9" x14ac:dyDescent="0.55000000000000004">
      <c r="A251" t="str">
        <f>TEST_DATA!A251</f>
        <v>27AAAAA0251Z5</v>
      </c>
      <c r="B251" t="str">
        <f>TEST_DATA!B251</f>
        <v>Dec-2022</v>
      </c>
      <c r="C251">
        <f>TEST_DATA!C251</f>
        <v>45480</v>
      </c>
      <c r="D251" t="str">
        <f>TEST_DATA!D251</f>
        <v>NIL</v>
      </c>
      <c r="E251">
        <f>TEST_DATA!E251</f>
        <v>1925</v>
      </c>
      <c r="F251">
        <f>MIN(E251*25100,10000)</f>
        <v>10000</v>
      </c>
      <c r="G251" t="e">
        <f ca="1">_xludf.MINIFS(CBIC_Late_Fee_Relief_Windows_1!$I$100:$I$251,CBIC_Late_Fee_Relief_Windows_1!$D$100:$D$251,"&lt;="&amp;B251,CBIC_Late_Fee_Relief_Windows_1!$E$100:$E$251,"&gt;="&amp;B251,CBIC_Late_Fee_Relief_Windows_1!$F$100:$F$251,"&lt;="&amp;C251,CBIC_Late_Fee_Relief_Windows_1!$G$100:$G$251,"&gt;="&amp;C251,CBIC_Late_Fee_Relief_Windows_1!$H$100:$H$251,D251)</f>
        <v>#NAME?</v>
      </c>
      <c r="H251" t="e">
        <f t="shared" ca="1" si="3"/>
        <v>#NAME?</v>
      </c>
      <c r="I251" t="e">
        <f ca="1">INDEX(CBIC_Late_Fee_Relief_Windows_1!$B$100:$B$251,MATCH(G251,CBIC_Late_Fee_Relief_Windows_1!$I$100:$I$251,0))</f>
        <v>#NAME?</v>
      </c>
    </row>
    <row r="252" spans="1:9" x14ac:dyDescent="0.55000000000000004">
      <c r="A252" t="str">
        <f>TEST_DATA!A252</f>
        <v>27AAAAA0252Z5</v>
      </c>
      <c r="B252" t="str">
        <f>TEST_DATA!B252</f>
        <v>Jun-2018</v>
      </c>
      <c r="C252">
        <f>TEST_DATA!C252</f>
        <v>43753</v>
      </c>
      <c r="D252" t="str">
        <f>TEST_DATA!D252</f>
        <v>NON-NIL</v>
      </c>
      <c r="E252">
        <f>TEST_DATA!E252</f>
        <v>1315</v>
      </c>
      <c r="F252">
        <f>MIN(E252*25200,10000)</f>
        <v>10000</v>
      </c>
      <c r="G252" t="e">
        <f ca="1">_xludf.MINIFS(CBIC_Late_Fee_Relief_Windows_1!$I$100:$I$252,CBIC_Late_Fee_Relief_Windows_1!$D$100:$D$252,"&lt;="&amp;B252,CBIC_Late_Fee_Relief_Windows_1!$E$100:$E$252,"&gt;="&amp;B252,CBIC_Late_Fee_Relief_Windows_1!$F$100:$F$252,"&lt;="&amp;C252,CBIC_Late_Fee_Relief_Windows_1!$G$100:$G$252,"&gt;="&amp;C252,CBIC_Late_Fee_Relief_Windows_1!$H$100:$H$252,D252)</f>
        <v>#NAME?</v>
      </c>
      <c r="H252" t="e">
        <f t="shared" ca="1" si="3"/>
        <v>#NAME?</v>
      </c>
      <c r="I252" t="e">
        <f ca="1">INDEX(CBIC_Late_Fee_Relief_Windows_1!$B$100:$B$252,MATCH(G252,CBIC_Late_Fee_Relief_Windows_1!$I$100:$I$252,0))</f>
        <v>#NAME?</v>
      </c>
    </row>
    <row r="253" spans="1:9" x14ac:dyDescent="0.55000000000000004">
      <c r="A253" t="str">
        <f>TEST_DATA!A253</f>
        <v>27AAAAA0253Z5</v>
      </c>
      <c r="B253" t="str">
        <f>TEST_DATA!B253</f>
        <v>Jun-2020</v>
      </c>
      <c r="C253">
        <f>TEST_DATA!C253</f>
        <v>44045</v>
      </c>
      <c r="D253" t="str">
        <f>TEST_DATA!D253</f>
        <v>NIL</v>
      </c>
      <c r="E253">
        <f>TEST_DATA!E253</f>
        <v>1350</v>
      </c>
      <c r="F253">
        <f>MIN(E253*25300,10000)</f>
        <v>10000</v>
      </c>
      <c r="G253" t="e">
        <f ca="1">_xludf.MINIFS(CBIC_Late_Fee_Relief_Windows_1!$I$100:$I$253,CBIC_Late_Fee_Relief_Windows_1!$D$100:$D$253,"&lt;="&amp;B253,CBIC_Late_Fee_Relief_Windows_1!$E$100:$E$253,"&gt;="&amp;B253,CBIC_Late_Fee_Relief_Windows_1!$F$100:$F$253,"&lt;="&amp;C253,CBIC_Late_Fee_Relief_Windows_1!$G$100:$G$253,"&gt;="&amp;C253,CBIC_Late_Fee_Relief_Windows_1!$H$100:$H$253,D253)</f>
        <v>#NAME?</v>
      </c>
      <c r="H253" t="e">
        <f t="shared" ca="1" si="3"/>
        <v>#NAME?</v>
      </c>
      <c r="I253" t="e">
        <f ca="1">INDEX(CBIC_Late_Fee_Relief_Windows_1!$B$100:$B$253,MATCH(G253,CBIC_Late_Fee_Relief_Windows_1!$I$100:$I$253,0))</f>
        <v>#NAME?</v>
      </c>
    </row>
    <row r="254" spans="1:9" x14ac:dyDescent="0.55000000000000004">
      <c r="A254" t="str">
        <f>TEST_DATA!A254</f>
        <v>27AAAAA0254Z5</v>
      </c>
      <c r="B254" t="str">
        <f>TEST_DATA!B254</f>
        <v>Aug-2018</v>
      </c>
      <c r="C254">
        <f>TEST_DATA!C254</f>
        <v>44337</v>
      </c>
      <c r="D254" t="str">
        <f>TEST_DATA!D254</f>
        <v>NON-NIL</v>
      </c>
      <c r="E254">
        <f>TEST_DATA!E254</f>
        <v>1180</v>
      </c>
      <c r="F254">
        <f>MIN(E254*25400,10000)</f>
        <v>10000</v>
      </c>
      <c r="G254" t="e">
        <f ca="1">_xludf.MINIFS(CBIC_Late_Fee_Relief_Windows_1!$I$100:$I$254,CBIC_Late_Fee_Relief_Windows_1!$D$100:$D$254,"&lt;="&amp;B254,CBIC_Late_Fee_Relief_Windows_1!$E$100:$E$254,"&gt;="&amp;B254,CBIC_Late_Fee_Relief_Windows_1!$F$100:$F$254,"&lt;="&amp;C254,CBIC_Late_Fee_Relief_Windows_1!$G$100:$G$254,"&gt;="&amp;C254,CBIC_Late_Fee_Relief_Windows_1!$H$100:$H$254,D254)</f>
        <v>#NAME?</v>
      </c>
      <c r="H254" t="e">
        <f t="shared" ca="1" si="3"/>
        <v>#NAME?</v>
      </c>
      <c r="I254" t="e">
        <f ca="1">INDEX(CBIC_Late_Fee_Relief_Windows_1!$B$100:$B$254,MATCH(G254,CBIC_Late_Fee_Relief_Windows_1!$I$100:$I$254,0))</f>
        <v>#NAME?</v>
      </c>
    </row>
    <row r="255" spans="1:9" x14ac:dyDescent="0.55000000000000004">
      <c r="A255" t="str">
        <f>TEST_DATA!A255</f>
        <v>27AAAAA0255Z5</v>
      </c>
      <c r="B255" t="str">
        <f>TEST_DATA!B255</f>
        <v>Jun-2020</v>
      </c>
      <c r="C255">
        <f>TEST_DATA!C255</f>
        <v>44651</v>
      </c>
      <c r="D255" t="str">
        <f>TEST_DATA!D255</f>
        <v>NIL</v>
      </c>
      <c r="E255">
        <f>TEST_DATA!E255</f>
        <v>1862</v>
      </c>
      <c r="F255">
        <f>MIN(E255*25500,10000)</f>
        <v>10000</v>
      </c>
      <c r="G255" t="e">
        <f ca="1">_xludf.MINIFS(CBIC_Late_Fee_Relief_Windows_1!$I$100:$I$255,CBIC_Late_Fee_Relief_Windows_1!$D$100:$D$255,"&lt;="&amp;B255,CBIC_Late_Fee_Relief_Windows_1!$E$100:$E$255,"&gt;="&amp;B255,CBIC_Late_Fee_Relief_Windows_1!$F$100:$F$255,"&lt;="&amp;C255,CBIC_Late_Fee_Relief_Windows_1!$G$100:$G$255,"&gt;="&amp;C255,CBIC_Late_Fee_Relief_Windows_1!$H$100:$H$255,D255)</f>
        <v>#NAME?</v>
      </c>
      <c r="H255" t="e">
        <f t="shared" ca="1" si="3"/>
        <v>#NAME?</v>
      </c>
      <c r="I255" t="e">
        <f ca="1">INDEX(CBIC_Late_Fee_Relief_Windows_1!$B$100:$B$255,MATCH(G255,CBIC_Late_Fee_Relief_Windows_1!$I$100:$I$255,0))</f>
        <v>#NAME?</v>
      </c>
    </row>
    <row r="256" spans="1:9" x14ac:dyDescent="0.55000000000000004">
      <c r="A256" t="str">
        <f>TEST_DATA!A256</f>
        <v>27AAAAA0256Z5</v>
      </c>
      <c r="B256" t="str">
        <f>TEST_DATA!B256</f>
        <v>Sep-2017</v>
      </c>
      <c r="C256">
        <f>TEST_DATA!C256</f>
        <v>43561</v>
      </c>
      <c r="D256" t="str">
        <f>TEST_DATA!D256</f>
        <v>NON-NIL</v>
      </c>
      <c r="E256">
        <f>TEST_DATA!E256</f>
        <v>1324</v>
      </c>
      <c r="F256">
        <f>MIN(E256*25600,10000)</f>
        <v>10000</v>
      </c>
      <c r="G256" t="e">
        <f ca="1">_xludf.MINIFS(CBIC_Late_Fee_Relief_Windows_1!$I$100:$I$256,CBIC_Late_Fee_Relief_Windows_1!$D$100:$D$256,"&lt;="&amp;B256,CBIC_Late_Fee_Relief_Windows_1!$E$100:$E$256,"&gt;="&amp;B256,CBIC_Late_Fee_Relief_Windows_1!$F$100:$F$256,"&lt;="&amp;C256,CBIC_Late_Fee_Relief_Windows_1!$G$100:$G$256,"&gt;="&amp;C256,CBIC_Late_Fee_Relief_Windows_1!$H$100:$H$256,D256)</f>
        <v>#NAME?</v>
      </c>
      <c r="H256" t="e">
        <f t="shared" ca="1" si="3"/>
        <v>#NAME?</v>
      </c>
      <c r="I256" t="e">
        <f ca="1">INDEX(CBIC_Late_Fee_Relief_Windows_1!$B$100:$B$256,MATCH(G256,CBIC_Late_Fee_Relief_Windows_1!$I$100:$I$256,0))</f>
        <v>#NAME?</v>
      </c>
    </row>
    <row r="257" spans="1:9" x14ac:dyDescent="0.55000000000000004">
      <c r="A257" t="str">
        <f>TEST_DATA!A257</f>
        <v>27AAAAA0257Z5</v>
      </c>
      <c r="B257" t="str">
        <f>TEST_DATA!B257</f>
        <v>Oct-2017</v>
      </c>
      <c r="C257">
        <f>TEST_DATA!C257</f>
        <v>44499</v>
      </c>
      <c r="D257" t="str">
        <f>TEST_DATA!D257</f>
        <v>NON-NIL</v>
      </c>
      <c r="E257">
        <f>TEST_DATA!E257</f>
        <v>2107</v>
      </c>
      <c r="F257">
        <f>MIN(E257*25700,10000)</f>
        <v>10000</v>
      </c>
      <c r="G257" t="e">
        <f ca="1">_xludf.MINIFS(CBIC_Late_Fee_Relief_Windows_1!$I$100:$I$257,CBIC_Late_Fee_Relief_Windows_1!$D$100:$D$257,"&lt;="&amp;B257,CBIC_Late_Fee_Relief_Windows_1!$E$100:$E$257,"&gt;="&amp;B257,CBIC_Late_Fee_Relief_Windows_1!$F$100:$F$257,"&lt;="&amp;C257,CBIC_Late_Fee_Relief_Windows_1!$G$100:$G$257,"&gt;="&amp;C257,CBIC_Late_Fee_Relief_Windows_1!$H$100:$H$257,D257)</f>
        <v>#NAME?</v>
      </c>
      <c r="H257" t="e">
        <f t="shared" ca="1" si="3"/>
        <v>#NAME?</v>
      </c>
      <c r="I257" t="e">
        <f ca="1">INDEX(CBIC_Late_Fee_Relief_Windows_1!$B$100:$B$257,MATCH(G257,CBIC_Late_Fee_Relief_Windows_1!$I$100:$I$257,0))</f>
        <v>#NAME?</v>
      </c>
    </row>
    <row r="258" spans="1:9" x14ac:dyDescent="0.55000000000000004">
      <c r="A258" t="str">
        <f>TEST_DATA!A258</f>
        <v>27AAAAA0258Z5</v>
      </c>
      <c r="B258" t="str">
        <f>TEST_DATA!B258</f>
        <v>Dec-2022</v>
      </c>
      <c r="C258">
        <f>TEST_DATA!C258</f>
        <v>43470</v>
      </c>
      <c r="D258" t="str">
        <f>TEST_DATA!D258</f>
        <v>NON-NIL</v>
      </c>
      <c r="E258">
        <f>TEST_DATA!E258</f>
        <v>1692</v>
      </c>
      <c r="F258">
        <f>MIN(E258*25800,10000)</f>
        <v>10000</v>
      </c>
      <c r="G258" t="e">
        <f ca="1">_xludf.MINIFS(CBIC_Late_Fee_Relief_Windows_1!$I$100:$I$258,CBIC_Late_Fee_Relief_Windows_1!$D$100:$D$258,"&lt;="&amp;B258,CBIC_Late_Fee_Relief_Windows_1!$E$100:$E$258,"&gt;="&amp;B258,CBIC_Late_Fee_Relief_Windows_1!$F$100:$F$258,"&lt;="&amp;C258,CBIC_Late_Fee_Relief_Windows_1!$G$100:$G$258,"&gt;="&amp;C258,CBIC_Late_Fee_Relief_Windows_1!$H$100:$H$258,D258)</f>
        <v>#NAME?</v>
      </c>
      <c r="H258" t="e">
        <f t="shared" ref="H258:H321" ca="1" si="4">MIN(F258,G258)</f>
        <v>#NAME?</v>
      </c>
      <c r="I258" t="e">
        <f ca="1">INDEX(CBIC_Late_Fee_Relief_Windows_1!$B$100:$B$258,MATCH(G258,CBIC_Late_Fee_Relief_Windows_1!$I$100:$I$258,0))</f>
        <v>#NAME?</v>
      </c>
    </row>
    <row r="259" spans="1:9" x14ac:dyDescent="0.55000000000000004">
      <c r="A259" t="str">
        <f>TEST_DATA!A259</f>
        <v>27AAAAA0259Z5</v>
      </c>
      <c r="B259" t="str">
        <f>TEST_DATA!B259</f>
        <v>Aug-2017</v>
      </c>
      <c r="C259">
        <f>TEST_DATA!C259</f>
        <v>43301</v>
      </c>
      <c r="D259" t="str">
        <f>TEST_DATA!D259</f>
        <v>NON-NIL</v>
      </c>
      <c r="E259">
        <f>TEST_DATA!E259</f>
        <v>2550</v>
      </c>
      <c r="F259">
        <f>MIN(E259*25900,10000)</f>
        <v>10000</v>
      </c>
      <c r="G259" t="e">
        <f ca="1">_xludf.MINIFS(CBIC_Late_Fee_Relief_Windows_1!$I$100:$I$259,CBIC_Late_Fee_Relief_Windows_1!$D$100:$D$259,"&lt;="&amp;B259,CBIC_Late_Fee_Relief_Windows_1!$E$100:$E$259,"&gt;="&amp;B259,CBIC_Late_Fee_Relief_Windows_1!$F$100:$F$259,"&lt;="&amp;C259,CBIC_Late_Fee_Relief_Windows_1!$G$100:$G$259,"&gt;="&amp;C259,CBIC_Late_Fee_Relief_Windows_1!$H$100:$H$259,D259)</f>
        <v>#NAME?</v>
      </c>
      <c r="H259" t="e">
        <f t="shared" ca="1" si="4"/>
        <v>#NAME?</v>
      </c>
      <c r="I259" t="e">
        <f ca="1">INDEX(CBIC_Late_Fee_Relief_Windows_1!$B$100:$B$259,MATCH(G259,CBIC_Late_Fee_Relief_Windows_1!$I$100:$I$259,0))</f>
        <v>#NAME?</v>
      </c>
    </row>
    <row r="260" spans="1:9" x14ac:dyDescent="0.55000000000000004">
      <c r="A260" t="str">
        <f>TEST_DATA!A260</f>
        <v>27AAAAA0260Z5</v>
      </c>
      <c r="B260" t="str">
        <f>TEST_DATA!B260</f>
        <v>Mar-2021</v>
      </c>
      <c r="C260">
        <f>TEST_DATA!C260</f>
        <v>45507</v>
      </c>
      <c r="D260" t="str">
        <f>TEST_DATA!D260</f>
        <v>NON-NIL</v>
      </c>
      <c r="E260">
        <f>TEST_DATA!E260</f>
        <v>211</v>
      </c>
      <c r="F260">
        <f>MIN(E260*26000,10000)</f>
        <v>10000</v>
      </c>
      <c r="G260" t="e">
        <f ca="1">_xludf.MINIFS(CBIC_Late_Fee_Relief_Windows_1!$I$100:$I$260,CBIC_Late_Fee_Relief_Windows_1!$D$100:$D$260,"&lt;="&amp;B260,CBIC_Late_Fee_Relief_Windows_1!$E$100:$E$260,"&gt;="&amp;B260,CBIC_Late_Fee_Relief_Windows_1!$F$100:$F$260,"&lt;="&amp;C260,CBIC_Late_Fee_Relief_Windows_1!$G$100:$G$260,"&gt;="&amp;C260,CBIC_Late_Fee_Relief_Windows_1!$H$100:$H$260,D260)</f>
        <v>#NAME?</v>
      </c>
      <c r="H260" t="e">
        <f t="shared" ca="1" si="4"/>
        <v>#NAME?</v>
      </c>
      <c r="I260" t="e">
        <f ca="1">INDEX(CBIC_Late_Fee_Relief_Windows_1!$B$100:$B$260,MATCH(G260,CBIC_Late_Fee_Relief_Windows_1!$I$100:$I$260,0))</f>
        <v>#NAME?</v>
      </c>
    </row>
    <row r="261" spans="1:9" x14ac:dyDescent="0.55000000000000004">
      <c r="A261" t="str">
        <f>TEST_DATA!A261</f>
        <v>27AAAAA0261Z5</v>
      </c>
      <c r="B261" t="str">
        <f>TEST_DATA!B261</f>
        <v>Jan-2018</v>
      </c>
      <c r="C261">
        <f>TEST_DATA!C261</f>
        <v>43463</v>
      </c>
      <c r="D261" t="str">
        <f>TEST_DATA!D261</f>
        <v>NIL</v>
      </c>
      <c r="E261">
        <f>TEST_DATA!E261</f>
        <v>1179</v>
      </c>
      <c r="F261">
        <f>MIN(E261*26100,10000)</f>
        <v>10000</v>
      </c>
      <c r="G261" t="e">
        <f ca="1">_xludf.MINIFS(CBIC_Late_Fee_Relief_Windows_1!$I$100:$I$261,CBIC_Late_Fee_Relief_Windows_1!$D$100:$D$261,"&lt;="&amp;B261,CBIC_Late_Fee_Relief_Windows_1!$E$100:$E$261,"&gt;="&amp;B261,CBIC_Late_Fee_Relief_Windows_1!$F$100:$F$261,"&lt;="&amp;C261,CBIC_Late_Fee_Relief_Windows_1!$G$100:$G$261,"&gt;="&amp;C261,CBIC_Late_Fee_Relief_Windows_1!$H$100:$H$261,D261)</f>
        <v>#NAME?</v>
      </c>
      <c r="H261" t="e">
        <f t="shared" ca="1" si="4"/>
        <v>#NAME?</v>
      </c>
      <c r="I261" t="e">
        <f ca="1">INDEX(CBIC_Late_Fee_Relief_Windows_1!$B$100:$B$261,MATCH(G261,CBIC_Late_Fee_Relief_Windows_1!$I$100:$I$261,0))</f>
        <v>#NAME?</v>
      </c>
    </row>
    <row r="262" spans="1:9" x14ac:dyDescent="0.55000000000000004">
      <c r="A262" t="str">
        <f>TEST_DATA!A262</f>
        <v>27AAAAA0262Z5</v>
      </c>
      <c r="B262" t="str">
        <f>TEST_DATA!B262</f>
        <v>Sep-2018</v>
      </c>
      <c r="C262">
        <f>TEST_DATA!C262</f>
        <v>44347</v>
      </c>
      <c r="D262" t="str">
        <f>TEST_DATA!D262</f>
        <v>NON-NIL</v>
      </c>
      <c r="E262">
        <f>TEST_DATA!E262</f>
        <v>497</v>
      </c>
      <c r="F262">
        <f>MIN(E262*26200,10000)</f>
        <v>10000</v>
      </c>
      <c r="G262" t="e">
        <f ca="1">_xludf.MINIFS(CBIC_Late_Fee_Relief_Windows_1!$I$100:$I$262,CBIC_Late_Fee_Relief_Windows_1!$D$100:$D$262,"&lt;="&amp;B262,CBIC_Late_Fee_Relief_Windows_1!$E$100:$E$262,"&gt;="&amp;B262,CBIC_Late_Fee_Relief_Windows_1!$F$100:$F$262,"&lt;="&amp;C262,CBIC_Late_Fee_Relief_Windows_1!$G$100:$G$262,"&gt;="&amp;C262,CBIC_Late_Fee_Relief_Windows_1!$H$100:$H$262,D262)</f>
        <v>#NAME?</v>
      </c>
      <c r="H262" t="e">
        <f t="shared" ca="1" si="4"/>
        <v>#NAME?</v>
      </c>
      <c r="I262" t="e">
        <f ca="1">INDEX(CBIC_Late_Fee_Relief_Windows_1!$B$100:$B$262,MATCH(G262,CBIC_Late_Fee_Relief_Windows_1!$I$100:$I$262,0))</f>
        <v>#NAME?</v>
      </c>
    </row>
    <row r="263" spans="1:9" x14ac:dyDescent="0.55000000000000004">
      <c r="A263" t="str">
        <f>TEST_DATA!A263</f>
        <v>27AAAAA0263Z5</v>
      </c>
      <c r="B263" t="str">
        <f>TEST_DATA!B263</f>
        <v>Jul-2017</v>
      </c>
      <c r="C263">
        <f>TEST_DATA!C263</f>
        <v>44207</v>
      </c>
      <c r="D263" t="str">
        <f>TEST_DATA!D263</f>
        <v>NIL</v>
      </c>
      <c r="E263">
        <f>TEST_DATA!E263</f>
        <v>2907</v>
      </c>
      <c r="F263">
        <f>MIN(E263*26300,10000)</f>
        <v>10000</v>
      </c>
      <c r="G263" t="e">
        <f ca="1">_xludf.MINIFS(CBIC_Late_Fee_Relief_Windows_1!$I$100:$I$263,CBIC_Late_Fee_Relief_Windows_1!$D$100:$D$263,"&lt;="&amp;B263,CBIC_Late_Fee_Relief_Windows_1!$E$100:$E$263,"&gt;="&amp;B263,CBIC_Late_Fee_Relief_Windows_1!$F$100:$F$263,"&lt;="&amp;C263,CBIC_Late_Fee_Relief_Windows_1!$G$100:$G$263,"&gt;="&amp;C263,CBIC_Late_Fee_Relief_Windows_1!$H$100:$H$263,D263)</f>
        <v>#NAME?</v>
      </c>
      <c r="H263" t="e">
        <f t="shared" ca="1" si="4"/>
        <v>#NAME?</v>
      </c>
      <c r="I263" t="e">
        <f ca="1">INDEX(CBIC_Late_Fee_Relief_Windows_1!$B$100:$B$263,MATCH(G263,CBIC_Late_Fee_Relief_Windows_1!$I$100:$I$263,0))</f>
        <v>#NAME?</v>
      </c>
    </row>
    <row r="264" spans="1:9" x14ac:dyDescent="0.55000000000000004">
      <c r="A264" t="str">
        <f>TEST_DATA!A264</f>
        <v>27AAAAA0264Z5</v>
      </c>
      <c r="B264" t="str">
        <f>TEST_DATA!B264</f>
        <v>Dec-2017</v>
      </c>
      <c r="C264">
        <f>TEST_DATA!C264</f>
        <v>43553</v>
      </c>
      <c r="D264" t="str">
        <f>TEST_DATA!D264</f>
        <v>NIL</v>
      </c>
      <c r="E264">
        <f>TEST_DATA!E264</f>
        <v>2262</v>
      </c>
      <c r="F264">
        <f>MIN(E264*26400,10000)</f>
        <v>10000</v>
      </c>
      <c r="G264" t="e">
        <f ca="1">_xludf.MINIFS(CBIC_Late_Fee_Relief_Windows_1!$I$100:$I$264,CBIC_Late_Fee_Relief_Windows_1!$D$100:$D$264,"&lt;="&amp;B264,CBIC_Late_Fee_Relief_Windows_1!$E$100:$E$264,"&gt;="&amp;B264,CBIC_Late_Fee_Relief_Windows_1!$F$100:$F$264,"&lt;="&amp;C264,CBIC_Late_Fee_Relief_Windows_1!$G$100:$G$264,"&gt;="&amp;C264,CBIC_Late_Fee_Relief_Windows_1!$H$100:$H$264,D264)</f>
        <v>#NAME?</v>
      </c>
      <c r="H264" t="e">
        <f t="shared" ca="1" si="4"/>
        <v>#NAME?</v>
      </c>
      <c r="I264" t="e">
        <f ca="1">INDEX(CBIC_Late_Fee_Relief_Windows_1!$B$100:$B$264,MATCH(G264,CBIC_Late_Fee_Relief_Windows_1!$I$100:$I$264,0))</f>
        <v>#NAME?</v>
      </c>
    </row>
    <row r="265" spans="1:9" x14ac:dyDescent="0.55000000000000004">
      <c r="A265" t="str">
        <f>TEST_DATA!A265</f>
        <v>27AAAAA0265Z5</v>
      </c>
      <c r="B265" t="str">
        <f>TEST_DATA!B265</f>
        <v>Aug-2018</v>
      </c>
      <c r="C265">
        <f>TEST_DATA!C265</f>
        <v>43107</v>
      </c>
      <c r="D265" t="str">
        <f>TEST_DATA!D265</f>
        <v>NIL</v>
      </c>
      <c r="E265">
        <f>TEST_DATA!E265</f>
        <v>464</v>
      </c>
      <c r="F265">
        <f>MIN(E265*26500,10000)</f>
        <v>10000</v>
      </c>
      <c r="G265" t="e">
        <f ca="1">_xludf.MINIFS(CBIC_Late_Fee_Relief_Windows_1!$I$100:$I$265,CBIC_Late_Fee_Relief_Windows_1!$D$100:$D$265,"&lt;="&amp;B265,CBIC_Late_Fee_Relief_Windows_1!$E$100:$E$265,"&gt;="&amp;B265,CBIC_Late_Fee_Relief_Windows_1!$F$100:$F$265,"&lt;="&amp;C265,CBIC_Late_Fee_Relief_Windows_1!$G$100:$G$265,"&gt;="&amp;C265,CBIC_Late_Fee_Relief_Windows_1!$H$100:$H$265,D265)</f>
        <v>#NAME?</v>
      </c>
      <c r="H265" t="e">
        <f t="shared" ca="1" si="4"/>
        <v>#NAME?</v>
      </c>
      <c r="I265" t="e">
        <f ca="1">INDEX(CBIC_Late_Fee_Relief_Windows_1!$B$100:$B$265,MATCH(G265,CBIC_Late_Fee_Relief_Windows_1!$I$100:$I$265,0))</f>
        <v>#NAME?</v>
      </c>
    </row>
    <row r="266" spans="1:9" x14ac:dyDescent="0.55000000000000004">
      <c r="A266" t="str">
        <f>TEST_DATA!A266</f>
        <v>27AAAAA0266Z5</v>
      </c>
      <c r="B266" t="str">
        <f>TEST_DATA!B266</f>
        <v>Sep-2018</v>
      </c>
      <c r="C266">
        <f>TEST_DATA!C266</f>
        <v>43157</v>
      </c>
      <c r="D266" t="str">
        <f>TEST_DATA!D266</f>
        <v>NIL</v>
      </c>
      <c r="E266">
        <f>TEST_DATA!E266</f>
        <v>2041</v>
      </c>
      <c r="F266">
        <f>MIN(E266*26600,10000)</f>
        <v>10000</v>
      </c>
      <c r="G266" t="e">
        <f ca="1">_xludf.MINIFS(CBIC_Late_Fee_Relief_Windows_1!$I$100:$I$266,CBIC_Late_Fee_Relief_Windows_1!$D$100:$D$266,"&lt;="&amp;B266,CBIC_Late_Fee_Relief_Windows_1!$E$100:$E$266,"&gt;="&amp;B266,CBIC_Late_Fee_Relief_Windows_1!$F$100:$F$266,"&lt;="&amp;C266,CBIC_Late_Fee_Relief_Windows_1!$G$100:$G$266,"&gt;="&amp;C266,CBIC_Late_Fee_Relief_Windows_1!$H$100:$H$266,D266)</f>
        <v>#NAME?</v>
      </c>
      <c r="H266" t="e">
        <f t="shared" ca="1" si="4"/>
        <v>#NAME?</v>
      </c>
      <c r="I266" t="e">
        <f ca="1">INDEX(CBIC_Late_Fee_Relief_Windows_1!$B$100:$B$266,MATCH(G266,CBIC_Late_Fee_Relief_Windows_1!$I$100:$I$266,0))</f>
        <v>#NAME?</v>
      </c>
    </row>
    <row r="267" spans="1:9" x14ac:dyDescent="0.55000000000000004">
      <c r="A267" t="str">
        <f>TEST_DATA!A267</f>
        <v>27AAAAA0267Z5</v>
      </c>
      <c r="B267" t="str">
        <f>TEST_DATA!B267</f>
        <v>Jul-2020</v>
      </c>
      <c r="C267">
        <f>TEST_DATA!C267</f>
        <v>44428</v>
      </c>
      <c r="D267" t="str">
        <f>TEST_DATA!D267</f>
        <v>NON-NIL</v>
      </c>
      <c r="E267">
        <f>TEST_DATA!E267</f>
        <v>1701</v>
      </c>
      <c r="F267">
        <f>MIN(E267*26700,10000)</f>
        <v>10000</v>
      </c>
      <c r="G267" t="e">
        <f ca="1">_xludf.MINIFS(CBIC_Late_Fee_Relief_Windows_1!$I$100:$I$267,CBIC_Late_Fee_Relief_Windows_1!$D$100:$D$267,"&lt;="&amp;B267,CBIC_Late_Fee_Relief_Windows_1!$E$100:$E$267,"&gt;="&amp;B267,CBIC_Late_Fee_Relief_Windows_1!$F$100:$F$267,"&lt;="&amp;C267,CBIC_Late_Fee_Relief_Windows_1!$G$100:$G$267,"&gt;="&amp;C267,CBIC_Late_Fee_Relief_Windows_1!$H$100:$H$267,D267)</f>
        <v>#NAME?</v>
      </c>
      <c r="H267" t="e">
        <f t="shared" ca="1" si="4"/>
        <v>#NAME?</v>
      </c>
      <c r="I267" t="e">
        <f ca="1">INDEX(CBIC_Late_Fee_Relief_Windows_1!$B$100:$B$267,MATCH(G267,CBIC_Late_Fee_Relief_Windows_1!$I$100:$I$267,0))</f>
        <v>#NAME?</v>
      </c>
    </row>
    <row r="268" spans="1:9" x14ac:dyDescent="0.55000000000000004">
      <c r="A268" t="str">
        <f>TEST_DATA!A268</f>
        <v>27AAAAA0268Z5</v>
      </c>
      <c r="B268" t="str">
        <f>TEST_DATA!B268</f>
        <v>Dec-2022</v>
      </c>
      <c r="C268">
        <f>TEST_DATA!C268</f>
        <v>45442</v>
      </c>
      <c r="D268" t="str">
        <f>TEST_DATA!D268</f>
        <v>NON-NIL</v>
      </c>
      <c r="E268">
        <f>TEST_DATA!E268</f>
        <v>998</v>
      </c>
      <c r="F268">
        <f>MIN(E268*26800,10000)</f>
        <v>10000</v>
      </c>
      <c r="G268" t="e">
        <f ca="1">_xludf.MINIFS(CBIC_Late_Fee_Relief_Windows_1!$I$100:$I$268,CBIC_Late_Fee_Relief_Windows_1!$D$100:$D$268,"&lt;="&amp;B268,CBIC_Late_Fee_Relief_Windows_1!$E$100:$E$268,"&gt;="&amp;B268,CBIC_Late_Fee_Relief_Windows_1!$F$100:$F$268,"&lt;="&amp;C268,CBIC_Late_Fee_Relief_Windows_1!$G$100:$G$268,"&gt;="&amp;C268,CBIC_Late_Fee_Relief_Windows_1!$H$100:$H$268,D268)</f>
        <v>#NAME?</v>
      </c>
      <c r="H268" t="e">
        <f t="shared" ca="1" si="4"/>
        <v>#NAME?</v>
      </c>
      <c r="I268" t="e">
        <f ca="1">INDEX(CBIC_Late_Fee_Relief_Windows_1!$B$100:$B$268,MATCH(G268,CBIC_Late_Fee_Relief_Windows_1!$I$100:$I$268,0))</f>
        <v>#NAME?</v>
      </c>
    </row>
    <row r="269" spans="1:9" x14ac:dyDescent="0.55000000000000004">
      <c r="A269" t="str">
        <f>TEST_DATA!A269</f>
        <v>27AAAAA0269Z5</v>
      </c>
      <c r="B269" t="str">
        <f>TEST_DATA!B269</f>
        <v>Sep-2018</v>
      </c>
      <c r="C269">
        <f>TEST_DATA!C269</f>
        <v>44045</v>
      </c>
      <c r="D269" t="str">
        <f>TEST_DATA!D269</f>
        <v>NIL</v>
      </c>
      <c r="E269">
        <f>TEST_DATA!E269</f>
        <v>1571</v>
      </c>
      <c r="F269">
        <f>MIN(E269*26900,10000)</f>
        <v>10000</v>
      </c>
      <c r="G269" t="e">
        <f ca="1">_xludf.MINIFS(CBIC_Late_Fee_Relief_Windows_1!$I$100:$I$269,CBIC_Late_Fee_Relief_Windows_1!$D$100:$D$269,"&lt;="&amp;B269,CBIC_Late_Fee_Relief_Windows_1!$E$100:$E$269,"&gt;="&amp;B269,CBIC_Late_Fee_Relief_Windows_1!$F$100:$F$269,"&lt;="&amp;C269,CBIC_Late_Fee_Relief_Windows_1!$G$100:$G$269,"&gt;="&amp;C269,CBIC_Late_Fee_Relief_Windows_1!$H$100:$H$269,D269)</f>
        <v>#NAME?</v>
      </c>
      <c r="H269" t="e">
        <f t="shared" ca="1" si="4"/>
        <v>#NAME?</v>
      </c>
      <c r="I269" t="e">
        <f ca="1">INDEX(CBIC_Late_Fee_Relief_Windows_1!$B$100:$B$269,MATCH(G269,CBIC_Late_Fee_Relief_Windows_1!$I$100:$I$269,0))</f>
        <v>#NAME?</v>
      </c>
    </row>
    <row r="270" spans="1:9" x14ac:dyDescent="0.55000000000000004">
      <c r="A270" t="str">
        <f>TEST_DATA!A270</f>
        <v>27AAAAA0270Z5</v>
      </c>
      <c r="B270" t="str">
        <f>TEST_DATA!B270</f>
        <v>Jan-2018</v>
      </c>
      <c r="C270">
        <f>TEST_DATA!C270</f>
        <v>44144</v>
      </c>
      <c r="D270" t="str">
        <f>TEST_DATA!D270</f>
        <v>NIL</v>
      </c>
      <c r="E270">
        <f>TEST_DATA!E270</f>
        <v>285</v>
      </c>
      <c r="F270">
        <f>MIN(E270*27000,10000)</f>
        <v>10000</v>
      </c>
      <c r="G270" t="e">
        <f ca="1">_xludf.MINIFS(CBIC_Late_Fee_Relief_Windows_1!$I$100:$I$270,CBIC_Late_Fee_Relief_Windows_1!$D$100:$D$270,"&lt;="&amp;B270,CBIC_Late_Fee_Relief_Windows_1!$E$100:$E$270,"&gt;="&amp;B270,CBIC_Late_Fee_Relief_Windows_1!$F$100:$F$270,"&lt;="&amp;C270,CBIC_Late_Fee_Relief_Windows_1!$G$100:$G$270,"&gt;="&amp;C270,CBIC_Late_Fee_Relief_Windows_1!$H$100:$H$270,D270)</f>
        <v>#NAME?</v>
      </c>
      <c r="H270" t="e">
        <f t="shared" ca="1" si="4"/>
        <v>#NAME?</v>
      </c>
      <c r="I270" t="e">
        <f ca="1">INDEX(CBIC_Late_Fee_Relief_Windows_1!$B$100:$B$270,MATCH(G270,CBIC_Late_Fee_Relief_Windows_1!$I$100:$I$270,0))</f>
        <v>#NAME?</v>
      </c>
    </row>
    <row r="271" spans="1:9" x14ac:dyDescent="0.55000000000000004">
      <c r="A271" t="str">
        <f>TEST_DATA!A271</f>
        <v>27AAAAA0271Z5</v>
      </c>
      <c r="B271" t="str">
        <f>TEST_DATA!B271</f>
        <v>Mar-2018</v>
      </c>
      <c r="C271">
        <f>TEST_DATA!C271</f>
        <v>44499</v>
      </c>
      <c r="D271" t="str">
        <f>TEST_DATA!D271</f>
        <v>NON-NIL</v>
      </c>
      <c r="E271">
        <f>TEST_DATA!E271</f>
        <v>1392</v>
      </c>
      <c r="F271">
        <f>MIN(E271*27100,10000)</f>
        <v>10000</v>
      </c>
      <c r="G271" t="e">
        <f ca="1">_xludf.MINIFS(CBIC_Late_Fee_Relief_Windows_1!$I$100:$I$271,CBIC_Late_Fee_Relief_Windows_1!$D$100:$D$271,"&lt;="&amp;B271,CBIC_Late_Fee_Relief_Windows_1!$E$100:$E$271,"&gt;="&amp;B271,CBIC_Late_Fee_Relief_Windows_1!$F$100:$F$271,"&lt;="&amp;C271,CBIC_Late_Fee_Relief_Windows_1!$G$100:$G$271,"&gt;="&amp;C271,CBIC_Late_Fee_Relief_Windows_1!$H$100:$H$271,D271)</f>
        <v>#NAME?</v>
      </c>
      <c r="H271" t="e">
        <f t="shared" ca="1" si="4"/>
        <v>#NAME?</v>
      </c>
      <c r="I271" t="e">
        <f ca="1">INDEX(CBIC_Late_Fee_Relief_Windows_1!$B$100:$B$271,MATCH(G271,CBIC_Late_Fee_Relief_Windows_1!$I$100:$I$271,0))</f>
        <v>#NAME?</v>
      </c>
    </row>
    <row r="272" spans="1:9" x14ac:dyDescent="0.55000000000000004">
      <c r="A272" t="str">
        <f>TEST_DATA!A272</f>
        <v>27AAAAA0272Z5</v>
      </c>
      <c r="B272" t="str">
        <f>TEST_DATA!B272</f>
        <v>Apr-2021</v>
      </c>
      <c r="C272">
        <f>TEST_DATA!C272</f>
        <v>45545</v>
      </c>
      <c r="D272" t="str">
        <f>TEST_DATA!D272</f>
        <v>NON-NIL</v>
      </c>
      <c r="E272">
        <f>TEST_DATA!E272</f>
        <v>10</v>
      </c>
      <c r="F272">
        <f>MIN(E272*27200,10000)</f>
        <v>10000</v>
      </c>
      <c r="G272" t="e">
        <f ca="1">_xludf.MINIFS(CBIC_Late_Fee_Relief_Windows_1!$I$100:$I$272,CBIC_Late_Fee_Relief_Windows_1!$D$100:$D$272,"&lt;="&amp;B272,CBIC_Late_Fee_Relief_Windows_1!$E$100:$E$272,"&gt;="&amp;B272,CBIC_Late_Fee_Relief_Windows_1!$F$100:$F$272,"&lt;="&amp;C272,CBIC_Late_Fee_Relief_Windows_1!$G$100:$G$272,"&gt;="&amp;C272,CBIC_Late_Fee_Relief_Windows_1!$H$100:$H$272,D272)</f>
        <v>#NAME?</v>
      </c>
      <c r="H272" t="e">
        <f t="shared" ca="1" si="4"/>
        <v>#NAME?</v>
      </c>
      <c r="I272" t="e">
        <f ca="1">INDEX(CBIC_Late_Fee_Relief_Windows_1!$B$100:$B$272,MATCH(G272,CBIC_Late_Fee_Relief_Windows_1!$I$100:$I$272,0))</f>
        <v>#NAME?</v>
      </c>
    </row>
    <row r="273" spans="1:9" x14ac:dyDescent="0.55000000000000004">
      <c r="A273" t="str">
        <f>TEST_DATA!A273</f>
        <v>27AAAAA0273Z5</v>
      </c>
      <c r="B273" t="str">
        <f>TEST_DATA!B273</f>
        <v>Apr-2018</v>
      </c>
      <c r="C273">
        <f>TEST_DATA!C273</f>
        <v>44403</v>
      </c>
      <c r="D273" t="str">
        <f>TEST_DATA!D273</f>
        <v>NON-NIL</v>
      </c>
      <c r="E273">
        <f>TEST_DATA!E273</f>
        <v>2404</v>
      </c>
      <c r="F273">
        <f>MIN(E273*27300,10000)</f>
        <v>10000</v>
      </c>
      <c r="G273" t="e">
        <f ca="1">_xludf.MINIFS(CBIC_Late_Fee_Relief_Windows_1!$I$100:$I$273,CBIC_Late_Fee_Relief_Windows_1!$D$100:$D$273,"&lt;="&amp;B273,CBIC_Late_Fee_Relief_Windows_1!$E$100:$E$273,"&gt;="&amp;B273,CBIC_Late_Fee_Relief_Windows_1!$F$100:$F$273,"&lt;="&amp;C273,CBIC_Late_Fee_Relief_Windows_1!$G$100:$G$273,"&gt;="&amp;C273,CBIC_Late_Fee_Relief_Windows_1!$H$100:$H$273,D273)</f>
        <v>#NAME?</v>
      </c>
      <c r="H273" t="e">
        <f t="shared" ca="1" si="4"/>
        <v>#NAME?</v>
      </c>
      <c r="I273" t="e">
        <f ca="1">INDEX(CBIC_Late_Fee_Relief_Windows_1!$B$100:$B$273,MATCH(G273,CBIC_Late_Fee_Relief_Windows_1!$I$100:$I$273,0))</f>
        <v>#NAME?</v>
      </c>
    </row>
    <row r="274" spans="1:9" x14ac:dyDescent="0.55000000000000004">
      <c r="A274" t="str">
        <f>TEST_DATA!A274</f>
        <v>27AAAAA0274Z5</v>
      </c>
      <c r="B274" t="str">
        <f>TEST_DATA!B274</f>
        <v>Mar-2020</v>
      </c>
      <c r="C274">
        <f>TEST_DATA!C274</f>
        <v>44833</v>
      </c>
      <c r="D274" t="str">
        <f>TEST_DATA!D274</f>
        <v>NIL</v>
      </c>
      <c r="E274">
        <f>TEST_DATA!E274</f>
        <v>1829</v>
      </c>
      <c r="F274">
        <f>MIN(E274*27400,10000)</f>
        <v>10000</v>
      </c>
      <c r="G274" t="e">
        <f ca="1">_xludf.MINIFS(CBIC_Late_Fee_Relief_Windows_1!$I$100:$I$274,CBIC_Late_Fee_Relief_Windows_1!$D$100:$D$274,"&lt;="&amp;B274,CBIC_Late_Fee_Relief_Windows_1!$E$100:$E$274,"&gt;="&amp;B274,CBIC_Late_Fee_Relief_Windows_1!$F$100:$F$274,"&lt;="&amp;C274,CBIC_Late_Fee_Relief_Windows_1!$G$100:$G$274,"&gt;="&amp;C274,CBIC_Late_Fee_Relief_Windows_1!$H$100:$H$274,D274)</f>
        <v>#NAME?</v>
      </c>
      <c r="H274" t="e">
        <f t="shared" ca="1" si="4"/>
        <v>#NAME?</v>
      </c>
      <c r="I274" t="e">
        <f ca="1">INDEX(CBIC_Late_Fee_Relief_Windows_1!$B$100:$B$274,MATCH(G274,CBIC_Late_Fee_Relief_Windows_1!$I$100:$I$274,0))</f>
        <v>#NAME?</v>
      </c>
    </row>
    <row r="275" spans="1:9" x14ac:dyDescent="0.55000000000000004">
      <c r="A275" t="str">
        <f>TEST_DATA!A275</f>
        <v>27AAAAA0275Z5</v>
      </c>
      <c r="B275" t="str">
        <f>TEST_DATA!B275</f>
        <v>Dec-2019</v>
      </c>
      <c r="C275">
        <f>TEST_DATA!C275</f>
        <v>45449</v>
      </c>
      <c r="D275" t="str">
        <f>TEST_DATA!D275</f>
        <v>NON-NIL</v>
      </c>
      <c r="E275">
        <f>TEST_DATA!E275</f>
        <v>1361</v>
      </c>
      <c r="F275">
        <f>MIN(E275*27500,10000)</f>
        <v>10000</v>
      </c>
      <c r="G275" t="e">
        <f ca="1">_xludf.MINIFS(CBIC_Late_Fee_Relief_Windows_1!$I$100:$I$275,CBIC_Late_Fee_Relief_Windows_1!$D$100:$D$275,"&lt;="&amp;B275,CBIC_Late_Fee_Relief_Windows_1!$E$100:$E$275,"&gt;="&amp;B275,CBIC_Late_Fee_Relief_Windows_1!$F$100:$F$275,"&lt;="&amp;C275,CBIC_Late_Fee_Relief_Windows_1!$G$100:$G$275,"&gt;="&amp;C275,CBIC_Late_Fee_Relief_Windows_1!$H$100:$H$275,D275)</f>
        <v>#NAME?</v>
      </c>
      <c r="H275" t="e">
        <f t="shared" ca="1" si="4"/>
        <v>#NAME?</v>
      </c>
      <c r="I275" t="e">
        <f ca="1">INDEX(CBIC_Late_Fee_Relief_Windows_1!$B$100:$B$275,MATCH(G275,CBIC_Late_Fee_Relief_Windows_1!$I$100:$I$275,0))</f>
        <v>#NAME?</v>
      </c>
    </row>
    <row r="276" spans="1:9" x14ac:dyDescent="0.55000000000000004">
      <c r="A276" t="str">
        <f>TEST_DATA!A276</f>
        <v>27AAAAA0276Z5</v>
      </c>
      <c r="B276" t="str">
        <f>TEST_DATA!B276</f>
        <v>Dec-2019</v>
      </c>
      <c r="C276">
        <f>TEST_DATA!C276</f>
        <v>45691</v>
      </c>
      <c r="D276" t="str">
        <f>TEST_DATA!D276</f>
        <v>NON-NIL</v>
      </c>
      <c r="E276">
        <f>TEST_DATA!E276</f>
        <v>1865</v>
      </c>
      <c r="F276">
        <f>MIN(E276*27600,10000)</f>
        <v>10000</v>
      </c>
      <c r="G276" t="e">
        <f ca="1">_xludf.MINIFS(CBIC_Late_Fee_Relief_Windows_1!$I$100:$I$276,CBIC_Late_Fee_Relief_Windows_1!$D$100:$D$276,"&lt;="&amp;B276,CBIC_Late_Fee_Relief_Windows_1!$E$100:$E$276,"&gt;="&amp;B276,CBIC_Late_Fee_Relief_Windows_1!$F$100:$F$276,"&lt;="&amp;C276,CBIC_Late_Fee_Relief_Windows_1!$G$100:$G$276,"&gt;="&amp;C276,CBIC_Late_Fee_Relief_Windows_1!$H$100:$H$276,D276)</f>
        <v>#NAME?</v>
      </c>
      <c r="H276" t="e">
        <f t="shared" ca="1" si="4"/>
        <v>#NAME?</v>
      </c>
      <c r="I276" t="e">
        <f ca="1">INDEX(CBIC_Late_Fee_Relief_Windows_1!$B$100:$B$276,MATCH(G276,CBIC_Late_Fee_Relief_Windows_1!$I$100:$I$276,0))</f>
        <v>#NAME?</v>
      </c>
    </row>
    <row r="277" spans="1:9" x14ac:dyDescent="0.55000000000000004">
      <c r="A277" t="str">
        <f>TEST_DATA!A277</f>
        <v>27AAAAA0277Z5</v>
      </c>
      <c r="B277" t="str">
        <f>TEST_DATA!B277</f>
        <v>May-2018</v>
      </c>
      <c r="C277">
        <f>TEST_DATA!C277</f>
        <v>43303</v>
      </c>
      <c r="D277" t="str">
        <f>TEST_DATA!D277</f>
        <v>NIL</v>
      </c>
      <c r="E277">
        <f>TEST_DATA!E277</f>
        <v>2342</v>
      </c>
      <c r="F277">
        <f>MIN(E277*27700,10000)</f>
        <v>10000</v>
      </c>
      <c r="G277" t="e">
        <f ca="1">_xludf.MINIFS(CBIC_Late_Fee_Relief_Windows_1!$I$100:$I$277,CBIC_Late_Fee_Relief_Windows_1!$D$100:$D$277,"&lt;="&amp;B277,CBIC_Late_Fee_Relief_Windows_1!$E$100:$E$277,"&gt;="&amp;B277,CBIC_Late_Fee_Relief_Windows_1!$F$100:$F$277,"&lt;="&amp;C277,CBIC_Late_Fee_Relief_Windows_1!$G$100:$G$277,"&gt;="&amp;C277,CBIC_Late_Fee_Relief_Windows_1!$H$100:$H$277,D277)</f>
        <v>#NAME?</v>
      </c>
      <c r="H277" t="e">
        <f t="shared" ca="1" si="4"/>
        <v>#NAME?</v>
      </c>
      <c r="I277" t="e">
        <f ca="1">INDEX(CBIC_Late_Fee_Relief_Windows_1!$B$100:$B$277,MATCH(G277,CBIC_Late_Fee_Relief_Windows_1!$I$100:$I$277,0))</f>
        <v>#NAME?</v>
      </c>
    </row>
    <row r="278" spans="1:9" x14ac:dyDescent="0.55000000000000004">
      <c r="A278" t="str">
        <f>TEST_DATA!A278</f>
        <v>27AAAAA0278Z5</v>
      </c>
      <c r="B278" t="str">
        <f>TEST_DATA!B278</f>
        <v>Jul-2018</v>
      </c>
      <c r="C278">
        <f>TEST_DATA!C278</f>
        <v>43395</v>
      </c>
      <c r="D278" t="str">
        <f>TEST_DATA!D278</f>
        <v>NON-NIL</v>
      </c>
      <c r="E278">
        <f>TEST_DATA!E278</f>
        <v>178</v>
      </c>
      <c r="F278">
        <f>MIN(E278*27800,10000)</f>
        <v>10000</v>
      </c>
      <c r="G278" t="e">
        <f ca="1">_xludf.MINIFS(CBIC_Late_Fee_Relief_Windows_1!$I$100:$I$278,CBIC_Late_Fee_Relief_Windows_1!$D$100:$D$278,"&lt;="&amp;B278,CBIC_Late_Fee_Relief_Windows_1!$E$100:$E$278,"&gt;="&amp;B278,CBIC_Late_Fee_Relief_Windows_1!$F$100:$F$278,"&lt;="&amp;C278,CBIC_Late_Fee_Relief_Windows_1!$G$100:$G$278,"&gt;="&amp;C278,CBIC_Late_Fee_Relief_Windows_1!$H$100:$H$278,D278)</f>
        <v>#NAME?</v>
      </c>
      <c r="H278" t="e">
        <f t="shared" ca="1" si="4"/>
        <v>#NAME?</v>
      </c>
      <c r="I278" t="e">
        <f ca="1">INDEX(CBIC_Late_Fee_Relief_Windows_1!$B$100:$B$278,MATCH(G278,CBIC_Late_Fee_Relief_Windows_1!$I$100:$I$278,0))</f>
        <v>#NAME?</v>
      </c>
    </row>
    <row r="279" spans="1:9" x14ac:dyDescent="0.55000000000000004">
      <c r="A279" t="str">
        <f>TEST_DATA!A279</f>
        <v>27AAAAA0279Z5</v>
      </c>
      <c r="B279" t="str">
        <f>TEST_DATA!B279</f>
        <v>May-2018</v>
      </c>
      <c r="C279">
        <f>TEST_DATA!C279</f>
        <v>44442</v>
      </c>
      <c r="D279" t="str">
        <f>TEST_DATA!D279</f>
        <v>NON-NIL</v>
      </c>
      <c r="E279">
        <f>TEST_DATA!E279</f>
        <v>2888</v>
      </c>
      <c r="F279">
        <f>MIN(E279*27900,10000)</f>
        <v>10000</v>
      </c>
      <c r="G279" t="e">
        <f ca="1">_xludf.MINIFS(CBIC_Late_Fee_Relief_Windows_1!$I$100:$I$279,CBIC_Late_Fee_Relief_Windows_1!$D$100:$D$279,"&lt;="&amp;B279,CBIC_Late_Fee_Relief_Windows_1!$E$100:$E$279,"&gt;="&amp;B279,CBIC_Late_Fee_Relief_Windows_1!$F$100:$F$279,"&lt;="&amp;C279,CBIC_Late_Fee_Relief_Windows_1!$G$100:$G$279,"&gt;="&amp;C279,CBIC_Late_Fee_Relief_Windows_1!$H$100:$H$279,D279)</f>
        <v>#NAME?</v>
      </c>
      <c r="H279" t="e">
        <f t="shared" ca="1" si="4"/>
        <v>#NAME?</v>
      </c>
      <c r="I279" t="e">
        <f ca="1">INDEX(CBIC_Late_Fee_Relief_Windows_1!$B$100:$B$279,MATCH(G279,CBIC_Late_Fee_Relief_Windows_1!$I$100:$I$279,0))</f>
        <v>#NAME?</v>
      </c>
    </row>
    <row r="280" spans="1:9" x14ac:dyDescent="0.55000000000000004">
      <c r="A280" t="str">
        <f>TEST_DATA!A280</f>
        <v>27AAAAA0280Z5</v>
      </c>
      <c r="B280" t="str">
        <f>TEST_DATA!B280</f>
        <v>Apr-2021</v>
      </c>
      <c r="C280">
        <f>TEST_DATA!C280</f>
        <v>45027</v>
      </c>
      <c r="D280" t="str">
        <f>TEST_DATA!D280</f>
        <v>NON-NIL</v>
      </c>
      <c r="E280">
        <f>TEST_DATA!E280</f>
        <v>2718</v>
      </c>
      <c r="F280">
        <f>MIN(E280*28000,10000)</f>
        <v>10000</v>
      </c>
      <c r="G280" t="e">
        <f ca="1">_xludf.MINIFS(CBIC_Late_Fee_Relief_Windows_1!$I$100:$I$280,CBIC_Late_Fee_Relief_Windows_1!$D$100:$D$280,"&lt;="&amp;B280,CBIC_Late_Fee_Relief_Windows_1!$E$100:$E$280,"&gt;="&amp;B280,CBIC_Late_Fee_Relief_Windows_1!$F$100:$F$280,"&lt;="&amp;C280,CBIC_Late_Fee_Relief_Windows_1!$G$100:$G$280,"&gt;="&amp;C280,CBIC_Late_Fee_Relief_Windows_1!$H$100:$H$280,D280)</f>
        <v>#NAME?</v>
      </c>
      <c r="H280" t="e">
        <f t="shared" ca="1" si="4"/>
        <v>#NAME?</v>
      </c>
      <c r="I280" t="e">
        <f ca="1">INDEX(CBIC_Late_Fee_Relief_Windows_1!$B$100:$B$280,MATCH(G280,CBIC_Late_Fee_Relief_Windows_1!$I$100:$I$280,0))</f>
        <v>#NAME?</v>
      </c>
    </row>
    <row r="281" spans="1:9" x14ac:dyDescent="0.55000000000000004">
      <c r="A281" t="str">
        <f>TEST_DATA!A281</f>
        <v>27AAAAA0281Z5</v>
      </c>
      <c r="B281" t="str">
        <f>TEST_DATA!B281</f>
        <v>Apr-2021</v>
      </c>
      <c r="C281">
        <f>TEST_DATA!C281</f>
        <v>44089</v>
      </c>
      <c r="D281" t="str">
        <f>TEST_DATA!D281</f>
        <v>NON-NIL</v>
      </c>
      <c r="E281">
        <f>TEST_DATA!E281</f>
        <v>151</v>
      </c>
      <c r="F281">
        <f>MIN(E281*28100,10000)</f>
        <v>10000</v>
      </c>
      <c r="G281" t="e">
        <f ca="1">_xludf.MINIFS(CBIC_Late_Fee_Relief_Windows_1!$I$100:$I$281,CBIC_Late_Fee_Relief_Windows_1!$D$100:$D$281,"&lt;="&amp;B281,CBIC_Late_Fee_Relief_Windows_1!$E$100:$E$281,"&gt;="&amp;B281,CBIC_Late_Fee_Relief_Windows_1!$F$100:$F$281,"&lt;="&amp;C281,CBIC_Late_Fee_Relief_Windows_1!$G$100:$G$281,"&gt;="&amp;C281,CBIC_Late_Fee_Relief_Windows_1!$H$100:$H$281,D281)</f>
        <v>#NAME?</v>
      </c>
      <c r="H281" t="e">
        <f t="shared" ca="1" si="4"/>
        <v>#NAME?</v>
      </c>
      <c r="I281" t="e">
        <f ca="1">INDEX(CBIC_Late_Fee_Relief_Windows_1!$B$100:$B$281,MATCH(G281,CBIC_Late_Fee_Relief_Windows_1!$I$100:$I$281,0))</f>
        <v>#NAME?</v>
      </c>
    </row>
    <row r="282" spans="1:9" x14ac:dyDescent="0.55000000000000004">
      <c r="A282" t="str">
        <f>TEST_DATA!A282</f>
        <v>27AAAAA0282Z5</v>
      </c>
      <c r="B282" t="str">
        <f>TEST_DATA!B282</f>
        <v>Nov-2017</v>
      </c>
      <c r="C282">
        <f>TEST_DATA!C282</f>
        <v>43945</v>
      </c>
      <c r="D282" t="str">
        <f>TEST_DATA!D282</f>
        <v>NON-NIL</v>
      </c>
      <c r="E282">
        <f>TEST_DATA!E282</f>
        <v>411</v>
      </c>
      <c r="F282">
        <f>MIN(E282*28200,10000)</f>
        <v>10000</v>
      </c>
      <c r="G282" t="e">
        <f ca="1">_xludf.MINIFS(CBIC_Late_Fee_Relief_Windows_1!$I$100:$I$282,CBIC_Late_Fee_Relief_Windows_1!$D$100:$D$282,"&lt;="&amp;B282,CBIC_Late_Fee_Relief_Windows_1!$E$100:$E$282,"&gt;="&amp;B282,CBIC_Late_Fee_Relief_Windows_1!$F$100:$F$282,"&lt;="&amp;C282,CBIC_Late_Fee_Relief_Windows_1!$G$100:$G$282,"&gt;="&amp;C282,CBIC_Late_Fee_Relief_Windows_1!$H$100:$H$282,D282)</f>
        <v>#NAME?</v>
      </c>
      <c r="H282" t="e">
        <f t="shared" ca="1" si="4"/>
        <v>#NAME?</v>
      </c>
      <c r="I282" t="e">
        <f ca="1">INDEX(CBIC_Late_Fee_Relief_Windows_1!$B$100:$B$282,MATCH(G282,CBIC_Late_Fee_Relief_Windows_1!$I$100:$I$282,0))</f>
        <v>#NAME?</v>
      </c>
    </row>
    <row r="283" spans="1:9" x14ac:dyDescent="0.55000000000000004">
      <c r="A283" t="str">
        <f>TEST_DATA!A283</f>
        <v>27AAAAA0283Z5</v>
      </c>
      <c r="B283" t="str">
        <f>TEST_DATA!B283</f>
        <v>Mar-2023</v>
      </c>
      <c r="C283">
        <f>TEST_DATA!C283</f>
        <v>45269</v>
      </c>
      <c r="D283" t="str">
        <f>TEST_DATA!D283</f>
        <v>NIL</v>
      </c>
      <c r="E283">
        <f>TEST_DATA!E283</f>
        <v>2154</v>
      </c>
      <c r="F283">
        <f>MIN(E283*28300,10000)</f>
        <v>10000</v>
      </c>
      <c r="G283" t="e">
        <f ca="1">_xludf.MINIFS(CBIC_Late_Fee_Relief_Windows_1!$I$100:$I$283,CBIC_Late_Fee_Relief_Windows_1!$D$100:$D$283,"&lt;="&amp;B283,CBIC_Late_Fee_Relief_Windows_1!$E$100:$E$283,"&gt;="&amp;B283,CBIC_Late_Fee_Relief_Windows_1!$F$100:$F$283,"&lt;="&amp;C283,CBIC_Late_Fee_Relief_Windows_1!$G$100:$G$283,"&gt;="&amp;C283,CBIC_Late_Fee_Relief_Windows_1!$H$100:$H$283,D283)</f>
        <v>#NAME?</v>
      </c>
      <c r="H283" t="e">
        <f t="shared" ca="1" si="4"/>
        <v>#NAME?</v>
      </c>
      <c r="I283" t="e">
        <f ca="1">INDEX(CBIC_Late_Fee_Relief_Windows_1!$B$100:$B$283,MATCH(G283,CBIC_Late_Fee_Relief_Windows_1!$I$100:$I$283,0))</f>
        <v>#NAME?</v>
      </c>
    </row>
    <row r="284" spans="1:9" x14ac:dyDescent="0.55000000000000004">
      <c r="A284" t="str">
        <f>TEST_DATA!A284</f>
        <v>27AAAAA0284Z5</v>
      </c>
      <c r="B284" t="str">
        <f>TEST_DATA!B284</f>
        <v>Sep-2018</v>
      </c>
      <c r="C284">
        <f>TEST_DATA!C284</f>
        <v>42948</v>
      </c>
      <c r="D284" t="str">
        <f>TEST_DATA!D284</f>
        <v>NIL</v>
      </c>
      <c r="E284">
        <f>TEST_DATA!E284</f>
        <v>1679</v>
      </c>
      <c r="F284">
        <f>MIN(E284*28400,10000)</f>
        <v>10000</v>
      </c>
      <c r="G284" t="e">
        <f ca="1">_xludf.MINIFS(CBIC_Late_Fee_Relief_Windows_1!$I$100:$I$284,CBIC_Late_Fee_Relief_Windows_1!$D$100:$D$284,"&lt;="&amp;B284,CBIC_Late_Fee_Relief_Windows_1!$E$100:$E$284,"&gt;="&amp;B284,CBIC_Late_Fee_Relief_Windows_1!$F$100:$F$284,"&lt;="&amp;C284,CBIC_Late_Fee_Relief_Windows_1!$G$100:$G$284,"&gt;="&amp;C284,CBIC_Late_Fee_Relief_Windows_1!$H$100:$H$284,D284)</f>
        <v>#NAME?</v>
      </c>
      <c r="H284" t="e">
        <f t="shared" ca="1" si="4"/>
        <v>#NAME?</v>
      </c>
      <c r="I284" t="e">
        <f ca="1">INDEX(CBIC_Late_Fee_Relief_Windows_1!$B$100:$B$284,MATCH(G284,CBIC_Late_Fee_Relief_Windows_1!$I$100:$I$284,0))</f>
        <v>#NAME?</v>
      </c>
    </row>
    <row r="285" spans="1:9" x14ac:dyDescent="0.55000000000000004">
      <c r="A285" t="str">
        <f>TEST_DATA!A285</f>
        <v>27AAAAA0285Z5</v>
      </c>
      <c r="B285" t="str">
        <f>TEST_DATA!B285</f>
        <v>Mar-2023</v>
      </c>
      <c r="C285">
        <f>TEST_DATA!C285</f>
        <v>44098</v>
      </c>
      <c r="D285" t="str">
        <f>TEST_DATA!D285</f>
        <v>NIL</v>
      </c>
      <c r="E285">
        <f>TEST_DATA!E285</f>
        <v>1923</v>
      </c>
      <c r="F285">
        <f>MIN(E285*28500,10000)</f>
        <v>10000</v>
      </c>
      <c r="G285" t="e">
        <f ca="1">_xludf.MINIFS(CBIC_Late_Fee_Relief_Windows_1!$I$100:$I$285,CBIC_Late_Fee_Relief_Windows_1!$D$100:$D$285,"&lt;="&amp;B285,CBIC_Late_Fee_Relief_Windows_1!$E$100:$E$285,"&gt;="&amp;B285,CBIC_Late_Fee_Relief_Windows_1!$F$100:$F$285,"&lt;="&amp;C285,CBIC_Late_Fee_Relief_Windows_1!$G$100:$G$285,"&gt;="&amp;C285,CBIC_Late_Fee_Relief_Windows_1!$H$100:$H$285,D285)</f>
        <v>#NAME?</v>
      </c>
      <c r="H285" t="e">
        <f t="shared" ca="1" si="4"/>
        <v>#NAME?</v>
      </c>
      <c r="I285" t="e">
        <f ca="1">INDEX(CBIC_Late_Fee_Relief_Windows_1!$B$100:$B$285,MATCH(G285,CBIC_Late_Fee_Relief_Windows_1!$I$100:$I$285,0))</f>
        <v>#NAME?</v>
      </c>
    </row>
    <row r="286" spans="1:9" x14ac:dyDescent="0.55000000000000004">
      <c r="A286" t="str">
        <f>TEST_DATA!A286</f>
        <v>27AAAAA0286Z5</v>
      </c>
      <c r="B286" t="str">
        <f>TEST_DATA!B286</f>
        <v>Apr-2021</v>
      </c>
      <c r="C286">
        <f>TEST_DATA!C286</f>
        <v>44551</v>
      </c>
      <c r="D286" t="str">
        <f>TEST_DATA!D286</f>
        <v>NON-NIL</v>
      </c>
      <c r="E286">
        <f>TEST_DATA!E286</f>
        <v>2552</v>
      </c>
      <c r="F286">
        <f>MIN(E286*28600,10000)</f>
        <v>10000</v>
      </c>
      <c r="G286" t="e">
        <f ca="1">_xludf.MINIFS(CBIC_Late_Fee_Relief_Windows_1!$I$100:$I$286,CBIC_Late_Fee_Relief_Windows_1!$D$100:$D$286,"&lt;="&amp;B286,CBIC_Late_Fee_Relief_Windows_1!$E$100:$E$286,"&gt;="&amp;B286,CBIC_Late_Fee_Relief_Windows_1!$F$100:$F$286,"&lt;="&amp;C286,CBIC_Late_Fee_Relief_Windows_1!$G$100:$G$286,"&gt;="&amp;C286,CBIC_Late_Fee_Relief_Windows_1!$H$100:$H$286,D286)</f>
        <v>#NAME?</v>
      </c>
      <c r="H286" t="e">
        <f t="shared" ca="1" si="4"/>
        <v>#NAME?</v>
      </c>
      <c r="I286" t="e">
        <f ca="1">INDEX(CBIC_Late_Fee_Relief_Windows_1!$B$100:$B$286,MATCH(G286,CBIC_Late_Fee_Relief_Windows_1!$I$100:$I$286,0))</f>
        <v>#NAME?</v>
      </c>
    </row>
    <row r="287" spans="1:9" x14ac:dyDescent="0.55000000000000004">
      <c r="A287" t="str">
        <f>TEST_DATA!A287</f>
        <v>27AAAAA0287Z5</v>
      </c>
      <c r="B287" t="str">
        <f>TEST_DATA!B287</f>
        <v>Jul-2020</v>
      </c>
      <c r="C287">
        <f>TEST_DATA!C287</f>
        <v>44645</v>
      </c>
      <c r="D287" t="str">
        <f>TEST_DATA!D287</f>
        <v>NIL</v>
      </c>
      <c r="E287">
        <f>TEST_DATA!E287</f>
        <v>1345</v>
      </c>
      <c r="F287">
        <f>MIN(E287*28700,10000)</f>
        <v>10000</v>
      </c>
      <c r="G287" t="e">
        <f ca="1">_xludf.MINIFS(CBIC_Late_Fee_Relief_Windows_1!$I$100:$I$287,CBIC_Late_Fee_Relief_Windows_1!$D$100:$D$287,"&lt;="&amp;B287,CBIC_Late_Fee_Relief_Windows_1!$E$100:$E$287,"&gt;="&amp;B287,CBIC_Late_Fee_Relief_Windows_1!$F$100:$F$287,"&lt;="&amp;C287,CBIC_Late_Fee_Relief_Windows_1!$G$100:$G$287,"&gt;="&amp;C287,CBIC_Late_Fee_Relief_Windows_1!$H$100:$H$287,D287)</f>
        <v>#NAME?</v>
      </c>
      <c r="H287" t="e">
        <f t="shared" ca="1" si="4"/>
        <v>#NAME?</v>
      </c>
      <c r="I287" t="e">
        <f ca="1">INDEX(CBIC_Late_Fee_Relief_Windows_1!$B$100:$B$287,MATCH(G287,CBIC_Late_Fee_Relief_Windows_1!$I$100:$I$287,0))</f>
        <v>#NAME?</v>
      </c>
    </row>
    <row r="288" spans="1:9" x14ac:dyDescent="0.55000000000000004">
      <c r="A288" t="str">
        <f>TEST_DATA!A288</f>
        <v>27AAAAA0288Z5</v>
      </c>
      <c r="B288" t="str">
        <f>TEST_DATA!B288</f>
        <v>Mar-2023</v>
      </c>
      <c r="C288">
        <f>TEST_DATA!C288</f>
        <v>45651</v>
      </c>
      <c r="D288" t="str">
        <f>TEST_DATA!D288</f>
        <v>NON-NIL</v>
      </c>
      <c r="E288">
        <f>TEST_DATA!E288</f>
        <v>1297</v>
      </c>
      <c r="F288">
        <f>MIN(E288*28800,10000)</f>
        <v>10000</v>
      </c>
      <c r="G288" t="e">
        <f ca="1">_xludf.MINIFS(CBIC_Late_Fee_Relief_Windows_1!$I$100:$I$288,CBIC_Late_Fee_Relief_Windows_1!$D$100:$D$288,"&lt;="&amp;B288,CBIC_Late_Fee_Relief_Windows_1!$E$100:$E$288,"&gt;="&amp;B288,CBIC_Late_Fee_Relief_Windows_1!$F$100:$F$288,"&lt;="&amp;C288,CBIC_Late_Fee_Relief_Windows_1!$G$100:$G$288,"&gt;="&amp;C288,CBIC_Late_Fee_Relief_Windows_1!$H$100:$H$288,D288)</f>
        <v>#NAME?</v>
      </c>
      <c r="H288" t="e">
        <f t="shared" ca="1" si="4"/>
        <v>#NAME?</v>
      </c>
      <c r="I288" t="e">
        <f ca="1">INDEX(CBIC_Late_Fee_Relief_Windows_1!$B$100:$B$288,MATCH(G288,CBIC_Late_Fee_Relief_Windows_1!$I$100:$I$288,0))</f>
        <v>#NAME?</v>
      </c>
    </row>
    <row r="289" spans="1:9" x14ac:dyDescent="0.55000000000000004">
      <c r="A289" t="str">
        <f>TEST_DATA!A289</f>
        <v>27AAAAA0289Z5</v>
      </c>
      <c r="B289" t="str">
        <f>TEST_DATA!B289</f>
        <v>May-2020</v>
      </c>
      <c r="C289">
        <f>TEST_DATA!C289</f>
        <v>44830</v>
      </c>
      <c r="D289" t="str">
        <f>TEST_DATA!D289</f>
        <v>NIL</v>
      </c>
      <c r="E289">
        <f>TEST_DATA!E289</f>
        <v>2529</v>
      </c>
      <c r="F289">
        <f>MIN(E289*28900,10000)</f>
        <v>10000</v>
      </c>
      <c r="G289" t="e">
        <f ca="1">_xludf.MINIFS(CBIC_Late_Fee_Relief_Windows_1!$I$100:$I$289,CBIC_Late_Fee_Relief_Windows_1!$D$100:$D$289,"&lt;="&amp;B289,CBIC_Late_Fee_Relief_Windows_1!$E$100:$E$289,"&gt;="&amp;B289,CBIC_Late_Fee_Relief_Windows_1!$F$100:$F$289,"&lt;="&amp;C289,CBIC_Late_Fee_Relief_Windows_1!$G$100:$G$289,"&gt;="&amp;C289,CBIC_Late_Fee_Relief_Windows_1!$H$100:$H$289,D289)</f>
        <v>#NAME?</v>
      </c>
      <c r="H289" t="e">
        <f t="shared" ca="1" si="4"/>
        <v>#NAME?</v>
      </c>
      <c r="I289" t="e">
        <f ca="1">INDEX(CBIC_Late_Fee_Relief_Windows_1!$B$100:$B$289,MATCH(G289,CBIC_Late_Fee_Relief_Windows_1!$I$100:$I$289,0))</f>
        <v>#NAME?</v>
      </c>
    </row>
    <row r="290" spans="1:9" x14ac:dyDescent="0.55000000000000004">
      <c r="A290" t="str">
        <f>TEST_DATA!A290</f>
        <v>27AAAAA0290Z5</v>
      </c>
      <c r="B290" t="str">
        <f>TEST_DATA!B290</f>
        <v>Sep-2017</v>
      </c>
      <c r="C290">
        <f>TEST_DATA!C290</f>
        <v>43397</v>
      </c>
      <c r="D290" t="str">
        <f>TEST_DATA!D290</f>
        <v>NON-NIL</v>
      </c>
      <c r="E290">
        <f>TEST_DATA!E290</f>
        <v>931</v>
      </c>
      <c r="F290">
        <f>MIN(E290*29000,10000)</f>
        <v>10000</v>
      </c>
      <c r="G290" t="e">
        <f ca="1">_xludf.MINIFS(CBIC_Late_Fee_Relief_Windows_1!$I$100:$I$290,CBIC_Late_Fee_Relief_Windows_1!$D$100:$D$290,"&lt;="&amp;B290,CBIC_Late_Fee_Relief_Windows_1!$E$100:$E$290,"&gt;="&amp;B290,CBIC_Late_Fee_Relief_Windows_1!$F$100:$F$290,"&lt;="&amp;C290,CBIC_Late_Fee_Relief_Windows_1!$G$100:$G$290,"&gt;="&amp;C290,CBIC_Late_Fee_Relief_Windows_1!$H$100:$H$290,D290)</f>
        <v>#NAME?</v>
      </c>
      <c r="H290" t="e">
        <f t="shared" ca="1" si="4"/>
        <v>#NAME?</v>
      </c>
      <c r="I290" t="e">
        <f ca="1">INDEX(CBIC_Late_Fee_Relief_Windows_1!$B$100:$B$290,MATCH(G290,CBIC_Late_Fee_Relief_Windows_1!$I$100:$I$290,0))</f>
        <v>#NAME?</v>
      </c>
    </row>
    <row r="291" spans="1:9" x14ac:dyDescent="0.55000000000000004">
      <c r="A291" t="str">
        <f>TEST_DATA!A291</f>
        <v>27AAAAA0291Z5</v>
      </c>
      <c r="B291" t="str">
        <f>TEST_DATA!B291</f>
        <v>Jan-2021</v>
      </c>
      <c r="C291">
        <f>TEST_DATA!C291</f>
        <v>43836</v>
      </c>
      <c r="D291" t="str">
        <f>TEST_DATA!D291</f>
        <v>NON-NIL</v>
      </c>
      <c r="E291">
        <f>TEST_DATA!E291</f>
        <v>403</v>
      </c>
      <c r="F291">
        <f>MIN(E291*29100,10000)</f>
        <v>10000</v>
      </c>
      <c r="G291" t="e">
        <f ca="1">_xludf.MINIFS(CBIC_Late_Fee_Relief_Windows_1!$I$100:$I$291,CBIC_Late_Fee_Relief_Windows_1!$D$100:$D$291,"&lt;="&amp;B291,CBIC_Late_Fee_Relief_Windows_1!$E$100:$E$291,"&gt;="&amp;B291,CBIC_Late_Fee_Relief_Windows_1!$F$100:$F$291,"&lt;="&amp;C291,CBIC_Late_Fee_Relief_Windows_1!$G$100:$G$291,"&gt;="&amp;C291,CBIC_Late_Fee_Relief_Windows_1!$H$100:$H$291,D291)</f>
        <v>#NAME?</v>
      </c>
      <c r="H291" t="e">
        <f t="shared" ca="1" si="4"/>
        <v>#NAME?</v>
      </c>
      <c r="I291" t="e">
        <f ca="1">INDEX(CBIC_Late_Fee_Relief_Windows_1!$B$100:$B$291,MATCH(G291,CBIC_Late_Fee_Relief_Windows_1!$I$100:$I$291,0))</f>
        <v>#NAME?</v>
      </c>
    </row>
    <row r="292" spans="1:9" x14ac:dyDescent="0.55000000000000004">
      <c r="A292" t="str">
        <f>TEST_DATA!A292</f>
        <v>27AAAAA0292Z5</v>
      </c>
      <c r="B292" t="str">
        <f>TEST_DATA!B292</f>
        <v>Mar-2021</v>
      </c>
      <c r="C292">
        <f>TEST_DATA!C292</f>
        <v>43877</v>
      </c>
      <c r="D292" t="str">
        <f>TEST_DATA!D292</f>
        <v>NON-NIL</v>
      </c>
      <c r="E292">
        <f>TEST_DATA!E292</f>
        <v>681</v>
      </c>
      <c r="F292">
        <f>MIN(E292*29200,10000)</f>
        <v>10000</v>
      </c>
      <c r="G292" t="e">
        <f ca="1">_xludf.MINIFS(CBIC_Late_Fee_Relief_Windows_1!$I$100:$I$292,CBIC_Late_Fee_Relief_Windows_1!$D$100:$D$292,"&lt;="&amp;B292,CBIC_Late_Fee_Relief_Windows_1!$E$100:$E$292,"&gt;="&amp;B292,CBIC_Late_Fee_Relief_Windows_1!$F$100:$F$292,"&lt;="&amp;C292,CBIC_Late_Fee_Relief_Windows_1!$G$100:$G$292,"&gt;="&amp;C292,CBIC_Late_Fee_Relief_Windows_1!$H$100:$H$292,D292)</f>
        <v>#NAME?</v>
      </c>
      <c r="H292" t="e">
        <f t="shared" ca="1" si="4"/>
        <v>#NAME?</v>
      </c>
      <c r="I292" t="e">
        <f ca="1">INDEX(CBIC_Late_Fee_Relief_Windows_1!$B$100:$B$292,MATCH(G292,CBIC_Late_Fee_Relief_Windows_1!$I$100:$I$292,0))</f>
        <v>#NAME?</v>
      </c>
    </row>
    <row r="293" spans="1:9" x14ac:dyDescent="0.55000000000000004">
      <c r="A293" t="str">
        <f>TEST_DATA!A293</f>
        <v>27AAAAA0293Z5</v>
      </c>
      <c r="B293" t="str">
        <f>TEST_DATA!B293</f>
        <v>Jul-2020</v>
      </c>
      <c r="C293">
        <f>TEST_DATA!C293</f>
        <v>44444</v>
      </c>
      <c r="D293" t="str">
        <f>TEST_DATA!D293</f>
        <v>NIL</v>
      </c>
      <c r="E293">
        <f>TEST_DATA!E293</f>
        <v>188</v>
      </c>
      <c r="F293">
        <f>MIN(E293*29300,10000)</f>
        <v>10000</v>
      </c>
      <c r="G293" t="e">
        <f ca="1">_xludf.MINIFS(CBIC_Late_Fee_Relief_Windows_1!$I$100:$I$293,CBIC_Late_Fee_Relief_Windows_1!$D$100:$D$293,"&lt;="&amp;B293,CBIC_Late_Fee_Relief_Windows_1!$E$100:$E$293,"&gt;="&amp;B293,CBIC_Late_Fee_Relief_Windows_1!$F$100:$F$293,"&lt;="&amp;C293,CBIC_Late_Fee_Relief_Windows_1!$G$100:$G$293,"&gt;="&amp;C293,CBIC_Late_Fee_Relief_Windows_1!$H$100:$H$293,D293)</f>
        <v>#NAME?</v>
      </c>
      <c r="H293" t="e">
        <f t="shared" ca="1" si="4"/>
        <v>#NAME?</v>
      </c>
      <c r="I293" t="e">
        <f ca="1">INDEX(CBIC_Late_Fee_Relief_Windows_1!$B$100:$B$293,MATCH(G293,CBIC_Late_Fee_Relief_Windows_1!$I$100:$I$293,0))</f>
        <v>#NAME?</v>
      </c>
    </row>
    <row r="294" spans="1:9" x14ac:dyDescent="0.55000000000000004">
      <c r="A294" t="str">
        <f>TEST_DATA!A294</f>
        <v>27AAAAA0294Z5</v>
      </c>
      <c r="B294" t="str">
        <f>TEST_DATA!B294</f>
        <v>May-2018</v>
      </c>
      <c r="C294">
        <f>TEST_DATA!C294</f>
        <v>44547</v>
      </c>
      <c r="D294" t="str">
        <f>TEST_DATA!D294</f>
        <v>NIL</v>
      </c>
      <c r="E294">
        <f>TEST_DATA!E294</f>
        <v>1201</v>
      </c>
      <c r="F294">
        <f>MIN(E294*29400,10000)</f>
        <v>10000</v>
      </c>
      <c r="G294" t="e">
        <f ca="1">_xludf.MINIFS(CBIC_Late_Fee_Relief_Windows_1!$I$100:$I$294,CBIC_Late_Fee_Relief_Windows_1!$D$100:$D$294,"&lt;="&amp;B294,CBIC_Late_Fee_Relief_Windows_1!$E$100:$E$294,"&gt;="&amp;B294,CBIC_Late_Fee_Relief_Windows_1!$F$100:$F$294,"&lt;="&amp;C294,CBIC_Late_Fee_Relief_Windows_1!$G$100:$G$294,"&gt;="&amp;C294,CBIC_Late_Fee_Relief_Windows_1!$H$100:$H$294,D294)</f>
        <v>#NAME?</v>
      </c>
      <c r="H294" t="e">
        <f t="shared" ca="1" si="4"/>
        <v>#NAME?</v>
      </c>
      <c r="I294" t="e">
        <f ca="1">INDEX(CBIC_Late_Fee_Relief_Windows_1!$B$100:$B$294,MATCH(G294,CBIC_Late_Fee_Relief_Windows_1!$I$100:$I$294,0))</f>
        <v>#NAME?</v>
      </c>
    </row>
    <row r="295" spans="1:9" x14ac:dyDescent="0.55000000000000004">
      <c r="A295" t="str">
        <f>TEST_DATA!A295</f>
        <v>27AAAAA0295Z5</v>
      </c>
      <c r="B295" t="str">
        <f>TEST_DATA!B295</f>
        <v>Jun-2018</v>
      </c>
      <c r="C295">
        <f>TEST_DATA!C295</f>
        <v>43684</v>
      </c>
      <c r="D295" t="str">
        <f>TEST_DATA!D295</f>
        <v>NON-NIL</v>
      </c>
      <c r="E295">
        <f>TEST_DATA!E295</f>
        <v>596</v>
      </c>
      <c r="F295">
        <f>MIN(E295*29500,10000)</f>
        <v>10000</v>
      </c>
      <c r="G295" t="e">
        <f ca="1">_xludf.MINIFS(CBIC_Late_Fee_Relief_Windows_1!$I$100:$I$295,CBIC_Late_Fee_Relief_Windows_1!$D$100:$D$295,"&lt;="&amp;B295,CBIC_Late_Fee_Relief_Windows_1!$E$100:$E$295,"&gt;="&amp;B295,CBIC_Late_Fee_Relief_Windows_1!$F$100:$F$295,"&lt;="&amp;C295,CBIC_Late_Fee_Relief_Windows_1!$G$100:$G$295,"&gt;="&amp;C295,CBIC_Late_Fee_Relief_Windows_1!$H$100:$H$295,D295)</f>
        <v>#NAME?</v>
      </c>
      <c r="H295" t="e">
        <f t="shared" ca="1" si="4"/>
        <v>#NAME?</v>
      </c>
      <c r="I295" t="e">
        <f ca="1">INDEX(CBIC_Late_Fee_Relief_Windows_1!$B$100:$B$295,MATCH(G295,CBIC_Late_Fee_Relief_Windows_1!$I$100:$I$295,0))</f>
        <v>#NAME?</v>
      </c>
    </row>
    <row r="296" spans="1:9" x14ac:dyDescent="0.55000000000000004">
      <c r="A296" t="str">
        <f>TEST_DATA!A296</f>
        <v>27AAAAA0296Z5</v>
      </c>
      <c r="B296" t="str">
        <f>TEST_DATA!B296</f>
        <v>Feb-2018</v>
      </c>
      <c r="C296">
        <f>TEST_DATA!C296</f>
        <v>44004</v>
      </c>
      <c r="D296" t="str">
        <f>TEST_DATA!D296</f>
        <v>NON-NIL</v>
      </c>
      <c r="E296">
        <f>TEST_DATA!E296</f>
        <v>2318</v>
      </c>
      <c r="F296">
        <f>MIN(E296*29600,10000)</f>
        <v>10000</v>
      </c>
      <c r="G296" t="e">
        <f ca="1">_xludf.MINIFS(CBIC_Late_Fee_Relief_Windows_1!$I$100:$I$296,CBIC_Late_Fee_Relief_Windows_1!$D$100:$D$296,"&lt;="&amp;B296,CBIC_Late_Fee_Relief_Windows_1!$E$100:$E$296,"&gt;="&amp;B296,CBIC_Late_Fee_Relief_Windows_1!$F$100:$F$296,"&lt;="&amp;C296,CBIC_Late_Fee_Relief_Windows_1!$G$100:$G$296,"&gt;="&amp;C296,CBIC_Late_Fee_Relief_Windows_1!$H$100:$H$296,D296)</f>
        <v>#NAME?</v>
      </c>
      <c r="H296" t="e">
        <f t="shared" ca="1" si="4"/>
        <v>#NAME?</v>
      </c>
      <c r="I296" t="e">
        <f ca="1">INDEX(CBIC_Late_Fee_Relief_Windows_1!$B$100:$B$296,MATCH(G296,CBIC_Late_Fee_Relief_Windows_1!$I$100:$I$296,0))</f>
        <v>#NAME?</v>
      </c>
    </row>
    <row r="297" spans="1:9" x14ac:dyDescent="0.55000000000000004">
      <c r="A297" t="str">
        <f>TEST_DATA!A297</f>
        <v>27AAAAA0297Z5</v>
      </c>
      <c r="B297" t="str">
        <f>TEST_DATA!B297</f>
        <v>Jun-2020</v>
      </c>
      <c r="C297">
        <f>TEST_DATA!C297</f>
        <v>44199</v>
      </c>
      <c r="D297" t="str">
        <f>TEST_DATA!D297</f>
        <v>NIL</v>
      </c>
      <c r="E297">
        <f>TEST_DATA!E297</f>
        <v>717</v>
      </c>
      <c r="F297">
        <f>MIN(E297*29700,10000)</f>
        <v>10000</v>
      </c>
      <c r="G297" t="e">
        <f ca="1">_xludf.MINIFS(CBIC_Late_Fee_Relief_Windows_1!$I$100:$I$297,CBIC_Late_Fee_Relief_Windows_1!$D$100:$D$297,"&lt;="&amp;B297,CBIC_Late_Fee_Relief_Windows_1!$E$100:$E$297,"&gt;="&amp;B297,CBIC_Late_Fee_Relief_Windows_1!$F$100:$F$297,"&lt;="&amp;C297,CBIC_Late_Fee_Relief_Windows_1!$G$100:$G$297,"&gt;="&amp;C297,CBIC_Late_Fee_Relief_Windows_1!$H$100:$H$297,D297)</f>
        <v>#NAME?</v>
      </c>
      <c r="H297" t="e">
        <f t="shared" ca="1" si="4"/>
        <v>#NAME?</v>
      </c>
      <c r="I297" t="e">
        <f ca="1">INDEX(CBIC_Late_Fee_Relief_Windows_1!$B$100:$B$297,MATCH(G297,CBIC_Late_Fee_Relief_Windows_1!$I$100:$I$297,0))</f>
        <v>#NAME?</v>
      </c>
    </row>
    <row r="298" spans="1:9" x14ac:dyDescent="0.55000000000000004">
      <c r="A298" t="str">
        <f>TEST_DATA!A298</f>
        <v>27AAAAA0298Z5</v>
      </c>
      <c r="B298" t="str">
        <f>TEST_DATA!B298</f>
        <v>Sep-2017</v>
      </c>
      <c r="C298">
        <f>TEST_DATA!C298</f>
        <v>44165</v>
      </c>
      <c r="D298" t="str">
        <f>TEST_DATA!D298</f>
        <v>NON-NIL</v>
      </c>
      <c r="E298">
        <f>TEST_DATA!E298</f>
        <v>2538</v>
      </c>
      <c r="F298">
        <f>MIN(E298*29800,10000)</f>
        <v>10000</v>
      </c>
      <c r="G298" t="e">
        <f ca="1">_xludf.MINIFS(CBIC_Late_Fee_Relief_Windows_1!$I$100:$I$298,CBIC_Late_Fee_Relief_Windows_1!$D$100:$D$298,"&lt;="&amp;B298,CBIC_Late_Fee_Relief_Windows_1!$E$100:$E$298,"&gt;="&amp;B298,CBIC_Late_Fee_Relief_Windows_1!$F$100:$F$298,"&lt;="&amp;C298,CBIC_Late_Fee_Relief_Windows_1!$G$100:$G$298,"&gt;="&amp;C298,CBIC_Late_Fee_Relief_Windows_1!$H$100:$H$298,D298)</f>
        <v>#NAME?</v>
      </c>
      <c r="H298" t="e">
        <f t="shared" ca="1" si="4"/>
        <v>#NAME?</v>
      </c>
      <c r="I298" t="e">
        <f ca="1">INDEX(CBIC_Late_Fee_Relief_Windows_1!$B$100:$B$298,MATCH(G298,CBIC_Late_Fee_Relief_Windows_1!$I$100:$I$298,0))</f>
        <v>#NAME?</v>
      </c>
    </row>
    <row r="299" spans="1:9" x14ac:dyDescent="0.55000000000000004">
      <c r="A299" t="str">
        <f>TEST_DATA!A299</f>
        <v>27AAAAA0299Z5</v>
      </c>
      <c r="B299" t="str">
        <f>TEST_DATA!B299</f>
        <v>Jun-2020</v>
      </c>
      <c r="C299">
        <f>TEST_DATA!C299</f>
        <v>44324</v>
      </c>
      <c r="D299" t="str">
        <f>TEST_DATA!D299</f>
        <v>NON-NIL</v>
      </c>
      <c r="E299">
        <f>TEST_DATA!E299</f>
        <v>2388</v>
      </c>
      <c r="F299">
        <f>MIN(E299*29900,10000)</f>
        <v>10000</v>
      </c>
      <c r="G299" t="e">
        <f ca="1">_xludf.MINIFS(CBIC_Late_Fee_Relief_Windows_1!$I$100:$I$299,CBIC_Late_Fee_Relief_Windows_1!$D$100:$D$299,"&lt;="&amp;B299,CBIC_Late_Fee_Relief_Windows_1!$E$100:$E$299,"&gt;="&amp;B299,CBIC_Late_Fee_Relief_Windows_1!$F$100:$F$299,"&lt;="&amp;C299,CBIC_Late_Fee_Relief_Windows_1!$G$100:$G$299,"&gt;="&amp;C299,CBIC_Late_Fee_Relief_Windows_1!$H$100:$H$299,D299)</f>
        <v>#NAME?</v>
      </c>
      <c r="H299" t="e">
        <f t="shared" ca="1" si="4"/>
        <v>#NAME?</v>
      </c>
      <c r="I299" t="e">
        <f ca="1">INDEX(CBIC_Late_Fee_Relief_Windows_1!$B$100:$B$299,MATCH(G299,CBIC_Late_Fee_Relief_Windows_1!$I$100:$I$299,0))</f>
        <v>#NAME?</v>
      </c>
    </row>
    <row r="300" spans="1:9" x14ac:dyDescent="0.55000000000000004">
      <c r="A300" t="str">
        <f>TEST_DATA!A300</f>
        <v>27AAAAA0300Z5</v>
      </c>
      <c r="B300" t="str">
        <f>TEST_DATA!B300</f>
        <v>Nov-2017</v>
      </c>
      <c r="C300">
        <f>TEST_DATA!C300</f>
        <v>43392</v>
      </c>
      <c r="D300" t="str">
        <f>TEST_DATA!D300</f>
        <v>NON-NIL</v>
      </c>
      <c r="E300">
        <f>TEST_DATA!E300</f>
        <v>2612</v>
      </c>
      <c r="F300">
        <f>MIN(E300*30000,10000)</f>
        <v>10000</v>
      </c>
      <c r="G300" t="e">
        <f ca="1">_xludf.MINIFS(CBIC_Late_Fee_Relief_Windows_1!$I$100:$I$300,CBIC_Late_Fee_Relief_Windows_1!$D$100:$D$300,"&lt;="&amp;B300,CBIC_Late_Fee_Relief_Windows_1!$E$100:$E$300,"&gt;="&amp;B300,CBIC_Late_Fee_Relief_Windows_1!$F$100:$F$300,"&lt;="&amp;C300,CBIC_Late_Fee_Relief_Windows_1!$G$100:$G$300,"&gt;="&amp;C300,CBIC_Late_Fee_Relief_Windows_1!$H$100:$H$300,D300)</f>
        <v>#NAME?</v>
      </c>
      <c r="H300" t="e">
        <f t="shared" ca="1" si="4"/>
        <v>#NAME?</v>
      </c>
      <c r="I300" t="e">
        <f ca="1">INDEX(CBIC_Late_Fee_Relief_Windows_1!$B$100:$B$300,MATCH(G300,CBIC_Late_Fee_Relief_Windows_1!$I$100:$I$300,0))</f>
        <v>#NAME?</v>
      </c>
    </row>
    <row r="301" spans="1:9" x14ac:dyDescent="0.55000000000000004">
      <c r="A301" t="str">
        <f>TEST_DATA!A301</f>
        <v>27AAAAA0301Z5</v>
      </c>
      <c r="B301" t="str">
        <f>TEST_DATA!B301</f>
        <v>Mar-2018</v>
      </c>
      <c r="C301">
        <f>TEST_DATA!C301</f>
        <v>43858</v>
      </c>
      <c r="D301" t="str">
        <f>TEST_DATA!D301</f>
        <v>NON-NIL</v>
      </c>
      <c r="E301">
        <f>TEST_DATA!E301</f>
        <v>2731</v>
      </c>
      <c r="F301">
        <f>MIN(E301*30100,10000)</f>
        <v>10000</v>
      </c>
      <c r="G301" t="e">
        <f ca="1">_xludf.MINIFS(CBIC_Late_Fee_Relief_Windows_1!$I$100:$I$301,CBIC_Late_Fee_Relief_Windows_1!$D$100:$D$301,"&lt;="&amp;B301,CBIC_Late_Fee_Relief_Windows_1!$E$100:$E$301,"&gt;="&amp;B301,CBIC_Late_Fee_Relief_Windows_1!$F$100:$F$301,"&lt;="&amp;C301,CBIC_Late_Fee_Relief_Windows_1!$G$100:$G$301,"&gt;="&amp;C301,CBIC_Late_Fee_Relief_Windows_1!$H$100:$H$301,D301)</f>
        <v>#NAME?</v>
      </c>
      <c r="H301" t="e">
        <f t="shared" ca="1" si="4"/>
        <v>#NAME?</v>
      </c>
      <c r="I301" t="e">
        <f ca="1">INDEX(CBIC_Late_Fee_Relief_Windows_1!$B$100:$B$301,MATCH(G301,CBIC_Late_Fee_Relief_Windows_1!$I$100:$I$301,0))</f>
        <v>#NAME?</v>
      </c>
    </row>
    <row r="302" spans="1:9" x14ac:dyDescent="0.55000000000000004">
      <c r="A302" t="str">
        <f>TEST_DATA!A302</f>
        <v>27AAAAA0302Z5</v>
      </c>
      <c r="B302" t="str">
        <f>TEST_DATA!B302</f>
        <v>Jul-2017</v>
      </c>
      <c r="C302">
        <f>TEST_DATA!C302</f>
        <v>43869</v>
      </c>
      <c r="D302" t="str">
        <f>TEST_DATA!D302</f>
        <v>NON-NIL</v>
      </c>
      <c r="E302">
        <f>TEST_DATA!E302</f>
        <v>2775</v>
      </c>
      <c r="F302">
        <f>MIN(E302*30200,10000)</f>
        <v>10000</v>
      </c>
      <c r="G302" t="e">
        <f ca="1">_xludf.MINIFS(CBIC_Late_Fee_Relief_Windows_1!$I$100:$I$302,CBIC_Late_Fee_Relief_Windows_1!$D$100:$D$302,"&lt;="&amp;B302,CBIC_Late_Fee_Relief_Windows_1!$E$100:$E$302,"&gt;="&amp;B302,CBIC_Late_Fee_Relief_Windows_1!$F$100:$F$302,"&lt;="&amp;C302,CBIC_Late_Fee_Relief_Windows_1!$G$100:$G$302,"&gt;="&amp;C302,CBIC_Late_Fee_Relief_Windows_1!$H$100:$H$302,D302)</f>
        <v>#NAME?</v>
      </c>
      <c r="H302" t="e">
        <f t="shared" ca="1" si="4"/>
        <v>#NAME?</v>
      </c>
      <c r="I302" t="e">
        <f ca="1">INDEX(CBIC_Late_Fee_Relief_Windows_1!$B$100:$B$302,MATCH(G302,CBIC_Late_Fee_Relief_Windows_1!$I$100:$I$302,0))</f>
        <v>#NAME?</v>
      </c>
    </row>
    <row r="303" spans="1:9" x14ac:dyDescent="0.55000000000000004">
      <c r="A303" t="str">
        <f>TEST_DATA!A303</f>
        <v>27AAAAA0303Z5</v>
      </c>
      <c r="B303" t="str">
        <f>TEST_DATA!B303</f>
        <v>Dec-2019</v>
      </c>
      <c r="C303">
        <f>TEST_DATA!C303</f>
        <v>44113</v>
      </c>
      <c r="D303" t="str">
        <f>TEST_DATA!D303</f>
        <v>NIL</v>
      </c>
      <c r="E303">
        <f>TEST_DATA!E303</f>
        <v>1809</v>
      </c>
      <c r="F303">
        <f>MIN(E303*30300,10000)</f>
        <v>10000</v>
      </c>
      <c r="G303" t="e">
        <f ca="1">_xludf.MINIFS(CBIC_Late_Fee_Relief_Windows_1!$I$100:$I$303,CBIC_Late_Fee_Relief_Windows_1!$D$100:$D$303,"&lt;="&amp;B303,CBIC_Late_Fee_Relief_Windows_1!$E$100:$E$303,"&gt;="&amp;B303,CBIC_Late_Fee_Relief_Windows_1!$F$100:$F$303,"&lt;="&amp;C303,CBIC_Late_Fee_Relief_Windows_1!$G$100:$G$303,"&gt;="&amp;C303,CBIC_Late_Fee_Relief_Windows_1!$H$100:$H$303,D303)</f>
        <v>#NAME?</v>
      </c>
      <c r="H303" t="e">
        <f t="shared" ca="1" si="4"/>
        <v>#NAME?</v>
      </c>
      <c r="I303" t="e">
        <f ca="1">INDEX(CBIC_Late_Fee_Relief_Windows_1!$B$100:$B$303,MATCH(G303,CBIC_Late_Fee_Relief_Windows_1!$I$100:$I$303,0))</f>
        <v>#NAME?</v>
      </c>
    </row>
    <row r="304" spans="1:9" x14ac:dyDescent="0.55000000000000004">
      <c r="A304" t="str">
        <f>TEST_DATA!A304</f>
        <v>27AAAAA0304Z5</v>
      </c>
      <c r="B304" t="str">
        <f>TEST_DATA!B304</f>
        <v>Jun-2018</v>
      </c>
      <c r="C304">
        <f>TEST_DATA!C304</f>
        <v>44120</v>
      </c>
      <c r="D304" t="str">
        <f>TEST_DATA!D304</f>
        <v>NON-NIL</v>
      </c>
      <c r="E304">
        <f>TEST_DATA!E304</f>
        <v>2617</v>
      </c>
      <c r="F304">
        <f>MIN(E304*30400,10000)</f>
        <v>10000</v>
      </c>
      <c r="G304" t="e">
        <f ca="1">_xludf.MINIFS(CBIC_Late_Fee_Relief_Windows_1!$I$100:$I$304,CBIC_Late_Fee_Relief_Windows_1!$D$100:$D$304,"&lt;="&amp;B304,CBIC_Late_Fee_Relief_Windows_1!$E$100:$E$304,"&gt;="&amp;B304,CBIC_Late_Fee_Relief_Windows_1!$F$100:$F$304,"&lt;="&amp;C304,CBIC_Late_Fee_Relief_Windows_1!$G$100:$G$304,"&gt;="&amp;C304,CBIC_Late_Fee_Relief_Windows_1!$H$100:$H$304,D304)</f>
        <v>#NAME?</v>
      </c>
      <c r="H304" t="e">
        <f t="shared" ca="1" si="4"/>
        <v>#NAME?</v>
      </c>
      <c r="I304" t="e">
        <f ca="1">INDEX(CBIC_Late_Fee_Relief_Windows_1!$B$100:$B$304,MATCH(G304,CBIC_Late_Fee_Relief_Windows_1!$I$100:$I$304,0))</f>
        <v>#NAME?</v>
      </c>
    </row>
    <row r="305" spans="1:9" x14ac:dyDescent="0.55000000000000004">
      <c r="A305" t="str">
        <f>TEST_DATA!A305</f>
        <v>27AAAAA0305Z5</v>
      </c>
      <c r="B305" t="str">
        <f>TEST_DATA!B305</f>
        <v>Aug-2018</v>
      </c>
      <c r="C305">
        <f>TEST_DATA!C305</f>
        <v>44330</v>
      </c>
      <c r="D305" t="str">
        <f>TEST_DATA!D305</f>
        <v>NON-NIL</v>
      </c>
      <c r="E305">
        <f>TEST_DATA!E305</f>
        <v>1871</v>
      </c>
      <c r="F305">
        <f>MIN(E305*30500,10000)</f>
        <v>10000</v>
      </c>
      <c r="G305" t="e">
        <f ca="1">_xludf.MINIFS(CBIC_Late_Fee_Relief_Windows_1!$I$100:$I$305,CBIC_Late_Fee_Relief_Windows_1!$D$100:$D$305,"&lt;="&amp;B305,CBIC_Late_Fee_Relief_Windows_1!$E$100:$E$305,"&gt;="&amp;B305,CBIC_Late_Fee_Relief_Windows_1!$F$100:$F$305,"&lt;="&amp;C305,CBIC_Late_Fee_Relief_Windows_1!$G$100:$G$305,"&gt;="&amp;C305,CBIC_Late_Fee_Relief_Windows_1!$H$100:$H$305,D305)</f>
        <v>#NAME?</v>
      </c>
      <c r="H305" t="e">
        <f t="shared" ca="1" si="4"/>
        <v>#NAME?</v>
      </c>
      <c r="I305" t="e">
        <f ca="1">INDEX(CBIC_Late_Fee_Relief_Windows_1!$B$100:$B$305,MATCH(G305,CBIC_Late_Fee_Relief_Windows_1!$I$100:$I$305,0))</f>
        <v>#NAME?</v>
      </c>
    </row>
    <row r="306" spans="1:9" x14ac:dyDescent="0.55000000000000004">
      <c r="A306" t="str">
        <f>TEST_DATA!A306</f>
        <v>27AAAAA0306Z5</v>
      </c>
      <c r="B306" t="str">
        <f>TEST_DATA!B306</f>
        <v>Mar-2023</v>
      </c>
      <c r="C306">
        <f>TEST_DATA!C306</f>
        <v>44703</v>
      </c>
      <c r="D306" t="str">
        <f>TEST_DATA!D306</f>
        <v>NIL</v>
      </c>
      <c r="E306">
        <f>TEST_DATA!E306</f>
        <v>1575</v>
      </c>
      <c r="F306">
        <f>MIN(E306*30600,10000)</f>
        <v>10000</v>
      </c>
      <c r="G306" t="e">
        <f ca="1">_xludf.MINIFS(CBIC_Late_Fee_Relief_Windows_1!$I$100:$I$306,CBIC_Late_Fee_Relief_Windows_1!$D$100:$D$306,"&lt;="&amp;B306,CBIC_Late_Fee_Relief_Windows_1!$E$100:$E$306,"&gt;="&amp;B306,CBIC_Late_Fee_Relief_Windows_1!$F$100:$F$306,"&lt;="&amp;C306,CBIC_Late_Fee_Relief_Windows_1!$G$100:$G$306,"&gt;="&amp;C306,CBIC_Late_Fee_Relief_Windows_1!$H$100:$H$306,D306)</f>
        <v>#NAME?</v>
      </c>
      <c r="H306" t="e">
        <f t="shared" ca="1" si="4"/>
        <v>#NAME?</v>
      </c>
      <c r="I306" t="e">
        <f ca="1">INDEX(CBIC_Late_Fee_Relief_Windows_1!$B$100:$B$306,MATCH(G306,CBIC_Late_Fee_Relief_Windows_1!$I$100:$I$306,0))</f>
        <v>#NAME?</v>
      </c>
    </row>
    <row r="307" spans="1:9" x14ac:dyDescent="0.55000000000000004">
      <c r="A307" t="str">
        <f>TEST_DATA!A307</f>
        <v>27AAAAA0307Z5</v>
      </c>
      <c r="B307" t="str">
        <f>TEST_DATA!B307</f>
        <v>Mar-2023</v>
      </c>
      <c r="C307">
        <f>TEST_DATA!C307</f>
        <v>45445</v>
      </c>
      <c r="D307" t="str">
        <f>TEST_DATA!D307</f>
        <v>NIL</v>
      </c>
      <c r="E307">
        <f>TEST_DATA!E307</f>
        <v>971</v>
      </c>
      <c r="F307">
        <f>MIN(E307*30700,10000)</f>
        <v>10000</v>
      </c>
      <c r="G307" t="e">
        <f ca="1">_xludf.MINIFS(CBIC_Late_Fee_Relief_Windows_1!$I$100:$I$307,CBIC_Late_Fee_Relief_Windows_1!$D$100:$D$307,"&lt;="&amp;B307,CBIC_Late_Fee_Relief_Windows_1!$E$100:$E$307,"&gt;="&amp;B307,CBIC_Late_Fee_Relief_Windows_1!$F$100:$F$307,"&lt;="&amp;C307,CBIC_Late_Fee_Relief_Windows_1!$G$100:$G$307,"&gt;="&amp;C307,CBIC_Late_Fee_Relief_Windows_1!$H$100:$H$307,D307)</f>
        <v>#NAME?</v>
      </c>
      <c r="H307" t="e">
        <f t="shared" ca="1" si="4"/>
        <v>#NAME?</v>
      </c>
      <c r="I307" t="e">
        <f ca="1">INDEX(CBIC_Late_Fee_Relief_Windows_1!$B$100:$B$307,MATCH(G307,CBIC_Late_Fee_Relief_Windows_1!$I$100:$I$307,0))</f>
        <v>#NAME?</v>
      </c>
    </row>
    <row r="308" spans="1:9" x14ac:dyDescent="0.55000000000000004">
      <c r="A308" t="str">
        <f>TEST_DATA!A308</f>
        <v>27AAAAA0308Z5</v>
      </c>
      <c r="B308" t="str">
        <f>TEST_DATA!B308</f>
        <v>Jul-2018</v>
      </c>
      <c r="C308">
        <f>TEST_DATA!C308</f>
        <v>44088</v>
      </c>
      <c r="D308" t="str">
        <f>TEST_DATA!D308</f>
        <v>NON-NIL</v>
      </c>
      <c r="E308">
        <f>TEST_DATA!E308</f>
        <v>2354</v>
      </c>
      <c r="F308">
        <f>MIN(E308*30800,10000)</f>
        <v>10000</v>
      </c>
      <c r="G308" t="e">
        <f ca="1">_xludf.MINIFS(CBIC_Late_Fee_Relief_Windows_1!$I$100:$I$308,CBIC_Late_Fee_Relief_Windows_1!$D$100:$D$308,"&lt;="&amp;B308,CBIC_Late_Fee_Relief_Windows_1!$E$100:$E$308,"&gt;="&amp;B308,CBIC_Late_Fee_Relief_Windows_1!$F$100:$F$308,"&lt;="&amp;C308,CBIC_Late_Fee_Relief_Windows_1!$G$100:$G$308,"&gt;="&amp;C308,CBIC_Late_Fee_Relief_Windows_1!$H$100:$H$308,D308)</f>
        <v>#NAME?</v>
      </c>
      <c r="H308" t="e">
        <f t="shared" ca="1" si="4"/>
        <v>#NAME?</v>
      </c>
      <c r="I308" t="e">
        <f ca="1">INDEX(CBIC_Late_Fee_Relief_Windows_1!$B$100:$B$308,MATCH(G308,CBIC_Late_Fee_Relief_Windows_1!$I$100:$I$308,0))</f>
        <v>#NAME?</v>
      </c>
    </row>
    <row r="309" spans="1:9" x14ac:dyDescent="0.55000000000000004">
      <c r="A309" t="str">
        <f>TEST_DATA!A309</f>
        <v>27AAAAA0309Z5</v>
      </c>
      <c r="B309" t="str">
        <f>TEST_DATA!B309</f>
        <v>Apr-2018</v>
      </c>
      <c r="C309">
        <f>TEST_DATA!C309</f>
        <v>44349</v>
      </c>
      <c r="D309" t="str">
        <f>TEST_DATA!D309</f>
        <v>NON-NIL</v>
      </c>
      <c r="E309">
        <f>TEST_DATA!E309</f>
        <v>89</v>
      </c>
      <c r="F309">
        <f>MIN(E309*30900,10000)</f>
        <v>10000</v>
      </c>
      <c r="G309" t="e">
        <f ca="1">_xludf.MINIFS(CBIC_Late_Fee_Relief_Windows_1!$I$100:$I$309,CBIC_Late_Fee_Relief_Windows_1!$D$100:$D$309,"&lt;="&amp;B309,CBIC_Late_Fee_Relief_Windows_1!$E$100:$E$309,"&gt;="&amp;B309,CBIC_Late_Fee_Relief_Windows_1!$F$100:$F$309,"&lt;="&amp;C309,CBIC_Late_Fee_Relief_Windows_1!$G$100:$G$309,"&gt;="&amp;C309,CBIC_Late_Fee_Relief_Windows_1!$H$100:$H$309,D309)</f>
        <v>#NAME?</v>
      </c>
      <c r="H309" t="e">
        <f t="shared" ca="1" si="4"/>
        <v>#NAME?</v>
      </c>
      <c r="I309" t="e">
        <f ca="1">INDEX(CBIC_Late_Fee_Relief_Windows_1!$B$100:$B$309,MATCH(G309,CBIC_Late_Fee_Relief_Windows_1!$I$100:$I$309,0))</f>
        <v>#NAME?</v>
      </c>
    </row>
    <row r="310" spans="1:9" x14ac:dyDescent="0.55000000000000004">
      <c r="A310" t="str">
        <f>TEST_DATA!A310</f>
        <v>27AAAAA0310Z5</v>
      </c>
      <c r="B310" t="str">
        <f>TEST_DATA!B310</f>
        <v>Dec-2022</v>
      </c>
      <c r="C310">
        <f>TEST_DATA!C310</f>
        <v>45087</v>
      </c>
      <c r="D310" t="str">
        <f>TEST_DATA!D310</f>
        <v>NON-NIL</v>
      </c>
      <c r="E310">
        <f>TEST_DATA!E310</f>
        <v>33</v>
      </c>
      <c r="F310">
        <f>MIN(E310*31000,10000)</f>
        <v>10000</v>
      </c>
      <c r="G310" t="e">
        <f ca="1">_xludf.MINIFS(CBIC_Late_Fee_Relief_Windows_1!$I$100:$I$310,CBIC_Late_Fee_Relief_Windows_1!$D$100:$D$310,"&lt;="&amp;B310,CBIC_Late_Fee_Relief_Windows_1!$E$100:$E$310,"&gt;="&amp;B310,CBIC_Late_Fee_Relief_Windows_1!$F$100:$F$310,"&lt;="&amp;C310,CBIC_Late_Fee_Relief_Windows_1!$G$100:$G$310,"&gt;="&amp;C310,CBIC_Late_Fee_Relief_Windows_1!$H$100:$H$310,D310)</f>
        <v>#NAME?</v>
      </c>
      <c r="H310" t="e">
        <f t="shared" ca="1" si="4"/>
        <v>#NAME?</v>
      </c>
      <c r="I310" t="e">
        <f ca="1">INDEX(CBIC_Late_Fee_Relief_Windows_1!$B$100:$B$310,MATCH(G310,CBIC_Late_Fee_Relief_Windows_1!$I$100:$I$310,0))</f>
        <v>#NAME?</v>
      </c>
    </row>
    <row r="311" spans="1:9" x14ac:dyDescent="0.55000000000000004">
      <c r="A311" t="str">
        <f>TEST_DATA!A311</f>
        <v>27AAAAA0311Z5</v>
      </c>
      <c r="B311" t="str">
        <f>TEST_DATA!B311</f>
        <v>Mar-2020</v>
      </c>
      <c r="C311">
        <f>TEST_DATA!C311</f>
        <v>43931</v>
      </c>
      <c r="D311" t="str">
        <f>TEST_DATA!D311</f>
        <v>NON-NIL</v>
      </c>
      <c r="E311">
        <f>TEST_DATA!E311</f>
        <v>1172</v>
      </c>
      <c r="F311">
        <f>MIN(E311*31100,10000)</f>
        <v>10000</v>
      </c>
      <c r="G311" t="e">
        <f ca="1">_xludf.MINIFS(CBIC_Late_Fee_Relief_Windows_1!$I$100:$I$311,CBIC_Late_Fee_Relief_Windows_1!$D$100:$D$311,"&lt;="&amp;B311,CBIC_Late_Fee_Relief_Windows_1!$E$100:$E$311,"&gt;="&amp;B311,CBIC_Late_Fee_Relief_Windows_1!$F$100:$F$311,"&lt;="&amp;C311,CBIC_Late_Fee_Relief_Windows_1!$G$100:$G$311,"&gt;="&amp;C311,CBIC_Late_Fee_Relief_Windows_1!$H$100:$H$311,D311)</f>
        <v>#NAME?</v>
      </c>
      <c r="H311" t="e">
        <f t="shared" ca="1" si="4"/>
        <v>#NAME?</v>
      </c>
      <c r="I311" t="e">
        <f ca="1">INDEX(CBIC_Late_Fee_Relief_Windows_1!$B$100:$B$311,MATCH(G311,CBIC_Late_Fee_Relief_Windows_1!$I$100:$I$311,0))</f>
        <v>#NAME?</v>
      </c>
    </row>
    <row r="312" spans="1:9" x14ac:dyDescent="0.55000000000000004">
      <c r="A312" t="str">
        <f>TEST_DATA!A312</f>
        <v>27AAAAA0312Z5</v>
      </c>
      <c r="B312" t="str">
        <f>TEST_DATA!B312</f>
        <v>Mar-2021</v>
      </c>
      <c r="C312">
        <f>TEST_DATA!C312</f>
        <v>44408</v>
      </c>
      <c r="D312" t="str">
        <f>TEST_DATA!D312</f>
        <v>NON-NIL</v>
      </c>
      <c r="E312">
        <f>TEST_DATA!E312</f>
        <v>897</v>
      </c>
      <c r="F312">
        <f>MIN(E312*31200,10000)</f>
        <v>10000</v>
      </c>
      <c r="G312" t="e">
        <f ca="1">_xludf.MINIFS(CBIC_Late_Fee_Relief_Windows_1!$I$100:$I$312,CBIC_Late_Fee_Relief_Windows_1!$D$100:$D$312,"&lt;="&amp;B312,CBIC_Late_Fee_Relief_Windows_1!$E$100:$E$312,"&gt;="&amp;B312,CBIC_Late_Fee_Relief_Windows_1!$F$100:$F$312,"&lt;="&amp;C312,CBIC_Late_Fee_Relief_Windows_1!$G$100:$G$312,"&gt;="&amp;C312,CBIC_Late_Fee_Relief_Windows_1!$H$100:$H$312,D312)</f>
        <v>#NAME?</v>
      </c>
      <c r="H312" t="e">
        <f t="shared" ca="1" si="4"/>
        <v>#NAME?</v>
      </c>
      <c r="I312" t="e">
        <f ca="1">INDEX(CBIC_Late_Fee_Relief_Windows_1!$B$100:$B$312,MATCH(G312,CBIC_Late_Fee_Relief_Windows_1!$I$100:$I$312,0))</f>
        <v>#NAME?</v>
      </c>
    </row>
    <row r="313" spans="1:9" x14ac:dyDescent="0.55000000000000004">
      <c r="A313" t="str">
        <f>TEST_DATA!A313</f>
        <v>27AAAAA0313Z5</v>
      </c>
      <c r="B313" t="str">
        <f>TEST_DATA!B313</f>
        <v>May-2020</v>
      </c>
      <c r="C313">
        <f>TEST_DATA!C313</f>
        <v>44220</v>
      </c>
      <c r="D313" t="str">
        <f>TEST_DATA!D313</f>
        <v>NON-NIL</v>
      </c>
      <c r="E313">
        <f>TEST_DATA!E313</f>
        <v>2776</v>
      </c>
      <c r="F313">
        <f>MIN(E313*31300,10000)</f>
        <v>10000</v>
      </c>
      <c r="G313" t="e">
        <f ca="1">_xludf.MINIFS(CBIC_Late_Fee_Relief_Windows_1!$I$100:$I$313,CBIC_Late_Fee_Relief_Windows_1!$D$100:$D$313,"&lt;="&amp;B313,CBIC_Late_Fee_Relief_Windows_1!$E$100:$E$313,"&gt;="&amp;B313,CBIC_Late_Fee_Relief_Windows_1!$F$100:$F$313,"&lt;="&amp;C313,CBIC_Late_Fee_Relief_Windows_1!$G$100:$G$313,"&gt;="&amp;C313,CBIC_Late_Fee_Relief_Windows_1!$H$100:$H$313,D313)</f>
        <v>#NAME?</v>
      </c>
      <c r="H313" t="e">
        <f t="shared" ca="1" si="4"/>
        <v>#NAME?</v>
      </c>
      <c r="I313" t="e">
        <f ca="1">INDEX(CBIC_Late_Fee_Relief_Windows_1!$B$100:$B$313,MATCH(G313,CBIC_Late_Fee_Relief_Windows_1!$I$100:$I$313,0))</f>
        <v>#NAME?</v>
      </c>
    </row>
    <row r="314" spans="1:9" x14ac:dyDescent="0.55000000000000004">
      <c r="A314" t="str">
        <f>TEST_DATA!A314</f>
        <v>27AAAAA0314Z5</v>
      </c>
      <c r="B314" t="str">
        <f>TEST_DATA!B314</f>
        <v>Mar-2021</v>
      </c>
      <c r="C314">
        <f>TEST_DATA!C314</f>
        <v>44026</v>
      </c>
      <c r="D314" t="str">
        <f>TEST_DATA!D314</f>
        <v>NIL</v>
      </c>
      <c r="E314">
        <f>TEST_DATA!E314</f>
        <v>2570</v>
      </c>
      <c r="F314">
        <f>MIN(E314*31400,10000)</f>
        <v>10000</v>
      </c>
      <c r="G314" t="e">
        <f ca="1">_xludf.MINIFS(CBIC_Late_Fee_Relief_Windows_1!$I$100:$I$314,CBIC_Late_Fee_Relief_Windows_1!$D$100:$D$314,"&lt;="&amp;B314,CBIC_Late_Fee_Relief_Windows_1!$E$100:$E$314,"&gt;="&amp;B314,CBIC_Late_Fee_Relief_Windows_1!$F$100:$F$314,"&lt;="&amp;C314,CBIC_Late_Fee_Relief_Windows_1!$G$100:$G$314,"&gt;="&amp;C314,CBIC_Late_Fee_Relief_Windows_1!$H$100:$H$314,D314)</f>
        <v>#NAME?</v>
      </c>
      <c r="H314" t="e">
        <f t="shared" ca="1" si="4"/>
        <v>#NAME?</v>
      </c>
      <c r="I314" t="e">
        <f ca="1">INDEX(CBIC_Late_Fee_Relief_Windows_1!$B$100:$B$314,MATCH(G314,CBIC_Late_Fee_Relief_Windows_1!$I$100:$I$314,0))</f>
        <v>#NAME?</v>
      </c>
    </row>
    <row r="315" spans="1:9" x14ac:dyDescent="0.55000000000000004">
      <c r="A315" t="str">
        <f>TEST_DATA!A315</f>
        <v>27AAAAA0315Z5</v>
      </c>
      <c r="B315" t="str">
        <f>TEST_DATA!B315</f>
        <v>May-2020</v>
      </c>
      <c r="C315">
        <f>TEST_DATA!C315</f>
        <v>43911</v>
      </c>
      <c r="D315" t="str">
        <f>TEST_DATA!D315</f>
        <v>NON-NIL</v>
      </c>
      <c r="E315">
        <f>TEST_DATA!E315</f>
        <v>1805</v>
      </c>
      <c r="F315">
        <f>MIN(E315*31500,10000)</f>
        <v>10000</v>
      </c>
      <c r="G315" t="e">
        <f ca="1">_xludf.MINIFS(CBIC_Late_Fee_Relief_Windows_1!$I$100:$I$315,CBIC_Late_Fee_Relief_Windows_1!$D$100:$D$315,"&lt;="&amp;B315,CBIC_Late_Fee_Relief_Windows_1!$E$100:$E$315,"&gt;="&amp;B315,CBIC_Late_Fee_Relief_Windows_1!$F$100:$F$315,"&lt;="&amp;C315,CBIC_Late_Fee_Relief_Windows_1!$G$100:$G$315,"&gt;="&amp;C315,CBIC_Late_Fee_Relief_Windows_1!$H$100:$H$315,D315)</f>
        <v>#NAME?</v>
      </c>
      <c r="H315" t="e">
        <f t="shared" ca="1" si="4"/>
        <v>#NAME?</v>
      </c>
      <c r="I315" t="e">
        <f ca="1">INDEX(CBIC_Late_Fee_Relief_Windows_1!$B$100:$B$315,MATCH(G315,CBIC_Late_Fee_Relief_Windows_1!$I$100:$I$315,0))</f>
        <v>#NAME?</v>
      </c>
    </row>
    <row r="316" spans="1:9" x14ac:dyDescent="0.55000000000000004">
      <c r="A316" t="str">
        <f>TEST_DATA!A316</f>
        <v>27AAAAA0316Z5</v>
      </c>
      <c r="B316" t="str">
        <f>TEST_DATA!B316</f>
        <v>Aug-2017</v>
      </c>
      <c r="C316">
        <f>TEST_DATA!C316</f>
        <v>44103</v>
      </c>
      <c r="D316" t="str">
        <f>TEST_DATA!D316</f>
        <v>NON-NIL</v>
      </c>
      <c r="E316">
        <f>TEST_DATA!E316</f>
        <v>2999</v>
      </c>
      <c r="F316">
        <f>MIN(E316*31600,10000)</f>
        <v>10000</v>
      </c>
      <c r="G316" t="e">
        <f ca="1">_xludf.MINIFS(CBIC_Late_Fee_Relief_Windows_1!$I$100:$I$316,CBIC_Late_Fee_Relief_Windows_1!$D$100:$D$316,"&lt;="&amp;B316,CBIC_Late_Fee_Relief_Windows_1!$E$100:$E$316,"&gt;="&amp;B316,CBIC_Late_Fee_Relief_Windows_1!$F$100:$F$316,"&lt;="&amp;C316,CBIC_Late_Fee_Relief_Windows_1!$G$100:$G$316,"&gt;="&amp;C316,CBIC_Late_Fee_Relief_Windows_1!$H$100:$H$316,D316)</f>
        <v>#NAME?</v>
      </c>
      <c r="H316" t="e">
        <f t="shared" ca="1" si="4"/>
        <v>#NAME?</v>
      </c>
      <c r="I316" t="e">
        <f ca="1">INDEX(CBIC_Late_Fee_Relief_Windows_1!$B$100:$B$316,MATCH(G316,CBIC_Late_Fee_Relief_Windows_1!$I$100:$I$316,0))</f>
        <v>#NAME?</v>
      </c>
    </row>
    <row r="317" spans="1:9" x14ac:dyDescent="0.55000000000000004">
      <c r="A317" t="str">
        <f>TEST_DATA!A317</f>
        <v>27AAAAA0317Z5</v>
      </c>
      <c r="B317" t="str">
        <f>TEST_DATA!B317</f>
        <v>Nov-2017</v>
      </c>
      <c r="C317">
        <f>TEST_DATA!C317</f>
        <v>43101</v>
      </c>
      <c r="D317" t="str">
        <f>TEST_DATA!D317</f>
        <v>NON-NIL</v>
      </c>
      <c r="E317">
        <f>TEST_DATA!E317</f>
        <v>1338</v>
      </c>
      <c r="F317">
        <f>MIN(E317*31700,10000)</f>
        <v>10000</v>
      </c>
      <c r="G317" t="e">
        <f ca="1">_xludf.MINIFS(CBIC_Late_Fee_Relief_Windows_1!$I$100:$I$317,CBIC_Late_Fee_Relief_Windows_1!$D$100:$D$317,"&lt;="&amp;B317,CBIC_Late_Fee_Relief_Windows_1!$E$100:$E$317,"&gt;="&amp;B317,CBIC_Late_Fee_Relief_Windows_1!$F$100:$F$317,"&lt;="&amp;C317,CBIC_Late_Fee_Relief_Windows_1!$G$100:$G$317,"&gt;="&amp;C317,CBIC_Late_Fee_Relief_Windows_1!$H$100:$H$317,D317)</f>
        <v>#NAME?</v>
      </c>
      <c r="H317" t="e">
        <f t="shared" ca="1" si="4"/>
        <v>#NAME?</v>
      </c>
      <c r="I317" t="e">
        <f ca="1">INDEX(CBIC_Late_Fee_Relief_Windows_1!$B$100:$B$317,MATCH(G317,CBIC_Late_Fee_Relief_Windows_1!$I$100:$I$317,0))</f>
        <v>#NAME?</v>
      </c>
    </row>
    <row r="318" spans="1:9" x14ac:dyDescent="0.55000000000000004">
      <c r="A318" t="str">
        <f>TEST_DATA!A318</f>
        <v>27AAAAA0318Z5</v>
      </c>
      <c r="B318" t="str">
        <f>TEST_DATA!B318</f>
        <v>Jan-2021</v>
      </c>
      <c r="C318">
        <f>TEST_DATA!C318</f>
        <v>45167</v>
      </c>
      <c r="D318" t="str">
        <f>TEST_DATA!D318</f>
        <v>NIL</v>
      </c>
      <c r="E318">
        <f>TEST_DATA!E318</f>
        <v>822</v>
      </c>
      <c r="F318">
        <f>MIN(E318*31800,10000)</f>
        <v>10000</v>
      </c>
      <c r="G318" t="e">
        <f ca="1">_xludf.MINIFS(CBIC_Late_Fee_Relief_Windows_1!$I$100:$I$318,CBIC_Late_Fee_Relief_Windows_1!$D$100:$D$318,"&lt;="&amp;B318,CBIC_Late_Fee_Relief_Windows_1!$E$100:$E$318,"&gt;="&amp;B318,CBIC_Late_Fee_Relief_Windows_1!$F$100:$F$318,"&lt;="&amp;C318,CBIC_Late_Fee_Relief_Windows_1!$G$100:$G$318,"&gt;="&amp;C318,CBIC_Late_Fee_Relief_Windows_1!$H$100:$H$318,D318)</f>
        <v>#NAME?</v>
      </c>
      <c r="H318" t="e">
        <f t="shared" ca="1" si="4"/>
        <v>#NAME?</v>
      </c>
      <c r="I318" t="e">
        <f ca="1">INDEX(CBIC_Late_Fee_Relief_Windows_1!$B$100:$B$318,MATCH(G318,CBIC_Late_Fee_Relief_Windows_1!$I$100:$I$318,0))</f>
        <v>#NAME?</v>
      </c>
    </row>
    <row r="319" spans="1:9" x14ac:dyDescent="0.55000000000000004">
      <c r="A319" t="str">
        <f>TEST_DATA!A319</f>
        <v>27AAAAA0319Z5</v>
      </c>
      <c r="B319" t="str">
        <f>TEST_DATA!B319</f>
        <v>Nov-2017</v>
      </c>
      <c r="C319">
        <f>TEST_DATA!C319</f>
        <v>44527</v>
      </c>
      <c r="D319" t="str">
        <f>TEST_DATA!D319</f>
        <v>NON-NIL</v>
      </c>
      <c r="E319">
        <f>TEST_DATA!E319</f>
        <v>2174</v>
      </c>
      <c r="F319">
        <f>MIN(E319*31900,10000)</f>
        <v>10000</v>
      </c>
      <c r="G319" t="e">
        <f ca="1">_xludf.MINIFS(CBIC_Late_Fee_Relief_Windows_1!$I$100:$I$319,CBIC_Late_Fee_Relief_Windows_1!$D$100:$D$319,"&lt;="&amp;B319,CBIC_Late_Fee_Relief_Windows_1!$E$100:$E$319,"&gt;="&amp;B319,CBIC_Late_Fee_Relief_Windows_1!$F$100:$F$319,"&lt;="&amp;C319,CBIC_Late_Fee_Relief_Windows_1!$G$100:$G$319,"&gt;="&amp;C319,CBIC_Late_Fee_Relief_Windows_1!$H$100:$H$319,D319)</f>
        <v>#NAME?</v>
      </c>
      <c r="H319" t="e">
        <f t="shared" ca="1" si="4"/>
        <v>#NAME?</v>
      </c>
      <c r="I319" t="e">
        <f ca="1">INDEX(CBIC_Late_Fee_Relief_Windows_1!$B$100:$B$319,MATCH(G319,CBIC_Late_Fee_Relief_Windows_1!$I$100:$I$319,0))</f>
        <v>#NAME?</v>
      </c>
    </row>
    <row r="320" spans="1:9" x14ac:dyDescent="0.55000000000000004">
      <c r="A320" t="str">
        <f>TEST_DATA!A320</f>
        <v>27AAAAA0320Z5</v>
      </c>
      <c r="B320" t="str">
        <f>TEST_DATA!B320</f>
        <v>Jun-2019</v>
      </c>
      <c r="C320">
        <f>TEST_DATA!C320</f>
        <v>44582</v>
      </c>
      <c r="D320" t="str">
        <f>TEST_DATA!D320</f>
        <v>NIL</v>
      </c>
      <c r="E320">
        <f>TEST_DATA!E320</f>
        <v>1052</v>
      </c>
      <c r="F320">
        <f>MIN(E320*32000,10000)</f>
        <v>10000</v>
      </c>
      <c r="G320" t="e">
        <f ca="1">_xludf.MINIFS(CBIC_Late_Fee_Relief_Windows_1!$I$100:$I$320,CBIC_Late_Fee_Relief_Windows_1!$D$100:$D$320,"&lt;="&amp;B320,CBIC_Late_Fee_Relief_Windows_1!$E$100:$E$320,"&gt;="&amp;B320,CBIC_Late_Fee_Relief_Windows_1!$F$100:$F$320,"&lt;="&amp;C320,CBIC_Late_Fee_Relief_Windows_1!$G$100:$G$320,"&gt;="&amp;C320,CBIC_Late_Fee_Relief_Windows_1!$H$100:$H$320,D320)</f>
        <v>#NAME?</v>
      </c>
      <c r="H320" t="e">
        <f t="shared" ca="1" si="4"/>
        <v>#NAME?</v>
      </c>
      <c r="I320" t="e">
        <f ca="1">INDEX(CBIC_Late_Fee_Relief_Windows_1!$B$100:$B$320,MATCH(G320,CBIC_Late_Fee_Relief_Windows_1!$I$100:$I$320,0))</f>
        <v>#NAME?</v>
      </c>
    </row>
    <row r="321" spans="1:9" x14ac:dyDescent="0.55000000000000004">
      <c r="A321" t="str">
        <f>TEST_DATA!A321</f>
        <v>27AAAAA0321Z5</v>
      </c>
      <c r="B321" t="str">
        <f>TEST_DATA!B321</f>
        <v>Dec-2022</v>
      </c>
      <c r="C321">
        <f>TEST_DATA!C321</f>
        <v>45439</v>
      </c>
      <c r="D321" t="str">
        <f>TEST_DATA!D321</f>
        <v>NON-NIL</v>
      </c>
      <c r="E321">
        <f>TEST_DATA!E321</f>
        <v>1387</v>
      </c>
      <c r="F321">
        <f>MIN(E321*32100,10000)</f>
        <v>10000</v>
      </c>
      <c r="G321" t="e">
        <f ca="1">_xludf.MINIFS(CBIC_Late_Fee_Relief_Windows_1!$I$100:$I$321,CBIC_Late_Fee_Relief_Windows_1!$D$100:$D$321,"&lt;="&amp;B321,CBIC_Late_Fee_Relief_Windows_1!$E$100:$E$321,"&gt;="&amp;B321,CBIC_Late_Fee_Relief_Windows_1!$F$100:$F$321,"&lt;="&amp;C321,CBIC_Late_Fee_Relief_Windows_1!$G$100:$G$321,"&gt;="&amp;C321,CBIC_Late_Fee_Relief_Windows_1!$H$100:$H$321,D321)</f>
        <v>#NAME?</v>
      </c>
      <c r="H321" t="e">
        <f t="shared" ca="1" si="4"/>
        <v>#NAME?</v>
      </c>
      <c r="I321" t="e">
        <f ca="1">INDEX(CBIC_Late_Fee_Relief_Windows_1!$B$100:$B$321,MATCH(G321,CBIC_Late_Fee_Relief_Windows_1!$I$100:$I$321,0))</f>
        <v>#NAME?</v>
      </c>
    </row>
    <row r="322" spans="1:9" x14ac:dyDescent="0.55000000000000004">
      <c r="A322" t="str">
        <f>TEST_DATA!A322</f>
        <v>27AAAAA0322Z5</v>
      </c>
      <c r="B322" t="str">
        <f>TEST_DATA!B322</f>
        <v>Apr-2021</v>
      </c>
      <c r="C322">
        <f>TEST_DATA!C322</f>
        <v>43937</v>
      </c>
      <c r="D322" t="str">
        <f>TEST_DATA!D322</f>
        <v>NON-NIL</v>
      </c>
      <c r="E322">
        <f>TEST_DATA!E322</f>
        <v>308</v>
      </c>
      <c r="F322">
        <f>MIN(E322*32200,10000)</f>
        <v>10000</v>
      </c>
      <c r="G322" t="e">
        <f ca="1">_xludf.MINIFS(CBIC_Late_Fee_Relief_Windows_1!$I$100:$I$322,CBIC_Late_Fee_Relief_Windows_1!$D$100:$D$322,"&lt;="&amp;B322,CBIC_Late_Fee_Relief_Windows_1!$E$100:$E$322,"&gt;="&amp;B322,CBIC_Late_Fee_Relief_Windows_1!$F$100:$F$322,"&lt;="&amp;C322,CBIC_Late_Fee_Relief_Windows_1!$G$100:$G$322,"&gt;="&amp;C322,CBIC_Late_Fee_Relief_Windows_1!$H$100:$H$322,D322)</f>
        <v>#NAME?</v>
      </c>
      <c r="H322" t="e">
        <f t="shared" ref="H322:H385" ca="1" si="5">MIN(F322,G322)</f>
        <v>#NAME?</v>
      </c>
      <c r="I322" t="e">
        <f ca="1">INDEX(CBIC_Late_Fee_Relief_Windows_1!$B$100:$B$322,MATCH(G322,CBIC_Late_Fee_Relief_Windows_1!$I$100:$I$322,0))</f>
        <v>#NAME?</v>
      </c>
    </row>
    <row r="323" spans="1:9" x14ac:dyDescent="0.55000000000000004">
      <c r="A323" t="str">
        <f>TEST_DATA!A323</f>
        <v>27AAAAA0323Z5</v>
      </c>
      <c r="B323" t="str">
        <f>TEST_DATA!B323</f>
        <v>Nov-2017</v>
      </c>
      <c r="C323">
        <f>TEST_DATA!C323</f>
        <v>44461</v>
      </c>
      <c r="D323" t="str">
        <f>TEST_DATA!D323</f>
        <v>NIL</v>
      </c>
      <c r="E323">
        <f>TEST_DATA!E323</f>
        <v>2770</v>
      </c>
      <c r="F323">
        <f>MIN(E323*32300,10000)</f>
        <v>10000</v>
      </c>
      <c r="G323" t="e">
        <f ca="1">_xludf.MINIFS(CBIC_Late_Fee_Relief_Windows_1!$I$100:$I$323,CBIC_Late_Fee_Relief_Windows_1!$D$100:$D$323,"&lt;="&amp;B323,CBIC_Late_Fee_Relief_Windows_1!$E$100:$E$323,"&gt;="&amp;B323,CBIC_Late_Fee_Relief_Windows_1!$F$100:$F$323,"&lt;="&amp;C323,CBIC_Late_Fee_Relief_Windows_1!$G$100:$G$323,"&gt;="&amp;C323,CBIC_Late_Fee_Relief_Windows_1!$H$100:$H$323,D323)</f>
        <v>#NAME?</v>
      </c>
      <c r="H323" t="e">
        <f t="shared" ca="1" si="5"/>
        <v>#NAME?</v>
      </c>
      <c r="I323" t="e">
        <f ca="1">INDEX(CBIC_Late_Fee_Relief_Windows_1!$B$100:$B$323,MATCH(G323,CBIC_Late_Fee_Relief_Windows_1!$I$100:$I$323,0))</f>
        <v>#NAME?</v>
      </c>
    </row>
    <row r="324" spans="1:9" x14ac:dyDescent="0.55000000000000004">
      <c r="A324" t="str">
        <f>TEST_DATA!A324</f>
        <v>27AAAAA0324Z5</v>
      </c>
      <c r="B324" t="str">
        <f>TEST_DATA!B324</f>
        <v>Jan-2021</v>
      </c>
      <c r="C324">
        <f>TEST_DATA!C324</f>
        <v>45093</v>
      </c>
      <c r="D324" t="str">
        <f>TEST_DATA!D324</f>
        <v>NON-NIL</v>
      </c>
      <c r="E324">
        <f>TEST_DATA!E324</f>
        <v>369</v>
      </c>
      <c r="F324">
        <f>MIN(E324*32400,10000)</f>
        <v>10000</v>
      </c>
      <c r="G324" t="e">
        <f ca="1">_xludf.MINIFS(CBIC_Late_Fee_Relief_Windows_1!$I$100:$I$324,CBIC_Late_Fee_Relief_Windows_1!$D$100:$D$324,"&lt;="&amp;B324,CBIC_Late_Fee_Relief_Windows_1!$E$100:$E$324,"&gt;="&amp;B324,CBIC_Late_Fee_Relief_Windows_1!$F$100:$F$324,"&lt;="&amp;C324,CBIC_Late_Fee_Relief_Windows_1!$G$100:$G$324,"&gt;="&amp;C324,CBIC_Late_Fee_Relief_Windows_1!$H$100:$H$324,D324)</f>
        <v>#NAME?</v>
      </c>
      <c r="H324" t="e">
        <f t="shared" ca="1" si="5"/>
        <v>#NAME?</v>
      </c>
      <c r="I324" t="e">
        <f ca="1">INDEX(CBIC_Late_Fee_Relief_Windows_1!$B$100:$B$324,MATCH(G324,CBIC_Late_Fee_Relief_Windows_1!$I$100:$I$324,0))</f>
        <v>#NAME?</v>
      </c>
    </row>
    <row r="325" spans="1:9" x14ac:dyDescent="0.55000000000000004">
      <c r="A325" t="str">
        <f>TEST_DATA!A325</f>
        <v>27AAAAA0325Z5</v>
      </c>
      <c r="B325" t="str">
        <f>TEST_DATA!B325</f>
        <v>Apr-2021</v>
      </c>
      <c r="C325">
        <f>TEST_DATA!C325</f>
        <v>45082</v>
      </c>
      <c r="D325" t="str">
        <f>TEST_DATA!D325</f>
        <v>NIL</v>
      </c>
      <c r="E325">
        <f>TEST_DATA!E325</f>
        <v>1083</v>
      </c>
      <c r="F325">
        <f>MIN(E325*32500,10000)</f>
        <v>10000</v>
      </c>
      <c r="G325" t="e">
        <f ca="1">_xludf.MINIFS(CBIC_Late_Fee_Relief_Windows_1!$I$100:$I$325,CBIC_Late_Fee_Relief_Windows_1!$D$100:$D$325,"&lt;="&amp;B325,CBIC_Late_Fee_Relief_Windows_1!$E$100:$E$325,"&gt;="&amp;B325,CBIC_Late_Fee_Relief_Windows_1!$F$100:$F$325,"&lt;="&amp;C325,CBIC_Late_Fee_Relief_Windows_1!$G$100:$G$325,"&gt;="&amp;C325,CBIC_Late_Fee_Relief_Windows_1!$H$100:$H$325,D325)</f>
        <v>#NAME?</v>
      </c>
      <c r="H325" t="e">
        <f t="shared" ca="1" si="5"/>
        <v>#NAME?</v>
      </c>
      <c r="I325" t="e">
        <f ca="1">INDEX(CBIC_Late_Fee_Relief_Windows_1!$B$100:$B$325,MATCH(G325,CBIC_Late_Fee_Relief_Windows_1!$I$100:$I$325,0))</f>
        <v>#NAME?</v>
      </c>
    </row>
    <row r="326" spans="1:9" x14ac:dyDescent="0.55000000000000004">
      <c r="A326" t="str">
        <f>TEST_DATA!A326</f>
        <v>27AAAAA0326Z5</v>
      </c>
      <c r="B326" t="str">
        <f>TEST_DATA!B326</f>
        <v>Dec-2019</v>
      </c>
      <c r="C326">
        <f>TEST_DATA!C326</f>
        <v>43972</v>
      </c>
      <c r="D326" t="str">
        <f>TEST_DATA!D326</f>
        <v>NON-NIL</v>
      </c>
      <c r="E326">
        <f>TEST_DATA!E326</f>
        <v>1509</v>
      </c>
      <c r="F326">
        <f>MIN(E326*32600,10000)</f>
        <v>10000</v>
      </c>
      <c r="G326" t="e">
        <f ca="1">_xludf.MINIFS(CBIC_Late_Fee_Relief_Windows_1!$I$100:$I$326,CBIC_Late_Fee_Relief_Windows_1!$D$100:$D$326,"&lt;="&amp;B326,CBIC_Late_Fee_Relief_Windows_1!$E$100:$E$326,"&gt;="&amp;B326,CBIC_Late_Fee_Relief_Windows_1!$F$100:$F$326,"&lt;="&amp;C326,CBIC_Late_Fee_Relief_Windows_1!$G$100:$G$326,"&gt;="&amp;C326,CBIC_Late_Fee_Relief_Windows_1!$H$100:$H$326,D326)</f>
        <v>#NAME?</v>
      </c>
      <c r="H326" t="e">
        <f t="shared" ca="1" si="5"/>
        <v>#NAME?</v>
      </c>
      <c r="I326" t="e">
        <f ca="1">INDEX(CBIC_Late_Fee_Relief_Windows_1!$B$100:$B$326,MATCH(G326,CBIC_Late_Fee_Relief_Windows_1!$I$100:$I$326,0))</f>
        <v>#NAME?</v>
      </c>
    </row>
    <row r="327" spans="1:9" x14ac:dyDescent="0.55000000000000004">
      <c r="A327" t="str">
        <f>TEST_DATA!A327</f>
        <v>27AAAAA0327Z5</v>
      </c>
      <c r="B327" t="str">
        <f>TEST_DATA!B327</f>
        <v>Jun-2020</v>
      </c>
      <c r="C327">
        <f>TEST_DATA!C327</f>
        <v>44367</v>
      </c>
      <c r="D327" t="str">
        <f>TEST_DATA!D327</f>
        <v>NON-NIL</v>
      </c>
      <c r="E327">
        <f>TEST_DATA!E327</f>
        <v>2615</v>
      </c>
      <c r="F327">
        <f>MIN(E327*32700,10000)</f>
        <v>10000</v>
      </c>
      <c r="G327" t="e">
        <f ca="1">_xludf.MINIFS(CBIC_Late_Fee_Relief_Windows_1!$I$100:$I$327,CBIC_Late_Fee_Relief_Windows_1!$D$100:$D$327,"&lt;="&amp;B327,CBIC_Late_Fee_Relief_Windows_1!$E$100:$E$327,"&gt;="&amp;B327,CBIC_Late_Fee_Relief_Windows_1!$F$100:$F$327,"&lt;="&amp;C327,CBIC_Late_Fee_Relief_Windows_1!$G$100:$G$327,"&gt;="&amp;C327,CBIC_Late_Fee_Relief_Windows_1!$H$100:$H$327,D327)</f>
        <v>#NAME?</v>
      </c>
      <c r="H327" t="e">
        <f t="shared" ca="1" si="5"/>
        <v>#NAME?</v>
      </c>
      <c r="I327" t="e">
        <f ca="1">INDEX(CBIC_Late_Fee_Relief_Windows_1!$B$100:$B$327,MATCH(G327,CBIC_Late_Fee_Relief_Windows_1!$I$100:$I$327,0))</f>
        <v>#NAME?</v>
      </c>
    </row>
    <row r="328" spans="1:9" x14ac:dyDescent="0.55000000000000004">
      <c r="A328" t="str">
        <f>TEST_DATA!A328</f>
        <v>27AAAAA0328Z5</v>
      </c>
      <c r="B328" t="str">
        <f>TEST_DATA!B328</f>
        <v>Jun-2018</v>
      </c>
      <c r="C328">
        <f>TEST_DATA!C328</f>
        <v>43138</v>
      </c>
      <c r="D328" t="str">
        <f>TEST_DATA!D328</f>
        <v>NIL</v>
      </c>
      <c r="E328">
        <f>TEST_DATA!E328</f>
        <v>1931</v>
      </c>
      <c r="F328">
        <f>MIN(E328*32800,10000)</f>
        <v>10000</v>
      </c>
      <c r="G328" t="e">
        <f ca="1">_xludf.MINIFS(CBIC_Late_Fee_Relief_Windows_1!$I$100:$I$328,CBIC_Late_Fee_Relief_Windows_1!$D$100:$D$328,"&lt;="&amp;B328,CBIC_Late_Fee_Relief_Windows_1!$E$100:$E$328,"&gt;="&amp;B328,CBIC_Late_Fee_Relief_Windows_1!$F$100:$F$328,"&lt;="&amp;C328,CBIC_Late_Fee_Relief_Windows_1!$G$100:$G$328,"&gt;="&amp;C328,CBIC_Late_Fee_Relief_Windows_1!$H$100:$H$328,D328)</f>
        <v>#NAME?</v>
      </c>
      <c r="H328" t="e">
        <f t="shared" ca="1" si="5"/>
        <v>#NAME?</v>
      </c>
      <c r="I328" t="e">
        <f ca="1">INDEX(CBIC_Late_Fee_Relief_Windows_1!$B$100:$B$328,MATCH(G328,CBIC_Late_Fee_Relief_Windows_1!$I$100:$I$328,0))</f>
        <v>#NAME?</v>
      </c>
    </row>
    <row r="329" spans="1:9" x14ac:dyDescent="0.55000000000000004">
      <c r="A329" t="str">
        <f>TEST_DATA!A329</f>
        <v>27AAAAA0329Z5</v>
      </c>
      <c r="B329" t="str">
        <f>TEST_DATA!B329</f>
        <v>Jul-2017</v>
      </c>
      <c r="C329">
        <f>TEST_DATA!C329</f>
        <v>44185</v>
      </c>
      <c r="D329" t="str">
        <f>TEST_DATA!D329</f>
        <v>NON-NIL</v>
      </c>
      <c r="E329">
        <f>TEST_DATA!E329</f>
        <v>2498</v>
      </c>
      <c r="F329">
        <f>MIN(E329*32900,10000)</f>
        <v>10000</v>
      </c>
      <c r="G329" t="e">
        <f ca="1">_xludf.MINIFS(CBIC_Late_Fee_Relief_Windows_1!$I$100:$I$329,CBIC_Late_Fee_Relief_Windows_1!$D$100:$D$329,"&lt;="&amp;B329,CBIC_Late_Fee_Relief_Windows_1!$E$100:$E$329,"&gt;="&amp;B329,CBIC_Late_Fee_Relief_Windows_1!$F$100:$F$329,"&lt;="&amp;C329,CBIC_Late_Fee_Relief_Windows_1!$G$100:$G$329,"&gt;="&amp;C329,CBIC_Late_Fee_Relief_Windows_1!$H$100:$H$329,D329)</f>
        <v>#NAME?</v>
      </c>
      <c r="H329" t="e">
        <f t="shared" ca="1" si="5"/>
        <v>#NAME?</v>
      </c>
      <c r="I329" t="e">
        <f ca="1">INDEX(CBIC_Late_Fee_Relief_Windows_1!$B$100:$B$329,MATCH(G329,CBIC_Late_Fee_Relief_Windows_1!$I$100:$I$329,0))</f>
        <v>#NAME?</v>
      </c>
    </row>
    <row r="330" spans="1:9" x14ac:dyDescent="0.55000000000000004">
      <c r="A330" t="str">
        <f>TEST_DATA!A330</f>
        <v>27AAAAA0330Z5</v>
      </c>
      <c r="B330" t="str">
        <f>TEST_DATA!B330</f>
        <v>Feb-2018</v>
      </c>
      <c r="C330">
        <f>TEST_DATA!C330</f>
        <v>44243</v>
      </c>
      <c r="D330" t="str">
        <f>TEST_DATA!D330</f>
        <v>NIL</v>
      </c>
      <c r="E330">
        <f>TEST_DATA!E330</f>
        <v>2602</v>
      </c>
      <c r="F330">
        <f>MIN(E330*33000,10000)</f>
        <v>10000</v>
      </c>
      <c r="G330" t="e">
        <f ca="1">_xludf.MINIFS(CBIC_Late_Fee_Relief_Windows_1!$I$100:$I$330,CBIC_Late_Fee_Relief_Windows_1!$D$100:$D$330,"&lt;="&amp;B330,CBIC_Late_Fee_Relief_Windows_1!$E$100:$E$330,"&gt;="&amp;B330,CBIC_Late_Fee_Relief_Windows_1!$F$100:$F$330,"&lt;="&amp;C330,CBIC_Late_Fee_Relief_Windows_1!$G$100:$G$330,"&gt;="&amp;C330,CBIC_Late_Fee_Relief_Windows_1!$H$100:$H$330,D330)</f>
        <v>#NAME?</v>
      </c>
      <c r="H330" t="e">
        <f t="shared" ca="1" si="5"/>
        <v>#NAME?</v>
      </c>
      <c r="I330" t="e">
        <f ca="1">INDEX(CBIC_Late_Fee_Relief_Windows_1!$B$100:$B$330,MATCH(G330,CBIC_Late_Fee_Relief_Windows_1!$I$100:$I$330,0))</f>
        <v>#NAME?</v>
      </c>
    </row>
    <row r="331" spans="1:9" x14ac:dyDescent="0.55000000000000004">
      <c r="A331" t="str">
        <f>TEST_DATA!A331</f>
        <v>27AAAAA0331Z5</v>
      </c>
      <c r="B331" t="str">
        <f>TEST_DATA!B331</f>
        <v>Dec-2022</v>
      </c>
      <c r="C331">
        <f>TEST_DATA!C331</f>
        <v>45367</v>
      </c>
      <c r="D331" t="str">
        <f>TEST_DATA!D331</f>
        <v>NON-NIL</v>
      </c>
      <c r="E331">
        <f>TEST_DATA!E331</f>
        <v>2659</v>
      </c>
      <c r="F331">
        <f>MIN(E331*33100,10000)</f>
        <v>10000</v>
      </c>
      <c r="G331" t="e">
        <f ca="1">_xludf.MINIFS(CBIC_Late_Fee_Relief_Windows_1!$I$100:$I$331,CBIC_Late_Fee_Relief_Windows_1!$D$100:$D$331,"&lt;="&amp;B331,CBIC_Late_Fee_Relief_Windows_1!$E$100:$E$331,"&gt;="&amp;B331,CBIC_Late_Fee_Relief_Windows_1!$F$100:$F$331,"&lt;="&amp;C331,CBIC_Late_Fee_Relief_Windows_1!$G$100:$G$331,"&gt;="&amp;C331,CBIC_Late_Fee_Relief_Windows_1!$H$100:$H$331,D331)</f>
        <v>#NAME?</v>
      </c>
      <c r="H331" t="e">
        <f t="shared" ca="1" si="5"/>
        <v>#NAME?</v>
      </c>
      <c r="I331" t="e">
        <f ca="1">INDEX(CBIC_Late_Fee_Relief_Windows_1!$B$100:$B$331,MATCH(G331,CBIC_Late_Fee_Relief_Windows_1!$I$100:$I$331,0))</f>
        <v>#NAME?</v>
      </c>
    </row>
    <row r="332" spans="1:9" x14ac:dyDescent="0.55000000000000004">
      <c r="A332" t="str">
        <f>TEST_DATA!A332</f>
        <v>27AAAAA0332Z5</v>
      </c>
      <c r="B332" t="str">
        <f>TEST_DATA!B332</f>
        <v>Aug-2018</v>
      </c>
      <c r="C332">
        <f>TEST_DATA!C332</f>
        <v>43155</v>
      </c>
      <c r="D332" t="str">
        <f>TEST_DATA!D332</f>
        <v>NIL</v>
      </c>
      <c r="E332">
        <f>TEST_DATA!E332</f>
        <v>185</v>
      </c>
      <c r="F332">
        <f>MIN(E332*33200,10000)</f>
        <v>10000</v>
      </c>
      <c r="G332" t="e">
        <f ca="1">_xludf.MINIFS(CBIC_Late_Fee_Relief_Windows_1!$I$100:$I$332,CBIC_Late_Fee_Relief_Windows_1!$D$100:$D$332,"&lt;="&amp;B332,CBIC_Late_Fee_Relief_Windows_1!$E$100:$E$332,"&gt;="&amp;B332,CBIC_Late_Fee_Relief_Windows_1!$F$100:$F$332,"&lt;="&amp;C332,CBIC_Late_Fee_Relief_Windows_1!$G$100:$G$332,"&gt;="&amp;C332,CBIC_Late_Fee_Relief_Windows_1!$H$100:$H$332,D332)</f>
        <v>#NAME?</v>
      </c>
      <c r="H332" t="e">
        <f t="shared" ca="1" si="5"/>
        <v>#NAME?</v>
      </c>
      <c r="I332" t="e">
        <f ca="1">INDEX(CBIC_Late_Fee_Relief_Windows_1!$B$100:$B$332,MATCH(G332,CBIC_Late_Fee_Relief_Windows_1!$I$100:$I$332,0))</f>
        <v>#NAME?</v>
      </c>
    </row>
    <row r="333" spans="1:9" x14ac:dyDescent="0.55000000000000004">
      <c r="A333" t="str">
        <f>TEST_DATA!A333</f>
        <v>27AAAAA0333Z5</v>
      </c>
      <c r="B333" t="str">
        <f>TEST_DATA!B333</f>
        <v>Aug-2017</v>
      </c>
      <c r="C333">
        <f>TEST_DATA!C333</f>
        <v>43540</v>
      </c>
      <c r="D333" t="str">
        <f>TEST_DATA!D333</f>
        <v>NON-NIL</v>
      </c>
      <c r="E333">
        <f>TEST_DATA!E333</f>
        <v>475</v>
      </c>
      <c r="F333">
        <f>MIN(E333*33300,10000)</f>
        <v>10000</v>
      </c>
      <c r="G333" t="e">
        <f ca="1">_xludf.MINIFS(CBIC_Late_Fee_Relief_Windows_1!$I$100:$I$333,CBIC_Late_Fee_Relief_Windows_1!$D$100:$D$333,"&lt;="&amp;B333,CBIC_Late_Fee_Relief_Windows_1!$E$100:$E$333,"&gt;="&amp;B333,CBIC_Late_Fee_Relief_Windows_1!$F$100:$F$333,"&lt;="&amp;C333,CBIC_Late_Fee_Relief_Windows_1!$G$100:$G$333,"&gt;="&amp;C333,CBIC_Late_Fee_Relief_Windows_1!$H$100:$H$333,D333)</f>
        <v>#NAME?</v>
      </c>
      <c r="H333" t="e">
        <f t="shared" ca="1" si="5"/>
        <v>#NAME?</v>
      </c>
      <c r="I333" t="e">
        <f ca="1">INDEX(CBIC_Late_Fee_Relief_Windows_1!$B$100:$B$333,MATCH(G333,CBIC_Late_Fee_Relief_Windows_1!$I$100:$I$333,0))</f>
        <v>#NAME?</v>
      </c>
    </row>
    <row r="334" spans="1:9" x14ac:dyDescent="0.55000000000000004">
      <c r="A334" t="str">
        <f>TEST_DATA!A334</f>
        <v>27AAAAA0334Z5</v>
      </c>
      <c r="B334" t="str">
        <f>TEST_DATA!B334</f>
        <v>Oct-2017</v>
      </c>
      <c r="C334">
        <f>TEST_DATA!C334</f>
        <v>43397</v>
      </c>
      <c r="D334" t="str">
        <f>TEST_DATA!D334</f>
        <v>NIL</v>
      </c>
      <c r="E334">
        <f>TEST_DATA!E334</f>
        <v>1591</v>
      </c>
      <c r="F334">
        <f>MIN(E334*33400,10000)</f>
        <v>10000</v>
      </c>
      <c r="G334" t="e">
        <f ca="1">_xludf.MINIFS(CBIC_Late_Fee_Relief_Windows_1!$I$100:$I$334,CBIC_Late_Fee_Relief_Windows_1!$D$100:$D$334,"&lt;="&amp;B334,CBIC_Late_Fee_Relief_Windows_1!$E$100:$E$334,"&gt;="&amp;B334,CBIC_Late_Fee_Relief_Windows_1!$F$100:$F$334,"&lt;="&amp;C334,CBIC_Late_Fee_Relief_Windows_1!$G$100:$G$334,"&gt;="&amp;C334,CBIC_Late_Fee_Relief_Windows_1!$H$100:$H$334,D334)</f>
        <v>#NAME?</v>
      </c>
      <c r="H334" t="e">
        <f t="shared" ca="1" si="5"/>
        <v>#NAME?</v>
      </c>
      <c r="I334" t="e">
        <f ca="1">INDEX(CBIC_Late_Fee_Relief_Windows_1!$B$100:$B$334,MATCH(G334,CBIC_Late_Fee_Relief_Windows_1!$I$100:$I$334,0))</f>
        <v>#NAME?</v>
      </c>
    </row>
    <row r="335" spans="1:9" x14ac:dyDescent="0.55000000000000004">
      <c r="A335" t="str">
        <f>TEST_DATA!A335</f>
        <v>27AAAAA0335Z5</v>
      </c>
      <c r="B335" t="str">
        <f>TEST_DATA!B335</f>
        <v>Sep-2018</v>
      </c>
      <c r="C335">
        <f>TEST_DATA!C335</f>
        <v>43676</v>
      </c>
      <c r="D335" t="str">
        <f>TEST_DATA!D335</f>
        <v>NON-NIL</v>
      </c>
      <c r="E335">
        <f>TEST_DATA!E335</f>
        <v>2405</v>
      </c>
      <c r="F335">
        <f>MIN(E335*33500,10000)</f>
        <v>10000</v>
      </c>
      <c r="G335" t="e">
        <f ca="1">_xludf.MINIFS(CBIC_Late_Fee_Relief_Windows_1!$I$100:$I$335,CBIC_Late_Fee_Relief_Windows_1!$D$100:$D$335,"&lt;="&amp;B335,CBIC_Late_Fee_Relief_Windows_1!$E$100:$E$335,"&gt;="&amp;B335,CBIC_Late_Fee_Relief_Windows_1!$F$100:$F$335,"&lt;="&amp;C335,CBIC_Late_Fee_Relief_Windows_1!$G$100:$G$335,"&gt;="&amp;C335,CBIC_Late_Fee_Relief_Windows_1!$H$100:$H$335,D335)</f>
        <v>#NAME?</v>
      </c>
      <c r="H335" t="e">
        <f t="shared" ca="1" si="5"/>
        <v>#NAME?</v>
      </c>
      <c r="I335" t="e">
        <f ca="1">INDEX(CBIC_Late_Fee_Relief_Windows_1!$B$100:$B$335,MATCH(G335,CBIC_Late_Fee_Relief_Windows_1!$I$100:$I$335,0))</f>
        <v>#NAME?</v>
      </c>
    </row>
    <row r="336" spans="1:9" x14ac:dyDescent="0.55000000000000004">
      <c r="A336" t="str">
        <f>TEST_DATA!A336</f>
        <v>27AAAAA0336Z5</v>
      </c>
      <c r="B336" t="str">
        <f>TEST_DATA!B336</f>
        <v>Jan-2021</v>
      </c>
      <c r="C336">
        <f>TEST_DATA!C336</f>
        <v>44098</v>
      </c>
      <c r="D336" t="str">
        <f>TEST_DATA!D336</f>
        <v>NON-NIL</v>
      </c>
      <c r="E336">
        <f>TEST_DATA!E336</f>
        <v>2682</v>
      </c>
      <c r="F336">
        <f>MIN(E336*33600,10000)</f>
        <v>10000</v>
      </c>
      <c r="G336" t="e">
        <f ca="1">_xludf.MINIFS(CBIC_Late_Fee_Relief_Windows_1!$I$100:$I$336,CBIC_Late_Fee_Relief_Windows_1!$D$100:$D$336,"&lt;="&amp;B336,CBIC_Late_Fee_Relief_Windows_1!$E$100:$E$336,"&gt;="&amp;B336,CBIC_Late_Fee_Relief_Windows_1!$F$100:$F$336,"&lt;="&amp;C336,CBIC_Late_Fee_Relief_Windows_1!$G$100:$G$336,"&gt;="&amp;C336,CBIC_Late_Fee_Relief_Windows_1!$H$100:$H$336,D336)</f>
        <v>#NAME?</v>
      </c>
      <c r="H336" t="e">
        <f t="shared" ca="1" si="5"/>
        <v>#NAME?</v>
      </c>
      <c r="I336" t="e">
        <f ca="1">INDEX(CBIC_Late_Fee_Relief_Windows_1!$B$100:$B$336,MATCH(G336,CBIC_Late_Fee_Relief_Windows_1!$I$100:$I$336,0))</f>
        <v>#NAME?</v>
      </c>
    </row>
    <row r="337" spans="1:9" x14ac:dyDescent="0.55000000000000004">
      <c r="A337" t="str">
        <f>TEST_DATA!A337</f>
        <v>27AAAAA0337Z5</v>
      </c>
      <c r="B337" t="str">
        <f>TEST_DATA!B337</f>
        <v>Oct-2017</v>
      </c>
      <c r="C337">
        <f>TEST_DATA!C337</f>
        <v>43919</v>
      </c>
      <c r="D337" t="str">
        <f>TEST_DATA!D337</f>
        <v>NON-NIL</v>
      </c>
      <c r="E337">
        <f>TEST_DATA!E337</f>
        <v>1145</v>
      </c>
      <c r="F337">
        <f>MIN(E337*33700,10000)</f>
        <v>10000</v>
      </c>
      <c r="G337" t="e">
        <f ca="1">_xludf.MINIFS(CBIC_Late_Fee_Relief_Windows_1!$I$100:$I$337,CBIC_Late_Fee_Relief_Windows_1!$D$100:$D$337,"&lt;="&amp;B337,CBIC_Late_Fee_Relief_Windows_1!$E$100:$E$337,"&gt;="&amp;B337,CBIC_Late_Fee_Relief_Windows_1!$F$100:$F$337,"&lt;="&amp;C337,CBIC_Late_Fee_Relief_Windows_1!$G$100:$G$337,"&gt;="&amp;C337,CBIC_Late_Fee_Relief_Windows_1!$H$100:$H$337,D337)</f>
        <v>#NAME?</v>
      </c>
      <c r="H337" t="e">
        <f t="shared" ca="1" si="5"/>
        <v>#NAME?</v>
      </c>
      <c r="I337" t="e">
        <f ca="1">INDEX(CBIC_Late_Fee_Relief_Windows_1!$B$100:$B$337,MATCH(G337,CBIC_Late_Fee_Relief_Windows_1!$I$100:$I$337,0))</f>
        <v>#NAME?</v>
      </c>
    </row>
    <row r="338" spans="1:9" x14ac:dyDescent="0.55000000000000004">
      <c r="A338" t="str">
        <f>TEST_DATA!A338</f>
        <v>27AAAAA0338Z5</v>
      </c>
      <c r="B338" t="str">
        <f>TEST_DATA!B338</f>
        <v>Aug-2017</v>
      </c>
      <c r="C338">
        <f>TEST_DATA!C338</f>
        <v>44330</v>
      </c>
      <c r="D338" t="str">
        <f>TEST_DATA!D338</f>
        <v>NON-NIL</v>
      </c>
      <c r="E338">
        <f>TEST_DATA!E338</f>
        <v>889</v>
      </c>
      <c r="F338">
        <f>MIN(E338*33800,10000)</f>
        <v>10000</v>
      </c>
      <c r="G338" t="e">
        <f ca="1">_xludf.MINIFS(CBIC_Late_Fee_Relief_Windows_1!$I$100:$I$338,CBIC_Late_Fee_Relief_Windows_1!$D$100:$D$338,"&lt;="&amp;B338,CBIC_Late_Fee_Relief_Windows_1!$E$100:$E$338,"&gt;="&amp;B338,CBIC_Late_Fee_Relief_Windows_1!$F$100:$F$338,"&lt;="&amp;C338,CBIC_Late_Fee_Relief_Windows_1!$G$100:$G$338,"&gt;="&amp;C338,CBIC_Late_Fee_Relief_Windows_1!$H$100:$H$338,D338)</f>
        <v>#NAME?</v>
      </c>
      <c r="H338" t="e">
        <f t="shared" ca="1" si="5"/>
        <v>#NAME?</v>
      </c>
      <c r="I338" t="e">
        <f ca="1">INDEX(CBIC_Late_Fee_Relief_Windows_1!$B$100:$B$338,MATCH(G338,CBIC_Late_Fee_Relief_Windows_1!$I$100:$I$338,0))</f>
        <v>#NAME?</v>
      </c>
    </row>
    <row r="339" spans="1:9" x14ac:dyDescent="0.55000000000000004">
      <c r="A339" t="str">
        <f>TEST_DATA!A339</f>
        <v>27AAAAA0339Z5</v>
      </c>
      <c r="B339" t="str">
        <f>TEST_DATA!B339</f>
        <v>Sep-2018</v>
      </c>
      <c r="C339">
        <f>TEST_DATA!C339</f>
        <v>43827</v>
      </c>
      <c r="D339" t="str">
        <f>TEST_DATA!D339</f>
        <v>NIL</v>
      </c>
      <c r="E339">
        <f>TEST_DATA!E339</f>
        <v>1485</v>
      </c>
      <c r="F339">
        <f>MIN(E339*33900,10000)</f>
        <v>10000</v>
      </c>
      <c r="G339" t="e">
        <f ca="1">_xludf.MINIFS(CBIC_Late_Fee_Relief_Windows_1!$I$100:$I$339,CBIC_Late_Fee_Relief_Windows_1!$D$100:$D$339,"&lt;="&amp;B339,CBIC_Late_Fee_Relief_Windows_1!$E$100:$E$339,"&gt;="&amp;B339,CBIC_Late_Fee_Relief_Windows_1!$F$100:$F$339,"&lt;="&amp;C339,CBIC_Late_Fee_Relief_Windows_1!$G$100:$G$339,"&gt;="&amp;C339,CBIC_Late_Fee_Relief_Windows_1!$H$100:$H$339,D339)</f>
        <v>#NAME?</v>
      </c>
      <c r="H339" t="e">
        <f t="shared" ca="1" si="5"/>
        <v>#NAME?</v>
      </c>
      <c r="I339" t="e">
        <f ca="1">INDEX(CBIC_Late_Fee_Relief_Windows_1!$B$100:$B$339,MATCH(G339,CBIC_Late_Fee_Relief_Windows_1!$I$100:$I$339,0))</f>
        <v>#NAME?</v>
      </c>
    </row>
    <row r="340" spans="1:9" x14ac:dyDescent="0.55000000000000004">
      <c r="A340" t="str">
        <f>TEST_DATA!A340</f>
        <v>27AAAAA0340Z5</v>
      </c>
      <c r="B340" t="str">
        <f>TEST_DATA!B340</f>
        <v>Oct-2017</v>
      </c>
      <c r="C340">
        <f>TEST_DATA!C340</f>
        <v>44321</v>
      </c>
      <c r="D340" t="str">
        <f>TEST_DATA!D340</f>
        <v>NON-NIL</v>
      </c>
      <c r="E340">
        <f>TEST_DATA!E340</f>
        <v>2230</v>
      </c>
      <c r="F340">
        <f>MIN(E340*34000,10000)</f>
        <v>10000</v>
      </c>
      <c r="G340" t="e">
        <f ca="1">_xludf.MINIFS(CBIC_Late_Fee_Relief_Windows_1!$I$100:$I$340,CBIC_Late_Fee_Relief_Windows_1!$D$100:$D$340,"&lt;="&amp;B340,CBIC_Late_Fee_Relief_Windows_1!$E$100:$E$340,"&gt;="&amp;B340,CBIC_Late_Fee_Relief_Windows_1!$F$100:$F$340,"&lt;="&amp;C340,CBIC_Late_Fee_Relief_Windows_1!$G$100:$G$340,"&gt;="&amp;C340,CBIC_Late_Fee_Relief_Windows_1!$H$100:$H$340,D340)</f>
        <v>#NAME?</v>
      </c>
      <c r="H340" t="e">
        <f t="shared" ca="1" si="5"/>
        <v>#NAME?</v>
      </c>
      <c r="I340" t="e">
        <f ca="1">INDEX(CBIC_Late_Fee_Relief_Windows_1!$B$100:$B$340,MATCH(G340,CBIC_Late_Fee_Relief_Windows_1!$I$100:$I$340,0))</f>
        <v>#NAME?</v>
      </c>
    </row>
    <row r="341" spans="1:9" x14ac:dyDescent="0.55000000000000004">
      <c r="A341" t="str">
        <f>TEST_DATA!A341</f>
        <v>27AAAAA0341Z5</v>
      </c>
      <c r="B341" t="str">
        <f>TEST_DATA!B341</f>
        <v>Dec-2024</v>
      </c>
      <c r="C341">
        <f>TEST_DATA!C341</f>
        <v>44935</v>
      </c>
      <c r="D341" t="str">
        <f>TEST_DATA!D341</f>
        <v>NIL</v>
      </c>
      <c r="E341">
        <f>TEST_DATA!E341</f>
        <v>1630</v>
      </c>
      <c r="F341">
        <f>MIN(E341*34100,10000)</f>
        <v>10000</v>
      </c>
      <c r="G341" t="e">
        <f ca="1">_xludf.MINIFS(CBIC_Late_Fee_Relief_Windows_1!$I$100:$I$341,CBIC_Late_Fee_Relief_Windows_1!$D$100:$D$341,"&lt;="&amp;B341,CBIC_Late_Fee_Relief_Windows_1!$E$100:$E$341,"&gt;="&amp;B341,CBIC_Late_Fee_Relief_Windows_1!$F$100:$F$341,"&lt;="&amp;C341,CBIC_Late_Fee_Relief_Windows_1!$G$100:$G$341,"&gt;="&amp;C341,CBIC_Late_Fee_Relief_Windows_1!$H$100:$H$341,D341)</f>
        <v>#NAME?</v>
      </c>
      <c r="H341" t="e">
        <f t="shared" ca="1" si="5"/>
        <v>#NAME?</v>
      </c>
      <c r="I341" t="e">
        <f ca="1">INDEX(CBIC_Late_Fee_Relief_Windows_1!$B$100:$B$341,MATCH(G341,CBIC_Late_Fee_Relief_Windows_1!$I$100:$I$341,0))</f>
        <v>#NAME?</v>
      </c>
    </row>
    <row r="342" spans="1:9" x14ac:dyDescent="0.55000000000000004">
      <c r="A342" t="str">
        <f>TEST_DATA!A342</f>
        <v>27AAAAA0342Z5</v>
      </c>
      <c r="B342" t="str">
        <f>TEST_DATA!B342</f>
        <v>Mar-2018</v>
      </c>
      <c r="C342">
        <f>TEST_DATA!C342</f>
        <v>43305</v>
      </c>
      <c r="D342" t="str">
        <f>TEST_DATA!D342</f>
        <v>NIL</v>
      </c>
      <c r="E342">
        <f>TEST_DATA!E342</f>
        <v>1862</v>
      </c>
      <c r="F342">
        <f>MIN(E342*34200,10000)</f>
        <v>10000</v>
      </c>
      <c r="G342" t="e">
        <f ca="1">_xludf.MINIFS(CBIC_Late_Fee_Relief_Windows_1!$I$100:$I$342,CBIC_Late_Fee_Relief_Windows_1!$D$100:$D$342,"&lt;="&amp;B342,CBIC_Late_Fee_Relief_Windows_1!$E$100:$E$342,"&gt;="&amp;B342,CBIC_Late_Fee_Relief_Windows_1!$F$100:$F$342,"&lt;="&amp;C342,CBIC_Late_Fee_Relief_Windows_1!$G$100:$G$342,"&gt;="&amp;C342,CBIC_Late_Fee_Relief_Windows_1!$H$100:$H$342,D342)</f>
        <v>#NAME?</v>
      </c>
      <c r="H342" t="e">
        <f t="shared" ca="1" si="5"/>
        <v>#NAME?</v>
      </c>
      <c r="I342" t="e">
        <f ca="1">INDEX(CBIC_Late_Fee_Relief_Windows_1!$B$100:$B$342,MATCH(G342,CBIC_Late_Fee_Relief_Windows_1!$I$100:$I$342,0))</f>
        <v>#NAME?</v>
      </c>
    </row>
    <row r="343" spans="1:9" x14ac:dyDescent="0.55000000000000004">
      <c r="A343" t="str">
        <f>TEST_DATA!A343</f>
        <v>27AAAAA0343Z5</v>
      </c>
      <c r="B343" t="str">
        <f>TEST_DATA!B343</f>
        <v>Sep-2017</v>
      </c>
      <c r="C343">
        <f>TEST_DATA!C343</f>
        <v>44274</v>
      </c>
      <c r="D343" t="str">
        <f>TEST_DATA!D343</f>
        <v>NIL</v>
      </c>
      <c r="E343">
        <f>TEST_DATA!E343</f>
        <v>2628</v>
      </c>
      <c r="F343">
        <f>MIN(E343*34300,10000)</f>
        <v>10000</v>
      </c>
      <c r="G343" t="e">
        <f ca="1">_xludf.MINIFS(CBIC_Late_Fee_Relief_Windows_1!$I$100:$I$343,CBIC_Late_Fee_Relief_Windows_1!$D$100:$D$343,"&lt;="&amp;B343,CBIC_Late_Fee_Relief_Windows_1!$E$100:$E$343,"&gt;="&amp;B343,CBIC_Late_Fee_Relief_Windows_1!$F$100:$F$343,"&lt;="&amp;C343,CBIC_Late_Fee_Relief_Windows_1!$G$100:$G$343,"&gt;="&amp;C343,CBIC_Late_Fee_Relief_Windows_1!$H$100:$H$343,D343)</f>
        <v>#NAME?</v>
      </c>
      <c r="H343" t="e">
        <f t="shared" ca="1" si="5"/>
        <v>#NAME?</v>
      </c>
      <c r="I343" t="e">
        <f ca="1">INDEX(CBIC_Late_Fee_Relief_Windows_1!$B$100:$B$343,MATCH(G343,CBIC_Late_Fee_Relief_Windows_1!$I$100:$I$343,0))</f>
        <v>#NAME?</v>
      </c>
    </row>
    <row r="344" spans="1:9" x14ac:dyDescent="0.55000000000000004">
      <c r="A344" t="str">
        <f>TEST_DATA!A344</f>
        <v>27AAAAA0344Z5</v>
      </c>
      <c r="B344" t="str">
        <f>TEST_DATA!B344</f>
        <v>May-2020</v>
      </c>
      <c r="C344">
        <f>TEST_DATA!C344</f>
        <v>43874</v>
      </c>
      <c r="D344" t="str">
        <f>TEST_DATA!D344</f>
        <v>NIL</v>
      </c>
      <c r="E344">
        <f>TEST_DATA!E344</f>
        <v>1366</v>
      </c>
      <c r="F344">
        <f>MIN(E344*34400,10000)</f>
        <v>10000</v>
      </c>
      <c r="G344" t="e">
        <f ca="1">_xludf.MINIFS(CBIC_Late_Fee_Relief_Windows_1!$I$100:$I$344,CBIC_Late_Fee_Relief_Windows_1!$D$100:$D$344,"&lt;="&amp;B344,CBIC_Late_Fee_Relief_Windows_1!$E$100:$E$344,"&gt;="&amp;B344,CBIC_Late_Fee_Relief_Windows_1!$F$100:$F$344,"&lt;="&amp;C344,CBIC_Late_Fee_Relief_Windows_1!$G$100:$G$344,"&gt;="&amp;C344,CBIC_Late_Fee_Relief_Windows_1!$H$100:$H$344,D344)</f>
        <v>#NAME?</v>
      </c>
      <c r="H344" t="e">
        <f t="shared" ca="1" si="5"/>
        <v>#NAME?</v>
      </c>
      <c r="I344" t="e">
        <f ca="1">INDEX(CBIC_Late_Fee_Relief_Windows_1!$B$100:$B$344,MATCH(G344,CBIC_Late_Fee_Relief_Windows_1!$I$100:$I$344,0))</f>
        <v>#NAME?</v>
      </c>
    </row>
    <row r="345" spans="1:9" x14ac:dyDescent="0.55000000000000004">
      <c r="A345" t="str">
        <f>TEST_DATA!A345</f>
        <v>27AAAAA0345Z5</v>
      </c>
      <c r="B345" t="str">
        <f>TEST_DATA!B345</f>
        <v>Feb-2018</v>
      </c>
      <c r="C345">
        <f>TEST_DATA!C345</f>
        <v>43174</v>
      </c>
      <c r="D345" t="str">
        <f>TEST_DATA!D345</f>
        <v>NIL</v>
      </c>
      <c r="E345">
        <f>TEST_DATA!E345</f>
        <v>281</v>
      </c>
      <c r="F345">
        <f>MIN(E345*34500,10000)</f>
        <v>10000</v>
      </c>
      <c r="G345" t="e">
        <f ca="1">_xludf.MINIFS(CBIC_Late_Fee_Relief_Windows_1!$I$100:$I$345,CBIC_Late_Fee_Relief_Windows_1!$D$100:$D$345,"&lt;="&amp;B345,CBIC_Late_Fee_Relief_Windows_1!$E$100:$E$345,"&gt;="&amp;B345,CBIC_Late_Fee_Relief_Windows_1!$F$100:$F$345,"&lt;="&amp;C345,CBIC_Late_Fee_Relief_Windows_1!$G$100:$G$345,"&gt;="&amp;C345,CBIC_Late_Fee_Relief_Windows_1!$H$100:$H$345,D345)</f>
        <v>#NAME?</v>
      </c>
      <c r="H345" t="e">
        <f t="shared" ca="1" si="5"/>
        <v>#NAME?</v>
      </c>
      <c r="I345" t="e">
        <f ca="1">INDEX(CBIC_Late_Fee_Relief_Windows_1!$B$100:$B$345,MATCH(G345,CBIC_Late_Fee_Relief_Windows_1!$I$100:$I$345,0))</f>
        <v>#NAME?</v>
      </c>
    </row>
    <row r="346" spans="1:9" x14ac:dyDescent="0.55000000000000004">
      <c r="A346" t="str">
        <f>TEST_DATA!A346</f>
        <v>27AAAAA0346Z5</v>
      </c>
      <c r="B346" t="str">
        <f>TEST_DATA!B346</f>
        <v>Dec-2022</v>
      </c>
      <c r="C346">
        <f>TEST_DATA!C346</f>
        <v>45736</v>
      </c>
      <c r="D346" t="str">
        <f>TEST_DATA!D346</f>
        <v>NIL</v>
      </c>
      <c r="E346">
        <f>TEST_DATA!E346</f>
        <v>2401</v>
      </c>
      <c r="F346">
        <f>MIN(E346*34600,10000)</f>
        <v>10000</v>
      </c>
      <c r="G346" t="e">
        <f ca="1">_xludf.MINIFS(CBIC_Late_Fee_Relief_Windows_1!$I$100:$I$346,CBIC_Late_Fee_Relief_Windows_1!$D$100:$D$346,"&lt;="&amp;B346,CBIC_Late_Fee_Relief_Windows_1!$E$100:$E$346,"&gt;="&amp;B346,CBIC_Late_Fee_Relief_Windows_1!$F$100:$F$346,"&lt;="&amp;C346,CBIC_Late_Fee_Relief_Windows_1!$G$100:$G$346,"&gt;="&amp;C346,CBIC_Late_Fee_Relief_Windows_1!$H$100:$H$346,D346)</f>
        <v>#NAME?</v>
      </c>
      <c r="H346" t="e">
        <f t="shared" ca="1" si="5"/>
        <v>#NAME?</v>
      </c>
      <c r="I346" t="e">
        <f ca="1">INDEX(CBIC_Late_Fee_Relief_Windows_1!$B$100:$B$346,MATCH(G346,CBIC_Late_Fee_Relief_Windows_1!$I$100:$I$346,0))</f>
        <v>#NAME?</v>
      </c>
    </row>
    <row r="347" spans="1:9" x14ac:dyDescent="0.55000000000000004">
      <c r="A347" t="str">
        <f>TEST_DATA!A347</f>
        <v>27AAAAA0347Z5</v>
      </c>
      <c r="B347" t="str">
        <f>TEST_DATA!B347</f>
        <v>Jan-2018</v>
      </c>
      <c r="C347">
        <f>TEST_DATA!C347</f>
        <v>43394</v>
      </c>
      <c r="D347" t="str">
        <f>TEST_DATA!D347</f>
        <v>NON-NIL</v>
      </c>
      <c r="E347">
        <f>TEST_DATA!E347</f>
        <v>604</v>
      </c>
      <c r="F347">
        <f>MIN(E347*34700,10000)</f>
        <v>10000</v>
      </c>
      <c r="G347" t="e">
        <f ca="1">_xludf.MINIFS(CBIC_Late_Fee_Relief_Windows_1!$I$100:$I$347,CBIC_Late_Fee_Relief_Windows_1!$D$100:$D$347,"&lt;="&amp;B347,CBIC_Late_Fee_Relief_Windows_1!$E$100:$E$347,"&gt;="&amp;B347,CBIC_Late_Fee_Relief_Windows_1!$F$100:$F$347,"&lt;="&amp;C347,CBIC_Late_Fee_Relief_Windows_1!$G$100:$G$347,"&gt;="&amp;C347,CBIC_Late_Fee_Relief_Windows_1!$H$100:$H$347,D347)</f>
        <v>#NAME?</v>
      </c>
      <c r="H347" t="e">
        <f t="shared" ca="1" si="5"/>
        <v>#NAME?</v>
      </c>
      <c r="I347" t="e">
        <f ca="1">INDEX(CBIC_Late_Fee_Relief_Windows_1!$B$100:$B$347,MATCH(G347,CBIC_Late_Fee_Relief_Windows_1!$I$100:$I$347,0))</f>
        <v>#NAME?</v>
      </c>
    </row>
    <row r="348" spans="1:9" x14ac:dyDescent="0.55000000000000004">
      <c r="A348" t="str">
        <f>TEST_DATA!A348</f>
        <v>27AAAAA0348Z5</v>
      </c>
      <c r="B348" t="str">
        <f>TEST_DATA!B348</f>
        <v>Apr-2021</v>
      </c>
      <c r="C348">
        <f>TEST_DATA!C348</f>
        <v>43477</v>
      </c>
      <c r="D348" t="str">
        <f>TEST_DATA!D348</f>
        <v>NON-NIL</v>
      </c>
      <c r="E348">
        <f>TEST_DATA!E348</f>
        <v>592</v>
      </c>
      <c r="F348">
        <f>MIN(E348*34800,10000)</f>
        <v>10000</v>
      </c>
      <c r="G348" t="e">
        <f ca="1">_xludf.MINIFS(CBIC_Late_Fee_Relief_Windows_1!$I$100:$I$348,CBIC_Late_Fee_Relief_Windows_1!$D$100:$D$348,"&lt;="&amp;B348,CBIC_Late_Fee_Relief_Windows_1!$E$100:$E$348,"&gt;="&amp;B348,CBIC_Late_Fee_Relief_Windows_1!$F$100:$F$348,"&lt;="&amp;C348,CBIC_Late_Fee_Relief_Windows_1!$G$100:$G$348,"&gt;="&amp;C348,CBIC_Late_Fee_Relief_Windows_1!$H$100:$H$348,D348)</f>
        <v>#NAME?</v>
      </c>
      <c r="H348" t="e">
        <f t="shared" ca="1" si="5"/>
        <v>#NAME?</v>
      </c>
      <c r="I348" t="e">
        <f ca="1">INDEX(CBIC_Late_Fee_Relief_Windows_1!$B$100:$B$348,MATCH(G348,CBIC_Late_Fee_Relief_Windows_1!$I$100:$I$348,0))</f>
        <v>#NAME?</v>
      </c>
    </row>
    <row r="349" spans="1:9" x14ac:dyDescent="0.55000000000000004">
      <c r="A349" t="str">
        <f>TEST_DATA!A349</f>
        <v>27AAAAA0349Z5</v>
      </c>
      <c r="B349" t="str">
        <f>TEST_DATA!B349</f>
        <v>Nov-2017</v>
      </c>
      <c r="C349">
        <f>TEST_DATA!C349</f>
        <v>44023</v>
      </c>
      <c r="D349" t="str">
        <f>TEST_DATA!D349</f>
        <v>NON-NIL</v>
      </c>
      <c r="E349">
        <f>TEST_DATA!E349</f>
        <v>714</v>
      </c>
      <c r="F349">
        <f>MIN(E349*34900,10000)</f>
        <v>10000</v>
      </c>
      <c r="G349" t="e">
        <f ca="1">_xludf.MINIFS(CBIC_Late_Fee_Relief_Windows_1!$I$100:$I$349,CBIC_Late_Fee_Relief_Windows_1!$D$100:$D$349,"&lt;="&amp;B349,CBIC_Late_Fee_Relief_Windows_1!$E$100:$E$349,"&gt;="&amp;B349,CBIC_Late_Fee_Relief_Windows_1!$F$100:$F$349,"&lt;="&amp;C349,CBIC_Late_Fee_Relief_Windows_1!$G$100:$G$349,"&gt;="&amp;C349,CBIC_Late_Fee_Relief_Windows_1!$H$100:$H$349,D349)</f>
        <v>#NAME?</v>
      </c>
      <c r="H349" t="e">
        <f t="shared" ca="1" si="5"/>
        <v>#NAME?</v>
      </c>
      <c r="I349" t="e">
        <f ca="1">INDEX(CBIC_Late_Fee_Relief_Windows_1!$B$100:$B$349,MATCH(G349,CBIC_Late_Fee_Relief_Windows_1!$I$100:$I$349,0))</f>
        <v>#NAME?</v>
      </c>
    </row>
    <row r="350" spans="1:9" x14ac:dyDescent="0.55000000000000004">
      <c r="A350" t="str">
        <f>TEST_DATA!A350</f>
        <v>27AAAAA0350Z5</v>
      </c>
      <c r="B350" t="str">
        <f>TEST_DATA!B350</f>
        <v>Oct-2017</v>
      </c>
      <c r="C350">
        <f>TEST_DATA!C350</f>
        <v>44270</v>
      </c>
      <c r="D350" t="str">
        <f>TEST_DATA!D350</f>
        <v>NIL</v>
      </c>
      <c r="E350">
        <f>TEST_DATA!E350</f>
        <v>539</v>
      </c>
      <c r="F350">
        <f>MIN(E350*35000,10000)</f>
        <v>10000</v>
      </c>
      <c r="G350" t="e">
        <f ca="1">_xludf.MINIFS(CBIC_Late_Fee_Relief_Windows_1!$I$100:$I$350,CBIC_Late_Fee_Relief_Windows_1!$D$100:$D$350,"&lt;="&amp;B350,CBIC_Late_Fee_Relief_Windows_1!$E$100:$E$350,"&gt;="&amp;B350,CBIC_Late_Fee_Relief_Windows_1!$F$100:$F$350,"&lt;="&amp;C350,CBIC_Late_Fee_Relief_Windows_1!$G$100:$G$350,"&gt;="&amp;C350,CBIC_Late_Fee_Relief_Windows_1!$H$100:$H$350,D350)</f>
        <v>#NAME?</v>
      </c>
      <c r="H350" t="e">
        <f t="shared" ca="1" si="5"/>
        <v>#NAME?</v>
      </c>
      <c r="I350" t="e">
        <f ca="1">INDEX(CBIC_Late_Fee_Relief_Windows_1!$B$100:$B$350,MATCH(G350,CBIC_Late_Fee_Relief_Windows_1!$I$100:$I$350,0))</f>
        <v>#NAME?</v>
      </c>
    </row>
    <row r="351" spans="1:9" x14ac:dyDescent="0.55000000000000004">
      <c r="A351" t="str">
        <f>TEST_DATA!A351</f>
        <v>27AAAAA0351Z5</v>
      </c>
      <c r="B351" t="str">
        <f>TEST_DATA!B351</f>
        <v>Jul-2017</v>
      </c>
      <c r="C351">
        <f>TEST_DATA!C351</f>
        <v>43650</v>
      </c>
      <c r="D351" t="str">
        <f>TEST_DATA!D351</f>
        <v>NIL</v>
      </c>
      <c r="E351">
        <f>TEST_DATA!E351</f>
        <v>2411</v>
      </c>
      <c r="F351">
        <f>MIN(E351*35100,10000)</f>
        <v>10000</v>
      </c>
      <c r="G351" t="e">
        <f ca="1">_xludf.MINIFS(CBIC_Late_Fee_Relief_Windows_1!$I$100:$I$351,CBIC_Late_Fee_Relief_Windows_1!$D$100:$D$351,"&lt;="&amp;B351,CBIC_Late_Fee_Relief_Windows_1!$E$100:$E$351,"&gt;="&amp;B351,CBIC_Late_Fee_Relief_Windows_1!$F$100:$F$351,"&lt;="&amp;C351,CBIC_Late_Fee_Relief_Windows_1!$G$100:$G$351,"&gt;="&amp;C351,CBIC_Late_Fee_Relief_Windows_1!$H$100:$H$351,D351)</f>
        <v>#NAME?</v>
      </c>
      <c r="H351" t="e">
        <f t="shared" ca="1" si="5"/>
        <v>#NAME?</v>
      </c>
      <c r="I351" t="e">
        <f ca="1">INDEX(CBIC_Late_Fee_Relief_Windows_1!$B$100:$B$351,MATCH(G351,CBIC_Late_Fee_Relief_Windows_1!$I$100:$I$351,0))</f>
        <v>#NAME?</v>
      </c>
    </row>
    <row r="352" spans="1:9" x14ac:dyDescent="0.55000000000000004">
      <c r="A352" t="str">
        <f>TEST_DATA!A352</f>
        <v>27AAAAA0352Z5</v>
      </c>
      <c r="B352" t="str">
        <f>TEST_DATA!B352</f>
        <v>May-2018</v>
      </c>
      <c r="C352">
        <f>TEST_DATA!C352</f>
        <v>42949</v>
      </c>
      <c r="D352" t="str">
        <f>TEST_DATA!D352</f>
        <v>NIL</v>
      </c>
      <c r="E352">
        <f>TEST_DATA!E352</f>
        <v>1086</v>
      </c>
      <c r="F352">
        <f>MIN(E352*35200,10000)</f>
        <v>10000</v>
      </c>
      <c r="G352" t="e">
        <f ca="1">_xludf.MINIFS(CBIC_Late_Fee_Relief_Windows_1!$I$100:$I$352,CBIC_Late_Fee_Relief_Windows_1!$D$100:$D$352,"&lt;="&amp;B352,CBIC_Late_Fee_Relief_Windows_1!$E$100:$E$352,"&gt;="&amp;B352,CBIC_Late_Fee_Relief_Windows_1!$F$100:$F$352,"&lt;="&amp;C352,CBIC_Late_Fee_Relief_Windows_1!$G$100:$G$352,"&gt;="&amp;C352,CBIC_Late_Fee_Relief_Windows_1!$H$100:$H$352,D352)</f>
        <v>#NAME?</v>
      </c>
      <c r="H352" t="e">
        <f t="shared" ca="1" si="5"/>
        <v>#NAME?</v>
      </c>
      <c r="I352" t="e">
        <f ca="1">INDEX(CBIC_Late_Fee_Relief_Windows_1!$B$100:$B$352,MATCH(G352,CBIC_Late_Fee_Relief_Windows_1!$I$100:$I$352,0))</f>
        <v>#NAME?</v>
      </c>
    </row>
    <row r="353" spans="1:9" x14ac:dyDescent="0.55000000000000004">
      <c r="A353" t="str">
        <f>TEST_DATA!A353</f>
        <v>27AAAAA0353Z5</v>
      </c>
      <c r="B353" t="str">
        <f>TEST_DATA!B353</f>
        <v>Aug-2017</v>
      </c>
      <c r="C353">
        <f>TEST_DATA!C353</f>
        <v>43176</v>
      </c>
      <c r="D353" t="str">
        <f>TEST_DATA!D353</f>
        <v>NON-NIL</v>
      </c>
      <c r="E353">
        <f>TEST_DATA!E353</f>
        <v>2154</v>
      </c>
      <c r="F353">
        <f>MIN(E353*35300,10000)</f>
        <v>10000</v>
      </c>
      <c r="G353" t="e">
        <f ca="1">_xludf.MINIFS(CBIC_Late_Fee_Relief_Windows_1!$I$100:$I$353,CBIC_Late_Fee_Relief_Windows_1!$D$100:$D$353,"&lt;="&amp;B353,CBIC_Late_Fee_Relief_Windows_1!$E$100:$E$353,"&gt;="&amp;B353,CBIC_Late_Fee_Relief_Windows_1!$F$100:$F$353,"&lt;="&amp;C353,CBIC_Late_Fee_Relief_Windows_1!$G$100:$G$353,"&gt;="&amp;C353,CBIC_Late_Fee_Relief_Windows_1!$H$100:$H$353,D353)</f>
        <v>#NAME?</v>
      </c>
      <c r="H353" t="e">
        <f t="shared" ca="1" si="5"/>
        <v>#NAME?</v>
      </c>
      <c r="I353" t="e">
        <f ca="1">INDEX(CBIC_Late_Fee_Relief_Windows_1!$B$100:$B$353,MATCH(G353,CBIC_Late_Fee_Relief_Windows_1!$I$100:$I$353,0))</f>
        <v>#NAME?</v>
      </c>
    </row>
    <row r="354" spans="1:9" x14ac:dyDescent="0.55000000000000004">
      <c r="A354" t="str">
        <f>TEST_DATA!A354</f>
        <v>27AAAAA0354Z5</v>
      </c>
      <c r="B354" t="str">
        <f>TEST_DATA!B354</f>
        <v>Oct-2017</v>
      </c>
      <c r="C354">
        <f>TEST_DATA!C354</f>
        <v>44444</v>
      </c>
      <c r="D354" t="str">
        <f>TEST_DATA!D354</f>
        <v>NIL</v>
      </c>
      <c r="E354">
        <f>TEST_DATA!E354</f>
        <v>1950</v>
      </c>
      <c r="F354">
        <f>MIN(E354*35400,10000)</f>
        <v>10000</v>
      </c>
      <c r="G354" t="e">
        <f ca="1">_xludf.MINIFS(CBIC_Late_Fee_Relief_Windows_1!$I$100:$I$354,CBIC_Late_Fee_Relief_Windows_1!$D$100:$D$354,"&lt;="&amp;B354,CBIC_Late_Fee_Relief_Windows_1!$E$100:$E$354,"&gt;="&amp;B354,CBIC_Late_Fee_Relief_Windows_1!$F$100:$F$354,"&lt;="&amp;C354,CBIC_Late_Fee_Relief_Windows_1!$G$100:$G$354,"&gt;="&amp;C354,CBIC_Late_Fee_Relief_Windows_1!$H$100:$H$354,D354)</f>
        <v>#NAME?</v>
      </c>
      <c r="H354" t="e">
        <f t="shared" ca="1" si="5"/>
        <v>#NAME?</v>
      </c>
      <c r="I354" t="e">
        <f ca="1">INDEX(CBIC_Late_Fee_Relief_Windows_1!$B$100:$B$354,MATCH(G354,CBIC_Late_Fee_Relief_Windows_1!$I$100:$I$354,0))</f>
        <v>#NAME?</v>
      </c>
    </row>
    <row r="355" spans="1:9" x14ac:dyDescent="0.55000000000000004">
      <c r="A355" t="str">
        <f>TEST_DATA!A355</f>
        <v>27AAAAA0355Z5</v>
      </c>
      <c r="B355" t="str">
        <f>TEST_DATA!B355</f>
        <v>Sep-2018</v>
      </c>
      <c r="C355">
        <f>TEST_DATA!C355</f>
        <v>44510</v>
      </c>
      <c r="D355" t="str">
        <f>TEST_DATA!D355</f>
        <v>NON-NIL</v>
      </c>
      <c r="E355">
        <f>TEST_DATA!E355</f>
        <v>2102</v>
      </c>
      <c r="F355">
        <f>MIN(E355*35500,10000)</f>
        <v>10000</v>
      </c>
      <c r="G355" t="e">
        <f ca="1">_xludf.MINIFS(CBIC_Late_Fee_Relief_Windows_1!$I$100:$I$355,CBIC_Late_Fee_Relief_Windows_1!$D$100:$D$355,"&lt;="&amp;B355,CBIC_Late_Fee_Relief_Windows_1!$E$100:$E$355,"&gt;="&amp;B355,CBIC_Late_Fee_Relief_Windows_1!$F$100:$F$355,"&lt;="&amp;C355,CBIC_Late_Fee_Relief_Windows_1!$G$100:$G$355,"&gt;="&amp;C355,CBIC_Late_Fee_Relief_Windows_1!$H$100:$H$355,D355)</f>
        <v>#NAME?</v>
      </c>
      <c r="H355" t="e">
        <f t="shared" ca="1" si="5"/>
        <v>#NAME?</v>
      </c>
      <c r="I355" t="e">
        <f ca="1">INDEX(CBIC_Late_Fee_Relief_Windows_1!$B$100:$B$355,MATCH(G355,CBIC_Late_Fee_Relief_Windows_1!$I$100:$I$355,0))</f>
        <v>#NAME?</v>
      </c>
    </row>
    <row r="356" spans="1:9" x14ac:dyDescent="0.55000000000000004">
      <c r="A356" t="str">
        <f>TEST_DATA!A356</f>
        <v>27AAAAA0356Z5</v>
      </c>
      <c r="B356" t="str">
        <f>TEST_DATA!B356</f>
        <v>Mar-2020</v>
      </c>
      <c r="C356">
        <f>TEST_DATA!C356</f>
        <v>44054</v>
      </c>
      <c r="D356" t="str">
        <f>TEST_DATA!D356</f>
        <v>NON-NIL</v>
      </c>
      <c r="E356">
        <f>TEST_DATA!E356</f>
        <v>2063</v>
      </c>
      <c r="F356">
        <f>MIN(E356*35600,10000)</f>
        <v>10000</v>
      </c>
      <c r="G356" t="e">
        <f ca="1">_xludf.MINIFS(CBIC_Late_Fee_Relief_Windows_1!$I$100:$I$356,CBIC_Late_Fee_Relief_Windows_1!$D$100:$D$356,"&lt;="&amp;B356,CBIC_Late_Fee_Relief_Windows_1!$E$100:$E$356,"&gt;="&amp;B356,CBIC_Late_Fee_Relief_Windows_1!$F$100:$F$356,"&lt;="&amp;C356,CBIC_Late_Fee_Relief_Windows_1!$G$100:$G$356,"&gt;="&amp;C356,CBIC_Late_Fee_Relief_Windows_1!$H$100:$H$356,D356)</f>
        <v>#NAME?</v>
      </c>
      <c r="H356" t="e">
        <f t="shared" ca="1" si="5"/>
        <v>#NAME?</v>
      </c>
      <c r="I356" t="e">
        <f ca="1">INDEX(CBIC_Late_Fee_Relief_Windows_1!$B$100:$B$356,MATCH(G356,CBIC_Late_Fee_Relief_Windows_1!$I$100:$I$356,0))</f>
        <v>#NAME?</v>
      </c>
    </row>
    <row r="357" spans="1:9" x14ac:dyDescent="0.55000000000000004">
      <c r="A357" t="str">
        <f>TEST_DATA!A357</f>
        <v>27AAAAA0357Z5</v>
      </c>
      <c r="B357" t="str">
        <f>TEST_DATA!B357</f>
        <v>Feb-2018</v>
      </c>
      <c r="C357">
        <f>TEST_DATA!C357</f>
        <v>44176</v>
      </c>
      <c r="D357" t="str">
        <f>TEST_DATA!D357</f>
        <v>NIL</v>
      </c>
      <c r="E357">
        <f>TEST_DATA!E357</f>
        <v>2978</v>
      </c>
      <c r="F357">
        <f>MIN(E357*35700,10000)</f>
        <v>10000</v>
      </c>
      <c r="G357" t="e">
        <f ca="1">_xludf.MINIFS(CBIC_Late_Fee_Relief_Windows_1!$I$100:$I$357,CBIC_Late_Fee_Relief_Windows_1!$D$100:$D$357,"&lt;="&amp;B357,CBIC_Late_Fee_Relief_Windows_1!$E$100:$E$357,"&gt;="&amp;B357,CBIC_Late_Fee_Relief_Windows_1!$F$100:$F$357,"&lt;="&amp;C357,CBIC_Late_Fee_Relief_Windows_1!$G$100:$G$357,"&gt;="&amp;C357,CBIC_Late_Fee_Relief_Windows_1!$H$100:$H$357,D357)</f>
        <v>#NAME?</v>
      </c>
      <c r="H357" t="e">
        <f t="shared" ca="1" si="5"/>
        <v>#NAME?</v>
      </c>
      <c r="I357" t="e">
        <f ca="1">INDEX(CBIC_Late_Fee_Relief_Windows_1!$B$100:$B$357,MATCH(G357,CBIC_Late_Fee_Relief_Windows_1!$I$100:$I$357,0))</f>
        <v>#NAME?</v>
      </c>
    </row>
    <row r="358" spans="1:9" x14ac:dyDescent="0.55000000000000004">
      <c r="A358" t="str">
        <f>TEST_DATA!A358</f>
        <v>27AAAAA0358Z5</v>
      </c>
      <c r="B358" t="str">
        <f>TEST_DATA!B358</f>
        <v>Apr-2021</v>
      </c>
      <c r="C358">
        <f>TEST_DATA!C358</f>
        <v>45601</v>
      </c>
      <c r="D358" t="str">
        <f>TEST_DATA!D358</f>
        <v>NON-NIL</v>
      </c>
      <c r="E358">
        <f>TEST_DATA!E358</f>
        <v>1876</v>
      </c>
      <c r="F358">
        <f>MIN(E358*35800,10000)</f>
        <v>10000</v>
      </c>
      <c r="G358" t="e">
        <f ca="1">_xludf.MINIFS(CBIC_Late_Fee_Relief_Windows_1!$I$100:$I$358,CBIC_Late_Fee_Relief_Windows_1!$D$100:$D$358,"&lt;="&amp;B358,CBIC_Late_Fee_Relief_Windows_1!$E$100:$E$358,"&gt;="&amp;B358,CBIC_Late_Fee_Relief_Windows_1!$F$100:$F$358,"&lt;="&amp;C358,CBIC_Late_Fee_Relief_Windows_1!$G$100:$G$358,"&gt;="&amp;C358,CBIC_Late_Fee_Relief_Windows_1!$H$100:$H$358,D358)</f>
        <v>#NAME?</v>
      </c>
      <c r="H358" t="e">
        <f t="shared" ca="1" si="5"/>
        <v>#NAME?</v>
      </c>
      <c r="I358" t="e">
        <f ca="1">INDEX(CBIC_Late_Fee_Relief_Windows_1!$B$100:$B$358,MATCH(G358,CBIC_Late_Fee_Relief_Windows_1!$I$100:$I$358,0))</f>
        <v>#NAME?</v>
      </c>
    </row>
    <row r="359" spans="1:9" x14ac:dyDescent="0.55000000000000004">
      <c r="A359" t="str">
        <f>TEST_DATA!A359</f>
        <v>27AAAAA0359Z5</v>
      </c>
      <c r="B359" t="str">
        <f>TEST_DATA!B359</f>
        <v>May-2020</v>
      </c>
      <c r="C359">
        <f>TEST_DATA!C359</f>
        <v>43894</v>
      </c>
      <c r="D359" t="str">
        <f>TEST_DATA!D359</f>
        <v>NIL</v>
      </c>
      <c r="E359">
        <f>TEST_DATA!E359</f>
        <v>1961</v>
      </c>
      <c r="F359">
        <f>MIN(E359*35900,10000)</f>
        <v>10000</v>
      </c>
      <c r="G359" t="e">
        <f ca="1">_xludf.MINIFS(CBIC_Late_Fee_Relief_Windows_1!$I$100:$I$359,CBIC_Late_Fee_Relief_Windows_1!$D$100:$D$359,"&lt;="&amp;B359,CBIC_Late_Fee_Relief_Windows_1!$E$100:$E$359,"&gt;="&amp;B359,CBIC_Late_Fee_Relief_Windows_1!$F$100:$F$359,"&lt;="&amp;C359,CBIC_Late_Fee_Relief_Windows_1!$G$100:$G$359,"&gt;="&amp;C359,CBIC_Late_Fee_Relief_Windows_1!$H$100:$H$359,D359)</f>
        <v>#NAME?</v>
      </c>
      <c r="H359" t="e">
        <f t="shared" ca="1" si="5"/>
        <v>#NAME?</v>
      </c>
      <c r="I359" t="e">
        <f ca="1">INDEX(CBIC_Late_Fee_Relief_Windows_1!$B$100:$B$359,MATCH(G359,CBIC_Late_Fee_Relief_Windows_1!$I$100:$I$359,0))</f>
        <v>#NAME?</v>
      </c>
    </row>
    <row r="360" spans="1:9" x14ac:dyDescent="0.55000000000000004">
      <c r="A360" t="str">
        <f>TEST_DATA!A360</f>
        <v>27AAAAA0360Z5</v>
      </c>
      <c r="B360" t="str">
        <f>TEST_DATA!B360</f>
        <v>Mar-2023</v>
      </c>
      <c r="C360">
        <f>TEST_DATA!C360</f>
        <v>45111</v>
      </c>
      <c r="D360" t="str">
        <f>TEST_DATA!D360</f>
        <v>NON-NIL</v>
      </c>
      <c r="E360">
        <f>TEST_DATA!E360</f>
        <v>2810</v>
      </c>
      <c r="F360">
        <f>MIN(E360*36000,10000)</f>
        <v>10000</v>
      </c>
      <c r="G360" t="e">
        <f ca="1">_xludf.MINIFS(CBIC_Late_Fee_Relief_Windows_1!$I$100:$I$360,CBIC_Late_Fee_Relief_Windows_1!$D$100:$D$360,"&lt;="&amp;B360,CBIC_Late_Fee_Relief_Windows_1!$E$100:$E$360,"&gt;="&amp;B360,CBIC_Late_Fee_Relief_Windows_1!$F$100:$F$360,"&lt;="&amp;C360,CBIC_Late_Fee_Relief_Windows_1!$G$100:$G$360,"&gt;="&amp;C360,CBIC_Late_Fee_Relief_Windows_1!$H$100:$H$360,D360)</f>
        <v>#NAME?</v>
      </c>
      <c r="H360" t="e">
        <f t="shared" ca="1" si="5"/>
        <v>#NAME?</v>
      </c>
      <c r="I360" t="e">
        <f ca="1">INDEX(CBIC_Late_Fee_Relief_Windows_1!$B$100:$B$360,MATCH(G360,CBIC_Late_Fee_Relief_Windows_1!$I$100:$I$360,0))</f>
        <v>#NAME?</v>
      </c>
    </row>
    <row r="361" spans="1:9" x14ac:dyDescent="0.55000000000000004">
      <c r="A361" t="str">
        <f>TEST_DATA!A361</f>
        <v>27AAAAA0361Z5</v>
      </c>
      <c r="B361" t="str">
        <f>TEST_DATA!B361</f>
        <v>Oct-2017</v>
      </c>
      <c r="C361">
        <f>TEST_DATA!C361</f>
        <v>43921</v>
      </c>
      <c r="D361" t="str">
        <f>TEST_DATA!D361</f>
        <v>NON-NIL</v>
      </c>
      <c r="E361">
        <f>TEST_DATA!E361</f>
        <v>301</v>
      </c>
      <c r="F361">
        <f>MIN(E361*36100,10000)</f>
        <v>10000</v>
      </c>
      <c r="G361" t="e">
        <f ca="1">_xludf.MINIFS(CBIC_Late_Fee_Relief_Windows_1!$I$100:$I$361,CBIC_Late_Fee_Relief_Windows_1!$D$100:$D$361,"&lt;="&amp;B361,CBIC_Late_Fee_Relief_Windows_1!$E$100:$E$361,"&gt;="&amp;B361,CBIC_Late_Fee_Relief_Windows_1!$F$100:$F$361,"&lt;="&amp;C361,CBIC_Late_Fee_Relief_Windows_1!$G$100:$G$361,"&gt;="&amp;C361,CBIC_Late_Fee_Relief_Windows_1!$H$100:$H$361,D361)</f>
        <v>#NAME?</v>
      </c>
      <c r="H361" t="e">
        <f t="shared" ca="1" si="5"/>
        <v>#NAME?</v>
      </c>
      <c r="I361" t="e">
        <f ca="1">INDEX(CBIC_Late_Fee_Relief_Windows_1!$B$100:$B$361,MATCH(G361,CBIC_Late_Fee_Relief_Windows_1!$I$100:$I$361,0))</f>
        <v>#NAME?</v>
      </c>
    </row>
    <row r="362" spans="1:9" x14ac:dyDescent="0.55000000000000004">
      <c r="A362" t="str">
        <f>TEST_DATA!A362</f>
        <v>27AAAAA0362Z5</v>
      </c>
      <c r="B362" t="str">
        <f>TEST_DATA!B362</f>
        <v>Dec-2024</v>
      </c>
      <c r="C362">
        <f>TEST_DATA!C362</f>
        <v>43796</v>
      </c>
      <c r="D362" t="str">
        <f>TEST_DATA!D362</f>
        <v>NON-NIL</v>
      </c>
      <c r="E362">
        <f>TEST_DATA!E362</f>
        <v>2491</v>
      </c>
      <c r="F362">
        <f>MIN(E362*36200,10000)</f>
        <v>10000</v>
      </c>
      <c r="G362" t="e">
        <f ca="1">_xludf.MINIFS(CBIC_Late_Fee_Relief_Windows_1!$I$100:$I$362,CBIC_Late_Fee_Relief_Windows_1!$D$100:$D$362,"&lt;="&amp;B362,CBIC_Late_Fee_Relief_Windows_1!$E$100:$E$362,"&gt;="&amp;B362,CBIC_Late_Fee_Relief_Windows_1!$F$100:$F$362,"&lt;="&amp;C362,CBIC_Late_Fee_Relief_Windows_1!$G$100:$G$362,"&gt;="&amp;C362,CBIC_Late_Fee_Relief_Windows_1!$H$100:$H$362,D362)</f>
        <v>#NAME?</v>
      </c>
      <c r="H362" t="e">
        <f t="shared" ca="1" si="5"/>
        <v>#NAME?</v>
      </c>
      <c r="I362" t="e">
        <f ca="1">INDEX(CBIC_Late_Fee_Relief_Windows_1!$B$100:$B$362,MATCH(G362,CBIC_Late_Fee_Relief_Windows_1!$I$100:$I$362,0))</f>
        <v>#NAME?</v>
      </c>
    </row>
    <row r="363" spans="1:9" x14ac:dyDescent="0.55000000000000004">
      <c r="A363" t="str">
        <f>TEST_DATA!A363</f>
        <v>27AAAAA0363Z5</v>
      </c>
      <c r="B363" t="str">
        <f>TEST_DATA!B363</f>
        <v>Nov-2017</v>
      </c>
      <c r="C363">
        <f>TEST_DATA!C363</f>
        <v>43051</v>
      </c>
      <c r="D363" t="str">
        <f>TEST_DATA!D363</f>
        <v>NIL</v>
      </c>
      <c r="E363">
        <f>TEST_DATA!E363</f>
        <v>1126</v>
      </c>
      <c r="F363">
        <f>MIN(E363*36300,10000)</f>
        <v>10000</v>
      </c>
      <c r="G363" t="e">
        <f ca="1">_xludf.MINIFS(CBIC_Late_Fee_Relief_Windows_1!$I$100:$I$363,CBIC_Late_Fee_Relief_Windows_1!$D$100:$D$363,"&lt;="&amp;B363,CBIC_Late_Fee_Relief_Windows_1!$E$100:$E$363,"&gt;="&amp;B363,CBIC_Late_Fee_Relief_Windows_1!$F$100:$F$363,"&lt;="&amp;C363,CBIC_Late_Fee_Relief_Windows_1!$G$100:$G$363,"&gt;="&amp;C363,CBIC_Late_Fee_Relief_Windows_1!$H$100:$H$363,D363)</f>
        <v>#NAME?</v>
      </c>
      <c r="H363" t="e">
        <f t="shared" ca="1" si="5"/>
        <v>#NAME?</v>
      </c>
      <c r="I363" t="e">
        <f ca="1">INDEX(CBIC_Late_Fee_Relief_Windows_1!$B$100:$B$363,MATCH(G363,CBIC_Late_Fee_Relief_Windows_1!$I$100:$I$363,0))</f>
        <v>#NAME?</v>
      </c>
    </row>
    <row r="364" spans="1:9" x14ac:dyDescent="0.55000000000000004">
      <c r="A364" t="str">
        <f>TEST_DATA!A364</f>
        <v>27AAAAA0364Z5</v>
      </c>
      <c r="B364" t="str">
        <f>TEST_DATA!B364</f>
        <v>Apr-2020</v>
      </c>
      <c r="C364">
        <f>TEST_DATA!C364</f>
        <v>44496</v>
      </c>
      <c r="D364" t="str">
        <f>TEST_DATA!D364</f>
        <v>NON-NIL</v>
      </c>
      <c r="E364">
        <f>TEST_DATA!E364</f>
        <v>2446</v>
      </c>
      <c r="F364">
        <f>MIN(E364*36400,10000)</f>
        <v>10000</v>
      </c>
      <c r="G364" t="e">
        <f ca="1">_xludf.MINIFS(CBIC_Late_Fee_Relief_Windows_1!$I$100:$I$364,CBIC_Late_Fee_Relief_Windows_1!$D$100:$D$364,"&lt;="&amp;B364,CBIC_Late_Fee_Relief_Windows_1!$E$100:$E$364,"&gt;="&amp;B364,CBIC_Late_Fee_Relief_Windows_1!$F$100:$F$364,"&lt;="&amp;C364,CBIC_Late_Fee_Relief_Windows_1!$G$100:$G$364,"&gt;="&amp;C364,CBIC_Late_Fee_Relief_Windows_1!$H$100:$H$364,D364)</f>
        <v>#NAME?</v>
      </c>
      <c r="H364" t="e">
        <f t="shared" ca="1" si="5"/>
        <v>#NAME?</v>
      </c>
      <c r="I364" t="e">
        <f ca="1">INDEX(CBIC_Late_Fee_Relief_Windows_1!$B$100:$B$364,MATCH(G364,CBIC_Late_Fee_Relief_Windows_1!$I$100:$I$364,0))</f>
        <v>#NAME?</v>
      </c>
    </row>
    <row r="365" spans="1:9" x14ac:dyDescent="0.55000000000000004">
      <c r="A365" t="str">
        <f>TEST_DATA!A365</f>
        <v>27AAAAA0365Z5</v>
      </c>
      <c r="B365" t="str">
        <f>TEST_DATA!B365</f>
        <v>Jun-2019</v>
      </c>
      <c r="C365">
        <f>TEST_DATA!C365</f>
        <v>44673</v>
      </c>
      <c r="D365" t="str">
        <f>TEST_DATA!D365</f>
        <v>NON-NIL</v>
      </c>
      <c r="E365">
        <f>TEST_DATA!E365</f>
        <v>2070</v>
      </c>
      <c r="F365">
        <f>MIN(E365*36500,10000)</f>
        <v>10000</v>
      </c>
      <c r="G365" t="e">
        <f ca="1">_xludf.MINIFS(CBIC_Late_Fee_Relief_Windows_1!$I$100:$I$365,CBIC_Late_Fee_Relief_Windows_1!$D$100:$D$365,"&lt;="&amp;B365,CBIC_Late_Fee_Relief_Windows_1!$E$100:$E$365,"&gt;="&amp;B365,CBIC_Late_Fee_Relief_Windows_1!$F$100:$F$365,"&lt;="&amp;C365,CBIC_Late_Fee_Relief_Windows_1!$G$100:$G$365,"&gt;="&amp;C365,CBIC_Late_Fee_Relief_Windows_1!$H$100:$H$365,D365)</f>
        <v>#NAME?</v>
      </c>
      <c r="H365" t="e">
        <f t="shared" ca="1" si="5"/>
        <v>#NAME?</v>
      </c>
      <c r="I365" t="e">
        <f ca="1">INDEX(CBIC_Late_Fee_Relief_Windows_1!$B$100:$B$365,MATCH(G365,CBIC_Late_Fee_Relief_Windows_1!$I$100:$I$365,0))</f>
        <v>#NAME?</v>
      </c>
    </row>
    <row r="366" spans="1:9" x14ac:dyDescent="0.55000000000000004">
      <c r="A366" t="str">
        <f>TEST_DATA!A366</f>
        <v>27AAAAA0366Z5</v>
      </c>
      <c r="B366" t="str">
        <f>TEST_DATA!B366</f>
        <v>Apr-2020</v>
      </c>
      <c r="C366">
        <f>TEST_DATA!C366</f>
        <v>44712</v>
      </c>
      <c r="D366" t="str">
        <f>TEST_DATA!D366</f>
        <v>NIL</v>
      </c>
      <c r="E366">
        <f>TEST_DATA!E366</f>
        <v>2874</v>
      </c>
      <c r="F366">
        <f>MIN(E366*36600,10000)</f>
        <v>10000</v>
      </c>
      <c r="G366" t="e">
        <f ca="1">_xludf.MINIFS(CBIC_Late_Fee_Relief_Windows_1!$I$100:$I$366,CBIC_Late_Fee_Relief_Windows_1!$D$100:$D$366,"&lt;="&amp;B366,CBIC_Late_Fee_Relief_Windows_1!$E$100:$E$366,"&gt;="&amp;B366,CBIC_Late_Fee_Relief_Windows_1!$F$100:$F$366,"&lt;="&amp;C366,CBIC_Late_Fee_Relief_Windows_1!$G$100:$G$366,"&gt;="&amp;C366,CBIC_Late_Fee_Relief_Windows_1!$H$100:$H$366,D366)</f>
        <v>#NAME?</v>
      </c>
      <c r="H366" t="e">
        <f t="shared" ca="1" si="5"/>
        <v>#NAME?</v>
      </c>
      <c r="I366" t="e">
        <f ca="1">INDEX(CBIC_Late_Fee_Relief_Windows_1!$B$100:$B$366,MATCH(G366,CBIC_Late_Fee_Relief_Windows_1!$I$100:$I$366,0))</f>
        <v>#NAME?</v>
      </c>
    </row>
    <row r="367" spans="1:9" x14ac:dyDescent="0.55000000000000004">
      <c r="A367" t="str">
        <f>TEST_DATA!A367</f>
        <v>27AAAAA0367Z5</v>
      </c>
      <c r="B367" t="str">
        <f>TEST_DATA!B367</f>
        <v>Oct-2017</v>
      </c>
      <c r="C367">
        <f>TEST_DATA!C367</f>
        <v>44257</v>
      </c>
      <c r="D367" t="str">
        <f>TEST_DATA!D367</f>
        <v>NIL</v>
      </c>
      <c r="E367">
        <f>TEST_DATA!E367</f>
        <v>1761</v>
      </c>
      <c r="F367">
        <f>MIN(E367*36700,10000)</f>
        <v>10000</v>
      </c>
      <c r="G367" t="e">
        <f ca="1">_xludf.MINIFS(CBIC_Late_Fee_Relief_Windows_1!$I$100:$I$367,CBIC_Late_Fee_Relief_Windows_1!$D$100:$D$367,"&lt;="&amp;B367,CBIC_Late_Fee_Relief_Windows_1!$E$100:$E$367,"&gt;="&amp;B367,CBIC_Late_Fee_Relief_Windows_1!$F$100:$F$367,"&lt;="&amp;C367,CBIC_Late_Fee_Relief_Windows_1!$G$100:$G$367,"&gt;="&amp;C367,CBIC_Late_Fee_Relief_Windows_1!$H$100:$H$367,D367)</f>
        <v>#NAME?</v>
      </c>
      <c r="H367" t="e">
        <f t="shared" ca="1" si="5"/>
        <v>#NAME?</v>
      </c>
      <c r="I367" t="e">
        <f ca="1">INDEX(CBIC_Late_Fee_Relief_Windows_1!$B$100:$B$367,MATCH(G367,CBIC_Late_Fee_Relief_Windows_1!$I$100:$I$367,0))</f>
        <v>#NAME?</v>
      </c>
    </row>
    <row r="368" spans="1:9" x14ac:dyDescent="0.55000000000000004">
      <c r="A368" t="str">
        <f>TEST_DATA!A368</f>
        <v>27AAAAA0368Z5</v>
      </c>
      <c r="B368" t="str">
        <f>TEST_DATA!B368</f>
        <v>Sep-2018</v>
      </c>
      <c r="C368">
        <f>TEST_DATA!C368</f>
        <v>43384</v>
      </c>
      <c r="D368" t="str">
        <f>TEST_DATA!D368</f>
        <v>NON-NIL</v>
      </c>
      <c r="E368">
        <f>TEST_DATA!E368</f>
        <v>1388</v>
      </c>
      <c r="F368">
        <f>MIN(E368*36800,10000)</f>
        <v>10000</v>
      </c>
      <c r="G368" t="e">
        <f ca="1">_xludf.MINIFS(CBIC_Late_Fee_Relief_Windows_1!$I$100:$I$368,CBIC_Late_Fee_Relief_Windows_1!$D$100:$D$368,"&lt;="&amp;B368,CBIC_Late_Fee_Relief_Windows_1!$E$100:$E$368,"&gt;="&amp;B368,CBIC_Late_Fee_Relief_Windows_1!$F$100:$F$368,"&lt;="&amp;C368,CBIC_Late_Fee_Relief_Windows_1!$G$100:$G$368,"&gt;="&amp;C368,CBIC_Late_Fee_Relief_Windows_1!$H$100:$H$368,D368)</f>
        <v>#NAME?</v>
      </c>
      <c r="H368" t="e">
        <f t="shared" ca="1" si="5"/>
        <v>#NAME?</v>
      </c>
      <c r="I368" t="e">
        <f ca="1">INDEX(CBIC_Late_Fee_Relief_Windows_1!$B$100:$B$368,MATCH(G368,CBIC_Late_Fee_Relief_Windows_1!$I$100:$I$368,0))</f>
        <v>#NAME?</v>
      </c>
    </row>
    <row r="369" spans="1:9" x14ac:dyDescent="0.55000000000000004">
      <c r="A369" t="str">
        <f>TEST_DATA!A369</f>
        <v>27AAAAA0369Z5</v>
      </c>
      <c r="B369" t="str">
        <f>TEST_DATA!B369</f>
        <v>Dec-2022</v>
      </c>
      <c r="C369">
        <f>TEST_DATA!C369</f>
        <v>45323</v>
      </c>
      <c r="D369" t="str">
        <f>TEST_DATA!D369</f>
        <v>NON-NIL</v>
      </c>
      <c r="E369">
        <f>TEST_DATA!E369</f>
        <v>1703</v>
      </c>
      <c r="F369">
        <f>MIN(E369*36900,10000)</f>
        <v>10000</v>
      </c>
      <c r="G369" t="e">
        <f ca="1">_xludf.MINIFS(CBIC_Late_Fee_Relief_Windows_1!$I$100:$I$369,CBIC_Late_Fee_Relief_Windows_1!$D$100:$D$369,"&lt;="&amp;B369,CBIC_Late_Fee_Relief_Windows_1!$E$100:$E$369,"&gt;="&amp;B369,CBIC_Late_Fee_Relief_Windows_1!$F$100:$F$369,"&lt;="&amp;C369,CBIC_Late_Fee_Relief_Windows_1!$G$100:$G$369,"&gt;="&amp;C369,CBIC_Late_Fee_Relief_Windows_1!$H$100:$H$369,D369)</f>
        <v>#NAME?</v>
      </c>
      <c r="H369" t="e">
        <f t="shared" ca="1" si="5"/>
        <v>#NAME?</v>
      </c>
      <c r="I369" t="e">
        <f ca="1">INDEX(CBIC_Late_Fee_Relief_Windows_1!$B$100:$B$369,MATCH(G369,CBIC_Late_Fee_Relief_Windows_1!$I$100:$I$369,0))</f>
        <v>#NAME?</v>
      </c>
    </row>
    <row r="370" spans="1:9" x14ac:dyDescent="0.55000000000000004">
      <c r="A370" t="str">
        <f>TEST_DATA!A370</f>
        <v>27AAAAA0370Z5</v>
      </c>
      <c r="B370" t="str">
        <f>TEST_DATA!B370</f>
        <v>Jan-2021</v>
      </c>
      <c r="C370">
        <f>TEST_DATA!C370</f>
        <v>43855</v>
      </c>
      <c r="D370" t="str">
        <f>TEST_DATA!D370</f>
        <v>NON-NIL</v>
      </c>
      <c r="E370">
        <f>TEST_DATA!E370</f>
        <v>1748</v>
      </c>
      <c r="F370">
        <f>MIN(E370*37000,10000)</f>
        <v>10000</v>
      </c>
      <c r="G370" t="e">
        <f ca="1">_xludf.MINIFS(CBIC_Late_Fee_Relief_Windows_1!$I$100:$I$370,CBIC_Late_Fee_Relief_Windows_1!$D$100:$D$370,"&lt;="&amp;B370,CBIC_Late_Fee_Relief_Windows_1!$E$100:$E$370,"&gt;="&amp;B370,CBIC_Late_Fee_Relief_Windows_1!$F$100:$F$370,"&lt;="&amp;C370,CBIC_Late_Fee_Relief_Windows_1!$G$100:$G$370,"&gt;="&amp;C370,CBIC_Late_Fee_Relief_Windows_1!$H$100:$H$370,D370)</f>
        <v>#NAME?</v>
      </c>
      <c r="H370" t="e">
        <f t="shared" ca="1" si="5"/>
        <v>#NAME?</v>
      </c>
      <c r="I370" t="e">
        <f ca="1">INDEX(CBIC_Late_Fee_Relief_Windows_1!$B$100:$B$370,MATCH(G370,CBIC_Late_Fee_Relief_Windows_1!$I$100:$I$370,0))</f>
        <v>#NAME?</v>
      </c>
    </row>
    <row r="371" spans="1:9" x14ac:dyDescent="0.55000000000000004">
      <c r="A371" t="str">
        <f>TEST_DATA!A371</f>
        <v>27AAAAA0371Z5</v>
      </c>
      <c r="B371" t="str">
        <f>TEST_DATA!B371</f>
        <v>May-2018</v>
      </c>
      <c r="C371">
        <f>TEST_DATA!C371</f>
        <v>44279</v>
      </c>
      <c r="D371" t="str">
        <f>TEST_DATA!D371</f>
        <v>NON-NIL</v>
      </c>
      <c r="E371">
        <f>TEST_DATA!E371</f>
        <v>1533</v>
      </c>
      <c r="F371">
        <f>MIN(E371*37100,10000)</f>
        <v>10000</v>
      </c>
      <c r="G371" t="e">
        <f ca="1">_xludf.MINIFS(CBIC_Late_Fee_Relief_Windows_1!$I$100:$I$371,CBIC_Late_Fee_Relief_Windows_1!$D$100:$D$371,"&lt;="&amp;B371,CBIC_Late_Fee_Relief_Windows_1!$E$100:$E$371,"&gt;="&amp;B371,CBIC_Late_Fee_Relief_Windows_1!$F$100:$F$371,"&lt;="&amp;C371,CBIC_Late_Fee_Relief_Windows_1!$G$100:$G$371,"&gt;="&amp;C371,CBIC_Late_Fee_Relief_Windows_1!$H$100:$H$371,D371)</f>
        <v>#NAME?</v>
      </c>
      <c r="H371" t="e">
        <f t="shared" ca="1" si="5"/>
        <v>#NAME?</v>
      </c>
      <c r="I371" t="e">
        <f ca="1">INDEX(CBIC_Late_Fee_Relief_Windows_1!$B$100:$B$371,MATCH(G371,CBIC_Late_Fee_Relief_Windows_1!$I$100:$I$371,0))</f>
        <v>#NAME?</v>
      </c>
    </row>
    <row r="372" spans="1:9" x14ac:dyDescent="0.55000000000000004">
      <c r="A372" t="str">
        <f>TEST_DATA!A372</f>
        <v>27AAAAA0372Z5</v>
      </c>
      <c r="B372" t="str">
        <f>TEST_DATA!B372</f>
        <v>Nov-2017</v>
      </c>
      <c r="C372">
        <f>TEST_DATA!C372</f>
        <v>44323</v>
      </c>
      <c r="D372" t="str">
        <f>TEST_DATA!D372</f>
        <v>NON-NIL</v>
      </c>
      <c r="E372">
        <f>TEST_DATA!E372</f>
        <v>274</v>
      </c>
      <c r="F372">
        <f>MIN(E372*37200,10000)</f>
        <v>10000</v>
      </c>
      <c r="G372" t="e">
        <f ca="1">_xludf.MINIFS(CBIC_Late_Fee_Relief_Windows_1!$I$100:$I$372,CBIC_Late_Fee_Relief_Windows_1!$D$100:$D$372,"&lt;="&amp;B372,CBIC_Late_Fee_Relief_Windows_1!$E$100:$E$372,"&gt;="&amp;B372,CBIC_Late_Fee_Relief_Windows_1!$F$100:$F$372,"&lt;="&amp;C372,CBIC_Late_Fee_Relief_Windows_1!$G$100:$G$372,"&gt;="&amp;C372,CBIC_Late_Fee_Relief_Windows_1!$H$100:$H$372,D372)</f>
        <v>#NAME?</v>
      </c>
      <c r="H372" t="e">
        <f t="shared" ca="1" si="5"/>
        <v>#NAME?</v>
      </c>
      <c r="I372" t="e">
        <f ca="1">INDEX(CBIC_Late_Fee_Relief_Windows_1!$B$100:$B$372,MATCH(G372,CBIC_Late_Fee_Relief_Windows_1!$I$100:$I$372,0))</f>
        <v>#NAME?</v>
      </c>
    </row>
    <row r="373" spans="1:9" x14ac:dyDescent="0.55000000000000004">
      <c r="A373" t="str">
        <f>TEST_DATA!A373</f>
        <v>27AAAAA0373Z5</v>
      </c>
      <c r="B373" t="str">
        <f>TEST_DATA!B373</f>
        <v>Sep-2017</v>
      </c>
      <c r="C373">
        <f>TEST_DATA!C373</f>
        <v>43091</v>
      </c>
      <c r="D373" t="str">
        <f>TEST_DATA!D373</f>
        <v>NIL</v>
      </c>
      <c r="E373">
        <f>TEST_DATA!E373</f>
        <v>1768</v>
      </c>
      <c r="F373">
        <f>MIN(E373*37300,10000)</f>
        <v>10000</v>
      </c>
      <c r="G373" t="e">
        <f ca="1">_xludf.MINIFS(CBIC_Late_Fee_Relief_Windows_1!$I$100:$I$373,CBIC_Late_Fee_Relief_Windows_1!$D$100:$D$373,"&lt;="&amp;B373,CBIC_Late_Fee_Relief_Windows_1!$E$100:$E$373,"&gt;="&amp;B373,CBIC_Late_Fee_Relief_Windows_1!$F$100:$F$373,"&lt;="&amp;C373,CBIC_Late_Fee_Relief_Windows_1!$G$100:$G$373,"&gt;="&amp;C373,CBIC_Late_Fee_Relief_Windows_1!$H$100:$H$373,D373)</f>
        <v>#NAME?</v>
      </c>
      <c r="H373" t="e">
        <f t="shared" ca="1" si="5"/>
        <v>#NAME?</v>
      </c>
      <c r="I373" t="e">
        <f ca="1">INDEX(CBIC_Late_Fee_Relief_Windows_1!$B$100:$B$373,MATCH(G373,CBIC_Late_Fee_Relief_Windows_1!$I$100:$I$373,0))</f>
        <v>#NAME?</v>
      </c>
    </row>
    <row r="374" spans="1:9" x14ac:dyDescent="0.55000000000000004">
      <c r="A374" t="str">
        <f>TEST_DATA!A374</f>
        <v>27AAAAA0374Z5</v>
      </c>
      <c r="B374" t="str">
        <f>TEST_DATA!B374</f>
        <v>Oct-2017</v>
      </c>
      <c r="C374">
        <f>TEST_DATA!C374</f>
        <v>44441</v>
      </c>
      <c r="D374" t="str">
        <f>TEST_DATA!D374</f>
        <v>NON-NIL</v>
      </c>
      <c r="E374">
        <f>TEST_DATA!E374</f>
        <v>532</v>
      </c>
      <c r="F374">
        <f>MIN(E374*37400,10000)</f>
        <v>10000</v>
      </c>
      <c r="G374" t="e">
        <f ca="1">_xludf.MINIFS(CBIC_Late_Fee_Relief_Windows_1!$I$100:$I$374,CBIC_Late_Fee_Relief_Windows_1!$D$100:$D$374,"&lt;="&amp;B374,CBIC_Late_Fee_Relief_Windows_1!$E$100:$E$374,"&gt;="&amp;B374,CBIC_Late_Fee_Relief_Windows_1!$F$100:$F$374,"&lt;="&amp;C374,CBIC_Late_Fee_Relief_Windows_1!$G$100:$G$374,"&gt;="&amp;C374,CBIC_Late_Fee_Relief_Windows_1!$H$100:$H$374,D374)</f>
        <v>#NAME?</v>
      </c>
      <c r="H374" t="e">
        <f t="shared" ca="1" si="5"/>
        <v>#NAME?</v>
      </c>
      <c r="I374" t="e">
        <f ca="1">INDEX(CBIC_Late_Fee_Relief_Windows_1!$B$100:$B$374,MATCH(G374,CBIC_Late_Fee_Relief_Windows_1!$I$100:$I$374,0))</f>
        <v>#NAME?</v>
      </c>
    </row>
    <row r="375" spans="1:9" x14ac:dyDescent="0.55000000000000004">
      <c r="A375" t="str">
        <f>TEST_DATA!A375</f>
        <v>27AAAAA0375Z5</v>
      </c>
      <c r="B375" t="str">
        <f>TEST_DATA!B375</f>
        <v>Dec-2019</v>
      </c>
      <c r="C375">
        <f>TEST_DATA!C375</f>
        <v>43711</v>
      </c>
      <c r="D375" t="str">
        <f>TEST_DATA!D375</f>
        <v>NON-NIL</v>
      </c>
      <c r="E375">
        <f>TEST_DATA!E375</f>
        <v>2744</v>
      </c>
      <c r="F375">
        <f>MIN(E375*37500,10000)</f>
        <v>10000</v>
      </c>
      <c r="G375" t="e">
        <f ca="1">_xludf.MINIFS(CBIC_Late_Fee_Relief_Windows_1!$I$100:$I$375,CBIC_Late_Fee_Relief_Windows_1!$D$100:$D$375,"&lt;="&amp;B375,CBIC_Late_Fee_Relief_Windows_1!$E$100:$E$375,"&gt;="&amp;B375,CBIC_Late_Fee_Relief_Windows_1!$F$100:$F$375,"&lt;="&amp;C375,CBIC_Late_Fee_Relief_Windows_1!$G$100:$G$375,"&gt;="&amp;C375,CBIC_Late_Fee_Relief_Windows_1!$H$100:$H$375,D375)</f>
        <v>#NAME?</v>
      </c>
      <c r="H375" t="e">
        <f t="shared" ca="1" si="5"/>
        <v>#NAME?</v>
      </c>
      <c r="I375" t="e">
        <f ca="1">INDEX(CBIC_Late_Fee_Relief_Windows_1!$B$100:$B$375,MATCH(G375,CBIC_Late_Fee_Relief_Windows_1!$I$100:$I$375,0))</f>
        <v>#NAME?</v>
      </c>
    </row>
    <row r="376" spans="1:9" x14ac:dyDescent="0.55000000000000004">
      <c r="A376" t="str">
        <f>TEST_DATA!A376</f>
        <v>27AAAAA0376Z5</v>
      </c>
      <c r="B376" t="str">
        <f>TEST_DATA!B376</f>
        <v>Oct-2017</v>
      </c>
      <c r="C376">
        <f>TEST_DATA!C376</f>
        <v>43758</v>
      </c>
      <c r="D376" t="str">
        <f>TEST_DATA!D376</f>
        <v>NON-NIL</v>
      </c>
      <c r="E376">
        <f>TEST_DATA!E376</f>
        <v>2725</v>
      </c>
      <c r="F376">
        <f>MIN(E376*37600,10000)</f>
        <v>10000</v>
      </c>
      <c r="G376" t="e">
        <f ca="1">_xludf.MINIFS(CBIC_Late_Fee_Relief_Windows_1!$I$100:$I$376,CBIC_Late_Fee_Relief_Windows_1!$D$100:$D$376,"&lt;="&amp;B376,CBIC_Late_Fee_Relief_Windows_1!$E$100:$E$376,"&gt;="&amp;B376,CBIC_Late_Fee_Relief_Windows_1!$F$100:$F$376,"&lt;="&amp;C376,CBIC_Late_Fee_Relief_Windows_1!$G$100:$G$376,"&gt;="&amp;C376,CBIC_Late_Fee_Relief_Windows_1!$H$100:$H$376,D376)</f>
        <v>#NAME?</v>
      </c>
      <c r="H376" t="e">
        <f t="shared" ca="1" si="5"/>
        <v>#NAME?</v>
      </c>
      <c r="I376" t="e">
        <f ca="1">INDEX(CBIC_Late_Fee_Relief_Windows_1!$B$100:$B$376,MATCH(G376,CBIC_Late_Fee_Relief_Windows_1!$I$100:$I$376,0))</f>
        <v>#NAME?</v>
      </c>
    </row>
    <row r="377" spans="1:9" x14ac:dyDescent="0.55000000000000004">
      <c r="A377" t="str">
        <f>TEST_DATA!A377</f>
        <v>27AAAAA0377Z5</v>
      </c>
      <c r="B377" t="str">
        <f>TEST_DATA!B377</f>
        <v>Mar-2021</v>
      </c>
      <c r="C377">
        <f>TEST_DATA!C377</f>
        <v>45198</v>
      </c>
      <c r="D377" t="str">
        <f>TEST_DATA!D377</f>
        <v>NIL</v>
      </c>
      <c r="E377">
        <f>TEST_DATA!E377</f>
        <v>1178</v>
      </c>
      <c r="F377">
        <f>MIN(E377*37700,10000)</f>
        <v>10000</v>
      </c>
      <c r="G377" t="e">
        <f ca="1">_xludf.MINIFS(CBIC_Late_Fee_Relief_Windows_1!$I$100:$I$377,CBIC_Late_Fee_Relief_Windows_1!$D$100:$D$377,"&lt;="&amp;B377,CBIC_Late_Fee_Relief_Windows_1!$E$100:$E$377,"&gt;="&amp;B377,CBIC_Late_Fee_Relief_Windows_1!$F$100:$F$377,"&lt;="&amp;C377,CBIC_Late_Fee_Relief_Windows_1!$G$100:$G$377,"&gt;="&amp;C377,CBIC_Late_Fee_Relief_Windows_1!$H$100:$H$377,D377)</f>
        <v>#NAME?</v>
      </c>
      <c r="H377" t="e">
        <f t="shared" ca="1" si="5"/>
        <v>#NAME?</v>
      </c>
      <c r="I377" t="e">
        <f ca="1">INDEX(CBIC_Late_Fee_Relief_Windows_1!$B$100:$B$377,MATCH(G377,CBIC_Late_Fee_Relief_Windows_1!$I$100:$I$377,0))</f>
        <v>#NAME?</v>
      </c>
    </row>
    <row r="378" spans="1:9" x14ac:dyDescent="0.55000000000000004">
      <c r="A378" t="str">
        <f>TEST_DATA!A378</f>
        <v>27AAAAA0378Z5</v>
      </c>
      <c r="B378" t="str">
        <f>TEST_DATA!B378</f>
        <v>Apr-2020</v>
      </c>
      <c r="C378">
        <f>TEST_DATA!C378</f>
        <v>44470</v>
      </c>
      <c r="D378" t="str">
        <f>TEST_DATA!D378</f>
        <v>NON-NIL</v>
      </c>
      <c r="E378">
        <f>TEST_DATA!E378</f>
        <v>424</v>
      </c>
      <c r="F378">
        <f>MIN(E378*37800,10000)</f>
        <v>10000</v>
      </c>
      <c r="G378" t="e">
        <f ca="1">_xludf.MINIFS(CBIC_Late_Fee_Relief_Windows_1!$I$100:$I$378,CBIC_Late_Fee_Relief_Windows_1!$D$100:$D$378,"&lt;="&amp;B378,CBIC_Late_Fee_Relief_Windows_1!$E$100:$E$378,"&gt;="&amp;B378,CBIC_Late_Fee_Relief_Windows_1!$F$100:$F$378,"&lt;="&amp;C378,CBIC_Late_Fee_Relief_Windows_1!$G$100:$G$378,"&gt;="&amp;C378,CBIC_Late_Fee_Relief_Windows_1!$H$100:$H$378,D378)</f>
        <v>#NAME?</v>
      </c>
      <c r="H378" t="e">
        <f t="shared" ca="1" si="5"/>
        <v>#NAME?</v>
      </c>
      <c r="I378" t="e">
        <f ca="1">INDEX(CBIC_Late_Fee_Relief_Windows_1!$B$100:$B$378,MATCH(G378,CBIC_Late_Fee_Relief_Windows_1!$I$100:$I$378,0))</f>
        <v>#NAME?</v>
      </c>
    </row>
    <row r="379" spans="1:9" x14ac:dyDescent="0.55000000000000004">
      <c r="A379" t="str">
        <f>TEST_DATA!A379</f>
        <v>27AAAAA0379Z5</v>
      </c>
      <c r="B379" t="str">
        <f>TEST_DATA!B379</f>
        <v>Mar-2020</v>
      </c>
      <c r="C379">
        <f>TEST_DATA!C379</f>
        <v>44870</v>
      </c>
      <c r="D379" t="str">
        <f>TEST_DATA!D379</f>
        <v>NIL</v>
      </c>
      <c r="E379">
        <f>TEST_DATA!E379</f>
        <v>633</v>
      </c>
      <c r="F379">
        <f>MIN(E379*37900,10000)</f>
        <v>10000</v>
      </c>
      <c r="G379" t="e">
        <f ca="1">_xludf.MINIFS(CBIC_Late_Fee_Relief_Windows_1!$I$100:$I$379,CBIC_Late_Fee_Relief_Windows_1!$D$100:$D$379,"&lt;="&amp;B379,CBIC_Late_Fee_Relief_Windows_1!$E$100:$E$379,"&gt;="&amp;B379,CBIC_Late_Fee_Relief_Windows_1!$F$100:$F$379,"&lt;="&amp;C379,CBIC_Late_Fee_Relief_Windows_1!$G$100:$G$379,"&gt;="&amp;C379,CBIC_Late_Fee_Relief_Windows_1!$H$100:$H$379,D379)</f>
        <v>#NAME?</v>
      </c>
      <c r="H379" t="e">
        <f t="shared" ca="1" si="5"/>
        <v>#NAME?</v>
      </c>
      <c r="I379" t="e">
        <f ca="1">INDEX(CBIC_Late_Fee_Relief_Windows_1!$B$100:$B$379,MATCH(G379,CBIC_Late_Fee_Relief_Windows_1!$I$100:$I$379,0))</f>
        <v>#NAME?</v>
      </c>
    </row>
    <row r="380" spans="1:9" x14ac:dyDescent="0.55000000000000004">
      <c r="A380" t="str">
        <f>TEST_DATA!A380</f>
        <v>27AAAAA0380Z5</v>
      </c>
      <c r="B380" t="str">
        <f>TEST_DATA!B380</f>
        <v>Jun-2020</v>
      </c>
      <c r="C380">
        <f>TEST_DATA!C380</f>
        <v>44818</v>
      </c>
      <c r="D380" t="str">
        <f>TEST_DATA!D380</f>
        <v>NIL</v>
      </c>
      <c r="E380">
        <f>TEST_DATA!E380</f>
        <v>443</v>
      </c>
      <c r="F380">
        <f>MIN(E380*38000,10000)</f>
        <v>10000</v>
      </c>
      <c r="G380" t="e">
        <f ca="1">_xludf.MINIFS(CBIC_Late_Fee_Relief_Windows_1!$I$100:$I$380,CBIC_Late_Fee_Relief_Windows_1!$D$100:$D$380,"&lt;="&amp;B380,CBIC_Late_Fee_Relief_Windows_1!$E$100:$E$380,"&gt;="&amp;B380,CBIC_Late_Fee_Relief_Windows_1!$F$100:$F$380,"&lt;="&amp;C380,CBIC_Late_Fee_Relief_Windows_1!$G$100:$G$380,"&gt;="&amp;C380,CBIC_Late_Fee_Relief_Windows_1!$H$100:$H$380,D380)</f>
        <v>#NAME?</v>
      </c>
      <c r="H380" t="e">
        <f t="shared" ca="1" si="5"/>
        <v>#NAME?</v>
      </c>
      <c r="I380" t="e">
        <f ca="1">INDEX(CBIC_Late_Fee_Relief_Windows_1!$B$100:$B$380,MATCH(G380,CBIC_Late_Fee_Relief_Windows_1!$I$100:$I$380,0))</f>
        <v>#NAME?</v>
      </c>
    </row>
    <row r="381" spans="1:9" x14ac:dyDescent="0.55000000000000004">
      <c r="A381" t="str">
        <f>TEST_DATA!A381</f>
        <v>27AAAAA0381Z5</v>
      </c>
      <c r="B381" t="str">
        <f>TEST_DATA!B381</f>
        <v>Jun-2018</v>
      </c>
      <c r="C381">
        <f>TEST_DATA!C381</f>
        <v>44056</v>
      </c>
      <c r="D381" t="str">
        <f>TEST_DATA!D381</f>
        <v>NON-NIL</v>
      </c>
      <c r="E381">
        <f>TEST_DATA!E381</f>
        <v>470</v>
      </c>
      <c r="F381">
        <f>MIN(E381*38100,10000)</f>
        <v>10000</v>
      </c>
      <c r="G381" t="e">
        <f ca="1">_xludf.MINIFS(CBIC_Late_Fee_Relief_Windows_1!$I$100:$I$381,CBIC_Late_Fee_Relief_Windows_1!$D$100:$D$381,"&lt;="&amp;B381,CBIC_Late_Fee_Relief_Windows_1!$E$100:$E$381,"&gt;="&amp;B381,CBIC_Late_Fee_Relief_Windows_1!$F$100:$F$381,"&lt;="&amp;C381,CBIC_Late_Fee_Relief_Windows_1!$G$100:$G$381,"&gt;="&amp;C381,CBIC_Late_Fee_Relief_Windows_1!$H$100:$H$381,D381)</f>
        <v>#NAME?</v>
      </c>
      <c r="H381" t="e">
        <f t="shared" ca="1" si="5"/>
        <v>#NAME?</v>
      </c>
      <c r="I381" t="e">
        <f ca="1">INDEX(CBIC_Late_Fee_Relief_Windows_1!$B$100:$B$381,MATCH(G381,CBIC_Late_Fee_Relief_Windows_1!$I$100:$I$381,0))</f>
        <v>#NAME?</v>
      </c>
    </row>
    <row r="382" spans="1:9" x14ac:dyDescent="0.55000000000000004">
      <c r="A382" t="str">
        <f>TEST_DATA!A382</f>
        <v>27AAAAA0382Z5</v>
      </c>
      <c r="B382" t="str">
        <f>TEST_DATA!B382</f>
        <v>Mar-2021</v>
      </c>
      <c r="C382">
        <f>TEST_DATA!C382</f>
        <v>44607</v>
      </c>
      <c r="D382" t="str">
        <f>TEST_DATA!D382</f>
        <v>NIL</v>
      </c>
      <c r="E382">
        <f>TEST_DATA!E382</f>
        <v>1757</v>
      </c>
      <c r="F382">
        <f>MIN(E382*38200,10000)</f>
        <v>10000</v>
      </c>
      <c r="G382" t="e">
        <f ca="1">_xludf.MINIFS(CBIC_Late_Fee_Relief_Windows_1!$I$100:$I$382,CBIC_Late_Fee_Relief_Windows_1!$D$100:$D$382,"&lt;="&amp;B382,CBIC_Late_Fee_Relief_Windows_1!$E$100:$E$382,"&gt;="&amp;B382,CBIC_Late_Fee_Relief_Windows_1!$F$100:$F$382,"&lt;="&amp;C382,CBIC_Late_Fee_Relief_Windows_1!$G$100:$G$382,"&gt;="&amp;C382,CBIC_Late_Fee_Relief_Windows_1!$H$100:$H$382,D382)</f>
        <v>#NAME?</v>
      </c>
      <c r="H382" t="e">
        <f t="shared" ca="1" si="5"/>
        <v>#NAME?</v>
      </c>
      <c r="I382" t="e">
        <f ca="1">INDEX(CBIC_Late_Fee_Relief_Windows_1!$B$100:$B$382,MATCH(G382,CBIC_Late_Fee_Relief_Windows_1!$I$100:$I$382,0))</f>
        <v>#NAME?</v>
      </c>
    </row>
    <row r="383" spans="1:9" x14ac:dyDescent="0.55000000000000004">
      <c r="A383" t="str">
        <f>TEST_DATA!A383</f>
        <v>27AAAAA0383Z5</v>
      </c>
      <c r="B383" t="str">
        <f>TEST_DATA!B383</f>
        <v>Mar-2023</v>
      </c>
      <c r="C383">
        <f>TEST_DATA!C383</f>
        <v>45763</v>
      </c>
      <c r="D383" t="str">
        <f>TEST_DATA!D383</f>
        <v>NIL</v>
      </c>
      <c r="E383">
        <f>TEST_DATA!E383</f>
        <v>2494</v>
      </c>
      <c r="F383">
        <f>MIN(E383*38300,10000)</f>
        <v>10000</v>
      </c>
      <c r="G383" t="e">
        <f ca="1">_xludf.MINIFS(CBIC_Late_Fee_Relief_Windows_1!$I$100:$I$383,CBIC_Late_Fee_Relief_Windows_1!$D$100:$D$383,"&lt;="&amp;B383,CBIC_Late_Fee_Relief_Windows_1!$E$100:$E$383,"&gt;="&amp;B383,CBIC_Late_Fee_Relief_Windows_1!$F$100:$F$383,"&lt;="&amp;C383,CBIC_Late_Fee_Relief_Windows_1!$G$100:$G$383,"&gt;="&amp;C383,CBIC_Late_Fee_Relief_Windows_1!$H$100:$H$383,D383)</f>
        <v>#NAME?</v>
      </c>
      <c r="H383" t="e">
        <f t="shared" ca="1" si="5"/>
        <v>#NAME?</v>
      </c>
      <c r="I383" t="e">
        <f ca="1">INDEX(CBIC_Late_Fee_Relief_Windows_1!$B$100:$B$383,MATCH(G383,CBIC_Late_Fee_Relief_Windows_1!$I$100:$I$383,0))</f>
        <v>#NAME?</v>
      </c>
    </row>
    <row r="384" spans="1:9" x14ac:dyDescent="0.55000000000000004">
      <c r="A384" t="str">
        <f>TEST_DATA!A384</f>
        <v>27AAAAA0384Z5</v>
      </c>
      <c r="B384" t="str">
        <f>TEST_DATA!B384</f>
        <v>Jun-2020</v>
      </c>
      <c r="C384">
        <f>TEST_DATA!C384</f>
        <v>44378</v>
      </c>
      <c r="D384" t="str">
        <f>TEST_DATA!D384</f>
        <v>NIL</v>
      </c>
      <c r="E384">
        <f>TEST_DATA!E384</f>
        <v>738</v>
      </c>
      <c r="F384">
        <f>MIN(E384*38400,10000)</f>
        <v>10000</v>
      </c>
      <c r="G384" t="e">
        <f ca="1">_xludf.MINIFS(CBIC_Late_Fee_Relief_Windows_1!$I$100:$I$384,CBIC_Late_Fee_Relief_Windows_1!$D$100:$D$384,"&lt;="&amp;B384,CBIC_Late_Fee_Relief_Windows_1!$E$100:$E$384,"&gt;="&amp;B384,CBIC_Late_Fee_Relief_Windows_1!$F$100:$F$384,"&lt;="&amp;C384,CBIC_Late_Fee_Relief_Windows_1!$G$100:$G$384,"&gt;="&amp;C384,CBIC_Late_Fee_Relief_Windows_1!$H$100:$H$384,D384)</f>
        <v>#NAME?</v>
      </c>
      <c r="H384" t="e">
        <f t="shared" ca="1" si="5"/>
        <v>#NAME?</v>
      </c>
      <c r="I384" t="e">
        <f ca="1">INDEX(CBIC_Late_Fee_Relief_Windows_1!$B$100:$B$384,MATCH(G384,CBIC_Late_Fee_Relief_Windows_1!$I$100:$I$384,0))</f>
        <v>#NAME?</v>
      </c>
    </row>
    <row r="385" spans="1:9" x14ac:dyDescent="0.55000000000000004">
      <c r="A385" t="str">
        <f>TEST_DATA!A385</f>
        <v>27AAAAA0385Z5</v>
      </c>
      <c r="B385" t="str">
        <f>TEST_DATA!B385</f>
        <v>Mar-2018</v>
      </c>
      <c r="C385">
        <f>TEST_DATA!C385</f>
        <v>44356</v>
      </c>
      <c r="D385" t="str">
        <f>TEST_DATA!D385</f>
        <v>NON-NIL</v>
      </c>
      <c r="E385">
        <f>TEST_DATA!E385</f>
        <v>1391</v>
      </c>
      <c r="F385">
        <f>MIN(E385*38500,10000)</f>
        <v>10000</v>
      </c>
      <c r="G385" t="e">
        <f ca="1">_xludf.MINIFS(CBIC_Late_Fee_Relief_Windows_1!$I$100:$I$385,CBIC_Late_Fee_Relief_Windows_1!$D$100:$D$385,"&lt;="&amp;B385,CBIC_Late_Fee_Relief_Windows_1!$E$100:$E$385,"&gt;="&amp;B385,CBIC_Late_Fee_Relief_Windows_1!$F$100:$F$385,"&lt;="&amp;C385,CBIC_Late_Fee_Relief_Windows_1!$G$100:$G$385,"&gt;="&amp;C385,CBIC_Late_Fee_Relief_Windows_1!$H$100:$H$385,D385)</f>
        <v>#NAME?</v>
      </c>
      <c r="H385" t="e">
        <f t="shared" ca="1" si="5"/>
        <v>#NAME?</v>
      </c>
      <c r="I385" t="e">
        <f ca="1">INDEX(CBIC_Late_Fee_Relief_Windows_1!$B$100:$B$385,MATCH(G385,CBIC_Late_Fee_Relief_Windows_1!$I$100:$I$385,0))</f>
        <v>#NAME?</v>
      </c>
    </row>
    <row r="386" spans="1:9" x14ac:dyDescent="0.55000000000000004">
      <c r="A386" t="str">
        <f>TEST_DATA!A386</f>
        <v>27AAAAA0386Z5</v>
      </c>
      <c r="B386" t="str">
        <f>TEST_DATA!B386</f>
        <v>Jun-2018</v>
      </c>
      <c r="C386">
        <f>TEST_DATA!C386</f>
        <v>42929</v>
      </c>
      <c r="D386" t="str">
        <f>TEST_DATA!D386</f>
        <v>NIL</v>
      </c>
      <c r="E386">
        <f>TEST_DATA!E386</f>
        <v>586</v>
      </c>
      <c r="F386">
        <f>MIN(E386*38600,10000)</f>
        <v>10000</v>
      </c>
      <c r="G386" t="e">
        <f ca="1">_xludf.MINIFS(CBIC_Late_Fee_Relief_Windows_1!$I$100:$I$386,CBIC_Late_Fee_Relief_Windows_1!$D$100:$D$386,"&lt;="&amp;B386,CBIC_Late_Fee_Relief_Windows_1!$E$100:$E$386,"&gt;="&amp;B386,CBIC_Late_Fee_Relief_Windows_1!$F$100:$F$386,"&lt;="&amp;C386,CBIC_Late_Fee_Relief_Windows_1!$G$100:$G$386,"&gt;="&amp;C386,CBIC_Late_Fee_Relief_Windows_1!$H$100:$H$386,D386)</f>
        <v>#NAME?</v>
      </c>
      <c r="H386" t="e">
        <f t="shared" ref="H386:H449" ca="1" si="6">MIN(F386,G386)</f>
        <v>#NAME?</v>
      </c>
      <c r="I386" t="e">
        <f ca="1">INDEX(CBIC_Late_Fee_Relief_Windows_1!$B$100:$B$386,MATCH(G386,CBIC_Late_Fee_Relief_Windows_1!$I$100:$I$386,0))</f>
        <v>#NAME?</v>
      </c>
    </row>
    <row r="387" spans="1:9" x14ac:dyDescent="0.55000000000000004">
      <c r="A387" t="str">
        <f>TEST_DATA!A387</f>
        <v>27AAAAA0387Z5</v>
      </c>
      <c r="B387" t="str">
        <f>TEST_DATA!B387</f>
        <v>Mar-2020</v>
      </c>
      <c r="C387">
        <f>TEST_DATA!C387</f>
        <v>44651</v>
      </c>
      <c r="D387" t="str">
        <f>TEST_DATA!D387</f>
        <v>NIL</v>
      </c>
      <c r="E387">
        <f>TEST_DATA!E387</f>
        <v>581</v>
      </c>
      <c r="F387">
        <f>MIN(E387*38700,10000)</f>
        <v>10000</v>
      </c>
      <c r="G387" t="e">
        <f ca="1">_xludf.MINIFS(CBIC_Late_Fee_Relief_Windows_1!$I$100:$I$387,CBIC_Late_Fee_Relief_Windows_1!$D$100:$D$387,"&lt;="&amp;B387,CBIC_Late_Fee_Relief_Windows_1!$E$100:$E$387,"&gt;="&amp;B387,CBIC_Late_Fee_Relief_Windows_1!$F$100:$F$387,"&lt;="&amp;C387,CBIC_Late_Fee_Relief_Windows_1!$G$100:$G$387,"&gt;="&amp;C387,CBIC_Late_Fee_Relief_Windows_1!$H$100:$H$387,D387)</f>
        <v>#NAME?</v>
      </c>
      <c r="H387" t="e">
        <f t="shared" ca="1" si="6"/>
        <v>#NAME?</v>
      </c>
      <c r="I387" t="e">
        <f ca="1">INDEX(CBIC_Late_Fee_Relief_Windows_1!$B$100:$B$387,MATCH(G387,CBIC_Late_Fee_Relief_Windows_1!$I$100:$I$387,0))</f>
        <v>#NAME?</v>
      </c>
    </row>
    <row r="388" spans="1:9" x14ac:dyDescent="0.55000000000000004">
      <c r="A388" t="str">
        <f>TEST_DATA!A388</f>
        <v>27AAAAA0388Z5</v>
      </c>
      <c r="B388" t="str">
        <f>TEST_DATA!B388</f>
        <v>Jan-2021</v>
      </c>
      <c r="C388">
        <f>TEST_DATA!C388</f>
        <v>43591</v>
      </c>
      <c r="D388" t="str">
        <f>TEST_DATA!D388</f>
        <v>NIL</v>
      </c>
      <c r="E388">
        <f>TEST_DATA!E388</f>
        <v>2172</v>
      </c>
      <c r="F388">
        <f>MIN(E388*38800,10000)</f>
        <v>10000</v>
      </c>
      <c r="G388" t="e">
        <f ca="1">_xludf.MINIFS(CBIC_Late_Fee_Relief_Windows_1!$I$100:$I$388,CBIC_Late_Fee_Relief_Windows_1!$D$100:$D$388,"&lt;="&amp;B388,CBIC_Late_Fee_Relief_Windows_1!$E$100:$E$388,"&gt;="&amp;B388,CBIC_Late_Fee_Relief_Windows_1!$F$100:$F$388,"&lt;="&amp;C388,CBIC_Late_Fee_Relief_Windows_1!$G$100:$G$388,"&gt;="&amp;C388,CBIC_Late_Fee_Relief_Windows_1!$H$100:$H$388,D388)</f>
        <v>#NAME?</v>
      </c>
      <c r="H388" t="e">
        <f t="shared" ca="1" si="6"/>
        <v>#NAME?</v>
      </c>
      <c r="I388" t="e">
        <f ca="1">INDEX(CBIC_Late_Fee_Relief_Windows_1!$B$100:$B$388,MATCH(G388,CBIC_Late_Fee_Relief_Windows_1!$I$100:$I$388,0))</f>
        <v>#NAME?</v>
      </c>
    </row>
    <row r="389" spans="1:9" x14ac:dyDescent="0.55000000000000004">
      <c r="A389" t="str">
        <f>TEST_DATA!A389</f>
        <v>27AAAAA0389Z5</v>
      </c>
      <c r="B389" t="str">
        <f>TEST_DATA!B389</f>
        <v>Jan-2018</v>
      </c>
      <c r="C389">
        <f>TEST_DATA!C389</f>
        <v>43687</v>
      </c>
      <c r="D389" t="str">
        <f>TEST_DATA!D389</f>
        <v>NON-NIL</v>
      </c>
      <c r="E389">
        <f>TEST_DATA!E389</f>
        <v>1858</v>
      </c>
      <c r="F389">
        <f>MIN(E389*38900,10000)</f>
        <v>10000</v>
      </c>
      <c r="G389" t="e">
        <f ca="1">_xludf.MINIFS(CBIC_Late_Fee_Relief_Windows_1!$I$100:$I$389,CBIC_Late_Fee_Relief_Windows_1!$D$100:$D$389,"&lt;="&amp;B389,CBIC_Late_Fee_Relief_Windows_1!$E$100:$E$389,"&gt;="&amp;B389,CBIC_Late_Fee_Relief_Windows_1!$F$100:$F$389,"&lt;="&amp;C389,CBIC_Late_Fee_Relief_Windows_1!$G$100:$G$389,"&gt;="&amp;C389,CBIC_Late_Fee_Relief_Windows_1!$H$100:$H$389,D389)</f>
        <v>#NAME?</v>
      </c>
      <c r="H389" t="e">
        <f t="shared" ca="1" si="6"/>
        <v>#NAME?</v>
      </c>
      <c r="I389" t="e">
        <f ca="1">INDEX(CBIC_Late_Fee_Relief_Windows_1!$B$100:$B$389,MATCH(G389,CBIC_Late_Fee_Relief_Windows_1!$I$100:$I$389,0))</f>
        <v>#NAME?</v>
      </c>
    </row>
    <row r="390" spans="1:9" x14ac:dyDescent="0.55000000000000004">
      <c r="A390" t="str">
        <f>TEST_DATA!A390</f>
        <v>27AAAAA0390Z5</v>
      </c>
      <c r="B390" t="str">
        <f>TEST_DATA!B390</f>
        <v>May-2018</v>
      </c>
      <c r="C390">
        <f>TEST_DATA!C390</f>
        <v>43239</v>
      </c>
      <c r="D390" t="str">
        <f>TEST_DATA!D390</f>
        <v>NON-NIL</v>
      </c>
      <c r="E390">
        <f>TEST_DATA!E390</f>
        <v>1276</v>
      </c>
      <c r="F390">
        <f>MIN(E390*39000,10000)</f>
        <v>10000</v>
      </c>
      <c r="G390" t="e">
        <f ca="1">_xludf.MINIFS(CBIC_Late_Fee_Relief_Windows_1!$I$100:$I$390,CBIC_Late_Fee_Relief_Windows_1!$D$100:$D$390,"&lt;="&amp;B390,CBIC_Late_Fee_Relief_Windows_1!$E$100:$E$390,"&gt;="&amp;B390,CBIC_Late_Fee_Relief_Windows_1!$F$100:$F$390,"&lt;="&amp;C390,CBIC_Late_Fee_Relief_Windows_1!$G$100:$G$390,"&gt;="&amp;C390,CBIC_Late_Fee_Relief_Windows_1!$H$100:$H$390,D390)</f>
        <v>#NAME?</v>
      </c>
      <c r="H390" t="e">
        <f t="shared" ca="1" si="6"/>
        <v>#NAME?</v>
      </c>
      <c r="I390" t="e">
        <f ca="1">INDEX(CBIC_Late_Fee_Relief_Windows_1!$B$100:$B$390,MATCH(G390,CBIC_Late_Fee_Relief_Windows_1!$I$100:$I$390,0))</f>
        <v>#NAME?</v>
      </c>
    </row>
    <row r="391" spans="1:9" x14ac:dyDescent="0.55000000000000004">
      <c r="A391" t="str">
        <f>TEST_DATA!A391</f>
        <v>27AAAAA0391Z5</v>
      </c>
      <c r="B391" t="str">
        <f>TEST_DATA!B391</f>
        <v>Jan-2021</v>
      </c>
      <c r="C391">
        <f>TEST_DATA!C391</f>
        <v>44794</v>
      </c>
      <c r="D391" t="str">
        <f>TEST_DATA!D391</f>
        <v>NIL</v>
      </c>
      <c r="E391">
        <f>TEST_DATA!E391</f>
        <v>215</v>
      </c>
      <c r="F391">
        <f>MIN(E391*39100,10000)</f>
        <v>10000</v>
      </c>
      <c r="G391" t="e">
        <f ca="1">_xludf.MINIFS(CBIC_Late_Fee_Relief_Windows_1!$I$100:$I$391,CBIC_Late_Fee_Relief_Windows_1!$D$100:$D$391,"&lt;="&amp;B391,CBIC_Late_Fee_Relief_Windows_1!$E$100:$E$391,"&gt;="&amp;B391,CBIC_Late_Fee_Relief_Windows_1!$F$100:$F$391,"&lt;="&amp;C391,CBIC_Late_Fee_Relief_Windows_1!$G$100:$G$391,"&gt;="&amp;C391,CBIC_Late_Fee_Relief_Windows_1!$H$100:$H$391,D391)</f>
        <v>#NAME?</v>
      </c>
      <c r="H391" t="e">
        <f t="shared" ca="1" si="6"/>
        <v>#NAME?</v>
      </c>
      <c r="I391" t="e">
        <f ca="1">INDEX(CBIC_Late_Fee_Relief_Windows_1!$B$100:$B$391,MATCH(G391,CBIC_Late_Fee_Relief_Windows_1!$I$100:$I$391,0))</f>
        <v>#NAME?</v>
      </c>
    </row>
    <row r="392" spans="1:9" x14ac:dyDescent="0.55000000000000004">
      <c r="A392" t="str">
        <f>TEST_DATA!A392</f>
        <v>27AAAAA0392Z5</v>
      </c>
      <c r="B392" t="str">
        <f>TEST_DATA!B392</f>
        <v>Nov-2017</v>
      </c>
      <c r="C392">
        <f>TEST_DATA!C392</f>
        <v>43239</v>
      </c>
      <c r="D392" t="str">
        <f>TEST_DATA!D392</f>
        <v>NIL</v>
      </c>
      <c r="E392">
        <f>TEST_DATA!E392</f>
        <v>2760</v>
      </c>
      <c r="F392">
        <f>MIN(E392*39200,10000)</f>
        <v>10000</v>
      </c>
      <c r="G392" t="e">
        <f ca="1">_xludf.MINIFS(CBIC_Late_Fee_Relief_Windows_1!$I$100:$I$392,CBIC_Late_Fee_Relief_Windows_1!$D$100:$D$392,"&lt;="&amp;B392,CBIC_Late_Fee_Relief_Windows_1!$E$100:$E$392,"&gt;="&amp;B392,CBIC_Late_Fee_Relief_Windows_1!$F$100:$F$392,"&lt;="&amp;C392,CBIC_Late_Fee_Relief_Windows_1!$G$100:$G$392,"&gt;="&amp;C392,CBIC_Late_Fee_Relief_Windows_1!$H$100:$H$392,D392)</f>
        <v>#NAME?</v>
      </c>
      <c r="H392" t="e">
        <f t="shared" ca="1" si="6"/>
        <v>#NAME?</v>
      </c>
      <c r="I392" t="e">
        <f ca="1">INDEX(CBIC_Late_Fee_Relief_Windows_1!$B$100:$B$392,MATCH(G392,CBIC_Late_Fee_Relief_Windows_1!$I$100:$I$392,0))</f>
        <v>#NAME?</v>
      </c>
    </row>
    <row r="393" spans="1:9" x14ac:dyDescent="0.55000000000000004">
      <c r="A393" t="str">
        <f>TEST_DATA!A393</f>
        <v>27AAAAA0393Z5</v>
      </c>
      <c r="B393" t="str">
        <f>TEST_DATA!B393</f>
        <v>Sep-2017</v>
      </c>
      <c r="C393">
        <f>TEST_DATA!C393</f>
        <v>43474</v>
      </c>
      <c r="D393" t="str">
        <f>TEST_DATA!D393</f>
        <v>NON-NIL</v>
      </c>
      <c r="E393">
        <f>TEST_DATA!E393</f>
        <v>2711</v>
      </c>
      <c r="F393">
        <f>MIN(E393*39300,10000)</f>
        <v>10000</v>
      </c>
      <c r="G393" t="e">
        <f ca="1">_xludf.MINIFS(CBIC_Late_Fee_Relief_Windows_1!$I$100:$I$393,CBIC_Late_Fee_Relief_Windows_1!$D$100:$D$393,"&lt;="&amp;B393,CBIC_Late_Fee_Relief_Windows_1!$E$100:$E$393,"&gt;="&amp;B393,CBIC_Late_Fee_Relief_Windows_1!$F$100:$F$393,"&lt;="&amp;C393,CBIC_Late_Fee_Relief_Windows_1!$G$100:$G$393,"&gt;="&amp;C393,CBIC_Late_Fee_Relief_Windows_1!$H$100:$H$393,D393)</f>
        <v>#NAME?</v>
      </c>
      <c r="H393" t="e">
        <f t="shared" ca="1" si="6"/>
        <v>#NAME?</v>
      </c>
      <c r="I393" t="e">
        <f ca="1">INDEX(CBIC_Late_Fee_Relief_Windows_1!$B$100:$B$393,MATCH(G393,CBIC_Late_Fee_Relief_Windows_1!$I$100:$I$393,0))</f>
        <v>#NAME?</v>
      </c>
    </row>
    <row r="394" spans="1:9" x14ac:dyDescent="0.55000000000000004">
      <c r="A394" t="str">
        <f>TEST_DATA!A394</f>
        <v>27AAAAA0394Z5</v>
      </c>
      <c r="B394" t="str">
        <f>TEST_DATA!B394</f>
        <v>Aug-2018</v>
      </c>
      <c r="C394">
        <f>TEST_DATA!C394</f>
        <v>43911</v>
      </c>
      <c r="D394" t="str">
        <f>TEST_DATA!D394</f>
        <v>NON-NIL</v>
      </c>
      <c r="E394">
        <f>TEST_DATA!E394</f>
        <v>1696</v>
      </c>
      <c r="F394">
        <f>MIN(E394*39400,10000)</f>
        <v>10000</v>
      </c>
      <c r="G394" t="e">
        <f ca="1">_xludf.MINIFS(CBIC_Late_Fee_Relief_Windows_1!$I$100:$I$394,CBIC_Late_Fee_Relief_Windows_1!$D$100:$D$394,"&lt;="&amp;B394,CBIC_Late_Fee_Relief_Windows_1!$E$100:$E$394,"&gt;="&amp;B394,CBIC_Late_Fee_Relief_Windows_1!$F$100:$F$394,"&lt;="&amp;C394,CBIC_Late_Fee_Relief_Windows_1!$G$100:$G$394,"&gt;="&amp;C394,CBIC_Late_Fee_Relief_Windows_1!$H$100:$H$394,D394)</f>
        <v>#NAME?</v>
      </c>
      <c r="H394" t="e">
        <f t="shared" ca="1" si="6"/>
        <v>#NAME?</v>
      </c>
      <c r="I394" t="e">
        <f ca="1">INDEX(CBIC_Late_Fee_Relief_Windows_1!$B$100:$B$394,MATCH(G394,CBIC_Late_Fee_Relief_Windows_1!$I$100:$I$394,0))</f>
        <v>#NAME?</v>
      </c>
    </row>
    <row r="395" spans="1:9" x14ac:dyDescent="0.55000000000000004">
      <c r="A395" t="str">
        <f>TEST_DATA!A395</f>
        <v>27AAAAA0395Z5</v>
      </c>
      <c r="B395" t="str">
        <f>TEST_DATA!B395</f>
        <v>Mar-2018</v>
      </c>
      <c r="C395">
        <f>TEST_DATA!C395</f>
        <v>43358</v>
      </c>
      <c r="D395" t="str">
        <f>TEST_DATA!D395</f>
        <v>NIL</v>
      </c>
      <c r="E395">
        <f>TEST_DATA!E395</f>
        <v>1413</v>
      </c>
      <c r="F395">
        <f>MIN(E395*39500,10000)</f>
        <v>10000</v>
      </c>
      <c r="G395" t="e">
        <f ca="1">_xludf.MINIFS(CBIC_Late_Fee_Relief_Windows_1!$I$100:$I$395,CBIC_Late_Fee_Relief_Windows_1!$D$100:$D$395,"&lt;="&amp;B395,CBIC_Late_Fee_Relief_Windows_1!$E$100:$E$395,"&gt;="&amp;B395,CBIC_Late_Fee_Relief_Windows_1!$F$100:$F$395,"&lt;="&amp;C395,CBIC_Late_Fee_Relief_Windows_1!$G$100:$G$395,"&gt;="&amp;C395,CBIC_Late_Fee_Relief_Windows_1!$H$100:$H$395,D395)</f>
        <v>#NAME?</v>
      </c>
      <c r="H395" t="e">
        <f t="shared" ca="1" si="6"/>
        <v>#NAME?</v>
      </c>
      <c r="I395" t="e">
        <f ca="1">INDEX(CBIC_Late_Fee_Relief_Windows_1!$B$100:$B$395,MATCH(G395,CBIC_Late_Fee_Relief_Windows_1!$I$100:$I$395,0))</f>
        <v>#NAME?</v>
      </c>
    </row>
    <row r="396" spans="1:9" x14ac:dyDescent="0.55000000000000004">
      <c r="A396" t="str">
        <f>TEST_DATA!A396</f>
        <v>27AAAAA0396Z5</v>
      </c>
      <c r="B396" t="str">
        <f>TEST_DATA!B396</f>
        <v>Aug-2018</v>
      </c>
      <c r="C396">
        <f>TEST_DATA!C396</f>
        <v>43144</v>
      </c>
      <c r="D396" t="str">
        <f>TEST_DATA!D396</f>
        <v>NON-NIL</v>
      </c>
      <c r="E396">
        <f>TEST_DATA!E396</f>
        <v>2777</v>
      </c>
      <c r="F396">
        <f>MIN(E396*39600,10000)</f>
        <v>10000</v>
      </c>
      <c r="G396" t="e">
        <f ca="1">_xludf.MINIFS(CBIC_Late_Fee_Relief_Windows_1!$I$100:$I$396,CBIC_Late_Fee_Relief_Windows_1!$D$100:$D$396,"&lt;="&amp;B396,CBIC_Late_Fee_Relief_Windows_1!$E$100:$E$396,"&gt;="&amp;B396,CBIC_Late_Fee_Relief_Windows_1!$F$100:$F$396,"&lt;="&amp;C396,CBIC_Late_Fee_Relief_Windows_1!$G$100:$G$396,"&gt;="&amp;C396,CBIC_Late_Fee_Relief_Windows_1!$H$100:$H$396,D396)</f>
        <v>#NAME?</v>
      </c>
      <c r="H396" t="e">
        <f t="shared" ca="1" si="6"/>
        <v>#NAME?</v>
      </c>
      <c r="I396" t="e">
        <f ca="1">INDEX(CBIC_Late_Fee_Relief_Windows_1!$B$100:$B$396,MATCH(G396,CBIC_Late_Fee_Relief_Windows_1!$I$100:$I$396,0))</f>
        <v>#NAME?</v>
      </c>
    </row>
    <row r="397" spans="1:9" x14ac:dyDescent="0.55000000000000004">
      <c r="A397" t="str">
        <f>TEST_DATA!A397</f>
        <v>27AAAAA0397Z5</v>
      </c>
      <c r="B397" t="str">
        <f>TEST_DATA!B397</f>
        <v>Jun-2020</v>
      </c>
      <c r="C397">
        <f>TEST_DATA!C397</f>
        <v>44827</v>
      </c>
      <c r="D397" t="str">
        <f>TEST_DATA!D397</f>
        <v>NON-NIL</v>
      </c>
      <c r="E397">
        <f>TEST_DATA!E397</f>
        <v>186</v>
      </c>
      <c r="F397">
        <f>MIN(E397*39700,10000)</f>
        <v>10000</v>
      </c>
      <c r="G397" t="e">
        <f ca="1">_xludf.MINIFS(CBIC_Late_Fee_Relief_Windows_1!$I$100:$I$397,CBIC_Late_Fee_Relief_Windows_1!$D$100:$D$397,"&lt;="&amp;B397,CBIC_Late_Fee_Relief_Windows_1!$E$100:$E$397,"&gt;="&amp;B397,CBIC_Late_Fee_Relief_Windows_1!$F$100:$F$397,"&lt;="&amp;C397,CBIC_Late_Fee_Relief_Windows_1!$G$100:$G$397,"&gt;="&amp;C397,CBIC_Late_Fee_Relief_Windows_1!$H$100:$H$397,D397)</f>
        <v>#NAME?</v>
      </c>
      <c r="H397" t="e">
        <f t="shared" ca="1" si="6"/>
        <v>#NAME?</v>
      </c>
      <c r="I397" t="e">
        <f ca="1">INDEX(CBIC_Late_Fee_Relief_Windows_1!$B$100:$B$397,MATCH(G397,CBIC_Late_Fee_Relief_Windows_1!$I$100:$I$397,0))</f>
        <v>#NAME?</v>
      </c>
    </row>
    <row r="398" spans="1:9" x14ac:dyDescent="0.55000000000000004">
      <c r="A398" t="str">
        <f>TEST_DATA!A398</f>
        <v>27AAAAA0398Z5</v>
      </c>
      <c r="B398" t="str">
        <f>TEST_DATA!B398</f>
        <v>Feb-2018</v>
      </c>
      <c r="C398">
        <f>TEST_DATA!C398</f>
        <v>43726</v>
      </c>
      <c r="D398" t="str">
        <f>TEST_DATA!D398</f>
        <v>NIL</v>
      </c>
      <c r="E398">
        <f>TEST_DATA!E398</f>
        <v>31</v>
      </c>
      <c r="F398">
        <f>MIN(E398*39800,10000)</f>
        <v>10000</v>
      </c>
      <c r="G398" t="e">
        <f ca="1">_xludf.MINIFS(CBIC_Late_Fee_Relief_Windows_1!$I$100:$I$398,CBIC_Late_Fee_Relief_Windows_1!$D$100:$D$398,"&lt;="&amp;B398,CBIC_Late_Fee_Relief_Windows_1!$E$100:$E$398,"&gt;="&amp;B398,CBIC_Late_Fee_Relief_Windows_1!$F$100:$F$398,"&lt;="&amp;C398,CBIC_Late_Fee_Relief_Windows_1!$G$100:$G$398,"&gt;="&amp;C398,CBIC_Late_Fee_Relief_Windows_1!$H$100:$H$398,D398)</f>
        <v>#NAME?</v>
      </c>
      <c r="H398" t="e">
        <f t="shared" ca="1" si="6"/>
        <v>#NAME?</v>
      </c>
      <c r="I398" t="e">
        <f ca="1">INDEX(CBIC_Late_Fee_Relief_Windows_1!$B$100:$B$398,MATCH(G398,CBIC_Late_Fee_Relief_Windows_1!$I$100:$I$398,0))</f>
        <v>#NAME?</v>
      </c>
    </row>
    <row r="399" spans="1:9" x14ac:dyDescent="0.55000000000000004">
      <c r="A399" t="str">
        <f>TEST_DATA!A399</f>
        <v>27AAAAA0399Z5</v>
      </c>
      <c r="B399" t="str">
        <f>TEST_DATA!B399</f>
        <v>Jan-2018</v>
      </c>
      <c r="C399">
        <f>TEST_DATA!C399</f>
        <v>43534</v>
      </c>
      <c r="D399" t="str">
        <f>TEST_DATA!D399</f>
        <v>NIL</v>
      </c>
      <c r="E399">
        <f>TEST_DATA!E399</f>
        <v>562</v>
      </c>
      <c r="F399">
        <f>MIN(E399*39900,10000)</f>
        <v>10000</v>
      </c>
      <c r="G399" t="e">
        <f ca="1">_xludf.MINIFS(CBIC_Late_Fee_Relief_Windows_1!$I$100:$I$399,CBIC_Late_Fee_Relief_Windows_1!$D$100:$D$399,"&lt;="&amp;B399,CBIC_Late_Fee_Relief_Windows_1!$E$100:$E$399,"&gt;="&amp;B399,CBIC_Late_Fee_Relief_Windows_1!$F$100:$F$399,"&lt;="&amp;C399,CBIC_Late_Fee_Relief_Windows_1!$G$100:$G$399,"&gt;="&amp;C399,CBIC_Late_Fee_Relief_Windows_1!$H$100:$H$399,D399)</f>
        <v>#NAME?</v>
      </c>
      <c r="H399" t="e">
        <f t="shared" ca="1" si="6"/>
        <v>#NAME?</v>
      </c>
      <c r="I399" t="e">
        <f ca="1">INDEX(CBIC_Late_Fee_Relief_Windows_1!$B$100:$B$399,MATCH(G399,CBIC_Late_Fee_Relief_Windows_1!$I$100:$I$399,0))</f>
        <v>#NAME?</v>
      </c>
    </row>
    <row r="400" spans="1:9" x14ac:dyDescent="0.55000000000000004">
      <c r="A400" t="str">
        <f>TEST_DATA!A400</f>
        <v>27AAAAA0400Z5</v>
      </c>
      <c r="B400" t="str">
        <f>TEST_DATA!B400</f>
        <v>Mar-2021</v>
      </c>
      <c r="C400">
        <f>TEST_DATA!C400</f>
        <v>44512</v>
      </c>
      <c r="D400" t="str">
        <f>TEST_DATA!D400</f>
        <v>NON-NIL</v>
      </c>
      <c r="E400">
        <f>TEST_DATA!E400</f>
        <v>1343</v>
      </c>
      <c r="F400">
        <f>MIN(E400*40000,10000)</f>
        <v>10000</v>
      </c>
      <c r="G400" t="e">
        <f ca="1">_xludf.MINIFS(CBIC_Late_Fee_Relief_Windows_1!$I$100:$I$400,CBIC_Late_Fee_Relief_Windows_1!$D$100:$D$400,"&lt;="&amp;B400,CBIC_Late_Fee_Relief_Windows_1!$E$100:$E$400,"&gt;="&amp;B400,CBIC_Late_Fee_Relief_Windows_1!$F$100:$F$400,"&lt;="&amp;C400,CBIC_Late_Fee_Relief_Windows_1!$G$100:$G$400,"&gt;="&amp;C400,CBIC_Late_Fee_Relief_Windows_1!$H$100:$H$400,D400)</f>
        <v>#NAME?</v>
      </c>
      <c r="H400" t="e">
        <f t="shared" ca="1" si="6"/>
        <v>#NAME?</v>
      </c>
      <c r="I400" t="e">
        <f ca="1">INDEX(CBIC_Late_Fee_Relief_Windows_1!$B$100:$B$400,MATCH(G400,CBIC_Late_Fee_Relief_Windows_1!$I$100:$I$400,0))</f>
        <v>#NAME?</v>
      </c>
    </row>
    <row r="401" spans="1:9" x14ac:dyDescent="0.55000000000000004">
      <c r="A401" t="str">
        <f>TEST_DATA!A401</f>
        <v>27AAAAA0401Z5</v>
      </c>
      <c r="B401" t="str">
        <f>TEST_DATA!B401</f>
        <v>Oct-2017</v>
      </c>
      <c r="C401">
        <f>TEST_DATA!C401</f>
        <v>42932</v>
      </c>
      <c r="D401" t="str">
        <f>TEST_DATA!D401</f>
        <v>NON-NIL</v>
      </c>
      <c r="E401">
        <f>TEST_DATA!E401</f>
        <v>1763</v>
      </c>
      <c r="F401">
        <f>MIN(E401*40100,10000)</f>
        <v>10000</v>
      </c>
      <c r="G401" t="e">
        <f ca="1">_xludf.MINIFS(CBIC_Late_Fee_Relief_Windows_1!$I$100:$I$401,CBIC_Late_Fee_Relief_Windows_1!$D$100:$D$401,"&lt;="&amp;B401,CBIC_Late_Fee_Relief_Windows_1!$E$100:$E$401,"&gt;="&amp;B401,CBIC_Late_Fee_Relief_Windows_1!$F$100:$F$401,"&lt;="&amp;C401,CBIC_Late_Fee_Relief_Windows_1!$G$100:$G$401,"&gt;="&amp;C401,CBIC_Late_Fee_Relief_Windows_1!$H$100:$H$401,D401)</f>
        <v>#NAME?</v>
      </c>
      <c r="H401" t="e">
        <f t="shared" ca="1" si="6"/>
        <v>#NAME?</v>
      </c>
      <c r="I401" t="e">
        <f ca="1">INDEX(CBIC_Late_Fee_Relief_Windows_1!$B$100:$B$401,MATCH(G401,CBIC_Late_Fee_Relief_Windows_1!$I$100:$I$401,0))</f>
        <v>#NAME?</v>
      </c>
    </row>
    <row r="402" spans="1:9" x14ac:dyDescent="0.55000000000000004">
      <c r="A402" t="str">
        <f>TEST_DATA!A402</f>
        <v>27AAAAA0402Z5</v>
      </c>
      <c r="B402" t="str">
        <f>TEST_DATA!B402</f>
        <v>Dec-2017</v>
      </c>
      <c r="C402">
        <f>TEST_DATA!C402</f>
        <v>43181</v>
      </c>
      <c r="D402" t="str">
        <f>TEST_DATA!D402</f>
        <v>NON-NIL</v>
      </c>
      <c r="E402">
        <f>TEST_DATA!E402</f>
        <v>2181</v>
      </c>
      <c r="F402">
        <f>MIN(E402*40200,10000)</f>
        <v>10000</v>
      </c>
      <c r="G402" t="e">
        <f ca="1">_xludf.MINIFS(CBIC_Late_Fee_Relief_Windows_1!$I$100:$I$402,CBIC_Late_Fee_Relief_Windows_1!$D$100:$D$402,"&lt;="&amp;B402,CBIC_Late_Fee_Relief_Windows_1!$E$100:$E$402,"&gt;="&amp;B402,CBIC_Late_Fee_Relief_Windows_1!$F$100:$F$402,"&lt;="&amp;C402,CBIC_Late_Fee_Relief_Windows_1!$G$100:$G$402,"&gt;="&amp;C402,CBIC_Late_Fee_Relief_Windows_1!$H$100:$H$402,D402)</f>
        <v>#NAME?</v>
      </c>
      <c r="H402" t="e">
        <f t="shared" ca="1" si="6"/>
        <v>#NAME?</v>
      </c>
      <c r="I402" t="e">
        <f ca="1">INDEX(CBIC_Late_Fee_Relief_Windows_1!$B$100:$B$402,MATCH(G402,CBIC_Late_Fee_Relief_Windows_1!$I$100:$I$402,0))</f>
        <v>#NAME?</v>
      </c>
    </row>
    <row r="403" spans="1:9" x14ac:dyDescent="0.55000000000000004">
      <c r="A403" t="str">
        <f>TEST_DATA!A403</f>
        <v>27AAAAA0403Z5</v>
      </c>
      <c r="B403" t="str">
        <f>TEST_DATA!B403</f>
        <v>Jul-2020</v>
      </c>
      <c r="C403">
        <f>TEST_DATA!C403</f>
        <v>44302</v>
      </c>
      <c r="D403" t="str">
        <f>TEST_DATA!D403</f>
        <v>NON-NIL</v>
      </c>
      <c r="E403">
        <f>TEST_DATA!E403</f>
        <v>295</v>
      </c>
      <c r="F403">
        <f>MIN(E403*40300,10000)</f>
        <v>10000</v>
      </c>
      <c r="G403" t="e">
        <f ca="1">_xludf.MINIFS(CBIC_Late_Fee_Relief_Windows_1!$I$100:$I$403,CBIC_Late_Fee_Relief_Windows_1!$D$100:$D$403,"&lt;="&amp;B403,CBIC_Late_Fee_Relief_Windows_1!$E$100:$E$403,"&gt;="&amp;B403,CBIC_Late_Fee_Relief_Windows_1!$F$100:$F$403,"&lt;="&amp;C403,CBIC_Late_Fee_Relief_Windows_1!$G$100:$G$403,"&gt;="&amp;C403,CBIC_Late_Fee_Relief_Windows_1!$H$100:$H$403,D403)</f>
        <v>#NAME?</v>
      </c>
      <c r="H403" t="e">
        <f t="shared" ca="1" si="6"/>
        <v>#NAME?</v>
      </c>
      <c r="I403" t="e">
        <f ca="1">INDEX(CBIC_Late_Fee_Relief_Windows_1!$B$100:$B$403,MATCH(G403,CBIC_Late_Fee_Relief_Windows_1!$I$100:$I$403,0))</f>
        <v>#NAME?</v>
      </c>
    </row>
    <row r="404" spans="1:9" x14ac:dyDescent="0.55000000000000004">
      <c r="A404" t="str">
        <f>TEST_DATA!A404</f>
        <v>27AAAAA0404Z5</v>
      </c>
      <c r="B404" t="str">
        <f>TEST_DATA!B404</f>
        <v>Jul-2018</v>
      </c>
      <c r="C404">
        <f>TEST_DATA!C404</f>
        <v>44436</v>
      </c>
      <c r="D404" t="str">
        <f>TEST_DATA!D404</f>
        <v>NIL</v>
      </c>
      <c r="E404">
        <f>TEST_DATA!E404</f>
        <v>1786</v>
      </c>
      <c r="F404">
        <f>MIN(E404*40400,10000)</f>
        <v>10000</v>
      </c>
      <c r="G404" t="e">
        <f ca="1">_xludf.MINIFS(CBIC_Late_Fee_Relief_Windows_1!$I$100:$I$404,CBIC_Late_Fee_Relief_Windows_1!$D$100:$D$404,"&lt;="&amp;B404,CBIC_Late_Fee_Relief_Windows_1!$E$100:$E$404,"&gt;="&amp;B404,CBIC_Late_Fee_Relief_Windows_1!$F$100:$F$404,"&lt;="&amp;C404,CBIC_Late_Fee_Relief_Windows_1!$G$100:$G$404,"&gt;="&amp;C404,CBIC_Late_Fee_Relief_Windows_1!$H$100:$H$404,D404)</f>
        <v>#NAME?</v>
      </c>
      <c r="H404" t="e">
        <f t="shared" ca="1" si="6"/>
        <v>#NAME?</v>
      </c>
      <c r="I404" t="e">
        <f ca="1">INDEX(CBIC_Late_Fee_Relief_Windows_1!$B$100:$B$404,MATCH(G404,CBIC_Late_Fee_Relief_Windows_1!$I$100:$I$404,0))</f>
        <v>#NAME?</v>
      </c>
    </row>
    <row r="405" spans="1:9" x14ac:dyDescent="0.55000000000000004">
      <c r="A405" t="str">
        <f>TEST_DATA!A405</f>
        <v>27AAAAA0405Z5</v>
      </c>
      <c r="B405" t="str">
        <f>TEST_DATA!B405</f>
        <v>Jul-2017</v>
      </c>
      <c r="C405">
        <f>TEST_DATA!C405</f>
        <v>43858</v>
      </c>
      <c r="D405" t="str">
        <f>TEST_DATA!D405</f>
        <v>NIL</v>
      </c>
      <c r="E405">
        <f>TEST_DATA!E405</f>
        <v>1282</v>
      </c>
      <c r="F405">
        <f>MIN(E405*40500,10000)</f>
        <v>10000</v>
      </c>
      <c r="G405" t="e">
        <f ca="1">_xludf.MINIFS(CBIC_Late_Fee_Relief_Windows_1!$I$100:$I$405,CBIC_Late_Fee_Relief_Windows_1!$D$100:$D$405,"&lt;="&amp;B405,CBIC_Late_Fee_Relief_Windows_1!$E$100:$E$405,"&gt;="&amp;B405,CBIC_Late_Fee_Relief_Windows_1!$F$100:$F$405,"&lt;="&amp;C405,CBIC_Late_Fee_Relief_Windows_1!$G$100:$G$405,"&gt;="&amp;C405,CBIC_Late_Fee_Relief_Windows_1!$H$100:$H$405,D405)</f>
        <v>#NAME?</v>
      </c>
      <c r="H405" t="e">
        <f t="shared" ca="1" si="6"/>
        <v>#NAME?</v>
      </c>
      <c r="I405" t="e">
        <f ca="1">INDEX(CBIC_Late_Fee_Relief_Windows_1!$B$100:$B$405,MATCH(G405,CBIC_Late_Fee_Relief_Windows_1!$I$100:$I$405,0))</f>
        <v>#NAME?</v>
      </c>
    </row>
    <row r="406" spans="1:9" x14ac:dyDescent="0.55000000000000004">
      <c r="A406" t="str">
        <f>TEST_DATA!A406</f>
        <v>27AAAAA0406Z5</v>
      </c>
      <c r="B406" t="str">
        <f>TEST_DATA!B406</f>
        <v>Mar-2020</v>
      </c>
      <c r="C406">
        <f>TEST_DATA!C406</f>
        <v>44710</v>
      </c>
      <c r="D406" t="str">
        <f>TEST_DATA!D406</f>
        <v>NON-NIL</v>
      </c>
      <c r="E406">
        <f>TEST_DATA!E406</f>
        <v>2906</v>
      </c>
      <c r="F406">
        <f>MIN(E406*40600,10000)</f>
        <v>10000</v>
      </c>
      <c r="G406" t="e">
        <f ca="1">_xludf.MINIFS(CBIC_Late_Fee_Relief_Windows_1!$I$100:$I$406,CBIC_Late_Fee_Relief_Windows_1!$D$100:$D$406,"&lt;="&amp;B406,CBIC_Late_Fee_Relief_Windows_1!$E$100:$E$406,"&gt;="&amp;B406,CBIC_Late_Fee_Relief_Windows_1!$F$100:$F$406,"&lt;="&amp;C406,CBIC_Late_Fee_Relief_Windows_1!$G$100:$G$406,"&gt;="&amp;C406,CBIC_Late_Fee_Relief_Windows_1!$H$100:$H$406,D406)</f>
        <v>#NAME?</v>
      </c>
      <c r="H406" t="e">
        <f t="shared" ca="1" si="6"/>
        <v>#NAME?</v>
      </c>
      <c r="I406" t="e">
        <f ca="1">INDEX(CBIC_Late_Fee_Relief_Windows_1!$B$100:$B$406,MATCH(G406,CBIC_Late_Fee_Relief_Windows_1!$I$100:$I$406,0))</f>
        <v>#NAME?</v>
      </c>
    </row>
    <row r="407" spans="1:9" x14ac:dyDescent="0.55000000000000004">
      <c r="A407" t="str">
        <f>TEST_DATA!A407</f>
        <v>27AAAAA0407Z5</v>
      </c>
      <c r="B407" t="str">
        <f>TEST_DATA!B407</f>
        <v>May-2020</v>
      </c>
      <c r="C407">
        <f>TEST_DATA!C407</f>
        <v>44686</v>
      </c>
      <c r="D407" t="str">
        <f>TEST_DATA!D407</f>
        <v>NON-NIL</v>
      </c>
      <c r="E407">
        <f>TEST_DATA!E407</f>
        <v>471</v>
      </c>
      <c r="F407">
        <f>MIN(E407*40700,10000)</f>
        <v>10000</v>
      </c>
      <c r="G407" t="e">
        <f ca="1">_xludf.MINIFS(CBIC_Late_Fee_Relief_Windows_1!$I$100:$I$407,CBIC_Late_Fee_Relief_Windows_1!$D$100:$D$407,"&lt;="&amp;B407,CBIC_Late_Fee_Relief_Windows_1!$E$100:$E$407,"&gt;="&amp;B407,CBIC_Late_Fee_Relief_Windows_1!$F$100:$F$407,"&lt;="&amp;C407,CBIC_Late_Fee_Relief_Windows_1!$G$100:$G$407,"&gt;="&amp;C407,CBIC_Late_Fee_Relief_Windows_1!$H$100:$H$407,D407)</f>
        <v>#NAME?</v>
      </c>
      <c r="H407" t="e">
        <f t="shared" ca="1" si="6"/>
        <v>#NAME?</v>
      </c>
      <c r="I407" t="e">
        <f ca="1">INDEX(CBIC_Late_Fee_Relief_Windows_1!$B$100:$B$407,MATCH(G407,CBIC_Late_Fee_Relief_Windows_1!$I$100:$I$407,0))</f>
        <v>#NAME?</v>
      </c>
    </row>
    <row r="408" spans="1:9" x14ac:dyDescent="0.55000000000000004">
      <c r="A408" t="str">
        <f>TEST_DATA!A408</f>
        <v>27AAAAA0408Z5</v>
      </c>
      <c r="B408" t="str">
        <f>TEST_DATA!B408</f>
        <v>Jul-2018</v>
      </c>
      <c r="C408">
        <f>TEST_DATA!C408</f>
        <v>42959</v>
      </c>
      <c r="D408" t="str">
        <f>TEST_DATA!D408</f>
        <v>NON-NIL</v>
      </c>
      <c r="E408">
        <f>TEST_DATA!E408</f>
        <v>703</v>
      </c>
      <c r="F408">
        <f>MIN(E408*40800,10000)</f>
        <v>10000</v>
      </c>
      <c r="G408" t="e">
        <f ca="1">_xludf.MINIFS(CBIC_Late_Fee_Relief_Windows_1!$I$100:$I$408,CBIC_Late_Fee_Relief_Windows_1!$D$100:$D$408,"&lt;="&amp;B408,CBIC_Late_Fee_Relief_Windows_1!$E$100:$E$408,"&gt;="&amp;B408,CBIC_Late_Fee_Relief_Windows_1!$F$100:$F$408,"&lt;="&amp;C408,CBIC_Late_Fee_Relief_Windows_1!$G$100:$G$408,"&gt;="&amp;C408,CBIC_Late_Fee_Relief_Windows_1!$H$100:$H$408,D408)</f>
        <v>#NAME?</v>
      </c>
      <c r="H408" t="e">
        <f t="shared" ca="1" si="6"/>
        <v>#NAME?</v>
      </c>
      <c r="I408" t="e">
        <f ca="1">INDEX(CBIC_Late_Fee_Relief_Windows_1!$B$100:$B$408,MATCH(G408,CBIC_Late_Fee_Relief_Windows_1!$I$100:$I$408,0))</f>
        <v>#NAME?</v>
      </c>
    </row>
    <row r="409" spans="1:9" x14ac:dyDescent="0.55000000000000004">
      <c r="A409" t="str">
        <f>TEST_DATA!A409</f>
        <v>27AAAAA0409Z5</v>
      </c>
      <c r="B409" t="str">
        <f>TEST_DATA!B409</f>
        <v>Apr-2021</v>
      </c>
      <c r="C409">
        <f>TEST_DATA!C409</f>
        <v>45350</v>
      </c>
      <c r="D409" t="str">
        <f>TEST_DATA!D409</f>
        <v>NON-NIL</v>
      </c>
      <c r="E409">
        <f>TEST_DATA!E409</f>
        <v>360</v>
      </c>
      <c r="F409">
        <f>MIN(E409*40900,10000)</f>
        <v>10000</v>
      </c>
      <c r="G409" t="e">
        <f ca="1">_xludf.MINIFS(CBIC_Late_Fee_Relief_Windows_1!$I$100:$I$409,CBIC_Late_Fee_Relief_Windows_1!$D$100:$D$409,"&lt;="&amp;B409,CBIC_Late_Fee_Relief_Windows_1!$E$100:$E$409,"&gt;="&amp;B409,CBIC_Late_Fee_Relief_Windows_1!$F$100:$F$409,"&lt;="&amp;C409,CBIC_Late_Fee_Relief_Windows_1!$G$100:$G$409,"&gt;="&amp;C409,CBIC_Late_Fee_Relief_Windows_1!$H$100:$H$409,D409)</f>
        <v>#NAME?</v>
      </c>
      <c r="H409" t="e">
        <f t="shared" ca="1" si="6"/>
        <v>#NAME?</v>
      </c>
      <c r="I409" t="e">
        <f ca="1">INDEX(CBIC_Late_Fee_Relief_Windows_1!$B$100:$B$409,MATCH(G409,CBIC_Late_Fee_Relief_Windows_1!$I$100:$I$409,0))</f>
        <v>#NAME?</v>
      </c>
    </row>
    <row r="410" spans="1:9" x14ac:dyDescent="0.55000000000000004">
      <c r="A410" t="str">
        <f>TEST_DATA!A410</f>
        <v>27AAAAA0410Z5</v>
      </c>
      <c r="B410" t="str">
        <f>TEST_DATA!B410</f>
        <v>Aug-2018</v>
      </c>
      <c r="C410">
        <f>TEST_DATA!C410</f>
        <v>43133</v>
      </c>
      <c r="D410" t="str">
        <f>TEST_DATA!D410</f>
        <v>NIL</v>
      </c>
      <c r="E410">
        <f>TEST_DATA!E410</f>
        <v>1784</v>
      </c>
      <c r="F410">
        <f>MIN(E410*41000,10000)</f>
        <v>10000</v>
      </c>
      <c r="G410" t="e">
        <f ca="1">_xludf.MINIFS(CBIC_Late_Fee_Relief_Windows_1!$I$100:$I$410,CBIC_Late_Fee_Relief_Windows_1!$D$100:$D$410,"&lt;="&amp;B410,CBIC_Late_Fee_Relief_Windows_1!$E$100:$E$410,"&gt;="&amp;B410,CBIC_Late_Fee_Relief_Windows_1!$F$100:$F$410,"&lt;="&amp;C410,CBIC_Late_Fee_Relief_Windows_1!$G$100:$G$410,"&gt;="&amp;C410,CBIC_Late_Fee_Relief_Windows_1!$H$100:$H$410,D410)</f>
        <v>#NAME?</v>
      </c>
      <c r="H410" t="e">
        <f t="shared" ca="1" si="6"/>
        <v>#NAME?</v>
      </c>
      <c r="I410" t="e">
        <f ca="1">INDEX(CBIC_Late_Fee_Relief_Windows_1!$B$100:$B$410,MATCH(G410,CBIC_Late_Fee_Relief_Windows_1!$I$100:$I$410,0))</f>
        <v>#NAME?</v>
      </c>
    </row>
    <row r="411" spans="1:9" x14ac:dyDescent="0.55000000000000004">
      <c r="A411" t="str">
        <f>TEST_DATA!A411</f>
        <v>27AAAAA0411Z5</v>
      </c>
      <c r="B411" t="str">
        <f>TEST_DATA!B411</f>
        <v>Mar-2020</v>
      </c>
      <c r="C411">
        <f>TEST_DATA!C411</f>
        <v>44651</v>
      </c>
      <c r="D411" t="str">
        <f>TEST_DATA!D411</f>
        <v>NIL</v>
      </c>
      <c r="E411">
        <f>TEST_DATA!E411</f>
        <v>1621</v>
      </c>
      <c r="F411">
        <f>MIN(E411*41100,10000)</f>
        <v>10000</v>
      </c>
      <c r="G411" t="e">
        <f ca="1">_xludf.MINIFS(CBIC_Late_Fee_Relief_Windows_1!$I$100:$I$411,CBIC_Late_Fee_Relief_Windows_1!$D$100:$D$411,"&lt;="&amp;B411,CBIC_Late_Fee_Relief_Windows_1!$E$100:$E$411,"&gt;="&amp;B411,CBIC_Late_Fee_Relief_Windows_1!$F$100:$F$411,"&lt;="&amp;C411,CBIC_Late_Fee_Relief_Windows_1!$G$100:$G$411,"&gt;="&amp;C411,CBIC_Late_Fee_Relief_Windows_1!$H$100:$H$411,D411)</f>
        <v>#NAME?</v>
      </c>
      <c r="H411" t="e">
        <f t="shared" ca="1" si="6"/>
        <v>#NAME?</v>
      </c>
      <c r="I411" t="e">
        <f ca="1">INDEX(CBIC_Late_Fee_Relief_Windows_1!$B$100:$B$411,MATCH(G411,CBIC_Late_Fee_Relief_Windows_1!$I$100:$I$411,0))</f>
        <v>#NAME?</v>
      </c>
    </row>
    <row r="412" spans="1:9" x14ac:dyDescent="0.55000000000000004">
      <c r="A412" t="str">
        <f>TEST_DATA!A412</f>
        <v>27AAAAA0412Z5</v>
      </c>
      <c r="B412" t="str">
        <f>TEST_DATA!B412</f>
        <v>Mar-2023</v>
      </c>
      <c r="C412">
        <f>TEST_DATA!C412</f>
        <v>44736</v>
      </c>
      <c r="D412" t="str">
        <f>TEST_DATA!D412</f>
        <v>NON-NIL</v>
      </c>
      <c r="E412">
        <f>TEST_DATA!E412</f>
        <v>907</v>
      </c>
      <c r="F412">
        <f>MIN(E412*41200,10000)</f>
        <v>10000</v>
      </c>
      <c r="G412" t="e">
        <f ca="1">_xludf.MINIFS(CBIC_Late_Fee_Relief_Windows_1!$I$100:$I$412,CBIC_Late_Fee_Relief_Windows_1!$D$100:$D$412,"&lt;="&amp;B412,CBIC_Late_Fee_Relief_Windows_1!$E$100:$E$412,"&gt;="&amp;B412,CBIC_Late_Fee_Relief_Windows_1!$F$100:$F$412,"&lt;="&amp;C412,CBIC_Late_Fee_Relief_Windows_1!$G$100:$G$412,"&gt;="&amp;C412,CBIC_Late_Fee_Relief_Windows_1!$H$100:$H$412,D412)</f>
        <v>#NAME?</v>
      </c>
      <c r="H412" t="e">
        <f t="shared" ca="1" si="6"/>
        <v>#NAME?</v>
      </c>
      <c r="I412" t="e">
        <f ca="1">INDEX(CBIC_Late_Fee_Relief_Windows_1!$B$100:$B$412,MATCH(G412,CBIC_Late_Fee_Relief_Windows_1!$I$100:$I$412,0))</f>
        <v>#NAME?</v>
      </c>
    </row>
    <row r="413" spans="1:9" x14ac:dyDescent="0.55000000000000004">
      <c r="A413" t="str">
        <f>TEST_DATA!A413</f>
        <v>27AAAAA0413Z5</v>
      </c>
      <c r="B413" t="str">
        <f>TEST_DATA!B413</f>
        <v>May-2018</v>
      </c>
      <c r="C413">
        <f>TEST_DATA!C413</f>
        <v>44512</v>
      </c>
      <c r="D413" t="str">
        <f>TEST_DATA!D413</f>
        <v>NIL</v>
      </c>
      <c r="E413">
        <f>TEST_DATA!E413</f>
        <v>312</v>
      </c>
      <c r="F413">
        <f>MIN(E413*41300,10000)</f>
        <v>10000</v>
      </c>
      <c r="G413" t="e">
        <f ca="1">_xludf.MINIFS(CBIC_Late_Fee_Relief_Windows_1!$I$100:$I$413,CBIC_Late_Fee_Relief_Windows_1!$D$100:$D$413,"&lt;="&amp;B413,CBIC_Late_Fee_Relief_Windows_1!$E$100:$E$413,"&gt;="&amp;B413,CBIC_Late_Fee_Relief_Windows_1!$F$100:$F$413,"&lt;="&amp;C413,CBIC_Late_Fee_Relief_Windows_1!$G$100:$G$413,"&gt;="&amp;C413,CBIC_Late_Fee_Relief_Windows_1!$H$100:$H$413,D413)</f>
        <v>#NAME?</v>
      </c>
      <c r="H413" t="e">
        <f t="shared" ca="1" si="6"/>
        <v>#NAME?</v>
      </c>
      <c r="I413" t="e">
        <f ca="1">INDEX(CBIC_Late_Fee_Relief_Windows_1!$B$100:$B$413,MATCH(G413,CBIC_Late_Fee_Relief_Windows_1!$I$100:$I$413,0))</f>
        <v>#NAME?</v>
      </c>
    </row>
    <row r="414" spans="1:9" x14ac:dyDescent="0.55000000000000004">
      <c r="A414" t="str">
        <f>TEST_DATA!A414</f>
        <v>27AAAAA0414Z5</v>
      </c>
      <c r="B414" t="str">
        <f>TEST_DATA!B414</f>
        <v>Jun-2019</v>
      </c>
      <c r="C414">
        <f>TEST_DATA!C414</f>
        <v>43933</v>
      </c>
      <c r="D414" t="str">
        <f>TEST_DATA!D414</f>
        <v>NIL</v>
      </c>
      <c r="E414">
        <f>TEST_DATA!E414</f>
        <v>1431</v>
      </c>
      <c r="F414">
        <f>MIN(E414*41400,10000)</f>
        <v>10000</v>
      </c>
      <c r="G414" t="e">
        <f ca="1">_xludf.MINIFS(CBIC_Late_Fee_Relief_Windows_1!$I$100:$I$414,CBIC_Late_Fee_Relief_Windows_1!$D$100:$D$414,"&lt;="&amp;B414,CBIC_Late_Fee_Relief_Windows_1!$E$100:$E$414,"&gt;="&amp;B414,CBIC_Late_Fee_Relief_Windows_1!$F$100:$F$414,"&lt;="&amp;C414,CBIC_Late_Fee_Relief_Windows_1!$G$100:$G$414,"&gt;="&amp;C414,CBIC_Late_Fee_Relief_Windows_1!$H$100:$H$414,D414)</f>
        <v>#NAME?</v>
      </c>
      <c r="H414" t="e">
        <f t="shared" ca="1" si="6"/>
        <v>#NAME?</v>
      </c>
      <c r="I414" t="e">
        <f ca="1">INDEX(CBIC_Late_Fee_Relief_Windows_1!$B$100:$B$414,MATCH(G414,CBIC_Late_Fee_Relief_Windows_1!$I$100:$I$414,0))</f>
        <v>#NAME?</v>
      </c>
    </row>
    <row r="415" spans="1:9" x14ac:dyDescent="0.55000000000000004">
      <c r="A415" t="str">
        <f>TEST_DATA!A415</f>
        <v>27AAAAA0415Z5</v>
      </c>
      <c r="B415" t="str">
        <f>TEST_DATA!B415</f>
        <v>Jun-2018</v>
      </c>
      <c r="C415">
        <f>TEST_DATA!C415</f>
        <v>44406</v>
      </c>
      <c r="D415" t="str">
        <f>TEST_DATA!D415</f>
        <v>NIL</v>
      </c>
      <c r="E415">
        <f>TEST_DATA!E415</f>
        <v>967</v>
      </c>
      <c r="F415">
        <f>MIN(E415*41500,10000)</f>
        <v>10000</v>
      </c>
      <c r="G415" t="e">
        <f ca="1">_xludf.MINIFS(CBIC_Late_Fee_Relief_Windows_1!$I$100:$I$415,CBIC_Late_Fee_Relief_Windows_1!$D$100:$D$415,"&lt;="&amp;B415,CBIC_Late_Fee_Relief_Windows_1!$E$100:$E$415,"&gt;="&amp;B415,CBIC_Late_Fee_Relief_Windows_1!$F$100:$F$415,"&lt;="&amp;C415,CBIC_Late_Fee_Relief_Windows_1!$G$100:$G$415,"&gt;="&amp;C415,CBIC_Late_Fee_Relief_Windows_1!$H$100:$H$415,D415)</f>
        <v>#NAME?</v>
      </c>
      <c r="H415" t="e">
        <f t="shared" ca="1" si="6"/>
        <v>#NAME?</v>
      </c>
      <c r="I415" t="e">
        <f ca="1">INDEX(CBIC_Late_Fee_Relief_Windows_1!$B$100:$B$415,MATCH(G415,CBIC_Late_Fee_Relief_Windows_1!$I$100:$I$415,0))</f>
        <v>#NAME?</v>
      </c>
    </row>
    <row r="416" spans="1:9" x14ac:dyDescent="0.55000000000000004">
      <c r="A416" t="str">
        <f>TEST_DATA!A416</f>
        <v>27AAAAA0416Z5</v>
      </c>
      <c r="B416" t="str">
        <f>TEST_DATA!B416</f>
        <v>Oct-2017</v>
      </c>
      <c r="C416">
        <f>TEST_DATA!C416</f>
        <v>43216</v>
      </c>
      <c r="D416" t="str">
        <f>TEST_DATA!D416</f>
        <v>NON-NIL</v>
      </c>
      <c r="E416">
        <f>TEST_DATA!E416</f>
        <v>808</v>
      </c>
      <c r="F416">
        <f>MIN(E416*41600,10000)</f>
        <v>10000</v>
      </c>
      <c r="G416" t="e">
        <f ca="1">_xludf.MINIFS(CBIC_Late_Fee_Relief_Windows_1!$I$100:$I$416,CBIC_Late_Fee_Relief_Windows_1!$D$100:$D$416,"&lt;="&amp;B416,CBIC_Late_Fee_Relief_Windows_1!$E$100:$E$416,"&gt;="&amp;B416,CBIC_Late_Fee_Relief_Windows_1!$F$100:$F$416,"&lt;="&amp;C416,CBIC_Late_Fee_Relief_Windows_1!$G$100:$G$416,"&gt;="&amp;C416,CBIC_Late_Fee_Relief_Windows_1!$H$100:$H$416,D416)</f>
        <v>#NAME?</v>
      </c>
      <c r="H416" t="e">
        <f t="shared" ca="1" si="6"/>
        <v>#NAME?</v>
      </c>
      <c r="I416" t="e">
        <f ca="1">INDEX(CBIC_Late_Fee_Relief_Windows_1!$B$100:$B$416,MATCH(G416,CBIC_Late_Fee_Relief_Windows_1!$I$100:$I$416,0))</f>
        <v>#NAME?</v>
      </c>
    </row>
    <row r="417" spans="1:9" x14ac:dyDescent="0.55000000000000004">
      <c r="A417" t="str">
        <f>TEST_DATA!A417</f>
        <v>27AAAAA0417Z5</v>
      </c>
      <c r="B417" t="str">
        <f>TEST_DATA!B417</f>
        <v>Dec-2017</v>
      </c>
      <c r="C417">
        <f>TEST_DATA!C417</f>
        <v>44150</v>
      </c>
      <c r="D417" t="str">
        <f>TEST_DATA!D417</f>
        <v>NIL</v>
      </c>
      <c r="E417">
        <f>TEST_DATA!E417</f>
        <v>2684</v>
      </c>
      <c r="F417">
        <f>MIN(E417*41700,10000)</f>
        <v>10000</v>
      </c>
      <c r="G417" t="e">
        <f ca="1">_xludf.MINIFS(CBIC_Late_Fee_Relief_Windows_1!$I$100:$I$417,CBIC_Late_Fee_Relief_Windows_1!$D$100:$D$417,"&lt;="&amp;B417,CBIC_Late_Fee_Relief_Windows_1!$E$100:$E$417,"&gt;="&amp;B417,CBIC_Late_Fee_Relief_Windows_1!$F$100:$F$417,"&lt;="&amp;C417,CBIC_Late_Fee_Relief_Windows_1!$G$100:$G$417,"&gt;="&amp;C417,CBIC_Late_Fee_Relief_Windows_1!$H$100:$H$417,D417)</f>
        <v>#NAME?</v>
      </c>
      <c r="H417" t="e">
        <f t="shared" ca="1" si="6"/>
        <v>#NAME?</v>
      </c>
      <c r="I417" t="e">
        <f ca="1">INDEX(CBIC_Late_Fee_Relief_Windows_1!$B$100:$B$417,MATCH(G417,CBIC_Late_Fee_Relief_Windows_1!$I$100:$I$417,0))</f>
        <v>#NAME?</v>
      </c>
    </row>
    <row r="418" spans="1:9" x14ac:dyDescent="0.55000000000000004">
      <c r="A418" t="str">
        <f>TEST_DATA!A418</f>
        <v>27AAAAA0418Z5</v>
      </c>
      <c r="B418" t="str">
        <f>TEST_DATA!B418</f>
        <v>Sep-2017</v>
      </c>
      <c r="C418">
        <f>TEST_DATA!C418</f>
        <v>43279</v>
      </c>
      <c r="D418" t="str">
        <f>TEST_DATA!D418</f>
        <v>NON-NIL</v>
      </c>
      <c r="E418">
        <f>TEST_DATA!E418</f>
        <v>1900</v>
      </c>
      <c r="F418">
        <f>MIN(E418*41800,10000)</f>
        <v>10000</v>
      </c>
      <c r="G418" t="e">
        <f ca="1">_xludf.MINIFS(CBIC_Late_Fee_Relief_Windows_1!$I$100:$I$418,CBIC_Late_Fee_Relief_Windows_1!$D$100:$D$418,"&lt;="&amp;B418,CBIC_Late_Fee_Relief_Windows_1!$E$100:$E$418,"&gt;="&amp;B418,CBIC_Late_Fee_Relief_Windows_1!$F$100:$F$418,"&lt;="&amp;C418,CBIC_Late_Fee_Relief_Windows_1!$G$100:$G$418,"&gt;="&amp;C418,CBIC_Late_Fee_Relief_Windows_1!$H$100:$H$418,D418)</f>
        <v>#NAME?</v>
      </c>
      <c r="H418" t="e">
        <f t="shared" ca="1" si="6"/>
        <v>#NAME?</v>
      </c>
      <c r="I418" t="e">
        <f ca="1">INDEX(CBIC_Late_Fee_Relief_Windows_1!$B$100:$B$418,MATCH(G418,CBIC_Late_Fee_Relief_Windows_1!$I$100:$I$418,0))</f>
        <v>#NAME?</v>
      </c>
    </row>
    <row r="419" spans="1:9" x14ac:dyDescent="0.55000000000000004">
      <c r="A419" t="str">
        <f>TEST_DATA!A419</f>
        <v>27AAAAA0419Z5</v>
      </c>
      <c r="B419" t="str">
        <f>TEST_DATA!B419</f>
        <v>Mar-2021</v>
      </c>
      <c r="C419">
        <f>TEST_DATA!C419</f>
        <v>45775</v>
      </c>
      <c r="D419" t="str">
        <f>TEST_DATA!D419</f>
        <v>NON-NIL</v>
      </c>
      <c r="E419">
        <f>TEST_DATA!E419</f>
        <v>2789</v>
      </c>
      <c r="F419">
        <f>MIN(E419*41900,10000)</f>
        <v>10000</v>
      </c>
      <c r="G419" t="e">
        <f ca="1">_xludf.MINIFS(CBIC_Late_Fee_Relief_Windows_1!$I$100:$I$419,CBIC_Late_Fee_Relief_Windows_1!$D$100:$D$419,"&lt;="&amp;B419,CBIC_Late_Fee_Relief_Windows_1!$E$100:$E$419,"&gt;="&amp;B419,CBIC_Late_Fee_Relief_Windows_1!$F$100:$F$419,"&lt;="&amp;C419,CBIC_Late_Fee_Relief_Windows_1!$G$100:$G$419,"&gt;="&amp;C419,CBIC_Late_Fee_Relief_Windows_1!$H$100:$H$419,D419)</f>
        <v>#NAME?</v>
      </c>
      <c r="H419" t="e">
        <f t="shared" ca="1" si="6"/>
        <v>#NAME?</v>
      </c>
      <c r="I419" t="e">
        <f ca="1">INDEX(CBIC_Late_Fee_Relief_Windows_1!$B$100:$B$419,MATCH(G419,CBIC_Late_Fee_Relief_Windows_1!$I$100:$I$419,0))</f>
        <v>#NAME?</v>
      </c>
    </row>
    <row r="420" spans="1:9" x14ac:dyDescent="0.55000000000000004">
      <c r="A420" t="str">
        <f>TEST_DATA!A420</f>
        <v>27AAAAA0420Z5</v>
      </c>
      <c r="B420" t="str">
        <f>TEST_DATA!B420</f>
        <v>Dec-2024</v>
      </c>
      <c r="C420">
        <f>TEST_DATA!C420</f>
        <v>45778</v>
      </c>
      <c r="D420" t="str">
        <f>TEST_DATA!D420</f>
        <v>NON-NIL</v>
      </c>
      <c r="E420">
        <f>TEST_DATA!E420</f>
        <v>2569</v>
      </c>
      <c r="F420">
        <f>MIN(E420*42000,10000)</f>
        <v>10000</v>
      </c>
      <c r="G420" t="e">
        <f ca="1">_xludf.MINIFS(CBIC_Late_Fee_Relief_Windows_1!$I$100:$I$420,CBIC_Late_Fee_Relief_Windows_1!$D$100:$D$420,"&lt;="&amp;B420,CBIC_Late_Fee_Relief_Windows_1!$E$100:$E$420,"&gt;="&amp;B420,CBIC_Late_Fee_Relief_Windows_1!$F$100:$F$420,"&lt;="&amp;C420,CBIC_Late_Fee_Relief_Windows_1!$G$100:$G$420,"&gt;="&amp;C420,CBIC_Late_Fee_Relief_Windows_1!$H$100:$H$420,D420)</f>
        <v>#NAME?</v>
      </c>
      <c r="H420" t="e">
        <f t="shared" ca="1" si="6"/>
        <v>#NAME?</v>
      </c>
      <c r="I420" t="e">
        <f ca="1">INDEX(CBIC_Late_Fee_Relief_Windows_1!$B$100:$B$420,MATCH(G420,CBIC_Late_Fee_Relief_Windows_1!$I$100:$I$420,0))</f>
        <v>#NAME?</v>
      </c>
    </row>
    <row r="421" spans="1:9" x14ac:dyDescent="0.55000000000000004">
      <c r="A421" t="str">
        <f>TEST_DATA!A421</f>
        <v>27AAAAA0421Z5</v>
      </c>
      <c r="B421" t="str">
        <f>TEST_DATA!B421</f>
        <v>May-2018</v>
      </c>
      <c r="C421">
        <f>TEST_DATA!C421</f>
        <v>43226</v>
      </c>
      <c r="D421" t="str">
        <f>TEST_DATA!D421</f>
        <v>NON-NIL</v>
      </c>
      <c r="E421">
        <f>TEST_DATA!E421</f>
        <v>279</v>
      </c>
      <c r="F421">
        <f>MIN(E421*42100,10000)</f>
        <v>10000</v>
      </c>
      <c r="G421" t="e">
        <f ca="1">_xludf.MINIFS(CBIC_Late_Fee_Relief_Windows_1!$I$100:$I$421,CBIC_Late_Fee_Relief_Windows_1!$D$100:$D$421,"&lt;="&amp;B421,CBIC_Late_Fee_Relief_Windows_1!$E$100:$E$421,"&gt;="&amp;B421,CBIC_Late_Fee_Relief_Windows_1!$F$100:$F$421,"&lt;="&amp;C421,CBIC_Late_Fee_Relief_Windows_1!$G$100:$G$421,"&gt;="&amp;C421,CBIC_Late_Fee_Relief_Windows_1!$H$100:$H$421,D421)</f>
        <v>#NAME?</v>
      </c>
      <c r="H421" t="e">
        <f t="shared" ca="1" si="6"/>
        <v>#NAME?</v>
      </c>
      <c r="I421" t="e">
        <f ca="1">INDEX(CBIC_Late_Fee_Relief_Windows_1!$B$100:$B$421,MATCH(G421,CBIC_Late_Fee_Relief_Windows_1!$I$100:$I$421,0))</f>
        <v>#NAME?</v>
      </c>
    </row>
    <row r="422" spans="1:9" x14ac:dyDescent="0.55000000000000004">
      <c r="A422" t="str">
        <f>TEST_DATA!A422</f>
        <v>27AAAAA0422Z5</v>
      </c>
      <c r="B422" t="str">
        <f>TEST_DATA!B422</f>
        <v>Jan-2019</v>
      </c>
      <c r="C422">
        <f>TEST_DATA!C422</f>
        <v>45277</v>
      </c>
      <c r="D422" t="str">
        <f>TEST_DATA!D422</f>
        <v>NON-NIL</v>
      </c>
      <c r="E422">
        <f>TEST_DATA!E422</f>
        <v>1125</v>
      </c>
      <c r="F422">
        <f>MIN(E422*42200,10000)</f>
        <v>10000</v>
      </c>
      <c r="G422" t="e">
        <f ca="1">_xludf.MINIFS(CBIC_Late_Fee_Relief_Windows_1!$I$100:$I$422,CBIC_Late_Fee_Relief_Windows_1!$D$100:$D$422,"&lt;="&amp;B422,CBIC_Late_Fee_Relief_Windows_1!$E$100:$E$422,"&gt;="&amp;B422,CBIC_Late_Fee_Relief_Windows_1!$F$100:$F$422,"&lt;="&amp;C422,CBIC_Late_Fee_Relief_Windows_1!$G$100:$G$422,"&gt;="&amp;C422,CBIC_Late_Fee_Relief_Windows_1!$H$100:$H$422,D422)</f>
        <v>#NAME?</v>
      </c>
      <c r="H422" t="e">
        <f t="shared" ca="1" si="6"/>
        <v>#NAME?</v>
      </c>
      <c r="I422" t="e">
        <f ca="1">INDEX(CBIC_Late_Fee_Relief_Windows_1!$B$100:$B$422,MATCH(G422,CBIC_Late_Fee_Relief_Windows_1!$I$100:$I$422,0))</f>
        <v>#NAME?</v>
      </c>
    </row>
    <row r="423" spans="1:9" x14ac:dyDescent="0.55000000000000004">
      <c r="A423" t="str">
        <f>TEST_DATA!A423</f>
        <v>27AAAAA0423Z5</v>
      </c>
      <c r="B423" t="str">
        <f>TEST_DATA!B423</f>
        <v>Mar-2020</v>
      </c>
      <c r="C423">
        <f>TEST_DATA!C423</f>
        <v>43946</v>
      </c>
      <c r="D423" t="str">
        <f>TEST_DATA!D423</f>
        <v>NON-NIL</v>
      </c>
      <c r="E423">
        <f>TEST_DATA!E423</f>
        <v>2078</v>
      </c>
      <c r="F423">
        <f>MIN(E423*42300,10000)</f>
        <v>10000</v>
      </c>
      <c r="G423" t="e">
        <f ca="1">_xludf.MINIFS(CBIC_Late_Fee_Relief_Windows_1!$I$100:$I$423,CBIC_Late_Fee_Relief_Windows_1!$D$100:$D$423,"&lt;="&amp;B423,CBIC_Late_Fee_Relief_Windows_1!$E$100:$E$423,"&gt;="&amp;B423,CBIC_Late_Fee_Relief_Windows_1!$F$100:$F$423,"&lt;="&amp;C423,CBIC_Late_Fee_Relief_Windows_1!$G$100:$G$423,"&gt;="&amp;C423,CBIC_Late_Fee_Relief_Windows_1!$H$100:$H$423,D423)</f>
        <v>#NAME?</v>
      </c>
      <c r="H423" t="e">
        <f t="shared" ca="1" si="6"/>
        <v>#NAME?</v>
      </c>
      <c r="I423" t="e">
        <f ca="1">INDEX(CBIC_Late_Fee_Relief_Windows_1!$B$100:$B$423,MATCH(G423,CBIC_Late_Fee_Relief_Windows_1!$I$100:$I$423,0))</f>
        <v>#NAME?</v>
      </c>
    </row>
    <row r="424" spans="1:9" x14ac:dyDescent="0.55000000000000004">
      <c r="A424" t="str">
        <f>TEST_DATA!A424</f>
        <v>27AAAAA0424Z5</v>
      </c>
      <c r="B424" t="str">
        <f>TEST_DATA!B424</f>
        <v>Sep-2017</v>
      </c>
      <c r="C424">
        <f>TEST_DATA!C424</f>
        <v>43552</v>
      </c>
      <c r="D424" t="str">
        <f>TEST_DATA!D424</f>
        <v>NON-NIL</v>
      </c>
      <c r="E424">
        <f>TEST_DATA!E424</f>
        <v>1851</v>
      </c>
      <c r="F424">
        <f>MIN(E424*42400,10000)</f>
        <v>10000</v>
      </c>
      <c r="G424" t="e">
        <f ca="1">_xludf.MINIFS(CBIC_Late_Fee_Relief_Windows_1!$I$100:$I$424,CBIC_Late_Fee_Relief_Windows_1!$D$100:$D$424,"&lt;="&amp;B424,CBIC_Late_Fee_Relief_Windows_1!$E$100:$E$424,"&gt;="&amp;B424,CBIC_Late_Fee_Relief_Windows_1!$F$100:$F$424,"&lt;="&amp;C424,CBIC_Late_Fee_Relief_Windows_1!$G$100:$G$424,"&gt;="&amp;C424,CBIC_Late_Fee_Relief_Windows_1!$H$100:$H$424,D424)</f>
        <v>#NAME?</v>
      </c>
      <c r="H424" t="e">
        <f t="shared" ca="1" si="6"/>
        <v>#NAME?</v>
      </c>
      <c r="I424" t="e">
        <f ca="1">INDEX(CBIC_Late_Fee_Relief_Windows_1!$B$100:$B$424,MATCH(G424,CBIC_Late_Fee_Relief_Windows_1!$I$100:$I$424,0))</f>
        <v>#NAME?</v>
      </c>
    </row>
    <row r="425" spans="1:9" x14ac:dyDescent="0.55000000000000004">
      <c r="A425" t="str">
        <f>TEST_DATA!A425</f>
        <v>27AAAAA0425Z5</v>
      </c>
      <c r="B425" t="str">
        <f>TEST_DATA!B425</f>
        <v>Aug-2017</v>
      </c>
      <c r="C425">
        <f>TEST_DATA!C425</f>
        <v>43033</v>
      </c>
      <c r="D425" t="str">
        <f>TEST_DATA!D425</f>
        <v>NON-NIL</v>
      </c>
      <c r="E425">
        <f>TEST_DATA!E425</f>
        <v>1175</v>
      </c>
      <c r="F425">
        <f>MIN(E425*42500,10000)</f>
        <v>10000</v>
      </c>
      <c r="G425" t="e">
        <f ca="1">_xludf.MINIFS(CBIC_Late_Fee_Relief_Windows_1!$I$100:$I$425,CBIC_Late_Fee_Relief_Windows_1!$D$100:$D$425,"&lt;="&amp;B425,CBIC_Late_Fee_Relief_Windows_1!$E$100:$E$425,"&gt;="&amp;B425,CBIC_Late_Fee_Relief_Windows_1!$F$100:$F$425,"&lt;="&amp;C425,CBIC_Late_Fee_Relief_Windows_1!$G$100:$G$425,"&gt;="&amp;C425,CBIC_Late_Fee_Relief_Windows_1!$H$100:$H$425,D425)</f>
        <v>#NAME?</v>
      </c>
      <c r="H425" t="e">
        <f t="shared" ca="1" si="6"/>
        <v>#NAME?</v>
      </c>
      <c r="I425" t="e">
        <f ca="1">INDEX(CBIC_Late_Fee_Relief_Windows_1!$B$100:$B$425,MATCH(G425,CBIC_Late_Fee_Relief_Windows_1!$I$100:$I$425,0))</f>
        <v>#NAME?</v>
      </c>
    </row>
    <row r="426" spans="1:9" x14ac:dyDescent="0.55000000000000004">
      <c r="A426" t="str">
        <f>TEST_DATA!A426</f>
        <v>27AAAAA0426Z5</v>
      </c>
      <c r="B426" t="str">
        <f>TEST_DATA!B426</f>
        <v>Sep-2017</v>
      </c>
      <c r="C426">
        <f>TEST_DATA!C426</f>
        <v>44237</v>
      </c>
      <c r="D426" t="str">
        <f>TEST_DATA!D426</f>
        <v>NIL</v>
      </c>
      <c r="E426">
        <f>TEST_DATA!E426</f>
        <v>2519</v>
      </c>
      <c r="F426">
        <f>MIN(E426*42600,10000)</f>
        <v>10000</v>
      </c>
      <c r="G426" t="e">
        <f ca="1">_xludf.MINIFS(CBIC_Late_Fee_Relief_Windows_1!$I$100:$I$426,CBIC_Late_Fee_Relief_Windows_1!$D$100:$D$426,"&lt;="&amp;B426,CBIC_Late_Fee_Relief_Windows_1!$E$100:$E$426,"&gt;="&amp;B426,CBIC_Late_Fee_Relief_Windows_1!$F$100:$F$426,"&lt;="&amp;C426,CBIC_Late_Fee_Relief_Windows_1!$G$100:$G$426,"&gt;="&amp;C426,CBIC_Late_Fee_Relief_Windows_1!$H$100:$H$426,D426)</f>
        <v>#NAME?</v>
      </c>
      <c r="H426" t="e">
        <f t="shared" ca="1" si="6"/>
        <v>#NAME?</v>
      </c>
      <c r="I426" t="e">
        <f ca="1">INDEX(CBIC_Late_Fee_Relief_Windows_1!$B$100:$B$426,MATCH(G426,CBIC_Late_Fee_Relief_Windows_1!$I$100:$I$426,0))</f>
        <v>#NAME?</v>
      </c>
    </row>
    <row r="427" spans="1:9" x14ac:dyDescent="0.55000000000000004">
      <c r="A427" t="str">
        <f>TEST_DATA!A427</f>
        <v>27AAAAA0427Z5</v>
      </c>
      <c r="B427" t="str">
        <f>TEST_DATA!B427</f>
        <v>Apr-2020</v>
      </c>
      <c r="C427">
        <f>TEST_DATA!C427</f>
        <v>44869</v>
      </c>
      <c r="D427" t="str">
        <f>TEST_DATA!D427</f>
        <v>NON-NIL</v>
      </c>
      <c r="E427">
        <f>TEST_DATA!E427</f>
        <v>1895</v>
      </c>
      <c r="F427">
        <f>MIN(E427*42700,10000)</f>
        <v>10000</v>
      </c>
      <c r="G427" t="e">
        <f ca="1">_xludf.MINIFS(CBIC_Late_Fee_Relief_Windows_1!$I$100:$I$427,CBIC_Late_Fee_Relief_Windows_1!$D$100:$D$427,"&lt;="&amp;B427,CBIC_Late_Fee_Relief_Windows_1!$E$100:$E$427,"&gt;="&amp;B427,CBIC_Late_Fee_Relief_Windows_1!$F$100:$F$427,"&lt;="&amp;C427,CBIC_Late_Fee_Relief_Windows_1!$G$100:$G$427,"&gt;="&amp;C427,CBIC_Late_Fee_Relief_Windows_1!$H$100:$H$427,D427)</f>
        <v>#NAME?</v>
      </c>
      <c r="H427" t="e">
        <f t="shared" ca="1" si="6"/>
        <v>#NAME?</v>
      </c>
      <c r="I427" t="e">
        <f ca="1">INDEX(CBIC_Late_Fee_Relief_Windows_1!$B$100:$B$427,MATCH(G427,CBIC_Late_Fee_Relief_Windows_1!$I$100:$I$427,0))</f>
        <v>#NAME?</v>
      </c>
    </row>
    <row r="428" spans="1:9" x14ac:dyDescent="0.55000000000000004">
      <c r="A428" t="str">
        <f>TEST_DATA!A428</f>
        <v>27AAAAA0428Z5</v>
      </c>
      <c r="B428" t="str">
        <f>TEST_DATA!B428</f>
        <v>Mar-2020</v>
      </c>
      <c r="C428">
        <f>TEST_DATA!C428</f>
        <v>43915</v>
      </c>
      <c r="D428" t="str">
        <f>TEST_DATA!D428</f>
        <v>NON-NIL</v>
      </c>
      <c r="E428">
        <f>TEST_DATA!E428</f>
        <v>2341</v>
      </c>
      <c r="F428">
        <f>MIN(E428*42800,10000)</f>
        <v>10000</v>
      </c>
      <c r="G428" t="e">
        <f ca="1">_xludf.MINIFS(CBIC_Late_Fee_Relief_Windows_1!$I$100:$I$428,CBIC_Late_Fee_Relief_Windows_1!$D$100:$D$428,"&lt;="&amp;B428,CBIC_Late_Fee_Relief_Windows_1!$E$100:$E$428,"&gt;="&amp;B428,CBIC_Late_Fee_Relief_Windows_1!$F$100:$F$428,"&lt;="&amp;C428,CBIC_Late_Fee_Relief_Windows_1!$G$100:$G$428,"&gt;="&amp;C428,CBIC_Late_Fee_Relief_Windows_1!$H$100:$H$428,D428)</f>
        <v>#NAME?</v>
      </c>
      <c r="H428" t="e">
        <f t="shared" ca="1" si="6"/>
        <v>#NAME?</v>
      </c>
      <c r="I428" t="e">
        <f ca="1">INDEX(CBIC_Late_Fee_Relief_Windows_1!$B$100:$B$428,MATCH(G428,CBIC_Late_Fee_Relief_Windows_1!$I$100:$I$428,0))</f>
        <v>#NAME?</v>
      </c>
    </row>
    <row r="429" spans="1:9" x14ac:dyDescent="0.55000000000000004">
      <c r="A429" t="str">
        <f>TEST_DATA!A429</f>
        <v>27AAAAA0429Z5</v>
      </c>
      <c r="B429" t="str">
        <f>TEST_DATA!B429</f>
        <v>May-2020</v>
      </c>
      <c r="C429">
        <f>TEST_DATA!C429</f>
        <v>44216</v>
      </c>
      <c r="D429" t="str">
        <f>TEST_DATA!D429</f>
        <v>NON-NIL</v>
      </c>
      <c r="E429">
        <f>TEST_DATA!E429</f>
        <v>2478</v>
      </c>
      <c r="F429">
        <f>MIN(E429*42900,10000)</f>
        <v>10000</v>
      </c>
      <c r="G429" t="e">
        <f ca="1">_xludf.MINIFS(CBIC_Late_Fee_Relief_Windows_1!$I$100:$I$429,CBIC_Late_Fee_Relief_Windows_1!$D$100:$D$429,"&lt;="&amp;B429,CBIC_Late_Fee_Relief_Windows_1!$E$100:$E$429,"&gt;="&amp;B429,CBIC_Late_Fee_Relief_Windows_1!$F$100:$F$429,"&lt;="&amp;C429,CBIC_Late_Fee_Relief_Windows_1!$G$100:$G$429,"&gt;="&amp;C429,CBIC_Late_Fee_Relief_Windows_1!$H$100:$H$429,D429)</f>
        <v>#NAME?</v>
      </c>
      <c r="H429" t="e">
        <f t="shared" ca="1" si="6"/>
        <v>#NAME?</v>
      </c>
      <c r="I429" t="e">
        <f ca="1">INDEX(CBIC_Late_Fee_Relief_Windows_1!$B$100:$B$429,MATCH(G429,CBIC_Late_Fee_Relief_Windows_1!$I$100:$I$429,0))</f>
        <v>#NAME?</v>
      </c>
    </row>
    <row r="430" spans="1:9" x14ac:dyDescent="0.55000000000000004">
      <c r="A430" t="str">
        <f>TEST_DATA!A430</f>
        <v>27AAAAA0430Z5</v>
      </c>
      <c r="B430" t="str">
        <f>TEST_DATA!B430</f>
        <v>Jan-2019</v>
      </c>
      <c r="C430">
        <f>TEST_DATA!C430</f>
        <v>45519</v>
      </c>
      <c r="D430" t="str">
        <f>TEST_DATA!D430</f>
        <v>NIL</v>
      </c>
      <c r="E430">
        <f>TEST_DATA!E430</f>
        <v>253</v>
      </c>
      <c r="F430">
        <f>MIN(E430*43000,10000)</f>
        <v>10000</v>
      </c>
      <c r="G430" t="e">
        <f ca="1">_xludf.MINIFS(CBIC_Late_Fee_Relief_Windows_1!$I$100:$I$430,CBIC_Late_Fee_Relief_Windows_1!$D$100:$D$430,"&lt;="&amp;B430,CBIC_Late_Fee_Relief_Windows_1!$E$100:$E$430,"&gt;="&amp;B430,CBIC_Late_Fee_Relief_Windows_1!$F$100:$F$430,"&lt;="&amp;C430,CBIC_Late_Fee_Relief_Windows_1!$G$100:$G$430,"&gt;="&amp;C430,CBIC_Late_Fee_Relief_Windows_1!$H$100:$H$430,D430)</f>
        <v>#NAME?</v>
      </c>
      <c r="H430" t="e">
        <f t="shared" ca="1" si="6"/>
        <v>#NAME?</v>
      </c>
      <c r="I430" t="e">
        <f ca="1">INDEX(CBIC_Late_Fee_Relief_Windows_1!$B$100:$B$430,MATCH(G430,CBIC_Late_Fee_Relief_Windows_1!$I$100:$I$430,0))</f>
        <v>#NAME?</v>
      </c>
    </row>
    <row r="431" spans="1:9" x14ac:dyDescent="0.55000000000000004">
      <c r="A431" t="str">
        <f>TEST_DATA!A431</f>
        <v>27AAAAA0431Z5</v>
      </c>
      <c r="B431" t="str">
        <f>TEST_DATA!B431</f>
        <v>Sep-2018</v>
      </c>
      <c r="C431">
        <f>TEST_DATA!C431</f>
        <v>43128</v>
      </c>
      <c r="D431" t="str">
        <f>TEST_DATA!D431</f>
        <v>NON-NIL</v>
      </c>
      <c r="E431">
        <f>TEST_DATA!E431</f>
        <v>2925</v>
      </c>
      <c r="F431">
        <f>MIN(E431*43100,10000)</f>
        <v>10000</v>
      </c>
      <c r="G431" t="e">
        <f ca="1">_xludf.MINIFS(CBIC_Late_Fee_Relief_Windows_1!$I$100:$I$431,CBIC_Late_Fee_Relief_Windows_1!$D$100:$D$431,"&lt;="&amp;B431,CBIC_Late_Fee_Relief_Windows_1!$E$100:$E$431,"&gt;="&amp;B431,CBIC_Late_Fee_Relief_Windows_1!$F$100:$F$431,"&lt;="&amp;C431,CBIC_Late_Fee_Relief_Windows_1!$G$100:$G$431,"&gt;="&amp;C431,CBIC_Late_Fee_Relief_Windows_1!$H$100:$H$431,D431)</f>
        <v>#NAME?</v>
      </c>
      <c r="H431" t="e">
        <f t="shared" ca="1" si="6"/>
        <v>#NAME?</v>
      </c>
      <c r="I431" t="e">
        <f ca="1">INDEX(CBIC_Late_Fee_Relief_Windows_1!$B$100:$B$431,MATCH(G431,CBIC_Late_Fee_Relief_Windows_1!$I$100:$I$431,0))</f>
        <v>#NAME?</v>
      </c>
    </row>
    <row r="432" spans="1:9" x14ac:dyDescent="0.55000000000000004">
      <c r="A432" t="str">
        <f>TEST_DATA!A432</f>
        <v>27AAAAA0432Z5</v>
      </c>
      <c r="B432" t="str">
        <f>TEST_DATA!B432</f>
        <v>Sep-2017</v>
      </c>
      <c r="C432">
        <f>TEST_DATA!C432</f>
        <v>43950</v>
      </c>
      <c r="D432" t="str">
        <f>TEST_DATA!D432</f>
        <v>NIL</v>
      </c>
      <c r="E432">
        <f>TEST_DATA!E432</f>
        <v>160</v>
      </c>
      <c r="F432">
        <f>MIN(E432*43200,10000)</f>
        <v>10000</v>
      </c>
      <c r="G432" t="e">
        <f ca="1">_xludf.MINIFS(CBIC_Late_Fee_Relief_Windows_1!$I$100:$I$432,CBIC_Late_Fee_Relief_Windows_1!$D$100:$D$432,"&lt;="&amp;B432,CBIC_Late_Fee_Relief_Windows_1!$E$100:$E$432,"&gt;="&amp;B432,CBIC_Late_Fee_Relief_Windows_1!$F$100:$F$432,"&lt;="&amp;C432,CBIC_Late_Fee_Relief_Windows_1!$G$100:$G$432,"&gt;="&amp;C432,CBIC_Late_Fee_Relief_Windows_1!$H$100:$H$432,D432)</f>
        <v>#NAME?</v>
      </c>
      <c r="H432" t="e">
        <f t="shared" ca="1" si="6"/>
        <v>#NAME?</v>
      </c>
      <c r="I432" t="e">
        <f ca="1">INDEX(CBIC_Late_Fee_Relief_Windows_1!$B$100:$B$432,MATCH(G432,CBIC_Late_Fee_Relief_Windows_1!$I$100:$I$432,0))</f>
        <v>#NAME?</v>
      </c>
    </row>
    <row r="433" spans="1:9" x14ac:dyDescent="0.55000000000000004">
      <c r="A433" t="str">
        <f>TEST_DATA!A433</f>
        <v>27AAAAA0433Z5</v>
      </c>
      <c r="B433" t="str">
        <f>TEST_DATA!B433</f>
        <v>Feb-2018</v>
      </c>
      <c r="C433">
        <f>TEST_DATA!C433</f>
        <v>44366</v>
      </c>
      <c r="D433" t="str">
        <f>TEST_DATA!D433</f>
        <v>NON-NIL</v>
      </c>
      <c r="E433">
        <f>TEST_DATA!E433</f>
        <v>1799</v>
      </c>
      <c r="F433">
        <f>MIN(E433*43300,10000)</f>
        <v>10000</v>
      </c>
      <c r="G433" t="e">
        <f ca="1">_xludf.MINIFS(CBIC_Late_Fee_Relief_Windows_1!$I$100:$I$433,CBIC_Late_Fee_Relief_Windows_1!$D$100:$D$433,"&lt;="&amp;B433,CBIC_Late_Fee_Relief_Windows_1!$E$100:$E$433,"&gt;="&amp;B433,CBIC_Late_Fee_Relief_Windows_1!$F$100:$F$433,"&lt;="&amp;C433,CBIC_Late_Fee_Relief_Windows_1!$G$100:$G$433,"&gt;="&amp;C433,CBIC_Late_Fee_Relief_Windows_1!$H$100:$H$433,D433)</f>
        <v>#NAME?</v>
      </c>
      <c r="H433" t="e">
        <f t="shared" ca="1" si="6"/>
        <v>#NAME?</v>
      </c>
      <c r="I433" t="e">
        <f ca="1">INDEX(CBIC_Late_Fee_Relief_Windows_1!$B$100:$B$433,MATCH(G433,CBIC_Late_Fee_Relief_Windows_1!$I$100:$I$433,0))</f>
        <v>#NAME?</v>
      </c>
    </row>
    <row r="434" spans="1:9" x14ac:dyDescent="0.55000000000000004">
      <c r="A434" t="str">
        <f>TEST_DATA!A434</f>
        <v>27AAAAA0434Z5</v>
      </c>
      <c r="B434" t="str">
        <f>TEST_DATA!B434</f>
        <v>Jun-2019</v>
      </c>
      <c r="C434">
        <f>TEST_DATA!C434</f>
        <v>45607</v>
      </c>
      <c r="D434" t="str">
        <f>TEST_DATA!D434</f>
        <v>NIL</v>
      </c>
      <c r="E434">
        <f>TEST_DATA!E434</f>
        <v>1490</v>
      </c>
      <c r="F434">
        <f>MIN(E434*43400,10000)</f>
        <v>10000</v>
      </c>
      <c r="G434" t="e">
        <f ca="1">_xludf.MINIFS(CBIC_Late_Fee_Relief_Windows_1!$I$100:$I$434,CBIC_Late_Fee_Relief_Windows_1!$D$100:$D$434,"&lt;="&amp;B434,CBIC_Late_Fee_Relief_Windows_1!$E$100:$E$434,"&gt;="&amp;B434,CBIC_Late_Fee_Relief_Windows_1!$F$100:$F$434,"&lt;="&amp;C434,CBIC_Late_Fee_Relief_Windows_1!$G$100:$G$434,"&gt;="&amp;C434,CBIC_Late_Fee_Relief_Windows_1!$H$100:$H$434,D434)</f>
        <v>#NAME?</v>
      </c>
      <c r="H434" t="e">
        <f t="shared" ca="1" si="6"/>
        <v>#NAME?</v>
      </c>
      <c r="I434" t="e">
        <f ca="1">INDEX(CBIC_Late_Fee_Relief_Windows_1!$B$100:$B$434,MATCH(G434,CBIC_Late_Fee_Relief_Windows_1!$I$100:$I$434,0))</f>
        <v>#NAME?</v>
      </c>
    </row>
    <row r="435" spans="1:9" x14ac:dyDescent="0.55000000000000004">
      <c r="A435" t="str">
        <f>TEST_DATA!A435</f>
        <v>27AAAAA0435Z5</v>
      </c>
      <c r="B435" t="str">
        <f>TEST_DATA!B435</f>
        <v>Jun-2018</v>
      </c>
      <c r="C435">
        <f>TEST_DATA!C435</f>
        <v>43496</v>
      </c>
      <c r="D435" t="str">
        <f>TEST_DATA!D435</f>
        <v>NON-NIL</v>
      </c>
      <c r="E435">
        <f>TEST_DATA!E435</f>
        <v>1674</v>
      </c>
      <c r="F435">
        <f>MIN(E435*43500,10000)</f>
        <v>10000</v>
      </c>
      <c r="G435" t="e">
        <f ca="1">_xludf.MINIFS(CBIC_Late_Fee_Relief_Windows_1!$I$100:$I$435,CBIC_Late_Fee_Relief_Windows_1!$D$100:$D$435,"&lt;="&amp;B435,CBIC_Late_Fee_Relief_Windows_1!$E$100:$E$435,"&gt;="&amp;B435,CBIC_Late_Fee_Relief_Windows_1!$F$100:$F$435,"&lt;="&amp;C435,CBIC_Late_Fee_Relief_Windows_1!$G$100:$G$435,"&gt;="&amp;C435,CBIC_Late_Fee_Relief_Windows_1!$H$100:$H$435,D435)</f>
        <v>#NAME?</v>
      </c>
      <c r="H435" t="e">
        <f t="shared" ca="1" si="6"/>
        <v>#NAME?</v>
      </c>
      <c r="I435" t="e">
        <f ca="1">INDEX(CBIC_Late_Fee_Relief_Windows_1!$B$100:$B$435,MATCH(G435,CBIC_Late_Fee_Relief_Windows_1!$I$100:$I$435,0))</f>
        <v>#NAME?</v>
      </c>
    </row>
    <row r="436" spans="1:9" x14ac:dyDescent="0.55000000000000004">
      <c r="A436" t="str">
        <f>TEST_DATA!A436</f>
        <v>27AAAAA0436Z5</v>
      </c>
      <c r="B436" t="str">
        <f>TEST_DATA!B436</f>
        <v>Mar-2021</v>
      </c>
      <c r="C436">
        <f>TEST_DATA!C436</f>
        <v>44851</v>
      </c>
      <c r="D436" t="str">
        <f>TEST_DATA!D436</f>
        <v>NIL</v>
      </c>
      <c r="E436">
        <f>TEST_DATA!E436</f>
        <v>2584</v>
      </c>
      <c r="F436">
        <f>MIN(E436*43600,10000)</f>
        <v>10000</v>
      </c>
      <c r="G436" t="e">
        <f ca="1">_xludf.MINIFS(CBIC_Late_Fee_Relief_Windows_1!$I$100:$I$436,CBIC_Late_Fee_Relief_Windows_1!$D$100:$D$436,"&lt;="&amp;B436,CBIC_Late_Fee_Relief_Windows_1!$E$100:$E$436,"&gt;="&amp;B436,CBIC_Late_Fee_Relief_Windows_1!$F$100:$F$436,"&lt;="&amp;C436,CBIC_Late_Fee_Relief_Windows_1!$G$100:$G$436,"&gt;="&amp;C436,CBIC_Late_Fee_Relief_Windows_1!$H$100:$H$436,D436)</f>
        <v>#NAME?</v>
      </c>
      <c r="H436" t="e">
        <f t="shared" ca="1" si="6"/>
        <v>#NAME?</v>
      </c>
      <c r="I436" t="e">
        <f ca="1">INDEX(CBIC_Late_Fee_Relief_Windows_1!$B$100:$B$436,MATCH(G436,CBIC_Late_Fee_Relief_Windows_1!$I$100:$I$436,0))</f>
        <v>#NAME?</v>
      </c>
    </row>
    <row r="437" spans="1:9" x14ac:dyDescent="0.55000000000000004">
      <c r="A437" t="str">
        <f>TEST_DATA!A437</f>
        <v>27AAAAA0437Z5</v>
      </c>
      <c r="B437" t="str">
        <f>TEST_DATA!B437</f>
        <v>May-2020</v>
      </c>
      <c r="C437">
        <f>TEST_DATA!C437</f>
        <v>44516</v>
      </c>
      <c r="D437" t="str">
        <f>TEST_DATA!D437</f>
        <v>NIL</v>
      </c>
      <c r="E437">
        <f>TEST_DATA!E437</f>
        <v>1350</v>
      </c>
      <c r="F437">
        <f>MIN(E437*43700,10000)</f>
        <v>10000</v>
      </c>
      <c r="G437" t="e">
        <f ca="1">_xludf.MINIFS(CBIC_Late_Fee_Relief_Windows_1!$I$100:$I$437,CBIC_Late_Fee_Relief_Windows_1!$D$100:$D$437,"&lt;="&amp;B437,CBIC_Late_Fee_Relief_Windows_1!$E$100:$E$437,"&gt;="&amp;B437,CBIC_Late_Fee_Relief_Windows_1!$F$100:$F$437,"&lt;="&amp;C437,CBIC_Late_Fee_Relief_Windows_1!$G$100:$G$437,"&gt;="&amp;C437,CBIC_Late_Fee_Relief_Windows_1!$H$100:$H$437,D437)</f>
        <v>#NAME?</v>
      </c>
      <c r="H437" t="e">
        <f t="shared" ca="1" si="6"/>
        <v>#NAME?</v>
      </c>
      <c r="I437" t="e">
        <f ca="1">INDEX(CBIC_Late_Fee_Relief_Windows_1!$B$100:$B$437,MATCH(G437,CBIC_Late_Fee_Relief_Windows_1!$I$100:$I$437,0))</f>
        <v>#NAME?</v>
      </c>
    </row>
    <row r="438" spans="1:9" x14ac:dyDescent="0.55000000000000004">
      <c r="A438" t="str">
        <f>TEST_DATA!A438</f>
        <v>27AAAAA0438Z5</v>
      </c>
      <c r="B438" t="str">
        <f>TEST_DATA!B438</f>
        <v>Oct-2017</v>
      </c>
      <c r="C438">
        <f>TEST_DATA!C438</f>
        <v>44059</v>
      </c>
      <c r="D438" t="str">
        <f>TEST_DATA!D438</f>
        <v>NON-NIL</v>
      </c>
      <c r="E438">
        <f>TEST_DATA!E438</f>
        <v>1163</v>
      </c>
      <c r="F438">
        <f>MIN(E438*43800,10000)</f>
        <v>10000</v>
      </c>
      <c r="G438" t="e">
        <f ca="1">_xludf.MINIFS(CBIC_Late_Fee_Relief_Windows_1!$I$100:$I$438,CBIC_Late_Fee_Relief_Windows_1!$D$100:$D$438,"&lt;="&amp;B438,CBIC_Late_Fee_Relief_Windows_1!$E$100:$E$438,"&gt;="&amp;B438,CBIC_Late_Fee_Relief_Windows_1!$F$100:$F$438,"&lt;="&amp;C438,CBIC_Late_Fee_Relief_Windows_1!$G$100:$G$438,"&gt;="&amp;C438,CBIC_Late_Fee_Relief_Windows_1!$H$100:$H$438,D438)</f>
        <v>#NAME?</v>
      </c>
      <c r="H438" t="e">
        <f t="shared" ca="1" si="6"/>
        <v>#NAME?</v>
      </c>
      <c r="I438" t="e">
        <f ca="1">INDEX(CBIC_Late_Fee_Relief_Windows_1!$B$100:$B$438,MATCH(G438,CBIC_Late_Fee_Relief_Windows_1!$I$100:$I$438,0))</f>
        <v>#NAME?</v>
      </c>
    </row>
    <row r="439" spans="1:9" x14ac:dyDescent="0.55000000000000004">
      <c r="A439" t="str">
        <f>TEST_DATA!A439</f>
        <v>27AAAAA0439Z5</v>
      </c>
      <c r="B439" t="str">
        <f>TEST_DATA!B439</f>
        <v>Mar-2018</v>
      </c>
      <c r="C439">
        <f>TEST_DATA!C439</f>
        <v>44399</v>
      </c>
      <c r="D439" t="str">
        <f>TEST_DATA!D439</f>
        <v>NIL</v>
      </c>
      <c r="E439">
        <f>TEST_DATA!E439</f>
        <v>1365</v>
      </c>
      <c r="F439">
        <f>MIN(E439*43900,10000)</f>
        <v>10000</v>
      </c>
      <c r="G439" t="e">
        <f ca="1">_xludf.MINIFS(CBIC_Late_Fee_Relief_Windows_1!$I$100:$I$439,CBIC_Late_Fee_Relief_Windows_1!$D$100:$D$439,"&lt;="&amp;B439,CBIC_Late_Fee_Relief_Windows_1!$E$100:$E$439,"&gt;="&amp;B439,CBIC_Late_Fee_Relief_Windows_1!$F$100:$F$439,"&lt;="&amp;C439,CBIC_Late_Fee_Relief_Windows_1!$G$100:$G$439,"&gt;="&amp;C439,CBIC_Late_Fee_Relief_Windows_1!$H$100:$H$439,D439)</f>
        <v>#NAME?</v>
      </c>
      <c r="H439" t="e">
        <f t="shared" ca="1" si="6"/>
        <v>#NAME?</v>
      </c>
      <c r="I439" t="e">
        <f ca="1">INDEX(CBIC_Late_Fee_Relief_Windows_1!$B$100:$B$439,MATCH(G439,CBIC_Late_Fee_Relief_Windows_1!$I$100:$I$439,0))</f>
        <v>#NAME?</v>
      </c>
    </row>
    <row r="440" spans="1:9" x14ac:dyDescent="0.55000000000000004">
      <c r="A440" t="str">
        <f>TEST_DATA!A440</f>
        <v>27AAAAA0440Z5</v>
      </c>
      <c r="B440" t="str">
        <f>TEST_DATA!B440</f>
        <v>Sep-2017</v>
      </c>
      <c r="C440">
        <f>TEST_DATA!C440</f>
        <v>44110</v>
      </c>
      <c r="D440" t="str">
        <f>TEST_DATA!D440</f>
        <v>NIL</v>
      </c>
      <c r="E440">
        <f>TEST_DATA!E440</f>
        <v>1432</v>
      </c>
      <c r="F440">
        <f>MIN(E440*44000,10000)</f>
        <v>10000</v>
      </c>
      <c r="G440" t="e">
        <f ca="1">_xludf.MINIFS(CBIC_Late_Fee_Relief_Windows_1!$I$100:$I$440,CBIC_Late_Fee_Relief_Windows_1!$D$100:$D$440,"&lt;="&amp;B440,CBIC_Late_Fee_Relief_Windows_1!$E$100:$E$440,"&gt;="&amp;B440,CBIC_Late_Fee_Relief_Windows_1!$F$100:$F$440,"&lt;="&amp;C440,CBIC_Late_Fee_Relief_Windows_1!$G$100:$G$440,"&gt;="&amp;C440,CBIC_Late_Fee_Relief_Windows_1!$H$100:$H$440,D440)</f>
        <v>#NAME?</v>
      </c>
      <c r="H440" t="e">
        <f t="shared" ca="1" si="6"/>
        <v>#NAME?</v>
      </c>
      <c r="I440" t="e">
        <f ca="1">INDEX(CBIC_Late_Fee_Relief_Windows_1!$B$100:$B$440,MATCH(G440,CBIC_Late_Fee_Relief_Windows_1!$I$100:$I$440,0))</f>
        <v>#NAME?</v>
      </c>
    </row>
    <row r="441" spans="1:9" x14ac:dyDescent="0.55000000000000004">
      <c r="A441" t="str">
        <f>TEST_DATA!A441</f>
        <v>27AAAAA0441Z5</v>
      </c>
      <c r="B441" t="str">
        <f>TEST_DATA!B441</f>
        <v>Apr-2018</v>
      </c>
      <c r="C441">
        <f>TEST_DATA!C441</f>
        <v>44260</v>
      </c>
      <c r="D441" t="str">
        <f>TEST_DATA!D441</f>
        <v>NON-NIL</v>
      </c>
      <c r="E441">
        <f>TEST_DATA!E441</f>
        <v>528</v>
      </c>
      <c r="F441">
        <f>MIN(E441*44100,10000)</f>
        <v>10000</v>
      </c>
      <c r="G441" t="e">
        <f ca="1">_xludf.MINIFS(CBIC_Late_Fee_Relief_Windows_1!$I$100:$I$441,CBIC_Late_Fee_Relief_Windows_1!$D$100:$D$441,"&lt;="&amp;B441,CBIC_Late_Fee_Relief_Windows_1!$E$100:$E$441,"&gt;="&amp;B441,CBIC_Late_Fee_Relief_Windows_1!$F$100:$F$441,"&lt;="&amp;C441,CBIC_Late_Fee_Relief_Windows_1!$G$100:$G$441,"&gt;="&amp;C441,CBIC_Late_Fee_Relief_Windows_1!$H$100:$H$441,D441)</f>
        <v>#NAME?</v>
      </c>
      <c r="H441" t="e">
        <f t="shared" ca="1" si="6"/>
        <v>#NAME?</v>
      </c>
      <c r="I441" t="e">
        <f ca="1">INDEX(CBIC_Late_Fee_Relief_Windows_1!$B$100:$B$441,MATCH(G441,CBIC_Late_Fee_Relief_Windows_1!$I$100:$I$441,0))</f>
        <v>#NAME?</v>
      </c>
    </row>
    <row r="442" spans="1:9" x14ac:dyDescent="0.55000000000000004">
      <c r="A442" t="str">
        <f>TEST_DATA!A442</f>
        <v>27AAAAA0442Z5</v>
      </c>
      <c r="B442" t="str">
        <f>TEST_DATA!B442</f>
        <v>Apr-2020</v>
      </c>
      <c r="C442">
        <f>TEST_DATA!C442</f>
        <v>44004</v>
      </c>
      <c r="D442" t="str">
        <f>TEST_DATA!D442</f>
        <v>NON-NIL</v>
      </c>
      <c r="E442">
        <f>TEST_DATA!E442</f>
        <v>2289</v>
      </c>
      <c r="F442">
        <f>MIN(E442*44200,10000)</f>
        <v>10000</v>
      </c>
      <c r="G442" t="e">
        <f ca="1">_xludf.MINIFS(CBIC_Late_Fee_Relief_Windows_1!$I$100:$I$442,CBIC_Late_Fee_Relief_Windows_1!$D$100:$D$442,"&lt;="&amp;B442,CBIC_Late_Fee_Relief_Windows_1!$E$100:$E$442,"&gt;="&amp;B442,CBIC_Late_Fee_Relief_Windows_1!$F$100:$F$442,"&lt;="&amp;C442,CBIC_Late_Fee_Relief_Windows_1!$G$100:$G$442,"&gt;="&amp;C442,CBIC_Late_Fee_Relief_Windows_1!$H$100:$H$442,D442)</f>
        <v>#NAME?</v>
      </c>
      <c r="H442" t="e">
        <f t="shared" ca="1" si="6"/>
        <v>#NAME?</v>
      </c>
      <c r="I442" t="e">
        <f ca="1">INDEX(CBIC_Late_Fee_Relief_Windows_1!$B$100:$B$442,MATCH(G442,CBIC_Late_Fee_Relief_Windows_1!$I$100:$I$442,0))</f>
        <v>#NAME?</v>
      </c>
    </row>
    <row r="443" spans="1:9" x14ac:dyDescent="0.55000000000000004">
      <c r="A443" t="str">
        <f>TEST_DATA!A443</f>
        <v>27AAAAA0443Z5</v>
      </c>
      <c r="B443" t="str">
        <f>TEST_DATA!B443</f>
        <v>Jul-2018</v>
      </c>
      <c r="C443">
        <f>TEST_DATA!C443</f>
        <v>44234</v>
      </c>
      <c r="D443" t="str">
        <f>TEST_DATA!D443</f>
        <v>NON-NIL</v>
      </c>
      <c r="E443">
        <f>TEST_DATA!E443</f>
        <v>523</v>
      </c>
      <c r="F443">
        <f>MIN(E443*44300,10000)</f>
        <v>10000</v>
      </c>
      <c r="G443" t="e">
        <f ca="1">_xludf.MINIFS(CBIC_Late_Fee_Relief_Windows_1!$I$100:$I$443,CBIC_Late_Fee_Relief_Windows_1!$D$100:$D$443,"&lt;="&amp;B443,CBIC_Late_Fee_Relief_Windows_1!$E$100:$E$443,"&gt;="&amp;B443,CBIC_Late_Fee_Relief_Windows_1!$F$100:$F$443,"&lt;="&amp;C443,CBIC_Late_Fee_Relief_Windows_1!$G$100:$G$443,"&gt;="&amp;C443,CBIC_Late_Fee_Relief_Windows_1!$H$100:$H$443,D443)</f>
        <v>#NAME?</v>
      </c>
      <c r="H443" t="e">
        <f t="shared" ca="1" si="6"/>
        <v>#NAME?</v>
      </c>
      <c r="I443" t="e">
        <f ca="1">INDEX(CBIC_Late_Fee_Relief_Windows_1!$B$100:$B$443,MATCH(G443,CBIC_Late_Fee_Relief_Windows_1!$I$100:$I$443,0))</f>
        <v>#NAME?</v>
      </c>
    </row>
    <row r="444" spans="1:9" x14ac:dyDescent="0.55000000000000004">
      <c r="A444" t="str">
        <f>TEST_DATA!A444</f>
        <v>27AAAAA0444Z5</v>
      </c>
      <c r="B444" t="str">
        <f>TEST_DATA!B444</f>
        <v>Jun-2020</v>
      </c>
      <c r="C444">
        <f>TEST_DATA!C444</f>
        <v>44909</v>
      </c>
      <c r="D444" t="str">
        <f>TEST_DATA!D444</f>
        <v>NIL</v>
      </c>
      <c r="E444">
        <f>TEST_DATA!E444</f>
        <v>2646</v>
      </c>
      <c r="F444">
        <f>MIN(E444*44400,10000)</f>
        <v>10000</v>
      </c>
      <c r="G444" t="e">
        <f ca="1">_xludf.MINIFS(CBIC_Late_Fee_Relief_Windows_1!$I$100:$I$444,CBIC_Late_Fee_Relief_Windows_1!$D$100:$D$444,"&lt;="&amp;B444,CBIC_Late_Fee_Relief_Windows_1!$E$100:$E$444,"&gt;="&amp;B444,CBIC_Late_Fee_Relief_Windows_1!$F$100:$F$444,"&lt;="&amp;C444,CBIC_Late_Fee_Relief_Windows_1!$G$100:$G$444,"&gt;="&amp;C444,CBIC_Late_Fee_Relief_Windows_1!$H$100:$H$444,D444)</f>
        <v>#NAME?</v>
      </c>
      <c r="H444" t="e">
        <f t="shared" ca="1" si="6"/>
        <v>#NAME?</v>
      </c>
      <c r="I444" t="e">
        <f ca="1">INDEX(CBIC_Late_Fee_Relief_Windows_1!$B$100:$B$444,MATCH(G444,CBIC_Late_Fee_Relief_Windows_1!$I$100:$I$444,0))</f>
        <v>#NAME?</v>
      </c>
    </row>
    <row r="445" spans="1:9" x14ac:dyDescent="0.55000000000000004">
      <c r="A445" t="str">
        <f>TEST_DATA!A445</f>
        <v>27AAAAA0445Z5</v>
      </c>
      <c r="B445" t="str">
        <f>TEST_DATA!B445</f>
        <v>Jun-2020</v>
      </c>
      <c r="C445">
        <f>TEST_DATA!C445</f>
        <v>44698</v>
      </c>
      <c r="D445" t="str">
        <f>TEST_DATA!D445</f>
        <v>NON-NIL</v>
      </c>
      <c r="E445">
        <f>TEST_DATA!E445</f>
        <v>74</v>
      </c>
      <c r="F445">
        <f>MIN(E445*44500,10000)</f>
        <v>10000</v>
      </c>
      <c r="G445" t="e">
        <f ca="1">_xludf.MINIFS(CBIC_Late_Fee_Relief_Windows_1!$I$100:$I$445,CBIC_Late_Fee_Relief_Windows_1!$D$100:$D$445,"&lt;="&amp;B445,CBIC_Late_Fee_Relief_Windows_1!$E$100:$E$445,"&gt;="&amp;B445,CBIC_Late_Fee_Relief_Windows_1!$F$100:$F$445,"&lt;="&amp;C445,CBIC_Late_Fee_Relief_Windows_1!$G$100:$G$445,"&gt;="&amp;C445,CBIC_Late_Fee_Relief_Windows_1!$H$100:$H$445,D445)</f>
        <v>#NAME?</v>
      </c>
      <c r="H445" t="e">
        <f t="shared" ca="1" si="6"/>
        <v>#NAME?</v>
      </c>
      <c r="I445" t="e">
        <f ca="1">INDEX(CBIC_Late_Fee_Relief_Windows_1!$B$100:$B$445,MATCH(G445,CBIC_Late_Fee_Relief_Windows_1!$I$100:$I$445,0))</f>
        <v>#NAME?</v>
      </c>
    </row>
    <row r="446" spans="1:9" x14ac:dyDescent="0.55000000000000004">
      <c r="A446" t="str">
        <f>TEST_DATA!A446</f>
        <v>27AAAAA0446Z5</v>
      </c>
      <c r="B446" t="str">
        <f>TEST_DATA!B446</f>
        <v>Jun-2018</v>
      </c>
      <c r="C446">
        <f>TEST_DATA!C446</f>
        <v>43549</v>
      </c>
      <c r="D446" t="str">
        <f>TEST_DATA!D446</f>
        <v>NIL</v>
      </c>
      <c r="E446">
        <f>TEST_DATA!E446</f>
        <v>877</v>
      </c>
      <c r="F446">
        <f>MIN(E446*44600,10000)</f>
        <v>10000</v>
      </c>
      <c r="G446" t="e">
        <f ca="1">_xludf.MINIFS(CBIC_Late_Fee_Relief_Windows_1!$I$100:$I$446,CBIC_Late_Fee_Relief_Windows_1!$D$100:$D$446,"&lt;="&amp;B446,CBIC_Late_Fee_Relief_Windows_1!$E$100:$E$446,"&gt;="&amp;B446,CBIC_Late_Fee_Relief_Windows_1!$F$100:$F$446,"&lt;="&amp;C446,CBIC_Late_Fee_Relief_Windows_1!$G$100:$G$446,"&gt;="&amp;C446,CBIC_Late_Fee_Relief_Windows_1!$H$100:$H$446,D446)</f>
        <v>#NAME?</v>
      </c>
      <c r="H446" t="e">
        <f t="shared" ca="1" si="6"/>
        <v>#NAME?</v>
      </c>
      <c r="I446" t="e">
        <f ca="1">INDEX(CBIC_Late_Fee_Relief_Windows_1!$B$100:$B$446,MATCH(G446,CBIC_Late_Fee_Relief_Windows_1!$I$100:$I$446,0))</f>
        <v>#NAME?</v>
      </c>
    </row>
    <row r="447" spans="1:9" x14ac:dyDescent="0.55000000000000004">
      <c r="A447" t="str">
        <f>TEST_DATA!A447</f>
        <v>27AAAAA0447Z5</v>
      </c>
      <c r="B447" t="str">
        <f>TEST_DATA!B447</f>
        <v>May-2018</v>
      </c>
      <c r="C447">
        <f>TEST_DATA!C447</f>
        <v>44486</v>
      </c>
      <c r="D447" t="str">
        <f>TEST_DATA!D447</f>
        <v>NON-NIL</v>
      </c>
      <c r="E447">
        <f>TEST_DATA!E447</f>
        <v>786</v>
      </c>
      <c r="F447">
        <f>MIN(E447*44700,10000)</f>
        <v>10000</v>
      </c>
      <c r="G447" t="e">
        <f ca="1">_xludf.MINIFS(CBIC_Late_Fee_Relief_Windows_1!$I$100:$I$447,CBIC_Late_Fee_Relief_Windows_1!$D$100:$D$447,"&lt;="&amp;B447,CBIC_Late_Fee_Relief_Windows_1!$E$100:$E$447,"&gt;="&amp;B447,CBIC_Late_Fee_Relief_Windows_1!$F$100:$F$447,"&lt;="&amp;C447,CBIC_Late_Fee_Relief_Windows_1!$G$100:$G$447,"&gt;="&amp;C447,CBIC_Late_Fee_Relief_Windows_1!$H$100:$H$447,D447)</f>
        <v>#NAME?</v>
      </c>
      <c r="H447" t="e">
        <f t="shared" ca="1" si="6"/>
        <v>#NAME?</v>
      </c>
      <c r="I447" t="e">
        <f ca="1">INDEX(CBIC_Late_Fee_Relief_Windows_1!$B$100:$B$447,MATCH(G447,CBIC_Late_Fee_Relief_Windows_1!$I$100:$I$447,0))</f>
        <v>#NAME?</v>
      </c>
    </row>
    <row r="448" spans="1:9" x14ac:dyDescent="0.55000000000000004">
      <c r="A448" t="str">
        <f>TEST_DATA!A448</f>
        <v>27AAAAA0448Z5</v>
      </c>
      <c r="B448" t="str">
        <f>TEST_DATA!B448</f>
        <v>Feb-2018</v>
      </c>
      <c r="C448">
        <f>TEST_DATA!C448</f>
        <v>43198</v>
      </c>
      <c r="D448" t="str">
        <f>TEST_DATA!D448</f>
        <v>NIL</v>
      </c>
      <c r="E448">
        <f>TEST_DATA!E448</f>
        <v>316</v>
      </c>
      <c r="F448">
        <f>MIN(E448*44800,10000)</f>
        <v>10000</v>
      </c>
      <c r="G448" t="e">
        <f ca="1">_xludf.MINIFS(CBIC_Late_Fee_Relief_Windows_1!$I$100:$I$448,CBIC_Late_Fee_Relief_Windows_1!$D$100:$D$448,"&lt;="&amp;B448,CBIC_Late_Fee_Relief_Windows_1!$E$100:$E$448,"&gt;="&amp;B448,CBIC_Late_Fee_Relief_Windows_1!$F$100:$F$448,"&lt;="&amp;C448,CBIC_Late_Fee_Relief_Windows_1!$G$100:$G$448,"&gt;="&amp;C448,CBIC_Late_Fee_Relief_Windows_1!$H$100:$H$448,D448)</f>
        <v>#NAME?</v>
      </c>
      <c r="H448" t="e">
        <f t="shared" ca="1" si="6"/>
        <v>#NAME?</v>
      </c>
      <c r="I448" t="e">
        <f ca="1">INDEX(CBIC_Late_Fee_Relief_Windows_1!$B$100:$B$448,MATCH(G448,CBIC_Late_Fee_Relief_Windows_1!$I$100:$I$448,0))</f>
        <v>#NAME?</v>
      </c>
    </row>
    <row r="449" spans="1:9" x14ac:dyDescent="0.55000000000000004">
      <c r="A449" t="str">
        <f>TEST_DATA!A449</f>
        <v>27AAAAA0449Z5</v>
      </c>
      <c r="B449" t="str">
        <f>TEST_DATA!B449</f>
        <v>Apr-2018</v>
      </c>
      <c r="C449">
        <f>TEST_DATA!C449</f>
        <v>44531</v>
      </c>
      <c r="D449" t="str">
        <f>TEST_DATA!D449</f>
        <v>NIL</v>
      </c>
      <c r="E449">
        <f>TEST_DATA!E449</f>
        <v>2079</v>
      </c>
      <c r="F449">
        <f>MIN(E449*44900,10000)</f>
        <v>10000</v>
      </c>
      <c r="G449" t="e">
        <f ca="1">_xludf.MINIFS(CBIC_Late_Fee_Relief_Windows_1!$I$100:$I$449,CBIC_Late_Fee_Relief_Windows_1!$D$100:$D$449,"&lt;="&amp;B449,CBIC_Late_Fee_Relief_Windows_1!$E$100:$E$449,"&gt;="&amp;B449,CBIC_Late_Fee_Relief_Windows_1!$F$100:$F$449,"&lt;="&amp;C449,CBIC_Late_Fee_Relief_Windows_1!$G$100:$G$449,"&gt;="&amp;C449,CBIC_Late_Fee_Relief_Windows_1!$H$100:$H$449,D449)</f>
        <v>#NAME?</v>
      </c>
      <c r="H449" t="e">
        <f t="shared" ca="1" si="6"/>
        <v>#NAME?</v>
      </c>
      <c r="I449" t="e">
        <f ca="1">INDEX(CBIC_Late_Fee_Relief_Windows_1!$B$100:$B$449,MATCH(G449,CBIC_Late_Fee_Relief_Windows_1!$I$100:$I$449,0))</f>
        <v>#NAME?</v>
      </c>
    </row>
    <row r="450" spans="1:9" x14ac:dyDescent="0.55000000000000004">
      <c r="A450" t="str">
        <f>TEST_DATA!A450</f>
        <v>27AAAAA0450Z5</v>
      </c>
      <c r="B450" t="str">
        <f>TEST_DATA!B450</f>
        <v>Mar-2021</v>
      </c>
      <c r="C450">
        <f>TEST_DATA!C450</f>
        <v>45676</v>
      </c>
      <c r="D450" t="str">
        <f>TEST_DATA!D450</f>
        <v>NIL</v>
      </c>
      <c r="E450">
        <f>TEST_DATA!E450</f>
        <v>2711</v>
      </c>
      <c r="F450">
        <f>MIN(E450*45000,10000)</f>
        <v>10000</v>
      </c>
      <c r="G450" t="e">
        <f ca="1">_xludf.MINIFS(CBIC_Late_Fee_Relief_Windows_1!$I$100:$I$450,CBIC_Late_Fee_Relief_Windows_1!$D$100:$D$450,"&lt;="&amp;B450,CBIC_Late_Fee_Relief_Windows_1!$E$100:$E$450,"&gt;="&amp;B450,CBIC_Late_Fee_Relief_Windows_1!$F$100:$F$450,"&lt;="&amp;C450,CBIC_Late_Fee_Relief_Windows_1!$G$100:$G$450,"&gt;="&amp;C450,CBIC_Late_Fee_Relief_Windows_1!$H$100:$H$450,D450)</f>
        <v>#NAME?</v>
      </c>
      <c r="H450" t="e">
        <f t="shared" ref="H450:H513" ca="1" si="7">MIN(F450,G450)</f>
        <v>#NAME?</v>
      </c>
      <c r="I450" t="e">
        <f ca="1">INDEX(CBIC_Late_Fee_Relief_Windows_1!$B$100:$B$450,MATCH(G450,CBIC_Late_Fee_Relief_Windows_1!$I$100:$I$450,0))</f>
        <v>#NAME?</v>
      </c>
    </row>
    <row r="451" spans="1:9" x14ac:dyDescent="0.55000000000000004">
      <c r="A451" t="str">
        <f>TEST_DATA!A451</f>
        <v>27AAAAA0451Z5</v>
      </c>
      <c r="B451" t="str">
        <f>TEST_DATA!B451</f>
        <v>May-2018</v>
      </c>
      <c r="C451">
        <f>TEST_DATA!C451</f>
        <v>44486</v>
      </c>
      <c r="D451" t="str">
        <f>TEST_DATA!D451</f>
        <v>NIL</v>
      </c>
      <c r="E451">
        <f>TEST_DATA!E451</f>
        <v>2446</v>
      </c>
      <c r="F451">
        <f>MIN(E451*45100,10000)</f>
        <v>10000</v>
      </c>
      <c r="G451" t="e">
        <f ca="1">_xludf.MINIFS(CBIC_Late_Fee_Relief_Windows_1!$I$100:$I$451,CBIC_Late_Fee_Relief_Windows_1!$D$100:$D$451,"&lt;="&amp;B451,CBIC_Late_Fee_Relief_Windows_1!$E$100:$E$451,"&gt;="&amp;B451,CBIC_Late_Fee_Relief_Windows_1!$F$100:$F$451,"&lt;="&amp;C451,CBIC_Late_Fee_Relief_Windows_1!$G$100:$G$451,"&gt;="&amp;C451,CBIC_Late_Fee_Relief_Windows_1!$H$100:$H$451,D451)</f>
        <v>#NAME?</v>
      </c>
      <c r="H451" t="e">
        <f t="shared" ca="1" si="7"/>
        <v>#NAME?</v>
      </c>
      <c r="I451" t="e">
        <f ca="1">INDEX(CBIC_Late_Fee_Relief_Windows_1!$B$100:$B$451,MATCH(G451,CBIC_Late_Fee_Relief_Windows_1!$I$100:$I$451,0))</f>
        <v>#NAME?</v>
      </c>
    </row>
    <row r="452" spans="1:9" x14ac:dyDescent="0.55000000000000004">
      <c r="A452" t="str">
        <f>TEST_DATA!A452</f>
        <v>27AAAAA0452Z5</v>
      </c>
      <c r="B452" t="str">
        <f>TEST_DATA!B452</f>
        <v>Jul-2018</v>
      </c>
      <c r="C452">
        <f>TEST_DATA!C452</f>
        <v>43232</v>
      </c>
      <c r="D452" t="str">
        <f>TEST_DATA!D452</f>
        <v>NIL</v>
      </c>
      <c r="E452">
        <f>TEST_DATA!E452</f>
        <v>740</v>
      </c>
      <c r="F452">
        <f>MIN(E452*45200,10000)</f>
        <v>10000</v>
      </c>
      <c r="G452" t="e">
        <f ca="1">_xludf.MINIFS(CBIC_Late_Fee_Relief_Windows_1!$I$100:$I$452,CBIC_Late_Fee_Relief_Windows_1!$D$100:$D$452,"&lt;="&amp;B452,CBIC_Late_Fee_Relief_Windows_1!$E$100:$E$452,"&gt;="&amp;B452,CBIC_Late_Fee_Relief_Windows_1!$F$100:$F$452,"&lt;="&amp;C452,CBIC_Late_Fee_Relief_Windows_1!$G$100:$G$452,"&gt;="&amp;C452,CBIC_Late_Fee_Relief_Windows_1!$H$100:$H$452,D452)</f>
        <v>#NAME?</v>
      </c>
      <c r="H452" t="e">
        <f t="shared" ca="1" si="7"/>
        <v>#NAME?</v>
      </c>
      <c r="I452" t="e">
        <f ca="1">INDEX(CBIC_Late_Fee_Relief_Windows_1!$B$100:$B$452,MATCH(G452,CBIC_Late_Fee_Relief_Windows_1!$I$100:$I$452,0))</f>
        <v>#NAME?</v>
      </c>
    </row>
    <row r="453" spans="1:9" x14ac:dyDescent="0.55000000000000004">
      <c r="A453" t="str">
        <f>TEST_DATA!A453</f>
        <v>27AAAAA0453Z5</v>
      </c>
      <c r="B453" t="str">
        <f>TEST_DATA!B453</f>
        <v>Dec-2022</v>
      </c>
      <c r="C453">
        <f>TEST_DATA!C453</f>
        <v>44144</v>
      </c>
      <c r="D453" t="str">
        <f>TEST_DATA!D453</f>
        <v>NON-NIL</v>
      </c>
      <c r="E453">
        <f>TEST_DATA!E453</f>
        <v>178</v>
      </c>
      <c r="F453">
        <f>MIN(E453*45300,10000)</f>
        <v>10000</v>
      </c>
      <c r="G453" t="e">
        <f ca="1">_xludf.MINIFS(CBIC_Late_Fee_Relief_Windows_1!$I$100:$I$453,CBIC_Late_Fee_Relief_Windows_1!$D$100:$D$453,"&lt;="&amp;B453,CBIC_Late_Fee_Relief_Windows_1!$E$100:$E$453,"&gt;="&amp;B453,CBIC_Late_Fee_Relief_Windows_1!$F$100:$F$453,"&lt;="&amp;C453,CBIC_Late_Fee_Relief_Windows_1!$G$100:$G$453,"&gt;="&amp;C453,CBIC_Late_Fee_Relief_Windows_1!$H$100:$H$453,D453)</f>
        <v>#NAME?</v>
      </c>
      <c r="H453" t="e">
        <f t="shared" ca="1" si="7"/>
        <v>#NAME?</v>
      </c>
      <c r="I453" t="e">
        <f ca="1">INDEX(CBIC_Late_Fee_Relief_Windows_1!$B$100:$B$453,MATCH(G453,CBIC_Late_Fee_Relief_Windows_1!$I$100:$I$453,0))</f>
        <v>#NAME?</v>
      </c>
    </row>
    <row r="454" spans="1:9" x14ac:dyDescent="0.55000000000000004">
      <c r="A454" t="str">
        <f>TEST_DATA!A454</f>
        <v>27AAAAA0454Z5</v>
      </c>
      <c r="B454" t="str">
        <f>TEST_DATA!B454</f>
        <v>Aug-2018</v>
      </c>
      <c r="C454">
        <f>TEST_DATA!C454</f>
        <v>43663</v>
      </c>
      <c r="D454" t="str">
        <f>TEST_DATA!D454</f>
        <v>NIL</v>
      </c>
      <c r="E454">
        <f>TEST_DATA!E454</f>
        <v>1819</v>
      </c>
      <c r="F454">
        <f>MIN(E454*45400,10000)</f>
        <v>10000</v>
      </c>
      <c r="G454" t="e">
        <f ca="1">_xludf.MINIFS(CBIC_Late_Fee_Relief_Windows_1!$I$100:$I$454,CBIC_Late_Fee_Relief_Windows_1!$D$100:$D$454,"&lt;="&amp;B454,CBIC_Late_Fee_Relief_Windows_1!$E$100:$E$454,"&gt;="&amp;B454,CBIC_Late_Fee_Relief_Windows_1!$F$100:$F$454,"&lt;="&amp;C454,CBIC_Late_Fee_Relief_Windows_1!$G$100:$G$454,"&gt;="&amp;C454,CBIC_Late_Fee_Relief_Windows_1!$H$100:$H$454,D454)</f>
        <v>#NAME?</v>
      </c>
      <c r="H454" t="e">
        <f t="shared" ca="1" si="7"/>
        <v>#NAME?</v>
      </c>
      <c r="I454" t="e">
        <f ca="1">INDEX(CBIC_Late_Fee_Relief_Windows_1!$B$100:$B$454,MATCH(G454,CBIC_Late_Fee_Relief_Windows_1!$I$100:$I$454,0))</f>
        <v>#NAME?</v>
      </c>
    </row>
    <row r="455" spans="1:9" x14ac:dyDescent="0.55000000000000004">
      <c r="A455" t="str">
        <f>TEST_DATA!A455</f>
        <v>27AAAAA0455Z5</v>
      </c>
      <c r="B455" t="str">
        <f>TEST_DATA!B455</f>
        <v>Apr-2020</v>
      </c>
      <c r="C455">
        <f>TEST_DATA!C455</f>
        <v>44414</v>
      </c>
      <c r="D455" t="str">
        <f>TEST_DATA!D455</f>
        <v>NON-NIL</v>
      </c>
      <c r="E455">
        <f>TEST_DATA!E455</f>
        <v>958</v>
      </c>
      <c r="F455">
        <f>MIN(E455*45500,10000)</f>
        <v>10000</v>
      </c>
      <c r="G455" t="e">
        <f ca="1">_xludf.MINIFS(CBIC_Late_Fee_Relief_Windows_1!$I$100:$I$455,CBIC_Late_Fee_Relief_Windows_1!$D$100:$D$455,"&lt;="&amp;B455,CBIC_Late_Fee_Relief_Windows_1!$E$100:$E$455,"&gt;="&amp;B455,CBIC_Late_Fee_Relief_Windows_1!$F$100:$F$455,"&lt;="&amp;C455,CBIC_Late_Fee_Relief_Windows_1!$G$100:$G$455,"&gt;="&amp;C455,CBIC_Late_Fee_Relief_Windows_1!$H$100:$H$455,D455)</f>
        <v>#NAME?</v>
      </c>
      <c r="H455" t="e">
        <f t="shared" ca="1" si="7"/>
        <v>#NAME?</v>
      </c>
      <c r="I455" t="e">
        <f ca="1">INDEX(CBIC_Late_Fee_Relief_Windows_1!$B$100:$B$455,MATCH(G455,CBIC_Late_Fee_Relief_Windows_1!$I$100:$I$455,0))</f>
        <v>#NAME?</v>
      </c>
    </row>
    <row r="456" spans="1:9" x14ac:dyDescent="0.55000000000000004">
      <c r="A456" t="str">
        <f>TEST_DATA!A456</f>
        <v>27AAAAA0456Z5</v>
      </c>
      <c r="B456" t="str">
        <f>TEST_DATA!B456</f>
        <v>Dec-2019</v>
      </c>
      <c r="C456">
        <f>TEST_DATA!C456</f>
        <v>44445</v>
      </c>
      <c r="D456" t="str">
        <f>TEST_DATA!D456</f>
        <v>NON-NIL</v>
      </c>
      <c r="E456">
        <f>TEST_DATA!E456</f>
        <v>1921</v>
      </c>
      <c r="F456">
        <f>MIN(E456*45600,10000)</f>
        <v>10000</v>
      </c>
      <c r="G456" t="e">
        <f ca="1">_xludf.MINIFS(CBIC_Late_Fee_Relief_Windows_1!$I$100:$I$456,CBIC_Late_Fee_Relief_Windows_1!$D$100:$D$456,"&lt;="&amp;B456,CBIC_Late_Fee_Relief_Windows_1!$E$100:$E$456,"&gt;="&amp;B456,CBIC_Late_Fee_Relief_Windows_1!$F$100:$F$456,"&lt;="&amp;C456,CBIC_Late_Fee_Relief_Windows_1!$G$100:$G$456,"&gt;="&amp;C456,CBIC_Late_Fee_Relief_Windows_1!$H$100:$H$456,D456)</f>
        <v>#NAME?</v>
      </c>
      <c r="H456" t="e">
        <f t="shared" ca="1" si="7"/>
        <v>#NAME?</v>
      </c>
      <c r="I456" t="e">
        <f ca="1">INDEX(CBIC_Late_Fee_Relief_Windows_1!$B$100:$B$456,MATCH(G456,CBIC_Late_Fee_Relief_Windows_1!$I$100:$I$456,0))</f>
        <v>#NAME?</v>
      </c>
    </row>
    <row r="457" spans="1:9" x14ac:dyDescent="0.55000000000000004">
      <c r="A457" t="str">
        <f>TEST_DATA!A457</f>
        <v>27AAAAA0457Z5</v>
      </c>
      <c r="B457" t="str">
        <f>TEST_DATA!B457</f>
        <v>Dec-2024</v>
      </c>
      <c r="C457">
        <f>TEST_DATA!C457</f>
        <v>44260</v>
      </c>
      <c r="D457" t="str">
        <f>TEST_DATA!D457</f>
        <v>NON-NIL</v>
      </c>
      <c r="E457">
        <f>TEST_DATA!E457</f>
        <v>2778</v>
      </c>
      <c r="F457">
        <f>MIN(E457*45700,10000)</f>
        <v>10000</v>
      </c>
      <c r="G457" t="e">
        <f ca="1">_xludf.MINIFS(CBIC_Late_Fee_Relief_Windows_1!$I$100:$I$457,CBIC_Late_Fee_Relief_Windows_1!$D$100:$D$457,"&lt;="&amp;B457,CBIC_Late_Fee_Relief_Windows_1!$E$100:$E$457,"&gt;="&amp;B457,CBIC_Late_Fee_Relief_Windows_1!$F$100:$F$457,"&lt;="&amp;C457,CBIC_Late_Fee_Relief_Windows_1!$G$100:$G$457,"&gt;="&amp;C457,CBIC_Late_Fee_Relief_Windows_1!$H$100:$H$457,D457)</f>
        <v>#NAME?</v>
      </c>
      <c r="H457" t="e">
        <f t="shared" ca="1" si="7"/>
        <v>#NAME?</v>
      </c>
      <c r="I457" t="e">
        <f ca="1">INDEX(CBIC_Late_Fee_Relief_Windows_1!$B$100:$B$457,MATCH(G457,CBIC_Late_Fee_Relief_Windows_1!$I$100:$I$457,0))</f>
        <v>#NAME?</v>
      </c>
    </row>
    <row r="458" spans="1:9" x14ac:dyDescent="0.55000000000000004">
      <c r="A458" t="str">
        <f>TEST_DATA!A458</f>
        <v>27AAAAA0458Z5</v>
      </c>
      <c r="B458" t="str">
        <f>TEST_DATA!B458</f>
        <v>Mar-2020</v>
      </c>
      <c r="C458">
        <f>TEST_DATA!C458</f>
        <v>44733</v>
      </c>
      <c r="D458" t="str">
        <f>TEST_DATA!D458</f>
        <v>NON-NIL</v>
      </c>
      <c r="E458">
        <f>TEST_DATA!E458</f>
        <v>1154</v>
      </c>
      <c r="F458">
        <f>MIN(E458*45800,10000)</f>
        <v>10000</v>
      </c>
      <c r="G458" t="e">
        <f ca="1">_xludf.MINIFS(CBIC_Late_Fee_Relief_Windows_1!$I$100:$I$458,CBIC_Late_Fee_Relief_Windows_1!$D$100:$D$458,"&lt;="&amp;B458,CBIC_Late_Fee_Relief_Windows_1!$E$100:$E$458,"&gt;="&amp;B458,CBIC_Late_Fee_Relief_Windows_1!$F$100:$F$458,"&lt;="&amp;C458,CBIC_Late_Fee_Relief_Windows_1!$G$100:$G$458,"&gt;="&amp;C458,CBIC_Late_Fee_Relief_Windows_1!$H$100:$H$458,D458)</f>
        <v>#NAME?</v>
      </c>
      <c r="H458" t="e">
        <f t="shared" ca="1" si="7"/>
        <v>#NAME?</v>
      </c>
      <c r="I458" t="e">
        <f ca="1">INDEX(CBIC_Late_Fee_Relief_Windows_1!$B$100:$B$458,MATCH(G458,CBIC_Late_Fee_Relief_Windows_1!$I$100:$I$458,0))</f>
        <v>#NAME?</v>
      </c>
    </row>
    <row r="459" spans="1:9" x14ac:dyDescent="0.55000000000000004">
      <c r="A459" t="str">
        <f>TEST_DATA!A459</f>
        <v>27AAAAA0459Z5</v>
      </c>
      <c r="B459" t="str">
        <f>TEST_DATA!B459</f>
        <v>Mar-2021</v>
      </c>
      <c r="C459">
        <f>TEST_DATA!C459</f>
        <v>45030</v>
      </c>
      <c r="D459" t="str">
        <f>TEST_DATA!D459</f>
        <v>NON-NIL</v>
      </c>
      <c r="E459">
        <f>TEST_DATA!E459</f>
        <v>663</v>
      </c>
      <c r="F459">
        <f>MIN(E459*45900,10000)</f>
        <v>10000</v>
      </c>
      <c r="G459" t="e">
        <f ca="1">_xludf.MINIFS(CBIC_Late_Fee_Relief_Windows_1!$I$100:$I$459,CBIC_Late_Fee_Relief_Windows_1!$D$100:$D$459,"&lt;="&amp;B459,CBIC_Late_Fee_Relief_Windows_1!$E$100:$E$459,"&gt;="&amp;B459,CBIC_Late_Fee_Relief_Windows_1!$F$100:$F$459,"&lt;="&amp;C459,CBIC_Late_Fee_Relief_Windows_1!$G$100:$G$459,"&gt;="&amp;C459,CBIC_Late_Fee_Relief_Windows_1!$H$100:$H$459,D459)</f>
        <v>#NAME?</v>
      </c>
      <c r="H459" t="e">
        <f t="shared" ca="1" si="7"/>
        <v>#NAME?</v>
      </c>
      <c r="I459" t="e">
        <f ca="1">INDEX(CBIC_Late_Fee_Relief_Windows_1!$B$100:$B$459,MATCH(G459,CBIC_Late_Fee_Relief_Windows_1!$I$100:$I$459,0))</f>
        <v>#NAME?</v>
      </c>
    </row>
    <row r="460" spans="1:9" x14ac:dyDescent="0.55000000000000004">
      <c r="A460" t="str">
        <f>TEST_DATA!A460</f>
        <v>27AAAAA0460Z5</v>
      </c>
      <c r="B460" t="str">
        <f>TEST_DATA!B460</f>
        <v>Dec-2022</v>
      </c>
      <c r="C460">
        <f>TEST_DATA!C460</f>
        <v>44283</v>
      </c>
      <c r="D460" t="str">
        <f>TEST_DATA!D460</f>
        <v>NIL</v>
      </c>
      <c r="E460">
        <f>TEST_DATA!E460</f>
        <v>1024</v>
      </c>
      <c r="F460">
        <f>MIN(E460*46000,10000)</f>
        <v>10000</v>
      </c>
      <c r="G460" t="e">
        <f ca="1">_xludf.MINIFS(CBIC_Late_Fee_Relief_Windows_1!$I$100:$I$460,CBIC_Late_Fee_Relief_Windows_1!$D$100:$D$460,"&lt;="&amp;B460,CBIC_Late_Fee_Relief_Windows_1!$E$100:$E$460,"&gt;="&amp;B460,CBIC_Late_Fee_Relief_Windows_1!$F$100:$F$460,"&lt;="&amp;C460,CBIC_Late_Fee_Relief_Windows_1!$G$100:$G$460,"&gt;="&amp;C460,CBIC_Late_Fee_Relief_Windows_1!$H$100:$H$460,D460)</f>
        <v>#NAME?</v>
      </c>
      <c r="H460" t="e">
        <f t="shared" ca="1" si="7"/>
        <v>#NAME?</v>
      </c>
      <c r="I460" t="e">
        <f ca="1">INDEX(CBIC_Late_Fee_Relief_Windows_1!$B$100:$B$460,MATCH(G460,CBIC_Late_Fee_Relief_Windows_1!$I$100:$I$460,0))</f>
        <v>#NAME?</v>
      </c>
    </row>
    <row r="461" spans="1:9" x14ac:dyDescent="0.55000000000000004">
      <c r="A461" t="str">
        <f>TEST_DATA!A461</f>
        <v>27AAAAA0461Z5</v>
      </c>
      <c r="B461" t="str">
        <f>TEST_DATA!B461</f>
        <v>Aug-2017</v>
      </c>
      <c r="C461">
        <f>TEST_DATA!C461</f>
        <v>44230</v>
      </c>
      <c r="D461" t="str">
        <f>TEST_DATA!D461</f>
        <v>NON-NIL</v>
      </c>
      <c r="E461">
        <f>TEST_DATA!E461</f>
        <v>1520</v>
      </c>
      <c r="F461">
        <f>MIN(E461*46100,10000)</f>
        <v>10000</v>
      </c>
      <c r="G461" t="e">
        <f ca="1">_xludf.MINIFS(CBIC_Late_Fee_Relief_Windows_1!$I$100:$I$461,CBIC_Late_Fee_Relief_Windows_1!$D$100:$D$461,"&lt;="&amp;B461,CBIC_Late_Fee_Relief_Windows_1!$E$100:$E$461,"&gt;="&amp;B461,CBIC_Late_Fee_Relief_Windows_1!$F$100:$F$461,"&lt;="&amp;C461,CBIC_Late_Fee_Relief_Windows_1!$G$100:$G$461,"&gt;="&amp;C461,CBIC_Late_Fee_Relief_Windows_1!$H$100:$H$461,D461)</f>
        <v>#NAME?</v>
      </c>
      <c r="H461" t="e">
        <f t="shared" ca="1" si="7"/>
        <v>#NAME?</v>
      </c>
      <c r="I461" t="e">
        <f ca="1">INDEX(CBIC_Late_Fee_Relief_Windows_1!$B$100:$B$461,MATCH(G461,CBIC_Late_Fee_Relief_Windows_1!$I$100:$I$461,0))</f>
        <v>#NAME?</v>
      </c>
    </row>
    <row r="462" spans="1:9" x14ac:dyDescent="0.55000000000000004">
      <c r="A462" t="str">
        <f>TEST_DATA!A462</f>
        <v>27AAAAA0462Z5</v>
      </c>
      <c r="B462" t="str">
        <f>TEST_DATA!B462</f>
        <v>Dec-2019</v>
      </c>
      <c r="C462">
        <f>TEST_DATA!C462</f>
        <v>43886</v>
      </c>
      <c r="D462" t="str">
        <f>TEST_DATA!D462</f>
        <v>NIL</v>
      </c>
      <c r="E462">
        <f>TEST_DATA!E462</f>
        <v>1167</v>
      </c>
      <c r="F462">
        <f>MIN(E462*46200,10000)</f>
        <v>10000</v>
      </c>
      <c r="G462" t="e">
        <f ca="1">_xludf.MINIFS(CBIC_Late_Fee_Relief_Windows_1!$I$100:$I$462,CBIC_Late_Fee_Relief_Windows_1!$D$100:$D$462,"&lt;="&amp;B462,CBIC_Late_Fee_Relief_Windows_1!$E$100:$E$462,"&gt;="&amp;B462,CBIC_Late_Fee_Relief_Windows_1!$F$100:$F$462,"&lt;="&amp;C462,CBIC_Late_Fee_Relief_Windows_1!$G$100:$G$462,"&gt;="&amp;C462,CBIC_Late_Fee_Relief_Windows_1!$H$100:$H$462,D462)</f>
        <v>#NAME?</v>
      </c>
      <c r="H462" t="e">
        <f t="shared" ca="1" si="7"/>
        <v>#NAME?</v>
      </c>
      <c r="I462" t="e">
        <f ca="1">INDEX(CBIC_Late_Fee_Relief_Windows_1!$B$100:$B$462,MATCH(G462,CBIC_Late_Fee_Relief_Windows_1!$I$100:$I$462,0))</f>
        <v>#NAME?</v>
      </c>
    </row>
    <row r="463" spans="1:9" x14ac:dyDescent="0.55000000000000004">
      <c r="A463" t="str">
        <f>TEST_DATA!A463</f>
        <v>27AAAAA0463Z5</v>
      </c>
      <c r="B463" t="str">
        <f>TEST_DATA!B463</f>
        <v>Sep-2017</v>
      </c>
      <c r="C463">
        <f>TEST_DATA!C463</f>
        <v>44479</v>
      </c>
      <c r="D463" t="str">
        <f>TEST_DATA!D463</f>
        <v>NIL</v>
      </c>
      <c r="E463">
        <f>TEST_DATA!E463</f>
        <v>1117</v>
      </c>
      <c r="F463">
        <f>MIN(E463*46300,10000)</f>
        <v>10000</v>
      </c>
      <c r="G463" t="e">
        <f ca="1">_xludf.MINIFS(CBIC_Late_Fee_Relief_Windows_1!$I$100:$I$463,CBIC_Late_Fee_Relief_Windows_1!$D$100:$D$463,"&lt;="&amp;B463,CBIC_Late_Fee_Relief_Windows_1!$E$100:$E$463,"&gt;="&amp;B463,CBIC_Late_Fee_Relief_Windows_1!$F$100:$F$463,"&lt;="&amp;C463,CBIC_Late_Fee_Relief_Windows_1!$G$100:$G$463,"&gt;="&amp;C463,CBIC_Late_Fee_Relief_Windows_1!$H$100:$H$463,D463)</f>
        <v>#NAME?</v>
      </c>
      <c r="H463" t="e">
        <f t="shared" ca="1" si="7"/>
        <v>#NAME?</v>
      </c>
      <c r="I463" t="e">
        <f ca="1">INDEX(CBIC_Late_Fee_Relief_Windows_1!$B$100:$B$463,MATCH(G463,CBIC_Late_Fee_Relief_Windows_1!$I$100:$I$463,0))</f>
        <v>#NAME?</v>
      </c>
    </row>
    <row r="464" spans="1:9" x14ac:dyDescent="0.55000000000000004">
      <c r="A464" t="str">
        <f>TEST_DATA!A464</f>
        <v>27AAAAA0464Z5</v>
      </c>
      <c r="B464" t="str">
        <f>TEST_DATA!B464</f>
        <v>Sep-2018</v>
      </c>
      <c r="C464">
        <f>TEST_DATA!C464</f>
        <v>43968</v>
      </c>
      <c r="D464" t="str">
        <f>TEST_DATA!D464</f>
        <v>NIL</v>
      </c>
      <c r="E464">
        <f>TEST_DATA!E464</f>
        <v>1791</v>
      </c>
      <c r="F464">
        <f>MIN(E464*46400,10000)</f>
        <v>10000</v>
      </c>
      <c r="G464" t="e">
        <f ca="1">_xludf.MINIFS(CBIC_Late_Fee_Relief_Windows_1!$I$100:$I$464,CBIC_Late_Fee_Relief_Windows_1!$D$100:$D$464,"&lt;="&amp;B464,CBIC_Late_Fee_Relief_Windows_1!$E$100:$E$464,"&gt;="&amp;B464,CBIC_Late_Fee_Relief_Windows_1!$F$100:$F$464,"&lt;="&amp;C464,CBIC_Late_Fee_Relief_Windows_1!$G$100:$G$464,"&gt;="&amp;C464,CBIC_Late_Fee_Relief_Windows_1!$H$100:$H$464,D464)</f>
        <v>#NAME?</v>
      </c>
      <c r="H464" t="e">
        <f t="shared" ca="1" si="7"/>
        <v>#NAME?</v>
      </c>
      <c r="I464" t="e">
        <f ca="1">INDEX(CBIC_Late_Fee_Relief_Windows_1!$B$100:$B$464,MATCH(G464,CBIC_Late_Fee_Relief_Windows_1!$I$100:$I$464,0))</f>
        <v>#NAME?</v>
      </c>
    </row>
    <row r="465" spans="1:9" x14ac:dyDescent="0.55000000000000004">
      <c r="A465" t="str">
        <f>TEST_DATA!A465</f>
        <v>27AAAAA0465Z5</v>
      </c>
      <c r="B465" t="str">
        <f>TEST_DATA!B465</f>
        <v>Sep-2017</v>
      </c>
      <c r="C465">
        <f>TEST_DATA!C465</f>
        <v>43371</v>
      </c>
      <c r="D465" t="str">
        <f>TEST_DATA!D465</f>
        <v>NON-NIL</v>
      </c>
      <c r="E465">
        <f>TEST_DATA!E465</f>
        <v>1431</v>
      </c>
      <c r="F465">
        <f>MIN(E465*46500,10000)</f>
        <v>10000</v>
      </c>
      <c r="G465" t="e">
        <f ca="1">_xludf.MINIFS(CBIC_Late_Fee_Relief_Windows_1!$I$100:$I$465,CBIC_Late_Fee_Relief_Windows_1!$D$100:$D$465,"&lt;="&amp;B465,CBIC_Late_Fee_Relief_Windows_1!$E$100:$E$465,"&gt;="&amp;B465,CBIC_Late_Fee_Relief_Windows_1!$F$100:$F$465,"&lt;="&amp;C465,CBIC_Late_Fee_Relief_Windows_1!$G$100:$G$465,"&gt;="&amp;C465,CBIC_Late_Fee_Relief_Windows_1!$H$100:$H$465,D465)</f>
        <v>#NAME?</v>
      </c>
      <c r="H465" t="e">
        <f t="shared" ca="1" si="7"/>
        <v>#NAME?</v>
      </c>
      <c r="I465" t="e">
        <f ca="1">INDEX(CBIC_Late_Fee_Relief_Windows_1!$B$100:$B$465,MATCH(G465,CBIC_Late_Fee_Relief_Windows_1!$I$100:$I$465,0))</f>
        <v>#NAME?</v>
      </c>
    </row>
    <row r="466" spans="1:9" x14ac:dyDescent="0.55000000000000004">
      <c r="A466" t="str">
        <f>TEST_DATA!A466</f>
        <v>27AAAAA0466Z5</v>
      </c>
      <c r="B466" t="str">
        <f>TEST_DATA!B466</f>
        <v>Jul-2017</v>
      </c>
      <c r="C466">
        <f>TEST_DATA!C466</f>
        <v>43766</v>
      </c>
      <c r="D466" t="str">
        <f>TEST_DATA!D466</f>
        <v>NIL</v>
      </c>
      <c r="E466">
        <f>TEST_DATA!E466</f>
        <v>1623</v>
      </c>
      <c r="F466">
        <f>MIN(E466*46600,10000)</f>
        <v>10000</v>
      </c>
      <c r="G466" t="e">
        <f ca="1">_xludf.MINIFS(CBIC_Late_Fee_Relief_Windows_1!$I$100:$I$466,CBIC_Late_Fee_Relief_Windows_1!$D$100:$D$466,"&lt;="&amp;B466,CBIC_Late_Fee_Relief_Windows_1!$E$100:$E$466,"&gt;="&amp;B466,CBIC_Late_Fee_Relief_Windows_1!$F$100:$F$466,"&lt;="&amp;C466,CBIC_Late_Fee_Relief_Windows_1!$G$100:$G$466,"&gt;="&amp;C466,CBIC_Late_Fee_Relief_Windows_1!$H$100:$H$466,D466)</f>
        <v>#NAME?</v>
      </c>
      <c r="H466" t="e">
        <f t="shared" ca="1" si="7"/>
        <v>#NAME?</v>
      </c>
      <c r="I466" t="e">
        <f ca="1">INDEX(CBIC_Late_Fee_Relief_Windows_1!$B$100:$B$466,MATCH(G466,CBIC_Late_Fee_Relief_Windows_1!$I$100:$I$466,0))</f>
        <v>#NAME?</v>
      </c>
    </row>
    <row r="467" spans="1:9" x14ac:dyDescent="0.55000000000000004">
      <c r="A467" t="str">
        <f>TEST_DATA!A467</f>
        <v>27AAAAA0467Z5</v>
      </c>
      <c r="B467" t="str">
        <f>TEST_DATA!B467</f>
        <v>Jun-2019</v>
      </c>
      <c r="C467">
        <f>TEST_DATA!C467</f>
        <v>44997</v>
      </c>
      <c r="D467" t="str">
        <f>TEST_DATA!D467</f>
        <v>NIL</v>
      </c>
      <c r="E467">
        <f>TEST_DATA!E467</f>
        <v>1581</v>
      </c>
      <c r="F467">
        <f>MIN(E467*46700,10000)</f>
        <v>10000</v>
      </c>
      <c r="G467" t="e">
        <f ca="1">_xludf.MINIFS(CBIC_Late_Fee_Relief_Windows_1!$I$100:$I$467,CBIC_Late_Fee_Relief_Windows_1!$D$100:$D$467,"&lt;="&amp;B467,CBIC_Late_Fee_Relief_Windows_1!$E$100:$E$467,"&gt;="&amp;B467,CBIC_Late_Fee_Relief_Windows_1!$F$100:$F$467,"&lt;="&amp;C467,CBIC_Late_Fee_Relief_Windows_1!$G$100:$G$467,"&gt;="&amp;C467,CBIC_Late_Fee_Relief_Windows_1!$H$100:$H$467,D467)</f>
        <v>#NAME?</v>
      </c>
      <c r="H467" t="e">
        <f t="shared" ca="1" si="7"/>
        <v>#NAME?</v>
      </c>
      <c r="I467" t="e">
        <f ca="1">INDEX(CBIC_Late_Fee_Relief_Windows_1!$B$100:$B$467,MATCH(G467,CBIC_Late_Fee_Relief_Windows_1!$I$100:$I$467,0))</f>
        <v>#NAME?</v>
      </c>
    </row>
    <row r="468" spans="1:9" x14ac:dyDescent="0.55000000000000004">
      <c r="A468" t="str">
        <f>TEST_DATA!A468</f>
        <v>27AAAAA0468Z5</v>
      </c>
      <c r="B468" t="str">
        <f>TEST_DATA!B468</f>
        <v>Sep-2017</v>
      </c>
      <c r="C468">
        <f>TEST_DATA!C468</f>
        <v>43684</v>
      </c>
      <c r="D468" t="str">
        <f>TEST_DATA!D468</f>
        <v>NIL</v>
      </c>
      <c r="E468">
        <f>TEST_DATA!E468</f>
        <v>115</v>
      </c>
      <c r="F468">
        <f>MIN(E468*46800,10000)</f>
        <v>10000</v>
      </c>
      <c r="G468" t="e">
        <f ca="1">_xludf.MINIFS(CBIC_Late_Fee_Relief_Windows_1!$I$100:$I$468,CBIC_Late_Fee_Relief_Windows_1!$D$100:$D$468,"&lt;="&amp;B468,CBIC_Late_Fee_Relief_Windows_1!$E$100:$E$468,"&gt;="&amp;B468,CBIC_Late_Fee_Relief_Windows_1!$F$100:$F$468,"&lt;="&amp;C468,CBIC_Late_Fee_Relief_Windows_1!$G$100:$G$468,"&gt;="&amp;C468,CBIC_Late_Fee_Relief_Windows_1!$H$100:$H$468,D468)</f>
        <v>#NAME?</v>
      </c>
      <c r="H468" t="e">
        <f t="shared" ca="1" si="7"/>
        <v>#NAME?</v>
      </c>
      <c r="I468" t="e">
        <f ca="1">INDEX(CBIC_Late_Fee_Relief_Windows_1!$B$100:$B$468,MATCH(G468,CBIC_Late_Fee_Relief_Windows_1!$I$100:$I$468,0))</f>
        <v>#NAME?</v>
      </c>
    </row>
    <row r="469" spans="1:9" x14ac:dyDescent="0.55000000000000004">
      <c r="A469" t="str">
        <f>TEST_DATA!A469</f>
        <v>27AAAAA0469Z5</v>
      </c>
      <c r="B469" t="str">
        <f>TEST_DATA!B469</f>
        <v>May-2018</v>
      </c>
      <c r="C469">
        <f>TEST_DATA!C469</f>
        <v>43119</v>
      </c>
      <c r="D469" t="str">
        <f>TEST_DATA!D469</f>
        <v>NON-NIL</v>
      </c>
      <c r="E469">
        <f>TEST_DATA!E469</f>
        <v>598</v>
      </c>
      <c r="F469">
        <f>MIN(E469*46900,10000)</f>
        <v>10000</v>
      </c>
      <c r="G469" t="e">
        <f ca="1">_xludf.MINIFS(CBIC_Late_Fee_Relief_Windows_1!$I$100:$I$469,CBIC_Late_Fee_Relief_Windows_1!$D$100:$D$469,"&lt;="&amp;B469,CBIC_Late_Fee_Relief_Windows_1!$E$100:$E$469,"&gt;="&amp;B469,CBIC_Late_Fee_Relief_Windows_1!$F$100:$F$469,"&lt;="&amp;C469,CBIC_Late_Fee_Relief_Windows_1!$G$100:$G$469,"&gt;="&amp;C469,CBIC_Late_Fee_Relief_Windows_1!$H$100:$H$469,D469)</f>
        <v>#NAME?</v>
      </c>
      <c r="H469" t="e">
        <f t="shared" ca="1" si="7"/>
        <v>#NAME?</v>
      </c>
      <c r="I469" t="e">
        <f ca="1">INDEX(CBIC_Late_Fee_Relief_Windows_1!$B$100:$B$469,MATCH(G469,CBIC_Late_Fee_Relief_Windows_1!$I$100:$I$469,0))</f>
        <v>#NAME?</v>
      </c>
    </row>
    <row r="470" spans="1:9" x14ac:dyDescent="0.55000000000000004">
      <c r="A470" t="str">
        <f>TEST_DATA!A470</f>
        <v>27AAAAA0470Z5</v>
      </c>
      <c r="B470" t="str">
        <f>TEST_DATA!B470</f>
        <v>Nov-2017</v>
      </c>
      <c r="C470">
        <f>TEST_DATA!C470</f>
        <v>42995</v>
      </c>
      <c r="D470" t="str">
        <f>TEST_DATA!D470</f>
        <v>NON-NIL</v>
      </c>
      <c r="E470">
        <f>TEST_DATA!E470</f>
        <v>1935</v>
      </c>
      <c r="F470">
        <f>MIN(E470*47000,10000)</f>
        <v>10000</v>
      </c>
      <c r="G470" t="e">
        <f ca="1">_xludf.MINIFS(CBIC_Late_Fee_Relief_Windows_1!$I$100:$I$470,CBIC_Late_Fee_Relief_Windows_1!$D$100:$D$470,"&lt;="&amp;B470,CBIC_Late_Fee_Relief_Windows_1!$E$100:$E$470,"&gt;="&amp;B470,CBIC_Late_Fee_Relief_Windows_1!$F$100:$F$470,"&lt;="&amp;C470,CBIC_Late_Fee_Relief_Windows_1!$G$100:$G$470,"&gt;="&amp;C470,CBIC_Late_Fee_Relief_Windows_1!$H$100:$H$470,D470)</f>
        <v>#NAME?</v>
      </c>
      <c r="H470" t="e">
        <f t="shared" ca="1" si="7"/>
        <v>#NAME?</v>
      </c>
      <c r="I470" t="e">
        <f ca="1">INDEX(CBIC_Late_Fee_Relief_Windows_1!$B$100:$B$470,MATCH(G470,CBIC_Late_Fee_Relief_Windows_1!$I$100:$I$470,0))</f>
        <v>#NAME?</v>
      </c>
    </row>
    <row r="471" spans="1:9" x14ac:dyDescent="0.55000000000000004">
      <c r="A471" t="str">
        <f>TEST_DATA!A471</f>
        <v>27AAAAA0471Z5</v>
      </c>
      <c r="B471" t="str">
        <f>TEST_DATA!B471</f>
        <v>Jul-2020</v>
      </c>
      <c r="C471">
        <f>TEST_DATA!C471</f>
        <v>44115</v>
      </c>
      <c r="D471" t="str">
        <f>TEST_DATA!D471</f>
        <v>NON-NIL</v>
      </c>
      <c r="E471">
        <f>TEST_DATA!E471</f>
        <v>1837</v>
      </c>
      <c r="F471">
        <f>MIN(E471*47100,10000)</f>
        <v>10000</v>
      </c>
      <c r="G471" t="e">
        <f ca="1">_xludf.MINIFS(CBIC_Late_Fee_Relief_Windows_1!$I$100:$I$471,CBIC_Late_Fee_Relief_Windows_1!$D$100:$D$471,"&lt;="&amp;B471,CBIC_Late_Fee_Relief_Windows_1!$E$100:$E$471,"&gt;="&amp;B471,CBIC_Late_Fee_Relief_Windows_1!$F$100:$F$471,"&lt;="&amp;C471,CBIC_Late_Fee_Relief_Windows_1!$G$100:$G$471,"&gt;="&amp;C471,CBIC_Late_Fee_Relief_Windows_1!$H$100:$H$471,D471)</f>
        <v>#NAME?</v>
      </c>
      <c r="H471" t="e">
        <f t="shared" ca="1" si="7"/>
        <v>#NAME?</v>
      </c>
      <c r="I471" t="e">
        <f ca="1">INDEX(CBIC_Late_Fee_Relief_Windows_1!$B$100:$B$471,MATCH(G471,CBIC_Late_Fee_Relief_Windows_1!$I$100:$I$471,0))</f>
        <v>#NAME?</v>
      </c>
    </row>
    <row r="472" spans="1:9" x14ac:dyDescent="0.55000000000000004">
      <c r="A472" t="str">
        <f>TEST_DATA!A472</f>
        <v>27AAAAA0472Z5</v>
      </c>
      <c r="B472" t="str">
        <f>TEST_DATA!B472</f>
        <v>Apr-2020</v>
      </c>
      <c r="C472">
        <f>TEST_DATA!C472</f>
        <v>43841</v>
      </c>
      <c r="D472" t="str">
        <f>TEST_DATA!D472</f>
        <v>NIL</v>
      </c>
      <c r="E472">
        <f>TEST_DATA!E472</f>
        <v>77</v>
      </c>
      <c r="F472">
        <f>MIN(E472*47200,10000)</f>
        <v>10000</v>
      </c>
      <c r="G472" t="e">
        <f ca="1">_xludf.MINIFS(CBIC_Late_Fee_Relief_Windows_1!$I$100:$I$472,CBIC_Late_Fee_Relief_Windows_1!$D$100:$D$472,"&lt;="&amp;B472,CBIC_Late_Fee_Relief_Windows_1!$E$100:$E$472,"&gt;="&amp;B472,CBIC_Late_Fee_Relief_Windows_1!$F$100:$F$472,"&lt;="&amp;C472,CBIC_Late_Fee_Relief_Windows_1!$G$100:$G$472,"&gt;="&amp;C472,CBIC_Late_Fee_Relief_Windows_1!$H$100:$H$472,D472)</f>
        <v>#NAME?</v>
      </c>
      <c r="H472" t="e">
        <f t="shared" ca="1" si="7"/>
        <v>#NAME?</v>
      </c>
      <c r="I472" t="e">
        <f ca="1">INDEX(CBIC_Late_Fee_Relief_Windows_1!$B$100:$B$472,MATCH(G472,CBIC_Late_Fee_Relief_Windows_1!$I$100:$I$472,0))</f>
        <v>#NAME?</v>
      </c>
    </row>
    <row r="473" spans="1:9" x14ac:dyDescent="0.55000000000000004">
      <c r="A473" t="str">
        <f>TEST_DATA!A473</f>
        <v>27AAAAA0473Z5</v>
      </c>
      <c r="B473" t="str">
        <f>TEST_DATA!B473</f>
        <v>Mar-2018</v>
      </c>
      <c r="C473">
        <f>TEST_DATA!C473</f>
        <v>43358</v>
      </c>
      <c r="D473" t="str">
        <f>TEST_DATA!D473</f>
        <v>NIL</v>
      </c>
      <c r="E473">
        <f>TEST_DATA!E473</f>
        <v>2247</v>
      </c>
      <c r="F473">
        <f>MIN(E473*47300,10000)</f>
        <v>10000</v>
      </c>
      <c r="G473" t="e">
        <f ca="1">_xludf.MINIFS(CBIC_Late_Fee_Relief_Windows_1!$I$100:$I$473,CBIC_Late_Fee_Relief_Windows_1!$D$100:$D$473,"&lt;="&amp;B473,CBIC_Late_Fee_Relief_Windows_1!$E$100:$E$473,"&gt;="&amp;B473,CBIC_Late_Fee_Relief_Windows_1!$F$100:$F$473,"&lt;="&amp;C473,CBIC_Late_Fee_Relief_Windows_1!$G$100:$G$473,"&gt;="&amp;C473,CBIC_Late_Fee_Relief_Windows_1!$H$100:$H$473,D473)</f>
        <v>#NAME?</v>
      </c>
      <c r="H473" t="e">
        <f t="shared" ca="1" si="7"/>
        <v>#NAME?</v>
      </c>
      <c r="I473" t="e">
        <f ca="1">INDEX(CBIC_Late_Fee_Relief_Windows_1!$B$100:$B$473,MATCH(G473,CBIC_Late_Fee_Relief_Windows_1!$I$100:$I$473,0))</f>
        <v>#NAME?</v>
      </c>
    </row>
    <row r="474" spans="1:9" x14ac:dyDescent="0.55000000000000004">
      <c r="A474" t="str">
        <f>TEST_DATA!A474</f>
        <v>27AAAAA0474Z5</v>
      </c>
      <c r="B474" t="str">
        <f>TEST_DATA!B474</f>
        <v>Jan-2021</v>
      </c>
      <c r="C474">
        <f>TEST_DATA!C474</f>
        <v>45627</v>
      </c>
      <c r="D474" t="str">
        <f>TEST_DATA!D474</f>
        <v>NON-NIL</v>
      </c>
      <c r="E474">
        <f>TEST_DATA!E474</f>
        <v>455</v>
      </c>
      <c r="F474">
        <f>MIN(E474*47400,10000)</f>
        <v>10000</v>
      </c>
      <c r="G474" t="e">
        <f ca="1">_xludf.MINIFS(CBIC_Late_Fee_Relief_Windows_1!$I$100:$I$474,CBIC_Late_Fee_Relief_Windows_1!$D$100:$D$474,"&lt;="&amp;B474,CBIC_Late_Fee_Relief_Windows_1!$E$100:$E$474,"&gt;="&amp;B474,CBIC_Late_Fee_Relief_Windows_1!$F$100:$F$474,"&lt;="&amp;C474,CBIC_Late_Fee_Relief_Windows_1!$G$100:$G$474,"&gt;="&amp;C474,CBIC_Late_Fee_Relief_Windows_1!$H$100:$H$474,D474)</f>
        <v>#NAME?</v>
      </c>
      <c r="H474" t="e">
        <f t="shared" ca="1" si="7"/>
        <v>#NAME?</v>
      </c>
      <c r="I474" t="e">
        <f ca="1">INDEX(CBIC_Late_Fee_Relief_Windows_1!$B$100:$B$474,MATCH(G474,CBIC_Late_Fee_Relief_Windows_1!$I$100:$I$474,0))</f>
        <v>#NAME?</v>
      </c>
    </row>
    <row r="475" spans="1:9" x14ac:dyDescent="0.55000000000000004">
      <c r="A475" t="str">
        <f>TEST_DATA!A475</f>
        <v>27AAAAA0475Z5</v>
      </c>
      <c r="B475" t="str">
        <f>TEST_DATA!B475</f>
        <v>Mar-2021</v>
      </c>
      <c r="C475">
        <f>TEST_DATA!C475</f>
        <v>44646</v>
      </c>
      <c r="D475" t="str">
        <f>TEST_DATA!D475</f>
        <v>NIL</v>
      </c>
      <c r="E475">
        <f>TEST_DATA!E475</f>
        <v>1233</v>
      </c>
      <c r="F475">
        <f>MIN(E475*47500,10000)</f>
        <v>10000</v>
      </c>
      <c r="G475" t="e">
        <f ca="1">_xludf.MINIFS(CBIC_Late_Fee_Relief_Windows_1!$I$100:$I$475,CBIC_Late_Fee_Relief_Windows_1!$D$100:$D$475,"&lt;="&amp;B475,CBIC_Late_Fee_Relief_Windows_1!$E$100:$E$475,"&gt;="&amp;B475,CBIC_Late_Fee_Relief_Windows_1!$F$100:$F$475,"&lt;="&amp;C475,CBIC_Late_Fee_Relief_Windows_1!$G$100:$G$475,"&gt;="&amp;C475,CBIC_Late_Fee_Relief_Windows_1!$H$100:$H$475,D475)</f>
        <v>#NAME?</v>
      </c>
      <c r="H475" t="e">
        <f t="shared" ca="1" si="7"/>
        <v>#NAME?</v>
      </c>
      <c r="I475" t="e">
        <f ca="1">INDEX(CBIC_Late_Fee_Relief_Windows_1!$B$100:$B$475,MATCH(G475,CBIC_Late_Fee_Relief_Windows_1!$I$100:$I$475,0))</f>
        <v>#NAME?</v>
      </c>
    </row>
    <row r="476" spans="1:9" x14ac:dyDescent="0.55000000000000004">
      <c r="A476" t="str">
        <f>TEST_DATA!A476</f>
        <v>27AAAAA0476Z5</v>
      </c>
      <c r="B476" t="str">
        <f>TEST_DATA!B476</f>
        <v>Oct-2017</v>
      </c>
      <c r="C476">
        <f>TEST_DATA!C476</f>
        <v>43014</v>
      </c>
      <c r="D476" t="str">
        <f>TEST_DATA!D476</f>
        <v>NIL</v>
      </c>
      <c r="E476">
        <f>TEST_DATA!E476</f>
        <v>1719</v>
      </c>
      <c r="F476">
        <f>MIN(E476*47600,10000)</f>
        <v>10000</v>
      </c>
      <c r="G476" t="e">
        <f ca="1">_xludf.MINIFS(CBIC_Late_Fee_Relief_Windows_1!$I$100:$I$476,CBIC_Late_Fee_Relief_Windows_1!$D$100:$D$476,"&lt;="&amp;B476,CBIC_Late_Fee_Relief_Windows_1!$E$100:$E$476,"&gt;="&amp;B476,CBIC_Late_Fee_Relief_Windows_1!$F$100:$F$476,"&lt;="&amp;C476,CBIC_Late_Fee_Relief_Windows_1!$G$100:$G$476,"&gt;="&amp;C476,CBIC_Late_Fee_Relief_Windows_1!$H$100:$H$476,D476)</f>
        <v>#NAME?</v>
      </c>
      <c r="H476" t="e">
        <f t="shared" ca="1" si="7"/>
        <v>#NAME?</v>
      </c>
      <c r="I476" t="e">
        <f ca="1">INDEX(CBIC_Late_Fee_Relief_Windows_1!$B$100:$B$476,MATCH(G476,CBIC_Late_Fee_Relief_Windows_1!$I$100:$I$476,0))</f>
        <v>#NAME?</v>
      </c>
    </row>
    <row r="477" spans="1:9" x14ac:dyDescent="0.55000000000000004">
      <c r="A477" t="str">
        <f>TEST_DATA!A477</f>
        <v>27AAAAA0477Z5</v>
      </c>
      <c r="B477" t="str">
        <f>TEST_DATA!B477</f>
        <v>May-2020</v>
      </c>
      <c r="C477">
        <f>TEST_DATA!C477</f>
        <v>44767</v>
      </c>
      <c r="D477" t="str">
        <f>TEST_DATA!D477</f>
        <v>NIL</v>
      </c>
      <c r="E477">
        <f>TEST_DATA!E477</f>
        <v>454</v>
      </c>
      <c r="F477">
        <f>MIN(E477*47700,10000)</f>
        <v>10000</v>
      </c>
      <c r="G477" t="e">
        <f ca="1">_xludf.MINIFS(CBIC_Late_Fee_Relief_Windows_1!$I$100:$I$477,CBIC_Late_Fee_Relief_Windows_1!$D$100:$D$477,"&lt;="&amp;B477,CBIC_Late_Fee_Relief_Windows_1!$E$100:$E$477,"&gt;="&amp;B477,CBIC_Late_Fee_Relief_Windows_1!$F$100:$F$477,"&lt;="&amp;C477,CBIC_Late_Fee_Relief_Windows_1!$G$100:$G$477,"&gt;="&amp;C477,CBIC_Late_Fee_Relief_Windows_1!$H$100:$H$477,D477)</f>
        <v>#NAME?</v>
      </c>
      <c r="H477" t="e">
        <f t="shared" ca="1" si="7"/>
        <v>#NAME?</v>
      </c>
      <c r="I477" t="e">
        <f ca="1">INDEX(CBIC_Late_Fee_Relief_Windows_1!$B$100:$B$477,MATCH(G477,CBIC_Late_Fee_Relief_Windows_1!$I$100:$I$477,0))</f>
        <v>#NAME?</v>
      </c>
    </row>
    <row r="478" spans="1:9" x14ac:dyDescent="0.55000000000000004">
      <c r="A478" t="str">
        <f>TEST_DATA!A478</f>
        <v>27AAAAA0478Z5</v>
      </c>
      <c r="B478" t="str">
        <f>TEST_DATA!B478</f>
        <v>Dec-2022</v>
      </c>
      <c r="C478">
        <f>TEST_DATA!C478</f>
        <v>45513</v>
      </c>
      <c r="D478" t="str">
        <f>TEST_DATA!D478</f>
        <v>NIL</v>
      </c>
      <c r="E478">
        <f>TEST_DATA!E478</f>
        <v>2588</v>
      </c>
      <c r="F478">
        <f>MIN(E478*47800,10000)</f>
        <v>10000</v>
      </c>
      <c r="G478" t="e">
        <f ca="1">_xludf.MINIFS(CBIC_Late_Fee_Relief_Windows_1!$I$100:$I$478,CBIC_Late_Fee_Relief_Windows_1!$D$100:$D$478,"&lt;="&amp;B478,CBIC_Late_Fee_Relief_Windows_1!$E$100:$E$478,"&gt;="&amp;B478,CBIC_Late_Fee_Relief_Windows_1!$F$100:$F$478,"&lt;="&amp;C478,CBIC_Late_Fee_Relief_Windows_1!$G$100:$G$478,"&gt;="&amp;C478,CBIC_Late_Fee_Relief_Windows_1!$H$100:$H$478,D478)</f>
        <v>#NAME?</v>
      </c>
      <c r="H478" t="e">
        <f t="shared" ca="1" si="7"/>
        <v>#NAME?</v>
      </c>
      <c r="I478" t="e">
        <f ca="1">INDEX(CBIC_Late_Fee_Relief_Windows_1!$B$100:$B$478,MATCH(G478,CBIC_Late_Fee_Relief_Windows_1!$I$100:$I$478,0))</f>
        <v>#NAME?</v>
      </c>
    </row>
    <row r="479" spans="1:9" x14ac:dyDescent="0.55000000000000004">
      <c r="A479" t="str">
        <f>TEST_DATA!A479</f>
        <v>27AAAAA0479Z5</v>
      </c>
      <c r="B479" t="str">
        <f>TEST_DATA!B479</f>
        <v>Jun-2019</v>
      </c>
      <c r="C479">
        <f>TEST_DATA!C479</f>
        <v>45821</v>
      </c>
      <c r="D479" t="str">
        <f>TEST_DATA!D479</f>
        <v>NIL</v>
      </c>
      <c r="E479">
        <f>TEST_DATA!E479</f>
        <v>2943</v>
      </c>
      <c r="F479">
        <f>MIN(E479*47900,10000)</f>
        <v>10000</v>
      </c>
      <c r="G479" t="e">
        <f ca="1">_xludf.MINIFS(CBIC_Late_Fee_Relief_Windows_1!$I$100:$I$479,CBIC_Late_Fee_Relief_Windows_1!$D$100:$D$479,"&lt;="&amp;B479,CBIC_Late_Fee_Relief_Windows_1!$E$100:$E$479,"&gt;="&amp;B479,CBIC_Late_Fee_Relief_Windows_1!$F$100:$F$479,"&lt;="&amp;C479,CBIC_Late_Fee_Relief_Windows_1!$G$100:$G$479,"&gt;="&amp;C479,CBIC_Late_Fee_Relief_Windows_1!$H$100:$H$479,D479)</f>
        <v>#NAME?</v>
      </c>
      <c r="H479" t="e">
        <f t="shared" ca="1" si="7"/>
        <v>#NAME?</v>
      </c>
      <c r="I479" t="e">
        <f ca="1">INDEX(CBIC_Late_Fee_Relief_Windows_1!$B$100:$B$479,MATCH(G479,CBIC_Late_Fee_Relief_Windows_1!$I$100:$I$479,0))</f>
        <v>#NAME?</v>
      </c>
    </row>
    <row r="480" spans="1:9" x14ac:dyDescent="0.55000000000000004">
      <c r="A480" t="str">
        <f>TEST_DATA!A480</f>
        <v>27AAAAA0480Z5</v>
      </c>
      <c r="B480" t="str">
        <f>TEST_DATA!B480</f>
        <v>Nov-2017</v>
      </c>
      <c r="C480">
        <f>TEST_DATA!C480</f>
        <v>43513</v>
      </c>
      <c r="D480" t="str">
        <f>TEST_DATA!D480</f>
        <v>NON-NIL</v>
      </c>
      <c r="E480">
        <f>TEST_DATA!E480</f>
        <v>6</v>
      </c>
      <c r="F480">
        <f>MIN(E480*48000,10000)</f>
        <v>10000</v>
      </c>
      <c r="G480" t="e">
        <f ca="1">_xludf.MINIFS(CBIC_Late_Fee_Relief_Windows_1!$I$100:$I$480,CBIC_Late_Fee_Relief_Windows_1!$D$100:$D$480,"&lt;="&amp;B480,CBIC_Late_Fee_Relief_Windows_1!$E$100:$E$480,"&gt;="&amp;B480,CBIC_Late_Fee_Relief_Windows_1!$F$100:$F$480,"&lt;="&amp;C480,CBIC_Late_Fee_Relief_Windows_1!$G$100:$G$480,"&gt;="&amp;C480,CBIC_Late_Fee_Relief_Windows_1!$H$100:$H$480,D480)</f>
        <v>#NAME?</v>
      </c>
      <c r="H480" t="e">
        <f t="shared" ca="1" si="7"/>
        <v>#NAME?</v>
      </c>
      <c r="I480" t="e">
        <f ca="1">INDEX(CBIC_Late_Fee_Relief_Windows_1!$B$100:$B$480,MATCH(G480,CBIC_Late_Fee_Relief_Windows_1!$I$100:$I$480,0))</f>
        <v>#NAME?</v>
      </c>
    </row>
    <row r="481" spans="1:9" x14ac:dyDescent="0.55000000000000004">
      <c r="A481" t="str">
        <f>TEST_DATA!A481</f>
        <v>27AAAAA0481Z5</v>
      </c>
      <c r="B481" t="str">
        <f>TEST_DATA!B481</f>
        <v>Apr-2020</v>
      </c>
      <c r="C481">
        <f>TEST_DATA!C481</f>
        <v>44553</v>
      </c>
      <c r="D481" t="str">
        <f>TEST_DATA!D481</f>
        <v>NIL</v>
      </c>
      <c r="E481">
        <f>TEST_DATA!E481</f>
        <v>2337</v>
      </c>
      <c r="F481">
        <f>MIN(E481*48100,10000)</f>
        <v>10000</v>
      </c>
      <c r="G481" t="e">
        <f ca="1">_xludf.MINIFS(CBIC_Late_Fee_Relief_Windows_1!$I$100:$I$481,CBIC_Late_Fee_Relief_Windows_1!$D$100:$D$481,"&lt;="&amp;B481,CBIC_Late_Fee_Relief_Windows_1!$E$100:$E$481,"&gt;="&amp;B481,CBIC_Late_Fee_Relief_Windows_1!$F$100:$F$481,"&lt;="&amp;C481,CBIC_Late_Fee_Relief_Windows_1!$G$100:$G$481,"&gt;="&amp;C481,CBIC_Late_Fee_Relief_Windows_1!$H$100:$H$481,D481)</f>
        <v>#NAME?</v>
      </c>
      <c r="H481" t="e">
        <f t="shared" ca="1" si="7"/>
        <v>#NAME?</v>
      </c>
      <c r="I481" t="e">
        <f ca="1">INDEX(CBIC_Late_Fee_Relief_Windows_1!$B$100:$B$481,MATCH(G481,CBIC_Late_Fee_Relief_Windows_1!$I$100:$I$481,0))</f>
        <v>#NAME?</v>
      </c>
    </row>
    <row r="482" spans="1:9" x14ac:dyDescent="0.55000000000000004">
      <c r="A482" t="str">
        <f>TEST_DATA!A482</f>
        <v>27AAAAA0482Z5</v>
      </c>
      <c r="B482" t="str">
        <f>TEST_DATA!B482</f>
        <v>Aug-2018</v>
      </c>
      <c r="C482">
        <f>TEST_DATA!C482</f>
        <v>43300</v>
      </c>
      <c r="D482" t="str">
        <f>TEST_DATA!D482</f>
        <v>NIL</v>
      </c>
      <c r="E482">
        <f>TEST_DATA!E482</f>
        <v>2144</v>
      </c>
      <c r="F482">
        <f>MIN(E482*48200,10000)</f>
        <v>10000</v>
      </c>
      <c r="G482" t="e">
        <f ca="1">_xludf.MINIFS(CBIC_Late_Fee_Relief_Windows_1!$I$100:$I$482,CBIC_Late_Fee_Relief_Windows_1!$D$100:$D$482,"&lt;="&amp;B482,CBIC_Late_Fee_Relief_Windows_1!$E$100:$E$482,"&gt;="&amp;B482,CBIC_Late_Fee_Relief_Windows_1!$F$100:$F$482,"&lt;="&amp;C482,CBIC_Late_Fee_Relief_Windows_1!$G$100:$G$482,"&gt;="&amp;C482,CBIC_Late_Fee_Relief_Windows_1!$H$100:$H$482,D482)</f>
        <v>#NAME?</v>
      </c>
      <c r="H482" t="e">
        <f t="shared" ca="1" si="7"/>
        <v>#NAME?</v>
      </c>
      <c r="I482" t="e">
        <f ca="1">INDEX(CBIC_Late_Fee_Relief_Windows_1!$B$100:$B$482,MATCH(G482,CBIC_Late_Fee_Relief_Windows_1!$I$100:$I$482,0))</f>
        <v>#NAME?</v>
      </c>
    </row>
    <row r="483" spans="1:9" x14ac:dyDescent="0.55000000000000004">
      <c r="A483" t="str">
        <f>TEST_DATA!A483</f>
        <v>27AAAAA0483Z5</v>
      </c>
      <c r="B483" t="str">
        <f>TEST_DATA!B483</f>
        <v>Jun-2018</v>
      </c>
      <c r="C483">
        <f>TEST_DATA!C483</f>
        <v>43055</v>
      </c>
      <c r="D483" t="str">
        <f>TEST_DATA!D483</f>
        <v>NIL</v>
      </c>
      <c r="E483">
        <f>TEST_DATA!E483</f>
        <v>1599</v>
      </c>
      <c r="F483">
        <f>MIN(E483*48300,10000)</f>
        <v>10000</v>
      </c>
      <c r="G483" t="e">
        <f ca="1">_xludf.MINIFS(CBIC_Late_Fee_Relief_Windows_1!$I$100:$I$483,CBIC_Late_Fee_Relief_Windows_1!$D$100:$D$483,"&lt;="&amp;B483,CBIC_Late_Fee_Relief_Windows_1!$E$100:$E$483,"&gt;="&amp;B483,CBIC_Late_Fee_Relief_Windows_1!$F$100:$F$483,"&lt;="&amp;C483,CBIC_Late_Fee_Relief_Windows_1!$G$100:$G$483,"&gt;="&amp;C483,CBIC_Late_Fee_Relief_Windows_1!$H$100:$H$483,D483)</f>
        <v>#NAME?</v>
      </c>
      <c r="H483" t="e">
        <f t="shared" ca="1" si="7"/>
        <v>#NAME?</v>
      </c>
      <c r="I483" t="e">
        <f ca="1">INDEX(CBIC_Late_Fee_Relief_Windows_1!$B$100:$B$483,MATCH(G483,CBIC_Late_Fee_Relief_Windows_1!$I$100:$I$483,0))</f>
        <v>#NAME?</v>
      </c>
    </row>
    <row r="484" spans="1:9" x14ac:dyDescent="0.55000000000000004">
      <c r="A484" t="str">
        <f>TEST_DATA!A484</f>
        <v>27AAAAA0484Z5</v>
      </c>
      <c r="B484" t="str">
        <f>TEST_DATA!B484</f>
        <v>Mar-2023</v>
      </c>
      <c r="C484">
        <f>TEST_DATA!C484</f>
        <v>45391</v>
      </c>
      <c r="D484" t="str">
        <f>TEST_DATA!D484</f>
        <v>NIL</v>
      </c>
      <c r="E484">
        <f>TEST_DATA!E484</f>
        <v>2603</v>
      </c>
      <c r="F484">
        <f>MIN(E484*48400,10000)</f>
        <v>10000</v>
      </c>
      <c r="G484" t="e">
        <f ca="1">_xludf.MINIFS(CBIC_Late_Fee_Relief_Windows_1!$I$100:$I$484,CBIC_Late_Fee_Relief_Windows_1!$D$100:$D$484,"&lt;="&amp;B484,CBIC_Late_Fee_Relief_Windows_1!$E$100:$E$484,"&gt;="&amp;B484,CBIC_Late_Fee_Relief_Windows_1!$F$100:$F$484,"&lt;="&amp;C484,CBIC_Late_Fee_Relief_Windows_1!$G$100:$G$484,"&gt;="&amp;C484,CBIC_Late_Fee_Relief_Windows_1!$H$100:$H$484,D484)</f>
        <v>#NAME?</v>
      </c>
      <c r="H484" t="e">
        <f t="shared" ca="1" si="7"/>
        <v>#NAME?</v>
      </c>
      <c r="I484" t="e">
        <f ca="1">INDEX(CBIC_Late_Fee_Relief_Windows_1!$B$100:$B$484,MATCH(G484,CBIC_Late_Fee_Relief_Windows_1!$I$100:$I$484,0))</f>
        <v>#NAME?</v>
      </c>
    </row>
    <row r="485" spans="1:9" x14ac:dyDescent="0.55000000000000004">
      <c r="A485" t="str">
        <f>TEST_DATA!A485</f>
        <v>27AAAAA0485Z5</v>
      </c>
      <c r="B485" t="str">
        <f>TEST_DATA!B485</f>
        <v>Jul-2018</v>
      </c>
      <c r="C485">
        <f>TEST_DATA!C485</f>
        <v>43681</v>
      </c>
      <c r="D485" t="str">
        <f>TEST_DATA!D485</f>
        <v>NON-NIL</v>
      </c>
      <c r="E485">
        <f>TEST_DATA!E485</f>
        <v>66</v>
      </c>
      <c r="F485">
        <f>MIN(E485*48500,10000)</f>
        <v>10000</v>
      </c>
      <c r="G485" t="e">
        <f ca="1">_xludf.MINIFS(CBIC_Late_Fee_Relief_Windows_1!$I$100:$I$485,CBIC_Late_Fee_Relief_Windows_1!$D$100:$D$485,"&lt;="&amp;B485,CBIC_Late_Fee_Relief_Windows_1!$E$100:$E$485,"&gt;="&amp;B485,CBIC_Late_Fee_Relief_Windows_1!$F$100:$F$485,"&lt;="&amp;C485,CBIC_Late_Fee_Relief_Windows_1!$G$100:$G$485,"&gt;="&amp;C485,CBIC_Late_Fee_Relief_Windows_1!$H$100:$H$485,D485)</f>
        <v>#NAME?</v>
      </c>
      <c r="H485" t="e">
        <f t="shared" ca="1" si="7"/>
        <v>#NAME?</v>
      </c>
      <c r="I485" t="e">
        <f ca="1">INDEX(CBIC_Late_Fee_Relief_Windows_1!$B$100:$B$485,MATCH(G485,CBIC_Late_Fee_Relief_Windows_1!$I$100:$I$485,0))</f>
        <v>#NAME?</v>
      </c>
    </row>
    <row r="486" spans="1:9" x14ac:dyDescent="0.55000000000000004">
      <c r="A486" t="str">
        <f>TEST_DATA!A486</f>
        <v>27AAAAA0486Z5</v>
      </c>
      <c r="B486" t="str">
        <f>TEST_DATA!B486</f>
        <v>Jun-2018</v>
      </c>
      <c r="C486">
        <f>TEST_DATA!C486</f>
        <v>44531</v>
      </c>
      <c r="D486" t="str">
        <f>TEST_DATA!D486</f>
        <v>NIL</v>
      </c>
      <c r="E486">
        <f>TEST_DATA!E486</f>
        <v>1412</v>
      </c>
      <c r="F486">
        <f>MIN(E486*48600,10000)</f>
        <v>10000</v>
      </c>
      <c r="G486" t="e">
        <f ca="1">_xludf.MINIFS(CBIC_Late_Fee_Relief_Windows_1!$I$100:$I$486,CBIC_Late_Fee_Relief_Windows_1!$D$100:$D$486,"&lt;="&amp;B486,CBIC_Late_Fee_Relief_Windows_1!$E$100:$E$486,"&gt;="&amp;B486,CBIC_Late_Fee_Relief_Windows_1!$F$100:$F$486,"&lt;="&amp;C486,CBIC_Late_Fee_Relief_Windows_1!$G$100:$G$486,"&gt;="&amp;C486,CBIC_Late_Fee_Relief_Windows_1!$H$100:$H$486,D486)</f>
        <v>#NAME?</v>
      </c>
      <c r="H486" t="e">
        <f t="shared" ca="1" si="7"/>
        <v>#NAME?</v>
      </c>
      <c r="I486" t="e">
        <f ca="1">INDEX(CBIC_Late_Fee_Relief_Windows_1!$B$100:$B$486,MATCH(G486,CBIC_Late_Fee_Relief_Windows_1!$I$100:$I$486,0))</f>
        <v>#NAME?</v>
      </c>
    </row>
    <row r="487" spans="1:9" x14ac:dyDescent="0.55000000000000004">
      <c r="A487" t="str">
        <f>TEST_DATA!A487</f>
        <v>27AAAAA0487Z5</v>
      </c>
      <c r="B487" t="str">
        <f>TEST_DATA!B487</f>
        <v>Feb-2018</v>
      </c>
      <c r="C487">
        <f>TEST_DATA!C487</f>
        <v>44418</v>
      </c>
      <c r="D487" t="str">
        <f>TEST_DATA!D487</f>
        <v>NIL</v>
      </c>
      <c r="E487">
        <f>TEST_DATA!E487</f>
        <v>2383</v>
      </c>
      <c r="F487">
        <f>MIN(E487*48700,10000)</f>
        <v>10000</v>
      </c>
      <c r="G487" t="e">
        <f ca="1">_xludf.MINIFS(CBIC_Late_Fee_Relief_Windows_1!$I$100:$I$487,CBIC_Late_Fee_Relief_Windows_1!$D$100:$D$487,"&lt;="&amp;B487,CBIC_Late_Fee_Relief_Windows_1!$E$100:$E$487,"&gt;="&amp;B487,CBIC_Late_Fee_Relief_Windows_1!$F$100:$F$487,"&lt;="&amp;C487,CBIC_Late_Fee_Relief_Windows_1!$G$100:$G$487,"&gt;="&amp;C487,CBIC_Late_Fee_Relief_Windows_1!$H$100:$H$487,D487)</f>
        <v>#NAME?</v>
      </c>
      <c r="H487" t="e">
        <f t="shared" ca="1" si="7"/>
        <v>#NAME?</v>
      </c>
      <c r="I487" t="e">
        <f ca="1">INDEX(CBIC_Late_Fee_Relief_Windows_1!$B$100:$B$487,MATCH(G487,CBIC_Late_Fee_Relief_Windows_1!$I$100:$I$487,0))</f>
        <v>#NAME?</v>
      </c>
    </row>
    <row r="488" spans="1:9" x14ac:dyDescent="0.55000000000000004">
      <c r="A488" t="str">
        <f>TEST_DATA!A488</f>
        <v>27AAAAA0488Z5</v>
      </c>
      <c r="B488" t="str">
        <f>TEST_DATA!B488</f>
        <v>Jan-2021</v>
      </c>
      <c r="C488">
        <f>TEST_DATA!C488</f>
        <v>44827</v>
      </c>
      <c r="D488" t="str">
        <f>TEST_DATA!D488</f>
        <v>NIL</v>
      </c>
      <c r="E488">
        <f>TEST_DATA!E488</f>
        <v>181</v>
      </c>
      <c r="F488">
        <f>MIN(E488*48800,10000)</f>
        <v>10000</v>
      </c>
      <c r="G488" t="e">
        <f ca="1">_xludf.MINIFS(CBIC_Late_Fee_Relief_Windows_1!$I$100:$I$488,CBIC_Late_Fee_Relief_Windows_1!$D$100:$D$488,"&lt;="&amp;B488,CBIC_Late_Fee_Relief_Windows_1!$E$100:$E$488,"&gt;="&amp;B488,CBIC_Late_Fee_Relief_Windows_1!$F$100:$F$488,"&lt;="&amp;C488,CBIC_Late_Fee_Relief_Windows_1!$G$100:$G$488,"&gt;="&amp;C488,CBIC_Late_Fee_Relief_Windows_1!$H$100:$H$488,D488)</f>
        <v>#NAME?</v>
      </c>
      <c r="H488" t="e">
        <f t="shared" ca="1" si="7"/>
        <v>#NAME?</v>
      </c>
      <c r="I488" t="e">
        <f ca="1">INDEX(CBIC_Late_Fee_Relief_Windows_1!$B$100:$B$488,MATCH(G488,CBIC_Late_Fee_Relief_Windows_1!$I$100:$I$488,0))</f>
        <v>#NAME?</v>
      </c>
    </row>
    <row r="489" spans="1:9" x14ac:dyDescent="0.55000000000000004">
      <c r="A489" t="str">
        <f>TEST_DATA!A489</f>
        <v>27AAAAA0489Z5</v>
      </c>
      <c r="B489" t="str">
        <f>TEST_DATA!B489</f>
        <v>Jun-2018</v>
      </c>
      <c r="C489">
        <f>TEST_DATA!C489</f>
        <v>44035</v>
      </c>
      <c r="D489" t="str">
        <f>TEST_DATA!D489</f>
        <v>NON-NIL</v>
      </c>
      <c r="E489">
        <f>TEST_DATA!E489</f>
        <v>2632</v>
      </c>
      <c r="F489">
        <f>MIN(E489*48900,10000)</f>
        <v>10000</v>
      </c>
      <c r="G489" t="e">
        <f ca="1">_xludf.MINIFS(CBIC_Late_Fee_Relief_Windows_1!$I$100:$I$489,CBIC_Late_Fee_Relief_Windows_1!$D$100:$D$489,"&lt;="&amp;B489,CBIC_Late_Fee_Relief_Windows_1!$E$100:$E$489,"&gt;="&amp;B489,CBIC_Late_Fee_Relief_Windows_1!$F$100:$F$489,"&lt;="&amp;C489,CBIC_Late_Fee_Relief_Windows_1!$G$100:$G$489,"&gt;="&amp;C489,CBIC_Late_Fee_Relief_Windows_1!$H$100:$H$489,D489)</f>
        <v>#NAME?</v>
      </c>
      <c r="H489" t="e">
        <f t="shared" ca="1" si="7"/>
        <v>#NAME?</v>
      </c>
      <c r="I489" t="e">
        <f ca="1">INDEX(CBIC_Late_Fee_Relief_Windows_1!$B$100:$B$489,MATCH(G489,CBIC_Late_Fee_Relief_Windows_1!$I$100:$I$489,0))</f>
        <v>#NAME?</v>
      </c>
    </row>
    <row r="490" spans="1:9" x14ac:dyDescent="0.55000000000000004">
      <c r="A490" t="str">
        <f>TEST_DATA!A490</f>
        <v>27AAAAA0490Z5</v>
      </c>
      <c r="B490" t="str">
        <f>TEST_DATA!B490</f>
        <v>Dec-2017</v>
      </c>
      <c r="C490">
        <f>TEST_DATA!C490</f>
        <v>44512</v>
      </c>
      <c r="D490" t="str">
        <f>TEST_DATA!D490</f>
        <v>NON-NIL</v>
      </c>
      <c r="E490">
        <f>TEST_DATA!E490</f>
        <v>2848</v>
      </c>
      <c r="F490">
        <f>MIN(E490*49000,10000)</f>
        <v>10000</v>
      </c>
      <c r="G490" t="e">
        <f ca="1">_xludf.MINIFS(CBIC_Late_Fee_Relief_Windows_1!$I$100:$I$490,CBIC_Late_Fee_Relief_Windows_1!$D$100:$D$490,"&lt;="&amp;B490,CBIC_Late_Fee_Relief_Windows_1!$E$100:$E$490,"&gt;="&amp;B490,CBIC_Late_Fee_Relief_Windows_1!$F$100:$F$490,"&lt;="&amp;C490,CBIC_Late_Fee_Relief_Windows_1!$G$100:$G$490,"&gt;="&amp;C490,CBIC_Late_Fee_Relief_Windows_1!$H$100:$H$490,D490)</f>
        <v>#NAME?</v>
      </c>
      <c r="H490" t="e">
        <f t="shared" ca="1" si="7"/>
        <v>#NAME?</v>
      </c>
      <c r="I490" t="e">
        <f ca="1">INDEX(CBIC_Late_Fee_Relief_Windows_1!$B$100:$B$490,MATCH(G490,CBIC_Late_Fee_Relief_Windows_1!$I$100:$I$490,0))</f>
        <v>#NAME?</v>
      </c>
    </row>
    <row r="491" spans="1:9" x14ac:dyDescent="0.55000000000000004">
      <c r="A491" t="str">
        <f>TEST_DATA!A491</f>
        <v>27AAAAA0491Z5</v>
      </c>
      <c r="B491" t="str">
        <f>TEST_DATA!B491</f>
        <v>Jan-2019</v>
      </c>
      <c r="C491">
        <f>TEST_DATA!C491</f>
        <v>44212</v>
      </c>
      <c r="D491" t="str">
        <f>TEST_DATA!D491</f>
        <v>NIL</v>
      </c>
      <c r="E491">
        <f>TEST_DATA!E491</f>
        <v>258</v>
      </c>
      <c r="F491">
        <f>MIN(E491*49100,10000)</f>
        <v>10000</v>
      </c>
      <c r="G491" t="e">
        <f ca="1">_xludf.MINIFS(CBIC_Late_Fee_Relief_Windows_1!$I$100:$I$491,CBIC_Late_Fee_Relief_Windows_1!$D$100:$D$491,"&lt;="&amp;B491,CBIC_Late_Fee_Relief_Windows_1!$E$100:$E$491,"&gt;="&amp;B491,CBIC_Late_Fee_Relief_Windows_1!$F$100:$F$491,"&lt;="&amp;C491,CBIC_Late_Fee_Relief_Windows_1!$G$100:$G$491,"&gt;="&amp;C491,CBIC_Late_Fee_Relief_Windows_1!$H$100:$H$491,D491)</f>
        <v>#NAME?</v>
      </c>
      <c r="H491" t="e">
        <f t="shared" ca="1" si="7"/>
        <v>#NAME?</v>
      </c>
      <c r="I491" t="e">
        <f ca="1">INDEX(CBIC_Late_Fee_Relief_Windows_1!$B$100:$B$491,MATCH(G491,CBIC_Late_Fee_Relief_Windows_1!$I$100:$I$491,0))</f>
        <v>#NAME?</v>
      </c>
    </row>
    <row r="492" spans="1:9" x14ac:dyDescent="0.55000000000000004">
      <c r="A492" t="str">
        <f>TEST_DATA!A492</f>
        <v>27AAAAA0492Z5</v>
      </c>
      <c r="B492" t="str">
        <f>TEST_DATA!B492</f>
        <v>Jul-2020</v>
      </c>
      <c r="C492">
        <f>TEST_DATA!C492</f>
        <v>44768</v>
      </c>
      <c r="D492" t="str">
        <f>TEST_DATA!D492</f>
        <v>NIL</v>
      </c>
      <c r="E492">
        <f>TEST_DATA!E492</f>
        <v>1201</v>
      </c>
      <c r="F492">
        <f>MIN(E492*49200,10000)</f>
        <v>10000</v>
      </c>
      <c r="G492" t="e">
        <f ca="1">_xludf.MINIFS(CBIC_Late_Fee_Relief_Windows_1!$I$100:$I$492,CBIC_Late_Fee_Relief_Windows_1!$D$100:$D$492,"&lt;="&amp;B492,CBIC_Late_Fee_Relief_Windows_1!$E$100:$E$492,"&gt;="&amp;B492,CBIC_Late_Fee_Relief_Windows_1!$F$100:$F$492,"&lt;="&amp;C492,CBIC_Late_Fee_Relief_Windows_1!$G$100:$G$492,"&gt;="&amp;C492,CBIC_Late_Fee_Relief_Windows_1!$H$100:$H$492,D492)</f>
        <v>#NAME?</v>
      </c>
      <c r="H492" t="e">
        <f t="shared" ca="1" si="7"/>
        <v>#NAME?</v>
      </c>
      <c r="I492" t="e">
        <f ca="1">INDEX(CBIC_Late_Fee_Relief_Windows_1!$B$100:$B$492,MATCH(G492,CBIC_Late_Fee_Relief_Windows_1!$I$100:$I$492,0))</f>
        <v>#NAME?</v>
      </c>
    </row>
    <row r="493" spans="1:9" x14ac:dyDescent="0.55000000000000004">
      <c r="A493" t="str">
        <f>TEST_DATA!A493</f>
        <v>27AAAAA0493Z5</v>
      </c>
      <c r="B493" t="str">
        <f>TEST_DATA!B493</f>
        <v>Jan-2018</v>
      </c>
      <c r="C493">
        <f>TEST_DATA!C493</f>
        <v>43006</v>
      </c>
      <c r="D493" t="str">
        <f>TEST_DATA!D493</f>
        <v>NIL</v>
      </c>
      <c r="E493">
        <f>TEST_DATA!E493</f>
        <v>171</v>
      </c>
      <c r="F493">
        <f>MIN(E493*49300,10000)</f>
        <v>10000</v>
      </c>
      <c r="G493" t="e">
        <f ca="1">_xludf.MINIFS(CBIC_Late_Fee_Relief_Windows_1!$I$100:$I$493,CBIC_Late_Fee_Relief_Windows_1!$D$100:$D$493,"&lt;="&amp;B493,CBIC_Late_Fee_Relief_Windows_1!$E$100:$E$493,"&gt;="&amp;B493,CBIC_Late_Fee_Relief_Windows_1!$F$100:$F$493,"&lt;="&amp;C493,CBIC_Late_Fee_Relief_Windows_1!$G$100:$G$493,"&gt;="&amp;C493,CBIC_Late_Fee_Relief_Windows_1!$H$100:$H$493,D493)</f>
        <v>#NAME?</v>
      </c>
      <c r="H493" t="e">
        <f t="shared" ca="1" si="7"/>
        <v>#NAME?</v>
      </c>
      <c r="I493" t="e">
        <f ca="1">INDEX(CBIC_Late_Fee_Relief_Windows_1!$B$100:$B$493,MATCH(G493,CBIC_Late_Fee_Relief_Windows_1!$I$100:$I$493,0))</f>
        <v>#NAME?</v>
      </c>
    </row>
    <row r="494" spans="1:9" x14ac:dyDescent="0.55000000000000004">
      <c r="A494" t="str">
        <f>TEST_DATA!A494</f>
        <v>27AAAAA0494Z5</v>
      </c>
      <c r="B494" t="str">
        <f>TEST_DATA!B494</f>
        <v>May-2018</v>
      </c>
      <c r="C494">
        <f>TEST_DATA!C494</f>
        <v>43552</v>
      </c>
      <c r="D494" t="str">
        <f>TEST_DATA!D494</f>
        <v>NON-NIL</v>
      </c>
      <c r="E494">
        <f>TEST_DATA!E494</f>
        <v>2224</v>
      </c>
      <c r="F494">
        <f>MIN(E494*49400,10000)</f>
        <v>10000</v>
      </c>
      <c r="G494" t="e">
        <f ca="1">_xludf.MINIFS(CBIC_Late_Fee_Relief_Windows_1!$I$100:$I$494,CBIC_Late_Fee_Relief_Windows_1!$D$100:$D$494,"&lt;="&amp;B494,CBIC_Late_Fee_Relief_Windows_1!$E$100:$E$494,"&gt;="&amp;B494,CBIC_Late_Fee_Relief_Windows_1!$F$100:$F$494,"&lt;="&amp;C494,CBIC_Late_Fee_Relief_Windows_1!$G$100:$G$494,"&gt;="&amp;C494,CBIC_Late_Fee_Relief_Windows_1!$H$100:$H$494,D494)</f>
        <v>#NAME?</v>
      </c>
      <c r="H494" t="e">
        <f t="shared" ca="1" si="7"/>
        <v>#NAME?</v>
      </c>
      <c r="I494" t="e">
        <f ca="1">INDEX(CBIC_Late_Fee_Relief_Windows_1!$B$100:$B$494,MATCH(G494,CBIC_Late_Fee_Relief_Windows_1!$I$100:$I$494,0))</f>
        <v>#NAME?</v>
      </c>
    </row>
    <row r="495" spans="1:9" x14ac:dyDescent="0.55000000000000004">
      <c r="A495" t="str">
        <f>TEST_DATA!A495</f>
        <v>27AAAAA0495Z5</v>
      </c>
      <c r="B495" t="str">
        <f>TEST_DATA!B495</f>
        <v>Jan-2019</v>
      </c>
      <c r="C495">
        <f>TEST_DATA!C495</f>
        <v>44503</v>
      </c>
      <c r="D495" t="str">
        <f>TEST_DATA!D495</f>
        <v>NIL</v>
      </c>
      <c r="E495">
        <f>TEST_DATA!E495</f>
        <v>2649</v>
      </c>
      <c r="F495">
        <f>MIN(E495*49500,10000)</f>
        <v>10000</v>
      </c>
      <c r="G495" t="e">
        <f ca="1">_xludf.MINIFS(CBIC_Late_Fee_Relief_Windows_1!$I$100:$I$495,CBIC_Late_Fee_Relief_Windows_1!$D$100:$D$495,"&lt;="&amp;B495,CBIC_Late_Fee_Relief_Windows_1!$E$100:$E$495,"&gt;="&amp;B495,CBIC_Late_Fee_Relief_Windows_1!$F$100:$F$495,"&lt;="&amp;C495,CBIC_Late_Fee_Relief_Windows_1!$G$100:$G$495,"&gt;="&amp;C495,CBIC_Late_Fee_Relief_Windows_1!$H$100:$H$495,D495)</f>
        <v>#NAME?</v>
      </c>
      <c r="H495" t="e">
        <f t="shared" ca="1" si="7"/>
        <v>#NAME?</v>
      </c>
      <c r="I495" t="e">
        <f ca="1">INDEX(CBIC_Late_Fee_Relief_Windows_1!$B$100:$B$495,MATCH(G495,CBIC_Late_Fee_Relief_Windows_1!$I$100:$I$495,0))</f>
        <v>#NAME?</v>
      </c>
    </row>
    <row r="496" spans="1:9" x14ac:dyDescent="0.55000000000000004">
      <c r="A496" t="str">
        <f>TEST_DATA!A496</f>
        <v>27AAAAA0496Z5</v>
      </c>
      <c r="B496" t="str">
        <f>TEST_DATA!B496</f>
        <v>Jan-2018</v>
      </c>
      <c r="C496">
        <f>TEST_DATA!C496</f>
        <v>43502</v>
      </c>
      <c r="D496" t="str">
        <f>TEST_DATA!D496</f>
        <v>NON-NIL</v>
      </c>
      <c r="E496">
        <f>TEST_DATA!E496</f>
        <v>195</v>
      </c>
      <c r="F496">
        <f>MIN(E496*49600,10000)</f>
        <v>10000</v>
      </c>
      <c r="G496" t="e">
        <f ca="1">_xludf.MINIFS(CBIC_Late_Fee_Relief_Windows_1!$I$100:$I$496,CBIC_Late_Fee_Relief_Windows_1!$D$100:$D$496,"&lt;="&amp;B496,CBIC_Late_Fee_Relief_Windows_1!$E$100:$E$496,"&gt;="&amp;B496,CBIC_Late_Fee_Relief_Windows_1!$F$100:$F$496,"&lt;="&amp;C496,CBIC_Late_Fee_Relief_Windows_1!$G$100:$G$496,"&gt;="&amp;C496,CBIC_Late_Fee_Relief_Windows_1!$H$100:$H$496,D496)</f>
        <v>#NAME?</v>
      </c>
      <c r="H496" t="e">
        <f t="shared" ca="1" si="7"/>
        <v>#NAME?</v>
      </c>
      <c r="I496" t="e">
        <f ca="1">INDEX(CBIC_Late_Fee_Relief_Windows_1!$B$100:$B$496,MATCH(G496,CBIC_Late_Fee_Relief_Windows_1!$I$100:$I$496,0))</f>
        <v>#NAME?</v>
      </c>
    </row>
    <row r="497" spans="1:9" x14ac:dyDescent="0.55000000000000004">
      <c r="A497" t="str">
        <f>TEST_DATA!A497</f>
        <v>27AAAAA0497Z5</v>
      </c>
      <c r="B497" t="str">
        <f>TEST_DATA!B497</f>
        <v>Mar-2023</v>
      </c>
      <c r="C497">
        <f>TEST_DATA!C497</f>
        <v>44825</v>
      </c>
      <c r="D497" t="str">
        <f>TEST_DATA!D497</f>
        <v>NON-NIL</v>
      </c>
      <c r="E497">
        <f>TEST_DATA!E497</f>
        <v>509</v>
      </c>
      <c r="F497">
        <f>MIN(E497*49700,10000)</f>
        <v>10000</v>
      </c>
      <c r="G497" t="e">
        <f ca="1">_xludf.MINIFS(CBIC_Late_Fee_Relief_Windows_1!$I$100:$I$497,CBIC_Late_Fee_Relief_Windows_1!$D$100:$D$497,"&lt;="&amp;B497,CBIC_Late_Fee_Relief_Windows_1!$E$100:$E$497,"&gt;="&amp;B497,CBIC_Late_Fee_Relief_Windows_1!$F$100:$F$497,"&lt;="&amp;C497,CBIC_Late_Fee_Relief_Windows_1!$G$100:$G$497,"&gt;="&amp;C497,CBIC_Late_Fee_Relief_Windows_1!$H$100:$H$497,D497)</f>
        <v>#NAME?</v>
      </c>
      <c r="H497" t="e">
        <f t="shared" ca="1" si="7"/>
        <v>#NAME?</v>
      </c>
      <c r="I497" t="e">
        <f ca="1">INDEX(CBIC_Late_Fee_Relief_Windows_1!$B$100:$B$497,MATCH(G497,CBIC_Late_Fee_Relief_Windows_1!$I$100:$I$497,0))</f>
        <v>#NAME?</v>
      </c>
    </row>
    <row r="498" spans="1:9" x14ac:dyDescent="0.55000000000000004">
      <c r="A498" t="str">
        <f>TEST_DATA!A498</f>
        <v>27AAAAA0498Z5</v>
      </c>
      <c r="B498" t="str">
        <f>TEST_DATA!B498</f>
        <v>Apr-2021</v>
      </c>
      <c r="C498">
        <f>TEST_DATA!C498</f>
        <v>44973</v>
      </c>
      <c r="D498" t="str">
        <f>TEST_DATA!D498</f>
        <v>NON-NIL</v>
      </c>
      <c r="E498">
        <f>TEST_DATA!E498</f>
        <v>1638</v>
      </c>
      <c r="F498">
        <f>MIN(E498*49800,10000)</f>
        <v>10000</v>
      </c>
      <c r="G498" t="e">
        <f ca="1">_xludf.MINIFS(CBIC_Late_Fee_Relief_Windows_1!$I$100:$I$498,CBIC_Late_Fee_Relief_Windows_1!$D$100:$D$498,"&lt;="&amp;B498,CBIC_Late_Fee_Relief_Windows_1!$E$100:$E$498,"&gt;="&amp;B498,CBIC_Late_Fee_Relief_Windows_1!$F$100:$F$498,"&lt;="&amp;C498,CBIC_Late_Fee_Relief_Windows_1!$G$100:$G$498,"&gt;="&amp;C498,CBIC_Late_Fee_Relief_Windows_1!$H$100:$H$498,D498)</f>
        <v>#NAME?</v>
      </c>
      <c r="H498" t="e">
        <f t="shared" ca="1" si="7"/>
        <v>#NAME?</v>
      </c>
      <c r="I498" t="e">
        <f ca="1">INDEX(CBIC_Late_Fee_Relief_Windows_1!$B$100:$B$498,MATCH(G498,CBIC_Late_Fee_Relief_Windows_1!$I$100:$I$498,0))</f>
        <v>#NAME?</v>
      </c>
    </row>
    <row r="499" spans="1:9" x14ac:dyDescent="0.55000000000000004">
      <c r="A499" t="str">
        <f>TEST_DATA!A499</f>
        <v>27AAAAA0499Z5</v>
      </c>
      <c r="B499" t="str">
        <f>TEST_DATA!B499</f>
        <v>Jan-2021</v>
      </c>
      <c r="C499">
        <f>TEST_DATA!C499</f>
        <v>45267</v>
      </c>
      <c r="D499" t="str">
        <f>TEST_DATA!D499</f>
        <v>NON-NIL</v>
      </c>
      <c r="E499">
        <f>TEST_DATA!E499</f>
        <v>1388</v>
      </c>
      <c r="F499">
        <f>MIN(E499*49900,10000)</f>
        <v>10000</v>
      </c>
      <c r="G499" t="e">
        <f ca="1">_xludf.MINIFS(CBIC_Late_Fee_Relief_Windows_1!$I$100:$I$499,CBIC_Late_Fee_Relief_Windows_1!$D$100:$D$499,"&lt;="&amp;B499,CBIC_Late_Fee_Relief_Windows_1!$E$100:$E$499,"&gt;="&amp;B499,CBIC_Late_Fee_Relief_Windows_1!$F$100:$F$499,"&lt;="&amp;C499,CBIC_Late_Fee_Relief_Windows_1!$G$100:$G$499,"&gt;="&amp;C499,CBIC_Late_Fee_Relief_Windows_1!$H$100:$H$499,D499)</f>
        <v>#NAME?</v>
      </c>
      <c r="H499" t="e">
        <f t="shared" ca="1" si="7"/>
        <v>#NAME?</v>
      </c>
      <c r="I499" t="e">
        <f ca="1">INDEX(CBIC_Late_Fee_Relief_Windows_1!$B$100:$B$499,MATCH(G499,CBIC_Late_Fee_Relief_Windows_1!$I$100:$I$499,0))</f>
        <v>#NAME?</v>
      </c>
    </row>
    <row r="500" spans="1:9" x14ac:dyDescent="0.55000000000000004">
      <c r="A500" t="str">
        <f>TEST_DATA!A500</f>
        <v>27AAAAA0500Z5</v>
      </c>
      <c r="B500" t="str">
        <f>TEST_DATA!B500</f>
        <v>Dec-2017</v>
      </c>
      <c r="C500">
        <f>TEST_DATA!C500</f>
        <v>43933</v>
      </c>
      <c r="D500" t="str">
        <f>TEST_DATA!D500</f>
        <v>NON-NIL</v>
      </c>
      <c r="E500">
        <f>TEST_DATA!E500</f>
        <v>1504</v>
      </c>
      <c r="F500">
        <f>MIN(E500*50000,10000)</f>
        <v>10000</v>
      </c>
      <c r="G500" t="e">
        <f ca="1">_xludf.MINIFS(CBIC_Late_Fee_Relief_Windows_1!$I$100:$I$500,CBIC_Late_Fee_Relief_Windows_1!$D$100:$D$500,"&lt;="&amp;B500,CBIC_Late_Fee_Relief_Windows_1!$E$100:$E$500,"&gt;="&amp;B500,CBIC_Late_Fee_Relief_Windows_1!$F$100:$F$500,"&lt;="&amp;C500,CBIC_Late_Fee_Relief_Windows_1!$G$100:$G$500,"&gt;="&amp;C500,CBIC_Late_Fee_Relief_Windows_1!$H$100:$H$500,D500)</f>
        <v>#NAME?</v>
      </c>
      <c r="H500" t="e">
        <f t="shared" ca="1" si="7"/>
        <v>#NAME?</v>
      </c>
      <c r="I500" t="e">
        <f ca="1">INDEX(CBIC_Late_Fee_Relief_Windows_1!$B$100:$B$500,MATCH(G500,CBIC_Late_Fee_Relief_Windows_1!$I$100:$I$500,0))</f>
        <v>#NAME?</v>
      </c>
    </row>
    <row r="501" spans="1:9" x14ac:dyDescent="0.55000000000000004">
      <c r="A501" t="str">
        <f>TEST_DATA!A501</f>
        <v>27AAAAA0501Z5</v>
      </c>
      <c r="B501" t="str">
        <f>TEST_DATA!B501</f>
        <v>Apr-2021</v>
      </c>
      <c r="C501">
        <f>TEST_DATA!C501</f>
        <v>45592</v>
      </c>
      <c r="D501" t="str">
        <f>TEST_DATA!D501</f>
        <v>NON-NIL</v>
      </c>
      <c r="E501">
        <f>TEST_DATA!E501</f>
        <v>338</v>
      </c>
      <c r="F501">
        <f>MIN(E501*50100,10000)</f>
        <v>10000</v>
      </c>
      <c r="G501" t="e">
        <f ca="1">_xludf.MINIFS(CBIC_Late_Fee_Relief_Windows_1!$I$100:$I$501,CBIC_Late_Fee_Relief_Windows_1!$D$100:$D$501,"&lt;="&amp;B501,CBIC_Late_Fee_Relief_Windows_1!$E$100:$E$501,"&gt;="&amp;B501,CBIC_Late_Fee_Relief_Windows_1!$F$100:$F$501,"&lt;="&amp;C501,CBIC_Late_Fee_Relief_Windows_1!$G$100:$G$501,"&gt;="&amp;C501,CBIC_Late_Fee_Relief_Windows_1!$H$100:$H$501,D501)</f>
        <v>#NAME?</v>
      </c>
      <c r="H501" t="e">
        <f t="shared" ca="1" si="7"/>
        <v>#NAME?</v>
      </c>
      <c r="I501" t="e">
        <f ca="1">INDEX(CBIC_Late_Fee_Relief_Windows_1!$B$100:$B$501,MATCH(G501,CBIC_Late_Fee_Relief_Windows_1!$I$100:$I$501,0))</f>
        <v>#NAME?</v>
      </c>
    </row>
    <row r="502" spans="1:9" x14ac:dyDescent="0.55000000000000004">
      <c r="A502" t="str">
        <f>TEST_DATA!A502</f>
        <v>27AAAAA0502Z5</v>
      </c>
      <c r="B502" t="str">
        <f>TEST_DATA!B502</f>
        <v>Jan-2021</v>
      </c>
      <c r="C502">
        <f>TEST_DATA!C502</f>
        <v>45204</v>
      </c>
      <c r="D502" t="str">
        <f>TEST_DATA!D502</f>
        <v>NIL</v>
      </c>
      <c r="E502">
        <f>TEST_DATA!E502</f>
        <v>1763</v>
      </c>
      <c r="F502">
        <f>MIN(E502*50200,10000)</f>
        <v>10000</v>
      </c>
      <c r="G502" t="e">
        <f ca="1">_xludf.MINIFS(CBIC_Late_Fee_Relief_Windows_1!$I$100:$I$502,CBIC_Late_Fee_Relief_Windows_1!$D$100:$D$502,"&lt;="&amp;B502,CBIC_Late_Fee_Relief_Windows_1!$E$100:$E$502,"&gt;="&amp;B502,CBIC_Late_Fee_Relief_Windows_1!$F$100:$F$502,"&lt;="&amp;C502,CBIC_Late_Fee_Relief_Windows_1!$G$100:$G$502,"&gt;="&amp;C502,CBIC_Late_Fee_Relief_Windows_1!$H$100:$H$502,D502)</f>
        <v>#NAME?</v>
      </c>
      <c r="H502" t="e">
        <f t="shared" ca="1" si="7"/>
        <v>#NAME?</v>
      </c>
      <c r="I502" t="e">
        <f ca="1">INDEX(CBIC_Late_Fee_Relief_Windows_1!$B$100:$B$502,MATCH(G502,CBIC_Late_Fee_Relief_Windows_1!$I$100:$I$502,0))</f>
        <v>#NAME?</v>
      </c>
    </row>
    <row r="503" spans="1:9" x14ac:dyDescent="0.55000000000000004">
      <c r="A503" t="str">
        <f>TEST_DATA!A503</f>
        <v>27AAAAA0503Z5</v>
      </c>
      <c r="B503" t="str">
        <f>TEST_DATA!B503</f>
        <v>Apr-2020</v>
      </c>
      <c r="C503">
        <f>TEST_DATA!C503</f>
        <v>44200</v>
      </c>
      <c r="D503" t="str">
        <f>TEST_DATA!D503</f>
        <v>NON-NIL</v>
      </c>
      <c r="E503">
        <f>TEST_DATA!E503</f>
        <v>1315</v>
      </c>
      <c r="F503">
        <f>MIN(E503*50300,10000)</f>
        <v>10000</v>
      </c>
      <c r="G503" t="e">
        <f ca="1">_xludf.MINIFS(CBIC_Late_Fee_Relief_Windows_1!$I$100:$I$503,CBIC_Late_Fee_Relief_Windows_1!$D$100:$D$503,"&lt;="&amp;B503,CBIC_Late_Fee_Relief_Windows_1!$E$100:$E$503,"&gt;="&amp;B503,CBIC_Late_Fee_Relief_Windows_1!$F$100:$F$503,"&lt;="&amp;C503,CBIC_Late_Fee_Relief_Windows_1!$G$100:$G$503,"&gt;="&amp;C503,CBIC_Late_Fee_Relief_Windows_1!$H$100:$H$503,D503)</f>
        <v>#NAME?</v>
      </c>
      <c r="H503" t="e">
        <f t="shared" ca="1" si="7"/>
        <v>#NAME?</v>
      </c>
      <c r="I503" t="e">
        <f ca="1">INDEX(CBIC_Late_Fee_Relief_Windows_1!$B$100:$B$503,MATCH(G503,CBIC_Late_Fee_Relief_Windows_1!$I$100:$I$503,0))</f>
        <v>#NAME?</v>
      </c>
    </row>
    <row r="504" spans="1:9" x14ac:dyDescent="0.55000000000000004">
      <c r="A504" t="str">
        <f>TEST_DATA!A504</f>
        <v>27AAAAA0504Z5</v>
      </c>
      <c r="B504" t="str">
        <f>TEST_DATA!B504</f>
        <v>Oct-2017</v>
      </c>
      <c r="C504">
        <f>TEST_DATA!C504</f>
        <v>43080</v>
      </c>
      <c r="D504" t="str">
        <f>TEST_DATA!D504</f>
        <v>NON-NIL</v>
      </c>
      <c r="E504">
        <f>TEST_DATA!E504</f>
        <v>2707</v>
      </c>
      <c r="F504">
        <f>MIN(E504*50400,10000)</f>
        <v>10000</v>
      </c>
      <c r="G504" t="e">
        <f ca="1">_xludf.MINIFS(CBIC_Late_Fee_Relief_Windows_1!$I$100:$I$504,CBIC_Late_Fee_Relief_Windows_1!$D$100:$D$504,"&lt;="&amp;B504,CBIC_Late_Fee_Relief_Windows_1!$E$100:$E$504,"&gt;="&amp;B504,CBIC_Late_Fee_Relief_Windows_1!$F$100:$F$504,"&lt;="&amp;C504,CBIC_Late_Fee_Relief_Windows_1!$G$100:$G$504,"&gt;="&amp;C504,CBIC_Late_Fee_Relief_Windows_1!$H$100:$H$504,D504)</f>
        <v>#NAME?</v>
      </c>
      <c r="H504" t="e">
        <f t="shared" ca="1" si="7"/>
        <v>#NAME?</v>
      </c>
      <c r="I504" t="e">
        <f ca="1">INDEX(CBIC_Late_Fee_Relief_Windows_1!$B$100:$B$504,MATCH(G504,CBIC_Late_Fee_Relief_Windows_1!$I$100:$I$504,0))</f>
        <v>#NAME?</v>
      </c>
    </row>
    <row r="505" spans="1:9" x14ac:dyDescent="0.55000000000000004">
      <c r="A505" t="str">
        <f>TEST_DATA!A505</f>
        <v>27AAAAA0505Z5</v>
      </c>
      <c r="B505" t="str">
        <f>TEST_DATA!B505</f>
        <v>Apr-2018</v>
      </c>
      <c r="C505">
        <f>TEST_DATA!C505</f>
        <v>43544</v>
      </c>
      <c r="D505" t="str">
        <f>TEST_DATA!D505</f>
        <v>NON-NIL</v>
      </c>
      <c r="E505">
        <f>TEST_DATA!E505</f>
        <v>2468</v>
      </c>
      <c r="F505">
        <f>MIN(E505*50500,10000)</f>
        <v>10000</v>
      </c>
      <c r="G505" t="e">
        <f ca="1">_xludf.MINIFS(CBIC_Late_Fee_Relief_Windows_1!$I$100:$I$505,CBIC_Late_Fee_Relief_Windows_1!$D$100:$D$505,"&lt;="&amp;B505,CBIC_Late_Fee_Relief_Windows_1!$E$100:$E$505,"&gt;="&amp;B505,CBIC_Late_Fee_Relief_Windows_1!$F$100:$F$505,"&lt;="&amp;C505,CBIC_Late_Fee_Relief_Windows_1!$G$100:$G$505,"&gt;="&amp;C505,CBIC_Late_Fee_Relief_Windows_1!$H$100:$H$505,D505)</f>
        <v>#NAME?</v>
      </c>
      <c r="H505" t="e">
        <f t="shared" ca="1" si="7"/>
        <v>#NAME?</v>
      </c>
      <c r="I505" t="e">
        <f ca="1">INDEX(CBIC_Late_Fee_Relief_Windows_1!$B$100:$B$505,MATCH(G505,CBIC_Late_Fee_Relief_Windows_1!$I$100:$I$505,0))</f>
        <v>#NAME?</v>
      </c>
    </row>
    <row r="506" spans="1:9" x14ac:dyDescent="0.55000000000000004">
      <c r="A506" t="str">
        <f>TEST_DATA!A506</f>
        <v>27AAAAA0506Z5</v>
      </c>
      <c r="B506" t="str">
        <f>TEST_DATA!B506</f>
        <v>Jul-2020</v>
      </c>
      <c r="C506">
        <f>TEST_DATA!C506</f>
        <v>44703</v>
      </c>
      <c r="D506" t="str">
        <f>TEST_DATA!D506</f>
        <v>NIL</v>
      </c>
      <c r="E506">
        <f>TEST_DATA!E506</f>
        <v>2825</v>
      </c>
      <c r="F506">
        <f>MIN(E506*50600,10000)</f>
        <v>10000</v>
      </c>
      <c r="G506" t="e">
        <f ca="1">_xludf.MINIFS(CBIC_Late_Fee_Relief_Windows_1!$I$100:$I$506,CBIC_Late_Fee_Relief_Windows_1!$D$100:$D$506,"&lt;="&amp;B506,CBIC_Late_Fee_Relief_Windows_1!$E$100:$E$506,"&gt;="&amp;B506,CBIC_Late_Fee_Relief_Windows_1!$F$100:$F$506,"&lt;="&amp;C506,CBIC_Late_Fee_Relief_Windows_1!$G$100:$G$506,"&gt;="&amp;C506,CBIC_Late_Fee_Relief_Windows_1!$H$100:$H$506,D506)</f>
        <v>#NAME?</v>
      </c>
      <c r="H506" t="e">
        <f t="shared" ca="1" si="7"/>
        <v>#NAME?</v>
      </c>
      <c r="I506" t="e">
        <f ca="1">INDEX(CBIC_Late_Fee_Relief_Windows_1!$B$100:$B$506,MATCH(G506,CBIC_Late_Fee_Relief_Windows_1!$I$100:$I$506,0))</f>
        <v>#NAME?</v>
      </c>
    </row>
    <row r="507" spans="1:9" x14ac:dyDescent="0.55000000000000004">
      <c r="A507" t="str">
        <f>TEST_DATA!A507</f>
        <v>27AAAAA0507Z5</v>
      </c>
      <c r="B507" t="str">
        <f>TEST_DATA!B507</f>
        <v>Sep-2018</v>
      </c>
      <c r="C507">
        <f>TEST_DATA!C507</f>
        <v>43636</v>
      </c>
      <c r="D507" t="str">
        <f>TEST_DATA!D507</f>
        <v>NON-NIL</v>
      </c>
      <c r="E507">
        <f>TEST_DATA!E507</f>
        <v>173</v>
      </c>
      <c r="F507">
        <f>MIN(E507*50700,10000)</f>
        <v>10000</v>
      </c>
      <c r="G507" t="e">
        <f ca="1">_xludf.MINIFS(CBIC_Late_Fee_Relief_Windows_1!$I$100:$I$507,CBIC_Late_Fee_Relief_Windows_1!$D$100:$D$507,"&lt;="&amp;B507,CBIC_Late_Fee_Relief_Windows_1!$E$100:$E$507,"&gt;="&amp;B507,CBIC_Late_Fee_Relief_Windows_1!$F$100:$F$507,"&lt;="&amp;C507,CBIC_Late_Fee_Relief_Windows_1!$G$100:$G$507,"&gt;="&amp;C507,CBIC_Late_Fee_Relief_Windows_1!$H$100:$H$507,D507)</f>
        <v>#NAME?</v>
      </c>
      <c r="H507" t="e">
        <f t="shared" ca="1" si="7"/>
        <v>#NAME?</v>
      </c>
      <c r="I507" t="e">
        <f ca="1">INDEX(CBIC_Late_Fee_Relief_Windows_1!$B$100:$B$507,MATCH(G507,CBIC_Late_Fee_Relief_Windows_1!$I$100:$I$507,0))</f>
        <v>#NAME?</v>
      </c>
    </row>
    <row r="508" spans="1:9" x14ac:dyDescent="0.55000000000000004">
      <c r="A508" t="str">
        <f>TEST_DATA!A508</f>
        <v>27AAAAA0508Z5</v>
      </c>
      <c r="B508" t="str">
        <f>TEST_DATA!B508</f>
        <v>Jan-2021</v>
      </c>
      <c r="C508">
        <f>TEST_DATA!C508</f>
        <v>44910</v>
      </c>
      <c r="D508" t="str">
        <f>TEST_DATA!D508</f>
        <v>NON-NIL</v>
      </c>
      <c r="E508">
        <f>TEST_DATA!E508</f>
        <v>1124</v>
      </c>
      <c r="F508">
        <f>MIN(E508*50800,10000)</f>
        <v>10000</v>
      </c>
      <c r="G508" t="e">
        <f ca="1">_xludf.MINIFS(CBIC_Late_Fee_Relief_Windows_1!$I$100:$I$508,CBIC_Late_Fee_Relief_Windows_1!$D$100:$D$508,"&lt;="&amp;B508,CBIC_Late_Fee_Relief_Windows_1!$E$100:$E$508,"&gt;="&amp;B508,CBIC_Late_Fee_Relief_Windows_1!$F$100:$F$508,"&lt;="&amp;C508,CBIC_Late_Fee_Relief_Windows_1!$G$100:$G$508,"&gt;="&amp;C508,CBIC_Late_Fee_Relief_Windows_1!$H$100:$H$508,D508)</f>
        <v>#NAME?</v>
      </c>
      <c r="H508" t="e">
        <f t="shared" ca="1" si="7"/>
        <v>#NAME?</v>
      </c>
      <c r="I508" t="e">
        <f ca="1">INDEX(CBIC_Late_Fee_Relief_Windows_1!$B$100:$B$508,MATCH(G508,CBIC_Late_Fee_Relief_Windows_1!$I$100:$I$508,0))</f>
        <v>#NAME?</v>
      </c>
    </row>
    <row r="509" spans="1:9" x14ac:dyDescent="0.55000000000000004">
      <c r="A509" t="str">
        <f>TEST_DATA!A509</f>
        <v>27AAAAA0509Z5</v>
      </c>
      <c r="B509" t="str">
        <f>TEST_DATA!B509</f>
        <v>May-2020</v>
      </c>
      <c r="C509">
        <f>TEST_DATA!C509</f>
        <v>43948</v>
      </c>
      <c r="D509" t="str">
        <f>TEST_DATA!D509</f>
        <v>NIL</v>
      </c>
      <c r="E509">
        <f>TEST_DATA!E509</f>
        <v>2749</v>
      </c>
      <c r="F509">
        <f>MIN(E509*50900,10000)</f>
        <v>10000</v>
      </c>
      <c r="G509" t="e">
        <f ca="1">_xludf.MINIFS(CBIC_Late_Fee_Relief_Windows_1!$I$100:$I$509,CBIC_Late_Fee_Relief_Windows_1!$D$100:$D$509,"&lt;="&amp;B509,CBIC_Late_Fee_Relief_Windows_1!$E$100:$E$509,"&gt;="&amp;B509,CBIC_Late_Fee_Relief_Windows_1!$F$100:$F$509,"&lt;="&amp;C509,CBIC_Late_Fee_Relief_Windows_1!$G$100:$G$509,"&gt;="&amp;C509,CBIC_Late_Fee_Relief_Windows_1!$H$100:$H$509,D509)</f>
        <v>#NAME?</v>
      </c>
      <c r="H509" t="e">
        <f t="shared" ca="1" si="7"/>
        <v>#NAME?</v>
      </c>
      <c r="I509" t="e">
        <f ca="1">INDEX(CBIC_Late_Fee_Relief_Windows_1!$B$100:$B$509,MATCH(G509,CBIC_Late_Fee_Relief_Windows_1!$I$100:$I$509,0))</f>
        <v>#NAME?</v>
      </c>
    </row>
    <row r="510" spans="1:9" x14ac:dyDescent="0.55000000000000004">
      <c r="A510" t="str">
        <f>TEST_DATA!A510</f>
        <v>27AAAAA0510Z5</v>
      </c>
      <c r="B510" t="str">
        <f>TEST_DATA!B510</f>
        <v>May-2020</v>
      </c>
      <c r="C510">
        <f>TEST_DATA!C510</f>
        <v>44662</v>
      </c>
      <c r="D510" t="str">
        <f>TEST_DATA!D510</f>
        <v>NON-NIL</v>
      </c>
      <c r="E510">
        <f>TEST_DATA!E510</f>
        <v>2101</v>
      </c>
      <c r="F510">
        <f>MIN(E510*51000,10000)</f>
        <v>10000</v>
      </c>
      <c r="G510" t="e">
        <f ca="1">_xludf.MINIFS(CBIC_Late_Fee_Relief_Windows_1!$I$100:$I$510,CBIC_Late_Fee_Relief_Windows_1!$D$100:$D$510,"&lt;="&amp;B510,CBIC_Late_Fee_Relief_Windows_1!$E$100:$E$510,"&gt;="&amp;B510,CBIC_Late_Fee_Relief_Windows_1!$F$100:$F$510,"&lt;="&amp;C510,CBIC_Late_Fee_Relief_Windows_1!$G$100:$G$510,"&gt;="&amp;C510,CBIC_Late_Fee_Relief_Windows_1!$H$100:$H$510,D510)</f>
        <v>#NAME?</v>
      </c>
      <c r="H510" t="e">
        <f t="shared" ca="1" si="7"/>
        <v>#NAME?</v>
      </c>
      <c r="I510" t="e">
        <f ca="1">INDEX(CBIC_Late_Fee_Relief_Windows_1!$B$100:$B$510,MATCH(G510,CBIC_Late_Fee_Relief_Windows_1!$I$100:$I$510,0))</f>
        <v>#NAME?</v>
      </c>
    </row>
    <row r="511" spans="1:9" x14ac:dyDescent="0.55000000000000004">
      <c r="A511" t="str">
        <f>TEST_DATA!A511</f>
        <v>27AAAAA0511Z5</v>
      </c>
      <c r="B511" t="str">
        <f>TEST_DATA!B511</f>
        <v>Apr-2021</v>
      </c>
      <c r="C511">
        <f>TEST_DATA!C511</f>
        <v>44121</v>
      </c>
      <c r="D511" t="str">
        <f>TEST_DATA!D511</f>
        <v>NIL</v>
      </c>
      <c r="E511">
        <f>TEST_DATA!E511</f>
        <v>584</v>
      </c>
      <c r="F511">
        <f>MIN(E511*51100,10000)</f>
        <v>10000</v>
      </c>
      <c r="G511" t="e">
        <f ca="1">_xludf.MINIFS(CBIC_Late_Fee_Relief_Windows_1!$I$100:$I$511,CBIC_Late_Fee_Relief_Windows_1!$D$100:$D$511,"&lt;="&amp;B511,CBIC_Late_Fee_Relief_Windows_1!$E$100:$E$511,"&gt;="&amp;B511,CBIC_Late_Fee_Relief_Windows_1!$F$100:$F$511,"&lt;="&amp;C511,CBIC_Late_Fee_Relief_Windows_1!$G$100:$G$511,"&gt;="&amp;C511,CBIC_Late_Fee_Relief_Windows_1!$H$100:$H$511,D511)</f>
        <v>#NAME?</v>
      </c>
      <c r="H511" t="e">
        <f t="shared" ca="1" si="7"/>
        <v>#NAME?</v>
      </c>
      <c r="I511" t="e">
        <f ca="1">INDEX(CBIC_Late_Fee_Relief_Windows_1!$B$100:$B$511,MATCH(G511,CBIC_Late_Fee_Relief_Windows_1!$I$100:$I$511,0))</f>
        <v>#NAME?</v>
      </c>
    </row>
    <row r="512" spans="1:9" x14ac:dyDescent="0.55000000000000004">
      <c r="A512" t="str">
        <f>TEST_DATA!A512</f>
        <v>27AAAAA0512Z5</v>
      </c>
      <c r="B512" t="str">
        <f>TEST_DATA!B512</f>
        <v>Mar-2023</v>
      </c>
      <c r="C512">
        <f>TEST_DATA!C512</f>
        <v>45260</v>
      </c>
      <c r="D512" t="str">
        <f>TEST_DATA!D512</f>
        <v>NIL</v>
      </c>
      <c r="E512">
        <f>TEST_DATA!E512</f>
        <v>517</v>
      </c>
      <c r="F512">
        <f>MIN(E512*51200,10000)</f>
        <v>10000</v>
      </c>
      <c r="G512" t="e">
        <f ca="1">_xludf.MINIFS(CBIC_Late_Fee_Relief_Windows_1!$I$100:$I$512,CBIC_Late_Fee_Relief_Windows_1!$D$100:$D$512,"&lt;="&amp;B512,CBIC_Late_Fee_Relief_Windows_1!$E$100:$E$512,"&gt;="&amp;B512,CBIC_Late_Fee_Relief_Windows_1!$F$100:$F$512,"&lt;="&amp;C512,CBIC_Late_Fee_Relief_Windows_1!$G$100:$G$512,"&gt;="&amp;C512,CBIC_Late_Fee_Relief_Windows_1!$H$100:$H$512,D512)</f>
        <v>#NAME?</v>
      </c>
      <c r="H512" t="e">
        <f t="shared" ca="1" si="7"/>
        <v>#NAME?</v>
      </c>
      <c r="I512" t="e">
        <f ca="1">INDEX(CBIC_Late_Fee_Relief_Windows_1!$B$100:$B$512,MATCH(G512,CBIC_Late_Fee_Relief_Windows_1!$I$100:$I$512,0))</f>
        <v>#NAME?</v>
      </c>
    </row>
    <row r="513" spans="1:9" x14ac:dyDescent="0.55000000000000004">
      <c r="A513" t="str">
        <f>TEST_DATA!A513</f>
        <v>27AAAAA0513Z5</v>
      </c>
      <c r="B513" t="str">
        <f>TEST_DATA!B513</f>
        <v>Sep-2017</v>
      </c>
      <c r="C513">
        <f>TEST_DATA!C513</f>
        <v>43400</v>
      </c>
      <c r="D513" t="str">
        <f>TEST_DATA!D513</f>
        <v>NON-NIL</v>
      </c>
      <c r="E513">
        <f>TEST_DATA!E513</f>
        <v>1483</v>
      </c>
      <c r="F513">
        <f>MIN(E513*51300,10000)</f>
        <v>10000</v>
      </c>
      <c r="G513" t="e">
        <f ca="1">_xludf.MINIFS(CBIC_Late_Fee_Relief_Windows_1!$I$100:$I$513,CBIC_Late_Fee_Relief_Windows_1!$D$100:$D$513,"&lt;="&amp;B513,CBIC_Late_Fee_Relief_Windows_1!$E$100:$E$513,"&gt;="&amp;B513,CBIC_Late_Fee_Relief_Windows_1!$F$100:$F$513,"&lt;="&amp;C513,CBIC_Late_Fee_Relief_Windows_1!$G$100:$G$513,"&gt;="&amp;C513,CBIC_Late_Fee_Relief_Windows_1!$H$100:$H$513,D513)</f>
        <v>#NAME?</v>
      </c>
      <c r="H513" t="e">
        <f t="shared" ca="1" si="7"/>
        <v>#NAME?</v>
      </c>
      <c r="I513" t="e">
        <f ca="1">INDEX(CBIC_Late_Fee_Relief_Windows_1!$B$100:$B$513,MATCH(G513,CBIC_Late_Fee_Relief_Windows_1!$I$100:$I$513,0))</f>
        <v>#NAME?</v>
      </c>
    </row>
    <row r="514" spans="1:9" x14ac:dyDescent="0.55000000000000004">
      <c r="A514" t="str">
        <f>TEST_DATA!A514</f>
        <v>27AAAAA0514Z5</v>
      </c>
      <c r="B514" t="str">
        <f>TEST_DATA!B514</f>
        <v>Jul-2018</v>
      </c>
      <c r="C514">
        <f>TEST_DATA!C514</f>
        <v>44078</v>
      </c>
      <c r="D514" t="str">
        <f>TEST_DATA!D514</f>
        <v>NIL</v>
      </c>
      <c r="E514">
        <f>TEST_DATA!E514</f>
        <v>2478</v>
      </c>
      <c r="F514">
        <f>MIN(E514*51400,10000)</f>
        <v>10000</v>
      </c>
      <c r="G514" t="e">
        <f ca="1">_xludf.MINIFS(CBIC_Late_Fee_Relief_Windows_1!$I$100:$I$514,CBIC_Late_Fee_Relief_Windows_1!$D$100:$D$514,"&lt;="&amp;B514,CBIC_Late_Fee_Relief_Windows_1!$E$100:$E$514,"&gt;="&amp;B514,CBIC_Late_Fee_Relief_Windows_1!$F$100:$F$514,"&lt;="&amp;C514,CBIC_Late_Fee_Relief_Windows_1!$G$100:$G$514,"&gt;="&amp;C514,CBIC_Late_Fee_Relief_Windows_1!$H$100:$H$514,D514)</f>
        <v>#NAME?</v>
      </c>
      <c r="H514" t="e">
        <f t="shared" ref="H514:H577" ca="1" si="8">MIN(F514,G514)</f>
        <v>#NAME?</v>
      </c>
      <c r="I514" t="e">
        <f ca="1">INDEX(CBIC_Late_Fee_Relief_Windows_1!$B$100:$B$514,MATCH(G514,CBIC_Late_Fee_Relief_Windows_1!$I$100:$I$514,0))</f>
        <v>#NAME?</v>
      </c>
    </row>
    <row r="515" spans="1:9" x14ac:dyDescent="0.55000000000000004">
      <c r="A515" t="str">
        <f>TEST_DATA!A515</f>
        <v>27AAAAA0515Z5</v>
      </c>
      <c r="B515" t="str">
        <f>TEST_DATA!B515</f>
        <v>Nov-2017</v>
      </c>
      <c r="C515">
        <f>TEST_DATA!C515</f>
        <v>44307</v>
      </c>
      <c r="D515" t="str">
        <f>TEST_DATA!D515</f>
        <v>NON-NIL</v>
      </c>
      <c r="E515">
        <f>TEST_DATA!E515</f>
        <v>1519</v>
      </c>
      <c r="F515">
        <f>MIN(E515*51500,10000)</f>
        <v>10000</v>
      </c>
      <c r="G515" t="e">
        <f ca="1">_xludf.MINIFS(CBIC_Late_Fee_Relief_Windows_1!$I$100:$I$515,CBIC_Late_Fee_Relief_Windows_1!$D$100:$D$515,"&lt;="&amp;B515,CBIC_Late_Fee_Relief_Windows_1!$E$100:$E$515,"&gt;="&amp;B515,CBIC_Late_Fee_Relief_Windows_1!$F$100:$F$515,"&lt;="&amp;C515,CBIC_Late_Fee_Relief_Windows_1!$G$100:$G$515,"&gt;="&amp;C515,CBIC_Late_Fee_Relief_Windows_1!$H$100:$H$515,D515)</f>
        <v>#NAME?</v>
      </c>
      <c r="H515" t="e">
        <f t="shared" ca="1" si="8"/>
        <v>#NAME?</v>
      </c>
      <c r="I515" t="e">
        <f ca="1">INDEX(CBIC_Late_Fee_Relief_Windows_1!$B$100:$B$515,MATCH(G515,CBIC_Late_Fee_Relief_Windows_1!$I$100:$I$515,0))</f>
        <v>#NAME?</v>
      </c>
    </row>
    <row r="516" spans="1:9" x14ac:dyDescent="0.55000000000000004">
      <c r="A516" t="str">
        <f>TEST_DATA!A516</f>
        <v>27AAAAA0516Z5</v>
      </c>
      <c r="B516" t="str">
        <f>TEST_DATA!B516</f>
        <v>Jun-2018</v>
      </c>
      <c r="C516">
        <f>TEST_DATA!C516</f>
        <v>43826</v>
      </c>
      <c r="D516" t="str">
        <f>TEST_DATA!D516</f>
        <v>NIL</v>
      </c>
      <c r="E516">
        <f>TEST_DATA!E516</f>
        <v>2350</v>
      </c>
      <c r="F516">
        <f>MIN(E516*51600,10000)</f>
        <v>10000</v>
      </c>
      <c r="G516" t="e">
        <f ca="1">_xludf.MINIFS(CBIC_Late_Fee_Relief_Windows_1!$I$100:$I$516,CBIC_Late_Fee_Relief_Windows_1!$D$100:$D$516,"&lt;="&amp;B516,CBIC_Late_Fee_Relief_Windows_1!$E$100:$E$516,"&gt;="&amp;B516,CBIC_Late_Fee_Relief_Windows_1!$F$100:$F$516,"&lt;="&amp;C516,CBIC_Late_Fee_Relief_Windows_1!$G$100:$G$516,"&gt;="&amp;C516,CBIC_Late_Fee_Relief_Windows_1!$H$100:$H$516,D516)</f>
        <v>#NAME?</v>
      </c>
      <c r="H516" t="e">
        <f t="shared" ca="1" si="8"/>
        <v>#NAME?</v>
      </c>
      <c r="I516" t="e">
        <f ca="1">INDEX(CBIC_Late_Fee_Relief_Windows_1!$B$100:$B$516,MATCH(G516,CBIC_Late_Fee_Relief_Windows_1!$I$100:$I$516,0))</f>
        <v>#NAME?</v>
      </c>
    </row>
    <row r="517" spans="1:9" x14ac:dyDescent="0.55000000000000004">
      <c r="A517" t="str">
        <f>TEST_DATA!A517</f>
        <v>27AAAAA0517Z5</v>
      </c>
      <c r="B517" t="str">
        <f>TEST_DATA!B517</f>
        <v>Nov-2017</v>
      </c>
      <c r="C517">
        <f>TEST_DATA!C517</f>
        <v>44001</v>
      </c>
      <c r="D517" t="str">
        <f>TEST_DATA!D517</f>
        <v>NON-NIL</v>
      </c>
      <c r="E517">
        <f>TEST_DATA!E517</f>
        <v>1630</v>
      </c>
      <c r="F517">
        <f>MIN(E517*51700,10000)</f>
        <v>10000</v>
      </c>
      <c r="G517" t="e">
        <f ca="1">_xludf.MINIFS(CBIC_Late_Fee_Relief_Windows_1!$I$100:$I$517,CBIC_Late_Fee_Relief_Windows_1!$D$100:$D$517,"&lt;="&amp;B517,CBIC_Late_Fee_Relief_Windows_1!$E$100:$E$517,"&gt;="&amp;B517,CBIC_Late_Fee_Relief_Windows_1!$F$100:$F$517,"&lt;="&amp;C517,CBIC_Late_Fee_Relief_Windows_1!$G$100:$G$517,"&gt;="&amp;C517,CBIC_Late_Fee_Relief_Windows_1!$H$100:$H$517,D517)</f>
        <v>#NAME?</v>
      </c>
      <c r="H517" t="e">
        <f t="shared" ca="1" si="8"/>
        <v>#NAME?</v>
      </c>
      <c r="I517" t="e">
        <f ca="1">INDEX(CBIC_Late_Fee_Relief_Windows_1!$B$100:$B$517,MATCH(G517,CBIC_Late_Fee_Relief_Windows_1!$I$100:$I$517,0))</f>
        <v>#NAME?</v>
      </c>
    </row>
    <row r="518" spans="1:9" x14ac:dyDescent="0.55000000000000004">
      <c r="A518" t="str">
        <f>TEST_DATA!A518</f>
        <v>27AAAAA0518Z5</v>
      </c>
      <c r="B518" t="str">
        <f>TEST_DATA!B518</f>
        <v>May-2018</v>
      </c>
      <c r="C518">
        <f>TEST_DATA!C518</f>
        <v>44247</v>
      </c>
      <c r="D518" t="str">
        <f>TEST_DATA!D518</f>
        <v>NON-NIL</v>
      </c>
      <c r="E518">
        <f>TEST_DATA!E518</f>
        <v>1022</v>
      </c>
      <c r="F518">
        <f>MIN(E518*51800,10000)</f>
        <v>10000</v>
      </c>
      <c r="G518" t="e">
        <f ca="1">_xludf.MINIFS(CBIC_Late_Fee_Relief_Windows_1!$I$100:$I$518,CBIC_Late_Fee_Relief_Windows_1!$D$100:$D$518,"&lt;="&amp;B518,CBIC_Late_Fee_Relief_Windows_1!$E$100:$E$518,"&gt;="&amp;B518,CBIC_Late_Fee_Relief_Windows_1!$F$100:$F$518,"&lt;="&amp;C518,CBIC_Late_Fee_Relief_Windows_1!$G$100:$G$518,"&gt;="&amp;C518,CBIC_Late_Fee_Relief_Windows_1!$H$100:$H$518,D518)</f>
        <v>#NAME?</v>
      </c>
      <c r="H518" t="e">
        <f t="shared" ca="1" si="8"/>
        <v>#NAME?</v>
      </c>
      <c r="I518" t="e">
        <f ca="1">INDEX(CBIC_Late_Fee_Relief_Windows_1!$B$100:$B$518,MATCH(G518,CBIC_Late_Fee_Relief_Windows_1!$I$100:$I$518,0))</f>
        <v>#NAME?</v>
      </c>
    </row>
    <row r="519" spans="1:9" x14ac:dyDescent="0.55000000000000004">
      <c r="A519" t="str">
        <f>TEST_DATA!A519</f>
        <v>27AAAAA0519Z5</v>
      </c>
      <c r="B519" t="str">
        <f>TEST_DATA!B519</f>
        <v>Oct-2017</v>
      </c>
      <c r="C519">
        <f>TEST_DATA!C519</f>
        <v>42970</v>
      </c>
      <c r="D519" t="str">
        <f>TEST_DATA!D519</f>
        <v>NIL</v>
      </c>
      <c r="E519">
        <f>TEST_DATA!E519</f>
        <v>2044</v>
      </c>
      <c r="F519">
        <f>MIN(E519*51900,10000)</f>
        <v>10000</v>
      </c>
      <c r="G519" t="e">
        <f ca="1">_xludf.MINIFS(CBIC_Late_Fee_Relief_Windows_1!$I$100:$I$519,CBIC_Late_Fee_Relief_Windows_1!$D$100:$D$519,"&lt;="&amp;B519,CBIC_Late_Fee_Relief_Windows_1!$E$100:$E$519,"&gt;="&amp;B519,CBIC_Late_Fee_Relief_Windows_1!$F$100:$F$519,"&lt;="&amp;C519,CBIC_Late_Fee_Relief_Windows_1!$G$100:$G$519,"&gt;="&amp;C519,CBIC_Late_Fee_Relief_Windows_1!$H$100:$H$519,D519)</f>
        <v>#NAME?</v>
      </c>
      <c r="H519" t="e">
        <f t="shared" ca="1" si="8"/>
        <v>#NAME?</v>
      </c>
      <c r="I519" t="e">
        <f ca="1">INDEX(CBIC_Late_Fee_Relief_Windows_1!$B$100:$B$519,MATCH(G519,CBIC_Late_Fee_Relief_Windows_1!$I$100:$I$519,0))</f>
        <v>#NAME?</v>
      </c>
    </row>
    <row r="520" spans="1:9" x14ac:dyDescent="0.55000000000000004">
      <c r="A520" t="str">
        <f>TEST_DATA!A520</f>
        <v>27AAAAA0520Z5</v>
      </c>
      <c r="B520" t="str">
        <f>TEST_DATA!B520</f>
        <v>Jun-2019</v>
      </c>
      <c r="C520">
        <f>TEST_DATA!C520</f>
        <v>45051</v>
      </c>
      <c r="D520" t="str">
        <f>TEST_DATA!D520</f>
        <v>NIL</v>
      </c>
      <c r="E520">
        <f>TEST_DATA!E520</f>
        <v>1072</v>
      </c>
      <c r="F520">
        <f>MIN(E520*52000,10000)</f>
        <v>10000</v>
      </c>
      <c r="G520" t="e">
        <f ca="1">_xludf.MINIFS(CBIC_Late_Fee_Relief_Windows_1!$I$100:$I$520,CBIC_Late_Fee_Relief_Windows_1!$D$100:$D$520,"&lt;="&amp;B520,CBIC_Late_Fee_Relief_Windows_1!$E$100:$E$520,"&gt;="&amp;B520,CBIC_Late_Fee_Relief_Windows_1!$F$100:$F$520,"&lt;="&amp;C520,CBIC_Late_Fee_Relief_Windows_1!$G$100:$G$520,"&gt;="&amp;C520,CBIC_Late_Fee_Relief_Windows_1!$H$100:$H$520,D520)</f>
        <v>#NAME?</v>
      </c>
      <c r="H520" t="e">
        <f t="shared" ca="1" si="8"/>
        <v>#NAME?</v>
      </c>
      <c r="I520" t="e">
        <f ca="1">INDEX(CBIC_Late_Fee_Relief_Windows_1!$B$100:$B$520,MATCH(G520,CBIC_Late_Fee_Relief_Windows_1!$I$100:$I$520,0))</f>
        <v>#NAME?</v>
      </c>
    </row>
    <row r="521" spans="1:9" x14ac:dyDescent="0.55000000000000004">
      <c r="A521" t="str">
        <f>TEST_DATA!A521</f>
        <v>27AAAAA0521Z5</v>
      </c>
      <c r="B521" t="str">
        <f>TEST_DATA!B521</f>
        <v>Mar-2021</v>
      </c>
      <c r="C521">
        <f>TEST_DATA!C521</f>
        <v>44532</v>
      </c>
      <c r="D521" t="str">
        <f>TEST_DATA!D521</f>
        <v>NON-NIL</v>
      </c>
      <c r="E521">
        <f>TEST_DATA!E521</f>
        <v>878</v>
      </c>
      <c r="F521">
        <f>MIN(E521*52100,10000)</f>
        <v>10000</v>
      </c>
      <c r="G521" t="e">
        <f ca="1">_xludf.MINIFS(CBIC_Late_Fee_Relief_Windows_1!$I$100:$I$521,CBIC_Late_Fee_Relief_Windows_1!$D$100:$D$521,"&lt;="&amp;B521,CBIC_Late_Fee_Relief_Windows_1!$E$100:$E$521,"&gt;="&amp;B521,CBIC_Late_Fee_Relief_Windows_1!$F$100:$F$521,"&lt;="&amp;C521,CBIC_Late_Fee_Relief_Windows_1!$G$100:$G$521,"&gt;="&amp;C521,CBIC_Late_Fee_Relief_Windows_1!$H$100:$H$521,D521)</f>
        <v>#NAME?</v>
      </c>
      <c r="H521" t="e">
        <f t="shared" ca="1" si="8"/>
        <v>#NAME?</v>
      </c>
      <c r="I521" t="e">
        <f ca="1">INDEX(CBIC_Late_Fee_Relief_Windows_1!$B$100:$B$521,MATCH(G521,CBIC_Late_Fee_Relief_Windows_1!$I$100:$I$521,0))</f>
        <v>#NAME?</v>
      </c>
    </row>
    <row r="522" spans="1:9" x14ac:dyDescent="0.55000000000000004">
      <c r="A522" t="str">
        <f>TEST_DATA!A522</f>
        <v>27AAAAA0522Z5</v>
      </c>
      <c r="B522" t="str">
        <f>TEST_DATA!B522</f>
        <v>Apr-2020</v>
      </c>
      <c r="C522">
        <f>TEST_DATA!C522</f>
        <v>44415</v>
      </c>
      <c r="D522" t="str">
        <f>TEST_DATA!D522</f>
        <v>NON-NIL</v>
      </c>
      <c r="E522">
        <f>TEST_DATA!E522</f>
        <v>819</v>
      </c>
      <c r="F522">
        <f>MIN(E522*52200,10000)</f>
        <v>10000</v>
      </c>
      <c r="G522" t="e">
        <f ca="1">_xludf.MINIFS(CBIC_Late_Fee_Relief_Windows_1!$I$100:$I$522,CBIC_Late_Fee_Relief_Windows_1!$D$100:$D$522,"&lt;="&amp;B522,CBIC_Late_Fee_Relief_Windows_1!$E$100:$E$522,"&gt;="&amp;B522,CBIC_Late_Fee_Relief_Windows_1!$F$100:$F$522,"&lt;="&amp;C522,CBIC_Late_Fee_Relief_Windows_1!$G$100:$G$522,"&gt;="&amp;C522,CBIC_Late_Fee_Relief_Windows_1!$H$100:$H$522,D522)</f>
        <v>#NAME?</v>
      </c>
      <c r="H522" t="e">
        <f t="shared" ca="1" si="8"/>
        <v>#NAME?</v>
      </c>
      <c r="I522" t="e">
        <f ca="1">INDEX(CBIC_Late_Fee_Relief_Windows_1!$B$100:$B$522,MATCH(G522,CBIC_Late_Fee_Relief_Windows_1!$I$100:$I$522,0))</f>
        <v>#NAME?</v>
      </c>
    </row>
    <row r="523" spans="1:9" x14ac:dyDescent="0.55000000000000004">
      <c r="A523" t="str">
        <f>TEST_DATA!A523</f>
        <v>27AAAAA0523Z5</v>
      </c>
      <c r="B523" t="str">
        <f>TEST_DATA!B523</f>
        <v>Oct-2017</v>
      </c>
      <c r="C523">
        <f>TEST_DATA!C523</f>
        <v>43194</v>
      </c>
      <c r="D523" t="str">
        <f>TEST_DATA!D523</f>
        <v>NIL</v>
      </c>
      <c r="E523">
        <f>TEST_DATA!E523</f>
        <v>1851</v>
      </c>
      <c r="F523">
        <f>MIN(E523*52300,10000)</f>
        <v>10000</v>
      </c>
      <c r="G523" t="e">
        <f ca="1">_xludf.MINIFS(CBIC_Late_Fee_Relief_Windows_1!$I$100:$I$523,CBIC_Late_Fee_Relief_Windows_1!$D$100:$D$523,"&lt;="&amp;B523,CBIC_Late_Fee_Relief_Windows_1!$E$100:$E$523,"&gt;="&amp;B523,CBIC_Late_Fee_Relief_Windows_1!$F$100:$F$523,"&lt;="&amp;C523,CBIC_Late_Fee_Relief_Windows_1!$G$100:$G$523,"&gt;="&amp;C523,CBIC_Late_Fee_Relief_Windows_1!$H$100:$H$523,D523)</f>
        <v>#NAME?</v>
      </c>
      <c r="H523" t="e">
        <f t="shared" ca="1" si="8"/>
        <v>#NAME?</v>
      </c>
      <c r="I523" t="e">
        <f ca="1">INDEX(CBIC_Late_Fee_Relief_Windows_1!$B$100:$B$523,MATCH(G523,CBIC_Late_Fee_Relief_Windows_1!$I$100:$I$523,0))</f>
        <v>#NAME?</v>
      </c>
    </row>
    <row r="524" spans="1:9" x14ac:dyDescent="0.55000000000000004">
      <c r="A524" t="str">
        <f>TEST_DATA!A524</f>
        <v>27AAAAA0524Z5</v>
      </c>
      <c r="B524" t="str">
        <f>TEST_DATA!B524</f>
        <v>Dec-2017</v>
      </c>
      <c r="C524">
        <f>TEST_DATA!C524</f>
        <v>44377</v>
      </c>
      <c r="D524" t="str">
        <f>TEST_DATA!D524</f>
        <v>NON-NIL</v>
      </c>
      <c r="E524">
        <f>TEST_DATA!E524</f>
        <v>359</v>
      </c>
      <c r="F524">
        <f>MIN(E524*52400,10000)</f>
        <v>10000</v>
      </c>
      <c r="G524" t="e">
        <f ca="1">_xludf.MINIFS(CBIC_Late_Fee_Relief_Windows_1!$I$100:$I$524,CBIC_Late_Fee_Relief_Windows_1!$D$100:$D$524,"&lt;="&amp;B524,CBIC_Late_Fee_Relief_Windows_1!$E$100:$E$524,"&gt;="&amp;B524,CBIC_Late_Fee_Relief_Windows_1!$F$100:$F$524,"&lt;="&amp;C524,CBIC_Late_Fee_Relief_Windows_1!$G$100:$G$524,"&gt;="&amp;C524,CBIC_Late_Fee_Relief_Windows_1!$H$100:$H$524,D524)</f>
        <v>#NAME?</v>
      </c>
      <c r="H524" t="e">
        <f t="shared" ca="1" si="8"/>
        <v>#NAME?</v>
      </c>
      <c r="I524" t="e">
        <f ca="1">INDEX(CBIC_Late_Fee_Relief_Windows_1!$B$100:$B$524,MATCH(G524,CBIC_Late_Fee_Relief_Windows_1!$I$100:$I$524,0))</f>
        <v>#NAME?</v>
      </c>
    </row>
    <row r="525" spans="1:9" x14ac:dyDescent="0.55000000000000004">
      <c r="A525" t="str">
        <f>TEST_DATA!A525</f>
        <v>27AAAAA0525Z5</v>
      </c>
      <c r="B525" t="str">
        <f>TEST_DATA!B525</f>
        <v>Apr-2021</v>
      </c>
      <c r="C525">
        <f>TEST_DATA!C525</f>
        <v>44775</v>
      </c>
      <c r="D525" t="str">
        <f>TEST_DATA!D525</f>
        <v>NON-NIL</v>
      </c>
      <c r="E525">
        <f>TEST_DATA!E525</f>
        <v>2906</v>
      </c>
      <c r="F525">
        <f>MIN(E525*52500,10000)</f>
        <v>10000</v>
      </c>
      <c r="G525" t="e">
        <f ca="1">_xludf.MINIFS(CBIC_Late_Fee_Relief_Windows_1!$I$100:$I$525,CBIC_Late_Fee_Relief_Windows_1!$D$100:$D$525,"&lt;="&amp;B525,CBIC_Late_Fee_Relief_Windows_1!$E$100:$E$525,"&gt;="&amp;B525,CBIC_Late_Fee_Relief_Windows_1!$F$100:$F$525,"&lt;="&amp;C525,CBIC_Late_Fee_Relief_Windows_1!$G$100:$G$525,"&gt;="&amp;C525,CBIC_Late_Fee_Relief_Windows_1!$H$100:$H$525,D525)</f>
        <v>#NAME?</v>
      </c>
      <c r="H525" t="e">
        <f t="shared" ca="1" si="8"/>
        <v>#NAME?</v>
      </c>
      <c r="I525" t="e">
        <f ca="1">INDEX(CBIC_Late_Fee_Relief_Windows_1!$B$100:$B$525,MATCH(G525,CBIC_Late_Fee_Relief_Windows_1!$I$100:$I$525,0))</f>
        <v>#NAME?</v>
      </c>
    </row>
    <row r="526" spans="1:9" x14ac:dyDescent="0.55000000000000004">
      <c r="A526" t="str">
        <f>TEST_DATA!A526</f>
        <v>27AAAAA0526Z5</v>
      </c>
      <c r="B526" t="str">
        <f>TEST_DATA!B526</f>
        <v>Sep-2017</v>
      </c>
      <c r="C526">
        <f>TEST_DATA!C526</f>
        <v>44043</v>
      </c>
      <c r="D526" t="str">
        <f>TEST_DATA!D526</f>
        <v>NON-NIL</v>
      </c>
      <c r="E526">
        <f>TEST_DATA!E526</f>
        <v>1228</v>
      </c>
      <c r="F526">
        <f>MIN(E526*52600,10000)</f>
        <v>10000</v>
      </c>
      <c r="G526" t="e">
        <f ca="1">_xludf.MINIFS(CBIC_Late_Fee_Relief_Windows_1!$I$100:$I$526,CBIC_Late_Fee_Relief_Windows_1!$D$100:$D$526,"&lt;="&amp;B526,CBIC_Late_Fee_Relief_Windows_1!$E$100:$E$526,"&gt;="&amp;B526,CBIC_Late_Fee_Relief_Windows_1!$F$100:$F$526,"&lt;="&amp;C526,CBIC_Late_Fee_Relief_Windows_1!$G$100:$G$526,"&gt;="&amp;C526,CBIC_Late_Fee_Relief_Windows_1!$H$100:$H$526,D526)</f>
        <v>#NAME?</v>
      </c>
      <c r="H526" t="e">
        <f t="shared" ca="1" si="8"/>
        <v>#NAME?</v>
      </c>
      <c r="I526" t="e">
        <f ca="1">INDEX(CBIC_Late_Fee_Relief_Windows_1!$B$100:$B$526,MATCH(G526,CBIC_Late_Fee_Relief_Windows_1!$I$100:$I$526,0))</f>
        <v>#NAME?</v>
      </c>
    </row>
    <row r="527" spans="1:9" x14ac:dyDescent="0.55000000000000004">
      <c r="A527" t="str">
        <f>TEST_DATA!A527</f>
        <v>27AAAAA0527Z5</v>
      </c>
      <c r="B527" t="str">
        <f>TEST_DATA!B527</f>
        <v>Mar-2023</v>
      </c>
      <c r="C527">
        <f>TEST_DATA!C527</f>
        <v>44111</v>
      </c>
      <c r="D527" t="str">
        <f>TEST_DATA!D527</f>
        <v>NIL</v>
      </c>
      <c r="E527">
        <f>TEST_DATA!E527</f>
        <v>1480</v>
      </c>
      <c r="F527">
        <f>MIN(E527*52700,10000)</f>
        <v>10000</v>
      </c>
      <c r="G527" t="e">
        <f ca="1">_xludf.MINIFS(CBIC_Late_Fee_Relief_Windows_1!$I$100:$I$527,CBIC_Late_Fee_Relief_Windows_1!$D$100:$D$527,"&lt;="&amp;B527,CBIC_Late_Fee_Relief_Windows_1!$E$100:$E$527,"&gt;="&amp;B527,CBIC_Late_Fee_Relief_Windows_1!$F$100:$F$527,"&lt;="&amp;C527,CBIC_Late_Fee_Relief_Windows_1!$G$100:$G$527,"&gt;="&amp;C527,CBIC_Late_Fee_Relief_Windows_1!$H$100:$H$527,D527)</f>
        <v>#NAME?</v>
      </c>
      <c r="H527" t="e">
        <f t="shared" ca="1" si="8"/>
        <v>#NAME?</v>
      </c>
      <c r="I527" t="e">
        <f ca="1">INDEX(CBIC_Late_Fee_Relief_Windows_1!$B$100:$B$527,MATCH(G527,CBIC_Late_Fee_Relief_Windows_1!$I$100:$I$527,0))</f>
        <v>#NAME?</v>
      </c>
    </row>
    <row r="528" spans="1:9" x14ac:dyDescent="0.55000000000000004">
      <c r="A528" t="str">
        <f>TEST_DATA!A528</f>
        <v>27AAAAA0528Z5</v>
      </c>
      <c r="B528" t="str">
        <f>TEST_DATA!B528</f>
        <v>Jun-2019</v>
      </c>
      <c r="C528">
        <f>TEST_DATA!C528</f>
        <v>44384</v>
      </c>
      <c r="D528" t="str">
        <f>TEST_DATA!D528</f>
        <v>NIL</v>
      </c>
      <c r="E528">
        <f>TEST_DATA!E528</f>
        <v>823</v>
      </c>
      <c r="F528">
        <f>MIN(E528*52800,10000)</f>
        <v>10000</v>
      </c>
      <c r="G528" t="e">
        <f ca="1">_xludf.MINIFS(CBIC_Late_Fee_Relief_Windows_1!$I$100:$I$528,CBIC_Late_Fee_Relief_Windows_1!$D$100:$D$528,"&lt;="&amp;B528,CBIC_Late_Fee_Relief_Windows_1!$E$100:$E$528,"&gt;="&amp;B528,CBIC_Late_Fee_Relief_Windows_1!$F$100:$F$528,"&lt;="&amp;C528,CBIC_Late_Fee_Relief_Windows_1!$G$100:$G$528,"&gt;="&amp;C528,CBIC_Late_Fee_Relief_Windows_1!$H$100:$H$528,D528)</f>
        <v>#NAME?</v>
      </c>
      <c r="H528" t="e">
        <f t="shared" ca="1" si="8"/>
        <v>#NAME?</v>
      </c>
      <c r="I528" t="e">
        <f ca="1">INDEX(CBIC_Late_Fee_Relief_Windows_1!$B$100:$B$528,MATCH(G528,CBIC_Late_Fee_Relief_Windows_1!$I$100:$I$528,0))</f>
        <v>#NAME?</v>
      </c>
    </row>
    <row r="529" spans="1:9" x14ac:dyDescent="0.55000000000000004">
      <c r="A529" t="str">
        <f>TEST_DATA!A529</f>
        <v>27AAAAA0529Z5</v>
      </c>
      <c r="B529" t="str">
        <f>TEST_DATA!B529</f>
        <v>Apr-2021</v>
      </c>
      <c r="C529">
        <f>TEST_DATA!C529</f>
        <v>44034</v>
      </c>
      <c r="D529" t="str">
        <f>TEST_DATA!D529</f>
        <v>NIL</v>
      </c>
      <c r="E529">
        <f>TEST_DATA!E529</f>
        <v>2023</v>
      </c>
      <c r="F529">
        <f>MIN(E529*52900,10000)</f>
        <v>10000</v>
      </c>
      <c r="G529" t="e">
        <f ca="1">_xludf.MINIFS(CBIC_Late_Fee_Relief_Windows_1!$I$100:$I$529,CBIC_Late_Fee_Relief_Windows_1!$D$100:$D$529,"&lt;="&amp;B529,CBIC_Late_Fee_Relief_Windows_1!$E$100:$E$529,"&gt;="&amp;B529,CBIC_Late_Fee_Relief_Windows_1!$F$100:$F$529,"&lt;="&amp;C529,CBIC_Late_Fee_Relief_Windows_1!$G$100:$G$529,"&gt;="&amp;C529,CBIC_Late_Fee_Relief_Windows_1!$H$100:$H$529,D529)</f>
        <v>#NAME?</v>
      </c>
      <c r="H529" t="e">
        <f t="shared" ca="1" si="8"/>
        <v>#NAME?</v>
      </c>
      <c r="I529" t="e">
        <f ca="1">INDEX(CBIC_Late_Fee_Relief_Windows_1!$B$100:$B$529,MATCH(G529,CBIC_Late_Fee_Relief_Windows_1!$I$100:$I$529,0))</f>
        <v>#NAME?</v>
      </c>
    </row>
    <row r="530" spans="1:9" x14ac:dyDescent="0.55000000000000004">
      <c r="A530" t="str">
        <f>TEST_DATA!A530</f>
        <v>27AAAAA0530Z5</v>
      </c>
      <c r="B530" t="str">
        <f>TEST_DATA!B530</f>
        <v>Jul-2017</v>
      </c>
      <c r="C530">
        <f>TEST_DATA!C530</f>
        <v>43656</v>
      </c>
      <c r="D530" t="str">
        <f>TEST_DATA!D530</f>
        <v>NON-NIL</v>
      </c>
      <c r="E530">
        <f>TEST_DATA!E530</f>
        <v>1914</v>
      </c>
      <c r="F530">
        <f>MIN(E530*53000,10000)</f>
        <v>10000</v>
      </c>
      <c r="G530" t="e">
        <f ca="1">_xludf.MINIFS(CBIC_Late_Fee_Relief_Windows_1!$I$100:$I$530,CBIC_Late_Fee_Relief_Windows_1!$D$100:$D$530,"&lt;="&amp;B530,CBIC_Late_Fee_Relief_Windows_1!$E$100:$E$530,"&gt;="&amp;B530,CBIC_Late_Fee_Relief_Windows_1!$F$100:$F$530,"&lt;="&amp;C530,CBIC_Late_Fee_Relief_Windows_1!$G$100:$G$530,"&gt;="&amp;C530,CBIC_Late_Fee_Relief_Windows_1!$H$100:$H$530,D530)</f>
        <v>#NAME?</v>
      </c>
      <c r="H530" t="e">
        <f t="shared" ca="1" si="8"/>
        <v>#NAME?</v>
      </c>
      <c r="I530" t="e">
        <f ca="1">INDEX(CBIC_Late_Fee_Relief_Windows_1!$B$100:$B$530,MATCH(G530,CBIC_Late_Fee_Relief_Windows_1!$I$100:$I$530,0))</f>
        <v>#NAME?</v>
      </c>
    </row>
    <row r="531" spans="1:9" x14ac:dyDescent="0.55000000000000004">
      <c r="A531" t="str">
        <f>TEST_DATA!A531</f>
        <v>27AAAAA0531Z5</v>
      </c>
      <c r="B531" t="str">
        <f>TEST_DATA!B531</f>
        <v>Apr-2021</v>
      </c>
      <c r="C531">
        <f>TEST_DATA!C531</f>
        <v>45725</v>
      </c>
      <c r="D531" t="str">
        <f>TEST_DATA!D531</f>
        <v>NIL</v>
      </c>
      <c r="E531">
        <f>TEST_DATA!E531</f>
        <v>2506</v>
      </c>
      <c r="F531">
        <f>MIN(E531*53100,10000)</f>
        <v>10000</v>
      </c>
      <c r="G531" t="e">
        <f ca="1">_xludf.MINIFS(CBIC_Late_Fee_Relief_Windows_1!$I$100:$I$531,CBIC_Late_Fee_Relief_Windows_1!$D$100:$D$531,"&lt;="&amp;B531,CBIC_Late_Fee_Relief_Windows_1!$E$100:$E$531,"&gt;="&amp;B531,CBIC_Late_Fee_Relief_Windows_1!$F$100:$F$531,"&lt;="&amp;C531,CBIC_Late_Fee_Relief_Windows_1!$G$100:$G$531,"&gt;="&amp;C531,CBIC_Late_Fee_Relief_Windows_1!$H$100:$H$531,D531)</f>
        <v>#NAME?</v>
      </c>
      <c r="H531" t="e">
        <f t="shared" ca="1" si="8"/>
        <v>#NAME?</v>
      </c>
      <c r="I531" t="e">
        <f ca="1">INDEX(CBIC_Late_Fee_Relief_Windows_1!$B$100:$B$531,MATCH(G531,CBIC_Late_Fee_Relief_Windows_1!$I$100:$I$531,0))</f>
        <v>#NAME?</v>
      </c>
    </row>
    <row r="532" spans="1:9" x14ac:dyDescent="0.55000000000000004">
      <c r="A532" t="str">
        <f>TEST_DATA!A532</f>
        <v>27AAAAA0532Z5</v>
      </c>
      <c r="B532" t="str">
        <f>TEST_DATA!B532</f>
        <v>Dec-2024</v>
      </c>
      <c r="C532">
        <f>TEST_DATA!C532</f>
        <v>43819</v>
      </c>
      <c r="D532" t="str">
        <f>TEST_DATA!D532</f>
        <v>NIL</v>
      </c>
      <c r="E532">
        <f>TEST_DATA!E532</f>
        <v>1266</v>
      </c>
      <c r="F532">
        <f>MIN(E532*53200,10000)</f>
        <v>10000</v>
      </c>
      <c r="G532" t="e">
        <f ca="1">_xludf.MINIFS(CBIC_Late_Fee_Relief_Windows_1!$I$100:$I$532,CBIC_Late_Fee_Relief_Windows_1!$D$100:$D$532,"&lt;="&amp;B532,CBIC_Late_Fee_Relief_Windows_1!$E$100:$E$532,"&gt;="&amp;B532,CBIC_Late_Fee_Relief_Windows_1!$F$100:$F$532,"&lt;="&amp;C532,CBIC_Late_Fee_Relief_Windows_1!$G$100:$G$532,"&gt;="&amp;C532,CBIC_Late_Fee_Relief_Windows_1!$H$100:$H$532,D532)</f>
        <v>#NAME?</v>
      </c>
      <c r="H532" t="e">
        <f t="shared" ca="1" si="8"/>
        <v>#NAME?</v>
      </c>
      <c r="I532" t="e">
        <f ca="1">INDEX(CBIC_Late_Fee_Relief_Windows_1!$B$100:$B$532,MATCH(G532,CBIC_Late_Fee_Relief_Windows_1!$I$100:$I$532,0))</f>
        <v>#NAME?</v>
      </c>
    </row>
    <row r="533" spans="1:9" x14ac:dyDescent="0.55000000000000004">
      <c r="A533" t="str">
        <f>TEST_DATA!A533</f>
        <v>27AAAAA0533Z5</v>
      </c>
      <c r="B533" t="str">
        <f>TEST_DATA!B533</f>
        <v>Jul-2018</v>
      </c>
      <c r="C533">
        <f>TEST_DATA!C533</f>
        <v>44385</v>
      </c>
      <c r="D533" t="str">
        <f>TEST_DATA!D533</f>
        <v>NON-NIL</v>
      </c>
      <c r="E533">
        <f>TEST_DATA!E533</f>
        <v>2153</v>
      </c>
      <c r="F533">
        <f>MIN(E533*53300,10000)</f>
        <v>10000</v>
      </c>
      <c r="G533" t="e">
        <f ca="1">_xludf.MINIFS(CBIC_Late_Fee_Relief_Windows_1!$I$100:$I$533,CBIC_Late_Fee_Relief_Windows_1!$D$100:$D$533,"&lt;="&amp;B533,CBIC_Late_Fee_Relief_Windows_1!$E$100:$E$533,"&gt;="&amp;B533,CBIC_Late_Fee_Relief_Windows_1!$F$100:$F$533,"&lt;="&amp;C533,CBIC_Late_Fee_Relief_Windows_1!$G$100:$G$533,"&gt;="&amp;C533,CBIC_Late_Fee_Relief_Windows_1!$H$100:$H$533,D533)</f>
        <v>#NAME?</v>
      </c>
      <c r="H533" t="e">
        <f t="shared" ca="1" si="8"/>
        <v>#NAME?</v>
      </c>
      <c r="I533" t="e">
        <f ca="1">INDEX(CBIC_Late_Fee_Relief_Windows_1!$B$100:$B$533,MATCH(G533,CBIC_Late_Fee_Relief_Windows_1!$I$100:$I$533,0))</f>
        <v>#NAME?</v>
      </c>
    </row>
    <row r="534" spans="1:9" x14ac:dyDescent="0.55000000000000004">
      <c r="A534" t="str">
        <f>TEST_DATA!A534</f>
        <v>27AAAAA0534Z5</v>
      </c>
      <c r="B534" t="str">
        <f>TEST_DATA!B534</f>
        <v>Aug-2018</v>
      </c>
      <c r="C534">
        <f>TEST_DATA!C534</f>
        <v>44492</v>
      </c>
      <c r="D534" t="str">
        <f>TEST_DATA!D534</f>
        <v>NON-NIL</v>
      </c>
      <c r="E534">
        <f>TEST_DATA!E534</f>
        <v>2354</v>
      </c>
      <c r="F534">
        <f>MIN(E534*53400,10000)</f>
        <v>10000</v>
      </c>
      <c r="G534" t="e">
        <f ca="1">_xludf.MINIFS(CBIC_Late_Fee_Relief_Windows_1!$I$100:$I$534,CBIC_Late_Fee_Relief_Windows_1!$D$100:$D$534,"&lt;="&amp;B534,CBIC_Late_Fee_Relief_Windows_1!$E$100:$E$534,"&gt;="&amp;B534,CBIC_Late_Fee_Relief_Windows_1!$F$100:$F$534,"&lt;="&amp;C534,CBIC_Late_Fee_Relief_Windows_1!$G$100:$G$534,"&gt;="&amp;C534,CBIC_Late_Fee_Relief_Windows_1!$H$100:$H$534,D534)</f>
        <v>#NAME?</v>
      </c>
      <c r="H534" t="e">
        <f t="shared" ca="1" si="8"/>
        <v>#NAME?</v>
      </c>
      <c r="I534" t="e">
        <f ca="1">INDEX(CBIC_Late_Fee_Relief_Windows_1!$B$100:$B$534,MATCH(G534,CBIC_Late_Fee_Relief_Windows_1!$I$100:$I$534,0))</f>
        <v>#NAME?</v>
      </c>
    </row>
    <row r="535" spans="1:9" x14ac:dyDescent="0.55000000000000004">
      <c r="A535" t="str">
        <f>TEST_DATA!A535</f>
        <v>27AAAAA0535Z5</v>
      </c>
      <c r="B535" t="str">
        <f>TEST_DATA!B535</f>
        <v>Sep-2017</v>
      </c>
      <c r="C535">
        <f>TEST_DATA!C535</f>
        <v>43173</v>
      </c>
      <c r="D535" t="str">
        <f>TEST_DATA!D535</f>
        <v>NON-NIL</v>
      </c>
      <c r="E535">
        <f>TEST_DATA!E535</f>
        <v>2631</v>
      </c>
      <c r="F535">
        <f>MIN(E535*53500,10000)</f>
        <v>10000</v>
      </c>
      <c r="G535" t="e">
        <f ca="1">_xludf.MINIFS(CBIC_Late_Fee_Relief_Windows_1!$I$100:$I$535,CBIC_Late_Fee_Relief_Windows_1!$D$100:$D$535,"&lt;="&amp;B535,CBIC_Late_Fee_Relief_Windows_1!$E$100:$E$535,"&gt;="&amp;B535,CBIC_Late_Fee_Relief_Windows_1!$F$100:$F$535,"&lt;="&amp;C535,CBIC_Late_Fee_Relief_Windows_1!$G$100:$G$535,"&gt;="&amp;C535,CBIC_Late_Fee_Relief_Windows_1!$H$100:$H$535,D535)</f>
        <v>#NAME?</v>
      </c>
      <c r="H535" t="e">
        <f t="shared" ca="1" si="8"/>
        <v>#NAME?</v>
      </c>
      <c r="I535" t="e">
        <f ca="1">INDEX(CBIC_Late_Fee_Relief_Windows_1!$B$100:$B$535,MATCH(G535,CBIC_Late_Fee_Relief_Windows_1!$I$100:$I$535,0))</f>
        <v>#NAME?</v>
      </c>
    </row>
    <row r="536" spans="1:9" x14ac:dyDescent="0.55000000000000004">
      <c r="A536" t="str">
        <f>TEST_DATA!A536</f>
        <v>27AAAAA0536Z5</v>
      </c>
      <c r="B536" t="str">
        <f>TEST_DATA!B536</f>
        <v>Sep-2017</v>
      </c>
      <c r="C536">
        <f>TEST_DATA!C536</f>
        <v>43838</v>
      </c>
      <c r="D536" t="str">
        <f>TEST_DATA!D536</f>
        <v>NON-NIL</v>
      </c>
      <c r="E536">
        <f>TEST_DATA!E536</f>
        <v>2785</v>
      </c>
      <c r="F536">
        <f>MIN(E536*53600,10000)</f>
        <v>10000</v>
      </c>
      <c r="G536" t="e">
        <f ca="1">_xludf.MINIFS(CBIC_Late_Fee_Relief_Windows_1!$I$100:$I$536,CBIC_Late_Fee_Relief_Windows_1!$D$100:$D$536,"&lt;="&amp;B536,CBIC_Late_Fee_Relief_Windows_1!$E$100:$E$536,"&gt;="&amp;B536,CBIC_Late_Fee_Relief_Windows_1!$F$100:$F$536,"&lt;="&amp;C536,CBIC_Late_Fee_Relief_Windows_1!$G$100:$G$536,"&gt;="&amp;C536,CBIC_Late_Fee_Relief_Windows_1!$H$100:$H$536,D536)</f>
        <v>#NAME?</v>
      </c>
      <c r="H536" t="e">
        <f t="shared" ca="1" si="8"/>
        <v>#NAME?</v>
      </c>
      <c r="I536" t="e">
        <f ca="1">INDEX(CBIC_Late_Fee_Relief_Windows_1!$B$100:$B$536,MATCH(G536,CBIC_Late_Fee_Relief_Windows_1!$I$100:$I$536,0))</f>
        <v>#NAME?</v>
      </c>
    </row>
    <row r="537" spans="1:9" x14ac:dyDescent="0.55000000000000004">
      <c r="A537" t="str">
        <f>TEST_DATA!A537</f>
        <v>27AAAAA0537Z5</v>
      </c>
      <c r="B537" t="str">
        <f>TEST_DATA!B537</f>
        <v>Jun-2019</v>
      </c>
      <c r="C537">
        <f>TEST_DATA!C537</f>
        <v>44877</v>
      </c>
      <c r="D537" t="str">
        <f>TEST_DATA!D537</f>
        <v>NIL</v>
      </c>
      <c r="E537">
        <f>TEST_DATA!E537</f>
        <v>2258</v>
      </c>
      <c r="F537">
        <f>MIN(E537*53700,10000)</f>
        <v>10000</v>
      </c>
      <c r="G537" t="e">
        <f ca="1">_xludf.MINIFS(CBIC_Late_Fee_Relief_Windows_1!$I$100:$I$537,CBIC_Late_Fee_Relief_Windows_1!$D$100:$D$537,"&lt;="&amp;B537,CBIC_Late_Fee_Relief_Windows_1!$E$100:$E$537,"&gt;="&amp;B537,CBIC_Late_Fee_Relief_Windows_1!$F$100:$F$537,"&lt;="&amp;C537,CBIC_Late_Fee_Relief_Windows_1!$G$100:$G$537,"&gt;="&amp;C537,CBIC_Late_Fee_Relief_Windows_1!$H$100:$H$537,D537)</f>
        <v>#NAME?</v>
      </c>
      <c r="H537" t="e">
        <f t="shared" ca="1" si="8"/>
        <v>#NAME?</v>
      </c>
      <c r="I537" t="e">
        <f ca="1">INDEX(CBIC_Late_Fee_Relief_Windows_1!$B$100:$B$537,MATCH(G537,CBIC_Late_Fee_Relief_Windows_1!$I$100:$I$537,0))</f>
        <v>#NAME?</v>
      </c>
    </row>
    <row r="538" spans="1:9" x14ac:dyDescent="0.55000000000000004">
      <c r="A538" t="str">
        <f>TEST_DATA!A538</f>
        <v>27AAAAA0538Z5</v>
      </c>
      <c r="B538" t="str">
        <f>TEST_DATA!B538</f>
        <v>May-2020</v>
      </c>
      <c r="C538">
        <f>TEST_DATA!C538</f>
        <v>44203</v>
      </c>
      <c r="D538" t="str">
        <f>TEST_DATA!D538</f>
        <v>NIL</v>
      </c>
      <c r="E538">
        <f>TEST_DATA!E538</f>
        <v>1772</v>
      </c>
      <c r="F538">
        <f>MIN(E538*53800,10000)</f>
        <v>10000</v>
      </c>
      <c r="G538" t="e">
        <f ca="1">_xludf.MINIFS(CBIC_Late_Fee_Relief_Windows_1!$I$100:$I$538,CBIC_Late_Fee_Relief_Windows_1!$D$100:$D$538,"&lt;="&amp;B538,CBIC_Late_Fee_Relief_Windows_1!$E$100:$E$538,"&gt;="&amp;B538,CBIC_Late_Fee_Relief_Windows_1!$F$100:$F$538,"&lt;="&amp;C538,CBIC_Late_Fee_Relief_Windows_1!$G$100:$G$538,"&gt;="&amp;C538,CBIC_Late_Fee_Relief_Windows_1!$H$100:$H$538,D538)</f>
        <v>#NAME?</v>
      </c>
      <c r="H538" t="e">
        <f t="shared" ca="1" si="8"/>
        <v>#NAME?</v>
      </c>
      <c r="I538" t="e">
        <f ca="1">INDEX(CBIC_Late_Fee_Relief_Windows_1!$B$100:$B$538,MATCH(G538,CBIC_Late_Fee_Relief_Windows_1!$I$100:$I$538,0))</f>
        <v>#NAME?</v>
      </c>
    </row>
    <row r="539" spans="1:9" x14ac:dyDescent="0.55000000000000004">
      <c r="A539" t="str">
        <f>TEST_DATA!A539</f>
        <v>27AAAAA0539Z5</v>
      </c>
      <c r="B539" t="str">
        <f>TEST_DATA!B539</f>
        <v>Jun-2019</v>
      </c>
      <c r="C539">
        <f>TEST_DATA!C539</f>
        <v>43692</v>
      </c>
      <c r="D539" t="str">
        <f>TEST_DATA!D539</f>
        <v>NIL</v>
      </c>
      <c r="E539">
        <f>TEST_DATA!E539</f>
        <v>2122</v>
      </c>
      <c r="F539">
        <f>MIN(E539*53900,10000)</f>
        <v>10000</v>
      </c>
      <c r="G539" t="e">
        <f ca="1">_xludf.MINIFS(CBIC_Late_Fee_Relief_Windows_1!$I$100:$I$539,CBIC_Late_Fee_Relief_Windows_1!$D$100:$D$539,"&lt;="&amp;B539,CBIC_Late_Fee_Relief_Windows_1!$E$100:$E$539,"&gt;="&amp;B539,CBIC_Late_Fee_Relief_Windows_1!$F$100:$F$539,"&lt;="&amp;C539,CBIC_Late_Fee_Relief_Windows_1!$G$100:$G$539,"&gt;="&amp;C539,CBIC_Late_Fee_Relief_Windows_1!$H$100:$H$539,D539)</f>
        <v>#NAME?</v>
      </c>
      <c r="H539" t="e">
        <f t="shared" ca="1" si="8"/>
        <v>#NAME?</v>
      </c>
      <c r="I539" t="e">
        <f ca="1">INDEX(CBIC_Late_Fee_Relief_Windows_1!$B$100:$B$539,MATCH(G539,CBIC_Late_Fee_Relief_Windows_1!$I$100:$I$539,0))</f>
        <v>#NAME?</v>
      </c>
    </row>
    <row r="540" spans="1:9" x14ac:dyDescent="0.55000000000000004">
      <c r="A540" t="str">
        <f>TEST_DATA!A540</f>
        <v>27AAAAA0540Z5</v>
      </c>
      <c r="B540" t="str">
        <f>TEST_DATA!B540</f>
        <v>Nov-2017</v>
      </c>
      <c r="C540">
        <f>TEST_DATA!C540</f>
        <v>43539</v>
      </c>
      <c r="D540" t="str">
        <f>TEST_DATA!D540</f>
        <v>NIL</v>
      </c>
      <c r="E540">
        <f>TEST_DATA!E540</f>
        <v>663</v>
      </c>
      <c r="F540">
        <f>MIN(E540*54000,10000)</f>
        <v>10000</v>
      </c>
      <c r="G540" t="e">
        <f ca="1">_xludf.MINIFS(CBIC_Late_Fee_Relief_Windows_1!$I$100:$I$540,CBIC_Late_Fee_Relief_Windows_1!$D$100:$D$540,"&lt;="&amp;B540,CBIC_Late_Fee_Relief_Windows_1!$E$100:$E$540,"&gt;="&amp;B540,CBIC_Late_Fee_Relief_Windows_1!$F$100:$F$540,"&lt;="&amp;C540,CBIC_Late_Fee_Relief_Windows_1!$G$100:$G$540,"&gt;="&amp;C540,CBIC_Late_Fee_Relief_Windows_1!$H$100:$H$540,D540)</f>
        <v>#NAME?</v>
      </c>
      <c r="H540" t="e">
        <f t="shared" ca="1" si="8"/>
        <v>#NAME?</v>
      </c>
      <c r="I540" t="e">
        <f ca="1">INDEX(CBIC_Late_Fee_Relief_Windows_1!$B$100:$B$540,MATCH(G540,CBIC_Late_Fee_Relief_Windows_1!$I$100:$I$540,0))</f>
        <v>#NAME?</v>
      </c>
    </row>
    <row r="541" spans="1:9" x14ac:dyDescent="0.55000000000000004">
      <c r="A541" t="str">
        <f>TEST_DATA!A541</f>
        <v>27AAAAA0541Z5</v>
      </c>
      <c r="B541" t="str">
        <f>TEST_DATA!B541</f>
        <v>May-2018</v>
      </c>
      <c r="C541">
        <f>TEST_DATA!C541</f>
        <v>44369</v>
      </c>
      <c r="D541" t="str">
        <f>TEST_DATA!D541</f>
        <v>NIL</v>
      </c>
      <c r="E541">
        <f>TEST_DATA!E541</f>
        <v>1417</v>
      </c>
      <c r="F541">
        <f>MIN(E541*54100,10000)</f>
        <v>10000</v>
      </c>
      <c r="G541" t="e">
        <f ca="1">_xludf.MINIFS(CBIC_Late_Fee_Relief_Windows_1!$I$100:$I$541,CBIC_Late_Fee_Relief_Windows_1!$D$100:$D$541,"&lt;="&amp;B541,CBIC_Late_Fee_Relief_Windows_1!$E$100:$E$541,"&gt;="&amp;B541,CBIC_Late_Fee_Relief_Windows_1!$F$100:$F$541,"&lt;="&amp;C541,CBIC_Late_Fee_Relief_Windows_1!$G$100:$G$541,"&gt;="&amp;C541,CBIC_Late_Fee_Relief_Windows_1!$H$100:$H$541,D541)</f>
        <v>#NAME?</v>
      </c>
      <c r="H541" t="e">
        <f t="shared" ca="1" si="8"/>
        <v>#NAME?</v>
      </c>
      <c r="I541" t="e">
        <f ca="1">INDEX(CBIC_Late_Fee_Relief_Windows_1!$B$100:$B$541,MATCH(G541,CBIC_Late_Fee_Relief_Windows_1!$I$100:$I$541,0))</f>
        <v>#NAME?</v>
      </c>
    </row>
    <row r="542" spans="1:9" x14ac:dyDescent="0.55000000000000004">
      <c r="A542" t="str">
        <f>TEST_DATA!A542</f>
        <v>27AAAAA0542Z5</v>
      </c>
      <c r="B542" t="str">
        <f>TEST_DATA!B542</f>
        <v>Jun-2019</v>
      </c>
      <c r="C542">
        <f>TEST_DATA!C542</f>
        <v>44629</v>
      </c>
      <c r="D542" t="str">
        <f>TEST_DATA!D542</f>
        <v>NIL</v>
      </c>
      <c r="E542">
        <f>TEST_DATA!E542</f>
        <v>1026</v>
      </c>
      <c r="F542">
        <f>MIN(E542*54200,10000)</f>
        <v>10000</v>
      </c>
      <c r="G542" t="e">
        <f ca="1">_xludf.MINIFS(CBIC_Late_Fee_Relief_Windows_1!$I$100:$I$542,CBIC_Late_Fee_Relief_Windows_1!$D$100:$D$542,"&lt;="&amp;B542,CBIC_Late_Fee_Relief_Windows_1!$E$100:$E$542,"&gt;="&amp;B542,CBIC_Late_Fee_Relief_Windows_1!$F$100:$F$542,"&lt;="&amp;C542,CBIC_Late_Fee_Relief_Windows_1!$G$100:$G$542,"&gt;="&amp;C542,CBIC_Late_Fee_Relief_Windows_1!$H$100:$H$542,D542)</f>
        <v>#NAME?</v>
      </c>
      <c r="H542" t="e">
        <f t="shared" ca="1" si="8"/>
        <v>#NAME?</v>
      </c>
      <c r="I542" t="e">
        <f ca="1">INDEX(CBIC_Late_Fee_Relief_Windows_1!$B$100:$B$542,MATCH(G542,CBIC_Late_Fee_Relief_Windows_1!$I$100:$I$542,0))</f>
        <v>#NAME?</v>
      </c>
    </row>
    <row r="543" spans="1:9" x14ac:dyDescent="0.55000000000000004">
      <c r="A543" t="str">
        <f>TEST_DATA!A543</f>
        <v>27AAAAA0543Z5</v>
      </c>
      <c r="B543" t="str">
        <f>TEST_DATA!B543</f>
        <v>Jan-2018</v>
      </c>
      <c r="C543">
        <f>TEST_DATA!C543</f>
        <v>44217</v>
      </c>
      <c r="D543" t="str">
        <f>TEST_DATA!D543</f>
        <v>NON-NIL</v>
      </c>
      <c r="E543">
        <f>TEST_DATA!E543</f>
        <v>512</v>
      </c>
      <c r="F543">
        <f>MIN(E543*54300,10000)</f>
        <v>10000</v>
      </c>
      <c r="G543" t="e">
        <f ca="1">_xludf.MINIFS(CBIC_Late_Fee_Relief_Windows_1!$I$100:$I$543,CBIC_Late_Fee_Relief_Windows_1!$D$100:$D$543,"&lt;="&amp;B543,CBIC_Late_Fee_Relief_Windows_1!$E$100:$E$543,"&gt;="&amp;B543,CBIC_Late_Fee_Relief_Windows_1!$F$100:$F$543,"&lt;="&amp;C543,CBIC_Late_Fee_Relief_Windows_1!$G$100:$G$543,"&gt;="&amp;C543,CBIC_Late_Fee_Relief_Windows_1!$H$100:$H$543,D543)</f>
        <v>#NAME?</v>
      </c>
      <c r="H543" t="e">
        <f t="shared" ca="1" si="8"/>
        <v>#NAME?</v>
      </c>
      <c r="I543" t="e">
        <f ca="1">INDEX(CBIC_Late_Fee_Relief_Windows_1!$B$100:$B$543,MATCH(G543,CBIC_Late_Fee_Relief_Windows_1!$I$100:$I$543,0))</f>
        <v>#NAME?</v>
      </c>
    </row>
    <row r="544" spans="1:9" x14ac:dyDescent="0.55000000000000004">
      <c r="A544" t="str">
        <f>TEST_DATA!A544</f>
        <v>27AAAAA0544Z5</v>
      </c>
      <c r="B544" t="str">
        <f>TEST_DATA!B544</f>
        <v>May-2020</v>
      </c>
      <c r="C544">
        <f>TEST_DATA!C544</f>
        <v>44451</v>
      </c>
      <c r="D544" t="str">
        <f>TEST_DATA!D544</f>
        <v>NIL</v>
      </c>
      <c r="E544">
        <f>TEST_DATA!E544</f>
        <v>2058</v>
      </c>
      <c r="F544">
        <f>MIN(E544*54400,10000)</f>
        <v>10000</v>
      </c>
      <c r="G544" t="e">
        <f ca="1">_xludf.MINIFS(CBIC_Late_Fee_Relief_Windows_1!$I$100:$I$544,CBIC_Late_Fee_Relief_Windows_1!$D$100:$D$544,"&lt;="&amp;B544,CBIC_Late_Fee_Relief_Windows_1!$E$100:$E$544,"&gt;="&amp;B544,CBIC_Late_Fee_Relief_Windows_1!$F$100:$F$544,"&lt;="&amp;C544,CBIC_Late_Fee_Relief_Windows_1!$G$100:$G$544,"&gt;="&amp;C544,CBIC_Late_Fee_Relief_Windows_1!$H$100:$H$544,D544)</f>
        <v>#NAME?</v>
      </c>
      <c r="H544" t="e">
        <f t="shared" ca="1" si="8"/>
        <v>#NAME?</v>
      </c>
      <c r="I544" t="e">
        <f ca="1">INDEX(CBIC_Late_Fee_Relief_Windows_1!$B$100:$B$544,MATCH(G544,CBIC_Late_Fee_Relief_Windows_1!$I$100:$I$544,0))</f>
        <v>#NAME?</v>
      </c>
    </row>
    <row r="545" spans="1:9" x14ac:dyDescent="0.55000000000000004">
      <c r="A545" t="str">
        <f>TEST_DATA!A545</f>
        <v>27AAAAA0545Z5</v>
      </c>
      <c r="B545" t="str">
        <f>TEST_DATA!B545</f>
        <v>May-2020</v>
      </c>
      <c r="C545">
        <f>TEST_DATA!C545</f>
        <v>44176</v>
      </c>
      <c r="D545" t="str">
        <f>TEST_DATA!D545</f>
        <v>NIL</v>
      </c>
      <c r="E545">
        <f>TEST_DATA!E545</f>
        <v>701</v>
      </c>
      <c r="F545">
        <f>MIN(E545*54500,10000)</f>
        <v>10000</v>
      </c>
      <c r="G545" t="e">
        <f ca="1">_xludf.MINIFS(CBIC_Late_Fee_Relief_Windows_1!$I$100:$I$545,CBIC_Late_Fee_Relief_Windows_1!$D$100:$D$545,"&lt;="&amp;B545,CBIC_Late_Fee_Relief_Windows_1!$E$100:$E$545,"&gt;="&amp;B545,CBIC_Late_Fee_Relief_Windows_1!$F$100:$F$545,"&lt;="&amp;C545,CBIC_Late_Fee_Relief_Windows_1!$G$100:$G$545,"&gt;="&amp;C545,CBIC_Late_Fee_Relief_Windows_1!$H$100:$H$545,D545)</f>
        <v>#NAME?</v>
      </c>
      <c r="H545" t="e">
        <f t="shared" ca="1" si="8"/>
        <v>#NAME?</v>
      </c>
      <c r="I545" t="e">
        <f ca="1">INDEX(CBIC_Late_Fee_Relief_Windows_1!$B$100:$B$545,MATCH(G545,CBIC_Late_Fee_Relief_Windows_1!$I$100:$I$545,0))</f>
        <v>#NAME?</v>
      </c>
    </row>
    <row r="546" spans="1:9" x14ac:dyDescent="0.55000000000000004">
      <c r="A546" t="str">
        <f>TEST_DATA!A546</f>
        <v>27AAAAA0546Z5</v>
      </c>
      <c r="B546" t="str">
        <f>TEST_DATA!B546</f>
        <v>Jun-2020</v>
      </c>
      <c r="C546">
        <f>TEST_DATA!C546</f>
        <v>44522</v>
      </c>
      <c r="D546" t="str">
        <f>TEST_DATA!D546</f>
        <v>NIL</v>
      </c>
      <c r="E546">
        <f>TEST_DATA!E546</f>
        <v>116</v>
      </c>
      <c r="F546">
        <f>MIN(E546*54600,10000)</f>
        <v>10000</v>
      </c>
      <c r="G546" t="e">
        <f ca="1">_xludf.MINIFS(CBIC_Late_Fee_Relief_Windows_1!$I$100:$I$546,CBIC_Late_Fee_Relief_Windows_1!$D$100:$D$546,"&lt;="&amp;B546,CBIC_Late_Fee_Relief_Windows_1!$E$100:$E$546,"&gt;="&amp;B546,CBIC_Late_Fee_Relief_Windows_1!$F$100:$F$546,"&lt;="&amp;C546,CBIC_Late_Fee_Relief_Windows_1!$G$100:$G$546,"&gt;="&amp;C546,CBIC_Late_Fee_Relief_Windows_1!$H$100:$H$546,D546)</f>
        <v>#NAME?</v>
      </c>
      <c r="H546" t="e">
        <f t="shared" ca="1" si="8"/>
        <v>#NAME?</v>
      </c>
      <c r="I546" t="e">
        <f ca="1">INDEX(CBIC_Late_Fee_Relief_Windows_1!$B$100:$B$546,MATCH(G546,CBIC_Late_Fee_Relief_Windows_1!$I$100:$I$546,0))</f>
        <v>#NAME?</v>
      </c>
    </row>
    <row r="547" spans="1:9" x14ac:dyDescent="0.55000000000000004">
      <c r="A547" t="str">
        <f>TEST_DATA!A547</f>
        <v>27AAAAA0547Z5</v>
      </c>
      <c r="B547" t="str">
        <f>TEST_DATA!B547</f>
        <v>Sep-2017</v>
      </c>
      <c r="C547">
        <f>TEST_DATA!C547</f>
        <v>43010</v>
      </c>
      <c r="D547" t="str">
        <f>TEST_DATA!D547</f>
        <v>NON-NIL</v>
      </c>
      <c r="E547">
        <f>TEST_DATA!E547</f>
        <v>2667</v>
      </c>
      <c r="F547">
        <f>MIN(E547*54700,10000)</f>
        <v>10000</v>
      </c>
      <c r="G547" t="e">
        <f ca="1">_xludf.MINIFS(CBIC_Late_Fee_Relief_Windows_1!$I$100:$I$547,CBIC_Late_Fee_Relief_Windows_1!$D$100:$D$547,"&lt;="&amp;B547,CBIC_Late_Fee_Relief_Windows_1!$E$100:$E$547,"&gt;="&amp;B547,CBIC_Late_Fee_Relief_Windows_1!$F$100:$F$547,"&lt;="&amp;C547,CBIC_Late_Fee_Relief_Windows_1!$G$100:$G$547,"&gt;="&amp;C547,CBIC_Late_Fee_Relief_Windows_1!$H$100:$H$547,D547)</f>
        <v>#NAME?</v>
      </c>
      <c r="H547" t="e">
        <f t="shared" ca="1" si="8"/>
        <v>#NAME?</v>
      </c>
      <c r="I547" t="e">
        <f ca="1">INDEX(CBIC_Late_Fee_Relief_Windows_1!$B$100:$B$547,MATCH(G547,CBIC_Late_Fee_Relief_Windows_1!$I$100:$I$547,0))</f>
        <v>#NAME?</v>
      </c>
    </row>
    <row r="548" spans="1:9" x14ac:dyDescent="0.55000000000000004">
      <c r="A548" t="str">
        <f>TEST_DATA!A548</f>
        <v>27AAAAA0548Z5</v>
      </c>
      <c r="B548" t="str">
        <f>TEST_DATA!B548</f>
        <v>Jan-2018</v>
      </c>
      <c r="C548">
        <f>TEST_DATA!C548</f>
        <v>44487</v>
      </c>
      <c r="D548" t="str">
        <f>TEST_DATA!D548</f>
        <v>NON-NIL</v>
      </c>
      <c r="E548">
        <f>TEST_DATA!E548</f>
        <v>2531</v>
      </c>
      <c r="F548">
        <f>MIN(E548*54800,10000)</f>
        <v>10000</v>
      </c>
      <c r="G548" t="e">
        <f ca="1">_xludf.MINIFS(CBIC_Late_Fee_Relief_Windows_1!$I$100:$I$548,CBIC_Late_Fee_Relief_Windows_1!$D$100:$D$548,"&lt;="&amp;B548,CBIC_Late_Fee_Relief_Windows_1!$E$100:$E$548,"&gt;="&amp;B548,CBIC_Late_Fee_Relief_Windows_1!$F$100:$F$548,"&lt;="&amp;C548,CBIC_Late_Fee_Relief_Windows_1!$G$100:$G$548,"&gt;="&amp;C548,CBIC_Late_Fee_Relief_Windows_1!$H$100:$H$548,D548)</f>
        <v>#NAME?</v>
      </c>
      <c r="H548" t="e">
        <f t="shared" ca="1" si="8"/>
        <v>#NAME?</v>
      </c>
      <c r="I548" t="e">
        <f ca="1">INDEX(CBIC_Late_Fee_Relief_Windows_1!$B$100:$B$548,MATCH(G548,CBIC_Late_Fee_Relief_Windows_1!$I$100:$I$548,0))</f>
        <v>#NAME?</v>
      </c>
    </row>
    <row r="549" spans="1:9" x14ac:dyDescent="0.55000000000000004">
      <c r="A549" t="str">
        <f>TEST_DATA!A549</f>
        <v>27AAAAA0549Z5</v>
      </c>
      <c r="B549" t="str">
        <f>TEST_DATA!B549</f>
        <v>May-2020</v>
      </c>
      <c r="C549">
        <f>TEST_DATA!C549</f>
        <v>43893</v>
      </c>
      <c r="D549" t="str">
        <f>TEST_DATA!D549</f>
        <v>NON-NIL</v>
      </c>
      <c r="E549">
        <f>TEST_DATA!E549</f>
        <v>2568</v>
      </c>
      <c r="F549">
        <f>MIN(E549*54900,10000)</f>
        <v>10000</v>
      </c>
      <c r="G549" t="e">
        <f ca="1">_xludf.MINIFS(CBIC_Late_Fee_Relief_Windows_1!$I$100:$I$549,CBIC_Late_Fee_Relief_Windows_1!$D$100:$D$549,"&lt;="&amp;B549,CBIC_Late_Fee_Relief_Windows_1!$E$100:$E$549,"&gt;="&amp;B549,CBIC_Late_Fee_Relief_Windows_1!$F$100:$F$549,"&lt;="&amp;C549,CBIC_Late_Fee_Relief_Windows_1!$G$100:$G$549,"&gt;="&amp;C549,CBIC_Late_Fee_Relief_Windows_1!$H$100:$H$549,D549)</f>
        <v>#NAME?</v>
      </c>
      <c r="H549" t="e">
        <f t="shared" ca="1" si="8"/>
        <v>#NAME?</v>
      </c>
      <c r="I549" t="e">
        <f ca="1">INDEX(CBIC_Late_Fee_Relief_Windows_1!$B$100:$B$549,MATCH(G549,CBIC_Late_Fee_Relief_Windows_1!$I$100:$I$549,0))</f>
        <v>#NAME?</v>
      </c>
    </row>
    <row r="550" spans="1:9" x14ac:dyDescent="0.55000000000000004">
      <c r="A550" t="str">
        <f>TEST_DATA!A550</f>
        <v>27AAAAA0550Z5</v>
      </c>
      <c r="B550" t="str">
        <f>TEST_DATA!B550</f>
        <v>Dec-2019</v>
      </c>
      <c r="C550">
        <f>TEST_DATA!C550</f>
        <v>44652</v>
      </c>
      <c r="D550" t="str">
        <f>TEST_DATA!D550</f>
        <v>NON-NIL</v>
      </c>
      <c r="E550">
        <f>TEST_DATA!E550</f>
        <v>1978</v>
      </c>
      <c r="F550">
        <f>MIN(E550*55000,10000)</f>
        <v>10000</v>
      </c>
      <c r="G550" t="e">
        <f ca="1">_xludf.MINIFS(CBIC_Late_Fee_Relief_Windows_1!$I$100:$I$550,CBIC_Late_Fee_Relief_Windows_1!$D$100:$D$550,"&lt;="&amp;B550,CBIC_Late_Fee_Relief_Windows_1!$E$100:$E$550,"&gt;="&amp;B550,CBIC_Late_Fee_Relief_Windows_1!$F$100:$F$550,"&lt;="&amp;C550,CBIC_Late_Fee_Relief_Windows_1!$G$100:$G$550,"&gt;="&amp;C550,CBIC_Late_Fee_Relief_Windows_1!$H$100:$H$550,D550)</f>
        <v>#NAME?</v>
      </c>
      <c r="H550" t="e">
        <f t="shared" ca="1" si="8"/>
        <v>#NAME?</v>
      </c>
      <c r="I550" t="e">
        <f ca="1">INDEX(CBIC_Late_Fee_Relief_Windows_1!$B$100:$B$550,MATCH(G550,CBIC_Late_Fee_Relief_Windows_1!$I$100:$I$550,0))</f>
        <v>#NAME?</v>
      </c>
    </row>
    <row r="551" spans="1:9" x14ac:dyDescent="0.55000000000000004">
      <c r="A551" t="str">
        <f>TEST_DATA!A551</f>
        <v>27AAAAA0551Z5</v>
      </c>
      <c r="B551" t="str">
        <f>TEST_DATA!B551</f>
        <v>Feb-2018</v>
      </c>
      <c r="C551">
        <f>TEST_DATA!C551</f>
        <v>44319</v>
      </c>
      <c r="D551" t="str">
        <f>TEST_DATA!D551</f>
        <v>NON-NIL</v>
      </c>
      <c r="E551">
        <f>TEST_DATA!E551</f>
        <v>1218</v>
      </c>
      <c r="F551">
        <f>MIN(E551*55100,10000)</f>
        <v>10000</v>
      </c>
      <c r="G551" t="e">
        <f ca="1">_xludf.MINIFS(CBIC_Late_Fee_Relief_Windows_1!$I$100:$I$551,CBIC_Late_Fee_Relief_Windows_1!$D$100:$D$551,"&lt;="&amp;B551,CBIC_Late_Fee_Relief_Windows_1!$E$100:$E$551,"&gt;="&amp;B551,CBIC_Late_Fee_Relief_Windows_1!$F$100:$F$551,"&lt;="&amp;C551,CBIC_Late_Fee_Relief_Windows_1!$G$100:$G$551,"&gt;="&amp;C551,CBIC_Late_Fee_Relief_Windows_1!$H$100:$H$551,D551)</f>
        <v>#NAME?</v>
      </c>
      <c r="H551" t="e">
        <f t="shared" ca="1" si="8"/>
        <v>#NAME?</v>
      </c>
      <c r="I551" t="e">
        <f ca="1">INDEX(CBIC_Late_Fee_Relief_Windows_1!$B$100:$B$551,MATCH(G551,CBIC_Late_Fee_Relief_Windows_1!$I$100:$I$551,0))</f>
        <v>#NAME?</v>
      </c>
    </row>
    <row r="552" spans="1:9" x14ac:dyDescent="0.55000000000000004">
      <c r="A552" t="str">
        <f>TEST_DATA!A552</f>
        <v>27AAAAA0552Z5</v>
      </c>
      <c r="B552" t="str">
        <f>TEST_DATA!B552</f>
        <v>Sep-2018</v>
      </c>
      <c r="C552">
        <f>TEST_DATA!C552</f>
        <v>43066</v>
      </c>
      <c r="D552" t="str">
        <f>TEST_DATA!D552</f>
        <v>NIL</v>
      </c>
      <c r="E552">
        <f>TEST_DATA!E552</f>
        <v>647</v>
      </c>
      <c r="F552">
        <f>MIN(E552*55200,10000)</f>
        <v>10000</v>
      </c>
      <c r="G552" t="e">
        <f ca="1">_xludf.MINIFS(CBIC_Late_Fee_Relief_Windows_1!$I$100:$I$552,CBIC_Late_Fee_Relief_Windows_1!$D$100:$D$552,"&lt;="&amp;B552,CBIC_Late_Fee_Relief_Windows_1!$E$100:$E$552,"&gt;="&amp;B552,CBIC_Late_Fee_Relief_Windows_1!$F$100:$F$552,"&lt;="&amp;C552,CBIC_Late_Fee_Relief_Windows_1!$G$100:$G$552,"&gt;="&amp;C552,CBIC_Late_Fee_Relief_Windows_1!$H$100:$H$552,D552)</f>
        <v>#NAME?</v>
      </c>
      <c r="H552" t="e">
        <f t="shared" ca="1" si="8"/>
        <v>#NAME?</v>
      </c>
      <c r="I552" t="e">
        <f ca="1">INDEX(CBIC_Late_Fee_Relief_Windows_1!$B$100:$B$552,MATCH(G552,CBIC_Late_Fee_Relief_Windows_1!$I$100:$I$552,0))</f>
        <v>#NAME?</v>
      </c>
    </row>
    <row r="553" spans="1:9" x14ac:dyDescent="0.55000000000000004">
      <c r="A553" t="str">
        <f>TEST_DATA!A553</f>
        <v>27AAAAA0553Z5</v>
      </c>
      <c r="B553" t="str">
        <f>TEST_DATA!B553</f>
        <v>Sep-2018</v>
      </c>
      <c r="C553">
        <f>TEST_DATA!C553</f>
        <v>43768</v>
      </c>
      <c r="D553" t="str">
        <f>TEST_DATA!D553</f>
        <v>NON-NIL</v>
      </c>
      <c r="E553">
        <f>TEST_DATA!E553</f>
        <v>1902</v>
      </c>
      <c r="F553">
        <f>MIN(E553*55300,10000)</f>
        <v>10000</v>
      </c>
      <c r="G553" t="e">
        <f ca="1">_xludf.MINIFS(CBIC_Late_Fee_Relief_Windows_1!$I$100:$I$553,CBIC_Late_Fee_Relief_Windows_1!$D$100:$D$553,"&lt;="&amp;B553,CBIC_Late_Fee_Relief_Windows_1!$E$100:$E$553,"&gt;="&amp;B553,CBIC_Late_Fee_Relief_Windows_1!$F$100:$F$553,"&lt;="&amp;C553,CBIC_Late_Fee_Relief_Windows_1!$G$100:$G$553,"&gt;="&amp;C553,CBIC_Late_Fee_Relief_Windows_1!$H$100:$H$553,D553)</f>
        <v>#NAME?</v>
      </c>
      <c r="H553" t="e">
        <f t="shared" ca="1" si="8"/>
        <v>#NAME?</v>
      </c>
      <c r="I553" t="e">
        <f ca="1">INDEX(CBIC_Late_Fee_Relief_Windows_1!$B$100:$B$553,MATCH(G553,CBIC_Late_Fee_Relief_Windows_1!$I$100:$I$553,0))</f>
        <v>#NAME?</v>
      </c>
    </row>
    <row r="554" spans="1:9" x14ac:dyDescent="0.55000000000000004">
      <c r="A554" t="str">
        <f>TEST_DATA!A554</f>
        <v>27AAAAA0554Z5</v>
      </c>
      <c r="B554" t="str">
        <f>TEST_DATA!B554</f>
        <v>Jan-2018</v>
      </c>
      <c r="C554">
        <f>TEST_DATA!C554</f>
        <v>43613</v>
      </c>
      <c r="D554" t="str">
        <f>TEST_DATA!D554</f>
        <v>NIL</v>
      </c>
      <c r="E554">
        <f>TEST_DATA!E554</f>
        <v>1280</v>
      </c>
      <c r="F554">
        <f>MIN(E554*55400,10000)</f>
        <v>10000</v>
      </c>
      <c r="G554" t="e">
        <f ca="1">_xludf.MINIFS(CBIC_Late_Fee_Relief_Windows_1!$I$100:$I$554,CBIC_Late_Fee_Relief_Windows_1!$D$100:$D$554,"&lt;="&amp;B554,CBIC_Late_Fee_Relief_Windows_1!$E$100:$E$554,"&gt;="&amp;B554,CBIC_Late_Fee_Relief_Windows_1!$F$100:$F$554,"&lt;="&amp;C554,CBIC_Late_Fee_Relief_Windows_1!$G$100:$G$554,"&gt;="&amp;C554,CBIC_Late_Fee_Relief_Windows_1!$H$100:$H$554,D554)</f>
        <v>#NAME?</v>
      </c>
      <c r="H554" t="e">
        <f t="shared" ca="1" si="8"/>
        <v>#NAME?</v>
      </c>
      <c r="I554" t="e">
        <f ca="1">INDEX(CBIC_Late_Fee_Relief_Windows_1!$B$100:$B$554,MATCH(G554,CBIC_Late_Fee_Relief_Windows_1!$I$100:$I$554,0))</f>
        <v>#NAME?</v>
      </c>
    </row>
    <row r="555" spans="1:9" x14ac:dyDescent="0.55000000000000004">
      <c r="A555" t="str">
        <f>TEST_DATA!A555</f>
        <v>27AAAAA0555Z5</v>
      </c>
      <c r="B555" t="str">
        <f>TEST_DATA!B555</f>
        <v>Mar-2023</v>
      </c>
      <c r="C555">
        <f>TEST_DATA!C555</f>
        <v>44773</v>
      </c>
      <c r="D555" t="str">
        <f>TEST_DATA!D555</f>
        <v>NON-NIL</v>
      </c>
      <c r="E555">
        <f>TEST_DATA!E555</f>
        <v>1633</v>
      </c>
      <c r="F555">
        <f>MIN(E555*55500,10000)</f>
        <v>10000</v>
      </c>
      <c r="G555" t="e">
        <f ca="1">_xludf.MINIFS(CBIC_Late_Fee_Relief_Windows_1!$I$100:$I$555,CBIC_Late_Fee_Relief_Windows_1!$D$100:$D$555,"&lt;="&amp;B555,CBIC_Late_Fee_Relief_Windows_1!$E$100:$E$555,"&gt;="&amp;B555,CBIC_Late_Fee_Relief_Windows_1!$F$100:$F$555,"&lt;="&amp;C555,CBIC_Late_Fee_Relief_Windows_1!$G$100:$G$555,"&gt;="&amp;C555,CBIC_Late_Fee_Relief_Windows_1!$H$100:$H$555,D555)</f>
        <v>#NAME?</v>
      </c>
      <c r="H555" t="e">
        <f t="shared" ca="1" si="8"/>
        <v>#NAME?</v>
      </c>
      <c r="I555" t="e">
        <f ca="1">INDEX(CBIC_Late_Fee_Relief_Windows_1!$B$100:$B$555,MATCH(G555,CBIC_Late_Fee_Relief_Windows_1!$I$100:$I$555,0))</f>
        <v>#NAME?</v>
      </c>
    </row>
    <row r="556" spans="1:9" x14ac:dyDescent="0.55000000000000004">
      <c r="A556" t="str">
        <f>TEST_DATA!A556</f>
        <v>27AAAAA0556Z5</v>
      </c>
      <c r="B556" t="str">
        <f>TEST_DATA!B556</f>
        <v>Nov-2017</v>
      </c>
      <c r="C556">
        <f>TEST_DATA!C556</f>
        <v>44474</v>
      </c>
      <c r="D556" t="str">
        <f>TEST_DATA!D556</f>
        <v>NON-NIL</v>
      </c>
      <c r="E556">
        <f>TEST_DATA!E556</f>
        <v>2109</v>
      </c>
      <c r="F556">
        <f>MIN(E556*55600,10000)</f>
        <v>10000</v>
      </c>
      <c r="G556" t="e">
        <f ca="1">_xludf.MINIFS(CBIC_Late_Fee_Relief_Windows_1!$I$100:$I$556,CBIC_Late_Fee_Relief_Windows_1!$D$100:$D$556,"&lt;="&amp;B556,CBIC_Late_Fee_Relief_Windows_1!$E$100:$E$556,"&gt;="&amp;B556,CBIC_Late_Fee_Relief_Windows_1!$F$100:$F$556,"&lt;="&amp;C556,CBIC_Late_Fee_Relief_Windows_1!$G$100:$G$556,"&gt;="&amp;C556,CBIC_Late_Fee_Relief_Windows_1!$H$100:$H$556,D556)</f>
        <v>#NAME?</v>
      </c>
      <c r="H556" t="e">
        <f t="shared" ca="1" si="8"/>
        <v>#NAME?</v>
      </c>
      <c r="I556" t="e">
        <f ca="1">INDEX(CBIC_Late_Fee_Relief_Windows_1!$B$100:$B$556,MATCH(G556,CBIC_Late_Fee_Relief_Windows_1!$I$100:$I$556,0))</f>
        <v>#NAME?</v>
      </c>
    </row>
    <row r="557" spans="1:9" x14ac:dyDescent="0.55000000000000004">
      <c r="A557" t="str">
        <f>TEST_DATA!A557</f>
        <v>27AAAAA0557Z5</v>
      </c>
      <c r="B557" t="str">
        <f>TEST_DATA!B557</f>
        <v>Dec-2019</v>
      </c>
      <c r="C557">
        <f>TEST_DATA!C557</f>
        <v>43900</v>
      </c>
      <c r="D557" t="str">
        <f>TEST_DATA!D557</f>
        <v>NON-NIL</v>
      </c>
      <c r="E557">
        <f>TEST_DATA!E557</f>
        <v>990</v>
      </c>
      <c r="F557">
        <f>MIN(E557*55700,10000)</f>
        <v>10000</v>
      </c>
      <c r="G557" t="e">
        <f ca="1">_xludf.MINIFS(CBIC_Late_Fee_Relief_Windows_1!$I$100:$I$557,CBIC_Late_Fee_Relief_Windows_1!$D$100:$D$557,"&lt;="&amp;B557,CBIC_Late_Fee_Relief_Windows_1!$E$100:$E$557,"&gt;="&amp;B557,CBIC_Late_Fee_Relief_Windows_1!$F$100:$F$557,"&lt;="&amp;C557,CBIC_Late_Fee_Relief_Windows_1!$G$100:$G$557,"&gt;="&amp;C557,CBIC_Late_Fee_Relief_Windows_1!$H$100:$H$557,D557)</f>
        <v>#NAME?</v>
      </c>
      <c r="H557" t="e">
        <f t="shared" ca="1" si="8"/>
        <v>#NAME?</v>
      </c>
      <c r="I557" t="e">
        <f ca="1">INDEX(CBIC_Late_Fee_Relief_Windows_1!$B$100:$B$557,MATCH(G557,CBIC_Late_Fee_Relief_Windows_1!$I$100:$I$557,0))</f>
        <v>#NAME?</v>
      </c>
    </row>
    <row r="558" spans="1:9" x14ac:dyDescent="0.55000000000000004">
      <c r="A558" t="str">
        <f>TEST_DATA!A558</f>
        <v>27AAAAA0558Z5</v>
      </c>
      <c r="B558" t="str">
        <f>TEST_DATA!B558</f>
        <v>Sep-2018</v>
      </c>
      <c r="C558">
        <f>TEST_DATA!C558</f>
        <v>43167</v>
      </c>
      <c r="D558" t="str">
        <f>TEST_DATA!D558</f>
        <v>NON-NIL</v>
      </c>
      <c r="E558">
        <f>TEST_DATA!E558</f>
        <v>1841</v>
      </c>
      <c r="F558">
        <f>MIN(E558*55800,10000)</f>
        <v>10000</v>
      </c>
      <c r="G558" t="e">
        <f ca="1">_xludf.MINIFS(CBIC_Late_Fee_Relief_Windows_1!$I$100:$I$558,CBIC_Late_Fee_Relief_Windows_1!$D$100:$D$558,"&lt;="&amp;B558,CBIC_Late_Fee_Relief_Windows_1!$E$100:$E$558,"&gt;="&amp;B558,CBIC_Late_Fee_Relief_Windows_1!$F$100:$F$558,"&lt;="&amp;C558,CBIC_Late_Fee_Relief_Windows_1!$G$100:$G$558,"&gt;="&amp;C558,CBIC_Late_Fee_Relief_Windows_1!$H$100:$H$558,D558)</f>
        <v>#NAME?</v>
      </c>
      <c r="H558" t="e">
        <f t="shared" ca="1" si="8"/>
        <v>#NAME?</v>
      </c>
      <c r="I558" t="e">
        <f ca="1">INDEX(CBIC_Late_Fee_Relief_Windows_1!$B$100:$B$558,MATCH(G558,CBIC_Late_Fee_Relief_Windows_1!$I$100:$I$558,0))</f>
        <v>#NAME?</v>
      </c>
    </row>
    <row r="559" spans="1:9" x14ac:dyDescent="0.55000000000000004">
      <c r="A559" t="str">
        <f>TEST_DATA!A559</f>
        <v>27AAAAA0559Z5</v>
      </c>
      <c r="B559" t="str">
        <f>TEST_DATA!B559</f>
        <v>Feb-2018</v>
      </c>
      <c r="C559">
        <f>TEST_DATA!C559</f>
        <v>43205</v>
      </c>
      <c r="D559" t="str">
        <f>TEST_DATA!D559</f>
        <v>NIL</v>
      </c>
      <c r="E559">
        <f>TEST_DATA!E559</f>
        <v>207</v>
      </c>
      <c r="F559">
        <f>MIN(E559*55900,10000)</f>
        <v>10000</v>
      </c>
      <c r="G559" t="e">
        <f ca="1">_xludf.MINIFS(CBIC_Late_Fee_Relief_Windows_1!$I$100:$I$559,CBIC_Late_Fee_Relief_Windows_1!$D$100:$D$559,"&lt;="&amp;B559,CBIC_Late_Fee_Relief_Windows_1!$E$100:$E$559,"&gt;="&amp;B559,CBIC_Late_Fee_Relief_Windows_1!$F$100:$F$559,"&lt;="&amp;C559,CBIC_Late_Fee_Relief_Windows_1!$G$100:$G$559,"&gt;="&amp;C559,CBIC_Late_Fee_Relief_Windows_1!$H$100:$H$559,D559)</f>
        <v>#NAME?</v>
      </c>
      <c r="H559" t="e">
        <f t="shared" ca="1" si="8"/>
        <v>#NAME?</v>
      </c>
      <c r="I559" t="e">
        <f ca="1">INDEX(CBIC_Late_Fee_Relief_Windows_1!$B$100:$B$559,MATCH(G559,CBIC_Late_Fee_Relief_Windows_1!$I$100:$I$559,0))</f>
        <v>#NAME?</v>
      </c>
    </row>
    <row r="560" spans="1:9" x14ac:dyDescent="0.55000000000000004">
      <c r="A560" t="str">
        <f>TEST_DATA!A560</f>
        <v>27AAAAA0560Z5</v>
      </c>
      <c r="B560" t="str">
        <f>TEST_DATA!B560</f>
        <v>Apr-2018</v>
      </c>
      <c r="C560">
        <f>TEST_DATA!C560</f>
        <v>43703</v>
      </c>
      <c r="D560" t="str">
        <f>TEST_DATA!D560</f>
        <v>NON-NIL</v>
      </c>
      <c r="E560">
        <f>TEST_DATA!E560</f>
        <v>1016</v>
      </c>
      <c r="F560">
        <f>MIN(E560*56000,10000)</f>
        <v>10000</v>
      </c>
      <c r="G560" t="e">
        <f ca="1">_xludf.MINIFS(CBIC_Late_Fee_Relief_Windows_1!$I$100:$I$560,CBIC_Late_Fee_Relief_Windows_1!$D$100:$D$560,"&lt;="&amp;B560,CBIC_Late_Fee_Relief_Windows_1!$E$100:$E$560,"&gt;="&amp;B560,CBIC_Late_Fee_Relief_Windows_1!$F$100:$F$560,"&lt;="&amp;C560,CBIC_Late_Fee_Relief_Windows_1!$G$100:$G$560,"&gt;="&amp;C560,CBIC_Late_Fee_Relief_Windows_1!$H$100:$H$560,D560)</f>
        <v>#NAME?</v>
      </c>
      <c r="H560" t="e">
        <f t="shared" ca="1" si="8"/>
        <v>#NAME?</v>
      </c>
      <c r="I560" t="e">
        <f ca="1">INDEX(CBIC_Late_Fee_Relief_Windows_1!$B$100:$B$560,MATCH(G560,CBIC_Late_Fee_Relief_Windows_1!$I$100:$I$560,0))</f>
        <v>#NAME?</v>
      </c>
    </row>
    <row r="561" spans="1:9" x14ac:dyDescent="0.55000000000000004">
      <c r="A561" t="str">
        <f>TEST_DATA!A561</f>
        <v>27AAAAA0561Z5</v>
      </c>
      <c r="B561" t="str">
        <f>TEST_DATA!B561</f>
        <v>Mar-2023</v>
      </c>
      <c r="C561">
        <f>TEST_DATA!C561</f>
        <v>44120</v>
      </c>
      <c r="D561" t="str">
        <f>TEST_DATA!D561</f>
        <v>NON-NIL</v>
      </c>
      <c r="E561">
        <f>TEST_DATA!E561</f>
        <v>2366</v>
      </c>
      <c r="F561">
        <f>MIN(E561*56100,10000)</f>
        <v>10000</v>
      </c>
      <c r="G561" t="e">
        <f ca="1">_xludf.MINIFS(CBIC_Late_Fee_Relief_Windows_1!$I$100:$I$561,CBIC_Late_Fee_Relief_Windows_1!$D$100:$D$561,"&lt;="&amp;B561,CBIC_Late_Fee_Relief_Windows_1!$E$100:$E$561,"&gt;="&amp;B561,CBIC_Late_Fee_Relief_Windows_1!$F$100:$F$561,"&lt;="&amp;C561,CBIC_Late_Fee_Relief_Windows_1!$G$100:$G$561,"&gt;="&amp;C561,CBIC_Late_Fee_Relief_Windows_1!$H$100:$H$561,D561)</f>
        <v>#NAME?</v>
      </c>
      <c r="H561" t="e">
        <f t="shared" ca="1" si="8"/>
        <v>#NAME?</v>
      </c>
      <c r="I561" t="e">
        <f ca="1">INDEX(CBIC_Late_Fee_Relief_Windows_1!$B$100:$B$561,MATCH(G561,CBIC_Late_Fee_Relief_Windows_1!$I$100:$I$561,0))</f>
        <v>#NAME?</v>
      </c>
    </row>
    <row r="562" spans="1:9" x14ac:dyDescent="0.55000000000000004">
      <c r="A562" t="str">
        <f>TEST_DATA!A562</f>
        <v>27AAAAA0562Z5</v>
      </c>
      <c r="B562" t="str">
        <f>TEST_DATA!B562</f>
        <v>Jan-2021</v>
      </c>
      <c r="C562">
        <f>TEST_DATA!C562</f>
        <v>44746</v>
      </c>
      <c r="D562" t="str">
        <f>TEST_DATA!D562</f>
        <v>NIL</v>
      </c>
      <c r="E562">
        <f>TEST_DATA!E562</f>
        <v>652</v>
      </c>
      <c r="F562">
        <f>MIN(E562*56200,10000)</f>
        <v>10000</v>
      </c>
      <c r="G562" t="e">
        <f ca="1">_xludf.MINIFS(CBIC_Late_Fee_Relief_Windows_1!$I$100:$I$562,CBIC_Late_Fee_Relief_Windows_1!$D$100:$D$562,"&lt;="&amp;B562,CBIC_Late_Fee_Relief_Windows_1!$E$100:$E$562,"&gt;="&amp;B562,CBIC_Late_Fee_Relief_Windows_1!$F$100:$F$562,"&lt;="&amp;C562,CBIC_Late_Fee_Relief_Windows_1!$G$100:$G$562,"&gt;="&amp;C562,CBIC_Late_Fee_Relief_Windows_1!$H$100:$H$562,D562)</f>
        <v>#NAME?</v>
      </c>
      <c r="H562" t="e">
        <f t="shared" ca="1" si="8"/>
        <v>#NAME?</v>
      </c>
      <c r="I562" t="e">
        <f ca="1">INDEX(CBIC_Late_Fee_Relief_Windows_1!$B$100:$B$562,MATCH(G562,CBIC_Late_Fee_Relief_Windows_1!$I$100:$I$562,0))</f>
        <v>#NAME?</v>
      </c>
    </row>
    <row r="563" spans="1:9" x14ac:dyDescent="0.55000000000000004">
      <c r="A563" t="str">
        <f>TEST_DATA!A563</f>
        <v>27AAAAA0563Z5</v>
      </c>
      <c r="B563" t="str">
        <f>TEST_DATA!B563</f>
        <v>Jan-2019</v>
      </c>
      <c r="C563">
        <f>TEST_DATA!C563</f>
        <v>45574</v>
      </c>
      <c r="D563" t="str">
        <f>TEST_DATA!D563</f>
        <v>NON-NIL</v>
      </c>
      <c r="E563">
        <f>TEST_DATA!E563</f>
        <v>2042</v>
      </c>
      <c r="F563">
        <f>MIN(E563*56300,10000)</f>
        <v>10000</v>
      </c>
      <c r="G563" t="e">
        <f ca="1">_xludf.MINIFS(CBIC_Late_Fee_Relief_Windows_1!$I$100:$I$563,CBIC_Late_Fee_Relief_Windows_1!$D$100:$D$563,"&lt;="&amp;B563,CBIC_Late_Fee_Relief_Windows_1!$E$100:$E$563,"&gt;="&amp;B563,CBIC_Late_Fee_Relief_Windows_1!$F$100:$F$563,"&lt;="&amp;C563,CBIC_Late_Fee_Relief_Windows_1!$G$100:$G$563,"&gt;="&amp;C563,CBIC_Late_Fee_Relief_Windows_1!$H$100:$H$563,D563)</f>
        <v>#NAME?</v>
      </c>
      <c r="H563" t="e">
        <f t="shared" ca="1" si="8"/>
        <v>#NAME?</v>
      </c>
      <c r="I563" t="e">
        <f ca="1">INDEX(CBIC_Late_Fee_Relief_Windows_1!$B$100:$B$563,MATCH(G563,CBIC_Late_Fee_Relief_Windows_1!$I$100:$I$563,0))</f>
        <v>#NAME?</v>
      </c>
    </row>
    <row r="564" spans="1:9" x14ac:dyDescent="0.55000000000000004">
      <c r="A564" t="str">
        <f>TEST_DATA!A564</f>
        <v>27AAAAA0564Z5</v>
      </c>
      <c r="B564" t="str">
        <f>TEST_DATA!B564</f>
        <v>Dec-2024</v>
      </c>
      <c r="C564">
        <f>TEST_DATA!C564</f>
        <v>44729</v>
      </c>
      <c r="D564" t="str">
        <f>TEST_DATA!D564</f>
        <v>NON-NIL</v>
      </c>
      <c r="E564">
        <f>TEST_DATA!E564</f>
        <v>94</v>
      </c>
      <c r="F564">
        <f>MIN(E564*56400,10000)</f>
        <v>10000</v>
      </c>
      <c r="G564" t="e">
        <f ca="1">_xludf.MINIFS(CBIC_Late_Fee_Relief_Windows_1!$I$100:$I$564,CBIC_Late_Fee_Relief_Windows_1!$D$100:$D$564,"&lt;="&amp;B564,CBIC_Late_Fee_Relief_Windows_1!$E$100:$E$564,"&gt;="&amp;B564,CBIC_Late_Fee_Relief_Windows_1!$F$100:$F$564,"&lt;="&amp;C564,CBIC_Late_Fee_Relief_Windows_1!$G$100:$G$564,"&gt;="&amp;C564,CBIC_Late_Fee_Relief_Windows_1!$H$100:$H$564,D564)</f>
        <v>#NAME?</v>
      </c>
      <c r="H564" t="e">
        <f t="shared" ca="1" si="8"/>
        <v>#NAME?</v>
      </c>
      <c r="I564" t="e">
        <f ca="1">INDEX(CBIC_Late_Fee_Relief_Windows_1!$B$100:$B$564,MATCH(G564,CBIC_Late_Fee_Relief_Windows_1!$I$100:$I$564,0))</f>
        <v>#NAME?</v>
      </c>
    </row>
    <row r="565" spans="1:9" x14ac:dyDescent="0.55000000000000004">
      <c r="A565" t="str">
        <f>TEST_DATA!A565</f>
        <v>27AAAAA0565Z5</v>
      </c>
      <c r="B565" t="str">
        <f>TEST_DATA!B565</f>
        <v>Sep-2017</v>
      </c>
      <c r="C565">
        <f>TEST_DATA!C565</f>
        <v>43722</v>
      </c>
      <c r="D565" t="str">
        <f>TEST_DATA!D565</f>
        <v>NON-NIL</v>
      </c>
      <c r="E565">
        <f>TEST_DATA!E565</f>
        <v>986</v>
      </c>
      <c r="F565">
        <f>MIN(E565*56500,10000)</f>
        <v>10000</v>
      </c>
      <c r="G565" t="e">
        <f ca="1">_xludf.MINIFS(CBIC_Late_Fee_Relief_Windows_1!$I$100:$I$565,CBIC_Late_Fee_Relief_Windows_1!$D$100:$D$565,"&lt;="&amp;B565,CBIC_Late_Fee_Relief_Windows_1!$E$100:$E$565,"&gt;="&amp;B565,CBIC_Late_Fee_Relief_Windows_1!$F$100:$F$565,"&lt;="&amp;C565,CBIC_Late_Fee_Relief_Windows_1!$G$100:$G$565,"&gt;="&amp;C565,CBIC_Late_Fee_Relief_Windows_1!$H$100:$H$565,D565)</f>
        <v>#NAME?</v>
      </c>
      <c r="H565" t="e">
        <f t="shared" ca="1" si="8"/>
        <v>#NAME?</v>
      </c>
      <c r="I565" t="e">
        <f ca="1">INDEX(CBIC_Late_Fee_Relief_Windows_1!$B$100:$B$565,MATCH(G565,CBIC_Late_Fee_Relief_Windows_1!$I$100:$I$565,0))</f>
        <v>#NAME?</v>
      </c>
    </row>
    <row r="566" spans="1:9" x14ac:dyDescent="0.55000000000000004">
      <c r="A566" t="str">
        <f>TEST_DATA!A566</f>
        <v>27AAAAA0566Z5</v>
      </c>
      <c r="B566" t="str">
        <f>TEST_DATA!B566</f>
        <v>Jan-2018</v>
      </c>
      <c r="C566">
        <f>TEST_DATA!C566</f>
        <v>44111</v>
      </c>
      <c r="D566" t="str">
        <f>TEST_DATA!D566</f>
        <v>NON-NIL</v>
      </c>
      <c r="E566">
        <f>TEST_DATA!E566</f>
        <v>199</v>
      </c>
      <c r="F566">
        <f>MIN(E566*56600,10000)</f>
        <v>10000</v>
      </c>
      <c r="G566" t="e">
        <f ca="1">_xludf.MINIFS(CBIC_Late_Fee_Relief_Windows_1!$I$100:$I$566,CBIC_Late_Fee_Relief_Windows_1!$D$100:$D$566,"&lt;="&amp;B566,CBIC_Late_Fee_Relief_Windows_1!$E$100:$E$566,"&gt;="&amp;B566,CBIC_Late_Fee_Relief_Windows_1!$F$100:$F$566,"&lt;="&amp;C566,CBIC_Late_Fee_Relief_Windows_1!$G$100:$G$566,"&gt;="&amp;C566,CBIC_Late_Fee_Relief_Windows_1!$H$100:$H$566,D566)</f>
        <v>#NAME?</v>
      </c>
      <c r="H566" t="e">
        <f t="shared" ca="1" si="8"/>
        <v>#NAME?</v>
      </c>
      <c r="I566" t="e">
        <f ca="1">INDEX(CBIC_Late_Fee_Relief_Windows_1!$B$100:$B$566,MATCH(G566,CBIC_Late_Fee_Relief_Windows_1!$I$100:$I$566,0))</f>
        <v>#NAME?</v>
      </c>
    </row>
    <row r="567" spans="1:9" x14ac:dyDescent="0.55000000000000004">
      <c r="A567" t="str">
        <f>TEST_DATA!A567</f>
        <v>27AAAAA0567Z5</v>
      </c>
      <c r="B567" t="str">
        <f>TEST_DATA!B567</f>
        <v>Aug-2017</v>
      </c>
      <c r="C567">
        <f>TEST_DATA!C567</f>
        <v>43493</v>
      </c>
      <c r="D567" t="str">
        <f>TEST_DATA!D567</f>
        <v>NON-NIL</v>
      </c>
      <c r="E567">
        <f>TEST_DATA!E567</f>
        <v>2447</v>
      </c>
      <c r="F567">
        <f>MIN(E567*56700,10000)</f>
        <v>10000</v>
      </c>
      <c r="G567" t="e">
        <f ca="1">_xludf.MINIFS(CBIC_Late_Fee_Relief_Windows_1!$I$100:$I$567,CBIC_Late_Fee_Relief_Windows_1!$D$100:$D$567,"&lt;="&amp;B567,CBIC_Late_Fee_Relief_Windows_1!$E$100:$E$567,"&gt;="&amp;B567,CBIC_Late_Fee_Relief_Windows_1!$F$100:$F$567,"&lt;="&amp;C567,CBIC_Late_Fee_Relief_Windows_1!$G$100:$G$567,"&gt;="&amp;C567,CBIC_Late_Fee_Relief_Windows_1!$H$100:$H$567,D567)</f>
        <v>#NAME?</v>
      </c>
      <c r="H567" t="e">
        <f t="shared" ca="1" si="8"/>
        <v>#NAME?</v>
      </c>
      <c r="I567" t="e">
        <f ca="1">INDEX(CBIC_Late_Fee_Relief_Windows_1!$B$100:$B$567,MATCH(G567,CBIC_Late_Fee_Relief_Windows_1!$I$100:$I$567,0))</f>
        <v>#NAME?</v>
      </c>
    </row>
    <row r="568" spans="1:9" x14ac:dyDescent="0.55000000000000004">
      <c r="A568" t="str">
        <f>TEST_DATA!A568</f>
        <v>27AAAAA0568Z5</v>
      </c>
      <c r="B568" t="str">
        <f>TEST_DATA!B568</f>
        <v>Dec-2024</v>
      </c>
      <c r="C568">
        <f>TEST_DATA!C568</f>
        <v>45393</v>
      </c>
      <c r="D568" t="str">
        <f>TEST_DATA!D568</f>
        <v>NON-NIL</v>
      </c>
      <c r="E568">
        <f>TEST_DATA!E568</f>
        <v>2198</v>
      </c>
      <c r="F568">
        <f>MIN(E568*56800,10000)</f>
        <v>10000</v>
      </c>
      <c r="G568" t="e">
        <f ca="1">_xludf.MINIFS(CBIC_Late_Fee_Relief_Windows_1!$I$100:$I$568,CBIC_Late_Fee_Relief_Windows_1!$D$100:$D$568,"&lt;="&amp;B568,CBIC_Late_Fee_Relief_Windows_1!$E$100:$E$568,"&gt;="&amp;B568,CBIC_Late_Fee_Relief_Windows_1!$F$100:$F$568,"&lt;="&amp;C568,CBIC_Late_Fee_Relief_Windows_1!$G$100:$G$568,"&gt;="&amp;C568,CBIC_Late_Fee_Relief_Windows_1!$H$100:$H$568,D568)</f>
        <v>#NAME?</v>
      </c>
      <c r="H568" t="e">
        <f t="shared" ca="1" si="8"/>
        <v>#NAME?</v>
      </c>
      <c r="I568" t="e">
        <f ca="1">INDEX(CBIC_Late_Fee_Relief_Windows_1!$B$100:$B$568,MATCH(G568,CBIC_Late_Fee_Relief_Windows_1!$I$100:$I$568,0))</f>
        <v>#NAME?</v>
      </c>
    </row>
    <row r="569" spans="1:9" x14ac:dyDescent="0.55000000000000004">
      <c r="A569" t="str">
        <f>TEST_DATA!A569</f>
        <v>27AAAAA0569Z5</v>
      </c>
      <c r="B569" t="str">
        <f>TEST_DATA!B569</f>
        <v>Jul-2017</v>
      </c>
      <c r="C569">
        <f>TEST_DATA!C569</f>
        <v>43137</v>
      </c>
      <c r="D569" t="str">
        <f>TEST_DATA!D569</f>
        <v>NON-NIL</v>
      </c>
      <c r="E569">
        <f>TEST_DATA!E569</f>
        <v>548</v>
      </c>
      <c r="F569">
        <f>MIN(E569*56900,10000)</f>
        <v>10000</v>
      </c>
      <c r="G569" t="e">
        <f ca="1">_xludf.MINIFS(CBIC_Late_Fee_Relief_Windows_1!$I$100:$I$569,CBIC_Late_Fee_Relief_Windows_1!$D$100:$D$569,"&lt;="&amp;B569,CBIC_Late_Fee_Relief_Windows_1!$E$100:$E$569,"&gt;="&amp;B569,CBIC_Late_Fee_Relief_Windows_1!$F$100:$F$569,"&lt;="&amp;C569,CBIC_Late_Fee_Relief_Windows_1!$G$100:$G$569,"&gt;="&amp;C569,CBIC_Late_Fee_Relief_Windows_1!$H$100:$H$569,D569)</f>
        <v>#NAME?</v>
      </c>
      <c r="H569" t="e">
        <f t="shared" ca="1" si="8"/>
        <v>#NAME?</v>
      </c>
      <c r="I569" t="e">
        <f ca="1">INDEX(CBIC_Late_Fee_Relief_Windows_1!$B$100:$B$569,MATCH(G569,CBIC_Late_Fee_Relief_Windows_1!$I$100:$I$569,0))</f>
        <v>#NAME?</v>
      </c>
    </row>
    <row r="570" spans="1:9" x14ac:dyDescent="0.55000000000000004">
      <c r="A570" t="str">
        <f>TEST_DATA!A570</f>
        <v>27AAAAA0570Z5</v>
      </c>
      <c r="B570" t="str">
        <f>TEST_DATA!B570</f>
        <v>Dec-2024</v>
      </c>
      <c r="C570">
        <f>TEST_DATA!C570</f>
        <v>44549</v>
      </c>
      <c r="D570" t="str">
        <f>TEST_DATA!D570</f>
        <v>NON-NIL</v>
      </c>
      <c r="E570">
        <f>TEST_DATA!E570</f>
        <v>1651</v>
      </c>
      <c r="F570">
        <f>MIN(E570*57000,10000)</f>
        <v>10000</v>
      </c>
      <c r="G570" t="e">
        <f ca="1">_xludf.MINIFS(CBIC_Late_Fee_Relief_Windows_1!$I$100:$I$570,CBIC_Late_Fee_Relief_Windows_1!$D$100:$D$570,"&lt;="&amp;B570,CBIC_Late_Fee_Relief_Windows_1!$E$100:$E$570,"&gt;="&amp;B570,CBIC_Late_Fee_Relief_Windows_1!$F$100:$F$570,"&lt;="&amp;C570,CBIC_Late_Fee_Relief_Windows_1!$G$100:$G$570,"&gt;="&amp;C570,CBIC_Late_Fee_Relief_Windows_1!$H$100:$H$570,D570)</f>
        <v>#NAME?</v>
      </c>
      <c r="H570" t="e">
        <f t="shared" ca="1" si="8"/>
        <v>#NAME?</v>
      </c>
      <c r="I570" t="e">
        <f ca="1">INDEX(CBIC_Late_Fee_Relief_Windows_1!$B$100:$B$570,MATCH(G570,CBIC_Late_Fee_Relief_Windows_1!$I$100:$I$570,0))</f>
        <v>#NAME?</v>
      </c>
    </row>
    <row r="571" spans="1:9" x14ac:dyDescent="0.55000000000000004">
      <c r="A571" t="str">
        <f>TEST_DATA!A571</f>
        <v>27AAAAA0571Z5</v>
      </c>
      <c r="B571" t="str">
        <f>TEST_DATA!B571</f>
        <v>Jun-2018</v>
      </c>
      <c r="C571">
        <f>TEST_DATA!C571</f>
        <v>43009</v>
      </c>
      <c r="D571" t="str">
        <f>TEST_DATA!D571</f>
        <v>NON-NIL</v>
      </c>
      <c r="E571">
        <f>TEST_DATA!E571</f>
        <v>209</v>
      </c>
      <c r="F571">
        <f>MIN(E571*57100,10000)</f>
        <v>10000</v>
      </c>
      <c r="G571" t="e">
        <f ca="1">_xludf.MINIFS(CBIC_Late_Fee_Relief_Windows_1!$I$100:$I$571,CBIC_Late_Fee_Relief_Windows_1!$D$100:$D$571,"&lt;="&amp;B571,CBIC_Late_Fee_Relief_Windows_1!$E$100:$E$571,"&gt;="&amp;B571,CBIC_Late_Fee_Relief_Windows_1!$F$100:$F$571,"&lt;="&amp;C571,CBIC_Late_Fee_Relief_Windows_1!$G$100:$G$571,"&gt;="&amp;C571,CBIC_Late_Fee_Relief_Windows_1!$H$100:$H$571,D571)</f>
        <v>#NAME?</v>
      </c>
      <c r="H571" t="e">
        <f t="shared" ca="1" si="8"/>
        <v>#NAME?</v>
      </c>
      <c r="I571" t="e">
        <f ca="1">INDEX(CBIC_Late_Fee_Relief_Windows_1!$B$100:$B$571,MATCH(G571,CBIC_Late_Fee_Relief_Windows_1!$I$100:$I$571,0))</f>
        <v>#NAME?</v>
      </c>
    </row>
    <row r="572" spans="1:9" x14ac:dyDescent="0.55000000000000004">
      <c r="A572" t="str">
        <f>TEST_DATA!A572</f>
        <v>27AAAAA0572Z5</v>
      </c>
      <c r="B572" t="str">
        <f>TEST_DATA!B572</f>
        <v>Mar-2020</v>
      </c>
      <c r="C572">
        <f>TEST_DATA!C572</f>
        <v>44229</v>
      </c>
      <c r="D572" t="str">
        <f>TEST_DATA!D572</f>
        <v>NON-NIL</v>
      </c>
      <c r="E572">
        <f>TEST_DATA!E572</f>
        <v>2266</v>
      </c>
      <c r="F572">
        <f>MIN(E572*57200,10000)</f>
        <v>10000</v>
      </c>
      <c r="G572" t="e">
        <f ca="1">_xludf.MINIFS(CBIC_Late_Fee_Relief_Windows_1!$I$100:$I$572,CBIC_Late_Fee_Relief_Windows_1!$D$100:$D$572,"&lt;="&amp;B572,CBIC_Late_Fee_Relief_Windows_1!$E$100:$E$572,"&gt;="&amp;B572,CBIC_Late_Fee_Relief_Windows_1!$F$100:$F$572,"&lt;="&amp;C572,CBIC_Late_Fee_Relief_Windows_1!$G$100:$G$572,"&gt;="&amp;C572,CBIC_Late_Fee_Relief_Windows_1!$H$100:$H$572,D572)</f>
        <v>#NAME?</v>
      </c>
      <c r="H572" t="e">
        <f t="shared" ca="1" si="8"/>
        <v>#NAME?</v>
      </c>
      <c r="I572" t="e">
        <f ca="1">INDEX(CBIC_Late_Fee_Relief_Windows_1!$B$100:$B$572,MATCH(G572,CBIC_Late_Fee_Relief_Windows_1!$I$100:$I$572,0))</f>
        <v>#NAME?</v>
      </c>
    </row>
    <row r="573" spans="1:9" x14ac:dyDescent="0.55000000000000004">
      <c r="A573" t="str">
        <f>TEST_DATA!A573</f>
        <v>27AAAAA0573Z5</v>
      </c>
      <c r="B573" t="str">
        <f>TEST_DATA!B573</f>
        <v>Apr-2018</v>
      </c>
      <c r="C573">
        <f>TEST_DATA!C573</f>
        <v>43067</v>
      </c>
      <c r="D573" t="str">
        <f>TEST_DATA!D573</f>
        <v>NON-NIL</v>
      </c>
      <c r="E573">
        <f>TEST_DATA!E573</f>
        <v>2065</v>
      </c>
      <c r="F573">
        <f>MIN(E573*57300,10000)</f>
        <v>10000</v>
      </c>
      <c r="G573" t="e">
        <f ca="1">_xludf.MINIFS(CBIC_Late_Fee_Relief_Windows_1!$I$100:$I$573,CBIC_Late_Fee_Relief_Windows_1!$D$100:$D$573,"&lt;="&amp;B573,CBIC_Late_Fee_Relief_Windows_1!$E$100:$E$573,"&gt;="&amp;B573,CBIC_Late_Fee_Relief_Windows_1!$F$100:$F$573,"&lt;="&amp;C573,CBIC_Late_Fee_Relief_Windows_1!$G$100:$G$573,"&gt;="&amp;C573,CBIC_Late_Fee_Relief_Windows_1!$H$100:$H$573,D573)</f>
        <v>#NAME?</v>
      </c>
      <c r="H573" t="e">
        <f t="shared" ca="1" si="8"/>
        <v>#NAME?</v>
      </c>
      <c r="I573" t="e">
        <f ca="1">INDEX(CBIC_Late_Fee_Relief_Windows_1!$B$100:$B$573,MATCH(G573,CBIC_Late_Fee_Relief_Windows_1!$I$100:$I$573,0))</f>
        <v>#NAME?</v>
      </c>
    </row>
    <row r="574" spans="1:9" x14ac:dyDescent="0.55000000000000004">
      <c r="A574" t="str">
        <f>TEST_DATA!A574</f>
        <v>27AAAAA0574Z5</v>
      </c>
      <c r="B574" t="str">
        <f>TEST_DATA!B574</f>
        <v>Sep-2018</v>
      </c>
      <c r="C574">
        <f>TEST_DATA!C574</f>
        <v>44482</v>
      </c>
      <c r="D574" t="str">
        <f>TEST_DATA!D574</f>
        <v>NON-NIL</v>
      </c>
      <c r="E574">
        <f>TEST_DATA!E574</f>
        <v>2552</v>
      </c>
      <c r="F574">
        <f>MIN(E574*57400,10000)</f>
        <v>10000</v>
      </c>
      <c r="G574" t="e">
        <f ca="1">_xludf.MINIFS(CBIC_Late_Fee_Relief_Windows_1!$I$100:$I$574,CBIC_Late_Fee_Relief_Windows_1!$D$100:$D$574,"&lt;="&amp;B574,CBIC_Late_Fee_Relief_Windows_1!$E$100:$E$574,"&gt;="&amp;B574,CBIC_Late_Fee_Relief_Windows_1!$F$100:$F$574,"&lt;="&amp;C574,CBIC_Late_Fee_Relief_Windows_1!$G$100:$G$574,"&gt;="&amp;C574,CBIC_Late_Fee_Relief_Windows_1!$H$100:$H$574,D574)</f>
        <v>#NAME?</v>
      </c>
      <c r="H574" t="e">
        <f t="shared" ca="1" si="8"/>
        <v>#NAME?</v>
      </c>
      <c r="I574" t="e">
        <f ca="1">INDEX(CBIC_Late_Fee_Relief_Windows_1!$B$100:$B$574,MATCH(G574,CBIC_Late_Fee_Relief_Windows_1!$I$100:$I$574,0))</f>
        <v>#NAME?</v>
      </c>
    </row>
    <row r="575" spans="1:9" x14ac:dyDescent="0.55000000000000004">
      <c r="A575" t="str">
        <f>TEST_DATA!A575</f>
        <v>27AAAAA0575Z5</v>
      </c>
      <c r="B575" t="str">
        <f>TEST_DATA!B575</f>
        <v>Jun-2020</v>
      </c>
      <c r="C575">
        <f>TEST_DATA!C575</f>
        <v>44074</v>
      </c>
      <c r="D575" t="str">
        <f>TEST_DATA!D575</f>
        <v>NIL</v>
      </c>
      <c r="E575">
        <f>TEST_DATA!E575</f>
        <v>396</v>
      </c>
      <c r="F575">
        <f>MIN(E575*57500,10000)</f>
        <v>10000</v>
      </c>
      <c r="G575" t="e">
        <f ca="1">_xludf.MINIFS(CBIC_Late_Fee_Relief_Windows_1!$I$100:$I$575,CBIC_Late_Fee_Relief_Windows_1!$D$100:$D$575,"&lt;="&amp;B575,CBIC_Late_Fee_Relief_Windows_1!$E$100:$E$575,"&gt;="&amp;B575,CBIC_Late_Fee_Relief_Windows_1!$F$100:$F$575,"&lt;="&amp;C575,CBIC_Late_Fee_Relief_Windows_1!$G$100:$G$575,"&gt;="&amp;C575,CBIC_Late_Fee_Relief_Windows_1!$H$100:$H$575,D575)</f>
        <v>#NAME?</v>
      </c>
      <c r="H575" t="e">
        <f t="shared" ca="1" si="8"/>
        <v>#NAME?</v>
      </c>
      <c r="I575" t="e">
        <f ca="1">INDEX(CBIC_Late_Fee_Relief_Windows_1!$B$100:$B$575,MATCH(G575,CBIC_Late_Fee_Relief_Windows_1!$I$100:$I$575,0))</f>
        <v>#NAME?</v>
      </c>
    </row>
    <row r="576" spans="1:9" x14ac:dyDescent="0.55000000000000004">
      <c r="A576" t="str">
        <f>TEST_DATA!A576</f>
        <v>27AAAAA0576Z5</v>
      </c>
      <c r="B576" t="str">
        <f>TEST_DATA!B576</f>
        <v>Jul-2018</v>
      </c>
      <c r="C576">
        <f>TEST_DATA!C576</f>
        <v>43681</v>
      </c>
      <c r="D576" t="str">
        <f>TEST_DATA!D576</f>
        <v>NON-NIL</v>
      </c>
      <c r="E576">
        <f>TEST_DATA!E576</f>
        <v>2284</v>
      </c>
      <c r="F576">
        <f>MIN(E576*57600,10000)</f>
        <v>10000</v>
      </c>
      <c r="G576" t="e">
        <f ca="1">_xludf.MINIFS(CBIC_Late_Fee_Relief_Windows_1!$I$100:$I$576,CBIC_Late_Fee_Relief_Windows_1!$D$100:$D$576,"&lt;="&amp;B576,CBIC_Late_Fee_Relief_Windows_1!$E$100:$E$576,"&gt;="&amp;B576,CBIC_Late_Fee_Relief_Windows_1!$F$100:$F$576,"&lt;="&amp;C576,CBIC_Late_Fee_Relief_Windows_1!$G$100:$G$576,"&gt;="&amp;C576,CBIC_Late_Fee_Relief_Windows_1!$H$100:$H$576,D576)</f>
        <v>#NAME?</v>
      </c>
      <c r="H576" t="e">
        <f t="shared" ca="1" si="8"/>
        <v>#NAME?</v>
      </c>
      <c r="I576" t="e">
        <f ca="1">INDEX(CBIC_Late_Fee_Relief_Windows_1!$B$100:$B$576,MATCH(G576,CBIC_Late_Fee_Relief_Windows_1!$I$100:$I$576,0))</f>
        <v>#NAME?</v>
      </c>
    </row>
    <row r="577" spans="1:9" x14ac:dyDescent="0.55000000000000004">
      <c r="A577" t="str">
        <f>TEST_DATA!A577</f>
        <v>27AAAAA0577Z5</v>
      </c>
      <c r="B577" t="str">
        <f>TEST_DATA!B577</f>
        <v>Jun-2018</v>
      </c>
      <c r="C577">
        <f>TEST_DATA!C577</f>
        <v>44463</v>
      </c>
      <c r="D577" t="str">
        <f>TEST_DATA!D577</f>
        <v>NIL</v>
      </c>
      <c r="E577">
        <f>TEST_DATA!E577</f>
        <v>815</v>
      </c>
      <c r="F577">
        <f>MIN(E577*57700,10000)</f>
        <v>10000</v>
      </c>
      <c r="G577" t="e">
        <f ca="1">_xludf.MINIFS(CBIC_Late_Fee_Relief_Windows_1!$I$100:$I$577,CBIC_Late_Fee_Relief_Windows_1!$D$100:$D$577,"&lt;="&amp;B577,CBIC_Late_Fee_Relief_Windows_1!$E$100:$E$577,"&gt;="&amp;B577,CBIC_Late_Fee_Relief_Windows_1!$F$100:$F$577,"&lt;="&amp;C577,CBIC_Late_Fee_Relief_Windows_1!$G$100:$G$577,"&gt;="&amp;C577,CBIC_Late_Fee_Relief_Windows_1!$H$100:$H$577,D577)</f>
        <v>#NAME?</v>
      </c>
      <c r="H577" t="e">
        <f t="shared" ca="1" si="8"/>
        <v>#NAME?</v>
      </c>
      <c r="I577" t="e">
        <f ca="1">INDEX(CBIC_Late_Fee_Relief_Windows_1!$B$100:$B$577,MATCH(G577,CBIC_Late_Fee_Relief_Windows_1!$I$100:$I$577,0))</f>
        <v>#NAME?</v>
      </c>
    </row>
    <row r="578" spans="1:9" x14ac:dyDescent="0.55000000000000004">
      <c r="A578" t="str">
        <f>TEST_DATA!A578</f>
        <v>27AAAAA0578Z5</v>
      </c>
      <c r="B578" t="str">
        <f>TEST_DATA!B578</f>
        <v>Apr-2020</v>
      </c>
      <c r="C578">
        <f>TEST_DATA!C578</f>
        <v>44873</v>
      </c>
      <c r="D578" t="str">
        <f>TEST_DATA!D578</f>
        <v>NON-NIL</v>
      </c>
      <c r="E578">
        <f>TEST_DATA!E578</f>
        <v>2048</v>
      </c>
      <c r="F578">
        <f>MIN(E578*57800,10000)</f>
        <v>10000</v>
      </c>
      <c r="G578" t="e">
        <f ca="1">_xludf.MINIFS(CBIC_Late_Fee_Relief_Windows_1!$I$100:$I$578,CBIC_Late_Fee_Relief_Windows_1!$D$100:$D$578,"&lt;="&amp;B578,CBIC_Late_Fee_Relief_Windows_1!$E$100:$E$578,"&gt;="&amp;B578,CBIC_Late_Fee_Relief_Windows_1!$F$100:$F$578,"&lt;="&amp;C578,CBIC_Late_Fee_Relief_Windows_1!$G$100:$G$578,"&gt;="&amp;C578,CBIC_Late_Fee_Relief_Windows_1!$H$100:$H$578,D578)</f>
        <v>#NAME?</v>
      </c>
      <c r="H578" t="e">
        <f t="shared" ref="H578:H641" ca="1" si="9">MIN(F578,G578)</f>
        <v>#NAME?</v>
      </c>
      <c r="I578" t="e">
        <f ca="1">INDEX(CBIC_Late_Fee_Relief_Windows_1!$B$100:$B$578,MATCH(G578,CBIC_Late_Fee_Relief_Windows_1!$I$100:$I$578,0))</f>
        <v>#NAME?</v>
      </c>
    </row>
    <row r="579" spans="1:9" x14ac:dyDescent="0.55000000000000004">
      <c r="A579" t="str">
        <f>TEST_DATA!A579</f>
        <v>27AAAAA0579Z5</v>
      </c>
      <c r="B579" t="str">
        <f>TEST_DATA!B579</f>
        <v>Aug-2017</v>
      </c>
      <c r="C579">
        <f>TEST_DATA!C579</f>
        <v>43009</v>
      </c>
      <c r="D579" t="str">
        <f>TEST_DATA!D579</f>
        <v>NIL</v>
      </c>
      <c r="E579">
        <f>TEST_DATA!E579</f>
        <v>561</v>
      </c>
      <c r="F579">
        <f>MIN(E579*57900,10000)</f>
        <v>10000</v>
      </c>
      <c r="G579" t="e">
        <f ca="1">_xludf.MINIFS(CBIC_Late_Fee_Relief_Windows_1!$I$100:$I$579,CBIC_Late_Fee_Relief_Windows_1!$D$100:$D$579,"&lt;="&amp;B579,CBIC_Late_Fee_Relief_Windows_1!$E$100:$E$579,"&gt;="&amp;B579,CBIC_Late_Fee_Relief_Windows_1!$F$100:$F$579,"&lt;="&amp;C579,CBIC_Late_Fee_Relief_Windows_1!$G$100:$G$579,"&gt;="&amp;C579,CBIC_Late_Fee_Relief_Windows_1!$H$100:$H$579,D579)</f>
        <v>#NAME?</v>
      </c>
      <c r="H579" t="e">
        <f t="shared" ca="1" si="9"/>
        <v>#NAME?</v>
      </c>
      <c r="I579" t="e">
        <f ca="1">INDEX(CBIC_Late_Fee_Relief_Windows_1!$B$100:$B$579,MATCH(G579,CBIC_Late_Fee_Relief_Windows_1!$I$100:$I$579,0))</f>
        <v>#NAME?</v>
      </c>
    </row>
    <row r="580" spans="1:9" x14ac:dyDescent="0.55000000000000004">
      <c r="A580" t="str">
        <f>TEST_DATA!A580</f>
        <v>27AAAAA0580Z5</v>
      </c>
      <c r="B580" t="str">
        <f>TEST_DATA!B580</f>
        <v>Jul-2020</v>
      </c>
      <c r="C580">
        <f>TEST_DATA!C580</f>
        <v>44513</v>
      </c>
      <c r="D580" t="str">
        <f>TEST_DATA!D580</f>
        <v>NON-NIL</v>
      </c>
      <c r="E580">
        <f>TEST_DATA!E580</f>
        <v>2127</v>
      </c>
      <c r="F580">
        <f>MIN(E580*58000,10000)</f>
        <v>10000</v>
      </c>
      <c r="G580" t="e">
        <f ca="1">_xludf.MINIFS(CBIC_Late_Fee_Relief_Windows_1!$I$100:$I$580,CBIC_Late_Fee_Relief_Windows_1!$D$100:$D$580,"&lt;="&amp;B580,CBIC_Late_Fee_Relief_Windows_1!$E$100:$E$580,"&gt;="&amp;B580,CBIC_Late_Fee_Relief_Windows_1!$F$100:$F$580,"&lt;="&amp;C580,CBIC_Late_Fee_Relief_Windows_1!$G$100:$G$580,"&gt;="&amp;C580,CBIC_Late_Fee_Relief_Windows_1!$H$100:$H$580,D580)</f>
        <v>#NAME?</v>
      </c>
      <c r="H580" t="e">
        <f t="shared" ca="1" si="9"/>
        <v>#NAME?</v>
      </c>
      <c r="I580" t="e">
        <f ca="1">INDEX(CBIC_Late_Fee_Relief_Windows_1!$B$100:$B$580,MATCH(G580,CBIC_Late_Fee_Relief_Windows_1!$I$100:$I$580,0))</f>
        <v>#NAME?</v>
      </c>
    </row>
    <row r="581" spans="1:9" x14ac:dyDescent="0.55000000000000004">
      <c r="A581" t="str">
        <f>TEST_DATA!A581</f>
        <v>27AAAAA0581Z5</v>
      </c>
      <c r="B581" t="str">
        <f>TEST_DATA!B581</f>
        <v>Sep-2018</v>
      </c>
      <c r="C581">
        <f>TEST_DATA!C581</f>
        <v>43222</v>
      </c>
      <c r="D581" t="str">
        <f>TEST_DATA!D581</f>
        <v>NIL</v>
      </c>
      <c r="E581">
        <f>TEST_DATA!E581</f>
        <v>1343</v>
      </c>
      <c r="F581">
        <f>MIN(E581*58100,10000)</f>
        <v>10000</v>
      </c>
      <c r="G581" t="e">
        <f ca="1">_xludf.MINIFS(CBIC_Late_Fee_Relief_Windows_1!$I$100:$I$581,CBIC_Late_Fee_Relief_Windows_1!$D$100:$D$581,"&lt;="&amp;B581,CBIC_Late_Fee_Relief_Windows_1!$E$100:$E$581,"&gt;="&amp;B581,CBIC_Late_Fee_Relief_Windows_1!$F$100:$F$581,"&lt;="&amp;C581,CBIC_Late_Fee_Relief_Windows_1!$G$100:$G$581,"&gt;="&amp;C581,CBIC_Late_Fee_Relief_Windows_1!$H$100:$H$581,D581)</f>
        <v>#NAME?</v>
      </c>
      <c r="H581" t="e">
        <f t="shared" ca="1" si="9"/>
        <v>#NAME?</v>
      </c>
      <c r="I581" t="e">
        <f ca="1">INDEX(CBIC_Late_Fee_Relief_Windows_1!$B$100:$B$581,MATCH(G581,CBIC_Late_Fee_Relief_Windows_1!$I$100:$I$581,0))</f>
        <v>#NAME?</v>
      </c>
    </row>
    <row r="582" spans="1:9" x14ac:dyDescent="0.55000000000000004">
      <c r="A582" t="str">
        <f>TEST_DATA!A582</f>
        <v>27AAAAA0582Z5</v>
      </c>
      <c r="B582" t="str">
        <f>TEST_DATA!B582</f>
        <v>Apr-2020</v>
      </c>
      <c r="C582">
        <f>TEST_DATA!C582</f>
        <v>44483</v>
      </c>
      <c r="D582" t="str">
        <f>TEST_DATA!D582</f>
        <v>NIL</v>
      </c>
      <c r="E582">
        <f>TEST_DATA!E582</f>
        <v>1609</v>
      </c>
      <c r="F582">
        <f>MIN(E582*58200,10000)</f>
        <v>10000</v>
      </c>
      <c r="G582" t="e">
        <f ca="1">_xludf.MINIFS(CBIC_Late_Fee_Relief_Windows_1!$I$100:$I$582,CBIC_Late_Fee_Relief_Windows_1!$D$100:$D$582,"&lt;="&amp;B582,CBIC_Late_Fee_Relief_Windows_1!$E$100:$E$582,"&gt;="&amp;B582,CBIC_Late_Fee_Relief_Windows_1!$F$100:$F$582,"&lt;="&amp;C582,CBIC_Late_Fee_Relief_Windows_1!$G$100:$G$582,"&gt;="&amp;C582,CBIC_Late_Fee_Relief_Windows_1!$H$100:$H$582,D582)</f>
        <v>#NAME?</v>
      </c>
      <c r="H582" t="e">
        <f t="shared" ca="1" si="9"/>
        <v>#NAME?</v>
      </c>
      <c r="I582" t="e">
        <f ca="1">INDEX(CBIC_Late_Fee_Relief_Windows_1!$B$100:$B$582,MATCH(G582,CBIC_Late_Fee_Relief_Windows_1!$I$100:$I$582,0))</f>
        <v>#NAME?</v>
      </c>
    </row>
    <row r="583" spans="1:9" x14ac:dyDescent="0.55000000000000004">
      <c r="A583" t="str">
        <f>TEST_DATA!A583</f>
        <v>27AAAAA0583Z5</v>
      </c>
      <c r="B583" t="str">
        <f>TEST_DATA!B583</f>
        <v>Apr-2020</v>
      </c>
      <c r="C583">
        <f>TEST_DATA!C583</f>
        <v>44443</v>
      </c>
      <c r="D583" t="str">
        <f>TEST_DATA!D583</f>
        <v>NON-NIL</v>
      </c>
      <c r="E583">
        <f>TEST_DATA!E583</f>
        <v>2077</v>
      </c>
      <c r="F583">
        <f>MIN(E583*58300,10000)</f>
        <v>10000</v>
      </c>
      <c r="G583" t="e">
        <f ca="1">_xludf.MINIFS(CBIC_Late_Fee_Relief_Windows_1!$I$100:$I$583,CBIC_Late_Fee_Relief_Windows_1!$D$100:$D$583,"&lt;="&amp;B583,CBIC_Late_Fee_Relief_Windows_1!$E$100:$E$583,"&gt;="&amp;B583,CBIC_Late_Fee_Relief_Windows_1!$F$100:$F$583,"&lt;="&amp;C583,CBIC_Late_Fee_Relief_Windows_1!$G$100:$G$583,"&gt;="&amp;C583,CBIC_Late_Fee_Relief_Windows_1!$H$100:$H$583,D583)</f>
        <v>#NAME?</v>
      </c>
      <c r="H583" t="e">
        <f t="shared" ca="1" si="9"/>
        <v>#NAME?</v>
      </c>
      <c r="I583" t="e">
        <f ca="1">INDEX(CBIC_Late_Fee_Relief_Windows_1!$B$100:$B$583,MATCH(G583,CBIC_Late_Fee_Relief_Windows_1!$I$100:$I$583,0))</f>
        <v>#NAME?</v>
      </c>
    </row>
    <row r="584" spans="1:9" x14ac:dyDescent="0.55000000000000004">
      <c r="A584" t="str">
        <f>TEST_DATA!A584</f>
        <v>27AAAAA0584Z5</v>
      </c>
      <c r="B584" t="str">
        <f>TEST_DATA!B584</f>
        <v>Dec-2022</v>
      </c>
      <c r="C584">
        <f>TEST_DATA!C584</f>
        <v>45553</v>
      </c>
      <c r="D584" t="str">
        <f>TEST_DATA!D584</f>
        <v>NON-NIL</v>
      </c>
      <c r="E584">
        <f>TEST_DATA!E584</f>
        <v>2902</v>
      </c>
      <c r="F584">
        <f>MIN(E584*58400,10000)</f>
        <v>10000</v>
      </c>
      <c r="G584" t="e">
        <f ca="1">_xludf.MINIFS(CBIC_Late_Fee_Relief_Windows_1!$I$100:$I$584,CBIC_Late_Fee_Relief_Windows_1!$D$100:$D$584,"&lt;="&amp;B584,CBIC_Late_Fee_Relief_Windows_1!$E$100:$E$584,"&gt;="&amp;B584,CBIC_Late_Fee_Relief_Windows_1!$F$100:$F$584,"&lt;="&amp;C584,CBIC_Late_Fee_Relief_Windows_1!$G$100:$G$584,"&gt;="&amp;C584,CBIC_Late_Fee_Relief_Windows_1!$H$100:$H$584,D584)</f>
        <v>#NAME?</v>
      </c>
      <c r="H584" t="e">
        <f t="shared" ca="1" si="9"/>
        <v>#NAME?</v>
      </c>
      <c r="I584" t="e">
        <f ca="1">INDEX(CBIC_Late_Fee_Relief_Windows_1!$B$100:$B$584,MATCH(G584,CBIC_Late_Fee_Relief_Windows_1!$I$100:$I$584,0))</f>
        <v>#NAME?</v>
      </c>
    </row>
    <row r="585" spans="1:9" x14ac:dyDescent="0.55000000000000004">
      <c r="A585" t="str">
        <f>TEST_DATA!A585</f>
        <v>27AAAAA0585Z5</v>
      </c>
      <c r="B585" t="str">
        <f>TEST_DATA!B585</f>
        <v>Mar-2020</v>
      </c>
      <c r="C585">
        <f>TEST_DATA!C585</f>
        <v>44444</v>
      </c>
      <c r="D585" t="str">
        <f>TEST_DATA!D585</f>
        <v>NON-NIL</v>
      </c>
      <c r="E585">
        <f>TEST_DATA!E585</f>
        <v>68</v>
      </c>
      <c r="F585">
        <f>MIN(E585*58500,10000)</f>
        <v>10000</v>
      </c>
      <c r="G585" t="e">
        <f ca="1">_xludf.MINIFS(CBIC_Late_Fee_Relief_Windows_1!$I$100:$I$585,CBIC_Late_Fee_Relief_Windows_1!$D$100:$D$585,"&lt;="&amp;B585,CBIC_Late_Fee_Relief_Windows_1!$E$100:$E$585,"&gt;="&amp;B585,CBIC_Late_Fee_Relief_Windows_1!$F$100:$F$585,"&lt;="&amp;C585,CBIC_Late_Fee_Relief_Windows_1!$G$100:$G$585,"&gt;="&amp;C585,CBIC_Late_Fee_Relief_Windows_1!$H$100:$H$585,D585)</f>
        <v>#NAME?</v>
      </c>
      <c r="H585" t="e">
        <f t="shared" ca="1" si="9"/>
        <v>#NAME?</v>
      </c>
      <c r="I585" t="e">
        <f ca="1">INDEX(CBIC_Late_Fee_Relief_Windows_1!$B$100:$B$585,MATCH(G585,CBIC_Late_Fee_Relief_Windows_1!$I$100:$I$585,0))</f>
        <v>#NAME?</v>
      </c>
    </row>
    <row r="586" spans="1:9" x14ac:dyDescent="0.55000000000000004">
      <c r="A586" t="str">
        <f>TEST_DATA!A586</f>
        <v>27AAAAA0586Z5</v>
      </c>
      <c r="B586" t="str">
        <f>TEST_DATA!B586</f>
        <v>Jun-2018</v>
      </c>
      <c r="C586">
        <f>TEST_DATA!C586</f>
        <v>43595</v>
      </c>
      <c r="D586" t="str">
        <f>TEST_DATA!D586</f>
        <v>NIL</v>
      </c>
      <c r="E586">
        <f>TEST_DATA!E586</f>
        <v>1706</v>
      </c>
      <c r="F586">
        <f>MIN(E586*58600,10000)</f>
        <v>10000</v>
      </c>
      <c r="G586" t="e">
        <f ca="1">_xludf.MINIFS(CBIC_Late_Fee_Relief_Windows_1!$I$100:$I$586,CBIC_Late_Fee_Relief_Windows_1!$D$100:$D$586,"&lt;="&amp;B586,CBIC_Late_Fee_Relief_Windows_1!$E$100:$E$586,"&gt;="&amp;B586,CBIC_Late_Fee_Relief_Windows_1!$F$100:$F$586,"&lt;="&amp;C586,CBIC_Late_Fee_Relief_Windows_1!$G$100:$G$586,"&gt;="&amp;C586,CBIC_Late_Fee_Relief_Windows_1!$H$100:$H$586,D586)</f>
        <v>#NAME?</v>
      </c>
      <c r="H586" t="e">
        <f t="shared" ca="1" si="9"/>
        <v>#NAME?</v>
      </c>
      <c r="I586" t="e">
        <f ca="1">INDEX(CBIC_Late_Fee_Relief_Windows_1!$B$100:$B$586,MATCH(G586,CBIC_Late_Fee_Relief_Windows_1!$I$100:$I$586,0))</f>
        <v>#NAME?</v>
      </c>
    </row>
    <row r="587" spans="1:9" x14ac:dyDescent="0.55000000000000004">
      <c r="A587" t="str">
        <f>TEST_DATA!A587</f>
        <v>27AAAAA0587Z5</v>
      </c>
      <c r="B587" t="str">
        <f>TEST_DATA!B587</f>
        <v>Mar-2020</v>
      </c>
      <c r="C587">
        <f>TEST_DATA!C587</f>
        <v>44461</v>
      </c>
      <c r="D587" t="str">
        <f>TEST_DATA!D587</f>
        <v>NIL</v>
      </c>
      <c r="E587">
        <f>TEST_DATA!E587</f>
        <v>2444</v>
      </c>
      <c r="F587">
        <f>MIN(E587*58700,10000)</f>
        <v>10000</v>
      </c>
      <c r="G587" t="e">
        <f ca="1">_xludf.MINIFS(CBIC_Late_Fee_Relief_Windows_1!$I$100:$I$587,CBIC_Late_Fee_Relief_Windows_1!$D$100:$D$587,"&lt;="&amp;B587,CBIC_Late_Fee_Relief_Windows_1!$E$100:$E$587,"&gt;="&amp;B587,CBIC_Late_Fee_Relief_Windows_1!$F$100:$F$587,"&lt;="&amp;C587,CBIC_Late_Fee_Relief_Windows_1!$G$100:$G$587,"&gt;="&amp;C587,CBIC_Late_Fee_Relief_Windows_1!$H$100:$H$587,D587)</f>
        <v>#NAME?</v>
      </c>
      <c r="H587" t="e">
        <f t="shared" ca="1" si="9"/>
        <v>#NAME?</v>
      </c>
      <c r="I587" t="e">
        <f ca="1">INDEX(CBIC_Late_Fee_Relief_Windows_1!$B$100:$B$587,MATCH(G587,CBIC_Late_Fee_Relief_Windows_1!$I$100:$I$587,0))</f>
        <v>#NAME?</v>
      </c>
    </row>
    <row r="588" spans="1:9" x14ac:dyDescent="0.55000000000000004">
      <c r="A588" t="str">
        <f>TEST_DATA!A588</f>
        <v>27AAAAA0588Z5</v>
      </c>
      <c r="B588" t="str">
        <f>TEST_DATA!B588</f>
        <v>Jan-2019</v>
      </c>
      <c r="C588">
        <f>TEST_DATA!C588</f>
        <v>44553</v>
      </c>
      <c r="D588" t="str">
        <f>TEST_DATA!D588</f>
        <v>NIL</v>
      </c>
      <c r="E588">
        <f>TEST_DATA!E588</f>
        <v>2954</v>
      </c>
      <c r="F588">
        <f>MIN(E588*58800,10000)</f>
        <v>10000</v>
      </c>
      <c r="G588" t="e">
        <f ca="1">_xludf.MINIFS(CBIC_Late_Fee_Relief_Windows_1!$I$100:$I$588,CBIC_Late_Fee_Relief_Windows_1!$D$100:$D$588,"&lt;="&amp;B588,CBIC_Late_Fee_Relief_Windows_1!$E$100:$E$588,"&gt;="&amp;B588,CBIC_Late_Fee_Relief_Windows_1!$F$100:$F$588,"&lt;="&amp;C588,CBIC_Late_Fee_Relief_Windows_1!$G$100:$G$588,"&gt;="&amp;C588,CBIC_Late_Fee_Relief_Windows_1!$H$100:$H$588,D588)</f>
        <v>#NAME?</v>
      </c>
      <c r="H588" t="e">
        <f t="shared" ca="1" si="9"/>
        <v>#NAME?</v>
      </c>
      <c r="I588" t="e">
        <f ca="1">INDEX(CBIC_Late_Fee_Relief_Windows_1!$B$100:$B$588,MATCH(G588,CBIC_Late_Fee_Relief_Windows_1!$I$100:$I$588,0))</f>
        <v>#NAME?</v>
      </c>
    </row>
    <row r="589" spans="1:9" x14ac:dyDescent="0.55000000000000004">
      <c r="A589" t="str">
        <f>TEST_DATA!A589</f>
        <v>27AAAAA0589Z5</v>
      </c>
      <c r="B589" t="str">
        <f>TEST_DATA!B589</f>
        <v>Aug-2017</v>
      </c>
      <c r="C589">
        <f>TEST_DATA!C589</f>
        <v>44112</v>
      </c>
      <c r="D589" t="str">
        <f>TEST_DATA!D589</f>
        <v>NON-NIL</v>
      </c>
      <c r="E589">
        <f>TEST_DATA!E589</f>
        <v>698</v>
      </c>
      <c r="F589">
        <f>MIN(E589*58900,10000)</f>
        <v>10000</v>
      </c>
      <c r="G589" t="e">
        <f ca="1">_xludf.MINIFS(CBIC_Late_Fee_Relief_Windows_1!$I$100:$I$589,CBIC_Late_Fee_Relief_Windows_1!$D$100:$D$589,"&lt;="&amp;B589,CBIC_Late_Fee_Relief_Windows_1!$E$100:$E$589,"&gt;="&amp;B589,CBIC_Late_Fee_Relief_Windows_1!$F$100:$F$589,"&lt;="&amp;C589,CBIC_Late_Fee_Relief_Windows_1!$G$100:$G$589,"&gt;="&amp;C589,CBIC_Late_Fee_Relief_Windows_1!$H$100:$H$589,D589)</f>
        <v>#NAME?</v>
      </c>
      <c r="H589" t="e">
        <f t="shared" ca="1" si="9"/>
        <v>#NAME?</v>
      </c>
      <c r="I589" t="e">
        <f ca="1">INDEX(CBIC_Late_Fee_Relief_Windows_1!$B$100:$B$589,MATCH(G589,CBIC_Late_Fee_Relief_Windows_1!$I$100:$I$589,0))</f>
        <v>#NAME?</v>
      </c>
    </row>
    <row r="590" spans="1:9" x14ac:dyDescent="0.55000000000000004">
      <c r="A590" t="str">
        <f>TEST_DATA!A590</f>
        <v>27AAAAA0590Z5</v>
      </c>
      <c r="B590" t="str">
        <f>TEST_DATA!B590</f>
        <v>Jun-2019</v>
      </c>
      <c r="C590">
        <f>TEST_DATA!C590</f>
        <v>45023</v>
      </c>
      <c r="D590" t="str">
        <f>TEST_DATA!D590</f>
        <v>NIL</v>
      </c>
      <c r="E590">
        <f>TEST_DATA!E590</f>
        <v>2788</v>
      </c>
      <c r="F590">
        <f>MIN(E590*59000,10000)</f>
        <v>10000</v>
      </c>
      <c r="G590" t="e">
        <f ca="1">_xludf.MINIFS(CBIC_Late_Fee_Relief_Windows_1!$I$100:$I$590,CBIC_Late_Fee_Relief_Windows_1!$D$100:$D$590,"&lt;="&amp;B590,CBIC_Late_Fee_Relief_Windows_1!$E$100:$E$590,"&gt;="&amp;B590,CBIC_Late_Fee_Relief_Windows_1!$F$100:$F$590,"&lt;="&amp;C590,CBIC_Late_Fee_Relief_Windows_1!$G$100:$G$590,"&gt;="&amp;C590,CBIC_Late_Fee_Relief_Windows_1!$H$100:$H$590,D590)</f>
        <v>#NAME?</v>
      </c>
      <c r="H590" t="e">
        <f t="shared" ca="1" si="9"/>
        <v>#NAME?</v>
      </c>
      <c r="I590" t="e">
        <f ca="1">INDEX(CBIC_Late_Fee_Relief_Windows_1!$B$100:$B$590,MATCH(G590,CBIC_Late_Fee_Relief_Windows_1!$I$100:$I$590,0))</f>
        <v>#NAME?</v>
      </c>
    </row>
    <row r="591" spans="1:9" x14ac:dyDescent="0.55000000000000004">
      <c r="A591" t="str">
        <f>TEST_DATA!A591</f>
        <v>27AAAAA0591Z5</v>
      </c>
      <c r="B591" t="str">
        <f>TEST_DATA!B591</f>
        <v>Feb-2018</v>
      </c>
      <c r="C591">
        <f>TEST_DATA!C591</f>
        <v>42981</v>
      </c>
      <c r="D591" t="str">
        <f>TEST_DATA!D591</f>
        <v>NIL</v>
      </c>
      <c r="E591">
        <f>TEST_DATA!E591</f>
        <v>781</v>
      </c>
      <c r="F591">
        <f>MIN(E591*59100,10000)</f>
        <v>10000</v>
      </c>
      <c r="G591" t="e">
        <f ca="1">_xludf.MINIFS(CBIC_Late_Fee_Relief_Windows_1!$I$100:$I$591,CBIC_Late_Fee_Relief_Windows_1!$D$100:$D$591,"&lt;="&amp;B591,CBIC_Late_Fee_Relief_Windows_1!$E$100:$E$591,"&gt;="&amp;B591,CBIC_Late_Fee_Relief_Windows_1!$F$100:$F$591,"&lt;="&amp;C591,CBIC_Late_Fee_Relief_Windows_1!$G$100:$G$591,"&gt;="&amp;C591,CBIC_Late_Fee_Relief_Windows_1!$H$100:$H$591,D591)</f>
        <v>#NAME?</v>
      </c>
      <c r="H591" t="e">
        <f t="shared" ca="1" si="9"/>
        <v>#NAME?</v>
      </c>
      <c r="I591" t="e">
        <f ca="1">INDEX(CBIC_Late_Fee_Relief_Windows_1!$B$100:$B$591,MATCH(G591,CBIC_Late_Fee_Relief_Windows_1!$I$100:$I$591,0))</f>
        <v>#NAME?</v>
      </c>
    </row>
    <row r="592" spans="1:9" x14ac:dyDescent="0.55000000000000004">
      <c r="A592" t="str">
        <f>TEST_DATA!A592</f>
        <v>27AAAAA0592Z5</v>
      </c>
      <c r="B592" t="str">
        <f>TEST_DATA!B592</f>
        <v>Jul-2017</v>
      </c>
      <c r="C592">
        <f>TEST_DATA!C592</f>
        <v>43820</v>
      </c>
      <c r="D592" t="str">
        <f>TEST_DATA!D592</f>
        <v>NON-NIL</v>
      </c>
      <c r="E592">
        <f>TEST_DATA!E592</f>
        <v>1715</v>
      </c>
      <c r="F592">
        <f>MIN(E592*59200,10000)</f>
        <v>10000</v>
      </c>
      <c r="G592" t="e">
        <f ca="1">_xludf.MINIFS(CBIC_Late_Fee_Relief_Windows_1!$I$100:$I$592,CBIC_Late_Fee_Relief_Windows_1!$D$100:$D$592,"&lt;="&amp;B592,CBIC_Late_Fee_Relief_Windows_1!$E$100:$E$592,"&gt;="&amp;B592,CBIC_Late_Fee_Relief_Windows_1!$F$100:$F$592,"&lt;="&amp;C592,CBIC_Late_Fee_Relief_Windows_1!$G$100:$G$592,"&gt;="&amp;C592,CBIC_Late_Fee_Relief_Windows_1!$H$100:$H$592,D592)</f>
        <v>#NAME?</v>
      </c>
      <c r="H592" t="e">
        <f t="shared" ca="1" si="9"/>
        <v>#NAME?</v>
      </c>
      <c r="I592" t="e">
        <f ca="1">INDEX(CBIC_Late_Fee_Relief_Windows_1!$B$100:$B$592,MATCH(G592,CBIC_Late_Fee_Relief_Windows_1!$I$100:$I$592,0))</f>
        <v>#NAME?</v>
      </c>
    </row>
    <row r="593" spans="1:9" x14ac:dyDescent="0.55000000000000004">
      <c r="A593" t="str">
        <f>TEST_DATA!A593</f>
        <v>27AAAAA0593Z5</v>
      </c>
      <c r="B593" t="str">
        <f>TEST_DATA!B593</f>
        <v>Nov-2017</v>
      </c>
      <c r="C593">
        <f>TEST_DATA!C593</f>
        <v>43762</v>
      </c>
      <c r="D593" t="str">
        <f>TEST_DATA!D593</f>
        <v>NIL</v>
      </c>
      <c r="E593">
        <f>TEST_DATA!E593</f>
        <v>1680</v>
      </c>
      <c r="F593">
        <f>MIN(E593*59300,10000)</f>
        <v>10000</v>
      </c>
      <c r="G593" t="e">
        <f ca="1">_xludf.MINIFS(CBIC_Late_Fee_Relief_Windows_1!$I$100:$I$593,CBIC_Late_Fee_Relief_Windows_1!$D$100:$D$593,"&lt;="&amp;B593,CBIC_Late_Fee_Relief_Windows_1!$E$100:$E$593,"&gt;="&amp;B593,CBIC_Late_Fee_Relief_Windows_1!$F$100:$F$593,"&lt;="&amp;C593,CBIC_Late_Fee_Relief_Windows_1!$G$100:$G$593,"&gt;="&amp;C593,CBIC_Late_Fee_Relief_Windows_1!$H$100:$H$593,D593)</f>
        <v>#NAME?</v>
      </c>
      <c r="H593" t="e">
        <f t="shared" ca="1" si="9"/>
        <v>#NAME?</v>
      </c>
      <c r="I593" t="e">
        <f ca="1">INDEX(CBIC_Late_Fee_Relief_Windows_1!$B$100:$B$593,MATCH(G593,CBIC_Late_Fee_Relief_Windows_1!$I$100:$I$593,0))</f>
        <v>#NAME?</v>
      </c>
    </row>
    <row r="594" spans="1:9" x14ac:dyDescent="0.55000000000000004">
      <c r="A594" t="str">
        <f>TEST_DATA!A594</f>
        <v>27AAAAA0594Z5</v>
      </c>
      <c r="B594" t="str">
        <f>TEST_DATA!B594</f>
        <v>Jun-2019</v>
      </c>
      <c r="C594">
        <f>TEST_DATA!C594</f>
        <v>45397</v>
      </c>
      <c r="D594" t="str">
        <f>TEST_DATA!D594</f>
        <v>NIL</v>
      </c>
      <c r="E594">
        <f>TEST_DATA!E594</f>
        <v>2890</v>
      </c>
      <c r="F594">
        <f>MIN(E594*59400,10000)</f>
        <v>10000</v>
      </c>
      <c r="G594" t="e">
        <f ca="1">_xludf.MINIFS(CBIC_Late_Fee_Relief_Windows_1!$I$100:$I$594,CBIC_Late_Fee_Relief_Windows_1!$D$100:$D$594,"&lt;="&amp;B594,CBIC_Late_Fee_Relief_Windows_1!$E$100:$E$594,"&gt;="&amp;B594,CBIC_Late_Fee_Relief_Windows_1!$F$100:$F$594,"&lt;="&amp;C594,CBIC_Late_Fee_Relief_Windows_1!$G$100:$G$594,"&gt;="&amp;C594,CBIC_Late_Fee_Relief_Windows_1!$H$100:$H$594,D594)</f>
        <v>#NAME?</v>
      </c>
      <c r="H594" t="e">
        <f t="shared" ca="1" si="9"/>
        <v>#NAME?</v>
      </c>
      <c r="I594" t="e">
        <f ca="1">INDEX(CBIC_Late_Fee_Relief_Windows_1!$B$100:$B$594,MATCH(G594,CBIC_Late_Fee_Relief_Windows_1!$I$100:$I$594,0))</f>
        <v>#NAME?</v>
      </c>
    </row>
    <row r="595" spans="1:9" x14ac:dyDescent="0.55000000000000004">
      <c r="A595" t="str">
        <f>TEST_DATA!A595</f>
        <v>27AAAAA0595Z5</v>
      </c>
      <c r="B595" t="str">
        <f>TEST_DATA!B595</f>
        <v>Nov-2017</v>
      </c>
      <c r="C595">
        <f>TEST_DATA!C595</f>
        <v>43979</v>
      </c>
      <c r="D595" t="str">
        <f>TEST_DATA!D595</f>
        <v>NIL</v>
      </c>
      <c r="E595">
        <f>TEST_DATA!E595</f>
        <v>2297</v>
      </c>
      <c r="F595">
        <f>MIN(E595*59500,10000)</f>
        <v>10000</v>
      </c>
      <c r="G595" t="e">
        <f ca="1">_xludf.MINIFS(CBIC_Late_Fee_Relief_Windows_1!$I$100:$I$595,CBIC_Late_Fee_Relief_Windows_1!$D$100:$D$595,"&lt;="&amp;B595,CBIC_Late_Fee_Relief_Windows_1!$E$100:$E$595,"&gt;="&amp;B595,CBIC_Late_Fee_Relief_Windows_1!$F$100:$F$595,"&lt;="&amp;C595,CBIC_Late_Fee_Relief_Windows_1!$G$100:$G$595,"&gt;="&amp;C595,CBIC_Late_Fee_Relief_Windows_1!$H$100:$H$595,D595)</f>
        <v>#NAME?</v>
      </c>
      <c r="H595" t="e">
        <f t="shared" ca="1" si="9"/>
        <v>#NAME?</v>
      </c>
      <c r="I595" t="e">
        <f ca="1">INDEX(CBIC_Late_Fee_Relief_Windows_1!$B$100:$B$595,MATCH(G595,CBIC_Late_Fee_Relief_Windows_1!$I$100:$I$595,0))</f>
        <v>#NAME?</v>
      </c>
    </row>
    <row r="596" spans="1:9" x14ac:dyDescent="0.55000000000000004">
      <c r="A596" t="str">
        <f>TEST_DATA!A596</f>
        <v>27AAAAA0596Z5</v>
      </c>
      <c r="B596" t="str">
        <f>TEST_DATA!B596</f>
        <v>May-2018</v>
      </c>
      <c r="C596">
        <f>TEST_DATA!C596</f>
        <v>44273</v>
      </c>
      <c r="D596" t="str">
        <f>TEST_DATA!D596</f>
        <v>NON-NIL</v>
      </c>
      <c r="E596">
        <f>TEST_DATA!E596</f>
        <v>2152</v>
      </c>
      <c r="F596">
        <f>MIN(E596*59600,10000)</f>
        <v>10000</v>
      </c>
      <c r="G596" t="e">
        <f ca="1">_xludf.MINIFS(CBIC_Late_Fee_Relief_Windows_1!$I$100:$I$596,CBIC_Late_Fee_Relief_Windows_1!$D$100:$D$596,"&lt;="&amp;B596,CBIC_Late_Fee_Relief_Windows_1!$E$100:$E$596,"&gt;="&amp;B596,CBIC_Late_Fee_Relief_Windows_1!$F$100:$F$596,"&lt;="&amp;C596,CBIC_Late_Fee_Relief_Windows_1!$G$100:$G$596,"&gt;="&amp;C596,CBIC_Late_Fee_Relief_Windows_1!$H$100:$H$596,D596)</f>
        <v>#NAME?</v>
      </c>
      <c r="H596" t="e">
        <f t="shared" ca="1" si="9"/>
        <v>#NAME?</v>
      </c>
      <c r="I596" t="e">
        <f ca="1">INDEX(CBIC_Late_Fee_Relief_Windows_1!$B$100:$B$596,MATCH(G596,CBIC_Late_Fee_Relief_Windows_1!$I$100:$I$596,0))</f>
        <v>#NAME?</v>
      </c>
    </row>
    <row r="597" spans="1:9" x14ac:dyDescent="0.55000000000000004">
      <c r="A597" t="str">
        <f>TEST_DATA!A597</f>
        <v>27AAAAA0597Z5</v>
      </c>
      <c r="B597" t="str">
        <f>TEST_DATA!B597</f>
        <v>Jul-2018</v>
      </c>
      <c r="C597">
        <f>TEST_DATA!C597</f>
        <v>43559</v>
      </c>
      <c r="D597" t="str">
        <f>TEST_DATA!D597</f>
        <v>NIL</v>
      </c>
      <c r="E597">
        <f>TEST_DATA!E597</f>
        <v>1882</v>
      </c>
      <c r="F597">
        <f>MIN(E597*59700,10000)</f>
        <v>10000</v>
      </c>
      <c r="G597" t="e">
        <f ca="1">_xludf.MINIFS(CBIC_Late_Fee_Relief_Windows_1!$I$100:$I$597,CBIC_Late_Fee_Relief_Windows_1!$D$100:$D$597,"&lt;="&amp;B597,CBIC_Late_Fee_Relief_Windows_1!$E$100:$E$597,"&gt;="&amp;B597,CBIC_Late_Fee_Relief_Windows_1!$F$100:$F$597,"&lt;="&amp;C597,CBIC_Late_Fee_Relief_Windows_1!$G$100:$G$597,"&gt;="&amp;C597,CBIC_Late_Fee_Relief_Windows_1!$H$100:$H$597,D597)</f>
        <v>#NAME?</v>
      </c>
      <c r="H597" t="e">
        <f t="shared" ca="1" si="9"/>
        <v>#NAME?</v>
      </c>
      <c r="I597" t="e">
        <f ca="1">INDEX(CBIC_Late_Fee_Relief_Windows_1!$B$100:$B$597,MATCH(G597,CBIC_Late_Fee_Relief_Windows_1!$I$100:$I$597,0))</f>
        <v>#NAME?</v>
      </c>
    </row>
    <row r="598" spans="1:9" x14ac:dyDescent="0.55000000000000004">
      <c r="A598" t="str">
        <f>TEST_DATA!A598</f>
        <v>27AAAAA0598Z5</v>
      </c>
      <c r="B598" t="str">
        <f>TEST_DATA!B598</f>
        <v>Dec-2019</v>
      </c>
      <c r="C598">
        <f>TEST_DATA!C598</f>
        <v>44868</v>
      </c>
      <c r="D598" t="str">
        <f>TEST_DATA!D598</f>
        <v>NON-NIL</v>
      </c>
      <c r="E598">
        <f>TEST_DATA!E598</f>
        <v>2768</v>
      </c>
      <c r="F598">
        <f>MIN(E598*59800,10000)</f>
        <v>10000</v>
      </c>
      <c r="G598" t="e">
        <f ca="1">_xludf.MINIFS(CBIC_Late_Fee_Relief_Windows_1!$I$100:$I$598,CBIC_Late_Fee_Relief_Windows_1!$D$100:$D$598,"&lt;="&amp;B598,CBIC_Late_Fee_Relief_Windows_1!$E$100:$E$598,"&gt;="&amp;B598,CBIC_Late_Fee_Relief_Windows_1!$F$100:$F$598,"&lt;="&amp;C598,CBIC_Late_Fee_Relief_Windows_1!$G$100:$G$598,"&gt;="&amp;C598,CBIC_Late_Fee_Relief_Windows_1!$H$100:$H$598,D598)</f>
        <v>#NAME?</v>
      </c>
      <c r="H598" t="e">
        <f t="shared" ca="1" si="9"/>
        <v>#NAME?</v>
      </c>
      <c r="I598" t="e">
        <f ca="1">INDEX(CBIC_Late_Fee_Relief_Windows_1!$B$100:$B$598,MATCH(G598,CBIC_Late_Fee_Relief_Windows_1!$I$100:$I$598,0))</f>
        <v>#NAME?</v>
      </c>
    </row>
    <row r="599" spans="1:9" x14ac:dyDescent="0.55000000000000004">
      <c r="A599" t="str">
        <f>TEST_DATA!A599</f>
        <v>27AAAAA0599Z5</v>
      </c>
      <c r="B599" t="str">
        <f>TEST_DATA!B599</f>
        <v>Mar-2021</v>
      </c>
      <c r="C599">
        <f>TEST_DATA!C599</f>
        <v>44548</v>
      </c>
      <c r="D599" t="str">
        <f>TEST_DATA!D599</f>
        <v>NON-NIL</v>
      </c>
      <c r="E599">
        <f>TEST_DATA!E599</f>
        <v>787</v>
      </c>
      <c r="F599">
        <f>MIN(E599*59900,10000)</f>
        <v>10000</v>
      </c>
      <c r="G599" t="e">
        <f ca="1">_xludf.MINIFS(CBIC_Late_Fee_Relief_Windows_1!$I$100:$I$599,CBIC_Late_Fee_Relief_Windows_1!$D$100:$D$599,"&lt;="&amp;B599,CBIC_Late_Fee_Relief_Windows_1!$E$100:$E$599,"&gt;="&amp;B599,CBIC_Late_Fee_Relief_Windows_1!$F$100:$F$599,"&lt;="&amp;C599,CBIC_Late_Fee_Relief_Windows_1!$G$100:$G$599,"&gt;="&amp;C599,CBIC_Late_Fee_Relief_Windows_1!$H$100:$H$599,D599)</f>
        <v>#NAME?</v>
      </c>
      <c r="H599" t="e">
        <f t="shared" ca="1" si="9"/>
        <v>#NAME?</v>
      </c>
      <c r="I599" t="e">
        <f ca="1">INDEX(CBIC_Late_Fee_Relief_Windows_1!$B$100:$B$599,MATCH(G599,CBIC_Late_Fee_Relief_Windows_1!$I$100:$I$599,0))</f>
        <v>#NAME?</v>
      </c>
    </row>
    <row r="600" spans="1:9" x14ac:dyDescent="0.55000000000000004">
      <c r="A600" t="str">
        <f>TEST_DATA!A600</f>
        <v>27AAAAA0600Z5</v>
      </c>
      <c r="B600" t="str">
        <f>TEST_DATA!B600</f>
        <v>Feb-2018</v>
      </c>
      <c r="C600">
        <f>TEST_DATA!C600</f>
        <v>43488</v>
      </c>
      <c r="D600" t="str">
        <f>TEST_DATA!D600</f>
        <v>NON-NIL</v>
      </c>
      <c r="E600">
        <f>TEST_DATA!E600</f>
        <v>921</v>
      </c>
      <c r="F600">
        <f>MIN(E600*60000,10000)</f>
        <v>10000</v>
      </c>
      <c r="G600" t="e">
        <f ca="1">_xludf.MINIFS(CBIC_Late_Fee_Relief_Windows_1!$I$100:$I$600,CBIC_Late_Fee_Relief_Windows_1!$D$100:$D$600,"&lt;="&amp;B600,CBIC_Late_Fee_Relief_Windows_1!$E$100:$E$600,"&gt;="&amp;B600,CBIC_Late_Fee_Relief_Windows_1!$F$100:$F$600,"&lt;="&amp;C600,CBIC_Late_Fee_Relief_Windows_1!$G$100:$G$600,"&gt;="&amp;C600,CBIC_Late_Fee_Relief_Windows_1!$H$100:$H$600,D600)</f>
        <v>#NAME?</v>
      </c>
      <c r="H600" t="e">
        <f t="shared" ca="1" si="9"/>
        <v>#NAME?</v>
      </c>
      <c r="I600" t="e">
        <f ca="1">INDEX(CBIC_Late_Fee_Relief_Windows_1!$B$100:$B$600,MATCH(G600,CBIC_Late_Fee_Relief_Windows_1!$I$100:$I$600,0))</f>
        <v>#NAME?</v>
      </c>
    </row>
    <row r="601" spans="1:9" x14ac:dyDescent="0.55000000000000004">
      <c r="A601" t="str">
        <f>TEST_DATA!A601</f>
        <v>27AAAAA0601Z5</v>
      </c>
      <c r="B601" t="str">
        <f>TEST_DATA!B601</f>
        <v>Apr-2018</v>
      </c>
      <c r="C601">
        <f>TEST_DATA!C601</f>
        <v>44496</v>
      </c>
      <c r="D601" t="str">
        <f>TEST_DATA!D601</f>
        <v>NON-NIL</v>
      </c>
      <c r="E601">
        <f>TEST_DATA!E601</f>
        <v>2887</v>
      </c>
      <c r="F601">
        <f>MIN(E601*60100,10000)</f>
        <v>10000</v>
      </c>
      <c r="G601" t="e">
        <f ca="1">_xludf.MINIFS(CBIC_Late_Fee_Relief_Windows_1!$I$100:$I$601,CBIC_Late_Fee_Relief_Windows_1!$D$100:$D$601,"&lt;="&amp;B601,CBIC_Late_Fee_Relief_Windows_1!$E$100:$E$601,"&gt;="&amp;B601,CBIC_Late_Fee_Relief_Windows_1!$F$100:$F$601,"&lt;="&amp;C601,CBIC_Late_Fee_Relief_Windows_1!$G$100:$G$601,"&gt;="&amp;C601,CBIC_Late_Fee_Relief_Windows_1!$H$100:$H$601,D601)</f>
        <v>#NAME?</v>
      </c>
      <c r="H601" t="e">
        <f t="shared" ca="1" si="9"/>
        <v>#NAME?</v>
      </c>
      <c r="I601" t="e">
        <f ca="1">INDEX(CBIC_Late_Fee_Relief_Windows_1!$B$100:$B$601,MATCH(G601,CBIC_Late_Fee_Relief_Windows_1!$I$100:$I$601,0))</f>
        <v>#NAME?</v>
      </c>
    </row>
    <row r="602" spans="1:9" x14ac:dyDescent="0.55000000000000004">
      <c r="A602" t="str">
        <f>TEST_DATA!A602</f>
        <v>27AAAAA0602Z5</v>
      </c>
      <c r="B602" t="str">
        <f>TEST_DATA!B602</f>
        <v>Jan-2018</v>
      </c>
      <c r="C602">
        <f>TEST_DATA!C602</f>
        <v>44330</v>
      </c>
      <c r="D602" t="str">
        <f>TEST_DATA!D602</f>
        <v>NON-NIL</v>
      </c>
      <c r="E602">
        <f>TEST_DATA!E602</f>
        <v>1298</v>
      </c>
      <c r="F602">
        <f>MIN(E602*60200,10000)</f>
        <v>10000</v>
      </c>
      <c r="G602" t="e">
        <f ca="1">_xludf.MINIFS(CBIC_Late_Fee_Relief_Windows_1!$I$100:$I$602,CBIC_Late_Fee_Relief_Windows_1!$D$100:$D$602,"&lt;="&amp;B602,CBIC_Late_Fee_Relief_Windows_1!$E$100:$E$602,"&gt;="&amp;B602,CBIC_Late_Fee_Relief_Windows_1!$F$100:$F$602,"&lt;="&amp;C602,CBIC_Late_Fee_Relief_Windows_1!$G$100:$G$602,"&gt;="&amp;C602,CBIC_Late_Fee_Relief_Windows_1!$H$100:$H$602,D602)</f>
        <v>#NAME?</v>
      </c>
      <c r="H602" t="e">
        <f t="shared" ca="1" si="9"/>
        <v>#NAME?</v>
      </c>
      <c r="I602" t="e">
        <f ca="1">INDEX(CBIC_Late_Fee_Relief_Windows_1!$B$100:$B$602,MATCH(G602,CBIC_Late_Fee_Relief_Windows_1!$I$100:$I$602,0))</f>
        <v>#NAME?</v>
      </c>
    </row>
    <row r="603" spans="1:9" x14ac:dyDescent="0.55000000000000004">
      <c r="A603" t="str">
        <f>TEST_DATA!A603</f>
        <v>27AAAAA0603Z5</v>
      </c>
      <c r="B603" t="str">
        <f>TEST_DATA!B603</f>
        <v>Jan-2019</v>
      </c>
      <c r="C603">
        <f>TEST_DATA!C603</f>
        <v>44894</v>
      </c>
      <c r="D603" t="str">
        <f>TEST_DATA!D603</f>
        <v>NON-NIL</v>
      </c>
      <c r="E603">
        <f>TEST_DATA!E603</f>
        <v>1178</v>
      </c>
      <c r="F603">
        <f>MIN(E603*60300,10000)</f>
        <v>10000</v>
      </c>
      <c r="G603" t="e">
        <f ca="1">_xludf.MINIFS(CBIC_Late_Fee_Relief_Windows_1!$I$100:$I$603,CBIC_Late_Fee_Relief_Windows_1!$D$100:$D$603,"&lt;="&amp;B603,CBIC_Late_Fee_Relief_Windows_1!$E$100:$E$603,"&gt;="&amp;B603,CBIC_Late_Fee_Relief_Windows_1!$F$100:$F$603,"&lt;="&amp;C603,CBIC_Late_Fee_Relief_Windows_1!$G$100:$G$603,"&gt;="&amp;C603,CBIC_Late_Fee_Relief_Windows_1!$H$100:$H$603,D603)</f>
        <v>#NAME?</v>
      </c>
      <c r="H603" t="e">
        <f t="shared" ca="1" si="9"/>
        <v>#NAME?</v>
      </c>
      <c r="I603" t="e">
        <f ca="1">INDEX(CBIC_Late_Fee_Relief_Windows_1!$B$100:$B$603,MATCH(G603,CBIC_Late_Fee_Relief_Windows_1!$I$100:$I$603,0))</f>
        <v>#NAME?</v>
      </c>
    </row>
    <row r="604" spans="1:9" x14ac:dyDescent="0.55000000000000004">
      <c r="A604" t="str">
        <f>TEST_DATA!A604</f>
        <v>27AAAAA0604Z5</v>
      </c>
      <c r="B604" t="str">
        <f>TEST_DATA!B604</f>
        <v>Oct-2017</v>
      </c>
      <c r="C604">
        <f>TEST_DATA!C604</f>
        <v>44091</v>
      </c>
      <c r="D604" t="str">
        <f>TEST_DATA!D604</f>
        <v>NON-NIL</v>
      </c>
      <c r="E604">
        <f>TEST_DATA!E604</f>
        <v>1616</v>
      </c>
      <c r="F604">
        <f>MIN(E604*60400,10000)</f>
        <v>10000</v>
      </c>
      <c r="G604" t="e">
        <f ca="1">_xludf.MINIFS(CBIC_Late_Fee_Relief_Windows_1!$I$100:$I$604,CBIC_Late_Fee_Relief_Windows_1!$D$100:$D$604,"&lt;="&amp;B604,CBIC_Late_Fee_Relief_Windows_1!$E$100:$E$604,"&gt;="&amp;B604,CBIC_Late_Fee_Relief_Windows_1!$F$100:$F$604,"&lt;="&amp;C604,CBIC_Late_Fee_Relief_Windows_1!$G$100:$G$604,"&gt;="&amp;C604,CBIC_Late_Fee_Relief_Windows_1!$H$100:$H$604,D604)</f>
        <v>#NAME?</v>
      </c>
      <c r="H604" t="e">
        <f t="shared" ca="1" si="9"/>
        <v>#NAME?</v>
      </c>
      <c r="I604" t="e">
        <f ca="1">INDEX(CBIC_Late_Fee_Relief_Windows_1!$B$100:$B$604,MATCH(G604,CBIC_Late_Fee_Relief_Windows_1!$I$100:$I$604,0))</f>
        <v>#NAME?</v>
      </c>
    </row>
    <row r="605" spans="1:9" x14ac:dyDescent="0.55000000000000004">
      <c r="A605" t="str">
        <f>TEST_DATA!A605</f>
        <v>27AAAAA0605Z5</v>
      </c>
      <c r="B605" t="str">
        <f>TEST_DATA!B605</f>
        <v>Dec-2022</v>
      </c>
      <c r="C605">
        <f>TEST_DATA!C605</f>
        <v>44879</v>
      </c>
      <c r="D605" t="str">
        <f>TEST_DATA!D605</f>
        <v>NIL</v>
      </c>
      <c r="E605">
        <f>TEST_DATA!E605</f>
        <v>1189</v>
      </c>
      <c r="F605">
        <f>MIN(E605*60500,10000)</f>
        <v>10000</v>
      </c>
      <c r="G605" t="e">
        <f ca="1">_xludf.MINIFS(CBIC_Late_Fee_Relief_Windows_1!$I$100:$I$605,CBIC_Late_Fee_Relief_Windows_1!$D$100:$D$605,"&lt;="&amp;B605,CBIC_Late_Fee_Relief_Windows_1!$E$100:$E$605,"&gt;="&amp;B605,CBIC_Late_Fee_Relief_Windows_1!$F$100:$F$605,"&lt;="&amp;C605,CBIC_Late_Fee_Relief_Windows_1!$G$100:$G$605,"&gt;="&amp;C605,CBIC_Late_Fee_Relief_Windows_1!$H$100:$H$605,D605)</f>
        <v>#NAME?</v>
      </c>
      <c r="H605" t="e">
        <f t="shared" ca="1" si="9"/>
        <v>#NAME?</v>
      </c>
      <c r="I605" t="e">
        <f ca="1">INDEX(CBIC_Late_Fee_Relief_Windows_1!$B$100:$B$605,MATCH(G605,CBIC_Late_Fee_Relief_Windows_1!$I$100:$I$605,0))</f>
        <v>#NAME?</v>
      </c>
    </row>
    <row r="606" spans="1:9" x14ac:dyDescent="0.55000000000000004">
      <c r="A606" t="str">
        <f>TEST_DATA!A606</f>
        <v>27AAAAA0606Z5</v>
      </c>
      <c r="B606" t="str">
        <f>TEST_DATA!B606</f>
        <v>Aug-2017</v>
      </c>
      <c r="C606">
        <f>TEST_DATA!C606</f>
        <v>43506</v>
      </c>
      <c r="D606" t="str">
        <f>TEST_DATA!D606</f>
        <v>NIL</v>
      </c>
      <c r="E606">
        <f>TEST_DATA!E606</f>
        <v>1418</v>
      </c>
      <c r="F606">
        <f>MIN(E606*60600,10000)</f>
        <v>10000</v>
      </c>
      <c r="G606" t="e">
        <f ca="1">_xludf.MINIFS(CBIC_Late_Fee_Relief_Windows_1!$I$100:$I$606,CBIC_Late_Fee_Relief_Windows_1!$D$100:$D$606,"&lt;="&amp;B606,CBIC_Late_Fee_Relief_Windows_1!$E$100:$E$606,"&gt;="&amp;B606,CBIC_Late_Fee_Relief_Windows_1!$F$100:$F$606,"&lt;="&amp;C606,CBIC_Late_Fee_Relief_Windows_1!$G$100:$G$606,"&gt;="&amp;C606,CBIC_Late_Fee_Relief_Windows_1!$H$100:$H$606,D606)</f>
        <v>#NAME?</v>
      </c>
      <c r="H606" t="e">
        <f t="shared" ca="1" si="9"/>
        <v>#NAME?</v>
      </c>
      <c r="I606" t="e">
        <f ca="1">INDEX(CBIC_Late_Fee_Relief_Windows_1!$B$100:$B$606,MATCH(G606,CBIC_Late_Fee_Relief_Windows_1!$I$100:$I$606,0))</f>
        <v>#NAME?</v>
      </c>
    </row>
    <row r="607" spans="1:9" x14ac:dyDescent="0.55000000000000004">
      <c r="A607" t="str">
        <f>TEST_DATA!A607</f>
        <v>27AAAAA0607Z5</v>
      </c>
      <c r="B607" t="str">
        <f>TEST_DATA!B607</f>
        <v>Sep-2018</v>
      </c>
      <c r="C607">
        <f>TEST_DATA!C607</f>
        <v>44260</v>
      </c>
      <c r="D607" t="str">
        <f>TEST_DATA!D607</f>
        <v>NON-NIL</v>
      </c>
      <c r="E607">
        <f>TEST_DATA!E607</f>
        <v>1962</v>
      </c>
      <c r="F607">
        <f>MIN(E607*60700,10000)</f>
        <v>10000</v>
      </c>
      <c r="G607" t="e">
        <f ca="1">_xludf.MINIFS(CBIC_Late_Fee_Relief_Windows_1!$I$100:$I$607,CBIC_Late_Fee_Relief_Windows_1!$D$100:$D$607,"&lt;="&amp;B607,CBIC_Late_Fee_Relief_Windows_1!$E$100:$E$607,"&gt;="&amp;B607,CBIC_Late_Fee_Relief_Windows_1!$F$100:$F$607,"&lt;="&amp;C607,CBIC_Late_Fee_Relief_Windows_1!$G$100:$G$607,"&gt;="&amp;C607,CBIC_Late_Fee_Relief_Windows_1!$H$100:$H$607,D607)</f>
        <v>#NAME?</v>
      </c>
      <c r="H607" t="e">
        <f t="shared" ca="1" si="9"/>
        <v>#NAME?</v>
      </c>
      <c r="I607" t="e">
        <f ca="1">INDEX(CBIC_Late_Fee_Relief_Windows_1!$B$100:$B$607,MATCH(G607,CBIC_Late_Fee_Relief_Windows_1!$I$100:$I$607,0))</f>
        <v>#NAME?</v>
      </c>
    </row>
    <row r="608" spans="1:9" x14ac:dyDescent="0.55000000000000004">
      <c r="A608" t="str">
        <f>TEST_DATA!A608</f>
        <v>27AAAAA0608Z5</v>
      </c>
      <c r="B608" t="str">
        <f>TEST_DATA!B608</f>
        <v>Jan-2018</v>
      </c>
      <c r="C608">
        <f>TEST_DATA!C608</f>
        <v>43330</v>
      </c>
      <c r="D608" t="str">
        <f>TEST_DATA!D608</f>
        <v>NON-NIL</v>
      </c>
      <c r="E608">
        <f>TEST_DATA!E608</f>
        <v>2302</v>
      </c>
      <c r="F608">
        <f>MIN(E608*60800,10000)</f>
        <v>10000</v>
      </c>
      <c r="G608" t="e">
        <f ca="1">_xludf.MINIFS(CBIC_Late_Fee_Relief_Windows_1!$I$100:$I$608,CBIC_Late_Fee_Relief_Windows_1!$D$100:$D$608,"&lt;="&amp;B608,CBIC_Late_Fee_Relief_Windows_1!$E$100:$E$608,"&gt;="&amp;B608,CBIC_Late_Fee_Relief_Windows_1!$F$100:$F$608,"&lt;="&amp;C608,CBIC_Late_Fee_Relief_Windows_1!$G$100:$G$608,"&gt;="&amp;C608,CBIC_Late_Fee_Relief_Windows_1!$H$100:$H$608,D608)</f>
        <v>#NAME?</v>
      </c>
      <c r="H608" t="e">
        <f t="shared" ca="1" si="9"/>
        <v>#NAME?</v>
      </c>
      <c r="I608" t="e">
        <f ca="1">INDEX(CBIC_Late_Fee_Relief_Windows_1!$B$100:$B$608,MATCH(G608,CBIC_Late_Fee_Relief_Windows_1!$I$100:$I$608,0))</f>
        <v>#NAME?</v>
      </c>
    </row>
    <row r="609" spans="1:9" x14ac:dyDescent="0.55000000000000004">
      <c r="A609" t="str">
        <f>TEST_DATA!A609</f>
        <v>27AAAAA0609Z5</v>
      </c>
      <c r="B609" t="str">
        <f>TEST_DATA!B609</f>
        <v>Jul-2020</v>
      </c>
      <c r="C609">
        <f>TEST_DATA!C609</f>
        <v>44387</v>
      </c>
      <c r="D609" t="str">
        <f>TEST_DATA!D609</f>
        <v>NIL</v>
      </c>
      <c r="E609">
        <f>TEST_DATA!E609</f>
        <v>447</v>
      </c>
      <c r="F609">
        <f>MIN(E609*60900,10000)</f>
        <v>10000</v>
      </c>
      <c r="G609" t="e">
        <f ca="1">_xludf.MINIFS(CBIC_Late_Fee_Relief_Windows_1!$I$100:$I$609,CBIC_Late_Fee_Relief_Windows_1!$D$100:$D$609,"&lt;="&amp;B609,CBIC_Late_Fee_Relief_Windows_1!$E$100:$E$609,"&gt;="&amp;B609,CBIC_Late_Fee_Relief_Windows_1!$F$100:$F$609,"&lt;="&amp;C609,CBIC_Late_Fee_Relief_Windows_1!$G$100:$G$609,"&gt;="&amp;C609,CBIC_Late_Fee_Relief_Windows_1!$H$100:$H$609,D609)</f>
        <v>#NAME?</v>
      </c>
      <c r="H609" t="e">
        <f t="shared" ca="1" si="9"/>
        <v>#NAME?</v>
      </c>
      <c r="I609" t="e">
        <f ca="1">INDEX(CBIC_Late_Fee_Relief_Windows_1!$B$100:$B$609,MATCH(G609,CBIC_Late_Fee_Relief_Windows_1!$I$100:$I$609,0))</f>
        <v>#NAME?</v>
      </c>
    </row>
    <row r="610" spans="1:9" x14ac:dyDescent="0.55000000000000004">
      <c r="A610" t="str">
        <f>TEST_DATA!A610</f>
        <v>27AAAAA0610Z5</v>
      </c>
      <c r="B610" t="str">
        <f>TEST_DATA!B610</f>
        <v>Apr-2020</v>
      </c>
      <c r="C610">
        <f>TEST_DATA!C610</f>
        <v>44321</v>
      </c>
      <c r="D610" t="str">
        <f>TEST_DATA!D610</f>
        <v>NIL</v>
      </c>
      <c r="E610">
        <f>TEST_DATA!E610</f>
        <v>207</v>
      </c>
      <c r="F610">
        <f>MIN(E610*61000,10000)</f>
        <v>10000</v>
      </c>
      <c r="G610" t="e">
        <f ca="1">_xludf.MINIFS(CBIC_Late_Fee_Relief_Windows_1!$I$100:$I$610,CBIC_Late_Fee_Relief_Windows_1!$D$100:$D$610,"&lt;="&amp;B610,CBIC_Late_Fee_Relief_Windows_1!$E$100:$E$610,"&gt;="&amp;B610,CBIC_Late_Fee_Relief_Windows_1!$F$100:$F$610,"&lt;="&amp;C610,CBIC_Late_Fee_Relief_Windows_1!$G$100:$G$610,"&gt;="&amp;C610,CBIC_Late_Fee_Relief_Windows_1!$H$100:$H$610,D610)</f>
        <v>#NAME?</v>
      </c>
      <c r="H610" t="e">
        <f t="shared" ca="1" si="9"/>
        <v>#NAME?</v>
      </c>
      <c r="I610" t="e">
        <f ca="1">INDEX(CBIC_Late_Fee_Relief_Windows_1!$B$100:$B$610,MATCH(G610,CBIC_Late_Fee_Relief_Windows_1!$I$100:$I$610,0))</f>
        <v>#NAME?</v>
      </c>
    </row>
    <row r="611" spans="1:9" x14ac:dyDescent="0.55000000000000004">
      <c r="A611" t="str">
        <f>TEST_DATA!A611</f>
        <v>27AAAAA0611Z5</v>
      </c>
      <c r="B611" t="str">
        <f>TEST_DATA!B611</f>
        <v>Jun-2020</v>
      </c>
      <c r="C611">
        <f>TEST_DATA!C611</f>
        <v>44918</v>
      </c>
      <c r="D611" t="str">
        <f>TEST_DATA!D611</f>
        <v>NIL</v>
      </c>
      <c r="E611">
        <f>TEST_DATA!E611</f>
        <v>2613</v>
      </c>
      <c r="F611">
        <f>MIN(E611*61100,10000)</f>
        <v>10000</v>
      </c>
      <c r="G611" t="e">
        <f ca="1">_xludf.MINIFS(CBIC_Late_Fee_Relief_Windows_1!$I$100:$I$611,CBIC_Late_Fee_Relief_Windows_1!$D$100:$D$611,"&lt;="&amp;B611,CBIC_Late_Fee_Relief_Windows_1!$E$100:$E$611,"&gt;="&amp;B611,CBIC_Late_Fee_Relief_Windows_1!$F$100:$F$611,"&lt;="&amp;C611,CBIC_Late_Fee_Relief_Windows_1!$G$100:$G$611,"&gt;="&amp;C611,CBIC_Late_Fee_Relief_Windows_1!$H$100:$H$611,D611)</f>
        <v>#NAME?</v>
      </c>
      <c r="H611" t="e">
        <f t="shared" ca="1" si="9"/>
        <v>#NAME?</v>
      </c>
      <c r="I611" t="e">
        <f ca="1">INDEX(CBIC_Late_Fee_Relief_Windows_1!$B$100:$B$611,MATCH(G611,CBIC_Late_Fee_Relief_Windows_1!$I$100:$I$611,0))</f>
        <v>#NAME?</v>
      </c>
    </row>
    <row r="612" spans="1:9" x14ac:dyDescent="0.55000000000000004">
      <c r="A612" t="str">
        <f>TEST_DATA!A612</f>
        <v>27AAAAA0612Z5</v>
      </c>
      <c r="B612" t="str">
        <f>TEST_DATA!B612</f>
        <v>Feb-2018</v>
      </c>
      <c r="C612">
        <f>TEST_DATA!C612</f>
        <v>43024</v>
      </c>
      <c r="D612" t="str">
        <f>TEST_DATA!D612</f>
        <v>NIL</v>
      </c>
      <c r="E612">
        <f>TEST_DATA!E612</f>
        <v>1692</v>
      </c>
      <c r="F612">
        <f>MIN(E612*61200,10000)</f>
        <v>10000</v>
      </c>
      <c r="G612" t="e">
        <f ca="1">_xludf.MINIFS(CBIC_Late_Fee_Relief_Windows_1!$I$100:$I$612,CBIC_Late_Fee_Relief_Windows_1!$D$100:$D$612,"&lt;="&amp;B612,CBIC_Late_Fee_Relief_Windows_1!$E$100:$E$612,"&gt;="&amp;B612,CBIC_Late_Fee_Relief_Windows_1!$F$100:$F$612,"&lt;="&amp;C612,CBIC_Late_Fee_Relief_Windows_1!$G$100:$G$612,"&gt;="&amp;C612,CBIC_Late_Fee_Relief_Windows_1!$H$100:$H$612,D612)</f>
        <v>#NAME?</v>
      </c>
      <c r="H612" t="e">
        <f t="shared" ca="1" si="9"/>
        <v>#NAME?</v>
      </c>
      <c r="I612" t="e">
        <f ca="1">INDEX(CBIC_Late_Fee_Relief_Windows_1!$B$100:$B$612,MATCH(G612,CBIC_Late_Fee_Relief_Windows_1!$I$100:$I$612,0))</f>
        <v>#NAME?</v>
      </c>
    </row>
    <row r="613" spans="1:9" x14ac:dyDescent="0.55000000000000004">
      <c r="A613" t="str">
        <f>TEST_DATA!A613</f>
        <v>27AAAAA0613Z5</v>
      </c>
      <c r="B613" t="str">
        <f>TEST_DATA!B613</f>
        <v>May-2018</v>
      </c>
      <c r="C613">
        <f>TEST_DATA!C613</f>
        <v>44386</v>
      </c>
      <c r="D613" t="str">
        <f>TEST_DATA!D613</f>
        <v>NON-NIL</v>
      </c>
      <c r="E613">
        <f>TEST_DATA!E613</f>
        <v>411</v>
      </c>
      <c r="F613">
        <f>MIN(E613*61300,10000)</f>
        <v>10000</v>
      </c>
      <c r="G613" t="e">
        <f ca="1">_xludf.MINIFS(CBIC_Late_Fee_Relief_Windows_1!$I$100:$I$613,CBIC_Late_Fee_Relief_Windows_1!$D$100:$D$613,"&lt;="&amp;B613,CBIC_Late_Fee_Relief_Windows_1!$E$100:$E$613,"&gt;="&amp;B613,CBIC_Late_Fee_Relief_Windows_1!$F$100:$F$613,"&lt;="&amp;C613,CBIC_Late_Fee_Relief_Windows_1!$G$100:$G$613,"&gt;="&amp;C613,CBIC_Late_Fee_Relief_Windows_1!$H$100:$H$613,D613)</f>
        <v>#NAME?</v>
      </c>
      <c r="H613" t="e">
        <f t="shared" ca="1" si="9"/>
        <v>#NAME?</v>
      </c>
      <c r="I613" t="e">
        <f ca="1">INDEX(CBIC_Late_Fee_Relief_Windows_1!$B$100:$B$613,MATCH(G613,CBIC_Late_Fee_Relief_Windows_1!$I$100:$I$613,0))</f>
        <v>#NAME?</v>
      </c>
    </row>
    <row r="614" spans="1:9" x14ac:dyDescent="0.55000000000000004">
      <c r="A614" t="str">
        <f>TEST_DATA!A614</f>
        <v>27AAAAA0614Z5</v>
      </c>
      <c r="B614" t="str">
        <f>TEST_DATA!B614</f>
        <v>Jun-2020</v>
      </c>
      <c r="C614">
        <f>TEST_DATA!C614</f>
        <v>44112</v>
      </c>
      <c r="D614" t="str">
        <f>TEST_DATA!D614</f>
        <v>NIL</v>
      </c>
      <c r="E614">
        <f>TEST_DATA!E614</f>
        <v>2254</v>
      </c>
      <c r="F614">
        <f>MIN(E614*61400,10000)</f>
        <v>10000</v>
      </c>
      <c r="G614" t="e">
        <f ca="1">_xludf.MINIFS(CBIC_Late_Fee_Relief_Windows_1!$I$100:$I$614,CBIC_Late_Fee_Relief_Windows_1!$D$100:$D$614,"&lt;="&amp;B614,CBIC_Late_Fee_Relief_Windows_1!$E$100:$E$614,"&gt;="&amp;B614,CBIC_Late_Fee_Relief_Windows_1!$F$100:$F$614,"&lt;="&amp;C614,CBIC_Late_Fee_Relief_Windows_1!$G$100:$G$614,"&gt;="&amp;C614,CBIC_Late_Fee_Relief_Windows_1!$H$100:$H$614,D614)</f>
        <v>#NAME?</v>
      </c>
      <c r="H614" t="e">
        <f t="shared" ca="1" si="9"/>
        <v>#NAME?</v>
      </c>
      <c r="I614" t="e">
        <f ca="1">INDEX(CBIC_Late_Fee_Relief_Windows_1!$B$100:$B$614,MATCH(G614,CBIC_Late_Fee_Relief_Windows_1!$I$100:$I$614,0))</f>
        <v>#NAME?</v>
      </c>
    </row>
    <row r="615" spans="1:9" x14ac:dyDescent="0.55000000000000004">
      <c r="A615" t="str">
        <f>TEST_DATA!A615</f>
        <v>27AAAAA0615Z5</v>
      </c>
      <c r="B615" t="str">
        <f>TEST_DATA!B615</f>
        <v>Dec-2017</v>
      </c>
      <c r="C615">
        <f>TEST_DATA!C615</f>
        <v>43750</v>
      </c>
      <c r="D615" t="str">
        <f>TEST_DATA!D615</f>
        <v>NON-NIL</v>
      </c>
      <c r="E615">
        <f>TEST_DATA!E615</f>
        <v>1955</v>
      </c>
      <c r="F615">
        <f>MIN(E615*61500,10000)</f>
        <v>10000</v>
      </c>
      <c r="G615" t="e">
        <f ca="1">_xludf.MINIFS(CBIC_Late_Fee_Relief_Windows_1!$I$100:$I$615,CBIC_Late_Fee_Relief_Windows_1!$D$100:$D$615,"&lt;="&amp;B615,CBIC_Late_Fee_Relief_Windows_1!$E$100:$E$615,"&gt;="&amp;B615,CBIC_Late_Fee_Relief_Windows_1!$F$100:$F$615,"&lt;="&amp;C615,CBIC_Late_Fee_Relief_Windows_1!$G$100:$G$615,"&gt;="&amp;C615,CBIC_Late_Fee_Relief_Windows_1!$H$100:$H$615,D615)</f>
        <v>#NAME?</v>
      </c>
      <c r="H615" t="e">
        <f t="shared" ca="1" si="9"/>
        <v>#NAME?</v>
      </c>
      <c r="I615" t="e">
        <f ca="1">INDEX(CBIC_Late_Fee_Relief_Windows_1!$B$100:$B$615,MATCH(G615,CBIC_Late_Fee_Relief_Windows_1!$I$100:$I$615,0))</f>
        <v>#NAME?</v>
      </c>
    </row>
    <row r="616" spans="1:9" x14ac:dyDescent="0.55000000000000004">
      <c r="A616" t="str">
        <f>TEST_DATA!A616</f>
        <v>27AAAAA0616Z5</v>
      </c>
      <c r="B616" t="str">
        <f>TEST_DATA!B616</f>
        <v>May-2020</v>
      </c>
      <c r="C616">
        <f>TEST_DATA!C616</f>
        <v>44239</v>
      </c>
      <c r="D616" t="str">
        <f>TEST_DATA!D616</f>
        <v>NON-NIL</v>
      </c>
      <c r="E616">
        <f>TEST_DATA!E616</f>
        <v>1315</v>
      </c>
      <c r="F616">
        <f>MIN(E616*61600,10000)</f>
        <v>10000</v>
      </c>
      <c r="G616" t="e">
        <f ca="1">_xludf.MINIFS(CBIC_Late_Fee_Relief_Windows_1!$I$100:$I$616,CBIC_Late_Fee_Relief_Windows_1!$D$100:$D$616,"&lt;="&amp;B616,CBIC_Late_Fee_Relief_Windows_1!$E$100:$E$616,"&gt;="&amp;B616,CBIC_Late_Fee_Relief_Windows_1!$F$100:$F$616,"&lt;="&amp;C616,CBIC_Late_Fee_Relief_Windows_1!$G$100:$G$616,"&gt;="&amp;C616,CBIC_Late_Fee_Relief_Windows_1!$H$100:$H$616,D616)</f>
        <v>#NAME?</v>
      </c>
      <c r="H616" t="e">
        <f t="shared" ca="1" si="9"/>
        <v>#NAME?</v>
      </c>
      <c r="I616" t="e">
        <f ca="1">INDEX(CBIC_Late_Fee_Relief_Windows_1!$B$100:$B$616,MATCH(G616,CBIC_Late_Fee_Relief_Windows_1!$I$100:$I$616,0))</f>
        <v>#NAME?</v>
      </c>
    </row>
    <row r="617" spans="1:9" x14ac:dyDescent="0.55000000000000004">
      <c r="A617" t="str">
        <f>TEST_DATA!A617</f>
        <v>27AAAAA0617Z5</v>
      </c>
      <c r="B617" t="str">
        <f>TEST_DATA!B617</f>
        <v>Apr-2018</v>
      </c>
      <c r="C617">
        <f>TEST_DATA!C617</f>
        <v>44239</v>
      </c>
      <c r="D617" t="str">
        <f>TEST_DATA!D617</f>
        <v>NIL</v>
      </c>
      <c r="E617">
        <f>TEST_DATA!E617</f>
        <v>366</v>
      </c>
      <c r="F617">
        <f>MIN(E617*61700,10000)</f>
        <v>10000</v>
      </c>
      <c r="G617" t="e">
        <f ca="1">_xludf.MINIFS(CBIC_Late_Fee_Relief_Windows_1!$I$100:$I$617,CBIC_Late_Fee_Relief_Windows_1!$D$100:$D$617,"&lt;="&amp;B617,CBIC_Late_Fee_Relief_Windows_1!$E$100:$E$617,"&gt;="&amp;B617,CBIC_Late_Fee_Relief_Windows_1!$F$100:$F$617,"&lt;="&amp;C617,CBIC_Late_Fee_Relief_Windows_1!$G$100:$G$617,"&gt;="&amp;C617,CBIC_Late_Fee_Relief_Windows_1!$H$100:$H$617,D617)</f>
        <v>#NAME?</v>
      </c>
      <c r="H617" t="e">
        <f t="shared" ca="1" si="9"/>
        <v>#NAME?</v>
      </c>
      <c r="I617" t="e">
        <f ca="1">INDEX(CBIC_Late_Fee_Relief_Windows_1!$B$100:$B$617,MATCH(G617,CBIC_Late_Fee_Relief_Windows_1!$I$100:$I$617,0))</f>
        <v>#NAME?</v>
      </c>
    </row>
    <row r="618" spans="1:9" x14ac:dyDescent="0.55000000000000004">
      <c r="A618" t="str">
        <f>TEST_DATA!A618</f>
        <v>27AAAAA0618Z5</v>
      </c>
      <c r="B618" t="str">
        <f>TEST_DATA!B618</f>
        <v>May-2020</v>
      </c>
      <c r="C618">
        <f>TEST_DATA!C618</f>
        <v>44306</v>
      </c>
      <c r="D618" t="str">
        <f>TEST_DATA!D618</f>
        <v>NIL</v>
      </c>
      <c r="E618">
        <f>TEST_DATA!E618</f>
        <v>717</v>
      </c>
      <c r="F618">
        <f>MIN(E618*61800,10000)</f>
        <v>10000</v>
      </c>
      <c r="G618" t="e">
        <f ca="1">_xludf.MINIFS(CBIC_Late_Fee_Relief_Windows_1!$I$100:$I$618,CBIC_Late_Fee_Relief_Windows_1!$D$100:$D$618,"&lt;="&amp;B618,CBIC_Late_Fee_Relief_Windows_1!$E$100:$E$618,"&gt;="&amp;B618,CBIC_Late_Fee_Relief_Windows_1!$F$100:$F$618,"&lt;="&amp;C618,CBIC_Late_Fee_Relief_Windows_1!$G$100:$G$618,"&gt;="&amp;C618,CBIC_Late_Fee_Relief_Windows_1!$H$100:$H$618,D618)</f>
        <v>#NAME?</v>
      </c>
      <c r="H618" t="e">
        <f t="shared" ca="1" si="9"/>
        <v>#NAME?</v>
      </c>
      <c r="I618" t="e">
        <f ca="1">INDEX(CBIC_Late_Fee_Relief_Windows_1!$B$100:$B$618,MATCH(G618,CBIC_Late_Fee_Relief_Windows_1!$I$100:$I$618,0))</f>
        <v>#NAME?</v>
      </c>
    </row>
    <row r="619" spans="1:9" x14ac:dyDescent="0.55000000000000004">
      <c r="A619" t="str">
        <f>TEST_DATA!A619</f>
        <v>27AAAAA0619Z5</v>
      </c>
      <c r="B619" t="str">
        <f>TEST_DATA!B619</f>
        <v>Aug-2018</v>
      </c>
      <c r="C619">
        <f>TEST_DATA!C619</f>
        <v>43277</v>
      </c>
      <c r="D619" t="str">
        <f>TEST_DATA!D619</f>
        <v>NIL</v>
      </c>
      <c r="E619">
        <f>TEST_DATA!E619</f>
        <v>1626</v>
      </c>
      <c r="F619">
        <f>MIN(E619*61900,10000)</f>
        <v>10000</v>
      </c>
      <c r="G619" t="e">
        <f ca="1">_xludf.MINIFS(CBIC_Late_Fee_Relief_Windows_1!$I$100:$I$619,CBIC_Late_Fee_Relief_Windows_1!$D$100:$D$619,"&lt;="&amp;B619,CBIC_Late_Fee_Relief_Windows_1!$E$100:$E$619,"&gt;="&amp;B619,CBIC_Late_Fee_Relief_Windows_1!$F$100:$F$619,"&lt;="&amp;C619,CBIC_Late_Fee_Relief_Windows_1!$G$100:$G$619,"&gt;="&amp;C619,CBIC_Late_Fee_Relief_Windows_1!$H$100:$H$619,D619)</f>
        <v>#NAME?</v>
      </c>
      <c r="H619" t="e">
        <f t="shared" ca="1" si="9"/>
        <v>#NAME?</v>
      </c>
      <c r="I619" t="e">
        <f ca="1">INDEX(CBIC_Late_Fee_Relief_Windows_1!$B$100:$B$619,MATCH(G619,CBIC_Late_Fee_Relief_Windows_1!$I$100:$I$619,0))</f>
        <v>#NAME?</v>
      </c>
    </row>
    <row r="620" spans="1:9" x14ac:dyDescent="0.55000000000000004">
      <c r="A620" t="str">
        <f>TEST_DATA!A620</f>
        <v>27AAAAA0620Z5</v>
      </c>
      <c r="B620" t="str">
        <f>TEST_DATA!B620</f>
        <v>Apr-2021</v>
      </c>
      <c r="C620">
        <f>TEST_DATA!C620</f>
        <v>45495</v>
      </c>
      <c r="D620" t="str">
        <f>TEST_DATA!D620</f>
        <v>NIL</v>
      </c>
      <c r="E620">
        <f>TEST_DATA!E620</f>
        <v>1185</v>
      </c>
      <c r="F620">
        <f>MIN(E620*62000,10000)</f>
        <v>10000</v>
      </c>
      <c r="G620" t="e">
        <f ca="1">_xludf.MINIFS(CBIC_Late_Fee_Relief_Windows_1!$I$100:$I$620,CBIC_Late_Fee_Relief_Windows_1!$D$100:$D$620,"&lt;="&amp;B620,CBIC_Late_Fee_Relief_Windows_1!$E$100:$E$620,"&gt;="&amp;B620,CBIC_Late_Fee_Relief_Windows_1!$F$100:$F$620,"&lt;="&amp;C620,CBIC_Late_Fee_Relief_Windows_1!$G$100:$G$620,"&gt;="&amp;C620,CBIC_Late_Fee_Relief_Windows_1!$H$100:$H$620,D620)</f>
        <v>#NAME?</v>
      </c>
      <c r="H620" t="e">
        <f t="shared" ca="1" si="9"/>
        <v>#NAME?</v>
      </c>
      <c r="I620" t="e">
        <f ca="1">INDEX(CBIC_Late_Fee_Relief_Windows_1!$B$100:$B$620,MATCH(G620,CBIC_Late_Fee_Relief_Windows_1!$I$100:$I$620,0))</f>
        <v>#NAME?</v>
      </c>
    </row>
    <row r="621" spans="1:9" x14ac:dyDescent="0.55000000000000004">
      <c r="A621" t="str">
        <f>TEST_DATA!A621</f>
        <v>27AAAAA0621Z5</v>
      </c>
      <c r="B621" t="str">
        <f>TEST_DATA!B621</f>
        <v>Dec-2024</v>
      </c>
      <c r="C621">
        <f>TEST_DATA!C621</f>
        <v>43619</v>
      </c>
      <c r="D621" t="str">
        <f>TEST_DATA!D621</f>
        <v>NIL</v>
      </c>
      <c r="E621">
        <f>TEST_DATA!E621</f>
        <v>1222</v>
      </c>
      <c r="F621">
        <f>MIN(E621*62100,10000)</f>
        <v>10000</v>
      </c>
      <c r="G621" t="e">
        <f ca="1">_xludf.MINIFS(CBIC_Late_Fee_Relief_Windows_1!$I$100:$I$621,CBIC_Late_Fee_Relief_Windows_1!$D$100:$D$621,"&lt;="&amp;B621,CBIC_Late_Fee_Relief_Windows_1!$E$100:$E$621,"&gt;="&amp;B621,CBIC_Late_Fee_Relief_Windows_1!$F$100:$F$621,"&lt;="&amp;C621,CBIC_Late_Fee_Relief_Windows_1!$G$100:$G$621,"&gt;="&amp;C621,CBIC_Late_Fee_Relief_Windows_1!$H$100:$H$621,D621)</f>
        <v>#NAME?</v>
      </c>
      <c r="H621" t="e">
        <f t="shared" ca="1" si="9"/>
        <v>#NAME?</v>
      </c>
      <c r="I621" t="e">
        <f ca="1">INDEX(CBIC_Late_Fee_Relief_Windows_1!$B$100:$B$621,MATCH(G621,CBIC_Late_Fee_Relief_Windows_1!$I$100:$I$621,0))</f>
        <v>#NAME?</v>
      </c>
    </row>
    <row r="622" spans="1:9" x14ac:dyDescent="0.55000000000000004">
      <c r="A622" t="str">
        <f>TEST_DATA!A622</f>
        <v>27AAAAA0622Z5</v>
      </c>
      <c r="B622" t="str">
        <f>TEST_DATA!B622</f>
        <v>Mar-2020</v>
      </c>
      <c r="C622">
        <f>TEST_DATA!C622</f>
        <v>44050</v>
      </c>
      <c r="D622" t="str">
        <f>TEST_DATA!D622</f>
        <v>NON-NIL</v>
      </c>
      <c r="E622">
        <f>TEST_DATA!E622</f>
        <v>1165</v>
      </c>
      <c r="F622">
        <f>MIN(E622*62200,10000)</f>
        <v>10000</v>
      </c>
      <c r="G622" t="e">
        <f ca="1">_xludf.MINIFS(CBIC_Late_Fee_Relief_Windows_1!$I$100:$I$622,CBIC_Late_Fee_Relief_Windows_1!$D$100:$D$622,"&lt;="&amp;B622,CBIC_Late_Fee_Relief_Windows_1!$E$100:$E$622,"&gt;="&amp;B622,CBIC_Late_Fee_Relief_Windows_1!$F$100:$F$622,"&lt;="&amp;C622,CBIC_Late_Fee_Relief_Windows_1!$G$100:$G$622,"&gt;="&amp;C622,CBIC_Late_Fee_Relief_Windows_1!$H$100:$H$622,D622)</f>
        <v>#NAME?</v>
      </c>
      <c r="H622" t="e">
        <f t="shared" ca="1" si="9"/>
        <v>#NAME?</v>
      </c>
      <c r="I622" t="e">
        <f ca="1">INDEX(CBIC_Late_Fee_Relief_Windows_1!$B$100:$B$622,MATCH(G622,CBIC_Late_Fee_Relief_Windows_1!$I$100:$I$622,0))</f>
        <v>#NAME?</v>
      </c>
    </row>
    <row r="623" spans="1:9" x14ac:dyDescent="0.55000000000000004">
      <c r="A623" t="str">
        <f>TEST_DATA!A623</f>
        <v>27AAAAA0623Z5</v>
      </c>
      <c r="B623" t="str">
        <f>TEST_DATA!B623</f>
        <v>Sep-2018</v>
      </c>
      <c r="C623">
        <f>TEST_DATA!C623</f>
        <v>44230</v>
      </c>
      <c r="D623" t="str">
        <f>TEST_DATA!D623</f>
        <v>NON-NIL</v>
      </c>
      <c r="E623">
        <f>TEST_DATA!E623</f>
        <v>549</v>
      </c>
      <c r="F623">
        <f>MIN(E623*62300,10000)</f>
        <v>10000</v>
      </c>
      <c r="G623" t="e">
        <f ca="1">_xludf.MINIFS(CBIC_Late_Fee_Relief_Windows_1!$I$100:$I$623,CBIC_Late_Fee_Relief_Windows_1!$D$100:$D$623,"&lt;="&amp;B623,CBIC_Late_Fee_Relief_Windows_1!$E$100:$E$623,"&gt;="&amp;B623,CBIC_Late_Fee_Relief_Windows_1!$F$100:$F$623,"&lt;="&amp;C623,CBIC_Late_Fee_Relief_Windows_1!$G$100:$G$623,"&gt;="&amp;C623,CBIC_Late_Fee_Relief_Windows_1!$H$100:$H$623,D623)</f>
        <v>#NAME?</v>
      </c>
      <c r="H623" t="e">
        <f t="shared" ca="1" si="9"/>
        <v>#NAME?</v>
      </c>
      <c r="I623" t="e">
        <f ca="1">INDEX(CBIC_Late_Fee_Relief_Windows_1!$B$100:$B$623,MATCH(G623,CBIC_Late_Fee_Relief_Windows_1!$I$100:$I$623,0))</f>
        <v>#NAME?</v>
      </c>
    </row>
    <row r="624" spans="1:9" x14ac:dyDescent="0.55000000000000004">
      <c r="A624" t="str">
        <f>TEST_DATA!A624</f>
        <v>27AAAAA0624Z5</v>
      </c>
      <c r="B624" t="str">
        <f>TEST_DATA!B624</f>
        <v>Mar-2023</v>
      </c>
      <c r="C624">
        <f>TEST_DATA!C624</f>
        <v>45531</v>
      </c>
      <c r="D624" t="str">
        <f>TEST_DATA!D624</f>
        <v>NON-NIL</v>
      </c>
      <c r="E624">
        <f>TEST_DATA!E624</f>
        <v>1117</v>
      </c>
      <c r="F624">
        <f>MIN(E624*62400,10000)</f>
        <v>10000</v>
      </c>
      <c r="G624" t="e">
        <f ca="1">_xludf.MINIFS(CBIC_Late_Fee_Relief_Windows_1!$I$100:$I$624,CBIC_Late_Fee_Relief_Windows_1!$D$100:$D$624,"&lt;="&amp;B624,CBIC_Late_Fee_Relief_Windows_1!$E$100:$E$624,"&gt;="&amp;B624,CBIC_Late_Fee_Relief_Windows_1!$F$100:$F$624,"&lt;="&amp;C624,CBIC_Late_Fee_Relief_Windows_1!$G$100:$G$624,"&gt;="&amp;C624,CBIC_Late_Fee_Relief_Windows_1!$H$100:$H$624,D624)</f>
        <v>#NAME?</v>
      </c>
      <c r="H624" t="e">
        <f t="shared" ca="1" si="9"/>
        <v>#NAME?</v>
      </c>
      <c r="I624" t="e">
        <f ca="1">INDEX(CBIC_Late_Fee_Relief_Windows_1!$B$100:$B$624,MATCH(G624,CBIC_Late_Fee_Relief_Windows_1!$I$100:$I$624,0))</f>
        <v>#NAME?</v>
      </c>
    </row>
    <row r="625" spans="1:9" x14ac:dyDescent="0.55000000000000004">
      <c r="A625" t="str">
        <f>TEST_DATA!A625</f>
        <v>27AAAAA0625Z5</v>
      </c>
      <c r="B625" t="str">
        <f>TEST_DATA!B625</f>
        <v>Jan-2018</v>
      </c>
      <c r="C625">
        <f>TEST_DATA!C625</f>
        <v>43147</v>
      </c>
      <c r="D625" t="str">
        <f>TEST_DATA!D625</f>
        <v>NON-NIL</v>
      </c>
      <c r="E625">
        <f>TEST_DATA!E625</f>
        <v>665</v>
      </c>
      <c r="F625">
        <f>MIN(E625*62500,10000)</f>
        <v>10000</v>
      </c>
      <c r="G625" t="e">
        <f ca="1">_xludf.MINIFS(CBIC_Late_Fee_Relief_Windows_1!$I$100:$I$625,CBIC_Late_Fee_Relief_Windows_1!$D$100:$D$625,"&lt;="&amp;B625,CBIC_Late_Fee_Relief_Windows_1!$E$100:$E$625,"&gt;="&amp;B625,CBIC_Late_Fee_Relief_Windows_1!$F$100:$F$625,"&lt;="&amp;C625,CBIC_Late_Fee_Relief_Windows_1!$G$100:$G$625,"&gt;="&amp;C625,CBIC_Late_Fee_Relief_Windows_1!$H$100:$H$625,D625)</f>
        <v>#NAME?</v>
      </c>
      <c r="H625" t="e">
        <f t="shared" ca="1" si="9"/>
        <v>#NAME?</v>
      </c>
      <c r="I625" t="e">
        <f ca="1">INDEX(CBIC_Late_Fee_Relief_Windows_1!$B$100:$B$625,MATCH(G625,CBIC_Late_Fee_Relief_Windows_1!$I$100:$I$625,0))</f>
        <v>#NAME?</v>
      </c>
    </row>
    <row r="626" spans="1:9" x14ac:dyDescent="0.55000000000000004">
      <c r="A626" t="str">
        <f>TEST_DATA!A626</f>
        <v>27AAAAA0626Z5</v>
      </c>
      <c r="B626" t="str">
        <f>TEST_DATA!B626</f>
        <v>Jan-2021</v>
      </c>
      <c r="C626">
        <f>TEST_DATA!C626</f>
        <v>45345</v>
      </c>
      <c r="D626" t="str">
        <f>TEST_DATA!D626</f>
        <v>NON-NIL</v>
      </c>
      <c r="E626">
        <f>TEST_DATA!E626</f>
        <v>2943</v>
      </c>
      <c r="F626">
        <f>MIN(E626*62600,10000)</f>
        <v>10000</v>
      </c>
      <c r="G626" t="e">
        <f ca="1">_xludf.MINIFS(CBIC_Late_Fee_Relief_Windows_1!$I$100:$I$626,CBIC_Late_Fee_Relief_Windows_1!$D$100:$D$626,"&lt;="&amp;B626,CBIC_Late_Fee_Relief_Windows_1!$E$100:$E$626,"&gt;="&amp;B626,CBIC_Late_Fee_Relief_Windows_1!$F$100:$F$626,"&lt;="&amp;C626,CBIC_Late_Fee_Relief_Windows_1!$G$100:$G$626,"&gt;="&amp;C626,CBIC_Late_Fee_Relief_Windows_1!$H$100:$H$626,D626)</f>
        <v>#NAME?</v>
      </c>
      <c r="H626" t="e">
        <f t="shared" ca="1" si="9"/>
        <v>#NAME?</v>
      </c>
      <c r="I626" t="e">
        <f ca="1">INDEX(CBIC_Late_Fee_Relief_Windows_1!$B$100:$B$626,MATCH(G626,CBIC_Late_Fee_Relief_Windows_1!$I$100:$I$626,0))</f>
        <v>#NAME?</v>
      </c>
    </row>
    <row r="627" spans="1:9" x14ac:dyDescent="0.55000000000000004">
      <c r="A627" t="str">
        <f>TEST_DATA!A627</f>
        <v>27AAAAA0627Z5</v>
      </c>
      <c r="B627" t="str">
        <f>TEST_DATA!B627</f>
        <v>Dec-2017</v>
      </c>
      <c r="C627">
        <f>TEST_DATA!C627</f>
        <v>42945</v>
      </c>
      <c r="D627" t="str">
        <f>TEST_DATA!D627</f>
        <v>NON-NIL</v>
      </c>
      <c r="E627">
        <f>TEST_DATA!E627</f>
        <v>1208</v>
      </c>
      <c r="F627">
        <f>MIN(E627*62700,10000)</f>
        <v>10000</v>
      </c>
      <c r="G627" t="e">
        <f ca="1">_xludf.MINIFS(CBIC_Late_Fee_Relief_Windows_1!$I$100:$I$627,CBIC_Late_Fee_Relief_Windows_1!$D$100:$D$627,"&lt;="&amp;B627,CBIC_Late_Fee_Relief_Windows_1!$E$100:$E$627,"&gt;="&amp;B627,CBIC_Late_Fee_Relief_Windows_1!$F$100:$F$627,"&lt;="&amp;C627,CBIC_Late_Fee_Relief_Windows_1!$G$100:$G$627,"&gt;="&amp;C627,CBIC_Late_Fee_Relief_Windows_1!$H$100:$H$627,D627)</f>
        <v>#NAME?</v>
      </c>
      <c r="H627" t="e">
        <f t="shared" ca="1" si="9"/>
        <v>#NAME?</v>
      </c>
      <c r="I627" t="e">
        <f ca="1">INDEX(CBIC_Late_Fee_Relief_Windows_1!$B$100:$B$627,MATCH(G627,CBIC_Late_Fee_Relief_Windows_1!$I$100:$I$627,0))</f>
        <v>#NAME?</v>
      </c>
    </row>
    <row r="628" spans="1:9" x14ac:dyDescent="0.55000000000000004">
      <c r="A628" t="str">
        <f>TEST_DATA!A628</f>
        <v>27AAAAA0628Z5</v>
      </c>
      <c r="B628" t="str">
        <f>TEST_DATA!B628</f>
        <v>Mar-2020</v>
      </c>
      <c r="C628">
        <f>TEST_DATA!C628</f>
        <v>44226</v>
      </c>
      <c r="D628" t="str">
        <f>TEST_DATA!D628</f>
        <v>NIL</v>
      </c>
      <c r="E628">
        <f>TEST_DATA!E628</f>
        <v>2502</v>
      </c>
      <c r="F628">
        <f>MIN(E628*62800,10000)</f>
        <v>10000</v>
      </c>
      <c r="G628" t="e">
        <f ca="1">_xludf.MINIFS(CBIC_Late_Fee_Relief_Windows_1!$I$100:$I$628,CBIC_Late_Fee_Relief_Windows_1!$D$100:$D$628,"&lt;="&amp;B628,CBIC_Late_Fee_Relief_Windows_1!$E$100:$E$628,"&gt;="&amp;B628,CBIC_Late_Fee_Relief_Windows_1!$F$100:$F$628,"&lt;="&amp;C628,CBIC_Late_Fee_Relief_Windows_1!$G$100:$G$628,"&gt;="&amp;C628,CBIC_Late_Fee_Relief_Windows_1!$H$100:$H$628,D628)</f>
        <v>#NAME?</v>
      </c>
      <c r="H628" t="e">
        <f t="shared" ca="1" si="9"/>
        <v>#NAME?</v>
      </c>
      <c r="I628" t="e">
        <f ca="1">INDEX(CBIC_Late_Fee_Relief_Windows_1!$B$100:$B$628,MATCH(G628,CBIC_Late_Fee_Relief_Windows_1!$I$100:$I$628,0))</f>
        <v>#NAME?</v>
      </c>
    </row>
    <row r="629" spans="1:9" x14ac:dyDescent="0.55000000000000004">
      <c r="A629" t="str">
        <f>TEST_DATA!A629</f>
        <v>27AAAAA0629Z5</v>
      </c>
      <c r="B629" t="str">
        <f>TEST_DATA!B629</f>
        <v>Mar-2023</v>
      </c>
      <c r="C629">
        <f>TEST_DATA!C629</f>
        <v>45126</v>
      </c>
      <c r="D629" t="str">
        <f>TEST_DATA!D629</f>
        <v>NON-NIL</v>
      </c>
      <c r="E629">
        <f>TEST_DATA!E629</f>
        <v>2110</v>
      </c>
      <c r="F629">
        <f>MIN(E629*62900,10000)</f>
        <v>10000</v>
      </c>
      <c r="G629" t="e">
        <f ca="1">_xludf.MINIFS(CBIC_Late_Fee_Relief_Windows_1!$I$100:$I$629,CBIC_Late_Fee_Relief_Windows_1!$D$100:$D$629,"&lt;="&amp;B629,CBIC_Late_Fee_Relief_Windows_1!$E$100:$E$629,"&gt;="&amp;B629,CBIC_Late_Fee_Relief_Windows_1!$F$100:$F$629,"&lt;="&amp;C629,CBIC_Late_Fee_Relief_Windows_1!$G$100:$G$629,"&gt;="&amp;C629,CBIC_Late_Fee_Relief_Windows_1!$H$100:$H$629,D629)</f>
        <v>#NAME?</v>
      </c>
      <c r="H629" t="e">
        <f t="shared" ca="1" si="9"/>
        <v>#NAME?</v>
      </c>
      <c r="I629" t="e">
        <f ca="1">INDEX(CBIC_Late_Fee_Relief_Windows_1!$B$100:$B$629,MATCH(G629,CBIC_Late_Fee_Relief_Windows_1!$I$100:$I$629,0))</f>
        <v>#NAME?</v>
      </c>
    </row>
    <row r="630" spans="1:9" x14ac:dyDescent="0.55000000000000004">
      <c r="A630" t="str">
        <f>TEST_DATA!A630</f>
        <v>27AAAAA0630Z5</v>
      </c>
      <c r="B630" t="str">
        <f>TEST_DATA!B630</f>
        <v>May-2018</v>
      </c>
      <c r="C630">
        <f>TEST_DATA!C630</f>
        <v>43094</v>
      </c>
      <c r="D630" t="str">
        <f>TEST_DATA!D630</f>
        <v>NON-NIL</v>
      </c>
      <c r="E630">
        <f>TEST_DATA!E630</f>
        <v>2741</v>
      </c>
      <c r="F630">
        <f>MIN(E630*63000,10000)</f>
        <v>10000</v>
      </c>
      <c r="G630" t="e">
        <f ca="1">_xludf.MINIFS(CBIC_Late_Fee_Relief_Windows_1!$I$100:$I$630,CBIC_Late_Fee_Relief_Windows_1!$D$100:$D$630,"&lt;="&amp;B630,CBIC_Late_Fee_Relief_Windows_1!$E$100:$E$630,"&gt;="&amp;B630,CBIC_Late_Fee_Relief_Windows_1!$F$100:$F$630,"&lt;="&amp;C630,CBIC_Late_Fee_Relief_Windows_1!$G$100:$G$630,"&gt;="&amp;C630,CBIC_Late_Fee_Relief_Windows_1!$H$100:$H$630,D630)</f>
        <v>#NAME?</v>
      </c>
      <c r="H630" t="e">
        <f t="shared" ca="1" si="9"/>
        <v>#NAME?</v>
      </c>
      <c r="I630" t="e">
        <f ca="1">INDEX(CBIC_Late_Fee_Relief_Windows_1!$B$100:$B$630,MATCH(G630,CBIC_Late_Fee_Relief_Windows_1!$I$100:$I$630,0))</f>
        <v>#NAME?</v>
      </c>
    </row>
    <row r="631" spans="1:9" x14ac:dyDescent="0.55000000000000004">
      <c r="A631" t="str">
        <f>TEST_DATA!A631</f>
        <v>27AAAAA0631Z5</v>
      </c>
      <c r="B631" t="str">
        <f>TEST_DATA!B631</f>
        <v>Oct-2017</v>
      </c>
      <c r="C631">
        <f>TEST_DATA!C631</f>
        <v>43295</v>
      </c>
      <c r="D631" t="str">
        <f>TEST_DATA!D631</f>
        <v>NIL</v>
      </c>
      <c r="E631">
        <f>TEST_DATA!E631</f>
        <v>1955</v>
      </c>
      <c r="F631">
        <f>MIN(E631*63100,10000)</f>
        <v>10000</v>
      </c>
      <c r="G631" t="e">
        <f ca="1">_xludf.MINIFS(CBIC_Late_Fee_Relief_Windows_1!$I$100:$I$631,CBIC_Late_Fee_Relief_Windows_1!$D$100:$D$631,"&lt;="&amp;B631,CBIC_Late_Fee_Relief_Windows_1!$E$100:$E$631,"&gt;="&amp;B631,CBIC_Late_Fee_Relief_Windows_1!$F$100:$F$631,"&lt;="&amp;C631,CBIC_Late_Fee_Relief_Windows_1!$G$100:$G$631,"&gt;="&amp;C631,CBIC_Late_Fee_Relief_Windows_1!$H$100:$H$631,D631)</f>
        <v>#NAME?</v>
      </c>
      <c r="H631" t="e">
        <f t="shared" ca="1" si="9"/>
        <v>#NAME?</v>
      </c>
      <c r="I631" t="e">
        <f ca="1">INDEX(CBIC_Late_Fee_Relief_Windows_1!$B$100:$B$631,MATCH(G631,CBIC_Late_Fee_Relief_Windows_1!$I$100:$I$631,0))</f>
        <v>#NAME?</v>
      </c>
    </row>
    <row r="632" spans="1:9" x14ac:dyDescent="0.55000000000000004">
      <c r="A632" t="str">
        <f>TEST_DATA!A632</f>
        <v>27AAAAA0632Z5</v>
      </c>
      <c r="B632" t="str">
        <f>TEST_DATA!B632</f>
        <v>May-2018</v>
      </c>
      <c r="C632">
        <f>TEST_DATA!C632</f>
        <v>43425</v>
      </c>
      <c r="D632" t="str">
        <f>TEST_DATA!D632</f>
        <v>NIL</v>
      </c>
      <c r="E632">
        <f>TEST_DATA!E632</f>
        <v>1068</v>
      </c>
      <c r="F632">
        <f>MIN(E632*63200,10000)</f>
        <v>10000</v>
      </c>
      <c r="G632" t="e">
        <f ca="1">_xludf.MINIFS(CBIC_Late_Fee_Relief_Windows_1!$I$100:$I$632,CBIC_Late_Fee_Relief_Windows_1!$D$100:$D$632,"&lt;="&amp;B632,CBIC_Late_Fee_Relief_Windows_1!$E$100:$E$632,"&gt;="&amp;B632,CBIC_Late_Fee_Relief_Windows_1!$F$100:$F$632,"&lt;="&amp;C632,CBIC_Late_Fee_Relief_Windows_1!$G$100:$G$632,"&gt;="&amp;C632,CBIC_Late_Fee_Relief_Windows_1!$H$100:$H$632,D632)</f>
        <v>#NAME?</v>
      </c>
      <c r="H632" t="e">
        <f t="shared" ca="1" si="9"/>
        <v>#NAME?</v>
      </c>
      <c r="I632" t="e">
        <f ca="1">INDEX(CBIC_Late_Fee_Relief_Windows_1!$B$100:$B$632,MATCH(G632,CBIC_Late_Fee_Relief_Windows_1!$I$100:$I$632,0))</f>
        <v>#NAME?</v>
      </c>
    </row>
    <row r="633" spans="1:9" x14ac:dyDescent="0.55000000000000004">
      <c r="A633" t="str">
        <f>TEST_DATA!A633</f>
        <v>27AAAAA0633Z5</v>
      </c>
      <c r="B633" t="str">
        <f>TEST_DATA!B633</f>
        <v>Jul-2018</v>
      </c>
      <c r="C633">
        <f>TEST_DATA!C633</f>
        <v>43399</v>
      </c>
      <c r="D633" t="str">
        <f>TEST_DATA!D633</f>
        <v>NON-NIL</v>
      </c>
      <c r="E633">
        <f>TEST_DATA!E633</f>
        <v>1093</v>
      </c>
      <c r="F633">
        <f>MIN(E633*63300,10000)</f>
        <v>10000</v>
      </c>
      <c r="G633" t="e">
        <f ca="1">_xludf.MINIFS(CBIC_Late_Fee_Relief_Windows_1!$I$100:$I$633,CBIC_Late_Fee_Relief_Windows_1!$D$100:$D$633,"&lt;="&amp;B633,CBIC_Late_Fee_Relief_Windows_1!$E$100:$E$633,"&gt;="&amp;B633,CBIC_Late_Fee_Relief_Windows_1!$F$100:$F$633,"&lt;="&amp;C633,CBIC_Late_Fee_Relief_Windows_1!$G$100:$G$633,"&gt;="&amp;C633,CBIC_Late_Fee_Relief_Windows_1!$H$100:$H$633,D633)</f>
        <v>#NAME?</v>
      </c>
      <c r="H633" t="e">
        <f t="shared" ca="1" si="9"/>
        <v>#NAME?</v>
      </c>
      <c r="I633" t="e">
        <f ca="1">INDEX(CBIC_Late_Fee_Relief_Windows_1!$B$100:$B$633,MATCH(G633,CBIC_Late_Fee_Relief_Windows_1!$I$100:$I$633,0))</f>
        <v>#NAME?</v>
      </c>
    </row>
    <row r="634" spans="1:9" x14ac:dyDescent="0.55000000000000004">
      <c r="A634" t="str">
        <f>TEST_DATA!A634</f>
        <v>27AAAAA0634Z5</v>
      </c>
      <c r="B634" t="str">
        <f>TEST_DATA!B634</f>
        <v>May-2018</v>
      </c>
      <c r="C634">
        <f>TEST_DATA!C634</f>
        <v>43535</v>
      </c>
      <c r="D634" t="str">
        <f>TEST_DATA!D634</f>
        <v>NIL</v>
      </c>
      <c r="E634">
        <f>TEST_DATA!E634</f>
        <v>1071</v>
      </c>
      <c r="F634">
        <f>MIN(E634*63400,10000)</f>
        <v>10000</v>
      </c>
      <c r="G634" t="e">
        <f ca="1">_xludf.MINIFS(CBIC_Late_Fee_Relief_Windows_1!$I$100:$I$634,CBIC_Late_Fee_Relief_Windows_1!$D$100:$D$634,"&lt;="&amp;B634,CBIC_Late_Fee_Relief_Windows_1!$E$100:$E$634,"&gt;="&amp;B634,CBIC_Late_Fee_Relief_Windows_1!$F$100:$F$634,"&lt;="&amp;C634,CBIC_Late_Fee_Relief_Windows_1!$G$100:$G$634,"&gt;="&amp;C634,CBIC_Late_Fee_Relief_Windows_1!$H$100:$H$634,D634)</f>
        <v>#NAME?</v>
      </c>
      <c r="H634" t="e">
        <f t="shared" ca="1" si="9"/>
        <v>#NAME?</v>
      </c>
      <c r="I634" t="e">
        <f ca="1">INDEX(CBIC_Late_Fee_Relief_Windows_1!$B$100:$B$634,MATCH(G634,CBIC_Late_Fee_Relief_Windows_1!$I$100:$I$634,0))</f>
        <v>#NAME?</v>
      </c>
    </row>
    <row r="635" spans="1:9" x14ac:dyDescent="0.55000000000000004">
      <c r="A635" t="str">
        <f>TEST_DATA!A635</f>
        <v>27AAAAA0635Z5</v>
      </c>
      <c r="B635" t="str">
        <f>TEST_DATA!B635</f>
        <v>May-2020</v>
      </c>
      <c r="C635">
        <f>TEST_DATA!C635</f>
        <v>44567</v>
      </c>
      <c r="D635" t="str">
        <f>TEST_DATA!D635</f>
        <v>NIL</v>
      </c>
      <c r="E635">
        <f>TEST_DATA!E635</f>
        <v>254</v>
      </c>
      <c r="F635">
        <f>MIN(E635*63500,10000)</f>
        <v>10000</v>
      </c>
      <c r="G635" t="e">
        <f ca="1">_xludf.MINIFS(CBIC_Late_Fee_Relief_Windows_1!$I$100:$I$635,CBIC_Late_Fee_Relief_Windows_1!$D$100:$D$635,"&lt;="&amp;B635,CBIC_Late_Fee_Relief_Windows_1!$E$100:$E$635,"&gt;="&amp;B635,CBIC_Late_Fee_Relief_Windows_1!$F$100:$F$635,"&lt;="&amp;C635,CBIC_Late_Fee_Relief_Windows_1!$G$100:$G$635,"&gt;="&amp;C635,CBIC_Late_Fee_Relief_Windows_1!$H$100:$H$635,D635)</f>
        <v>#NAME?</v>
      </c>
      <c r="H635" t="e">
        <f t="shared" ca="1" si="9"/>
        <v>#NAME?</v>
      </c>
      <c r="I635" t="e">
        <f ca="1">INDEX(CBIC_Late_Fee_Relief_Windows_1!$B$100:$B$635,MATCH(G635,CBIC_Late_Fee_Relief_Windows_1!$I$100:$I$635,0))</f>
        <v>#NAME?</v>
      </c>
    </row>
    <row r="636" spans="1:9" x14ac:dyDescent="0.55000000000000004">
      <c r="A636" t="str">
        <f>TEST_DATA!A636</f>
        <v>27AAAAA0636Z5</v>
      </c>
      <c r="B636" t="str">
        <f>TEST_DATA!B636</f>
        <v>Jun-2020</v>
      </c>
      <c r="C636">
        <f>TEST_DATA!C636</f>
        <v>44073</v>
      </c>
      <c r="D636" t="str">
        <f>TEST_DATA!D636</f>
        <v>NON-NIL</v>
      </c>
      <c r="E636">
        <f>TEST_DATA!E636</f>
        <v>1256</v>
      </c>
      <c r="F636">
        <f>MIN(E636*63600,10000)</f>
        <v>10000</v>
      </c>
      <c r="G636" t="e">
        <f ca="1">_xludf.MINIFS(CBIC_Late_Fee_Relief_Windows_1!$I$100:$I$636,CBIC_Late_Fee_Relief_Windows_1!$D$100:$D$636,"&lt;="&amp;B636,CBIC_Late_Fee_Relief_Windows_1!$E$100:$E$636,"&gt;="&amp;B636,CBIC_Late_Fee_Relief_Windows_1!$F$100:$F$636,"&lt;="&amp;C636,CBIC_Late_Fee_Relief_Windows_1!$G$100:$G$636,"&gt;="&amp;C636,CBIC_Late_Fee_Relief_Windows_1!$H$100:$H$636,D636)</f>
        <v>#NAME?</v>
      </c>
      <c r="H636" t="e">
        <f t="shared" ca="1" si="9"/>
        <v>#NAME?</v>
      </c>
      <c r="I636" t="e">
        <f ca="1">INDEX(CBIC_Late_Fee_Relief_Windows_1!$B$100:$B$636,MATCH(G636,CBIC_Late_Fee_Relief_Windows_1!$I$100:$I$636,0))</f>
        <v>#NAME?</v>
      </c>
    </row>
    <row r="637" spans="1:9" x14ac:dyDescent="0.55000000000000004">
      <c r="A637" t="str">
        <f>TEST_DATA!A637</f>
        <v>27AAAAA0637Z5</v>
      </c>
      <c r="B637" t="str">
        <f>TEST_DATA!B637</f>
        <v>Dec-2017</v>
      </c>
      <c r="C637">
        <f>TEST_DATA!C637</f>
        <v>43747</v>
      </c>
      <c r="D637" t="str">
        <f>TEST_DATA!D637</f>
        <v>NON-NIL</v>
      </c>
      <c r="E637">
        <f>TEST_DATA!E637</f>
        <v>2827</v>
      </c>
      <c r="F637">
        <f>MIN(E637*63700,10000)</f>
        <v>10000</v>
      </c>
      <c r="G637" t="e">
        <f ca="1">_xludf.MINIFS(CBIC_Late_Fee_Relief_Windows_1!$I$100:$I$637,CBIC_Late_Fee_Relief_Windows_1!$D$100:$D$637,"&lt;="&amp;B637,CBIC_Late_Fee_Relief_Windows_1!$E$100:$E$637,"&gt;="&amp;B637,CBIC_Late_Fee_Relief_Windows_1!$F$100:$F$637,"&lt;="&amp;C637,CBIC_Late_Fee_Relief_Windows_1!$G$100:$G$637,"&gt;="&amp;C637,CBIC_Late_Fee_Relief_Windows_1!$H$100:$H$637,D637)</f>
        <v>#NAME?</v>
      </c>
      <c r="H637" t="e">
        <f t="shared" ca="1" si="9"/>
        <v>#NAME?</v>
      </c>
      <c r="I637" t="e">
        <f ca="1">INDEX(CBIC_Late_Fee_Relief_Windows_1!$B$100:$B$637,MATCH(G637,CBIC_Late_Fee_Relief_Windows_1!$I$100:$I$637,0))</f>
        <v>#NAME?</v>
      </c>
    </row>
    <row r="638" spans="1:9" x14ac:dyDescent="0.55000000000000004">
      <c r="A638" t="str">
        <f>TEST_DATA!A638</f>
        <v>27AAAAA0638Z5</v>
      </c>
      <c r="B638" t="str">
        <f>TEST_DATA!B638</f>
        <v>Oct-2017</v>
      </c>
      <c r="C638">
        <f>TEST_DATA!C638</f>
        <v>44225</v>
      </c>
      <c r="D638" t="str">
        <f>TEST_DATA!D638</f>
        <v>NON-NIL</v>
      </c>
      <c r="E638">
        <f>TEST_DATA!E638</f>
        <v>1505</v>
      </c>
      <c r="F638">
        <f>MIN(E638*63800,10000)</f>
        <v>10000</v>
      </c>
      <c r="G638" t="e">
        <f ca="1">_xludf.MINIFS(CBIC_Late_Fee_Relief_Windows_1!$I$100:$I$638,CBIC_Late_Fee_Relief_Windows_1!$D$100:$D$638,"&lt;="&amp;B638,CBIC_Late_Fee_Relief_Windows_1!$E$100:$E$638,"&gt;="&amp;B638,CBIC_Late_Fee_Relief_Windows_1!$F$100:$F$638,"&lt;="&amp;C638,CBIC_Late_Fee_Relief_Windows_1!$G$100:$G$638,"&gt;="&amp;C638,CBIC_Late_Fee_Relief_Windows_1!$H$100:$H$638,D638)</f>
        <v>#NAME?</v>
      </c>
      <c r="H638" t="e">
        <f t="shared" ca="1" si="9"/>
        <v>#NAME?</v>
      </c>
      <c r="I638" t="e">
        <f ca="1">INDEX(CBIC_Late_Fee_Relief_Windows_1!$B$100:$B$638,MATCH(G638,CBIC_Late_Fee_Relief_Windows_1!$I$100:$I$638,0))</f>
        <v>#NAME?</v>
      </c>
    </row>
    <row r="639" spans="1:9" x14ac:dyDescent="0.55000000000000004">
      <c r="A639" t="str">
        <f>TEST_DATA!A639</f>
        <v>27AAAAA0639Z5</v>
      </c>
      <c r="B639" t="str">
        <f>TEST_DATA!B639</f>
        <v>Apr-2020</v>
      </c>
      <c r="C639">
        <f>TEST_DATA!C639</f>
        <v>44283</v>
      </c>
      <c r="D639" t="str">
        <f>TEST_DATA!D639</f>
        <v>NIL</v>
      </c>
      <c r="E639">
        <f>TEST_DATA!E639</f>
        <v>547</v>
      </c>
      <c r="F639">
        <f>MIN(E639*63900,10000)</f>
        <v>10000</v>
      </c>
      <c r="G639" t="e">
        <f ca="1">_xludf.MINIFS(CBIC_Late_Fee_Relief_Windows_1!$I$100:$I$639,CBIC_Late_Fee_Relief_Windows_1!$D$100:$D$639,"&lt;="&amp;B639,CBIC_Late_Fee_Relief_Windows_1!$E$100:$E$639,"&gt;="&amp;B639,CBIC_Late_Fee_Relief_Windows_1!$F$100:$F$639,"&lt;="&amp;C639,CBIC_Late_Fee_Relief_Windows_1!$G$100:$G$639,"&gt;="&amp;C639,CBIC_Late_Fee_Relief_Windows_1!$H$100:$H$639,D639)</f>
        <v>#NAME?</v>
      </c>
      <c r="H639" t="e">
        <f t="shared" ca="1" si="9"/>
        <v>#NAME?</v>
      </c>
      <c r="I639" t="e">
        <f ca="1">INDEX(CBIC_Late_Fee_Relief_Windows_1!$B$100:$B$639,MATCH(G639,CBIC_Late_Fee_Relief_Windows_1!$I$100:$I$639,0))</f>
        <v>#NAME?</v>
      </c>
    </row>
    <row r="640" spans="1:9" x14ac:dyDescent="0.55000000000000004">
      <c r="A640" t="str">
        <f>TEST_DATA!A640</f>
        <v>27AAAAA0640Z5</v>
      </c>
      <c r="B640" t="str">
        <f>TEST_DATA!B640</f>
        <v>Jan-2019</v>
      </c>
      <c r="C640">
        <f>TEST_DATA!C640</f>
        <v>44093</v>
      </c>
      <c r="D640" t="str">
        <f>TEST_DATA!D640</f>
        <v>NON-NIL</v>
      </c>
      <c r="E640">
        <f>TEST_DATA!E640</f>
        <v>2481</v>
      </c>
      <c r="F640">
        <f>MIN(E640*64000,10000)</f>
        <v>10000</v>
      </c>
      <c r="G640" t="e">
        <f ca="1">_xludf.MINIFS(CBIC_Late_Fee_Relief_Windows_1!$I$100:$I$640,CBIC_Late_Fee_Relief_Windows_1!$D$100:$D$640,"&lt;="&amp;B640,CBIC_Late_Fee_Relief_Windows_1!$E$100:$E$640,"&gt;="&amp;B640,CBIC_Late_Fee_Relief_Windows_1!$F$100:$F$640,"&lt;="&amp;C640,CBIC_Late_Fee_Relief_Windows_1!$G$100:$G$640,"&gt;="&amp;C640,CBIC_Late_Fee_Relief_Windows_1!$H$100:$H$640,D640)</f>
        <v>#NAME?</v>
      </c>
      <c r="H640" t="e">
        <f t="shared" ca="1" si="9"/>
        <v>#NAME?</v>
      </c>
      <c r="I640" t="e">
        <f ca="1">INDEX(CBIC_Late_Fee_Relief_Windows_1!$B$100:$B$640,MATCH(G640,CBIC_Late_Fee_Relief_Windows_1!$I$100:$I$640,0))</f>
        <v>#NAME?</v>
      </c>
    </row>
    <row r="641" spans="1:9" x14ac:dyDescent="0.55000000000000004">
      <c r="A641" t="str">
        <f>TEST_DATA!A641</f>
        <v>27AAAAA0641Z5</v>
      </c>
      <c r="B641" t="str">
        <f>TEST_DATA!B641</f>
        <v>Jun-2018</v>
      </c>
      <c r="C641">
        <f>TEST_DATA!C641</f>
        <v>43768</v>
      </c>
      <c r="D641" t="str">
        <f>TEST_DATA!D641</f>
        <v>NON-NIL</v>
      </c>
      <c r="E641">
        <f>TEST_DATA!E641</f>
        <v>2201</v>
      </c>
      <c r="F641">
        <f>MIN(E641*64100,10000)</f>
        <v>10000</v>
      </c>
      <c r="G641" t="e">
        <f ca="1">_xludf.MINIFS(CBIC_Late_Fee_Relief_Windows_1!$I$100:$I$641,CBIC_Late_Fee_Relief_Windows_1!$D$100:$D$641,"&lt;="&amp;B641,CBIC_Late_Fee_Relief_Windows_1!$E$100:$E$641,"&gt;="&amp;B641,CBIC_Late_Fee_Relief_Windows_1!$F$100:$F$641,"&lt;="&amp;C641,CBIC_Late_Fee_Relief_Windows_1!$G$100:$G$641,"&gt;="&amp;C641,CBIC_Late_Fee_Relief_Windows_1!$H$100:$H$641,D641)</f>
        <v>#NAME?</v>
      </c>
      <c r="H641" t="e">
        <f t="shared" ca="1" si="9"/>
        <v>#NAME?</v>
      </c>
      <c r="I641" t="e">
        <f ca="1">INDEX(CBIC_Late_Fee_Relief_Windows_1!$B$100:$B$641,MATCH(G641,CBIC_Late_Fee_Relief_Windows_1!$I$100:$I$641,0))</f>
        <v>#NAME?</v>
      </c>
    </row>
    <row r="642" spans="1:9" x14ac:dyDescent="0.55000000000000004">
      <c r="A642" t="str">
        <f>TEST_DATA!A642</f>
        <v>27AAAAA0642Z5</v>
      </c>
      <c r="B642" t="str">
        <f>TEST_DATA!B642</f>
        <v>Apr-2021</v>
      </c>
      <c r="C642">
        <f>TEST_DATA!C642</f>
        <v>44360</v>
      </c>
      <c r="D642" t="str">
        <f>TEST_DATA!D642</f>
        <v>NIL</v>
      </c>
      <c r="E642">
        <f>TEST_DATA!E642</f>
        <v>2786</v>
      </c>
      <c r="F642">
        <f>MIN(E642*64200,10000)</f>
        <v>10000</v>
      </c>
      <c r="G642" t="e">
        <f ca="1">_xludf.MINIFS(CBIC_Late_Fee_Relief_Windows_1!$I$100:$I$642,CBIC_Late_Fee_Relief_Windows_1!$D$100:$D$642,"&lt;="&amp;B642,CBIC_Late_Fee_Relief_Windows_1!$E$100:$E$642,"&gt;="&amp;B642,CBIC_Late_Fee_Relief_Windows_1!$F$100:$F$642,"&lt;="&amp;C642,CBIC_Late_Fee_Relief_Windows_1!$G$100:$G$642,"&gt;="&amp;C642,CBIC_Late_Fee_Relief_Windows_1!$H$100:$H$642,D642)</f>
        <v>#NAME?</v>
      </c>
      <c r="H642" t="e">
        <f t="shared" ref="H642:H705" ca="1" si="10">MIN(F642,G642)</f>
        <v>#NAME?</v>
      </c>
      <c r="I642" t="e">
        <f ca="1">INDEX(CBIC_Late_Fee_Relief_Windows_1!$B$100:$B$642,MATCH(G642,CBIC_Late_Fee_Relief_Windows_1!$I$100:$I$642,0))</f>
        <v>#NAME?</v>
      </c>
    </row>
    <row r="643" spans="1:9" x14ac:dyDescent="0.55000000000000004">
      <c r="A643" t="str">
        <f>TEST_DATA!A643</f>
        <v>27AAAAA0643Z5</v>
      </c>
      <c r="B643" t="str">
        <f>TEST_DATA!B643</f>
        <v>Mar-2021</v>
      </c>
      <c r="C643">
        <f>TEST_DATA!C643</f>
        <v>43801</v>
      </c>
      <c r="D643" t="str">
        <f>TEST_DATA!D643</f>
        <v>NON-NIL</v>
      </c>
      <c r="E643">
        <f>TEST_DATA!E643</f>
        <v>2163</v>
      </c>
      <c r="F643">
        <f>MIN(E643*64300,10000)</f>
        <v>10000</v>
      </c>
      <c r="G643" t="e">
        <f ca="1">_xludf.MINIFS(CBIC_Late_Fee_Relief_Windows_1!$I$100:$I$643,CBIC_Late_Fee_Relief_Windows_1!$D$100:$D$643,"&lt;="&amp;B643,CBIC_Late_Fee_Relief_Windows_1!$E$100:$E$643,"&gt;="&amp;B643,CBIC_Late_Fee_Relief_Windows_1!$F$100:$F$643,"&lt;="&amp;C643,CBIC_Late_Fee_Relief_Windows_1!$G$100:$G$643,"&gt;="&amp;C643,CBIC_Late_Fee_Relief_Windows_1!$H$100:$H$643,D643)</f>
        <v>#NAME?</v>
      </c>
      <c r="H643" t="e">
        <f t="shared" ca="1" si="10"/>
        <v>#NAME?</v>
      </c>
      <c r="I643" t="e">
        <f ca="1">INDEX(CBIC_Late_Fee_Relief_Windows_1!$B$100:$B$643,MATCH(G643,CBIC_Late_Fee_Relief_Windows_1!$I$100:$I$643,0))</f>
        <v>#NAME?</v>
      </c>
    </row>
    <row r="644" spans="1:9" x14ac:dyDescent="0.55000000000000004">
      <c r="A644" t="str">
        <f>TEST_DATA!A644</f>
        <v>27AAAAA0644Z5</v>
      </c>
      <c r="B644" t="str">
        <f>TEST_DATA!B644</f>
        <v>Jul-2020</v>
      </c>
      <c r="C644">
        <f>TEST_DATA!C644</f>
        <v>44571</v>
      </c>
      <c r="D644" t="str">
        <f>TEST_DATA!D644</f>
        <v>NIL</v>
      </c>
      <c r="E644">
        <f>TEST_DATA!E644</f>
        <v>2310</v>
      </c>
      <c r="F644">
        <f>MIN(E644*64400,10000)</f>
        <v>10000</v>
      </c>
      <c r="G644" t="e">
        <f ca="1">_xludf.MINIFS(CBIC_Late_Fee_Relief_Windows_1!$I$100:$I$644,CBIC_Late_Fee_Relief_Windows_1!$D$100:$D$644,"&lt;="&amp;B644,CBIC_Late_Fee_Relief_Windows_1!$E$100:$E$644,"&gt;="&amp;B644,CBIC_Late_Fee_Relief_Windows_1!$F$100:$F$644,"&lt;="&amp;C644,CBIC_Late_Fee_Relief_Windows_1!$G$100:$G$644,"&gt;="&amp;C644,CBIC_Late_Fee_Relief_Windows_1!$H$100:$H$644,D644)</f>
        <v>#NAME?</v>
      </c>
      <c r="H644" t="e">
        <f t="shared" ca="1" si="10"/>
        <v>#NAME?</v>
      </c>
      <c r="I644" t="e">
        <f ca="1">INDEX(CBIC_Late_Fee_Relief_Windows_1!$B$100:$B$644,MATCH(G644,CBIC_Late_Fee_Relief_Windows_1!$I$100:$I$644,0))</f>
        <v>#NAME?</v>
      </c>
    </row>
    <row r="645" spans="1:9" x14ac:dyDescent="0.55000000000000004">
      <c r="A645" t="str">
        <f>TEST_DATA!A645</f>
        <v>27AAAAA0645Z5</v>
      </c>
      <c r="B645" t="str">
        <f>TEST_DATA!B645</f>
        <v>Oct-2017</v>
      </c>
      <c r="C645">
        <f>TEST_DATA!C645</f>
        <v>43043</v>
      </c>
      <c r="D645" t="str">
        <f>TEST_DATA!D645</f>
        <v>NIL</v>
      </c>
      <c r="E645">
        <f>TEST_DATA!E645</f>
        <v>2345</v>
      </c>
      <c r="F645">
        <f>MIN(E645*64500,10000)</f>
        <v>10000</v>
      </c>
      <c r="G645" t="e">
        <f ca="1">_xludf.MINIFS(CBIC_Late_Fee_Relief_Windows_1!$I$100:$I$645,CBIC_Late_Fee_Relief_Windows_1!$D$100:$D$645,"&lt;="&amp;B645,CBIC_Late_Fee_Relief_Windows_1!$E$100:$E$645,"&gt;="&amp;B645,CBIC_Late_Fee_Relief_Windows_1!$F$100:$F$645,"&lt;="&amp;C645,CBIC_Late_Fee_Relief_Windows_1!$G$100:$G$645,"&gt;="&amp;C645,CBIC_Late_Fee_Relief_Windows_1!$H$100:$H$645,D645)</f>
        <v>#NAME?</v>
      </c>
      <c r="H645" t="e">
        <f t="shared" ca="1" si="10"/>
        <v>#NAME?</v>
      </c>
      <c r="I645" t="e">
        <f ca="1">INDEX(CBIC_Late_Fee_Relief_Windows_1!$B$100:$B$645,MATCH(G645,CBIC_Late_Fee_Relief_Windows_1!$I$100:$I$645,0))</f>
        <v>#NAME?</v>
      </c>
    </row>
    <row r="646" spans="1:9" x14ac:dyDescent="0.55000000000000004">
      <c r="A646" t="str">
        <f>TEST_DATA!A646</f>
        <v>27AAAAA0646Z5</v>
      </c>
      <c r="B646" t="str">
        <f>TEST_DATA!B646</f>
        <v>Dec-2019</v>
      </c>
      <c r="C646">
        <f>TEST_DATA!C646</f>
        <v>44079</v>
      </c>
      <c r="D646" t="str">
        <f>TEST_DATA!D646</f>
        <v>NIL</v>
      </c>
      <c r="E646">
        <f>TEST_DATA!E646</f>
        <v>1343</v>
      </c>
      <c r="F646">
        <f>MIN(E646*64600,10000)</f>
        <v>10000</v>
      </c>
      <c r="G646" t="e">
        <f ca="1">_xludf.MINIFS(CBIC_Late_Fee_Relief_Windows_1!$I$100:$I$646,CBIC_Late_Fee_Relief_Windows_1!$D$100:$D$646,"&lt;="&amp;B646,CBIC_Late_Fee_Relief_Windows_1!$E$100:$E$646,"&gt;="&amp;B646,CBIC_Late_Fee_Relief_Windows_1!$F$100:$F$646,"&lt;="&amp;C646,CBIC_Late_Fee_Relief_Windows_1!$G$100:$G$646,"&gt;="&amp;C646,CBIC_Late_Fee_Relief_Windows_1!$H$100:$H$646,D646)</f>
        <v>#NAME?</v>
      </c>
      <c r="H646" t="e">
        <f t="shared" ca="1" si="10"/>
        <v>#NAME?</v>
      </c>
      <c r="I646" t="e">
        <f ca="1">INDEX(CBIC_Late_Fee_Relief_Windows_1!$B$100:$B$646,MATCH(G646,CBIC_Late_Fee_Relief_Windows_1!$I$100:$I$646,0))</f>
        <v>#NAME?</v>
      </c>
    </row>
    <row r="647" spans="1:9" x14ac:dyDescent="0.55000000000000004">
      <c r="A647" t="str">
        <f>TEST_DATA!A647</f>
        <v>27AAAAA0647Z5</v>
      </c>
      <c r="B647" t="str">
        <f>TEST_DATA!B647</f>
        <v>Mar-2023</v>
      </c>
      <c r="C647">
        <f>TEST_DATA!C647</f>
        <v>45597</v>
      </c>
      <c r="D647" t="str">
        <f>TEST_DATA!D647</f>
        <v>NON-NIL</v>
      </c>
      <c r="E647">
        <f>TEST_DATA!E647</f>
        <v>476</v>
      </c>
      <c r="F647">
        <f>MIN(E647*64700,10000)</f>
        <v>10000</v>
      </c>
      <c r="G647" t="e">
        <f ca="1">_xludf.MINIFS(CBIC_Late_Fee_Relief_Windows_1!$I$100:$I$647,CBIC_Late_Fee_Relief_Windows_1!$D$100:$D$647,"&lt;="&amp;B647,CBIC_Late_Fee_Relief_Windows_1!$E$100:$E$647,"&gt;="&amp;B647,CBIC_Late_Fee_Relief_Windows_1!$F$100:$F$647,"&lt;="&amp;C647,CBIC_Late_Fee_Relief_Windows_1!$G$100:$G$647,"&gt;="&amp;C647,CBIC_Late_Fee_Relief_Windows_1!$H$100:$H$647,D647)</f>
        <v>#NAME?</v>
      </c>
      <c r="H647" t="e">
        <f t="shared" ca="1" si="10"/>
        <v>#NAME?</v>
      </c>
      <c r="I647" t="e">
        <f ca="1">INDEX(CBIC_Late_Fee_Relief_Windows_1!$B$100:$B$647,MATCH(G647,CBIC_Late_Fee_Relief_Windows_1!$I$100:$I$647,0))</f>
        <v>#NAME?</v>
      </c>
    </row>
    <row r="648" spans="1:9" x14ac:dyDescent="0.55000000000000004">
      <c r="A648" t="str">
        <f>TEST_DATA!A648</f>
        <v>27AAAAA0648Z5</v>
      </c>
      <c r="B648" t="str">
        <f>TEST_DATA!B648</f>
        <v>Jun-2020</v>
      </c>
      <c r="C648">
        <f>TEST_DATA!C648</f>
        <v>44251</v>
      </c>
      <c r="D648" t="str">
        <f>TEST_DATA!D648</f>
        <v>NON-NIL</v>
      </c>
      <c r="E648">
        <f>TEST_DATA!E648</f>
        <v>372</v>
      </c>
      <c r="F648">
        <f>MIN(E648*64800,10000)</f>
        <v>10000</v>
      </c>
      <c r="G648" t="e">
        <f ca="1">_xludf.MINIFS(CBIC_Late_Fee_Relief_Windows_1!$I$100:$I$648,CBIC_Late_Fee_Relief_Windows_1!$D$100:$D$648,"&lt;="&amp;B648,CBIC_Late_Fee_Relief_Windows_1!$E$100:$E$648,"&gt;="&amp;B648,CBIC_Late_Fee_Relief_Windows_1!$F$100:$F$648,"&lt;="&amp;C648,CBIC_Late_Fee_Relief_Windows_1!$G$100:$G$648,"&gt;="&amp;C648,CBIC_Late_Fee_Relief_Windows_1!$H$100:$H$648,D648)</f>
        <v>#NAME?</v>
      </c>
      <c r="H648" t="e">
        <f t="shared" ca="1" si="10"/>
        <v>#NAME?</v>
      </c>
      <c r="I648" t="e">
        <f ca="1">INDEX(CBIC_Late_Fee_Relief_Windows_1!$B$100:$B$648,MATCH(G648,CBIC_Late_Fee_Relief_Windows_1!$I$100:$I$648,0))</f>
        <v>#NAME?</v>
      </c>
    </row>
    <row r="649" spans="1:9" x14ac:dyDescent="0.55000000000000004">
      <c r="A649" t="str">
        <f>TEST_DATA!A649</f>
        <v>27AAAAA0649Z5</v>
      </c>
      <c r="B649" t="str">
        <f>TEST_DATA!B649</f>
        <v>Dec-2024</v>
      </c>
      <c r="C649">
        <f>TEST_DATA!C649</f>
        <v>45556</v>
      </c>
      <c r="D649" t="str">
        <f>TEST_DATA!D649</f>
        <v>NON-NIL</v>
      </c>
      <c r="E649">
        <f>TEST_DATA!E649</f>
        <v>227</v>
      </c>
      <c r="F649">
        <f>MIN(E649*64900,10000)</f>
        <v>10000</v>
      </c>
      <c r="G649" t="e">
        <f ca="1">_xludf.MINIFS(CBIC_Late_Fee_Relief_Windows_1!$I$100:$I$649,CBIC_Late_Fee_Relief_Windows_1!$D$100:$D$649,"&lt;="&amp;B649,CBIC_Late_Fee_Relief_Windows_1!$E$100:$E$649,"&gt;="&amp;B649,CBIC_Late_Fee_Relief_Windows_1!$F$100:$F$649,"&lt;="&amp;C649,CBIC_Late_Fee_Relief_Windows_1!$G$100:$G$649,"&gt;="&amp;C649,CBIC_Late_Fee_Relief_Windows_1!$H$100:$H$649,D649)</f>
        <v>#NAME?</v>
      </c>
      <c r="H649" t="e">
        <f t="shared" ca="1" si="10"/>
        <v>#NAME?</v>
      </c>
      <c r="I649" t="e">
        <f ca="1">INDEX(CBIC_Late_Fee_Relief_Windows_1!$B$100:$B$649,MATCH(G649,CBIC_Late_Fee_Relief_Windows_1!$I$100:$I$649,0))</f>
        <v>#NAME?</v>
      </c>
    </row>
    <row r="650" spans="1:9" x14ac:dyDescent="0.55000000000000004">
      <c r="A650" t="str">
        <f>TEST_DATA!A650</f>
        <v>27AAAAA0650Z5</v>
      </c>
      <c r="B650" t="str">
        <f>TEST_DATA!B650</f>
        <v>Sep-2018</v>
      </c>
      <c r="C650">
        <f>TEST_DATA!C650</f>
        <v>43187</v>
      </c>
      <c r="D650" t="str">
        <f>TEST_DATA!D650</f>
        <v>NON-NIL</v>
      </c>
      <c r="E650">
        <f>TEST_DATA!E650</f>
        <v>1871</v>
      </c>
      <c r="F650">
        <f>MIN(E650*65000,10000)</f>
        <v>10000</v>
      </c>
      <c r="G650" t="e">
        <f ca="1">_xludf.MINIFS(CBIC_Late_Fee_Relief_Windows_1!$I$100:$I$650,CBIC_Late_Fee_Relief_Windows_1!$D$100:$D$650,"&lt;="&amp;B650,CBIC_Late_Fee_Relief_Windows_1!$E$100:$E$650,"&gt;="&amp;B650,CBIC_Late_Fee_Relief_Windows_1!$F$100:$F$650,"&lt;="&amp;C650,CBIC_Late_Fee_Relief_Windows_1!$G$100:$G$650,"&gt;="&amp;C650,CBIC_Late_Fee_Relief_Windows_1!$H$100:$H$650,D650)</f>
        <v>#NAME?</v>
      </c>
      <c r="H650" t="e">
        <f t="shared" ca="1" si="10"/>
        <v>#NAME?</v>
      </c>
      <c r="I650" t="e">
        <f ca="1">INDEX(CBIC_Late_Fee_Relief_Windows_1!$B$100:$B$650,MATCH(G650,CBIC_Late_Fee_Relief_Windows_1!$I$100:$I$650,0))</f>
        <v>#NAME?</v>
      </c>
    </row>
    <row r="651" spans="1:9" x14ac:dyDescent="0.55000000000000004">
      <c r="A651" t="str">
        <f>TEST_DATA!A651</f>
        <v>27AAAAA0651Z5</v>
      </c>
      <c r="B651" t="str">
        <f>TEST_DATA!B651</f>
        <v>Mar-2020</v>
      </c>
      <c r="C651">
        <f>TEST_DATA!C651</f>
        <v>43949</v>
      </c>
      <c r="D651" t="str">
        <f>TEST_DATA!D651</f>
        <v>NON-NIL</v>
      </c>
      <c r="E651">
        <f>TEST_DATA!E651</f>
        <v>2755</v>
      </c>
      <c r="F651">
        <f>MIN(E651*65100,10000)</f>
        <v>10000</v>
      </c>
      <c r="G651" t="e">
        <f ca="1">_xludf.MINIFS(CBIC_Late_Fee_Relief_Windows_1!$I$100:$I$651,CBIC_Late_Fee_Relief_Windows_1!$D$100:$D$651,"&lt;="&amp;B651,CBIC_Late_Fee_Relief_Windows_1!$E$100:$E$651,"&gt;="&amp;B651,CBIC_Late_Fee_Relief_Windows_1!$F$100:$F$651,"&lt;="&amp;C651,CBIC_Late_Fee_Relief_Windows_1!$G$100:$G$651,"&gt;="&amp;C651,CBIC_Late_Fee_Relief_Windows_1!$H$100:$H$651,D651)</f>
        <v>#NAME?</v>
      </c>
      <c r="H651" t="e">
        <f t="shared" ca="1" si="10"/>
        <v>#NAME?</v>
      </c>
      <c r="I651" t="e">
        <f ca="1">INDEX(CBIC_Late_Fee_Relief_Windows_1!$B$100:$B$651,MATCH(G651,CBIC_Late_Fee_Relief_Windows_1!$I$100:$I$651,0))</f>
        <v>#NAME?</v>
      </c>
    </row>
    <row r="652" spans="1:9" x14ac:dyDescent="0.55000000000000004">
      <c r="A652" t="str">
        <f>TEST_DATA!A652</f>
        <v>27AAAAA0652Z5</v>
      </c>
      <c r="B652" t="str">
        <f>TEST_DATA!B652</f>
        <v>Apr-2021</v>
      </c>
      <c r="C652">
        <f>TEST_DATA!C652</f>
        <v>44728</v>
      </c>
      <c r="D652" t="str">
        <f>TEST_DATA!D652</f>
        <v>NIL</v>
      </c>
      <c r="E652">
        <f>TEST_DATA!E652</f>
        <v>1621</v>
      </c>
      <c r="F652">
        <f>MIN(E652*65200,10000)</f>
        <v>10000</v>
      </c>
      <c r="G652" t="e">
        <f ca="1">_xludf.MINIFS(CBIC_Late_Fee_Relief_Windows_1!$I$100:$I$652,CBIC_Late_Fee_Relief_Windows_1!$D$100:$D$652,"&lt;="&amp;B652,CBIC_Late_Fee_Relief_Windows_1!$E$100:$E$652,"&gt;="&amp;B652,CBIC_Late_Fee_Relief_Windows_1!$F$100:$F$652,"&lt;="&amp;C652,CBIC_Late_Fee_Relief_Windows_1!$G$100:$G$652,"&gt;="&amp;C652,CBIC_Late_Fee_Relief_Windows_1!$H$100:$H$652,D652)</f>
        <v>#NAME?</v>
      </c>
      <c r="H652" t="e">
        <f t="shared" ca="1" si="10"/>
        <v>#NAME?</v>
      </c>
      <c r="I652" t="e">
        <f ca="1">INDEX(CBIC_Late_Fee_Relief_Windows_1!$B$100:$B$652,MATCH(G652,CBIC_Late_Fee_Relief_Windows_1!$I$100:$I$652,0))</f>
        <v>#NAME?</v>
      </c>
    </row>
    <row r="653" spans="1:9" x14ac:dyDescent="0.55000000000000004">
      <c r="A653" t="str">
        <f>TEST_DATA!A653</f>
        <v>27AAAAA0653Z5</v>
      </c>
      <c r="B653" t="str">
        <f>TEST_DATA!B653</f>
        <v>Mar-2018</v>
      </c>
      <c r="C653">
        <f>TEST_DATA!C653</f>
        <v>42923</v>
      </c>
      <c r="D653" t="str">
        <f>TEST_DATA!D653</f>
        <v>NIL</v>
      </c>
      <c r="E653">
        <f>TEST_DATA!E653</f>
        <v>2368</v>
      </c>
      <c r="F653">
        <f>MIN(E653*65300,10000)</f>
        <v>10000</v>
      </c>
      <c r="G653" t="e">
        <f ca="1">_xludf.MINIFS(CBIC_Late_Fee_Relief_Windows_1!$I$100:$I$653,CBIC_Late_Fee_Relief_Windows_1!$D$100:$D$653,"&lt;="&amp;B653,CBIC_Late_Fee_Relief_Windows_1!$E$100:$E$653,"&gt;="&amp;B653,CBIC_Late_Fee_Relief_Windows_1!$F$100:$F$653,"&lt;="&amp;C653,CBIC_Late_Fee_Relief_Windows_1!$G$100:$G$653,"&gt;="&amp;C653,CBIC_Late_Fee_Relief_Windows_1!$H$100:$H$653,D653)</f>
        <v>#NAME?</v>
      </c>
      <c r="H653" t="e">
        <f t="shared" ca="1" si="10"/>
        <v>#NAME?</v>
      </c>
      <c r="I653" t="e">
        <f ca="1">INDEX(CBIC_Late_Fee_Relief_Windows_1!$B$100:$B$653,MATCH(G653,CBIC_Late_Fee_Relief_Windows_1!$I$100:$I$653,0))</f>
        <v>#NAME?</v>
      </c>
    </row>
    <row r="654" spans="1:9" x14ac:dyDescent="0.55000000000000004">
      <c r="A654" t="str">
        <f>TEST_DATA!A654</f>
        <v>27AAAAA0654Z5</v>
      </c>
      <c r="B654" t="str">
        <f>TEST_DATA!B654</f>
        <v>Sep-2017</v>
      </c>
      <c r="C654">
        <f>TEST_DATA!C654</f>
        <v>43009</v>
      </c>
      <c r="D654" t="str">
        <f>TEST_DATA!D654</f>
        <v>NON-NIL</v>
      </c>
      <c r="E654">
        <f>TEST_DATA!E654</f>
        <v>1411</v>
      </c>
      <c r="F654">
        <f>MIN(E654*65400,10000)</f>
        <v>10000</v>
      </c>
      <c r="G654" t="e">
        <f ca="1">_xludf.MINIFS(CBIC_Late_Fee_Relief_Windows_1!$I$100:$I$654,CBIC_Late_Fee_Relief_Windows_1!$D$100:$D$654,"&lt;="&amp;B654,CBIC_Late_Fee_Relief_Windows_1!$E$100:$E$654,"&gt;="&amp;B654,CBIC_Late_Fee_Relief_Windows_1!$F$100:$F$654,"&lt;="&amp;C654,CBIC_Late_Fee_Relief_Windows_1!$G$100:$G$654,"&gt;="&amp;C654,CBIC_Late_Fee_Relief_Windows_1!$H$100:$H$654,D654)</f>
        <v>#NAME?</v>
      </c>
      <c r="H654" t="e">
        <f t="shared" ca="1" si="10"/>
        <v>#NAME?</v>
      </c>
      <c r="I654" t="e">
        <f ca="1">INDEX(CBIC_Late_Fee_Relief_Windows_1!$B$100:$B$654,MATCH(G654,CBIC_Late_Fee_Relief_Windows_1!$I$100:$I$654,0))</f>
        <v>#NAME?</v>
      </c>
    </row>
    <row r="655" spans="1:9" x14ac:dyDescent="0.55000000000000004">
      <c r="A655" t="str">
        <f>TEST_DATA!A655</f>
        <v>27AAAAA0655Z5</v>
      </c>
      <c r="B655" t="str">
        <f>TEST_DATA!B655</f>
        <v>Jul-2020</v>
      </c>
      <c r="C655">
        <f>TEST_DATA!C655</f>
        <v>43961</v>
      </c>
      <c r="D655" t="str">
        <f>TEST_DATA!D655</f>
        <v>NIL</v>
      </c>
      <c r="E655">
        <f>TEST_DATA!E655</f>
        <v>282</v>
      </c>
      <c r="F655">
        <f>MIN(E655*65500,10000)</f>
        <v>10000</v>
      </c>
      <c r="G655" t="e">
        <f ca="1">_xludf.MINIFS(CBIC_Late_Fee_Relief_Windows_1!$I$100:$I$655,CBIC_Late_Fee_Relief_Windows_1!$D$100:$D$655,"&lt;="&amp;B655,CBIC_Late_Fee_Relief_Windows_1!$E$100:$E$655,"&gt;="&amp;B655,CBIC_Late_Fee_Relief_Windows_1!$F$100:$F$655,"&lt;="&amp;C655,CBIC_Late_Fee_Relief_Windows_1!$G$100:$G$655,"&gt;="&amp;C655,CBIC_Late_Fee_Relief_Windows_1!$H$100:$H$655,D655)</f>
        <v>#NAME?</v>
      </c>
      <c r="H655" t="e">
        <f t="shared" ca="1" si="10"/>
        <v>#NAME?</v>
      </c>
      <c r="I655" t="e">
        <f ca="1">INDEX(CBIC_Late_Fee_Relief_Windows_1!$B$100:$B$655,MATCH(G655,CBIC_Late_Fee_Relief_Windows_1!$I$100:$I$655,0))</f>
        <v>#NAME?</v>
      </c>
    </row>
    <row r="656" spans="1:9" x14ac:dyDescent="0.55000000000000004">
      <c r="A656" t="str">
        <f>TEST_DATA!A656</f>
        <v>27AAAAA0656Z5</v>
      </c>
      <c r="B656" t="str">
        <f>TEST_DATA!B656</f>
        <v>Jan-2019</v>
      </c>
      <c r="C656">
        <f>TEST_DATA!C656</f>
        <v>43595</v>
      </c>
      <c r="D656" t="str">
        <f>TEST_DATA!D656</f>
        <v>NON-NIL</v>
      </c>
      <c r="E656">
        <f>TEST_DATA!E656</f>
        <v>1674</v>
      </c>
      <c r="F656">
        <f>MIN(E656*65600,10000)</f>
        <v>10000</v>
      </c>
      <c r="G656" t="e">
        <f ca="1">_xludf.MINIFS(CBIC_Late_Fee_Relief_Windows_1!$I$100:$I$656,CBIC_Late_Fee_Relief_Windows_1!$D$100:$D$656,"&lt;="&amp;B656,CBIC_Late_Fee_Relief_Windows_1!$E$100:$E$656,"&gt;="&amp;B656,CBIC_Late_Fee_Relief_Windows_1!$F$100:$F$656,"&lt;="&amp;C656,CBIC_Late_Fee_Relief_Windows_1!$G$100:$G$656,"&gt;="&amp;C656,CBIC_Late_Fee_Relief_Windows_1!$H$100:$H$656,D656)</f>
        <v>#NAME?</v>
      </c>
      <c r="H656" t="e">
        <f t="shared" ca="1" si="10"/>
        <v>#NAME?</v>
      </c>
      <c r="I656" t="e">
        <f ca="1">INDEX(CBIC_Late_Fee_Relief_Windows_1!$B$100:$B$656,MATCH(G656,CBIC_Late_Fee_Relief_Windows_1!$I$100:$I$656,0))</f>
        <v>#NAME?</v>
      </c>
    </row>
    <row r="657" spans="1:9" x14ac:dyDescent="0.55000000000000004">
      <c r="A657" t="str">
        <f>TEST_DATA!A657</f>
        <v>27AAAAA0657Z5</v>
      </c>
      <c r="B657" t="str">
        <f>TEST_DATA!B657</f>
        <v>Dec-2017</v>
      </c>
      <c r="C657">
        <f>TEST_DATA!C657</f>
        <v>44491</v>
      </c>
      <c r="D657" t="str">
        <f>TEST_DATA!D657</f>
        <v>NIL</v>
      </c>
      <c r="E657">
        <f>TEST_DATA!E657</f>
        <v>2627</v>
      </c>
      <c r="F657">
        <f>MIN(E657*65700,10000)</f>
        <v>10000</v>
      </c>
      <c r="G657" t="e">
        <f ca="1">_xludf.MINIFS(CBIC_Late_Fee_Relief_Windows_1!$I$100:$I$657,CBIC_Late_Fee_Relief_Windows_1!$D$100:$D$657,"&lt;="&amp;B657,CBIC_Late_Fee_Relief_Windows_1!$E$100:$E$657,"&gt;="&amp;B657,CBIC_Late_Fee_Relief_Windows_1!$F$100:$F$657,"&lt;="&amp;C657,CBIC_Late_Fee_Relief_Windows_1!$G$100:$G$657,"&gt;="&amp;C657,CBIC_Late_Fee_Relief_Windows_1!$H$100:$H$657,D657)</f>
        <v>#NAME?</v>
      </c>
      <c r="H657" t="e">
        <f t="shared" ca="1" si="10"/>
        <v>#NAME?</v>
      </c>
      <c r="I657" t="e">
        <f ca="1">INDEX(CBIC_Late_Fee_Relief_Windows_1!$B$100:$B$657,MATCH(G657,CBIC_Late_Fee_Relief_Windows_1!$I$100:$I$657,0))</f>
        <v>#NAME?</v>
      </c>
    </row>
    <row r="658" spans="1:9" x14ac:dyDescent="0.55000000000000004">
      <c r="A658" t="str">
        <f>TEST_DATA!A658</f>
        <v>27AAAAA0658Z5</v>
      </c>
      <c r="B658" t="str">
        <f>TEST_DATA!B658</f>
        <v>Jan-2021</v>
      </c>
      <c r="C658">
        <f>TEST_DATA!C658</f>
        <v>45187</v>
      </c>
      <c r="D658" t="str">
        <f>TEST_DATA!D658</f>
        <v>NON-NIL</v>
      </c>
      <c r="E658">
        <f>TEST_DATA!E658</f>
        <v>1566</v>
      </c>
      <c r="F658">
        <f>MIN(E658*65800,10000)</f>
        <v>10000</v>
      </c>
      <c r="G658" t="e">
        <f ca="1">_xludf.MINIFS(CBIC_Late_Fee_Relief_Windows_1!$I$100:$I$658,CBIC_Late_Fee_Relief_Windows_1!$D$100:$D$658,"&lt;="&amp;B658,CBIC_Late_Fee_Relief_Windows_1!$E$100:$E$658,"&gt;="&amp;B658,CBIC_Late_Fee_Relief_Windows_1!$F$100:$F$658,"&lt;="&amp;C658,CBIC_Late_Fee_Relief_Windows_1!$G$100:$G$658,"&gt;="&amp;C658,CBIC_Late_Fee_Relief_Windows_1!$H$100:$H$658,D658)</f>
        <v>#NAME?</v>
      </c>
      <c r="H658" t="e">
        <f t="shared" ca="1" si="10"/>
        <v>#NAME?</v>
      </c>
      <c r="I658" t="e">
        <f ca="1">INDEX(CBIC_Late_Fee_Relief_Windows_1!$B$100:$B$658,MATCH(G658,CBIC_Late_Fee_Relief_Windows_1!$I$100:$I$658,0))</f>
        <v>#NAME?</v>
      </c>
    </row>
    <row r="659" spans="1:9" x14ac:dyDescent="0.55000000000000004">
      <c r="A659" t="str">
        <f>TEST_DATA!A659</f>
        <v>27AAAAA0659Z5</v>
      </c>
      <c r="B659" t="str">
        <f>TEST_DATA!B659</f>
        <v>Sep-2018</v>
      </c>
      <c r="C659">
        <f>TEST_DATA!C659</f>
        <v>43690</v>
      </c>
      <c r="D659" t="str">
        <f>TEST_DATA!D659</f>
        <v>NON-NIL</v>
      </c>
      <c r="E659">
        <f>TEST_DATA!E659</f>
        <v>328</v>
      </c>
      <c r="F659">
        <f>MIN(E659*65900,10000)</f>
        <v>10000</v>
      </c>
      <c r="G659" t="e">
        <f ca="1">_xludf.MINIFS(CBIC_Late_Fee_Relief_Windows_1!$I$100:$I$659,CBIC_Late_Fee_Relief_Windows_1!$D$100:$D$659,"&lt;="&amp;B659,CBIC_Late_Fee_Relief_Windows_1!$E$100:$E$659,"&gt;="&amp;B659,CBIC_Late_Fee_Relief_Windows_1!$F$100:$F$659,"&lt;="&amp;C659,CBIC_Late_Fee_Relief_Windows_1!$G$100:$G$659,"&gt;="&amp;C659,CBIC_Late_Fee_Relief_Windows_1!$H$100:$H$659,D659)</f>
        <v>#NAME?</v>
      </c>
      <c r="H659" t="e">
        <f t="shared" ca="1" si="10"/>
        <v>#NAME?</v>
      </c>
      <c r="I659" t="e">
        <f ca="1">INDEX(CBIC_Late_Fee_Relief_Windows_1!$B$100:$B$659,MATCH(G659,CBIC_Late_Fee_Relief_Windows_1!$I$100:$I$659,0))</f>
        <v>#NAME?</v>
      </c>
    </row>
    <row r="660" spans="1:9" x14ac:dyDescent="0.55000000000000004">
      <c r="A660" t="str">
        <f>TEST_DATA!A660</f>
        <v>27AAAAA0660Z5</v>
      </c>
      <c r="B660" t="str">
        <f>TEST_DATA!B660</f>
        <v>Jun-2020</v>
      </c>
      <c r="C660">
        <f>TEST_DATA!C660</f>
        <v>44103</v>
      </c>
      <c r="D660" t="str">
        <f>TEST_DATA!D660</f>
        <v>NON-NIL</v>
      </c>
      <c r="E660">
        <f>TEST_DATA!E660</f>
        <v>485</v>
      </c>
      <c r="F660">
        <f>MIN(E660*66000,10000)</f>
        <v>10000</v>
      </c>
      <c r="G660" t="e">
        <f ca="1">_xludf.MINIFS(CBIC_Late_Fee_Relief_Windows_1!$I$100:$I$660,CBIC_Late_Fee_Relief_Windows_1!$D$100:$D$660,"&lt;="&amp;B660,CBIC_Late_Fee_Relief_Windows_1!$E$100:$E$660,"&gt;="&amp;B660,CBIC_Late_Fee_Relief_Windows_1!$F$100:$F$660,"&lt;="&amp;C660,CBIC_Late_Fee_Relief_Windows_1!$G$100:$G$660,"&gt;="&amp;C660,CBIC_Late_Fee_Relief_Windows_1!$H$100:$H$660,D660)</f>
        <v>#NAME?</v>
      </c>
      <c r="H660" t="e">
        <f t="shared" ca="1" si="10"/>
        <v>#NAME?</v>
      </c>
      <c r="I660" t="e">
        <f ca="1">INDEX(CBIC_Late_Fee_Relief_Windows_1!$B$100:$B$660,MATCH(G660,CBIC_Late_Fee_Relief_Windows_1!$I$100:$I$660,0))</f>
        <v>#NAME?</v>
      </c>
    </row>
    <row r="661" spans="1:9" x14ac:dyDescent="0.55000000000000004">
      <c r="A661" t="str">
        <f>TEST_DATA!A661</f>
        <v>27AAAAA0661Z5</v>
      </c>
      <c r="B661" t="str">
        <f>TEST_DATA!B661</f>
        <v>Dec-2017</v>
      </c>
      <c r="C661">
        <f>TEST_DATA!C661</f>
        <v>44017</v>
      </c>
      <c r="D661" t="str">
        <f>TEST_DATA!D661</f>
        <v>NON-NIL</v>
      </c>
      <c r="E661">
        <f>TEST_DATA!E661</f>
        <v>2166</v>
      </c>
      <c r="F661">
        <f>MIN(E661*66100,10000)</f>
        <v>10000</v>
      </c>
      <c r="G661" t="e">
        <f ca="1">_xludf.MINIFS(CBIC_Late_Fee_Relief_Windows_1!$I$100:$I$661,CBIC_Late_Fee_Relief_Windows_1!$D$100:$D$661,"&lt;="&amp;B661,CBIC_Late_Fee_Relief_Windows_1!$E$100:$E$661,"&gt;="&amp;B661,CBIC_Late_Fee_Relief_Windows_1!$F$100:$F$661,"&lt;="&amp;C661,CBIC_Late_Fee_Relief_Windows_1!$G$100:$G$661,"&gt;="&amp;C661,CBIC_Late_Fee_Relief_Windows_1!$H$100:$H$661,D661)</f>
        <v>#NAME?</v>
      </c>
      <c r="H661" t="e">
        <f t="shared" ca="1" si="10"/>
        <v>#NAME?</v>
      </c>
      <c r="I661" t="e">
        <f ca="1">INDEX(CBIC_Late_Fee_Relief_Windows_1!$B$100:$B$661,MATCH(G661,CBIC_Late_Fee_Relief_Windows_1!$I$100:$I$661,0))</f>
        <v>#NAME?</v>
      </c>
    </row>
    <row r="662" spans="1:9" x14ac:dyDescent="0.55000000000000004">
      <c r="A662" t="str">
        <f>TEST_DATA!A662</f>
        <v>27AAAAA0662Z5</v>
      </c>
      <c r="B662" t="str">
        <f>TEST_DATA!B662</f>
        <v>Nov-2017</v>
      </c>
      <c r="C662">
        <f>TEST_DATA!C662</f>
        <v>44407</v>
      </c>
      <c r="D662" t="str">
        <f>TEST_DATA!D662</f>
        <v>NIL</v>
      </c>
      <c r="E662">
        <f>TEST_DATA!E662</f>
        <v>14</v>
      </c>
      <c r="F662">
        <f>MIN(E662*66200,10000)</f>
        <v>10000</v>
      </c>
      <c r="G662" t="e">
        <f ca="1">_xludf.MINIFS(CBIC_Late_Fee_Relief_Windows_1!$I$100:$I$662,CBIC_Late_Fee_Relief_Windows_1!$D$100:$D$662,"&lt;="&amp;B662,CBIC_Late_Fee_Relief_Windows_1!$E$100:$E$662,"&gt;="&amp;B662,CBIC_Late_Fee_Relief_Windows_1!$F$100:$F$662,"&lt;="&amp;C662,CBIC_Late_Fee_Relief_Windows_1!$G$100:$G$662,"&gt;="&amp;C662,CBIC_Late_Fee_Relief_Windows_1!$H$100:$H$662,D662)</f>
        <v>#NAME?</v>
      </c>
      <c r="H662" t="e">
        <f t="shared" ca="1" si="10"/>
        <v>#NAME?</v>
      </c>
      <c r="I662" t="e">
        <f ca="1">INDEX(CBIC_Late_Fee_Relief_Windows_1!$B$100:$B$662,MATCH(G662,CBIC_Late_Fee_Relief_Windows_1!$I$100:$I$662,0))</f>
        <v>#NAME?</v>
      </c>
    </row>
    <row r="663" spans="1:9" x14ac:dyDescent="0.55000000000000004">
      <c r="A663" t="str">
        <f>TEST_DATA!A663</f>
        <v>27AAAAA0663Z5</v>
      </c>
      <c r="B663" t="str">
        <f>TEST_DATA!B663</f>
        <v>Mar-2021</v>
      </c>
      <c r="C663">
        <f>TEST_DATA!C663</f>
        <v>43559</v>
      </c>
      <c r="D663" t="str">
        <f>TEST_DATA!D663</f>
        <v>NON-NIL</v>
      </c>
      <c r="E663">
        <f>TEST_DATA!E663</f>
        <v>1896</v>
      </c>
      <c r="F663">
        <f>MIN(E663*66300,10000)</f>
        <v>10000</v>
      </c>
      <c r="G663" t="e">
        <f ca="1">_xludf.MINIFS(CBIC_Late_Fee_Relief_Windows_1!$I$100:$I$663,CBIC_Late_Fee_Relief_Windows_1!$D$100:$D$663,"&lt;="&amp;B663,CBIC_Late_Fee_Relief_Windows_1!$E$100:$E$663,"&gt;="&amp;B663,CBIC_Late_Fee_Relief_Windows_1!$F$100:$F$663,"&lt;="&amp;C663,CBIC_Late_Fee_Relief_Windows_1!$G$100:$G$663,"&gt;="&amp;C663,CBIC_Late_Fee_Relief_Windows_1!$H$100:$H$663,D663)</f>
        <v>#NAME?</v>
      </c>
      <c r="H663" t="e">
        <f t="shared" ca="1" si="10"/>
        <v>#NAME?</v>
      </c>
      <c r="I663" t="e">
        <f ca="1">INDEX(CBIC_Late_Fee_Relief_Windows_1!$B$100:$B$663,MATCH(G663,CBIC_Late_Fee_Relief_Windows_1!$I$100:$I$663,0))</f>
        <v>#NAME?</v>
      </c>
    </row>
    <row r="664" spans="1:9" x14ac:dyDescent="0.55000000000000004">
      <c r="A664" t="str">
        <f>TEST_DATA!A664</f>
        <v>27AAAAA0664Z5</v>
      </c>
      <c r="B664" t="str">
        <f>TEST_DATA!B664</f>
        <v>Jun-2020</v>
      </c>
      <c r="C664">
        <f>TEST_DATA!C664</f>
        <v>44699</v>
      </c>
      <c r="D664" t="str">
        <f>TEST_DATA!D664</f>
        <v>NON-NIL</v>
      </c>
      <c r="E664">
        <f>TEST_DATA!E664</f>
        <v>940</v>
      </c>
      <c r="F664">
        <f>MIN(E664*66400,10000)</f>
        <v>10000</v>
      </c>
      <c r="G664" t="e">
        <f ca="1">_xludf.MINIFS(CBIC_Late_Fee_Relief_Windows_1!$I$100:$I$664,CBIC_Late_Fee_Relief_Windows_1!$D$100:$D$664,"&lt;="&amp;B664,CBIC_Late_Fee_Relief_Windows_1!$E$100:$E$664,"&gt;="&amp;B664,CBIC_Late_Fee_Relief_Windows_1!$F$100:$F$664,"&lt;="&amp;C664,CBIC_Late_Fee_Relief_Windows_1!$G$100:$G$664,"&gt;="&amp;C664,CBIC_Late_Fee_Relief_Windows_1!$H$100:$H$664,D664)</f>
        <v>#NAME?</v>
      </c>
      <c r="H664" t="e">
        <f t="shared" ca="1" si="10"/>
        <v>#NAME?</v>
      </c>
      <c r="I664" t="e">
        <f ca="1">INDEX(CBIC_Late_Fee_Relief_Windows_1!$B$100:$B$664,MATCH(G664,CBIC_Late_Fee_Relief_Windows_1!$I$100:$I$664,0))</f>
        <v>#NAME?</v>
      </c>
    </row>
    <row r="665" spans="1:9" x14ac:dyDescent="0.55000000000000004">
      <c r="A665" t="str">
        <f>TEST_DATA!A665</f>
        <v>27AAAAA0665Z5</v>
      </c>
      <c r="B665" t="str">
        <f>TEST_DATA!B665</f>
        <v>Feb-2018</v>
      </c>
      <c r="C665">
        <f>TEST_DATA!C665</f>
        <v>43860</v>
      </c>
      <c r="D665" t="str">
        <f>TEST_DATA!D665</f>
        <v>NON-NIL</v>
      </c>
      <c r="E665">
        <f>TEST_DATA!E665</f>
        <v>635</v>
      </c>
      <c r="F665">
        <f>MIN(E665*66500,10000)</f>
        <v>10000</v>
      </c>
      <c r="G665" t="e">
        <f ca="1">_xludf.MINIFS(CBIC_Late_Fee_Relief_Windows_1!$I$100:$I$665,CBIC_Late_Fee_Relief_Windows_1!$D$100:$D$665,"&lt;="&amp;B665,CBIC_Late_Fee_Relief_Windows_1!$E$100:$E$665,"&gt;="&amp;B665,CBIC_Late_Fee_Relief_Windows_1!$F$100:$F$665,"&lt;="&amp;C665,CBIC_Late_Fee_Relief_Windows_1!$G$100:$G$665,"&gt;="&amp;C665,CBIC_Late_Fee_Relief_Windows_1!$H$100:$H$665,D665)</f>
        <v>#NAME?</v>
      </c>
      <c r="H665" t="e">
        <f t="shared" ca="1" si="10"/>
        <v>#NAME?</v>
      </c>
      <c r="I665" t="e">
        <f ca="1">INDEX(CBIC_Late_Fee_Relief_Windows_1!$B$100:$B$665,MATCH(G665,CBIC_Late_Fee_Relief_Windows_1!$I$100:$I$665,0))</f>
        <v>#NAME?</v>
      </c>
    </row>
    <row r="666" spans="1:9" x14ac:dyDescent="0.55000000000000004">
      <c r="A666" t="str">
        <f>TEST_DATA!A666</f>
        <v>27AAAAA0666Z5</v>
      </c>
      <c r="B666" t="str">
        <f>TEST_DATA!B666</f>
        <v>Mar-2018</v>
      </c>
      <c r="C666">
        <f>TEST_DATA!C666</f>
        <v>43303</v>
      </c>
      <c r="D666" t="str">
        <f>TEST_DATA!D666</f>
        <v>NIL</v>
      </c>
      <c r="E666">
        <f>TEST_DATA!E666</f>
        <v>131</v>
      </c>
      <c r="F666">
        <f>MIN(E666*66600,10000)</f>
        <v>10000</v>
      </c>
      <c r="G666" t="e">
        <f ca="1">_xludf.MINIFS(CBIC_Late_Fee_Relief_Windows_1!$I$100:$I$666,CBIC_Late_Fee_Relief_Windows_1!$D$100:$D$666,"&lt;="&amp;B666,CBIC_Late_Fee_Relief_Windows_1!$E$100:$E$666,"&gt;="&amp;B666,CBIC_Late_Fee_Relief_Windows_1!$F$100:$F$666,"&lt;="&amp;C666,CBIC_Late_Fee_Relief_Windows_1!$G$100:$G$666,"&gt;="&amp;C666,CBIC_Late_Fee_Relief_Windows_1!$H$100:$H$666,D666)</f>
        <v>#NAME?</v>
      </c>
      <c r="H666" t="e">
        <f t="shared" ca="1" si="10"/>
        <v>#NAME?</v>
      </c>
      <c r="I666" t="e">
        <f ca="1">INDEX(CBIC_Late_Fee_Relief_Windows_1!$B$100:$B$666,MATCH(G666,CBIC_Late_Fee_Relief_Windows_1!$I$100:$I$666,0))</f>
        <v>#NAME?</v>
      </c>
    </row>
    <row r="667" spans="1:9" x14ac:dyDescent="0.55000000000000004">
      <c r="A667" t="str">
        <f>TEST_DATA!A667</f>
        <v>27AAAAA0667Z5</v>
      </c>
      <c r="B667" t="str">
        <f>TEST_DATA!B667</f>
        <v>Apr-2021</v>
      </c>
      <c r="C667">
        <f>TEST_DATA!C667</f>
        <v>45183</v>
      </c>
      <c r="D667" t="str">
        <f>TEST_DATA!D667</f>
        <v>NIL</v>
      </c>
      <c r="E667">
        <f>TEST_DATA!E667</f>
        <v>985</v>
      </c>
      <c r="F667">
        <f>MIN(E667*66700,10000)</f>
        <v>10000</v>
      </c>
      <c r="G667" t="e">
        <f ca="1">_xludf.MINIFS(CBIC_Late_Fee_Relief_Windows_1!$I$100:$I$667,CBIC_Late_Fee_Relief_Windows_1!$D$100:$D$667,"&lt;="&amp;B667,CBIC_Late_Fee_Relief_Windows_1!$E$100:$E$667,"&gt;="&amp;B667,CBIC_Late_Fee_Relief_Windows_1!$F$100:$F$667,"&lt;="&amp;C667,CBIC_Late_Fee_Relief_Windows_1!$G$100:$G$667,"&gt;="&amp;C667,CBIC_Late_Fee_Relief_Windows_1!$H$100:$H$667,D667)</f>
        <v>#NAME?</v>
      </c>
      <c r="H667" t="e">
        <f t="shared" ca="1" si="10"/>
        <v>#NAME?</v>
      </c>
      <c r="I667" t="e">
        <f ca="1">INDEX(CBIC_Late_Fee_Relief_Windows_1!$B$100:$B$667,MATCH(G667,CBIC_Late_Fee_Relief_Windows_1!$I$100:$I$667,0))</f>
        <v>#NAME?</v>
      </c>
    </row>
    <row r="668" spans="1:9" x14ac:dyDescent="0.55000000000000004">
      <c r="A668" t="str">
        <f>TEST_DATA!A668</f>
        <v>27AAAAA0668Z5</v>
      </c>
      <c r="B668" t="str">
        <f>TEST_DATA!B668</f>
        <v>Jan-2018</v>
      </c>
      <c r="C668">
        <f>TEST_DATA!C668</f>
        <v>43054</v>
      </c>
      <c r="D668" t="str">
        <f>TEST_DATA!D668</f>
        <v>NIL</v>
      </c>
      <c r="E668">
        <f>TEST_DATA!E668</f>
        <v>2432</v>
      </c>
      <c r="F668">
        <f>MIN(E668*66800,10000)</f>
        <v>10000</v>
      </c>
      <c r="G668" t="e">
        <f ca="1">_xludf.MINIFS(CBIC_Late_Fee_Relief_Windows_1!$I$100:$I$668,CBIC_Late_Fee_Relief_Windows_1!$D$100:$D$668,"&lt;="&amp;B668,CBIC_Late_Fee_Relief_Windows_1!$E$100:$E$668,"&gt;="&amp;B668,CBIC_Late_Fee_Relief_Windows_1!$F$100:$F$668,"&lt;="&amp;C668,CBIC_Late_Fee_Relief_Windows_1!$G$100:$G$668,"&gt;="&amp;C668,CBIC_Late_Fee_Relief_Windows_1!$H$100:$H$668,D668)</f>
        <v>#NAME?</v>
      </c>
      <c r="H668" t="e">
        <f t="shared" ca="1" si="10"/>
        <v>#NAME?</v>
      </c>
      <c r="I668" t="e">
        <f ca="1">INDEX(CBIC_Late_Fee_Relief_Windows_1!$B$100:$B$668,MATCH(G668,CBIC_Late_Fee_Relief_Windows_1!$I$100:$I$668,0))</f>
        <v>#NAME?</v>
      </c>
    </row>
    <row r="669" spans="1:9" x14ac:dyDescent="0.55000000000000004">
      <c r="A669" t="str">
        <f>TEST_DATA!A669</f>
        <v>27AAAAA0669Z5</v>
      </c>
      <c r="B669" t="str">
        <f>TEST_DATA!B669</f>
        <v>Aug-2017</v>
      </c>
      <c r="C669">
        <f>TEST_DATA!C669</f>
        <v>43831</v>
      </c>
      <c r="D669" t="str">
        <f>TEST_DATA!D669</f>
        <v>NIL</v>
      </c>
      <c r="E669">
        <f>TEST_DATA!E669</f>
        <v>1002</v>
      </c>
      <c r="F669">
        <f>MIN(E669*66900,10000)</f>
        <v>10000</v>
      </c>
      <c r="G669" t="e">
        <f ca="1">_xludf.MINIFS(CBIC_Late_Fee_Relief_Windows_1!$I$100:$I$669,CBIC_Late_Fee_Relief_Windows_1!$D$100:$D$669,"&lt;="&amp;B669,CBIC_Late_Fee_Relief_Windows_1!$E$100:$E$669,"&gt;="&amp;B669,CBIC_Late_Fee_Relief_Windows_1!$F$100:$F$669,"&lt;="&amp;C669,CBIC_Late_Fee_Relief_Windows_1!$G$100:$G$669,"&gt;="&amp;C669,CBIC_Late_Fee_Relief_Windows_1!$H$100:$H$669,D669)</f>
        <v>#NAME?</v>
      </c>
      <c r="H669" t="e">
        <f t="shared" ca="1" si="10"/>
        <v>#NAME?</v>
      </c>
      <c r="I669" t="e">
        <f ca="1">INDEX(CBIC_Late_Fee_Relief_Windows_1!$B$100:$B$669,MATCH(G669,CBIC_Late_Fee_Relief_Windows_1!$I$100:$I$669,0))</f>
        <v>#NAME?</v>
      </c>
    </row>
    <row r="670" spans="1:9" x14ac:dyDescent="0.55000000000000004">
      <c r="A670" t="str">
        <f>TEST_DATA!A670</f>
        <v>27AAAAA0670Z5</v>
      </c>
      <c r="B670" t="str">
        <f>TEST_DATA!B670</f>
        <v>Jan-2021</v>
      </c>
      <c r="C670">
        <f>TEST_DATA!C670</f>
        <v>43647</v>
      </c>
      <c r="D670" t="str">
        <f>TEST_DATA!D670</f>
        <v>NON-NIL</v>
      </c>
      <c r="E670">
        <f>TEST_DATA!E670</f>
        <v>1797</v>
      </c>
      <c r="F670">
        <f>MIN(E670*67000,10000)</f>
        <v>10000</v>
      </c>
      <c r="G670" t="e">
        <f ca="1">_xludf.MINIFS(CBIC_Late_Fee_Relief_Windows_1!$I$100:$I$670,CBIC_Late_Fee_Relief_Windows_1!$D$100:$D$670,"&lt;="&amp;B670,CBIC_Late_Fee_Relief_Windows_1!$E$100:$E$670,"&gt;="&amp;B670,CBIC_Late_Fee_Relief_Windows_1!$F$100:$F$670,"&lt;="&amp;C670,CBIC_Late_Fee_Relief_Windows_1!$G$100:$G$670,"&gt;="&amp;C670,CBIC_Late_Fee_Relief_Windows_1!$H$100:$H$670,D670)</f>
        <v>#NAME?</v>
      </c>
      <c r="H670" t="e">
        <f t="shared" ca="1" si="10"/>
        <v>#NAME?</v>
      </c>
      <c r="I670" t="e">
        <f ca="1">INDEX(CBIC_Late_Fee_Relief_Windows_1!$B$100:$B$670,MATCH(G670,CBIC_Late_Fee_Relief_Windows_1!$I$100:$I$670,0))</f>
        <v>#NAME?</v>
      </c>
    </row>
    <row r="671" spans="1:9" x14ac:dyDescent="0.55000000000000004">
      <c r="A671" t="str">
        <f>TEST_DATA!A671</f>
        <v>27AAAAA0671Z5</v>
      </c>
      <c r="B671" t="str">
        <f>TEST_DATA!B671</f>
        <v>Feb-2018</v>
      </c>
      <c r="C671">
        <f>TEST_DATA!C671</f>
        <v>44022</v>
      </c>
      <c r="D671" t="str">
        <f>TEST_DATA!D671</f>
        <v>NIL</v>
      </c>
      <c r="E671">
        <f>TEST_DATA!E671</f>
        <v>231</v>
      </c>
      <c r="F671">
        <f>MIN(E671*67100,10000)</f>
        <v>10000</v>
      </c>
      <c r="G671" t="e">
        <f ca="1">_xludf.MINIFS(CBIC_Late_Fee_Relief_Windows_1!$I$100:$I$671,CBIC_Late_Fee_Relief_Windows_1!$D$100:$D$671,"&lt;="&amp;B671,CBIC_Late_Fee_Relief_Windows_1!$E$100:$E$671,"&gt;="&amp;B671,CBIC_Late_Fee_Relief_Windows_1!$F$100:$F$671,"&lt;="&amp;C671,CBIC_Late_Fee_Relief_Windows_1!$G$100:$G$671,"&gt;="&amp;C671,CBIC_Late_Fee_Relief_Windows_1!$H$100:$H$671,D671)</f>
        <v>#NAME?</v>
      </c>
      <c r="H671" t="e">
        <f t="shared" ca="1" si="10"/>
        <v>#NAME?</v>
      </c>
      <c r="I671" t="e">
        <f ca="1">INDEX(CBIC_Late_Fee_Relief_Windows_1!$B$100:$B$671,MATCH(G671,CBIC_Late_Fee_Relief_Windows_1!$I$100:$I$671,0))</f>
        <v>#NAME?</v>
      </c>
    </row>
    <row r="672" spans="1:9" x14ac:dyDescent="0.55000000000000004">
      <c r="A672" t="str">
        <f>TEST_DATA!A672</f>
        <v>27AAAAA0672Z5</v>
      </c>
      <c r="B672" t="str">
        <f>TEST_DATA!B672</f>
        <v>Nov-2017</v>
      </c>
      <c r="C672">
        <f>TEST_DATA!C672</f>
        <v>43948</v>
      </c>
      <c r="D672" t="str">
        <f>TEST_DATA!D672</f>
        <v>NON-NIL</v>
      </c>
      <c r="E672">
        <f>TEST_DATA!E672</f>
        <v>959</v>
      </c>
      <c r="F672">
        <f>MIN(E672*67200,10000)</f>
        <v>10000</v>
      </c>
      <c r="G672" t="e">
        <f ca="1">_xludf.MINIFS(CBIC_Late_Fee_Relief_Windows_1!$I$100:$I$672,CBIC_Late_Fee_Relief_Windows_1!$D$100:$D$672,"&lt;="&amp;B672,CBIC_Late_Fee_Relief_Windows_1!$E$100:$E$672,"&gt;="&amp;B672,CBIC_Late_Fee_Relief_Windows_1!$F$100:$F$672,"&lt;="&amp;C672,CBIC_Late_Fee_Relief_Windows_1!$G$100:$G$672,"&gt;="&amp;C672,CBIC_Late_Fee_Relief_Windows_1!$H$100:$H$672,D672)</f>
        <v>#NAME?</v>
      </c>
      <c r="H672" t="e">
        <f t="shared" ca="1" si="10"/>
        <v>#NAME?</v>
      </c>
      <c r="I672" t="e">
        <f ca="1">INDEX(CBIC_Late_Fee_Relief_Windows_1!$B$100:$B$672,MATCH(G672,CBIC_Late_Fee_Relief_Windows_1!$I$100:$I$672,0))</f>
        <v>#NAME?</v>
      </c>
    </row>
    <row r="673" spans="1:9" x14ac:dyDescent="0.55000000000000004">
      <c r="A673" t="str">
        <f>TEST_DATA!A673</f>
        <v>27AAAAA0673Z5</v>
      </c>
      <c r="B673" t="str">
        <f>TEST_DATA!B673</f>
        <v>Dec-2022</v>
      </c>
      <c r="C673">
        <f>TEST_DATA!C673</f>
        <v>45825</v>
      </c>
      <c r="D673" t="str">
        <f>TEST_DATA!D673</f>
        <v>NON-NIL</v>
      </c>
      <c r="E673">
        <f>TEST_DATA!E673</f>
        <v>2365</v>
      </c>
      <c r="F673">
        <f>MIN(E673*67300,10000)</f>
        <v>10000</v>
      </c>
      <c r="G673" t="e">
        <f ca="1">_xludf.MINIFS(CBIC_Late_Fee_Relief_Windows_1!$I$100:$I$673,CBIC_Late_Fee_Relief_Windows_1!$D$100:$D$673,"&lt;="&amp;B673,CBIC_Late_Fee_Relief_Windows_1!$E$100:$E$673,"&gt;="&amp;B673,CBIC_Late_Fee_Relief_Windows_1!$F$100:$F$673,"&lt;="&amp;C673,CBIC_Late_Fee_Relief_Windows_1!$G$100:$G$673,"&gt;="&amp;C673,CBIC_Late_Fee_Relief_Windows_1!$H$100:$H$673,D673)</f>
        <v>#NAME?</v>
      </c>
      <c r="H673" t="e">
        <f t="shared" ca="1" si="10"/>
        <v>#NAME?</v>
      </c>
      <c r="I673" t="e">
        <f ca="1">INDEX(CBIC_Late_Fee_Relief_Windows_1!$B$100:$B$673,MATCH(G673,CBIC_Late_Fee_Relief_Windows_1!$I$100:$I$673,0))</f>
        <v>#NAME?</v>
      </c>
    </row>
    <row r="674" spans="1:9" x14ac:dyDescent="0.55000000000000004">
      <c r="A674" t="str">
        <f>TEST_DATA!A674</f>
        <v>27AAAAA0674Z5</v>
      </c>
      <c r="B674" t="str">
        <f>TEST_DATA!B674</f>
        <v>Apr-2020</v>
      </c>
      <c r="C674">
        <f>TEST_DATA!C674</f>
        <v>44487</v>
      </c>
      <c r="D674" t="str">
        <f>TEST_DATA!D674</f>
        <v>NIL</v>
      </c>
      <c r="E674">
        <f>TEST_DATA!E674</f>
        <v>1236</v>
      </c>
      <c r="F674">
        <f>MIN(E674*67400,10000)</f>
        <v>10000</v>
      </c>
      <c r="G674" t="e">
        <f ca="1">_xludf.MINIFS(CBIC_Late_Fee_Relief_Windows_1!$I$100:$I$674,CBIC_Late_Fee_Relief_Windows_1!$D$100:$D$674,"&lt;="&amp;B674,CBIC_Late_Fee_Relief_Windows_1!$E$100:$E$674,"&gt;="&amp;B674,CBIC_Late_Fee_Relief_Windows_1!$F$100:$F$674,"&lt;="&amp;C674,CBIC_Late_Fee_Relief_Windows_1!$G$100:$G$674,"&gt;="&amp;C674,CBIC_Late_Fee_Relief_Windows_1!$H$100:$H$674,D674)</f>
        <v>#NAME?</v>
      </c>
      <c r="H674" t="e">
        <f t="shared" ca="1" si="10"/>
        <v>#NAME?</v>
      </c>
      <c r="I674" t="e">
        <f ca="1">INDEX(CBIC_Late_Fee_Relief_Windows_1!$B$100:$B$674,MATCH(G674,CBIC_Late_Fee_Relief_Windows_1!$I$100:$I$674,0))</f>
        <v>#NAME?</v>
      </c>
    </row>
    <row r="675" spans="1:9" x14ac:dyDescent="0.55000000000000004">
      <c r="A675" t="str">
        <f>TEST_DATA!A675</f>
        <v>27AAAAA0675Z5</v>
      </c>
      <c r="B675" t="str">
        <f>TEST_DATA!B675</f>
        <v>Dec-2024</v>
      </c>
      <c r="C675">
        <f>TEST_DATA!C675</f>
        <v>44052</v>
      </c>
      <c r="D675" t="str">
        <f>TEST_DATA!D675</f>
        <v>NIL</v>
      </c>
      <c r="E675">
        <f>TEST_DATA!E675</f>
        <v>1693</v>
      </c>
      <c r="F675">
        <f>MIN(E675*67500,10000)</f>
        <v>10000</v>
      </c>
      <c r="G675" t="e">
        <f ca="1">_xludf.MINIFS(CBIC_Late_Fee_Relief_Windows_1!$I$100:$I$675,CBIC_Late_Fee_Relief_Windows_1!$D$100:$D$675,"&lt;="&amp;B675,CBIC_Late_Fee_Relief_Windows_1!$E$100:$E$675,"&gt;="&amp;B675,CBIC_Late_Fee_Relief_Windows_1!$F$100:$F$675,"&lt;="&amp;C675,CBIC_Late_Fee_Relief_Windows_1!$G$100:$G$675,"&gt;="&amp;C675,CBIC_Late_Fee_Relief_Windows_1!$H$100:$H$675,D675)</f>
        <v>#NAME?</v>
      </c>
      <c r="H675" t="e">
        <f t="shared" ca="1" si="10"/>
        <v>#NAME?</v>
      </c>
      <c r="I675" t="e">
        <f ca="1">INDEX(CBIC_Late_Fee_Relief_Windows_1!$B$100:$B$675,MATCH(G675,CBIC_Late_Fee_Relief_Windows_1!$I$100:$I$675,0))</f>
        <v>#NAME?</v>
      </c>
    </row>
    <row r="676" spans="1:9" x14ac:dyDescent="0.55000000000000004">
      <c r="A676" t="str">
        <f>TEST_DATA!A676</f>
        <v>27AAAAA0676Z5</v>
      </c>
      <c r="B676" t="str">
        <f>TEST_DATA!B676</f>
        <v>Apr-2018</v>
      </c>
      <c r="C676">
        <f>TEST_DATA!C676</f>
        <v>43480</v>
      </c>
      <c r="D676" t="str">
        <f>TEST_DATA!D676</f>
        <v>NIL</v>
      </c>
      <c r="E676">
        <f>TEST_DATA!E676</f>
        <v>2280</v>
      </c>
      <c r="F676">
        <f>MIN(E676*67600,10000)</f>
        <v>10000</v>
      </c>
      <c r="G676" t="e">
        <f ca="1">_xludf.MINIFS(CBIC_Late_Fee_Relief_Windows_1!$I$100:$I$676,CBIC_Late_Fee_Relief_Windows_1!$D$100:$D$676,"&lt;="&amp;B676,CBIC_Late_Fee_Relief_Windows_1!$E$100:$E$676,"&gt;="&amp;B676,CBIC_Late_Fee_Relief_Windows_1!$F$100:$F$676,"&lt;="&amp;C676,CBIC_Late_Fee_Relief_Windows_1!$G$100:$G$676,"&gt;="&amp;C676,CBIC_Late_Fee_Relief_Windows_1!$H$100:$H$676,D676)</f>
        <v>#NAME?</v>
      </c>
      <c r="H676" t="e">
        <f t="shared" ca="1" si="10"/>
        <v>#NAME?</v>
      </c>
      <c r="I676" t="e">
        <f ca="1">INDEX(CBIC_Late_Fee_Relief_Windows_1!$B$100:$B$676,MATCH(G676,CBIC_Late_Fee_Relief_Windows_1!$I$100:$I$676,0))</f>
        <v>#NAME?</v>
      </c>
    </row>
    <row r="677" spans="1:9" x14ac:dyDescent="0.55000000000000004">
      <c r="A677" t="str">
        <f>TEST_DATA!A677</f>
        <v>27AAAAA0677Z5</v>
      </c>
      <c r="B677" t="str">
        <f>TEST_DATA!B677</f>
        <v>Mar-2020</v>
      </c>
      <c r="C677">
        <f>TEST_DATA!C677</f>
        <v>44189</v>
      </c>
      <c r="D677" t="str">
        <f>TEST_DATA!D677</f>
        <v>NON-NIL</v>
      </c>
      <c r="E677">
        <f>TEST_DATA!E677</f>
        <v>2276</v>
      </c>
      <c r="F677">
        <f>MIN(E677*67700,10000)</f>
        <v>10000</v>
      </c>
      <c r="G677" t="e">
        <f ca="1">_xludf.MINIFS(CBIC_Late_Fee_Relief_Windows_1!$I$100:$I$677,CBIC_Late_Fee_Relief_Windows_1!$D$100:$D$677,"&lt;="&amp;B677,CBIC_Late_Fee_Relief_Windows_1!$E$100:$E$677,"&gt;="&amp;B677,CBIC_Late_Fee_Relief_Windows_1!$F$100:$F$677,"&lt;="&amp;C677,CBIC_Late_Fee_Relief_Windows_1!$G$100:$G$677,"&gt;="&amp;C677,CBIC_Late_Fee_Relief_Windows_1!$H$100:$H$677,D677)</f>
        <v>#NAME?</v>
      </c>
      <c r="H677" t="e">
        <f t="shared" ca="1" si="10"/>
        <v>#NAME?</v>
      </c>
      <c r="I677" t="e">
        <f ca="1">INDEX(CBIC_Late_Fee_Relief_Windows_1!$B$100:$B$677,MATCH(G677,CBIC_Late_Fee_Relief_Windows_1!$I$100:$I$677,0))</f>
        <v>#NAME?</v>
      </c>
    </row>
    <row r="678" spans="1:9" x14ac:dyDescent="0.55000000000000004">
      <c r="A678" t="str">
        <f>TEST_DATA!A678</f>
        <v>27AAAAA0678Z5</v>
      </c>
      <c r="B678" t="str">
        <f>TEST_DATA!B678</f>
        <v>Jan-2019</v>
      </c>
      <c r="C678">
        <f>TEST_DATA!C678</f>
        <v>43658</v>
      </c>
      <c r="D678" t="str">
        <f>TEST_DATA!D678</f>
        <v>NON-NIL</v>
      </c>
      <c r="E678">
        <f>TEST_DATA!E678</f>
        <v>2635</v>
      </c>
      <c r="F678">
        <f>MIN(E678*67800,10000)</f>
        <v>10000</v>
      </c>
      <c r="G678" t="e">
        <f ca="1">_xludf.MINIFS(CBIC_Late_Fee_Relief_Windows_1!$I$100:$I$678,CBIC_Late_Fee_Relief_Windows_1!$D$100:$D$678,"&lt;="&amp;B678,CBIC_Late_Fee_Relief_Windows_1!$E$100:$E$678,"&gt;="&amp;B678,CBIC_Late_Fee_Relief_Windows_1!$F$100:$F$678,"&lt;="&amp;C678,CBIC_Late_Fee_Relief_Windows_1!$G$100:$G$678,"&gt;="&amp;C678,CBIC_Late_Fee_Relief_Windows_1!$H$100:$H$678,D678)</f>
        <v>#NAME?</v>
      </c>
      <c r="H678" t="e">
        <f t="shared" ca="1" si="10"/>
        <v>#NAME?</v>
      </c>
      <c r="I678" t="e">
        <f ca="1">INDEX(CBIC_Late_Fee_Relief_Windows_1!$B$100:$B$678,MATCH(G678,CBIC_Late_Fee_Relief_Windows_1!$I$100:$I$678,0))</f>
        <v>#NAME?</v>
      </c>
    </row>
    <row r="679" spans="1:9" x14ac:dyDescent="0.55000000000000004">
      <c r="A679" t="str">
        <f>TEST_DATA!A679</f>
        <v>27AAAAA0679Z5</v>
      </c>
      <c r="B679" t="str">
        <f>TEST_DATA!B679</f>
        <v>Jun-2020</v>
      </c>
      <c r="C679">
        <f>TEST_DATA!C679</f>
        <v>44611</v>
      </c>
      <c r="D679" t="str">
        <f>TEST_DATA!D679</f>
        <v>NON-NIL</v>
      </c>
      <c r="E679">
        <f>TEST_DATA!E679</f>
        <v>2852</v>
      </c>
      <c r="F679">
        <f>MIN(E679*67900,10000)</f>
        <v>10000</v>
      </c>
      <c r="G679" t="e">
        <f ca="1">_xludf.MINIFS(CBIC_Late_Fee_Relief_Windows_1!$I$100:$I$679,CBIC_Late_Fee_Relief_Windows_1!$D$100:$D$679,"&lt;="&amp;B679,CBIC_Late_Fee_Relief_Windows_1!$E$100:$E$679,"&gt;="&amp;B679,CBIC_Late_Fee_Relief_Windows_1!$F$100:$F$679,"&lt;="&amp;C679,CBIC_Late_Fee_Relief_Windows_1!$G$100:$G$679,"&gt;="&amp;C679,CBIC_Late_Fee_Relief_Windows_1!$H$100:$H$679,D679)</f>
        <v>#NAME?</v>
      </c>
      <c r="H679" t="e">
        <f t="shared" ca="1" si="10"/>
        <v>#NAME?</v>
      </c>
      <c r="I679" t="e">
        <f ca="1">INDEX(CBIC_Late_Fee_Relief_Windows_1!$B$100:$B$679,MATCH(G679,CBIC_Late_Fee_Relief_Windows_1!$I$100:$I$679,0))</f>
        <v>#NAME?</v>
      </c>
    </row>
    <row r="680" spans="1:9" x14ac:dyDescent="0.55000000000000004">
      <c r="A680" t="str">
        <f>TEST_DATA!A680</f>
        <v>27AAAAA0680Z5</v>
      </c>
      <c r="B680" t="str">
        <f>TEST_DATA!B680</f>
        <v>Aug-2018</v>
      </c>
      <c r="C680">
        <f>TEST_DATA!C680</f>
        <v>43753</v>
      </c>
      <c r="D680" t="str">
        <f>TEST_DATA!D680</f>
        <v>NIL</v>
      </c>
      <c r="E680">
        <f>TEST_DATA!E680</f>
        <v>1228</v>
      </c>
      <c r="F680">
        <f>MIN(E680*68000,10000)</f>
        <v>10000</v>
      </c>
      <c r="G680" t="e">
        <f ca="1">_xludf.MINIFS(CBIC_Late_Fee_Relief_Windows_1!$I$100:$I$680,CBIC_Late_Fee_Relief_Windows_1!$D$100:$D$680,"&lt;="&amp;B680,CBIC_Late_Fee_Relief_Windows_1!$E$100:$E$680,"&gt;="&amp;B680,CBIC_Late_Fee_Relief_Windows_1!$F$100:$F$680,"&lt;="&amp;C680,CBIC_Late_Fee_Relief_Windows_1!$G$100:$G$680,"&gt;="&amp;C680,CBIC_Late_Fee_Relief_Windows_1!$H$100:$H$680,D680)</f>
        <v>#NAME?</v>
      </c>
      <c r="H680" t="e">
        <f t="shared" ca="1" si="10"/>
        <v>#NAME?</v>
      </c>
      <c r="I680" t="e">
        <f ca="1">INDEX(CBIC_Late_Fee_Relief_Windows_1!$B$100:$B$680,MATCH(G680,CBIC_Late_Fee_Relief_Windows_1!$I$100:$I$680,0))</f>
        <v>#NAME?</v>
      </c>
    </row>
    <row r="681" spans="1:9" x14ac:dyDescent="0.55000000000000004">
      <c r="A681" t="str">
        <f>TEST_DATA!A681</f>
        <v>27AAAAA0681Z5</v>
      </c>
      <c r="B681" t="str">
        <f>TEST_DATA!B681</f>
        <v>Jul-2018</v>
      </c>
      <c r="C681">
        <f>TEST_DATA!C681</f>
        <v>43293</v>
      </c>
      <c r="D681" t="str">
        <f>TEST_DATA!D681</f>
        <v>NON-NIL</v>
      </c>
      <c r="E681">
        <f>TEST_DATA!E681</f>
        <v>987</v>
      </c>
      <c r="F681">
        <f>MIN(E681*68100,10000)</f>
        <v>10000</v>
      </c>
      <c r="G681" t="e">
        <f ca="1">_xludf.MINIFS(CBIC_Late_Fee_Relief_Windows_1!$I$100:$I$681,CBIC_Late_Fee_Relief_Windows_1!$D$100:$D$681,"&lt;="&amp;B681,CBIC_Late_Fee_Relief_Windows_1!$E$100:$E$681,"&gt;="&amp;B681,CBIC_Late_Fee_Relief_Windows_1!$F$100:$F$681,"&lt;="&amp;C681,CBIC_Late_Fee_Relief_Windows_1!$G$100:$G$681,"&gt;="&amp;C681,CBIC_Late_Fee_Relief_Windows_1!$H$100:$H$681,D681)</f>
        <v>#NAME?</v>
      </c>
      <c r="H681" t="e">
        <f t="shared" ca="1" si="10"/>
        <v>#NAME?</v>
      </c>
      <c r="I681" t="e">
        <f ca="1">INDEX(CBIC_Late_Fee_Relief_Windows_1!$B$100:$B$681,MATCH(G681,CBIC_Late_Fee_Relief_Windows_1!$I$100:$I$681,0))</f>
        <v>#NAME?</v>
      </c>
    </row>
    <row r="682" spans="1:9" x14ac:dyDescent="0.55000000000000004">
      <c r="A682" t="str">
        <f>TEST_DATA!A682</f>
        <v>27AAAAA0682Z5</v>
      </c>
      <c r="B682" t="str">
        <f>TEST_DATA!B682</f>
        <v>Mar-2023</v>
      </c>
      <c r="C682">
        <f>TEST_DATA!C682</f>
        <v>44389</v>
      </c>
      <c r="D682" t="str">
        <f>TEST_DATA!D682</f>
        <v>NON-NIL</v>
      </c>
      <c r="E682">
        <f>TEST_DATA!E682</f>
        <v>2898</v>
      </c>
      <c r="F682">
        <f>MIN(E682*68200,10000)</f>
        <v>10000</v>
      </c>
      <c r="G682" t="e">
        <f ca="1">_xludf.MINIFS(CBIC_Late_Fee_Relief_Windows_1!$I$100:$I$682,CBIC_Late_Fee_Relief_Windows_1!$D$100:$D$682,"&lt;="&amp;B682,CBIC_Late_Fee_Relief_Windows_1!$E$100:$E$682,"&gt;="&amp;B682,CBIC_Late_Fee_Relief_Windows_1!$F$100:$F$682,"&lt;="&amp;C682,CBIC_Late_Fee_Relief_Windows_1!$G$100:$G$682,"&gt;="&amp;C682,CBIC_Late_Fee_Relief_Windows_1!$H$100:$H$682,D682)</f>
        <v>#NAME?</v>
      </c>
      <c r="H682" t="e">
        <f t="shared" ca="1" si="10"/>
        <v>#NAME?</v>
      </c>
      <c r="I682" t="e">
        <f ca="1">INDEX(CBIC_Late_Fee_Relief_Windows_1!$B$100:$B$682,MATCH(G682,CBIC_Late_Fee_Relief_Windows_1!$I$100:$I$682,0))</f>
        <v>#NAME?</v>
      </c>
    </row>
    <row r="683" spans="1:9" x14ac:dyDescent="0.55000000000000004">
      <c r="A683" t="str">
        <f>TEST_DATA!A683</f>
        <v>27AAAAA0683Z5</v>
      </c>
      <c r="B683" t="str">
        <f>TEST_DATA!B683</f>
        <v>Nov-2017</v>
      </c>
      <c r="C683">
        <f>TEST_DATA!C683</f>
        <v>43865</v>
      </c>
      <c r="D683" t="str">
        <f>TEST_DATA!D683</f>
        <v>NIL</v>
      </c>
      <c r="E683">
        <f>TEST_DATA!E683</f>
        <v>2303</v>
      </c>
      <c r="F683">
        <f>MIN(E683*68300,10000)</f>
        <v>10000</v>
      </c>
      <c r="G683" t="e">
        <f ca="1">_xludf.MINIFS(CBIC_Late_Fee_Relief_Windows_1!$I$100:$I$683,CBIC_Late_Fee_Relief_Windows_1!$D$100:$D$683,"&lt;="&amp;B683,CBIC_Late_Fee_Relief_Windows_1!$E$100:$E$683,"&gt;="&amp;B683,CBIC_Late_Fee_Relief_Windows_1!$F$100:$F$683,"&lt;="&amp;C683,CBIC_Late_Fee_Relief_Windows_1!$G$100:$G$683,"&gt;="&amp;C683,CBIC_Late_Fee_Relief_Windows_1!$H$100:$H$683,D683)</f>
        <v>#NAME?</v>
      </c>
      <c r="H683" t="e">
        <f t="shared" ca="1" si="10"/>
        <v>#NAME?</v>
      </c>
      <c r="I683" t="e">
        <f ca="1">INDEX(CBIC_Late_Fee_Relief_Windows_1!$B$100:$B$683,MATCH(G683,CBIC_Late_Fee_Relief_Windows_1!$I$100:$I$683,0))</f>
        <v>#NAME?</v>
      </c>
    </row>
    <row r="684" spans="1:9" x14ac:dyDescent="0.55000000000000004">
      <c r="A684" t="str">
        <f>TEST_DATA!A684</f>
        <v>27AAAAA0684Z5</v>
      </c>
      <c r="B684" t="str">
        <f>TEST_DATA!B684</f>
        <v>Aug-2018</v>
      </c>
      <c r="C684">
        <f>TEST_DATA!C684</f>
        <v>43770</v>
      </c>
      <c r="D684" t="str">
        <f>TEST_DATA!D684</f>
        <v>NIL</v>
      </c>
      <c r="E684">
        <f>TEST_DATA!E684</f>
        <v>1590</v>
      </c>
      <c r="F684">
        <f>MIN(E684*68400,10000)</f>
        <v>10000</v>
      </c>
      <c r="G684" t="e">
        <f ca="1">_xludf.MINIFS(CBIC_Late_Fee_Relief_Windows_1!$I$100:$I$684,CBIC_Late_Fee_Relief_Windows_1!$D$100:$D$684,"&lt;="&amp;B684,CBIC_Late_Fee_Relief_Windows_1!$E$100:$E$684,"&gt;="&amp;B684,CBIC_Late_Fee_Relief_Windows_1!$F$100:$F$684,"&lt;="&amp;C684,CBIC_Late_Fee_Relief_Windows_1!$G$100:$G$684,"&gt;="&amp;C684,CBIC_Late_Fee_Relief_Windows_1!$H$100:$H$684,D684)</f>
        <v>#NAME?</v>
      </c>
      <c r="H684" t="e">
        <f t="shared" ca="1" si="10"/>
        <v>#NAME?</v>
      </c>
      <c r="I684" t="e">
        <f ca="1">INDEX(CBIC_Late_Fee_Relief_Windows_1!$B$100:$B$684,MATCH(G684,CBIC_Late_Fee_Relief_Windows_1!$I$100:$I$684,0))</f>
        <v>#NAME?</v>
      </c>
    </row>
    <row r="685" spans="1:9" x14ac:dyDescent="0.55000000000000004">
      <c r="A685" t="str">
        <f>TEST_DATA!A685</f>
        <v>27AAAAA0685Z5</v>
      </c>
      <c r="B685" t="str">
        <f>TEST_DATA!B685</f>
        <v>Feb-2018</v>
      </c>
      <c r="C685">
        <f>TEST_DATA!C685</f>
        <v>43439</v>
      </c>
      <c r="D685" t="str">
        <f>TEST_DATA!D685</f>
        <v>NIL</v>
      </c>
      <c r="E685">
        <f>TEST_DATA!E685</f>
        <v>1352</v>
      </c>
      <c r="F685">
        <f>MIN(E685*68500,10000)</f>
        <v>10000</v>
      </c>
      <c r="G685" t="e">
        <f ca="1">_xludf.MINIFS(CBIC_Late_Fee_Relief_Windows_1!$I$100:$I$685,CBIC_Late_Fee_Relief_Windows_1!$D$100:$D$685,"&lt;="&amp;B685,CBIC_Late_Fee_Relief_Windows_1!$E$100:$E$685,"&gt;="&amp;B685,CBIC_Late_Fee_Relief_Windows_1!$F$100:$F$685,"&lt;="&amp;C685,CBIC_Late_Fee_Relief_Windows_1!$G$100:$G$685,"&gt;="&amp;C685,CBIC_Late_Fee_Relief_Windows_1!$H$100:$H$685,D685)</f>
        <v>#NAME?</v>
      </c>
      <c r="H685" t="e">
        <f t="shared" ca="1" si="10"/>
        <v>#NAME?</v>
      </c>
      <c r="I685" t="e">
        <f ca="1">INDEX(CBIC_Late_Fee_Relief_Windows_1!$B$100:$B$685,MATCH(G685,CBIC_Late_Fee_Relief_Windows_1!$I$100:$I$685,0))</f>
        <v>#NAME?</v>
      </c>
    </row>
    <row r="686" spans="1:9" x14ac:dyDescent="0.55000000000000004">
      <c r="A686" t="str">
        <f>TEST_DATA!A686</f>
        <v>27AAAAA0686Z5</v>
      </c>
      <c r="B686" t="str">
        <f>TEST_DATA!B686</f>
        <v>May-2020</v>
      </c>
      <c r="C686">
        <f>TEST_DATA!C686</f>
        <v>43992</v>
      </c>
      <c r="D686" t="str">
        <f>TEST_DATA!D686</f>
        <v>NON-NIL</v>
      </c>
      <c r="E686">
        <f>TEST_DATA!E686</f>
        <v>1519</v>
      </c>
      <c r="F686">
        <f>MIN(E686*68600,10000)</f>
        <v>10000</v>
      </c>
      <c r="G686" t="e">
        <f ca="1">_xludf.MINIFS(CBIC_Late_Fee_Relief_Windows_1!$I$100:$I$686,CBIC_Late_Fee_Relief_Windows_1!$D$100:$D$686,"&lt;="&amp;B686,CBIC_Late_Fee_Relief_Windows_1!$E$100:$E$686,"&gt;="&amp;B686,CBIC_Late_Fee_Relief_Windows_1!$F$100:$F$686,"&lt;="&amp;C686,CBIC_Late_Fee_Relief_Windows_1!$G$100:$G$686,"&gt;="&amp;C686,CBIC_Late_Fee_Relief_Windows_1!$H$100:$H$686,D686)</f>
        <v>#NAME?</v>
      </c>
      <c r="H686" t="e">
        <f t="shared" ca="1" si="10"/>
        <v>#NAME?</v>
      </c>
      <c r="I686" t="e">
        <f ca="1">INDEX(CBIC_Late_Fee_Relief_Windows_1!$B$100:$B$686,MATCH(G686,CBIC_Late_Fee_Relief_Windows_1!$I$100:$I$686,0))</f>
        <v>#NAME?</v>
      </c>
    </row>
    <row r="687" spans="1:9" x14ac:dyDescent="0.55000000000000004">
      <c r="A687" t="str">
        <f>TEST_DATA!A687</f>
        <v>27AAAAA0687Z5</v>
      </c>
      <c r="B687" t="str">
        <f>TEST_DATA!B687</f>
        <v>Sep-2017</v>
      </c>
      <c r="C687">
        <f>TEST_DATA!C687</f>
        <v>44013</v>
      </c>
      <c r="D687" t="str">
        <f>TEST_DATA!D687</f>
        <v>NIL</v>
      </c>
      <c r="E687">
        <f>TEST_DATA!E687</f>
        <v>211</v>
      </c>
      <c r="F687">
        <f>MIN(E687*68700,10000)</f>
        <v>10000</v>
      </c>
      <c r="G687" t="e">
        <f ca="1">_xludf.MINIFS(CBIC_Late_Fee_Relief_Windows_1!$I$100:$I$687,CBIC_Late_Fee_Relief_Windows_1!$D$100:$D$687,"&lt;="&amp;B687,CBIC_Late_Fee_Relief_Windows_1!$E$100:$E$687,"&gt;="&amp;B687,CBIC_Late_Fee_Relief_Windows_1!$F$100:$F$687,"&lt;="&amp;C687,CBIC_Late_Fee_Relief_Windows_1!$G$100:$G$687,"&gt;="&amp;C687,CBIC_Late_Fee_Relief_Windows_1!$H$100:$H$687,D687)</f>
        <v>#NAME?</v>
      </c>
      <c r="H687" t="e">
        <f t="shared" ca="1" si="10"/>
        <v>#NAME?</v>
      </c>
      <c r="I687" t="e">
        <f ca="1">INDEX(CBIC_Late_Fee_Relief_Windows_1!$B$100:$B$687,MATCH(G687,CBIC_Late_Fee_Relief_Windows_1!$I$100:$I$687,0))</f>
        <v>#NAME?</v>
      </c>
    </row>
    <row r="688" spans="1:9" x14ac:dyDescent="0.55000000000000004">
      <c r="A688" t="str">
        <f>TEST_DATA!A688</f>
        <v>27AAAAA0688Z5</v>
      </c>
      <c r="B688" t="str">
        <f>TEST_DATA!B688</f>
        <v>Mar-2018</v>
      </c>
      <c r="C688">
        <f>TEST_DATA!C688</f>
        <v>43689</v>
      </c>
      <c r="D688" t="str">
        <f>TEST_DATA!D688</f>
        <v>NIL</v>
      </c>
      <c r="E688">
        <f>TEST_DATA!E688</f>
        <v>298</v>
      </c>
      <c r="F688">
        <f>MIN(E688*68800,10000)</f>
        <v>10000</v>
      </c>
      <c r="G688" t="e">
        <f ca="1">_xludf.MINIFS(CBIC_Late_Fee_Relief_Windows_1!$I$100:$I$688,CBIC_Late_Fee_Relief_Windows_1!$D$100:$D$688,"&lt;="&amp;B688,CBIC_Late_Fee_Relief_Windows_1!$E$100:$E$688,"&gt;="&amp;B688,CBIC_Late_Fee_Relief_Windows_1!$F$100:$F$688,"&lt;="&amp;C688,CBIC_Late_Fee_Relief_Windows_1!$G$100:$G$688,"&gt;="&amp;C688,CBIC_Late_Fee_Relief_Windows_1!$H$100:$H$688,D688)</f>
        <v>#NAME?</v>
      </c>
      <c r="H688" t="e">
        <f t="shared" ca="1" si="10"/>
        <v>#NAME?</v>
      </c>
      <c r="I688" t="e">
        <f ca="1">INDEX(CBIC_Late_Fee_Relief_Windows_1!$B$100:$B$688,MATCH(G688,CBIC_Late_Fee_Relief_Windows_1!$I$100:$I$688,0))</f>
        <v>#NAME?</v>
      </c>
    </row>
    <row r="689" spans="1:9" x14ac:dyDescent="0.55000000000000004">
      <c r="A689" t="str">
        <f>TEST_DATA!A689</f>
        <v>27AAAAA0689Z5</v>
      </c>
      <c r="B689" t="str">
        <f>TEST_DATA!B689</f>
        <v>Jan-2018</v>
      </c>
      <c r="C689">
        <f>TEST_DATA!C689</f>
        <v>44476</v>
      </c>
      <c r="D689" t="str">
        <f>TEST_DATA!D689</f>
        <v>NIL</v>
      </c>
      <c r="E689">
        <f>TEST_DATA!E689</f>
        <v>1963</v>
      </c>
      <c r="F689">
        <f>MIN(E689*68900,10000)</f>
        <v>10000</v>
      </c>
      <c r="G689" t="e">
        <f ca="1">_xludf.MINIFS(CBIC_Late_Fee_Relief_Windows_1!$I$100:$I$689,CBIC_Late_Fee_Relief_Windows_1!$D$100:$D$689,"&lt;="&amp;B689,CBIC_Late_Fee_Relief_Windows_1!$E$100:$E$689,"&gt;="&amp;B689,CBIC_Late_Fee_Relief_Windows_1!$F$100:$F$689,"&lt;="&amp;C689,CBIC_Late_Fee_Relief_Windows_1!$G$100:$G$689,"&gt;="&amp;C689,CBIC_Late_Fee_Relief_Windows_1!$H$100:$H$689,D689)</f>
        <v>#NAME?</v>
      </c>
      <c r="H689" t="e">
        <f t="shared" ca="1" si="10"/>
        <v>#NAME?</v>
      </c>
      <c r="I689" t="e">
        <f ca="1">INDEX(CBIC_Late_Fee_Relief_Windows_1!$B$100:$B$689,MATCH(G689,CBIC_Late_Fee_Relief_Windows_1!$I$100:$I$689,0))</f>
        <v>#NAME?</v>
      </c>
    </row>
    <row r="690" spans="1:9" x14ac:dyDescent="0.55000000000000004">
      <c r="A690" t="str">
        <f>TEST_DATA!A690</f>
        <v>27AAAAA0690Z5</v>
      </c>
      <c r="B690" t="str">
        <f>TEST_DATA!B690</f>
        <v>Jan-2018</v>
      </c>
      <c r="C690">
        <f>TEST_DATA!C690</f>
        <v>43598</v>
      </c>
      <c r="D690" t="str">
        <f>TEST_DATA!D690</f>
        <v>NON-NIL</v>
      </c>
      <c r="E690">
        <f>TEST_DATA!E690</f>
        <v>62</v>
      </c>
      <c r="F690">
        <f>MIN(E690*69000,10000)</f>
        <v>10000</v>
      </c>
      <c r="G690" t="e">
        <f ca="1">_xludf.MINIFS(CBIC_Late_Fee_Relief_Windows_1!$I$100:$I$690,CBIC_Late_Fee_Relief_Windows_1!$D$100:$D$690,"&lt;="&amp;B690,CBIC_Late_Fee_Relief_Windows_1!$E$100:$E$690,"&gt;="&amp;B690,CBIC_Late_Fee_Relief_Windows_1!$F$100:$F$690,"&lt;="&amp;C690,CBIC_Late_Fee_Relief_Windows_1!$G$100:$G$690,"&gt;="&amp;C690,CBIC_Late_Fee_Relief_Windows_1!$H$100:$H$690,D690)</f>
        <v>#NAME?</v>
      </c>
      <c r="H690" t="e">
        <f t="shared" ca="1" si="10"/>
        <v>#NAME?</v>
      </c>
      <c r="I690" t="e">
        <f ca="1">INDEX(CBIC_Late_Fee_Relief_Windows_1!$B$100:$B$690,MATCH(G690,CBIC_Late_Fee_Relief_Windows_1!$I$100:$I$690,0))</f>
        <v>#NAME?</v>
      </c>
    </row>
    <row r="691" spans="1:9" x14ac:dyDescent="0.55000000000000004">
      <c r="A691" t="str">
        <f>TEST_DATA!A691</f>
        <v>27AAAAA0691Z5</v>
      </c>
      <c r="B691" t="str">
        <f>TEST_DATA!B691</f>
        <v>Jan-2018</v>
      </c>
      <c r="C691">
        <f>TEST_DATA!C691</f>
        <v>43306</v>
      </c>
      <c r="D691" t="str">
        <f>TEST_DATA!D691</f>
        <v>NIL</v>
      </c>
      <c r="E691">
        <f>TEST_DATA!E691</f>
        <v>1961</v>
      </c>
      <c r="F691">
        <f>MIN(E691*69100,10000)</f>
        <v>10000</v>
      </c>
      <c r="G691" t="e">
        <f ca="1">_xludf.MINIFS(CBIC_Late_Fee_Relief_Windows_1!$I$100:$I$691,CBIC_Late_Fee_Relief_Windows_1!$D$100:$D$691,"&lt;="&amp;B691,CBIC_Late_Fee_Relief_Windows_1!$E$100:$E$691,"&gt;="&amp;B691,CBIC_Late_Fee_Relief_Windows_1!$F$100:$F$691,"&lt;="&amp;C691,CBIC_Late_Fee_Relief_Windows_1!$G$100:$G$691,"&gt;="&amp;C691,CBIC_Late_Fee_Relief_Windows_1!$H$100:$H$691,D691)</f>
        <v>#NAME?</v>
      </c>
      <c r="H691" t="e">
        <f t="shared" ca="1" si="10"/>
        <v>#NAME?</v>
      </c>
      <c r="I691" t="e">
        <f ca="1">INDEX(CBIC_Late_Fee_Relief_Windows_1!$B$100:$B$691,MATCH(G691,CBIC_Late_Fee_Relief_Windows_1!$I$100:$I$691,0))</f>
        <v>#NAME?</v>
      </c>
    </row>
    <row r="692" spans="1:9" x14ac:dyDescent="0.55000000000000004">
      <c r="A692" t="str">
        <f>TEST_DATA!A692</f>
        <v>27AAAAA0692Z5</v>
      </c>
      <c r="B692" t="str">
        <f>TEST_DATA!B692</f>
        <v>Feb-2018</v>
      </c>
      <c r="C692">
        <f>TEST_DATA!C692</f>
        <v>44341</v>
      </c>
      <c r="D692" t="str">
        <f>TEST_DATA!D692</f>
        <v>NIL</v>
      </c>
      <c r="E692">
        <f>TEST_DATA!E692</f>
        <v>1624</v>
      </c>
      <c r="F692">
        <f>MIN(E692*69200,10000)</f>
        <v>10000</v>
      </c>
      <c r="G692" t="e">
        <f ca="1">_xludf.MINIFS(CBIC_Late_Fee_Relief_Windows_1!$I$100:$I$692,CBIC_Late_Fee_Relief_Windows_1!$D$100:$D$692,"&lt;="&amp;B692,CBIC_Late_Fee_Relief_Windows_1!$E$100:$E$692,"&gt;="&amp;B692,CBIC_Late_Fee_Relief_Windows_1!$F$100:$F$692,"&lt;="&amp;C692,CBIC_Late_Fee_Relief_Windows_1!$G$100:$G$692,"&gt;="&amp;C692,CBIC_Late_Fee_Relief_Windows_1!$H$100:$H$692,D692)</f>
        <v>#NAME?</v>
      </c>
      <c r="H692" t="e">
        <f t="shared" ca="1" si="10"/>
        <v>#NAME?</v>
      </c>
      <c r="I692" t="e">
        <f ca="1">INDEX(CBIC_Late_Fee_Relief_Windows_1!$B$100:$B$692,MATCH(G692,CBIC_Late_Fee_Relief_Windows_1!$I$100:$I$692,0))</f>
        <v>#NAME?</v>
      </c>
    </row>
    <row r="693" spans="1:9" x14ac:dyDescent="0.55000000000000004">
      <c r="A693" t="str">
        <f>TEST_DATA!A693</f>
        <v>27AAAAA0693Z5</v>
      </c>
      <c r="B693" t="str">
        <f>TEST_DATA!B693</f>
        <v>Feb-2018</v>
      </c>
      <c r="C693">
        <f>TEST_DATA!C693</f>
        <v>44047</v>
      </c>
      <c r="D693" t="str">
        <f>TEST_DATA!D693</f>
        <v>NON-NIL</v>
      </c>
      <c r="E693">
        <f>TEST_DATA!E693</f>
        <v>1159</v>
      </c>
      <c r="F693">
        <f>MIN(E693*69300,10000)</f>
        <v>10000</v>
      </c>
      <c r="G693" t="e">
        <f ca="1">_xludf.MINIFS(CBIC_Late_Fee_Relief_Windows_1!$I$100:$I$693,CBIC_Late_Fee_Relief_Windows_1!$D$100:$D$693,"&lt;="&amp;B693,CBIC_Late_Fee_Relief_Windows_1!$E$100:$E$693,"&gt;="&amp;B693,CBIC_Late_Fee_Relief_Windows_1!$F$100:$F$693,"&lt;="&amp;C693,CBIC_Late_Fee_Relief_Windows_1!$G$100:$G$693,"&gt;="&amp;C693,CBIC_Late_Fee_Relief_Windows_1!$H$100:$H$693,D693)</f>
        <v>#NAME?</v>
      </c>
      <c r="H693" t="e">
        <f t="shared" ca="1" si="10"/>
        <v>#NAME?</v>
      </c>
      <c r="I693" t="e">
        <f ca="1">INDEX(CBIC_Late_Fee_Relief_Windows_1!$B$100:$B$693,MATCH(G693,CBIC_Late_Fee_Relief_Windows_1!$I$100:$I$693,0))</f>
        <v>#NAME?</v>
      </c>
    </row>
    <row r="694" spans="1:9" x14ac:dyDescent="0.55000000000000004">
      <c r="A694" t="str">
        <f>TEST_DATA!A694</f>
        <v>27AAAAA0694Z5</v>
      </c>
      <c r="B694" t="str">
        <f>TEST_DATA!B694</f>
        <v>Jul-2018</v>
      </c>
      <c r="C694">
        <f>TEST_DATA!C694</f>
        <v>43871</v>
      </c>
      <c r="D694" t="str">
        <f>TEST_DATA!D694</f>
        <v>NON-NIL</v>
      </c>
      <c r="E694">
        <f>TEST_DATA!E694</f>
        <v>1263</v>
      </c>
      <c r="F694">
        <f>MIN(E694*69400,10000)</f>
        <v>10000</v>
      </c>
      <c r="G694" t="e">
        <f ca="1">_xludf.MINIFS(CBIC_Late_Fee_Relief_Windows_1!$I$100:$I$694,CBIC_Late_Fee_Relief_Windows_1!$D$100:$D$694,"&lt;="&amp;B694,CBIC_Late_Fee_Relief_Windows_1!$E$100:$E$694,"&gt;="&amp;B694,CBIC_Late_Fee_Relief_Windows_1!$F$100:$F$694,"&lt;="&amp;C694,CBIC_Late_Fee_Relief_Windows_1!$G$100:$G$694,"&gt;="&amp;C694,CBIC_Late_Fee_Relief_Windows_1!$H$100:$H$694,D694)</f>
        <v>#NAME?</v>
      </c>
      <c r="H694" t="e">
        <f t="shared" ca="1" si="10"/>
        <v>#NAME?</v>
      </c>
      <c r="I694" t="e">
        <f ca="1">INDEX(CBIC_Late_Fee_Relief_Windows_1!$B$100:$B$694,MATCH(G694,CBIC_Late_Fee_Relief_Windows_1!$I$100:$I$694,0))</f>
        <v>#NAME?</v>
      </c>
    </row>
    <row r="695" spans="1:9" x14ac:dyDescent="0.55000000000000004">
      <c r="A695" t="str">
        <f>TEST_DATA!A695</f>
        <v>27AAAAA0695Z5</v>
      </c>
      <c r="B695" t="str">
        <f>TEST_DATA!B695</f>
        <v>Mar-2018</v>
      </c>
      <c r="C695">
        <f>TEST_DATA!C695</f>
        <v>43653</v>
      </c>
      <c r="D695" t="str">
        <f>TEST_DATA!D695</f>
        <v>NON-NIL</v>
      </c>
      <c r="E695">
        <f>TEST_DATA!E695</f>
        <v>1908</v>
      </c>
      <c r="F695">
        <f>MIN(E695*69500,10000)</f>
        <v>10000</v>
      </c>
      <c r="G695" t="e">
        <f ca="1">_xludf.MINIFS(CBIC_Late_Fee_Relief_Windows_1!$I$100:$I$695,CBIC_Late_Fee_Relief_Windows_1!$D$100:$D$695,"&lt;="&amp;B695,CBIC_Late_Fee_Relief_Windows_1!$E$100:$E$695,"&gt;="&amp;B695,CBIC_Late_Fee_Relief_Windows_1!$F$100:$F$695,"&lt;="&amp;C695,CBIC_Late_Fee_Relief_Windows_1!$G$100:$G$695,"&gt;="&amp;C695,CBIC_Late_Fee_Relief_Windows_1!$H$100:$H$695,D695)</f>
        <v>#NAME?</v>
      </c>
      <c r="H695" t="e">
        <f t="shared" ca="1" si="10"/>
        <v>#NAME?</v>
      </c>
      <c r="I695" t="e">
        <f ca="1">INDEX(CBIC_Late_Fee_Relief_Windows_1!$B$100:$B$695,MATCH(G695,CBIC_Late_Fee_Relief_Windows_1!$I$100:$I$695,0))</f>
        <v>#NAME?</v>
      </c>
    </row>
    <row r="696" spans="1:9" x14ac:dyDescent="0.55000000000000004">
      <c r="A696" t="str">
        <f>TEST_DATA!A696</f>
        <v>27AAAAA0696Z5</v>
      </c>
      <c r="B696" t="str">
        <f>TEST_DATA!B696</f>
        <v>Oct-2017</v>
      </c>
      <c r="C696">
        <f>TEST_DATA!C696</f>
        <v>44561</v>
      </c>
      <c r="D696" t="str">
        <f>TEST_DATA!D696</f>
        <v>NON-NIL</v>
      </c>
      <c r="E696">
        <f>TEST_DATA!E696</f>
        <v>1311</v>
      </c>
      <c r="F696">
        <f>MIN(E696*69600,10000)</f>
        <v>10000</v>
      </c>
      <c r="G696" t="e">
        <f ca="1">_xludf.MINIFS(CBIC_Late_Fee_Relief_Windows_1!$I$100:$I$696,CBIC_Late_Fee_Relief_Windows_1!$D$100:$D$696,"&lt;="&amp;B696,CBIC_Late_Fee_Relief_Windows_1!$E$100:$E$696,"&gt;="&amp;B696,CBIC_Late_Fee_Relief_Windows_1!$F$100:$F$696,"&lt;="&amp;C696,CBIC_Late_Fee_Relief_Windows_1!$G$100:$G$696,"&gt;="&amp;C696,CBIC_Late_Fee_Relief_Windows_1!$H$100:$H$696,D696)</f>
        <v>#NAME?</v>
      </c>
      <c r="H696" t="e">
        <f t="shared" ca="1" si="10"/>
        <v>#NAME?</v>
      </c>
      <c r="I696" t="e">
        <f ca="1">INDEX(CBIC_Late_Fee_Relief_Windows_1!$B$100:$B$696,MATCH(G696,CBIC_Late_Fee_Relief_Windows_1!$I$100:$I$696,0))</f>
        <v>#NAME?</v>
      </c>
    </row>
    <row r="697" spans="1:9" x14ac:dyDescent="0.55000000000000004">
      <c r="A697" t="str">
        <f>TEST_DATA!A697</f>
        <v>27AAAAA0697Z5</v>
      </c>
      <c r="B697" t="str">
        <f>TEST_DATA!B697</f>
        <v>Jan-2018</v>
      </c>
      <c r="C697">
        <f>TEST_DATA!C697</f>
        <v>43676</v>
      </c>
      <c r="D697" t="str">
        <f>TEST_DATA!D697</f>
        <v>NON-NIL</v>
      </c>
      <c r="E697">
        <f>TEST_DATA!E697</f>
        <v>1695</v>
      </c>
      <c r="F697">
        <f>MIN(E697*69700,10000)</f>
        <v>10000</v>
      </c>
      <c r="G697" t="e">
        <f ca="1">_xludf.MINIFS(CBIC_Late_Fee_Relief_Windows_1!$I$100:$I$697,CBIC_Late_Fee_Relief_Windows_1!$D$100:$D$697,"&lt;="&amp;B697,CBIC_Late_Fee_Relief_Windows_1!$E$100:$E$697,"&gt;="&amp;B697,CBIC_Late_Fee_Relief_Windows_1!$F$100:$F$697,"&lt;="&amp;C697,CBIC_Late_Fee_Relief_Windows_1!$G$100:$G$697,"&gt;="&amp;C697,CBIC_Late_Fee_Relief_Windows_1!$H$100:$H$697,D697)</f>
        <v>#NAME?</v>
      </c>
      <c r="H697" t="e">
        <f t="shared" ca="1" si="10"/>
        <v>#NAME?</v>
      </c>
      <c r="I697" t="e">
        <f ca="1">INDEX(CBIC_Late_Fee_Relief_Windows_1!$B$100:$B$697,MATCH(G697,CBIC_Late_Fee_Relief_Windows_1!$I$100:$I$697,0))</f>
        <v>#NAME?</v>
      </c>
    </row>
    <row r="698" spans="1:9" x14ac:dyDescent="0.55000000000000004">
      <c r="A698" t="str">
        <f>TEST_DATA!A698</f>
        <v>27AAAAA0698Z5</v>
      </c>
      <c r="B698" t="str">
        <f>TEST_DATA!B698</f>
        <v>Aug-2017</v>
      </c>
      <c r="C698">
        <f>TEST_DATA!C698</f>
        <v>44069</v>
      </c>
      <c r="D698" t="str">
        <f>TEST_DATA!D698</f>
        <v>NIL</v>
      </c>
      <c r="E698">
        <f>TEST_DATA!E698</f>
        <v>597</v>
      </c>
      <c r="F698">
        <f>MIN(E698*69800,10000)</f>
        <v>10000</v>
      </c>
      <c r="G698" t="e">
        <f ca="1">_xludf.MINIFS(CBIC_Late_Fee_Relief_Windows_1!$I$100:$I$698,CBIC_Late_Fee_Relief_Windows_1!$D$100:$D$698,"&lt;="&amp;B698,CBIC_Late_Fee_Relief_Windows_1!$E$100:$E$698,"&gt;="&amp;B698,CBIC_Late_Fee_Relief_Windows_1!$F$100:$F$698,"&lt;="&amp;C698,CBIC_Late_Fee_Relief_Windows_1!$G$100:$G$698,"&gt;="&amp;C698,CBIC_Late_Fee_Relief_Windows_1!$H$100:$H$698,D698)</f>
        <v>#NAME?</v>
      </c>
      <c r="H698" t="e">
        <f t="shared" ca="1" si="10"/>
        <v>#NAME?</v>
      </c>
      <c r="I698" t="e">
        <f ca="1">INDEX(CBIC_Late_Fee_Relief_Windows_1!$B$100:$B$698,MATCH(G698,CBIC_Late_Fee_Relief_Windows_1!$I$100:$I$698,0))</f>
        <v>#NAME?</v>
      </c>
    </row>
    <row r="699" spans="1:9" x14ac:dyDescent="0.55000000000000004">
      <c r="A699" t="str">
        <f>TEST_DATA!A699</f>
        <v>27AAAAA0699Z5</v>
      </c>
      <c r="B699" t="str">
        <f>TEST_DATA!B699</f>
        <v>Jul-2017</v>
      </c>
      <c r="C699">
        <f>TEST_DATA!C699</f>
        <v>43451</v>
      </c>
      <c r="D699" t="str">
        <f>TEST_DATA!D699</f>
        <v>NON-NIL</v>
      </c>
      <c r="E699">
        <f>TEST_DATA!E699</f>
        <v>1209</v>
      </c>
      <c r="F699">
        <f>MIN(E699*69900,10000)</f>
        <v>10000</v>
      </c>
      <c r="G699" t="e">
        <f ca="1">_xludf.MINIFS(CBIC_Late_Fee_Relief_Windows_1!$I$100:$I$699,CBIC_Late_Fee_Relief_Windows_1!$D$100:$D$699,"&lt;="&amp;B699,CBIC_Late_Fee_Relief_Windows_1!$E$100:$E$699,"&gt;="&amp;B699,CBIC_Late_Fee_Relief_Windows_1!$F$100:$F$699,"&lt;="&amp;C699,CBIC_Late_Fee_Relief_Windows_1!$G$100:$G$699,"&gt;="&amp;C699,CBIC_Late_Fee_Relief_Windows_1!$H$100:$H$699,D699)</f>
        <v>#NAME?</v>
      </c>
      <c r="H699" t="e">
        <f t="shared" ca="1" si="10"/>
        <v>#NAME?</v>
      </c>
      <c r="I699" t="e">
        <f ca="1">INDEX(CBIC_Late_Fee_Relief_Windows_1!$B$100:$B$699,MATCH(G699,CBIC_Late_Fee_Relief_Windows_1!$I$100:$I$699,0))</f>
        <v>#NAME?</v>
      </c>
    </row>
    <row r="700" spans="1:9" x14ac:dyDescent="0.55000000000000004">
      <c r="A700" t="str">
        <f>TEST_DATA!A700</f>
        <v>27AAAAA0700Z5</v>
      </c>
      <c r="B700" t="str">
        <f>TEST_DATA!B700</f>
        <v>Nov-2017</v>
      </c>
      <c r="C700">
        <f>TEST_DATA!C700</f>
        <v>43318</v>
      </c>
      <c r="D700" t="str">
        <f>TEST_DATA!D700</f>
        <v>NON-NIL</v>
      </c>
      <c r="E700">
        <f>TEST_DATA!E700</f>
        <v>942</v>
      </c>
      <c r="F700">
        <f>MIN(E700*70000,10000)</f>
        <v>10000</v>
      </c>
      <c r="G700" t="e">
        <f ca="1">_xludf.MINIFS(CBIC_Late_Fee_Relief_Windows_1!$I$100:$I$700,CBIC_Late_Fee_Relief_Windows_1!$D$100:$D$700,"&lt;="&amp;B700,CBIC_Late_Fee_Relief_Windows_1!$E$100:$E$700,"&gt;="&amp;B700,CBIC_Late_Fee_Relief_Windows_1!$F$100:$F$700,"&lt;="&amp;C700,CBIC_Late_Fee_Relief_Windows_1!$G$100:$G$700,"&gt;="&amp;C700,CBIC_Late_Fee_Relief_Windows_1!$H$100:$H$700,D700)</f>
        <v>#NAME?</v>
      </c>
      <c r="H700" t="e">
        <f t="shared" ca="1" si="10"/>
        <v>#NAME?</v>
      </c>
      <c r="I700" t="e">
        <f ca="1">INDEX(CBIC_Late_Fee_Relief_Windows_1!$B$100:$B$700,MATCH(G700,CBIC_Late_Fee_Relief_Windows_1!$I$100:$I$700,0))</f>
        <v>#NAME?</v>
      </c>
    </row>
    <row r="701" spans="1:9" x14ac:dyDescent="0.55000000000000004">
      <c r="A701" t="str">
        <f>TEST_DATA!A701</f>
        <v>27AAAAA0701Z5</v>
      </c>
      <c r="B701" t="str">
        <f>TEST_DATA!B701</f>
        <v>Jul-2018</v>
      </c>
      <c r="C701">
        <f>TEST_DATA!C701</f>
        <v>44083</v>
      </c>
      <c r="D701" t="str">
        <f>TEST_DATA!D701</f>
        <v>NIL</v>
      </c>
      <c r="E701">
        <f>TEST_DATA!E701</f>
        <v>2045</v>
      </c>
      <c r="F701">
        <f>MIN(E701*70100,10000)</f>
        <v>10000</v>
      </c>
      <c r="G701" t="e">
        <f ca="1">_xludf.MINIFS(CBIC_Late_Fee_Relief_Windows_1!$I$100:$I$701,CBIC_Late_Fee_Relief_Windows_1!$D$100:$D$701,"&lt;="&amp;B701,CBIC_Late_Fee_Relief_Windows_1!$E$100:$E$701,"&gt;="&amp;B701,CBIC_Late_Fee_Relief_Windows_1!$F$100:$F$701,"&lt;="&amp;C701,CBIC_Late_Fee_Relief_Windows_1!$G$100:$G$701,"&gt;="&amp;C701,CBIC_Late_Fee_Relief_Windows_1!$H$100:$H$701,D701)</f>
        <v>#NAME?</v>
      </c>
      <c r="H701" t="e">
        <f t="shared" ca="1" si="10"/>
        <v>#NAME?</v>
      </c>
      <c r="I701" t="e">
        <f ca="1">INDEX(CBIC_Late_Fee_Relief_Windows_1!$B$100:$B$701,MATCH(G701,CBIC_Late_Fee_Relief_Windows_1!$I$100:$I$701,0))</f>
        <v>#NAME?</v>
      </c>
    </row>
    <row r="702" spans="1:9" x14ac:dyDescent="0.55000000000000004">
      <c r="A702" t="str">
        <f>TEST_DATA!A702</f>
        <v>27AAAAA0702Z5</v>
      </c>
      <c r="B702" t="str">
        <f>TEST_DATA!B702</f>
        <v>Dec-2019</v>
      </c>
      <c r="C702">
        <f>TEST_DATA!C702</f>
        <v>44848</v>
      </c>
      <c r="D702" t="str">
        <f>TEST_DATA!D702</f>
        <v>NON-NIL</v>
      </c>
      <c r="E702">
        <f>TEST_DATA!E702</f>
        <v>2001</v>
      </c>
      <c r="F702">
        <f>MIN(E702*70200,10000)</f>
        <v>10000</v>
      </c>
      <c r="G702" t="e">
        <f ca="1">_xludf.MINIFS(CBIC_Late_Fee_Relief_Windows_1!$I$100:$I$702,CBIC_Late_Fee_Relief_Windows_1!$D$100:$D$702,"&lt;="&amp;B702,CBIC_Late_Fee_Relief_Windows_1!$E$100:$E$702,"&gt;="&amp;B702,CBIC_Late_Fee_Relief_Windows_1!$F$100:$F$702,"&lt;="&amp;C702,CBIC_Late_Fee_Relief_Windows_1!$G$100:$G$702,"&gt;="&amp;C702,CBIC_Late_Fee_Relief_Windows_1!$H$100:$H$702,D702)</f>
        <v>#NAME?</v>
      </c>
      <c r="H702" t="e">
        <f t="shared" ca="1" si="10"/>
        <v>#NAME?</v>
      </c>
      <c r="I702" t="e">
        <f ca="1">INDEX(CBIC_Late_Fee_Relief_Windows_1!$B$100:$B$702,MATCH(G702,CBIC_Late_Fee_Relief_Windows_1!$I$100:$I$702,0))</f>
        <v>#NAME?</v>
      </c>
    </row>
    <row r="703" spans="1:9" x14ac:dyDescent="0.55000000000000004">
      <c r="A703" t="str">
        <f>TEST_DATA!A703</f>
        <v>27AAAAA0703Z5</v>
      </c>
      <c r="B703" t="str">
        <f>TEST_DATA!B703</f>
        <v>Jan-2021</v>
      </c>
      <c r="C703">
        <f>TEST_DATA!C703</f>
        <v>45475</v>
      </c>
      <c r="D703" t="str">
        <f>TEST_DATA!D703</f>
        <v>NON-NIL</v>
      </c>
      <c r="E703">
        <f>TEST_DATA!E703</f>
        <v>689</v>
      </c>
      <c r="F703">
        <f>MIN(E703*70300,10000)</f>
        <v>10000</v>
      </c>
      <c r="G703" t="e">
        <f ca="1">_xludf.MINIFS(CBIC_Late_Fee_Relief_Windows_1!$I$100:$I$703,CBIC_Late_Fee_Relief_Windows_1!$D$100:$D$703,"&lt;="&amp;B703,CBIC_Late_Fee_Relief_Windows_1!$E$100:$E$703,"&gt;="&amp;B703,CBIC_Late_Fee_Relief_Windows_1!$F$100:$F$703,"&lt;="&amp;C703,CBIC_Late_Fee_Relief_Windows_1!$G$100:$G$703,"&gt;="&amp;C703,CBIC_Late_Fee_Relief_Windows_1!$H$100:$H$703,D703)</f>
        <v>#NAME?</v>
      </c>
      <c r="H703" t="e">
        <f t="shared" ca="1" si="10"/>
        <v>#NAME?</v>
      </c>
      <c r="I703" t="e">
        <f ca="1">INDEX(CBIC_Late_Fee_Relief_Windows_1!$B$100:$B$703,MATCH(G703,CBIC_Late_Fee_Relief_Windows_1!$I$100:$I$703,0))</f>
        <v>#NAME?</v>
      </c>
    </row>
    <row r="704" spans="1:9" x14ac:dyDescent="0.55000000000000004">
      <c r="A704" t="str">
        <f>TEST_DATA!A704</f>
        <v>27AAAAA0704Z5</v>
      </c>
      <c r="B704" t="str">
        <f>TEST_DATA!B704</f>
        <v>Jan-2021</v>
      </c>
      <c r="C704">
        <f>TEST_DATA!C704</f>
        <v>44908</v>
      </c>
      <c r="D704" t="str">
        <f>TEST_DATA!D704</f>
        <v>NIL</v>
      </c>
      <c r="E704">
        <f>TEST_DATA!E704</f>
        <v>573</v>
      </c>
      <c r="F704">
        <f>MIN(E704*70400,10000)</f>
        <v>10000</v>
      </c>
      <c r="G704" t="e">
        <f ca="1">_xludf.MINIFS(CBIC_Late_Fee_Relief_Windows_1!$I$100:$I$704,CBIC_Late_Fee_Relief_Windows_1!$D$100:$D$704,"&lt;="&amp;B704,CBIC_Late_Fee_Relief_Windows_1!$E$100:$E$704,"&gt;="&amp;B704,CBIC_Late_Fee_Relief_Windows_1!$F$100:$F$704,"&lt;="&amp;C704,CBIC_Late_Fee_Relief_Windows_1!$G$100:$G$704,"&gt;="&amp;C704,CBIC_Late_Fee_Relief_Windows_1!$H$100:$H$704,D704)</f>
        <v>#NAME?</v>
      </c>
      <c r="H704" t="e">
        <f t="shared" ca="1" si="10"/>
        <v>#NAME?</v>
      </c>
      <c r="I704" t="e">
        <f ca="1">INDEX(CBIC_Late_Fee_Relief_Windows_1!$B$100:$B$704,MATCH(G704,CBIC_Late_Fee_Relief_Windows_1!$I$100:$I$704,0))</f>
        <v>#NAME?</v>
      </c>
    </row>
    <row r="705" spans="1:9" x14ac:dyDescent="0.55000000000000004">
      <c r="A705" t="str">
        <f>TEST_DATA!A705</f>
        <v>27AAAAA0705Z5</v>
      </c>
      <c r="B705" t="str">
        <f>TEST_DATA!B705</f>
        <v>Jan-2021</v>
      </c>
      <c r="C705">
        <f>TEST_DATA!C705</f>
        <v>45704</v>
      </c>
      <c r="D705" t="str">
        <f>TEST_DATA!D705</f>
        <v>NON-NIL</v>
      </c>
      <c r="E705">
        <f>TEST_DATA!E705</f>
        <v>753</v>
      </c>
      <c r="F705">
        <f>MIN(E705*70500,10000)</f>
        <v>10000</v>
      </c>
      <c r="G705" t="e">
        <f ca="1">_xludf.MINIFS(CBIC_Late_Fee_Relief_Windows_1!$I$100:$I$705,CBIC_Late_Fee_Relief_Windows_1!$D$100:$D$705,"&lt;="&amp;B705,CBIC_Late_Fee_Relief_Windows_1!$E$100:$E$705,"&gt;="&amp;B705,CBIC_Late_Fee_Relief_Windows_1!$F$100:$F$705,"&lt;="&amp;C705,CBIC_Late_Fee_Relief_Windows_1!$G$100:$G$705,"&gt;="&amp;C705,CBIC_Late_Fee_Relief_Windows_1!$H$100:$H$705,D705)</f>
        <v>#NAME?</v>
      </c>
      <c r="H705" t="e">
        <f t="shared" ca="1" si="10"/>
        <v>#NAME?</v>
      </c>
      <c r="I705" t="e">
        <f ca="1">INDEX(CBIC_Late_Fee_Relief_Windows_1!$B$100:$B$705,MATCH(G705,CBIC_Late_Fee_Relief_Windows_1!$I$100:$I$705,0))</f>
        <v>#NAME?</v>
      </c>
    </row>
    <row r="706" spans="1:9" x14ac:dyDescent="0.55000000000000004">
      <c r="A706" t="str">
        <f>TEST_DATA!A706</f>
        <v>27AAAAA0706Z5</v>
      </c>
      <c r="B706" t="str">
        <f>TEST_DATA!B706</f>
        <v>Dec-2024</v>
      </c>
      <c r="C706">
        <f>TEST_DATA!C706</f>
        <v>45686</v>
      </c>
      <c r="D706" t="str">
        <f>TEST_DATA!D706</f>
        <v>NIL</v>
      </c>
      <c r="E706">
        <f>TEST_DATA!E706</f>
        <v>2146</v>
      </c>
      <c r="F706">
        <f>MIN(E706*70600,10000)</f>
        <v>10000</v>
      </c>
      <c r="G706" t="e">
        <f ca="1">_xludf.MINIFS(CBIC_Late_Fee_Relief_Windows_1!$I$100:$I$706,CBIC_Late_Fee_Relief_Windows_1!$D$100:$D$706,"&lt;="&amp;B706,CBIC_Late_Fee_Relief_Windows_1!$E$100:$E$706,"&gt;="&amp;B706,CBIC_Late_Fee_Relief_Windows_1!$F$100:$F$706,"&lt;="&amp;C706,CBIC_Late_Fee_Relief_Windows_1!$G$100:$G$706,"&gt;="&amp;C706,CBIC_Late_Fee_Relief_Windows_1!$H$100:$H$706,D706)</f>
        <v>#NAME?</v>
      </c>
      <c r="H706" t="e">
        <f t="shared" ref="H706:H769" ca="1" si="11">MIN(F706,G706)</f>
        <v>#NAME?</v>
      </c>
      <c r="I706" t="e">
        <f ca="1">INDEX(CBIC_Late_Fee_Relief_Windows_1!$B$100:$B$706,MATCH(G706,CBIC_Late_Fee_Relief_Windows_1!$I$100:$I$706,0))</f>
        <v>#NAME?</v>
      </c>
    </row>
    <row r="707" spans="1:9" x14ac:dyDescent="0.55000000000000004">
      <c r="A707" t="str">
        <f>TEST_DATA!A707</f>
        <v>27AAAAA0707Z5</v>
      </c>
      <c r="B707" t="str">
        <f>TEST_DATA!B707</f>
        <v>Aug-2017</v>
      </c>
      <c r="C707">
        <f>TEST_DATA!C707</f>
        <v>43069</v>
      </c>
      <c r="D707" t="str">
        <f>TEST_DATA!D707</f>
        <v>NIL</v>
      </c>
      <c r="E707">
        <f>TEST_DATA!E707</f>
        <v>26</v>
      </c>
      <c r="F707">
        <f>MIN(E707*70700,10000)</f>
        <v>10000</v>
      </c>
      <c r="G707" t="e">
        <f ca="1">_xludf.MINIFS(CBIC_Late_Fee_Relief_Windows_1!$I$100:$I$707,CBIC_Late_Fee_Relief_Windows_1!$D$100:$D$707,"&lt;="&amp;B707,CBIC_Late_Fee_Relief_Windows_1!$E$100:$E$707,"&gt;="&amp;B707,CBIC_Late_Fee_Relief_Windows_1!$F$100:$F$707,"&lt;="&amp;C707,CBIC_Late_Fee_Relief_Windows_1!$G$100:$G$707,"&gt;="&amp;C707,CBIC_Late_Fee_Relief_Windows_1!$H$100:$H$707,D707)</f>
        <v>#NAME?</v>
      </c>
      <c r="H707" t="e">
        <f t="shared" ca="1" si="11"/>
        <v>#NAME?</v>
      </c>
      <c r="I707" t="e">
        <f ca="1">INDEX(CBIC_Late_Fee_Relief_Windows_1!$B$100:$B$707,MATCH(G707,CBIC_Late_Fee_Relief_Windows_1!$I$100:$I$707,0))</f>
        <v>#NAME?</v>
      </c>
    </row>
    <row r="708" spans="1:9" x14ac:dyDescent="0.55000000000000004">
      <c r="A708" t="str">
        <f>TEST_DATA!A708</f>
        <v>27AAAAA0708Z5</v>
      </c>
      <c r="B708" t="str">
        <f>TEST_DATA!B708</f>
        <v>Aug-2018</v>
      </c>
      <c r="C708">
        <f>TEST_DATA!C708</f>
        <v>43198</v>
      </c>
      <c r="D708" t="str">
        <f>TEST_DATA!D708</f>
        <v>NIL</v>
      </c>
      <c r="E708">
        <f>TEST_DATA!E708</f>
        <v>278</v>
      </c>
      <c r="F708">
        <f>MIN(E708*70800,10000)</f>
        <v>10000</v>
      </c>
      <c r="G708" t="e">
        <f ca="1">_xludf.MINIFS(CBIC_Late_Fee_Relief_Windows_1!$I$100:$I$708,CBIC_Late_Fee_Relief_Windows_1!$D$100:$D$708,"&lt;="&amp;B708,CBIC_Late_Fee_Relief_Windows_1!$E$100:$E$708,"&gt;="&amp;B708,CBIC_Late_Fee_Relief_Windows_1!$F$100:$F$708,"&lt;="&amp;C708,CBIC_Late_Fee_Relief_Windows_1!$G$100:$G$708,"&gt;="&amp;C708,CBIC_Late_Fee_Relief_Windows_1!$H$100:$H$708,D708)</f>
        <v>#NAME?</v>
      </c>
      <c r="H708" t="e">
        <f t="shared" ca="1" si="11"/>
        <v>#NAME?</v>
      </c>
      <c r="I708" t="e">
        <f ca="1">INDEX(CBIC_Late_Fee_Relief_Windows_1!$B$100:$B$708,MATCH(G708,CBIC_Late_Fee_Relief_Windows_1!$I$100:$I$708,0))</f>
        <v>#NAME?</v>
      </c>
    </row>
    <row r="709" spans="1:9" x14ac:dyDescent="0.55000000000000004">
      <c r="A709" t="str">
        <f>TEST_DATA!A709</f>
        <v>27AAAAA0709Z5</v>
      </c>
      <c r="B709" t="str">
        <f>TEST_DATA!B709</f>
        <v>Jul-2020</v>
      </c>
      <c r="C709">
        <f>TEST_DATA!C709</f>
        <v>44140</v>
      </c>
      <c r="D709" t="str">
        <f>TEST_DATA!D709</f>
        <v>NIL</v>
      </c>
      <c r="E709">
        <f>TEST_DATA!E709</f>
        <v>895</v>
      </c>
      <c r="F709">
        <f>MIN(E709*70900,10000)</f>
        <v>10000</v>
      </c>
      <c r="G709" t="e">
        <f ca="1">_xludf.MINIFS(CBIC_Late_Fee_Relief_Windows_1!$I$100:$I$709,CBIC_Late_Fee_Relief_Windows_1!$D$100:$D$709,"&lt;="&amp;B709,CBIC_Late_Fee_Relief_Windows_1!$E$100:$E$709,"&gt;="&amp;B709,CBIC_Late_Fee_Relief_Windows_1!$F$100:$F$709,"&lt;="&amp;C709,CBIC_Late_Fee_Relief_Windows_1!$G$100:$G$709,"&gt;="&amp;C709,CBIC_Late_Fee_Relief_Windows_1!$H$100:$H$709,D709)</f>
        <v>#NAME?</v>
      </c>
      <c r="H709" t="e">
        <f t="shared" ca="1" si="11"/>
        <v>#NAME?</v>
      </c>
      <c r="I709" t="e">
        <f ca="1">INDEX(CBIC_Late_Fee_Relief_Windows_1!$B$100:$B$709,MATCH(G709,CBIC_Late_Fee_Relief_Windows_1!$I$100:$I$709,0))</f>
        <v>#NAME?</v>
      </c>
    </row>
    <row r="710" spans="1:9" x14ac:dyDescent="0.55000000000000004">
      <c r="A710" t="str">
        <f>TEST_DATA!A710</f>
        <v>27AAAAA0710Z5</v>
      </c>
      <c r="B710" t="str">
        <f>TEST_DATA!B710</f>
        <v>Jun-2019</v>
      </c>
      <c r="C710">
        <f>TEST_DATA!C710</f>
        <v>45333</v>
      </c>
      <c r="D710" t="str">
        <f>TEST_DATA!D710</f>
        <v>NON-NIL</v>
      </c>
      <c r="E710">
        <f>TEST_DATA!E710</f>
        <v>247</v>
      </c>
      <c r="F710">
        <f>MIN(E710*71000,10000)</f>
        <v>10000</v>
      </c>
      <c r="G710" t="e">
        <f ca="1">_xludf.MINIFS(CBIC_Late_Fee_Relief_Windows_1!$I$100:$I$710,CBIC_Late_Fee_Relief_Windows_1!$D$100:$D$710,"&lt;="&amp;B710,CBIC_Late_Fee_Relief_Windows_1!$E$100:$E$710,"&gt;="&amp;B710,CBIC_Late_Fee_Relief_Windows_1!$F$100:$F$710,"&lt;="&amp;C710,CBIC_Late_Fee_Relief_Windows_1!$G$100:$G$710,"&gt;="&amp;C710,CBIC_Late_Fee_Relief_Windows_1!$H$100:$H$710,D710)</f>
        <v>#NAME?</v>
      </c>
      <c r="H710" t="e">
        <f t="shared" ca="1" si="11"/>
        <v>#NAME?</v>
      </c>
      <c r="I710" t="e">
        <f ca="1">INDEX(CBIC_Late_Fee_Relief_Windows_1!$B$100:$B$710,MATCH(G710,CBIC_Late_Fee_Relief_Windows_1!$I$100:$I$710,0))</f>
        <v>#NAME?</v>
      </c>
    </row>
    <row r="711" spans="1:9" x14ac:dyDescent="0.55000000000000004">
      <c r="A711" t="str">
        <f>TEST_DATA!A711</f>
        <v>27AAAAA0711Z5</v>
      </c>
      <c r="B711" t="str">
        <f>TEST_DATA!B711</f>
        <v>Apr-2020</v>
      </c>
      <c r="C711">
        <f>TEST_DATA!C711</f>
        <v>44820</v>
      </c>
      <c r="D711" t="str">
        <f>TEST_DATA!D711</f>
        <v>NON-NIL</v>
      </c>
      <c r="E711">
        <f>TEST_DATA!E711</f>
        <v>64</v>
      </c>
      <c r="F711">
        <f>MIN(E711*71100,10000)</f>
        <v>10000</v>
      </c>
      <c r="G711" t="e">
        <f ca="1">_xludf.MINIFS(CBIC_Late_Fee_Relief_Windows_1!$I$100:$I$711,CBIC_Late_Fee_Relief_Windows_1!$D$100:$D$711,"&lt;="&amp;B711,CBIC_Late_Fee_Relief_Windows_1!$E$100:$E$711,"&gt;="&amp;B711,CBIC_Late_Fee_Relief_Windows_1!$F$100:$F$711,"&lt;="&amp;C711,CBIC_Late_Fee_Relief_Windows_1!$G$100:$G$711,"&gt;="&amp;C711,CBIC_Late_Fee_Relief_Windows_1!$H$100:$H$711,D711)</f>
        <v>#NAME?</v>
      </c>
      <c r="H711" t="e">
        <f t="shared" ca="1" si="11"/>
        <v>#NAME?</v>
      </c>
      <c r="I711" t="e">
        <f ca="1">INDEX(CBIC_Late_Fee_Relief_Windows_1!$B$100:$B$711,MATCH(G711,CBIC_Late_Fee_Relief_Windows_1!$I$100:$I$711,0))</f>
        <v>#NAME?</v>
      </c>
    </row>
    <row r="712" spans="1:9" x14ac:dyDescent="0.55000000000000004">
      <c r="A712" t="str">
        <f>TEST_DATA!A712</f>
        <v>27AAAAA0712Z5</v>
      </c>
      <c r="B712" t="str">
        <f>TEST_DATA!B712</f>
        <v>Jul-2017</v>
      </c>
      <c r="C712">
        <f>TEST_DATA!C712</f>
        <v>44006</v>
      </c>
      <c r="D712" t="str">
        <f>TEST_DATA!D712</f>
        <v>NON-NIL</v>
      </c>
      <c r="E712">
        <f>TEST_DATA!E712</f>
        <v>48</v>
      </c>
      <c r="F712">
        <f>MIN(E712*71200,10000)</f>
        <v>10000</v>
      </c>
      <c r="G712" t="e">
        <f ca="1">_xludf.MINIFS(CBIC_Late_Fee_Relief_Windows_1!$I$100:$I$712,CBIC_Late_Fee_Relief_Windows_1!$D$100:$D$712,"&lt;="&amp;B712,CBIC_Late_Fee_Relief_Windows_1!$E$100:$E$712,"&gt;="&amp;B712,CBIC_Late_Fee_Relief_Windows_1!$F$100:$F$712,"&lt;="&amp;C712,CBIC_Late_Fee_Relief_Windows_1!$G$100:$G$712,"&gt;="&amp;C712,CBIC_Late_Fee_Relief_Windows_1!$H$100:$H$712,D712)</f>
        <v>#NAME?</v>
      </c>
      <c r="H712" t="e">
        <f t="shared" ca="1" si="11"/>
        <v>#NAME?</v>
      </c>
      <c r="I712" t="e">
        <f ca="1">INDEX(CBIC_Late_Fee_Relief_Windows_1!$B$100:$B$712,MATCH(G712,CBIC_Late_Fee_Relief_Windows_1!$I$100:$I$712,0))</f>
        <v>#NAME?</v>
      </c>
    </row>
    <row r="713" spans="1:9" x14ac:dyDescent="0.55000000000000004">
      <c r="A713" t="str">
        <f>TEST_DATA!A713</f>
        <v>27AAAAA0713Z5</v>
      </c>
      <c r="B713" t="str">
        <f>TEST_DATA!B713</f>
        <v>Jul-2017</v>
      </c>
      <c r="C713">
        <f>TEST_DATA!C713</f>
        <v>44001</v>
      </c>
      <c r="D713" t="str">
        <f>TEST_DATA!D713</f>
        <v>NON-NIL</v>
      </c>
      <c r="E713">
        <f>TEST_DATA!E713</f>
        <v>2194</v>
      </c>
      <c r="F713">
        <f>MIN(E713*71300,10000)</f>
        <v>10000</v>
      </c>
      <c r="G713" t="e">
        <f ca="1">_xludf.MINIFS(CBIC_Late_Fee_Relief_Windows_1!$I$100:$I$713,CBIC_Late_Fee_Relief_Windows_1!$D$100:$D$713,"&lt;="&amp;B713,CBIC_Late_Fee_Relief_Windows_1!$E$100:$E$713,"&gt;="&amp;B713,CBIC_Late_Fee_Relief_Windows_1!$F$100:$F$713,"&lt;="&amp;C713,CBIC_Late_Fee_Relief_Windows_1!$G$100:$G$713,"&gt;="&amp;C713,CBIC_Late_Fee_Relief_Windows_1!$H$100:$H$713,D713)</f>
        <v>#NAME?</v>
      </c>
      <c r="H713" t="e">
        <f t="shared" ca="1" si="11"/>
        <v>#NAME?</v>
      </c>
      <c r="I713" t="e">
        <f ca="1">INDEX(CBIC_Late_Fee_Relief_Windows_1!$B$100:$B$713,MATCH(G713,CBIC_Late_Fee_Relief_Windows_1!$I$100:$I$713,0))</f>
        <v>#NAME?</v>
      </c>
    </row>
    <row r="714" spans="1:9" x14ac:dyDescent="0.55000000000000004">
      <c r="A714" t="str">
        <f>TEST_DATA!A714</f>
        <v>27AAAAA0714Z5</v>
      </c>
      <c r="B714" t="str">
        <f>TEST_DATA!B714</f>
        <v>Apr-2018</v>
      </c>
      <c r="C714">
        <f>TEST_DATA!C714</f>
        <v>42952</v>
      </c>
      <c r="D714" t="str">
        <f>TEST_DATA!D714</f>
        <v>NON-NIL</v>
      </c>
      <c r="E714">
        <f>TEST_DATA!E714</f>
        <v>734</v>
      </c>
      <c r="F714">
        <f>MIN(E714*71400,10000)</f>
        <v>10000</v>
      </c>
      <c r="G714" t="e">
        <f ca="1">_xludf.MINIFS(CBIC_Late_Fee_Relief_Windows_1!$I$100:$I$714,CBIC_Late_Fee_Relief_Windows_1!$D$100:$D$714,"&lt;="&amp;B714,CBIC_Late_Fee_Relief_Windows_1!$E$100:$E$714,"&gt;="&amp;B714,CBIC_Late_Fee_Relief_Windows_1!$F$100:$F$714,"&lt;="&amp;C714,CBIC_Late_Fee_Relief_Windows_1!$G$100:$G$714,"&gt;="&amp;C714,CBIC_Late_Fee_Relief_Windows_1!$H$100:$H$714,D714)</f>
        <v>#NAME?</v>
      </c>
      <c r="H714" t="e">
        <f t="shared" ca="1" si="11"/>
        <v>#NAME?</v>
      </c>
      <c r="I714" t="e">
        <f ca="1">INDEX(CBIC_Late_Fee_Relief_Windows_1!$B$100:$B$714,MATCH(G714,CBIC_Late_Fee_Relief_Windows_1!$I$100:$I$714,0))</f>
        <v>#NAME?</v>
      </c>
    </row>
    <row r="715" spans="1:9" x14ac:dyDescent="0.55000000000000004">
      <c r="A715" t="str">
        <f>TEST_DATA!A715</f>
        <v>27AAAAA0715Z5</v>
      </c>
      <c r="B715" t="str">
        <f>TEST_DATA!B715</f>
        <v>Oct-2017</v>
      </c>
      <c r="C715">
        <f>TEST_DATA!C715</f>
        <v>43114</v>
      </c>
      <c r="D715" t="str">
        <f>TEST_DATA!D715</f>
        <v>NIL</v>
      </c>
      <c r="E715">
        <f>TEST_DATA!E715</f>
        <v>987</v>
      </c>
      <c r="F715">
        <f>MIN(E715*71500,10000)</f>
        <v>10000</v>
      </c>
      <c r="G715" t="e">
        <f ca="1">_xludf.MINIFS(CBIC_Late_Fee_Relief_Windows_1!$I$100:$I$715,CBIC_Late_Fee_Relief_Windows_1!$D$100:$D$715,"&lt;="&amp;B715,CBIC_Late_Fee_Relief_Windows_1!$E$100:$E$715,"&gt;="&amp;B715,CBIC_Late_Fee_Relief_Windows_1!$F$100:$F$715,"&lt;="&amp;C715,CBIC_Late_Fee_Relief_Windows_1!$G$100:$G$715,"&gt;="&amp;C715,CBIC_Late_Fee_Relief_Windows_1!$H$100:$H$715,D715)</f>
        <v>#NAME?</v>
      </c>
      <c r="H715" t="e">
        <f t="shared" ca="1" si="11"/>
        <v>#NAME?</v>
      </c>
      <c r="I715" t="e">
        <f ca="1">INDEX(CBIC_Late_Fee_Relief_Windows_1!$B$100:$B$715,MATCH(G715,CBIC_Late_Fee_Relief_Windows_1!$I$100:$I$715,0))</f>
        <v>#NAME?</v>
      </c>
    </row>
    <row r="716" spans="1:9" x14ac:dyDescent="0.55000000000000004">
      <c r="A716" t="str">
        <f>TEST_DATA!A716</f>
        <v>27AAAAA0716Z5</v>
      </c>
      <c r="B716" t="str">
        <f>TEST_DATA!B716</f>
        <v>Jan-2018</v>
      </c>
      <c r="C716">
        <f>TEST_DATA!C716</f>
        <v>44186</v>
      </c>
      <c r="D716" t="str">
        <f>TEST_DATA!D716</f>
        <v>NON-NIL</v>
      </c>
      <c r="E716">
        <f>TEST_DATA!E716</f>
        <v>1451</v>
      </c>
      <c r="F716">
        <f>MIN(E716*71600,10000)</f>
        <v>10000</v>
      </c>
      <c r="G716" t="e">
        <f ca="1">_xludf.MINIFS(CBIC_Late_Fee_Relief_Windows_1!$I$100:$I$716,CBIC_Late_Fee_Relief_Windows_1!$D$100:$D$716,"&lt;="&amp;B716,CBIC_Late_Fee_Relief_Windows_1!$E$100:$E$716,"&gt;="&amp;B716,CBIC_Late_Fee_Relief_Windows_1!$F$100:$F$716,"&lt;="&amp;C716,CBIC_Late_Fee_Relief_Windows_1!$G$100:$G$716,"&gt;="&amp;C716,CBIC_Late_Fee_Relief_Windows_1!$H$100:$H$716,D716)</f>
        <v>#NAME?</v>
      </c>
      <c r="H716" t="e">
        <f t="shared" ca="1" si="11"/>
        <v>#NAME?</v>
      </c>
      <c r="I716" t="e">
        <f ca="1">INDEX(CBIC_Late_Fee_Relief_Windows_1!$B$100:$B$716,MATCH(G716,CBIC_Late_Fee_Relief_Windows_1!$I$100:$I$716,0))</f>
        <v>#NAME?</v>
      </c>
    </row>
    <row r="717" spans="1:9" x14ac:dyDescent="0.55000000000000004">
      <c r="A717" t="str">
        <f>TEST_DATA!A717</f>
        <v>27AAAAA0717Z5</v>
      </c>
      <c r="B717" t="str">
        <f>TEST_DATA!B717</f>
        <v>Mar-2018</v>
      </c>
      <c r="C717">
        <f>TEST_DATA!C717</f>
        <v>44545</v>
      </c>
      <c r="D717" t="str">
        <f>TEST_DATA!D717</f>
        <v>NON-NIL</v>
      </c>
      <c r="E717">
        <f>TEST_DATA!E717</f>
        <v>323</v>
      </c>
      <c r="F717">
        <f>MIN(E717*71700,10000)</f>
        <v>10000</v>
      </c>
      <c r="G717" t="e">
        <f ca="1">_xludf.MINIFS(CBIC_Late_Fee_Relief_Windows_1!$I$100:$I$717,CBIC_Late_Fee_Relief_Windows_1!$D$100:$D$717,"&lt;="&amp;B717,CBIC_Late_Fee_Relief_Windows_1!$E$100:$E$717,"&gt;="&amp;B717,CBIC_Late_Fee_Relief_Windows_1!$F$100:$F$717,"&lt;="&amp;C717,CBIC_Late_Fee_Relief_Windows_1!$G$100:$G$717,"&gt;="&amp;C717,CBIC_Late_Fee_Relief_Windows_1!$H$100:$H$717,D717)</f>
        <v>#NAME?</v>
      </c>
      <c r="H717" t="e">
        <f t="shared" ca="1" si="11"/>
        <v>#NAME?</v>
      </c>
      <c r="I717" t="e">
        <f ca="1">INDEX(CBIC_Late_Fee_Relief_Windows_1!$B$100:$B$717,MATCH(G717,CBIC_Late_Fee_Relief_Windows_1!$I$100:$I$717,0))</f>
        <v>#NAME?</v>
      </c>
    </row>
    <row r="718" spans="1:9" x14ac:dyDescent="0.55000000000000004">
      <c r="A718" t="str">
        <f>TEST_DATA!A718</f>
        <v>27AAAAA0718Z5</v>
      </c>
      <c r="B718" t="str">
        <f>TEST_DATA!B718</f>
        <v>Jun-2018</v>
      </c>
      <c r="C718">
        <f>TEST_DATA!C718</f>
        <v>43748</v>
      </c>
      <c r="D718" t="str">
        <f>TEST_DATA!D718</f>
        <v>NON-NIL</v>
      </c>
      <c r="E718">
        <f>TEST_DATA!E718</f>
        <v>2314</v>
      </c>
      <c r="F718">
        <f>MIN(E718*71800,10000)</f>
        <v>10000</v>
      </c>
      <c r="G718" t="e">
        <f ca="1">_xludf.MINIFS(CBIC_Late_Fee_Relief_Windows_1!$I$100:$I$718,CBIC_Late_Fee_Relief_Windows_1!$D$100:$D$718,"&lt;="&amp;B718,CBIC_Late_Fee_Relief_Windows_1!$E$100:$E$718,"&gt;="&amp;B718,CBIC_Late_Fee_Relief_Windows_1!$F$100:$F$718,"&lt;="&amp;C718,CBIC_Late_Fee_Relief_Windows_1!$G$100:$G$718,"&gt;="&amp;C718,CBIC_Late_Fee_Relief_Windows_1!$H$100:$H$718,D718)</f>
        <v>#NAME?</v>
      </c>
      <c r="H718" t="e">
        <f t="shared" ca="1" si="11"/>
        <v>#NAME?</v>
      </c>
      <c r="I718" t="e">
        <f ca="1">INDEX(CBIC_Late_Fee_Relief_Windows_1!$B$100:$B$718,MATCH(G718,CBIC_Late_Fee_Relief_Windows_1!$I$100:$I$718,0))</f>
        <v>#NAME?</v>
      </c>
    </row>
    <row r="719" spans="1:9" x14ac:dyDescent="0.55000000000000004">
      <c r="A719" t="str">
        <f>TEST_DATA!A719</f>
        <v>27AAAAA0719Z5</v>
      </c>
      <c r="B719" t="str">
        <f>TEST_DATA!B719</f>
        <v>Feb-2018</v>
      </c>
      <c r="C719">
        <f>TEST_DATA!C719</f>
        <v>44344</v>
      </c>
      <c r="D719" t="str">
        <f>TEST_DATA!D719</f>
        <v>NIL</v>
      </c>
      <c r="E719">
        <f>TEST_DATA!E719</f>
        <v>1228</v>
      </c>
      <c r="F719">
        <f>MIN(E719*71900,10000)</f>
        <v>10000</v>
      </c>
      <c r="G719" t="e">
        <f ca="1">_xludf.MINIFS(CBIC_Late_Fee_Relief_Windows_1!$I$100:$I$719,CBIC_Late_Fee_Relief_Windows_1!$D$100:$D$719,"&lt;="&amp;B719,CBIC_Late_Fee_Relief_Windows_1!$E$100:$E$719,"&gt;="&amp;B719,CBIC_Late_Fee_Relief_Windows_1!$F$100:$F$719,"&lt;="&amp;C719,CBIC_Late_Fee_Relief_Windows_1!$G$100:$G$719,"&gt;="&amp;C719,CBIC_Late_Fee_Relief_Windows_1!$H$100:$H$719,D719)</f>
        <v>#NAME?</v>
      </c>
      <c r="H719" t="e">
        <f t="shared" ca="1" si="11"/>
        <v>#NAME?</v>
      </c>
      <c r="I719" t="e">
        <f ca="1">INDEX(CBIC_Late_Fee_Relief_Windows_1!$B$100:$B$719,MATCH(G719,CBIC_Late_Fee_Relief_Windows_1!$I$100:$I$719,0))</f>
        <v>#NAME?</v>
      </c>
    </row>
    <row r="720" spans="1:9" x14ac:dyDescent="0.55000000000000004">
      <c r="A720" t="str">
        <f>TEST_DATA!A720</f>
        <v>27AAAAA0720Z5</v>
      </c>
      <c r="B720" t="str">
        <f>TEST_DATA!B720</f>
        <v>Jun-2020</v>
      </c>
      <c r="C720">
        <f>TEST_DATA!C720</f>
        <v>43996</v>
      </c>
      <c r="D720" t="str">
        <f>TEST_DATA!D720</f>
        <v>NIL</v>
      </c>
      <c r="E720">
        <f>TEST_DATA!E720</f>
        <v>382</v>
      </c>
      <c r="F720">
        <f>MIN(E720*72000,10000)</f>
        <v>10000</v>
      </c>
      <c r="G720" t="e">
        <f ca="1">_xludf.MINIFS(CBIC_Late_Fee_Relief_Windows_1!$I$100:$I$720,CBIC_Late_Fee_Relief_Windows_1!$D$100:$D$720,"&lt;="&amp;B720,CBIC_Late_Fee_Relief_Windows_1!$E$100:$E$720,"&gt;="&amp;B720,CBIC_Late_Fee_Relief_Windows_1!$F$100:$F$720,"&lt;="&amp;C720,CBIC_Late_Fee_Relief_Windows_1!$G$100:$G$720,"&gt;="&amp;C720,CBIC_Late_Fee_Relief_Windows_1!$H$100:$H$720,D720)</f>
        <v>#NAME?</v>
      </c>
      <c r="H720" t="e">
        <f t="shared" ca="1" si="11"/>
        <v>#NAME?</v>
      </c>
      <c r="I720" t="e">
        <f ca="1">INDEX(CBIC_Late_Fee_Relief_Windows_1!$B$100:$B$720,MATCH(G720,CBIC_Late_Fee_Relief_Windows_1!$I$100:$I$720,0))</f>
        <v>#NAME?</v>
      </c>
    </row>
    <row r="721" spans="1:9" x14ac:dyDescent="0.55000000000000004">
      <c r="A721" t="str">
        <f>TEST_DATA!A721</f>
        <v>27AAAAA0721Z5</v>
      </c>
      <c r="B721" t="str">
        <f>TEST_DATA!B721</f>
        <v>Jul-2018</v>
      </c>
      <c r="C721">
        <f>TEST_DATA!C721</f>
        <v>43693</v>
      </c>
      <c r="D721" t="str">
        <f>TEST_DATA!D721</f>
        <v>NON-NIL</v>
      </c>
      <c r="E721">
        <f>TEST_DATA!E721</f>
        <v>2263</v>
      </c>
      <c r="F721">
        <f>MIN(E721*72100,10000)</f>
        <v>10000</v>
      </c>
      <c r="G721" t="e">
        <f ca="1">_xludf.MINIFS(CBIC_Late_Fee_Relief_Windows_1!$I$100:$I$721,CBIC_Late_Fee_Relief_Windows_1!$D$100:$D$721,"&lt;="&amp;B721,CBIC_Late_Fee_Relief_Windows_1!$E$100:$E$721,"&gt;="&amp;B721,CBIC_Late_Fee_Relief_Windows_1!$F$100:$F$721,"&lt;="&amp;C721,CBIC_Late_Fee_Relief_Windows_1!$G$100:$G$721,"&gt;="&amp;C721,CBIC_Late_Fee_Relief_Windows_1!$H$100:$H$721,D721)</f>
        <v>#NAME?</v>
      </c>
      <c r="H721" t="e">
        <f t="shared" ca="1" si="11"/>
        <v>#NAME?</v>
      </c>
      <c r="I721" t="e">
        <f ca="1">INDEX(CBIC_Late_Fee_Relief_Windows_1!$B$100:$B$721,MATCH(G721,CBIC_Late_Fee_Relief_Windows_1!$I$100:$I$721,0))</f>
        <v>#NAME?</v>
      </c>
    </row>
    <row r="722" spans="1:9" x14ac:dyDescent="0.55000000000000004">
      <c r="A722" t="str">
        <f>TEST_DATA!A722</f>
        <v>27AAAAA0722Z5</v>
      </c>
      <c r="B722" t="str">
        <f>TEST_DATA!B722</f>
        <v>Jan-2019</v>
      </c>
      <c r="C722">
        <f>TEST_DATA!C722</f>
        <v>43695</v>
      </c>
      <c r="D722" t="str">
        <f>TEST_DATA!D722</f>
        <v>NIL</v>
      </c>
      <c r="E722">
        <f>TEST_DATA!E722</f>
        <v>2878</v>
      </c>
      <c r="F722">
        <f>MIN(E722*72200,10000)</f>
        <v>10000</v>
      </c>
      <c r="G722" t="e">
        <f ca="1">_xludf.MINIFS(CBIC_Late_Fee_Relief_Windows_1!$I$100:$I$722,CBIC_Late_Fee_Relief_Windows_1!$D$100:$D$722,"&lt;="&amp;B722,CBIC_Late_Fee_Relief_Windows_1!$E$100:$E$722,"&gt;="&amp;B722,CBIC_Late_Fee_Relief_Windows_1!$F$100:$F$722,"&lt;="&amp;C722,CBIC_Late_Fee_Relief_Windows_1!$G$100:$G$722,"&gt;="&amp;C722,CBIC_Late_Fee_Relief_Windows_1!$H$100:$H$722,D722)</f>
        <v>#NAME?</v>
      </c>
      <c r="H722" t="e">
        <f t="shared" ca="1" si="11"/>
        <v>#NAME?</v>
      </c>
      <c r="I722" t="e">
        <f ca="1">INDEX(CBIC_Late_Fee_Relief_Windows_1!$B$100:$B$722,MATCH(G722,CBIC_Late_Fee_Relief_Windows_1!$I$100:$I$722,0))</f>
        <v>#NAME?</v>
      </c>
    </row>
    <row r="723" spans="1:9" x14ac:dyDescent="0.55000000000000004">
      <c r="A723" t="str">
        <f>TEST_DATA!A723</f>
        <v>27AAAAA0723Z5</v>
      </c>
      <c r="B723" t="str">
        <f>TEST_DATA!B723</f>
        <v>Dec-2017</v>
      </c>
      <c r="C723">
        <f>TEST_DATA!C723</f>
        <v>43086</v>
      </c>
      <c r="D723" t="str">
        <f>TEST_DATA!D723</f>
        <v>NON-NIL</v>
      </c>
      <c r="E723">
        <f>TEST_DATA!E723</f>
        <v>1777</v>
      </c>
      <c r="F723">
        <f>MIN(E723*72300,10000)</f>
        <v>10000</v>
      </c>
      <c r="G723" t="e">
        <f ca="1">_xludf.MINIFS(CBIC_Late_Fee_Relief_Windows_1!$I$100:$I$723,CBIC_Late_Fee_Relief_Windows_1!$D$100:$D$723,"&lt;="&amp;B723,CBIC_Late_Fee_Relief_Windows_1!$E$100:$E$723,"&gt;="&amp;B723,CBIC_Late_Fee_Relief_Windows_1!$F$100:$F$723,"&lt;="&amp;C723,CBIC_Late_Fee_Relief_Windows_1!$G$100:$G$723,"&gt;="&amp;C723,CBIC_Late_Fee_Relief_Windows_1!$H$100:$H$723,D723)</f>
        <v>#NAME?</v>
      </c>
      <c r="H723" t="e">
        <f t="shared" ca="1" si="11"/>
        <v>#NAME?</v>
      </c>
      <c r="I723" t="e">
        <f ca="1">INDEX(CBIC_Late_Fee_Relief_Windows_1!$B$100:$B$723,MATCH(G723,CBIC_Late_Fee_Relief_Windows_1!$I$100:$I$723,0))</f>
        <v>#NAME?</v>
      </c>
    </row>
    <row r="724" spans="1:9" x14ac:dyDescent="0.55000000000000004">
      <c r="A724" t="str">
        <f>TEST_DATA!A724</f>
        <v>27AAAAA0724Z5</v>
      </c>
      <c r="B724" t="str">
        <f>TEST_DATA!B724</f>
        <v>May-2020</v>
      </c>
      <c r="C724">
        <f>TEST_DATA!C724</f>
        <v>44509</v>
      </c>
      <c r="D724" t="str">
        <f>TEST_DATA!D724</f>
        <v>NIL</v>
      </c>
      <c r="E724">
        <f>TEST_DATA!E724</f>
        <v>2163</v>
      </c>
      <c r="F724">
        <f>MIN(E724*72400,10000)</f>
        <v>10000</v>
      </c>
      <c r="G724" t="e">
        <f ca="1">_xludf.MINIFS(CBIC_Late_Fee_Relief_Windows_1!$I$100:$I$724,CBIC_Late_Fee_Relief_Windows_1!$D$100:$D$724,"&lt;="&amp;B724,CBIC_Late_Fee_Relief_Windows_1!$E$100:$E$724,"&gt;="&amp;B724,CBIC_Late_Fee_Relief_Windows_1!$F$100:$F$724,"&lt;="&amp;C724,CBIC_Late_Fee_Relief_Windows_1!$G$100:$G$724,"&gt;="&amp;C724,CBIC_Late_Fee_Relief_Windows_1!$H$100:$H$724,D724)</f>
        <v>#NAME?</v>
      </c>
      <c r="H724" t="e">
        <f t="shared" ca="1" si="11"/>
        <v>#NAME?</v>
      </c>
      <c r="I724" t="e">
        <f ca="1">INDEX(CBIC_Late_Fee_Relief_Windows_1!$B$100:$B$724,MATCH(G724,CBIC_Late_Fee_Relief_Windows_1!$I$100:$I$724,0))</f>
        <v>#NAME?</v>
      </c>
    </row>
    <row r="725" spans="1:9" x14ac:dyDescent="0.55000000000000004">
      <c r="A725" t="str">
        <f>TEST_DATA!A725</f>
        <v>27AAAAA0725Z5</v>
      </c>
      <c r="B725" t="str">
        <f>TEST_DATA!B725</f>
        <v>Aug-2017</v>
      </c>
      <c r="C725">
        <f>TEST_DATA!C725</f>
        <v>43387</v>
      </c>
      <c r="D725" t="str">
        <f>TEST_DATA!D725</f>
        <v>NIL</v>
      </c>
      <c r="E725">
        <f>TEST_DATA!E725</f>
        <v>2835</v>
      </c>
      <c r="F725">
        <f>MIN(E725*72500,10000)</f>
        <v>10000</v>
      </c>
      <c r="G725" t="e">
        <f ca="1">_xludf.MINIFS(CBIC_Late_Fee_Relief_Windows_1!$I$100:$I$725,CBIC_Late_Fee_Relief_Windows_1!$D$100:$D$725,"&lt;="&amp;B725,CBIC_Late_Fee_Relief_Windows_1!$E$100:$E$725,"&gt;="&amp;B725,CBIC_Late_Fee_Relief_Windows_1!$F$100:$F$725,"&lt;="&amp;C725,CBIC_Late_Fee_Relief_Windows_1!$G$100:$G$725,"&gt;="&amp;C725,CBIC_Late_Fee_Relief_Windows_1!$H$100:$H$725,D725)</f>
        <v>#NAME?</v>
      </c>
      <c r="H725" t="e">
        <f t="shared" ca="1" si="11"/>
        <v>#NAME?</v>
      </c>
      <c r="I725" t="e">
        <f ca="1">INDEX(CBIC_Late_Fee_Relief_Windows_1!$B$100:$B$725,MATCH(G725,CBIC_Late_Fee_Relief_Windows_1!$I$100:$I$725,0))</f>
        <v>#NAME?</v>
      </c>
    </row>
    <row r="726" spans="1:9" x14ac:dyDescent="0.55000000000000004">
      <c r="A726" t="str">
        <f>TEST_DATA!A726</f>
        <v>27AAAAA0726Z5</v>
      </c>
      <c r="B726" t="str">
        <f>TEST_DATA!B726</f>
        <v>Dec-2024</v>
      </c>
      <c r="C726">
        <f>TEST_DATA!C726</f>
        <v>45787</v>
      </c>
      <c r="D726" t="str">
        <f>TEST_DATA!D726</f>
        <v>NON-NIL</v>
      </c>
      <c r="E726">
        <f>TEST_DATA!E726</f>
        <v>1110</v>
      </c>
      <c r="F726">
        <f>MIN(E726*72600,10000)</f>
        <v>10000</v>
      </c>
      <c r="G726" t="e">
        <f ca="1">_xludf.MINIFS(CBIC_Late_Fee_Relief_Windows_1!$I$100:$I$726,CBIC_Late_Fee_Relief_Windows_1!$D$100:$D$726,"&lt;="&amp;B726,CBIC_Late_Fee_Relief_Windows_1!$E$100:$E$726,"&gt;="&amp;B726,CBIC_Late_Fee_Relief_Windows_1!$F$100:$F$726,"&lt;="&amp;C726,CBIC_Late_Fee_Relief_Windows_1!$G$100:$G$726,"&gt;="&amp;C726,CBIC_Late_Fee_Relief_Windows_1!$H$100:$H$726,D726)</f>
        <v>#NAME?</v>
      </c>
      <c r="H726" t="e">
        <f t="shared" ca="1" si="11"/>
        <v>#NAME?</v>
      </c>
      <c r="I726" t="e">
        <f ca="1">INDEX(CBIC_Late_Fee_Relief_Windows_1!$B$100:$B$726,MATCH(G726,CBIC_Late_Fee_Relief_Windows_1!$I$100:$I$726,0))</f>
        <v>#NAME?</v>
      </c>
    </row>
    <row r="727" spans="1:9" x14ac:dyDescent="0.55000000000000004">
      <c r="A727" t="str">
        <f>TEST_DATA!A727</f>
        <v>27AAAAA0727Z5</v>
      </c>
      <c r="B727" t="str">
        <f>TEST_DATA!B727</f>
        <v>Aug-2017</v>
      </c>
      <c r="C727">
        <f>TEST_DATA!C727</f>
        <v>43069</v>
      </c>
      <c r="D727" t="str">
        <f>TEST_DATA!D727</f>
        <v>NON-NIL</v>
      </c>
      <c r="E727">
        <f>TEST_DATA!E727</f>
        <v>2224</v>
      </c>
      <c r="F727">
        <f>MIN(E727*72700,10000)</f>
        <v>10000</v>
      </c>
      <c r="G727" t="e">
        <f ca="1">_xludf.MINIFS(CBIC_Late_Fee_Relief_Windows_1!$I$100:$I$727,CBIC_Late_Fee_Relief_Windows_1!$D$100:$D$727,"&lt;="&amp;B727,CBIC_Late_Fee_Relief_Windows_1!$E$100:$E$727,"&gt;="&amp;B727,CBIC_Late_Fee_Relief_Windows_1!$F$100:$F$727,"&lt;="&amp;C727,CBIC_Late_Fee_Relief_Windows_1!$G$100:$G$727,"&gt;="&amp;C727,CBIC_Late_Fee_Relief_Windows_1!$H$100:$H$727,D727)</f>
        <v>#NAME?</v>
      </c>
      <c r="H727" t="e">
        <f t="shared" ca="1" si="11"/>
        <v>#NAME?</v>
      </c>
      <c r="I727" t="e">
        <f ca="1">INDEX(CBIC_Late_Fee_Relief_Windows_1!$B$100:$B$727,MATCH(G727,CBIC_Late_Fee_Relief_Windows_1!$I$100:$I$727,0))</f>
        <v>#NAME?</v>
      </c>
    </row>
    <row r="728" spans="1:9" x14ac:dyDescent="0.55000000000000004">
      <c r="A728" t="str">
        <f>TEST_DATA!A728</f>
        <v>27AAAAA0728Z5</v>
      </c>
      <c r="B728" t="str">
        <f>TEST_DATA!B728</f>
        <v>Mar-2020</v>
      </c>
      <c r="C728">
        <f>TEST_DATA!C728</f>
        <v>43898</v>
      </c>
      <c r="D728" t="str">
        <f>TEST_DATA!D728</f>
        <v>NIL</v>
      </c>
      <c r="E728">
        <f>TEST_DATA!E728</f>
        <v>1288</v>
      </c>
      <c r="F728">
        <f>MIN(E728*72800,10000)</f>
        <v>10000</v>
      </c>
      <c r="G728" t="e">
        <f ca="1">_xludf.MINIFS(CBIC_Late_Fee_Relief_Windows_1!$I$100:$I$728,CBIC_Late_Fee_Relief_Windows_1!$D$100:$D$728,"&lt;="&amp;B728,CBIC_Late_Fee_Relief_Windows_1!$E$100:$E$728,"&gt;="&amp;B728,CBIC_Late_Fee_Relief_Windows_1!$F$100:$F$728,"&lt;="&amp;C728,CBIC_Late_Fee_Relief_Windows_1!$G$100:$G$728,"&gt;="&amp;C728,CBIC_Late_Fee_Relief_Windows_1!$H$100:$H$728,D728)</f>
        <v>#NAME?</v>
      </c>
      <c r="H728" t="e">
        <f t="shared" ca="1" si="11"/>
        <v>#NAME?</v>
      </c>
      <c r="I728" t="e">
        <f ca="1">INDEX(CBIC_Late_Fee_Relief_Windows_1!$B$100:$B$728,MATCH(G728,CBIC_Late_Fee_Relief_Windows_1!$I$100:$I$728,0))</f>
        <v>#NAME?</v>
      </c>
    </row>
    <row r="729" spans="1:9" x14ac:dyDescent="0.55000000000000004">
      <c r="A729" t="str">
        <f>TEST_DATA!A729</f>
        <v>27AAAAA0729Z5</v>
      </c>
      <c r="B729" t="str">
        <f>TEST_DATA!B729</f>
        <v>Jul-2017</v>
      </c>
      <c r="C729">
        <f>TEST_DATA!C729</f>
        <v>43341</v>
      </c>
      <c r="D729" t="str">
        <f>TEST_DATA!D729</f>
        <v>NIL</v>
      </c>
      <c r="E729">
        <f>TEST_DATA!E729</f>
        <v>2919</v>
      </c>
      <c r="F729">
        <f>MIN(E729*72900,10000)</f>
        <v>10000</v>
      </c>
      <c r="G729" t="e">
        <f ca="1">_xludf.MINIFS(CBIC_Late_Fee_Relief_Windows_1!$I$100:$I$729,CBIC_Late_Fee_Relief_Windows_1!$D$100:$D$729,"&lt;="&amp;B729,CBIC_Late_Fee_Relief_Windows_1!$E$100:$E$729,"&gt;="&amp;B729,CBIC_Late_Fee_Relief_Windows_1!$F$100:$F$729,"&lt;="&amp;C729,CBIC_Late_Fee_Relief_Windows_1!$G$100:$G$729,"&gt;="&amp;C729,CBIC_Late_Fee_Relief_Windows_1!$H$100:$H$729,D729)</f>
        <v>#NAME?</v>
      </c>
      <c r="H729" t="e">
        <f t="shared" ca="1" si="11"/>
        <v>#NAME?</v>
      </c>
      <c r="I729" t="e">
        <f ca="1">INDEX(CBIC_Late_Fee_Relief_Windows_1!$B$100:$B$729,MATCH(G729,CBIC_Late_Fee_Relief_Windows_1!$I$100:$I$729,0))</f>
        <v>#NAME?</v>
      </c>
    </row>
    <row r="730" spans="1:9" x14ac:dyDescent="0.55000000000000004">
      <c r="A730" t="str">
        <f>TEST_DATA!A730</f>
        <v>27AAAAA0730Z5</v>
      </c>
      <c r="B730" t="str">
        <f>TEST_DATA!B730</f>
        <v>Dec-2022</v>
      </c>
      <c r="C730">
        <f>TEST_DATA!C730</f>
        <v>45097</v>
      </c>
      <c r="D730" t="str">
        <f>TEST_DATA!D730</f>
        <v>NIL</v>
      </c>
      <c r="E730">
        <f>TEST_DATA!E730</f>
        <v>1225</v>
      </c>
      <c r="F730">
        <f>MIN(E730*73000,10000)</f>
        <v>10000</v>
      </c>
      <c r="G730" t="e">
        <f ca="1">_xludf.MINIFS(CBIC_Late_Fee_Relief_Windows_1!$I$100:$I$730,CBIC_Late_Fee_Relief_Windows_1!$D$100:$D$730,"&lt;="&amp;B730,CBIC_Late_Fee_Relief_Windows_1!$E$100:$E$730,"&gt;="&amp;B730,CBIC_Late_Fee_Relief_Windows_1!$F$100:$F$730,"&lt;="&amp;C730,CBIC_Late_Fee_Relief_Windows_1!$G$100:$G$730,"&gt;="&amp;C730,CBIC_Late_Fee_Relief_Windows_1!$H$100:$H$730,D730)</f>
        <v>#NAME?</v>
      </c>
      <c r="H730" t="e">
        <f t="shared" ca="1" si="11"/>
        <v>#NAME?</v>
      </c>
      <c r="I730" t="e">
        <f ca="1">INDEX(CBIC_Late_Fee_Relief_Windows_1!$B$100:$B$730,MATCH(G730,CBIC_Late_Fee_Relief_Windows_1!$I$100:$I$730,0))</f>
        <v>#NAME?</v>
      </c>
    </row>
    <row r="731" spans="1:9" x14ac:dyDescent="0.55000000000000004">
      <c r="A731" t="str">
        <f>TEST_DATA!A731</f>
        <v>27AAAAA0731Z5</v>
      </c>
      <c r="B731" t="str">
        <f>TEST_DATA!B731</f>
        <v>Dec-2017</v>
      </c>
      <c r="C731">
        <f>TEST_DATA!C731</f>
        <v>44071</v>
      </c>
      <c r="D731" t="str">
        <f>TEST_DATA!D731</f>
        <v>NIL</v>
      </c>
      <c r="E731">
        <f>TEST_DATA!E731</f>
        <v>2321</v>
      </c>
      <c r="F731">
        <f>MIN(E731*73100,10000)</f>
        <v>10000</v>
      </c>
      <c r="G731" t="e">
        <f ca="1">_xludf.MINIFS(CBIC_Late_Fee_Relief_Windows_1!$I$100:$I$731,CBIC_Late_Fee_Relief_Windows_1!$D$100:$D$731,"&lt;="&amp;B731,CBIC_Late_Fee_Relief_Windows_1!$E$100:$E$731,"&gt;="&amp;B731,CBIC_Late_Fee_Relief_Windows_1!$F$100:$F$731,"&lt;="&amp;C731,CBIC_Late_Fee_Relief_Windows_1!$G$100:$G$731,"&gt;="&amp;C731,CBIC_Late_Fee_Relief_Windows_1!$H$100:$H$731,D731)</f>
        <v>#NAME?</v>
      </c>
      <c r="H731" t="e">
        <f t="shared" ca="1" si="11"/>
        <v>#NAME?</v>
      </c>
      <c r="I731" t="e">
        <f ca="1">INDEX(CBIC_Late_Fee_Relief_Windows_1!$B$100:$B$731,MATCH(G731,CBIC_Late_Fee_Relief_Windows_1!$I$100:$I$731,0))</f>
        <v>#NAME?</v>
      </c>
    </row>
    <row r="732" spans="1:9" x14ac:dyDescent="0.55000000000000004">
      <c r="A732" t="str">
        <f>TEST_DATA!A732</f>
        <v>27AAAAA0732Z5</v>
      </c>
      <c r="B732" t="str">
        <f>TEST_DATA!B732</f>
        <v>Dec-2022</v>
      </c>
      <c r="C732">
        <f>TEST_DATA!C732</f>
        <v>45059</v>
      </c>
      <c r="D732" t="str">
        <f>TEST_DATA!D732</f>
        <v>NON-NIL</v>
      </c>
      <c r="E732">
        <f>TEST_DATA!E732</f>
        <v>1572</v>
      </c>
      <c r="F732">
        <f>MIN(E732*73200,10000)</f>
        <v>10000</v>
      </c>
      <c r="G732" t="e">
        <f ca="1">_xludf.MINIFS(CBIC_Late_Fee_Relief_Windows_1!$I$100:$I$732,CBIC_Late_Fee_Relief_Windows_1!$D$100:$D$732,"&lt;="&amp;B732,CBIC_Late_Fee_Relief_Windows_1!$E$100:$E$732,"&gt;="&amp;B732,CBIC_Late_Fee_Relief_Windows_1!$F$100:$F$732,"&lt;="&amp;C732,CBIC_Late_Fee_Relief_Windows_1!$G$100:$G$732,"&gt;="&amp;C732,CBIC_Late_Fee_Relief_Windows_1!$H$100:$H$732,D732)</f>
        <v>#NAME?</v>
      </c>
      <c r="H732" t="e">
        <f t="shared" ca="1" si="11"/>
        <v>#NAME?</v>
      </c>
      <c r="I732" t="e">
        <f ca="1">INDEX(CBIC_Late_Fee_Relief_Windows_1!$B$100:$B$732,MATCH(G732,CBIC_Late_Fee_Relief_Windows_1!$I$100:$I$732,0))</f>
        <v>#NAME?</v>
      </c>
    </row>
    <row r="733" spans="1:9" x14ac:dyDescent="0.55000000000000004">
      <c r="A733" t="str">
        <f>TEST_DATA!A733</f>
        <v>27AAAAA0733Z5</v>
      </c>
      <c r="B733" t="str">
        <f>TEST_DATA!B733</f>
        <v>Mar-2021</v>
      </c>
      <c r="C733">
        <f>TEST_DATA!C733</f>
        <v>44039</v>
      </c>
      <c r="D733" t="str">
        <f>TEST_DATA!D733</f>
        <v>NIL</v>
      </c>
      <c r="E733">
        <f>TEST_DATA!E733</f>
        <v>2051</v>
      </c>
      <c r="F733">
        <f>MIN(E733*73300,10000)</f>
        <v>10000</v>
      </c>
      <c r="G733" t="e">
        <f ca="1">_xludf.MINIFS(CBIC_Late_Fee_Relief_Windows_1!$I$100:$I$733,CBIC_Late_Fee_Relief_Windows_1!$D$100:$D$733,"&lt;="&amp;B733,CBIC_Late_Fee_Relief_Windows_1!$E$100:$E$733,"&gt;="&amp;B733,CBIC_Late_Fee_Relief_Windows_1!$F$100:$F$733,"&lt;="&amp;C733,CBIC_Late_Fee_Relief_Windows_1!$G$100:$G$733,"&gt;="&amp;C733,CBIC_Late_Fee_Relief_Windows_1!$H$100:$H$733,D733)</f>
        <v>#NAME?</v>
      </c>
      <c r="H733" t="e">
        <f t="shared" ca="1" si="11"/>
        <v>#NAME?</v>
      </c>
      <c r="I733" t="e">
        <f ca="1">INDEX(CBIC_Late_Fee_Relief_Windows_1!$B$100:$B$733,MATCH(G733,CBIC_Late_Fee_Relief_Windows_1!$I$100:$I$733,0))</f>
        <v>#NAME?</v>
      </c>
    </row>
    <row r="734" spans="1:9" x14ac:dyDescent="0.55000000000000004">
      <c r="A734" t="str">
        <f>TEST_DATA!A734</f>
        <v>27AAAAA0734Z5</v>
      </c>
      <c r="B734" t="str">
        <f>TEST_DATA!B734</f>
        <v>Jan-2021</v>
      </c>
      <c r="C734">
        <f>TEST_DATA!C734</f>
        <v>44882</v>
      </c>
      <c r="D734" t="str">
        <f>TEST_DATA!D734</f>
        <v>NIL</v>
      </c>
      <c r="E734">
        <f>TEST_DATA!E734</f>
        <v>400</v>
      </c>
      <c r="F734">
        <f>MIN(E734*73400,10000)</f>
        <v>10000</v>
      </c>
      <c r="G734" t="e">
        <f ca="1">_xludf.MINIFS(CBIC_Late_Fee_Relief_Windows_1!$I$100:$I$734,CBIC_Late_Fee_Relief_Windows_1!$D$100:$D$734,"&lt;="&amp;B734,CBIC_Late_Fee_Relief_Windows_1!$E$100:$E$734,"&gt;="&amp;B734,CBIC_Late_Fee_Relief_Windows_1!$F$100:$F$734,"&lt;="&amp;C734,CBIC_Late_Fee_Relief_Windows_1!$G$100:$G$734,"&gt;="&amp;C734,CBIC_Late_Fee_Relief_Windows_1!$H$100:$H$734,D734)</f>
        <v>#NAME?</v>
      </c>
      <c r="H734" t="e">
        <f t="shared" ca="1" si="11"/>
        <v>#NAME?</v>
      </c>
      <c r="I734" t="e">
        <f ca="1">INDEX(CBIC_Late_Fee_Relief_Windows_1!$B$100:$B$734,MATCH(G734,CBIC_Late_Fee_Relief_Windows_1!$I$100:$I$734,0))</f>
        <v>#NAME?</v>
      </c>
    </row>
    <row r="735" spans="1:9" x14ac:dyDescent="0.55000000000000004">
      <c r="A735" t="str">
        <f>TEST_DATA!A735</f>
        <v>27AAAAA0735Z5</v>
      </c>
      <c r="B735" t="str">
        <f>TEST_DATA!B735</f>
        <v>Aug-2018</v>
      </c>
      <c r="C735">
        <f>TEST_DATA!C735</f>
        <v>43392</v>
      </c>
      <c r="D735" t="str">
        <f>TEST_DATA!D735</f>
        <v>NIL</v>
      </c>
      <c r="E735">
        <f>TEST_DATA!E735</f>
        <v>1395</v>
      </c>
      <c r="F735">
        <f>MIN(E735*73500,10000)</f>
        <v>10000</v>
      </c>
      <c r="G735" t="e">
        <f ca="1">_xludf.MINIFS(CBIC_Late_Fee_Relief_Windows_1!$I$100:$I$735,CBIC_Late_Fee_Relief_Windows_1!$D$100:$D$735,"&lt;="&amp;B735,CBIC_Late_Fee_Relief_Windows_1!$E$100:$E$735,"&gt;="&amp;B735,CBIC_Late_Fee_Relief_Windows_1!$F$100:$F$735,"&lt;="&amp;C735,CBIC_Late_Fee_Relief_Windows_1!$G$100:$G$735,"&gt;="&amp;C735,CBIC_Late_Fee_Relief_Windows_1!$H$100:$H$735,D735)</f>
        <v>#NAME?</v>
      </c>
      <c r="H735" t="e">
        <f t="shared" ca="1" si="11"/>
        <v>#NAME?</v>
      </c>
      <c r="I735" t="e">
        <f ca="1">INDEX(CBIC_Late_Fee_Relief_Windows_1!$B$100:$B$735,MATCH(G735,CBIC_Late_Fee_Relief_Windows_1!$I$100:$I$735,0))</f>
        <v>#NAME?</v>
      </c>
    </row>
    <row r="736" spans="1:9" x14ac:dyDescent="0.55000000000000004">
      <c r="A736" t="str">
        <f>TEST_DATA!A736</f>
        <v>27AAAAA0736Z5</v>
      </c>
      <c r="B736" t="str">
        <f>TEST_DATA!B736</f>
        <v>Apr-2020</v>
      </c>
      <c r="C736">
        <f>TEST_DATA!C736</f>
        <v>44643</v>
      </c>
      <c r="D736" t="str">
        <f>TEST_DATA!D736</f>
        <v>NON-NIL</v>
      </c>
      <c r="E736">
        <f>TEST_DATA!E736</f>
        <v>121</v>
      </c>
      <c r="F736">
        <f>MIN(E736*73600,10000)</f>
        <v>10000</v>
      </c>
      <c r="G736" t="e">
        <f ca="1">_xludf.MINIFS(CBIC_Late_Fee_Relief_Windows_1!$I$100:$I$736,CBIC_Late_Fee_Relief_Windows_1!$D$100:$D$736,"&lt;="&amp;B736,CBIC_Late_Fee_Relief_Windows_1!$E$100:$E$736,"&gt;="&amp;B736,CBIC_Late_Fee_Relief_Windows_1!$F$100:$F$736,"&lt;="&amp;C736,CBIC_Late_Fee_Relief_Windows_1!$G$100:$G$736,"&gt;="&amp;C736,CBIC_Late_Fee_Relief_Windows_1!$H$100:$H$736,D736)</f>
        <v>#NAME?</v>
      </c>
      <c r="H736" t="e">
        <f t="shared" ca="1" si="11"/>
        <v>#NAME?</v>
      </c>
      <c r="I736" t="e">
        <f ca="1">INDEX(CBIC_Late_Fee_Relief_Windows_1!$B$100:$B$736,MATCH(G736,CBIC_Late_Fee_Relief_Windows_1!$I$100:$I$736,0))</f>
        <v>#NAME?</v>
      </c>
    </row>
    <row r="737" spans="1:9" x14ac:dyDescent="0.55000000000000004">
      <c r="A737" t="str">
        <f>TEST_DATA!A737</f>
        <v>27AAAAA0737Z5</v>
      </c>
      <c r="B737" t="str">
        <f>TEST_DATA!B737</f>
        <v>May-2020</v>
      </c>
      <c r="C737">
        <f>TEST_DATA!C737</f>
        <v>44390</v>
      </c>
      <c r="D737" t="str">
        <f>TEST_DATA!D737</f>
        <v>NON-NIL</v>
      </c>
      <c r="E737">
        <f>TEST_DATA!E737</f>
        <v>2009</v>
      </c>
      <c r="F737">
        <f>MIN(E737*73700,10000)</f>
        <v>10000</v>
      </c>
      <c r="G737" t="e">
        <f ca="1">_xludf.MINIFS(CBIC_Late_Fee_Relief_Windows_1!$I$100:$I$737,CBIC_Late_Fee_Relief_Windows_1!$D$100:$D$737,"&lt;="&amp;B737,CBIC_Late_Fee_Relief_Windows_1!$E$100:$E$737,"&gt;="&amp;B737,CBIC_Late_Fee_Relief_Windows_1!$F$100:$F$737,"&lt;="&amp;C737,CBIC_Late_Fee_Relief_Windows_1!$G$100:$G$737,"&gt;="&amp;C737,CBIC_Late_Fee_Relief_Windows_1!$H$100:$H$737,D737)</f>
        <v>#NAME?</v>
      </c>
      <c r="H737" t="e">
        <f t="shared" ca="1" si="11"/>
        <v>#NAME?</v>
      </c>
      <c r="I737" t="e">
        <f ca="1">INDEX(CBIC_Late_Fee_Relief_Windows_1!$B$100:$B$737,MATCH(G737,CBIC_Late_Fee_Relief_Windows_1!$I$100:$I$737,0))</f>
        <v>#NAME?</v>
      </c>
    </row>
    <row r="738" spans="1:9" x14ac:dyDescent="0.55000000000000004">
      <c r="A738" t="str">
        <f>TEST_DATA!A738</f>
        <v>27AAAAA0738Z5</v>
      </c>
      <c r="B738" t="str">
        <f>TEST_DATA!B738</f>
        <v>Feb-2018</v>
      </c>
      <c r="C738">
        <f>TEST_DATA!C738</f>
        <v>43645</v>
      </c>
      <c r="D738" t="str">
        <f>TEST_DATA!D738</f>
        <v>NON-NIL</v>
      </c>
      <c r="E738">
        <f>TEST_DATA!E738</f>
        <v>1768</v>
      </c>
      <c r="F738">
        <f>MIN(E738*73800,10000)</f>
        <v>10000</v>
      </c>
      <c r="G738" t="e">
        <f ca="1">_xludf.MINIFS(CBIC_Late_Fee_Relief_Windows_1!$I$100:$I$738,CBIC_Late_Fee_Relief_Windows_1!$D$100:$D$738,"&lt;="&amp;B738,CBIC_Late_Fee_Relief_Windows_1!$E$100:$E$738,"&gt;="&amp;B738,CBIC_Late_Fee_Relief_Windows_1!$F$100:$F$738,"&lt;="&amp;C738,CBIC_Late_Fee_Relief_Windows_1!$G$100:$G$738,"&gt;="&amp;C738,CBIC_Late_Fee_Relief_Windows_1!$H$100:$H$738,D738)</f>
        <v>#NAME?</v>
      </c>
      <c r="H738" t="e">
        <f t="shared" ca="1" si="11"/>
        <v>#NAME?</v>
      </c>
      <c r="I738" t="e">
        <f ca="1">INDEX(CBIC_Late_Fee_Relief_Windows_1!$B$100:$B$738,MATCH(G738,CBIC_Late_Fee_Relief_Windows_1!$I$100:$I$738,0))</f>
        <v>#NAME?</v>
      </c>
    </row>
    <row r="739" spans="1:9" x14ac:dyDescent="0.55000000000000004">
      <c r="A739" t="str">
        <f>TEST_DATA!A739</f>
        <v>27AAAAA0739Z5</v>
      </c>
      <c r="B739" t="str">
        <f>TEST_DATA!B739</f>
        <v>Dec-2017</v>
      </c>
      <c r="C739">
        <f>TEST_DATA!C739</f>
        <v>44309</v>
      </c>
      <c r="D739" t="str">
        <f>TEST_DATA!D739</f>
        <v>NON-NIL</v>
      </c>
      <c r="E739">
        <f>TEST_DATA!E739</f>
        <v>351</v>
      </c>
      <c r="F739">
        <f>MIN(E739*73900,10000)</f>
        <v>10000</v>
      </c>
      <c r="G739" t="e">
        <f ca="1">_xludf.MINIFS(CBIC_Late_Fee_Relief_Windows_1!$I$100:$I$739,CBIC_Late_Fee_Relief_Windows_1!$D$100:$D$739,"&lt;="&amp;B739,CBIC_Late_Fee_Relief_Windows_1!$E$100:$E$739,"&gt;="&amp;B739,CBIC_Late_Fee_Relief_Windows_1!$F$100:$F$739,"&lt;="&amp;C739,CBIC_Late_Fee_Relief_Windows_1!$G$100:$G$739,"&gt;="&amp;C739,CBIC_Late_Fee_Relief_Windows_1!$H$100:$H$739,D739)</f>
        <v>#NAME?</v>
      </c>
      <c r="H739" t="e">
        <f t="shared" ca="1" si="11"/>
        <v>#NAME?</v>
      </c>
      <c r="I739" t="e">
        <f ca="1">INDEX(CBIC_Late_Fee_Relief_Windows_1!$B$100:$B$739,MATCH(G739,CBIC_Late_Fee_Relief_Windows_1!$I$100:$I$739,0))</f>
        <v>#NAME?</v>
      </c>
    </row>
    <row r="740" spans="1:9" x14ac:dyDescent="0.55000000000000004">
      <c r="A740" t="str">
        <f>TEST_DATA!A740</f>
        <v>27AAAAA0740Z5</v>
      </c>
      <c r="B740" t="str">
        <f>TEST_DATA!B740</f>
        <v>Mar-2021</v>
      </c>
      <c r="C740">
        <f>TEST_DATA!C740</f>
        <v>44675</v>
      </c>
      <c r="D740" t="str">
        <f>TEST_DATA!D740</f>
        <v>NIL</v>
      </c>
      <c r="E740">
        <f>TEST_DATA!E740</f>
        <v>2920</v>
      </c>
      <c r="F740">
        <f>MIN(E740*74000,10000)</f>
        <v>10000</v>
      </c>
      <c r="G740" t="e">
        <f ca="1">_xludf.MINIFS(CBIC_Late_Fee_Relief_Windows_1!$I$100:$I$740,CBIC_Late_Fee_Relief_Windows_1!$D$100:$D$740,"&lt;="&amp;B740,CBIC_Late_Fee_Relief_Windows_1!$E$100:$E$740,"&gt;="&amp;B740,CBIC_Late_Fee_Relief_Windows_1!$F$100:$F$740,"&lt;="&amp;C740,CBIC_Late_Fee_Relief_Windows_1!$G$100:$G$740,"&gt;="&amp;C740,CBIC_Late_Fee_Relief_Windows_1!$H$100:$H$740,D740)</f>
        <v>#NAME?</v>
      </c>
      <c r="H740" t="e">
        <f t="shared" ca="1" si="11"/>
        <v>#NAME?</v>
      </c>
      <c r="I740" t="e">
        <f ca="1">INDEX(CBIC_Late_Fee_Relief_Windows_1!$B$100:$B$740,MATCH(G740,CBIC_Late_Fee_Relief_Windows_1!$I$100:$I$740,0))</f>
        <v>#NAME?</v>
      </c>
    </row>
    <row r="741" spans="1:9" x14ac:dyDescent="0.55000000000000004">
      <c r="A741" t="str">
        <f>TEST_DATA!A741</f>
        <v>27AAAAA0741Z5</v>
      </c>
      <c r="B741" t="str">
        <f>TEST_DATA!B741</f>
        <v>Sep-2017</v>
      </c>
      <c r="C741">
        <f>TEST_DATA!C741</f>
        <v>43085</v>
      </c>
      <c r="D741" t="str">
        <f>TEST_DATA!D741</f>
        <v>NON-NIL</v>
      </c>
      <c r="E741">
        <f>TEST_DATA!E741</f>
        <v>631</v>
      </c>
      <c r="F741">
        <f>MIN(E741*74100,10000)</f>
        <v>10000</v>
      </c>
      <c r="G741" t="e">
        <f ca="1">_xludf.MINIFS(CBIC_Late_Fee_Relief_Windows_1!$I$100:$I$741,CBIC_Late_Fee_Relief_Windows_1!$D$100:$D$741,"&lt;="&amp;B741,CBIC_Late_Fee_Relief_Windows_1!$E$100:$E$741,"&gt;="&amp;B741,CBIC_Late_Fee_Relief_Windows_1!$F$100:$F$741,"&lt;="&amp;C741,CBIC_Late_Fee_Relief_Windows_1!$G$100:$G$741,"&gt;="&amp;C741,CBIC_Late_Fee_Relief_Windows_1!$H$100:$H$741,D741)</f>
        <v>#NAME?</v>
      </c>
      <c r="H741" t="e">
        <f t="shared" ca="1" si="11"/>
        <v>#NAME?</v>
      </c>
      <c r="I741" t="e">
        <f ca="1">INDEX(CBIC_Late_Fee_Relief_Windows_1!$B$100:$B$741,MATCH(G741,CBIC_Late_Fee_Relief_Windows_1!$I$100:$I$741,0))</f>
        <v>#NAME?</v>
      </c>
    </row>
    <row r="742" spans="1:9" x14ac:dyDescent="0.55000000000000004">
      <c r="A742" t="str">
        <f>TEST_DATA!A742</f>
        <v>27AAAAA0742Z5</v>
      </c>
      <c r="B742" t="str">
        <f>TEST_DATA!B742</f>
        <v>Jul-2018</v>
      </c>
      <c r="C742">
        <f>TEST_DATA!C742</f>
        <v>44374</v>
      </c>
      <c r="D742" t="str">
        <f>TEST_DATA!D742</f>
        <v>NIL</v>
      </c>
      <c r="E742">
        <f>TEST_DATA!E742</f>
        <v>1595</v>
      </c>
      <c r="F742">
        <f>MIN(E742*74200,10000)</f>
        <v>10000</v>
      </c>
      <c r="G742" t="e">
        <f ca="1">_xludf.MINIFS(CBIC_Late_Fee_Relief_Windows_1!$I$100:$I$742,CBIC_Late_Fee_Relief_Windows_1!$D$100:$D$742,"&lt;="&amp;B742,CBIC_Late_Fee_Relief_Windows_1!$E$100:$E$742,"&gt;="&amp;B742,CBIC_Late_Fee_Relief_Windows_1!$F$100:$F$742,"&lt;="&amp;C742,CBIC_Late_Fee_Relief_Windows_1!$G$100:$G$742,"&gt;="&amp;C742,CBIC_Late_Fee_Relief_Windows_1!$H$100:$H$742,D742)</f>
        <v>#NAME?</v>
      </c>
      <c r="H742" t="e">
        <f t="shared" ca="1" si="11"/>
        <v>#NAME?</v>
      </c>
      <c r="I742" t="e">
        <f ca="1">INDEX(CBIC_Late_Fee_Relief_Windows_1!$B$100:$B$742,MATCH(G742,CBIC_Late_Fee_Relief_Windows_1!$I$100:$I$742,0))</f>
        <v>#NAME?</v>
      </c>
    </row>
    <row r="743" spans="1:9" x14ac:dyDescent="0.55000000000000004">
      <c r="A743" t="str">
        <f>TEST_DATA!A743</f>
        <v>27AAAAA0743Z5</v>
      </c>
      <c r="B743" t="str">
        <f>TEST_DATA!B743</f>
        <v>May-2018</v>
      </c>
      <c r="C743">
        <f>TEST_DATA!C743</f>
        <v>43655</v>
      </c>
      <c r="D743" t="str">
        <f>TEST_DATA!D743</f>
        <v>NIL</v>
      </c>
      <c r="E743">
        <f>TEST_DATA!E743</f>
        <v>374</v>
      </c>
      <c r="F743">
        <f>MIN(E743*74300,10000)</f>
        <v>10000</v>
      </c>
      <c r="G743" t="e">
        <f ca="1">_xludf.MINIFS(CBIC_Late_Fee_Relief_Windows_1!$I$100:$I$743,CBIC_Late_Fee_Relief_Windows_1!$D$100:$D$743,"&lt;="&amp;B743,CBIC_Late_Fee_Relief_Windows_1!$E$100:$E$743,"&gt;="&amp;B743,CBIC_Late_Fee_Relief_Windows_1!$F$100:$F$743,"&lt;="&amp;C743,CBIC_Late_Fee_Relief_Windows_1!$G$100:$G$743,"&gt;="&amp;C743,CBIC_Late_Fee_Relief_Windows_1!$H$100:$H$743,D743)</f>
        <v>#NAME?</v>
      </c>
      <c r="H743" t="e">
        <f t="shared" ca="1" si="11"/>
        <v>#NAME?</v>
      </c>
      <c r="I743" t="e">
        <f ca="1">INDEX(CBIC_Late_Fee_Relief_Windows_1!$B$100:$B$743,MATCH(G743,CBIC_Late_Fee_Relief_Windows_1!$I$100:$I$743,0))</f>
        <v>#NAME?</v>
      </c>
    </row>
    <row r="744" spans="1:9" x14ac:dyDescent="0.55000000000000004">
      <c r="A744" t="str">
        <f>TEST_DATA!A744</f>
        <v>27AAAAA0744Z5</v>
      </c>
      <c r="B744" t="str">
        <f>TEST_DATA!B744</f>
        <v>Jul-2017</v>
      </c>
      <c r="C744">
        <f>TEST_DATA!C744</f>
        <v>43548</v>
      </c>
      <c r="D744" t="str">
        <f>TEST_DATA!D744</f>
        <v>NON-NIL</v>
      </c>
      <c r="E744">
        <f>TEST_DATA!E744</f>
        <v>1474</v>
      </c>
      <c r="F744">
        <f>MIN(E744*74400,10000)</f>
        <v>10000</v>
      </c>
      <c r="G744" t="e">
        <f ca="1">_xludf.MINIFS(CBIC_Late_Fee_Relief_Windows_1!$I$100:$I$744,CBIC_Late_Fee_Relief_Windows_1!$D$100:$D$744,"&lt;="&amp;B744,CBIC_Late_Fee_Relief_Windows_1!$E$100:$E$744,"&gt;="&amp;B744,CBIC_Late_Fee_Relief_Windows_1!$F$100:$F$744,"&lt;="&amp;C744,CBIC_Late_Fee_Relief_Windows_1!$G$100:$G$744,"&gt;="&amp;C744,CBIC_Late_Fee_Relief_Windows_1!$H$100:$H$744,D744)</f>
        <v>#NAME?</v>
      </c>
      <c r="H744" t="e">
        <f t="shared" ca="1" si="11"/>
        <v>#NAME?</v>
      </c>
      <c r="I744" t="e">
        <f ca="1">INDEX(CBIC_Late_Fee_Relief_Windows_1!$B$100:$B$744,MATCH(G744,CBIC_Late_Fee_Relief_Windows_1!$I$100:$I$744,0))</f>
        <v>#NAME?</v>
      </c>
    </row>
    <row r="745" spans="1:9" x14ac:dyDescent="0.55000000000000004">
      <c r="A745" t="str">
        <f>TEST_DATA!A745</f>
        <v>27AAAAA0745Z5</v>
      </c>
      <c r="B745" t="str">
        <f>TEST_DATA!B745</f>
        <v>Mar-2021</v>
      </c>
      <c r="C745">
        <f>TEST_DATA!C745</f>
        <v>44570</v>
      </c>
      <c r="D745" t="str">
        <f>TEST_DATA!D745</f>
        <v>NIL</v>
      </c>
      <c r="E745">
        <f>TEST_DATA!E745</f>
        <v>542</v>
      </c>
      <c r="F745">
        <f>MIN(E745*74500,10000)</f>
        <v>10000</v>
      </c>
      <c r="G745" t="e">
        <f ca="1">_xludf.MINIFS(CBIC_Late_Fee_Relief_Windows_1!$I$100:$I$745,CBIC_Late_Fee_Relief_Windows_1!$D$100:$D$745,"&lt;="&amp;B745,CBIC_Late_Fee_Relief_Windows_1!$E$100:$E$745,"&gt;="&amp;B745,CBIC_Late_Fee_Relief_Windows_1!$F$100:$F$745,"&lt;="&amp;C745,CBIC_Late_Fee_Relief_Windows_1!$G$100:$G$745,"&gt;="&amp;C745,CBIC_Late_Fee_Relief_Windows_1!$H$100:$H$745,D745)</f>
        <v>#NAME?</v>
      </c>
      <c r="H745" t="e">
        <f t="shared" ca="1" si="11"/>
        <v>#NAME?</v>
      </c>
      <c r="I745" t="e">
        <f ca="1">INDEX(CBIC_Late_Fee_Relief_Windows_1!$B$100:$B$745,MATCH(G745,CBIC_Late_Fee_Relief_Windows_1!$I$100:$I$745,0))</f>
        <v>#NAME?</v>
      </c>
    </row>
    <row r="746" spans="1:9" x14ac:dyDescent="0.55000000000000004">
      <c r="A746" t="str">
        <f>TEST_DATA!A746</f>
        <v>27AAAAA0746Z5</v>
      </c>
      <c r="B746" t="str">
        <f>TEST_DATA!B746</f>
        <v>Sep-2017</v>
      </c>
      <c r="C746">
        <f>TEST_DATA!C746</f>
        <v>43300</v>
      </c>
      <c r="D746" t="str">
        <f>TEST_DATA!D746</f>
        <v>NON-NIL</v>
      </c>
      <c r="E746">
        <f>TEST_DATA!E746</f>
        <v>1838</v>
      </c>
      <c r="F746">
        <f>MIN(E746*74600,10000)</f>
        <v>10000</v>
      </c>
      <c r="G746" t="e">
        <f ca="1">_xludf.MINIFS(CBIC_Late_Fee_Relief_Windows_1!$I$100:$I$746,CBIC_Late_Fee_Relief_Windows_1!$D$100:$D$746,"&lt;="&amp;B746,CBIC_Late_Fee_Relief_Windows_1!$E$100:$E$746,"&gt;="&amp;B746,CBIC_Late_Fee_Relief_Windows_1!$F$100:$F$746,"&lt;="&amp;C746,CBIC_Late_Fee_Relief_Windows_1!$G$100:$G$746,"&gt;="&amp;C746,CBIC_Late_Fee_Relief_Windows_1!$H$100:$H$746,D746)</f>
        <v>#NAME?</v>
      </c>
      <c r="H746" t="e">
        <f t="shared" ca="1" si="11"/>
        <v>#NAME?</v>
      </c>
      <c r="I746" t="e">
        <f ca="1">INDEX(CBIC_Late_Fee_Relief_Windows_1!$B$100:$B$746,MATCH(G746,CBIC_Late_Fee_Relief_Windows_1!$I$100:$I$746,0))</f>
        <v>#NAME?</v>
      </c>
    </row>
    <row r="747" spans="1:9" x14ac:dyDescent="0.55000000000000004">
      <c r="A747" t="str">
        <f>TEST_DATA!A747</f>
        <v>27AAAAA0747Z5</v>
      </c>
      <c r="B747" t="str">
        <f>TEST_DATA!B747</f>
        <v>Dec-2019</v>
      </c>
      <c r="C747">
        <f>TEST_DATA!C747</f>
        <v>45738</v>
      </c>
      <c r="D747" t="str">
        <f>TEST_DATA!D747</f>
        <v>NON-NIL</v>
      </c>
      <c r="E747">
        <f>TEST_DATA!E747</f>
        <v>423</v>
      </c>
      <c r="F747">
        <f>MIN(E747*74700,10000)</f>
        <v>10000</v>
      </c>
      <c r="G747" t="e">
        <f ca="1">_xludf.MINIFS(CBIC_Late_Fee_Relief_Windows_1!$I$100:$I$747,CBIC_Late_Fee_Relief_Windows_1!$D$100:$D$747,"&lt;="&amp;B747,CBIC_Late_Fee_Relief_Windows_1!$E$100:$E$747,"&gt;="&amp;B747,CBIC_Late_Fee_Relief_Windows_1!$F$100:$F$747,"&lt;="&amp;C747,CBIC_Late_Fee_Relief_Windows_1!$G$100:$G$747,"&gt;="&amp;C747,CBIC_Late_Fee_Relief_Windows_1!$H$100:$H$747,D747)</f>
        <v>#NAME?</v>
      </c>
      <c r="H747" t="e">
        <f t="shared" ca="1" si="11"/>
        <v>#NAME?</v>
      </c>
      <c r="I747" t="e">
        <f ca="1">INDEX(CBIC_Late_Fee_Relief_Windows_1!$B$100:$B$747,MATCH(G747,CBIC_Late_Fee_Relief_Windows_1!$I$100:$I$747,0))</f>
        <v>#NAME?</v>
      </c>
    </row>
    <row r="748" spans="1:9" x14ac:dyDescent="0.55000000000000004">
      <c r="A748" t="str">
        <f>TEST_DATA!A748</f>
        <v>27AAAAA0748Z5</v>
      </c>
      <c r="B748" t="str">
        <f>TEST_DATA!B748</f>
        <v>Jul-2017</v>
      </c>
      <c r="C748">
        <f>TEST_DATA!C748</f>
        <v>43100</v>
      </c>
      <c r="D748" t="str">
        <f>TEST_DATA!D748</f>
        <v>NON-NIL</v>
      </c>
      <c r="E748">
        <f>TEST_DATA!E748</f>
        <v>2270</v>
      </c>
      <c r="F748">
        <f>MIN(E748*74800,10000)</f>
        <v>10000</v>
      </c>
      <c r="G748" t="e">
        <f ca="1">_xludf.MINIFS(CBIC_Late_Fee_Relief_Windows_1!$I$100:$I$748,CBIC_Late_Fee_Relief_Windows_1!$D$100:$D$748,"&lt;="&amp;B748,CBIC_Late_Fee_Relief_Windows_1!$E$100:$E$748,"&gt;="&amp;B748,CBIC_Late_Fee_Relief_Windows_1!$F$100:$F$748,"&lt;="&amp;C748,CBIC_Late_Fee_Relief_Windows_1!$G$100:$G$748,"&gt;="&amp;C748,CBIC_Late_Fee_Relief_Windows_1!$H$100:$H$748,D748)</f>
        <v>#NAME?</v>
      </c>
      <c r="H748" t="e">
        <f t="shared" ca="1" si="11"/>
        <v>#NAME?</v>
      </c>
      <c r="I748" t="e">
        <f ca="1">INDEX(CBIC_Late_Fee_Relief_Windows_1!$B$100:$B$748,MATCH(G748,CBIC_Late_Fee_Relief_Windows_1!$I$100:$I$748,0))</f>
        <v>#NAME?</v>
      </c>
    </row>
    <row r="749" spans="1:9" x14ac:dyDescent="0.55000000000000004">
      <c r="A749" t="str">
        <f>TEST_DATA!A749</f>
        <v>27AAAAA0749Z5</v>
      </c>
      <c r="B749" t="str">
        <f>TEST_DATA!B749</f>
        <v>Sep-2017</v>
      </c>
      <c r="C749">
        <f>TEST_DATA!C749</f>
        <v>44139</v>
      </c>
      <c r="D749" t="str">
        <f>TEST_DATA!D749</f>
        <v>NON-NIL</v>
      </c>
      <c r="E749">
        <f>TEST_DATA!E749</f>
        <v>1577</v>
      </c>
      <c r="F749">
        <f>MIN(E749*74900,10000)</f>
        <v>10000</v>
      </c>
      <c r="G749" t="e">
        <f ca="1">_xludf.MINIFS(CBIC_Late_Fee_Relief_Windows_1!$I$100:$I$749,CBIC_Late_Fee_Relief_Windows_1!$D$100:$D$749,"&lt;="&amp;B749,CBIC_Late_Fee_Relief_Windows_1!$E$100:$E$749,"&gt;="&amp;B749,CBIC_Late_Fee_Relief_Windows_1!$F$100:$F$749,"&lt;="&amp;C749,CBIC_Late_Fee_Relief_Windows_1!$G$100:$G$749,"&gt;="&amp;C749,CBIC_Late_Fee_Relief_Windows_1!$H$100:$H$749,D749)</f>
        <v>#NAME?</v>
      </c>
      <c r="H749" t="e">
        <f t="shared" ca="1" si="11"/>
        <v>#NAME?</v>
      </c>
      <c r="I749" t="e">
        <f ca="1">INDEX(CBIC_Late_Fee_Relief_Windows_1!$B$100:$B$749,MATCH(G749,CBIC_Late_Fee_Relief_Windows_1!$I$100:$I$749,0))</f>
        <v>#NAME?</v>
      </c>
    </row>
    <row r="750" spans="1:9" x14ac:dyDescent="0.55000000000000004">
      <c r="A750" t="str">
        <f>TEST_DATA!A750</f>
        <v>27AAAAA0750Z5</v>
      </c>
      <c r="B750" t="str">
        <f>TEST_DATA!B750</f>
        <v>Jul-2017</v>
      </c>
      <c r="C750">
        <f>TEST_DATA!C750</f>
        <v>43514</v>
      </c>
      <c r="D750" t="str">
        <f>TEST_DATA!D750</f>
        <v>NON-NIL</v>
      </c>
      <c r="E750">
        <f>TEST_DATA!E750</f>
        <v>1588</v>
      </c>
      <c r="F750">
        <f>MIN(E750*75000,10000)</f>
        <v>10000</v>
      </c>
      <c r="G750" t="e">
        <f ca="1">_xludf.MINIFS(CBIC_Late_Fee_Relief_Windows_1!$I$100:$I$750,CBIC_Late_Fee_Relief_Windows_1!$D$100:$D$750,"&lt;="&amp;B750,CBIC_Late_Fee_Relief_Windows_1!$E$100:$E$750,"&gt;="&amp;B750,CBIC_Late_Fee_Relief_Windows_1!$F$100:$F$750,"&lt;="&amp;C750,CBIC_Late_Fee_Relief_Windows_1!$G$100:$G$750,"&gt;="&amp;C750,CBIC_Late_Fee_Relief_Windows_1!$H$100:$H$750,D750)</f>
        <v>#NAME?</v>
      </c>
      <c r="H750" t="e">
        <f t="shared" ca="1" si="11"/>
        <v>#NAME?</v>
      </c>
      <c r="I750" t="e">
        <f ca="1">INDEX(CBIC_Late_Fee_Relief_Windows_1!$B$100:$B$750,MATCH(G750,CBIC_Late_Fee_Relief_Windows_1!$I$100:$I$750,0))</f>
        <v>#NAME?</v>
      </c>
    </row>
    <row r="751" spans="1:9" x14ac:dyDescent="0.55000000000000004">
      <c r="A751" t="str">
        <f>TEST_DATA!A751</f>
        <v>27AAAAA0751Z5</v>
      </c>
      <c r="B751" t="str">
        <f>TEST_DATA!B751</f>
        <v>Mar-2021</v>
      </c>
      <c r="C751">
        <f>TEST_DATA!C751</f>
        <v>43812</v>
      </c>
      <c r="D751" t="str">
        <f>TEST_DATA!D751</f>
        <v>NIL</v>
      </c>
      <c r="E751">
        <f>TEST_DATA!E751</f>
        <v>2342</v>
      </c>
      <c r="F751">
        <f>MIN(E751*75100,10000)</f>
        <v>10000</v>
      </c>
      <c r="G751" t="e">
        <f ca="1">_xludf.MINIFS(CBIC_Late_Fee_Relief_Windows_1!$I$100:$I$751,CBIC_Late_Fee_Relief_Windows_1!$D$100:$D$751,"&lt;="&amp;B751,CBIC_Late_Fee_Relief_Windows_1!$E$100:$E$751,"&gt;="&amp;B751,CBIC_Late_Fee_Relief_Windows_1!$F$100:$F$751,"&lt;="&amp;C751,CBIC_Late_Fee_Relief_Windows_1!$G$100:$G$751,"&gt;="&amp;C751,CBIC_Late_Fee_Relief_Windows_1!$H$100:$H$751,D751)</f>
        <v>#NAME?</v>
      </c>
      <c r="H751" t="e">
        <f t="shared" ca="1" si="11"/>
        <v>#NAME?</v>
      </c>
      <c r="I751" t="e">
        <f ca="1">INDEX(CBIC_Late_Fee_Relief_Windows_1!$B$100:$B$751,MATCH(G751,CBIC_Late_Fee_Relief_Windows_1!$I$100:$I$751,0))</f>
        <v>#NAME?</v>
      </c>
    </row>
    <row r="752" spans="1:9" x14ac:dyDescent="0.55000000000000004">
      <c r="A752" t="str">
        <f>TEST_DATA!A752</f>
        <v>27AAAAA0752Z5</v>
      </c>
      <c r="B752" t="str">
        <f>TEST_DATA!B752</f>
        <v>Jun-2019</v>
      </c>
      <c r="C752">
        <f>TEST_DATA!C752</f>
        <v>44160</v>
      </c>
      <c r="D752" t="str">
        <f>TEST_DATA!D752</f>
        <v>NON-NIL</v>
      </c>
      <c r="E752">
        <f>TEST_DATA!E752</f>
        <v>694</v>
      </c>
      <c r="F752">
        <f>MIN(E752*75200,10000)</f>
        <v>10000</v>
      </c>
      <c r="G752" t="e">
        <f ca="1">_xludf.MINIFS(CBIC_Late_Fee_Relief_Windows_1!$I$100:$I$752,CBIC_Late_Fee_Relief_Windows_1!$D$100:$D$752,"&lt;="&amp;B752,CBIC_Late_Fee_Relief_Windows_1!$E$100:$E$752,"&gt;="&amp;B752,CBIC_Late_Fee_Relief_Windows_1!$F$100:$F$752,"&lt;="&amp;C752,CBIC_Late_Fee_Relief_Windows_1!$G$100:$G$752,"&gt;="&amp;C752,CBIC_Late_Fee_Relief_Windows_1!$H$100:$H$752,D752)</f>
        <v>#NAME?</v>
      </c>
      <c r="H752" t="e">
        <f t="shared" ca="1" si="11"/>
        <v>#NAME?</v>
      </c>
      <c r="I752" t="e">
        <f ca="1">INDEX(CBIC_Late_Fee_Relief_Windows_1!$B$100:$B$752,MATCH(G752,CBIC_Late_Fee_Relief_Windows_1!$I$100:$I$752,0))</f>
        <v>#NAME?</v>
      </c>
    </row>
    <row r="753" spans="1:9" x14ac:dyDescent="0.55000000000000004">
      <c r="A753" t="str">
        <f>TEST_DATA!A753</f>
        <v>27AAAAA0753Z5</v>
      </c>
      <c r="B753" t="str">
        <f>TEST_DATA!B753</f>
        <v>Nov-2017</v>
      </c>
      <c r="C753">
        <f>TEST_DATA!C753</f>
        <v>43467</v>
      </c>
      <c r="D753" t="str">
        <f>TEST_DATA!D753</f>
        <v>NON-NIL</v>
      </c>
      <c r="E753">
        <f>TEST_DATA!E753</f>
        <v>1099</v>
      </c>
      <c r="F753">
        <f>MIN(E753*75300,10000)</f>
        <v>10000</v>
      </c>
      <c r="G753" t="e">
        <f ca="1">_xludf.MINIFS(CBIC_Late_Fee_Relief_Windows_1!$I$100:$I$753,CBIC_Late_Fee_Relief_Windows_1!$D$100:$D$753,"&lt;="&amp;B753,CBIC_Late_Fee_Relief_Windows_1!$E$100:$E$753,"&gt;="&amp;B753,CBIC_Late_Fee_Relief_Windows_1!$F$100:$F$753,"&lt;="&amp;C753,CBIC_Late_Fee_Relief_Windows_1!$G$100:$G$753,"&gt;="&amp;C753,CBIC_Late_Fee_Relief_Windows_1!$H$100:$H$753,D753)</f>
        <v>#NAME?</v>
      </c>
      <c r="H753" t="e">
        <f t="shared" ca="1" si="11"/>
        <v>#NAME?</v>
      </c>
      <c r="I753" t="e">
        <f ca="1">INDEX(CBIC_Late_Fee_Relief_Windows_1!$B$100:$B$753,MATCH(G753,CBIC_Late_Fee_Relief_Windows_1!$I$100:$I$753,0))</f>
        <v>#NAME?</v>
      </c>
    </row>
    <row r="754" spans="1:9" x14ac:dyDescent="0.55000000000000004">
      <c r="A754" t="str">
        <f>TEST_DATA!A754</f>
        <v>27AAAAA0754Z5</v>
      </c>
      <c r="B754" t="str">
        <f>TEST_DATA!B754</f>
        <v>Jan-2019</v>
      </c>
      <c r="C754">
        <f>TEST_DATA!C754</f>
        <v>44063</v>
      </c>
      <c r="D754" t="str">
        <f>TEST_DATA!D754</f>
        <v>NIL</v>
      </c>
      <c r="E754">
        <f>TEST_DATA!E754</f>
        <v>684</v>
      </c>
      <c r="F754">
        <f>MIN(E754*75400,10000)</f>
        <v>10000</v>
      </c>
      <c r="G754" t="e">
        <f ca="1">_xludf.MINIFS(CBIC_Late_Fee_Relief_Windows_1!$I$100:$I$754,CBIC_Late_Fee_Relief_Windows_1!$D$100:$D$754,"&lt;="&amp;B754,CBIC_Late_Fee_Relief_Windows_1!$E$100:$E$754,"&gt;="&amp;B754,CBIC_Late_Fee_Relief_Windows_1!$F$100:$F$754,"&lt;="&amp;C754,CBIC_Late_Fee_Relief_Windows_1!$G$100:$G$754,"&gt;="&amp;C754,CBIC_Late_Fee_Relief_Windows_1!$H$100:$H$754,D754)</f>
        <v>#NAME?</v>
      </c>
      <c r="H754" t="e">
        <f t="shared" ca="1" si="11"/>
        <v>#NAME?</v>
      </c>
      <c r="I754" t="e">
        <f ca="1">INDEX(CBIC_Late_Fee_Relief_Windows_1!$B$100:$B$754,MATCH(G754,CBIC_Late_Fee_Relief_Windows_1!$I$100:$I$754,0))</f>
        <v>#NAME?</v>
      </c>
    </row>
    <row r="755" spans="1:9" x14ac:dyDescent="0.55000000000000004">
      <c r="A755" t="str">
        <f>TEST_DATA!A755</f>
        <v>27AAAAA0755Z5</v>
      </c>
      <c r="B755" t="str">
        <f>TEST_DATA!B755</f>
        <v>Aug-2018</v>
      </c>
      <c r="C755">
        <f>TEST_DATA!C755</f>
        <v>43482</v>
      </c>
      <c r="D755" t="str">
        <f>TEST_DATA!D755</f>
        <v>NON-NIL</v>
      </c>
      <c r="E755">
        <f>TEST_DATA!E755</f>
        <v>1227</v>
      </c>
      <c r="F755">
        <f>MIN(E755*75500,10000)</f>
        <v>10000</v>
      </c>
      <c r="G755" t="e">
        <f ca="1">_xludf.MINIFS(CBIC_Late_Fee_Relief_Windows_1!$I$100:$I$755,CBIC_Late_Fee_Relief_Windows_1!$D$100:$D$755,"&lt;="&amp;B755,CBIC_Late_Fee_Relief_Windows_1!$E$100:$E$755,"&gt;="&amp;B755,CBIC_Late_Fee_Relief_Windows_1!$F$100:$F$755,"&lt;="&amp;C755,CBIC_Late_Fee_Relief_Windows_1!$G$100:$G$755,"&gt;="&amp;C755,CBIC_Late_Fee_Relief_Windows_1!$H$100:$H$755,D755)</f>
        <v>#NAME?</v>
      </c>
      <c r="H755" t="e">
        <f t="shared" ca="1" si="11"/>
        <v>#NAME?</v>
      </c>
      <c r="I755" t="e">
        <f ca="1">INDEX(CBIC_Late_Fee_Relief_Windows_1!$B$100:$B$755,MATCH(G755,CBIC_Late_Fee_Relief_Windows_1!$I$100:$I$755,0))</f>
        <v>#NAME?</v>
      </c>
    </row>
    <row r="756" spans="1:9" x14ac:dyDescent="0.55000000000000004">
      <c r="A756" t="str">
        <f>TEST_DATA!A756</f>
        <v>27AAAAA0756Z5</v>
      </c>
      <c r="B756" t="str">
        <f>TEST_DATA!B756</f>
        <v>Jan-2019</v>
      </c>
      <c r="C756">
        <f>TEST_DATA!C756</f>
        <v>43781</v>
      </c>
      <c r="D756" t="str">
        <f>TEST_DATA!D756</f>
        <v>NON-NIL</v>
      </c>
      <c r="E756">
        <f>TEST_DATA!E756</f>
        <v>1030</v>
      </c>
      <c r="F756">
        <f>MIN(E756*75600,10000)</f>
        <v>10000</v>
      </c>
      <c r="G756" t="e">
        <f ca="1">_xludf.MINIFS(CBIC_Late_Fee_Relief_Windows_1!$I$100:$I$756,CBIC_Late_Fee_Relief_Windows_1!$D$100:$D$756,"&lt;="&amp;B756,CBIC_Late_Fee_Relief_Windows_1!$E$100:$E$756,"&gt;="&amp;B756,CBIC_Late_Fee_Relief_Windows_1!$F$100:$F$756,"&lt;="&amp;C756,CBIC_Late_Fee_Relief_Windows_1!$G$100:$G$756,"&gt;="&amp;C756,CBIC_Late_Fee_Relief_Windows_1!$H$100:$H$756,D756)</f>
        <v>#NAME?</v>
      </c>
      <c r="H756" t="e">
        <f t="shared" ca="1" si="11"/>
        <v>#NAME?</v>
      </c>
      <c r="I756" t="e">
        <f ca="1">INDEX(CBIC_Late_Fee_Relief_Windows_1!$B$100:$B$756,MATCH(G756,CBIC_Late_Fee_Relief_Windows_1!$I$100:$I$756,0))</f>
        <v>#NAME?</v>
      </c>
    </row>
    <row r="757" spans="1:9" x14ac:dyDescent="0.55000000000000004">
      <c r="A757" t="str">
        <f>TEST_DATA!A757</f>
        <v>27AAAAA0757Z5</v>
      </c>
      <c r="B757" t="str">
        <f>TEST_DATA!B757</f>
        <v>Feb-2018</v>
      </c>
      <c r="C757">
        <f>TEST_DATA!C757</f>
        <v>44393</v>
      </c>
      <c r="D757" t="str">
        <f>TEST_DATA!D757</f>
        <v>NON-NIL</v>
      </c>
      <c r="E757">
        <f>TEST_DATA!E757</f>
        <v>2432</v>
      </c>
      <c r="F757">
        <f>MIN(E757*75700,10000)</f>
        <v>10000</v>
      </c>
      <c r="G757" t="e">
        <f ca="1">_xludf.MINIFS(CBIC_Late_Fee_Relief_Windows_1!$I$100:$I$757,CBIC_Late_Fee_Relief_Windows_1!$D$100:$D$757,"&lt;="&amp;B757,CBIC_Late_Fee_Relief_Windows_1!$E$100:$E$757,"&gt;="&amp;B757,CBIC_Late_Fee_Relief_Windows_1!$F$100:$F$757,"&lt;="&amp;C757,CBIC_Late_Fee_Relief_Windows_1!$G$100:$G$757,"&gt;="&amp;C757,CBIC_Late_Fee_Relief_Windows_1!$H$100:$H$757,D757)</f>
        <v>#NAME?</v>
      </c>
      <c r="H757" t="e">
        <f t="shared" ca="1" si="11"/>
        <v>#NAME?</v>
      </c>
      <c r="I757" t="e">
        <f ca="1">INDEX(CBIC_Late_Fee_Relief_Windows_1!$B$100:$B$757,MATCH(G757,CBIC_Late_Fee_Relief_Windows_1!$I$100:$I$757,0))</f>
        <v>#NAME?</v>
      </c>
    </row>
    <row r="758" spans="1:9" x14ac:dyDescent="0.55000000000000004">
      <c r="A758" t="str">
        <f>TEST_DATA!A758</f>
        <v>27AAAAA0758Z5</v>
      </c>
      <c r="B758" t="str">
        <f>TEST_DATA!B758</f>
        <v>Apr-2020</v>
      </c>
      <c r="C758">
        <f>TEST_DATA!C758</f>
        <v>44231</v>
      </c>
      <c r="D758" t="str">
        <f>TEST_DATA!D758</f>
        <v>NON-NIL</v>
      </c>
      <c r="E758">
        <f>TEST_DATA!E758</f>
        <v>438</v>
      </c>
      <c r="F758">
        <f>MIN(E758*75800,10000)</f>
        <v>10000</v>
      </c>
      <c r="G758" t="e">
        <f ca="1">_xludf.MINIFS(CBIC_Late_Fee_Relief_Windows_1!$I$100:$I$758,CBIC_Late_Fee_Relief_Windows_1!$D$100:$D$758,"&lt;="&amp;B758,CBIC_Late_Fee_Relief_Windows_1!$E$100:$E$758,"&gt;="&amp;B758,CBIC_Late_Fee_Relief_Windows_1!$F$100:$F$758,"&lt;="&amp;C758,CBIC_Late_Fee_Relief_Windows_1!$G$100:$G$758,"&gt;="&amp;C758,CBIC_Late_Fee_Relief_Windows_1!$H$100:$H$758,D758)</f>
        <v>#NAME?</v>
      </c>
      <c r="H758" t="e">
        <f t="shared" ca="1" si="11"/>
        <v>#NAME?</v>
      </c>
      <c r="I758" t="e">
        <f ca="1">INDEX(CBIC_Late_Fee_Relief_Windows_1!$B$100:$B$758,MATCH(G758,CBIC_Late_Fee_Relief_Windows_1!$I$100:$I$758,0))</f>
        <v>#NAME?</v>
      </c>
    </row>
    <row r="759" spans="1:9" x14ac:dyDescent="0.55000000000000004">
      <c r="A759" t="str">
        <f>TEST_DATA!A759</f>
        <v>27AAAAA0759Z5</v>
      </c>
      <c r="B759" t="str">
        <f>TEST_DATA!B759</f>
        <v>Nov-2017</v>
      </c>
      <c r="C759">
        <f>TEST_DATA!C759</f>
        <v>43540</v>
      </c>
      <c r="D759" t="str">
        <f>TEST_DATA!D759</f>
        <v>NIL</v>
      </c>
      <c r="E759">
        <f>TEST_DATA!E759</f>
        <v>1620</v>
      </c>
      <c r="F759">
        <f>MIN(E759*75900,10000)</f>
        <v>10000</v>
      </c>
      <c r="G759" t="e">
        <f ca="1">_xludf.MINIFS(CBIC_Late_Fee_Relief_Windows_1!$I$100:$I$759,CBIC_Late_Fee_Relief_Windows_1!$D$100:$D$759,"&lt;="&amp;B759,CBIC_Late_Fee_Relief_Windows_1!$E$100:$E$759,"&gt;="&amp;B759,CBIC_Late_Fee_Relief_Windows_1!$F$100:$F$759,"&lt;="&amp;C759,CBIC_Late_Fee_Relief_Windows_1!$G$100:$G$759,"&gt;="&amp;C759,CBIC_Late_Fee_Relief_Windows_1!$H$100:$H$759,D759)</f>
        <v>#NAME?</v>
      </c>
      <c r="H759" t="e">
        <f t="shared" ca="1" si="11"/>
        <v>#NAME?</v>
      </c>
      <c r="I759" t="e">
        <f ca="1">INDEX(CBIC_Late_Fee_Relief_Windows_1!$B$100:$B$759,MATCH(G759,CBIC_Late_Fee_Relief_Windows_1!$I$100:$I$759,0))</f>
        <v>#NAME?</v>
      </c>
    </row>
    <row r="760" spans="1:9" x14ac:dyDescent="0.55000000000000004">
      <c r="A760" t="str">
        <f>TEST_DATA!A760</f>
        <v>27AAAAA0760Z5</v>
      </c>
      <c r="B760" t="str">
        <f>TEST_DATA!B760</f>
        <v>May-2018</v>
      </c>
      <c r="C760">
        <f>TEST_DATA!C760</f>
        <v>44187</v>
      </c>
      <c r="D760" t="str">
        <f>TEST_DATA!D760</f>
        <v>NON-NIL</v>
      </c>
      <c r="E760">
        <f>TEST_DATA!E760</f>
        <v>1349</v>
      </c>
      <c r="F760">
        <f>MIN(E760*76000,10000)</f>
        <v>10000</v>
      </c>
      <c r="G760" t="e">
        <f ca="1">_xludf.MINIFS(CBIC_Late_Fee_Relief_Windows_1!$I$100:$I$760,CBIC_Late_Fee_Relief_Windows_1!$D$100:$D$760,"&lt;="&amp;B760,CBIC_Late_Fee_Relief_Windows_1!$E$100:$E$760,"&gt;="&amp;B760,CBIC_Late_Fee_Relief_Windows_1!$F$100:$F$760,"&lt;="&amp;C760,CBIC_Late_Fee_Relief_Windows_1!$G$100:$G$760,"&gt;="&amp;C760,CBIC_Late_Fee_Relief_Windows_1!$H$100:$H$760,D760)</f>
        <v>#NAME?</v>
      </c>
      <c r="H760" t="e">
        <f t="shared" ca="1" si="11"/>
        <v>#NAME?</v>
      </c>
      <c r="I760" t="e">
        <f ca="1">INDEX(CBIC_Late_Fee_Relief_Windows_1!$B$100:$B$760,MATCH(G760,CBIC_Late_Fee_Relief_Windows_1!$I$100:$I$760,0))</f>
        <v>#NAME?</v>
      </c>
    </row>
    <row r="761" spans="1:9" x14ac:dyDescent="0.55000000000000004">
      <c r="A761" t="str">
        <f>TEST_DATA!A761</f>
        <v>27AAAAA0761Z5</v>
      </c>
      <c r="B761" t="str">
        <f>TEST_DATA!B761</f>
        <v>Sep-2018</v>
      </c>
      <c r="C761">
        <f>TEST_DATA!C761</f>
        <v>43602</v>
      </c>
      <c r="D761" t="str">
        <f>TEST_DATA!D761</f>
        <v>NON-NIL</v>
      </c>
      <c r="E761">
        <f>TEST_DATA!E761</f>
        <v>2666</v>
      </c>
      <c r="F761">
        <f>MIN(E761*76100,10000)</f>
        <v>10000</v>
      </c>
      <c r="G761" t="e">
        <f ca="1">_xludf.MINIFS(CBIC_Late_Fee_Relief_Windows_1!$I$100:$I$761,CBIC_Late_Fee_Relief_Windows_1!$D$100:$D$761,"&lt;="&amp;B761,CBIC_Late_Fee_Relief_Windows_1!$E$100:$E$761,"&gt;="&amp;B761,CBIC_Late_Fee_Relief_Windows_1!$F$100:$F$761,"&lt;="&amp;C761,CBIC_Late_Fee_Relief_Windows_1!$G$100:$G$761,"&gt;="&amp;C761,CBIC_Late_Fee_Relief_Windows_1!$H$100:$H$761,D761)</f>
        <v>#NAME?</v>
      </c>
      <c r="H761" t="e">
        <f t="shared" ca="1" si="11"/>
        <v>#NAME?</v>
      </c>
      <c r="I761" t="e">
        <f ca="1">INDEX(CBIC_Late_Fee_Relief_Windows_1!$B$100:$B$761,MATCH(G761,CBIC_Late_Fee_Relief_Windows_1!$I$100:$I$761,0))</f>
        <v>#NAME?</v>
      </c>
    </row>
    <row r="762" spans="1:9" x14ac:dyDescent="0.55000000000000004">
      <c r="A762" t="str">
        <f>TEST_DATA!A762</f>
        <v>27AAAAA0762Z5</v>
      </c>
      <c r="B762" t="str">
        <f>TEST_DATA!B762</f>
        <v>Apr-2020</v>
      </c>
      <c r="C762">
        <f>TEST_DATA!C762</f>
        <v>44109</v>
      </c>
      <c r="D762" t="str">
        <f>TEST_DATA!D762</f>
        <v>NON-NIL</v>
      </c>
      <c r="E762">
        <f>TEST_DATA!E762</f>
        <v>1313</v>
      </c>
      <c r="F762">
        <f>MIN(E762*76200,10000)</f>
        <v>10000</v>
      </c>
      <c r="G762" t="e">
        <f ca="1">_xludf.MINIFS(CBIC_Late_Fee_Relief_Windows_1!$I$100:$I$762,CBIC_Late_Fee_Relief_Windows_1!$D$100:$D$762,"&lt;="&amp;B762,CBIC_Late_Fee_Relief_Windows_1!$E$100:$E$762,"&gt;="&amp;B762,CBIC_Late_Fee_Relief_Windows_1!$F$100:$F$762,"&lt;="&amp;C762,CBIC_Late_Fee_Relief_Windows_1!$G$100:$G$762,"&gt;="&amp;C762,CBIC_Late_Fee_Relief_Windows_1!$H$100:$H$762,D762)</f>
        <v>#NAME?</v>
      </c>
      <c r="H762" t="e">
        <f t="shared" ca="1" si="11"/>
        <v>#NAME?</v>
      </c>
      <c r="I762" t="e">
        <f ca="1">INDEX(CBIC_Late_Fee_Relief_Windows_1!$B$100:$B$762,MATCH(G762,CBIC_Late_Fee_Relief_Windows_1!$I$100:$I$762,0))</f>
        <v>#NAME?</v>
      </c>
    </row>
    <row r="763" spans="1:9" x14ac:dyDescent="0.55000000000000004">
      <c r="A763" t="str">
        <f>TEST_DATA!A763</f>
        <v>27AAAAA0763Z5</v>
      </c>
      <c r="B763" t="str">
        <f>TEST_DATA!B763</f>
        <v>Apr-2020</v>
      </c>
      <c r="C763">
        <f>TEST_DATA!C763</f>
        <v>44242</v>
      </c>
      <c r="D763" t="str">
        <f>TEST_DATA!D763</f>
        <v>NON-NIL</v>
      </c>
      <c r="E763">
        <f>TEST_DATA!E763</f>
        <v>1286</v>
      </c>
      <c r="F763">
        <f>MIN(E763*76300,10000)</f>
        <v>10000</v>
      </c>
      <c r="G763" t="e">
        <f ca="1">_xludf.MINIFS(CBIC_Late_Fee_Relief_Windows_1!$I$100:$I$763,CBIC_Late_Fee_Relief_Windows_1!$D$100:$D$763,"&lt;="&amp;B763,CBIC_Late_Fee_Relief_Windows_1!$E$100:$E$763,"&gt;="&amp;B763,CBIC_Late_Fee_Relief_Windows_1!$F$100:$F$763,"&lt;="&amp;C763,CBIC_Late_Fee_Relief_Windows_1!$G$100:$G$763,"&gt;="&amp;C763,CBIC_Late_Fee_Relief_Windows_1!$H$100:$H$763,D763)</f>
        <v>#NAME?</v>
      </c>
      <c r="H763" t="e">
        <f t="shared" ca="1" si="11"/>
        <v>#NAME?</v>
      </c>
      <c r="I763" t="e">
        <f ca="1">INDEX(CBIC_Late_Fee_Relief_Windows_1!$B$100:$B$763,MATCH(G763,CBIC_Late_Fee_Relief_Windows_1!$I$100:$I$763,0))</f>
        <v>#NAME?</v>
      </c>
    </row>
    <row r="764" spans="1:9" x14ac:dyDescent="0.55000000000000004">
      <c r="A764" t="str">
        <f>TEST_DATA!A764</f>
        <v>27AAAAA0764Z5</v>
      </c>
      <c r="B764" t="str">
        <f>TEST_DATA!B764</f>
        <v>Dec-2017</v>
      </c>
      <c r="C764">
        <f>TEST_DATA!C764</f>
        <v>43732</v>
      </c>
      <c r="D764" t="str">
        <f>TEST_DATA!D764</f>
        <v>NON-NIL</v>
      </c>
      <c r="E764">
        <f>TEST_DATA!E764</f>
        <v>1193</v>
      </c>
      <c r="F764">
        <f>MIN(E764*76400,10000)</f>
        <v>10000</v>
      </c>
      <c r="G764" t="e">
        <f ca="1">_xludf.MINIFS(CBIC_Late_Fee_Relief_Windows_1!$I$100:$I$764,CBIC_Late_Fee_Relief_Windows_1!$D$100:$D$764,"&lt;="&amp;B764,CBIC_Late_Fee_Relief_Windows_1!$E$100:$E$764,"&gt;="&amp;B764,CBIC_Late_Fee_Relief_Windows_1!$F$100:$F$764,"&lt;="&amp;C764,CBIC_Late_Fee_Relief_Windows_1!$G$100:$G$764,"&gt;="&amp;C764,CBIC_Late_Fee_Relief_Windows_1!$H$100:$H$764,D764)</f>
        <v>#NAME?</v>
      </c>
      <c r="H764" t="e">
        <f t="shared" ca="1" si="11"/>
        <v>#NAME?</v>
      </c>
      <c r="I764" t="e">
        <f ca="1">INDEX(CBIC_Late_Fee_Relief_Windows_1!$B$100:$B$764,MATCH(G764,CBIC_Late_Fee_Relief_Windows_1!$I$100:$I$764,0))</f>
        <v>#NAME?</v>
      </c>
    </row>
    <row r="765" spans="1:9" x14ac:dyDescent="0.55000000000000004">
      <c r="A765" t="str">
        <f>TEST_DATA!A765</f>
        <v>27AAAAA0765Z5</v>
      </c>
      <c r="B765" t="str">
        <f>TEST_DATA!B765</f>
        <v>Jan-2021</v>
      </c>
      <c r="C765">
        <f>TEST_DATA!C765</f>
        <v>45477</v>
      </c>
      <c r="D765" t="str">
        <f>TEST_DATA!D765</f>
        <v>NIL</v>
      </c>
      <c r="E765">
        <f>TEST_DATA!E765</f>
        <v>1334</v>
      </c>
      <c r="F765">
        <f>MIN(E765*76500,10000)</f>
        <v>10000</v>
      </c>
      <c r="G765" t="e">
        <f ca="1">_xludf.MINIFS(CBIC_Late_Fee_Relief_Windows_1!$I$100:$I$765,CBIC_Late_Fee_Relief_Windows_1!$D$100:$D$765,"&lt;="&amp;B765,CBIC_Late_Fee_Relief_Windows_1!$E$100:$E$765,"&gt;="&amp;B765,CBIC_Late_Fee_Relief_Windows_1!$F$100:$F$765,"&lt;="&amp;C765,CBIC_Late_Fee_Relief_Windows_1!$G$100:$G$765,"&gt;="&amp;C765,CBIC_Late_Fee_Relief_Windows_1!$H$100:$H$765,D765)</f>
        <v>#NAME?</v>
      </c>
      <c r="H765" t="e">
        <f t="shared" ca="1" si="11"/>
        <v>#NAME?</v>
      </c>
      <c r="I765" t="e">
        <f ca="1">INDEX(CBIC_Late_Fee_Relief_Windows_1!$B$100:$B$765,MATCH(G765,CBIC_Late_Fee_Relief_Windows_1!$I$100:$I$765,0))</f>
        <v>#NAME?</v>
      </c>
    </row>
    <row r="766" spans="1:9" x14ac:dyDescent="0.55000000000000004">
      <c r="A766" t="str">
        <f>TEST_DATA!A766</f>
        <v>27AAAAA0766Z5</v>
      </c>
      <c r="B766" t="str">
        <f>TEST_DATA!B766</f>
        <v>Jul-2018</v>
      </c>
      <c r="C766">
        <f>TEST_DATA!C766</f>
        <v>43491</v>
      </c>
      <c r="D766" t="str">
        <f>TEST_DATA!D766</f>
        <v>NON-NIL</v>
      </c>
      <c r="E766">
        <f>TEST_DATA!E766</f>
        <v>1495</v>
      </c>
      <c r="F766">
        <f>MIN(E766*76600,10000)</f>
        <v>10000</v>
      </c>
      <c r="G766" t="e">
        <f ca="1">_xludf.MINIFS(CBIC_Late_Fee_Relief_Windows_1!$I$100:$I$766,CBIC_Late_Fee_Relief_Windows_1!$D$100:$D$766,"&lt;="&amp;B766,CBIC_Late_Fee_Relief_Windows_1!$E$100:$E$766,"&gt;="&amp;B766,CBIC_Late_Fee_Relief_Windows_1!$F$100:$F$766,"&lt;="&amp;C766,CBIC_Late_Fee_Relief_Windows_1!$G$100:$G$766,"&gt;="&amp;C766,CBIC_Late_Fee_Relief_Windows_1!$H$100:$H$766,D766)</f>
        <v>#NAME?</v>
      </c>
      <c r="H766" t="e">
        <f t="shared" ca="1" si="11"/>
        <v>#NAME?</v>
      </c>
      <c r="I766" t="e">
        <f ca="1">INDEX(CBIC_Late_Fee_Relief_Windows_1!$B$100:$B$766,MATCH(G766,CBIC_Late_Fee_Relief_Windows_1!$I$100:$I$766,0))</f>
        <v>#NAME?</v>
      </c>
    </row>
    <row r="767" spans="1:9" x14ac:dyDescent="0.55000000000000004">
      <c r="A767" t="str">
        <f>TEST_DATA!A767</f>
        <v>27AAAAA0767Z5</v>
      </c>
      <c r="B767" t="str">
        <f>TEST_DATA!B767</f>
        <v>Oct-2017</v>
      </c>
      <c r="C767">
        <f>TEST_DATA!C767</f>
        <v>44071</v>
      </c>
      <c r="D767" t="str">
        <f>TEST_DATA!D767</f>
        <v>NIL</v>
      </c>
      <c r="E767">
        <f>TEST_DATA!E767</f>
        <v>2425</v>
      </c>
      <c r="F767">
        <f>MIN(E767*76700,10000)</f>
        <v>10000</v>
      </c>
      <c r="G767" t="e">
        <f ca="1">_xludf.MINIFS(CBIC_Late_Fee_Relief_Windows_1!$I$100:$I$767,CBIC_Late_Fee_Relief_Windows_1!$D$100:$D$767,"&lt;="&amp;B767,CBIC_Late_Fee_Relief_Windows_1!$E$100:$E$767,"&gt;="&amp;B767,CBIC_Late_Fee_Relief_Windows_1!$F$100:$F$767,"&lt;="&amp;C767,CBIC_Late_Fee_Relief_Windows_1!$G$100:$G$767,"&gt;="&amp;C767,CBIC_Late_Fee_Relief_Windows_1!$H$100:$H$767,D767)</f>
        <v>#NAME?</v>
      </c>
      <c r="H767" t="e">
        <f t="shared" ca="1" si="11"/>
        <v>#NAME?</v>
      </c>
      <c r="I767" t="e">
        <f ca="1">INDEX(CBIC_Late_Fee_Relief_Windows_1!$B$100:$B$767,MATCH(G767,CBIC_Late_Fee_Relief_Windows_1!$I$100:$I$767,0))</f>
        <v>#NAME?</v>
      </c>
    </row>
    <row r="768" spans="1:9" x14ac:dyDescent="0.55000000000000004">
      <c r="A768" t="str">
        <f>TEST_DATA!A768</f>
        <v>27AAAAA0768Z5</v>
      </c>
      <c r="B768" t="str">
        <f>TEST_DATA!B768</f>
        <v>Dec-2019</v>
      </c>
      <c r="C768">
        <f>TEST_DATA!C768</f>
        <v>44202</v>
      </c>
      <c r="D768" t="str">
        <f>TEST_DATA!D768</f>
        <v>NIL</v>
      </c>
      <c r="E768">
        <f>TEST_DATA!E768</f>
        <v>2978</v>
      </c>
      <c r="F768">
        <f>MIN(E768*76800,10000)</f>
        <v>10000</v>
      </c>
      <c r="G768" t="e">
        <f ca="1">_xludf.MINIFS(CBIC_Late_Fee_Relief_Windows_1!$I$100:$I$768,CBIC_Late_Fee_Relief_Windows_1!$D$100:$D$768,"&lt;="&amp;B768,CBIC_Late_Fee_Relief_Windows_1!$E$100:$E$768,"&gt;="&amp;B768,CBIC_Late_Fee_Relief_Windows_1!$F$100:$F$768,"&lt;="&amp;C768,CBIC_Late_Fee_Relief_Windows_1!$G$100:$G$768,"&gt;="&amp;C768,CBIC_Late_Fee_Relief_Windows_1!$H$100:$H$768,D768)</f>
        <v>#NAME?</v>
      </c>
      <c r="H768" t="e">
        <f t="shared" ca="1" si="11"/>
        <v>#NAME?</v>
      </c>
      <c r="I768" t="e">
        <f ca="1">INDEX(CBIC_Late_Fee_Relief_Windows_1!$B$100:$B$768,MATCH(G768,CBIC_Late_Fee_Relief_Windows_1!$I$100:$I$768,0))</f>
        <v>#NAME?</v>
      </c>
    </row>
    <row r="769" spans="1:9" x14ac:dyDescent="0.55000000000000004">
      <c r="A769" t="str">
        <f>TEST_DATA!A769</f>
        <v>27AAAAA0769Z5</v>
      </c>
      <c r="B769" t="str">
        <f>TEST_DATA!B769</f>
        <v>Sep-2018</v>
      </c>
      <c r="C769">
        <f>TEST_DATA!C769</f>
        <v>44367</v>
      </c>
      <c r="D769" t="str">
        <f>TEST_DATA!D769</f>
        <v>NIL</v>
      </c>
      <c r="E769">
        <f>TEST_DATA!E769</f>
        <v>1795</v>
      </c>
      <c r="F769">
        <f>MIN(E769*76900,10000)</f>
        <v>10000</v>
      </c>
      <c r="G769" t="e">
        <f ca="1">_xludf.MINIFS(CBIC_Late_Fee_Relief_Windows_1!$I$100:$I$769,CBIC_Late_Fee_Relief_Windows_1!$D$100:$D$769,"&lt;="&amp;B769,CBIC_Late_Fee_Relief_Windows_1!$E$100:$E$769,"&gt;="&amp;B769,CBIC_Late_Fee_Relief_Windows_1!$F$100:$F$769,"&lt;="&amp;C769,CBIC_Late_Fee_Relief_Windows_1!$G$100:$G$769,"&gt;="&amp;C769,CBIC_Late_Fee_Relief_Windows_1!$H$100:$H$769,D769)</f>
        <v>#NAME?</v>
      </c>
      <c r="H769" t="e">
        <f t="shared" ca="1" si="11"/>
        <v>#NAME?</v>
      </c>
      <c r="I769" t="e">
        <f ca="1">INDEX(CBIC_Late_Fee_Relief_Windows_1!$B$100:$B$769,MATCH(G769,CBIC_Late_Fee_Relief_Windows_1!$I$100:$I$769,0))</f>
        <v>#NAME?</v>
      </c>
    </row>
    <row r="770" spans="1:9" x14ac:dyDescent="0.55000000000000004">
      <c r="A770" t="str">
        <f>TEST_DATA!A770</f>
        <v>27AAAAA0770Z5</v>
      </c>
      <c r="B770" t="str">
        <f>TEST_DATA!B770</f>
        <v>Apr-2021</v>
      </c>
      <c r="C770">
        <f>TEST_DATA!C770</f>
        <v>44659</v>
      </c>
      <c r="D770" t="str">
        <f>TEST_DATA!D770</f>
        <v>NIL</v>
      </c>
      <c r="E770">
        <f>TEST_DATA!E770</f>
        <v>1675</v>
      </c>
      <c r="F770">
        <f>MIN(E770*77000,10000)</f>
        <v>10000</v>
      </c>
      <c r="G770" t="e">
        <f ca="1">_xludf.MINIFS(CBIC_Late_Fee_Relief_Windows_1!$I$100:$I$770,CBIC_Late_Fee_Relief_Windows_1!$D$100:$D$770,"&lt;="&amp;B770,CBIC_Late_Fee_Relief_Windows_1!$E$100:$E$770,"&gt;="&amp;B770,CBIC_Late_Fee_Relief_Windows_1!$F$100:$F$770,"&lt;="&amp;C770,CBIC_Late_Fee_Relief_Windows_1!$G$100:$G$770,"&gt;="&amp;C770,CBIC_Late_Fee_Relief_Windows_1!$H$100:$H$770,D770)</f>
        <v>#NAME?</v>
      </c>
      <c r="H770" t="e">
        <f t="shared" ref="H770:H833" ca="1" si="12">MIN(F770,G770)</f>
        <v>#NAME?</v>
      </c>
      <c r="I770" t="e">
        <f ca="1">INDEX(CBIC_Late_Fee_Relief_Windows_1!$B$100:$B$770,MATCH(G770,CBIC_Late_Fee_Relief_Windows_1!$I$100:$I$770,0))</f>
        <v>#NAME?</v>
      </c>
    </row>
    <row r="771" spans="1:9" x14ac:dyDescent="0.55000000000000004">
      <c r="A771" t="str">
        <f>TEST_DATA!A771</f>
        <v>27AAAAA0771Z5</v>
      </c>
      <c r="B771" t="str">
        <f>TEST_DATA!B771</f>
        <v>Jun-2020</v>
      </c>
      <c r="C771">
        <f>TEST_DATA!C771</f>
        <v>44853</v>
      </c>
      <c r="D771" t="str">
        <f>TEST_DATA!D771</f>
        <v>NIL</v>
      </c>
      <c r="E771">
        <f>TEST_DATA!E771</f>
        <v>2594</v>
      </c>
      <c r="F771">
        <f>MIN(E771*77100,10000)</f>
        <v>10000</v>
      </c>
      <c r="G771" t="e">
        <f ca="1">_xludf.MINIFS(CBIC_Late_Fee_Relief_Windows_1!$I$100:$I$771,CBIC_Late_Fee_Relief_Windows_1!$D$100:$D$771,"&lt;="&amp;B771,CBIC_Late_Fee_Relief_Windows_1!$E$100:$E$771,"&gt;="&amp;B771,CBIC_Late_Fee_Relief_Windows_1!$F$100:$F$771,"&lt;="&amp;C771,CBIC_Late_Fee_Relief_Windows_1!$G$100:$G$771,"&gt;="&amp;C771,CBIC_Late_Fee_Relief_Windows_1!$H$100:$H$771,D771)</f>
        <v>#NAME?</v>
      </c>
      <c r="H771" t="e">
        <f t="shared" ca="1" si="12"/>
        <v>#NAME?</v>
      </c>
      <c r="I771" t="e">
        <f ca="1">INDEX(CBIC_Late_Fee_Relief_Windows_1!$B$100:$B$771,MATCH(G771,CBIC_Late_Fee_Relief_Windows_1!$I$100:$I$771,0))</f>
        <v>#NAME?</v>
      </c>
    </row>
    <row r="772" spans="1:9" x14ac:dyDescent="0.55000000000000004">
      <c r="A772" t="str">
        <f>TEST_DATA!A772</f>
        <v>27AAAAA0772Z5</v>
      </c>
      <c r="B772" t="str">
        <f>TEST_DATA!B772</f>
        <v>Apr-2018</v>
      </c>
      <c r="C772">
        <f>TEST_DATA!C772</f>
        <v>43412</v>
      </c>
      <c r="D772" t="str">
        <f>TEST_DATA!D772</f>
        <v>NON-NIL</v>
      </c>
      <c r="E772">
        <f>TEST_DATA!E772</f>
        <v>2697</v>
      </c>
      <c r="F772">
        <f>MIN(E772*77200,10000)</f>
        <v>10000</v>
      </c>
      <c r="G772" t="e">
        <f ca="1">_xludf.MINIFS(CBIC_Late_Fee_Relief_Windows_1!$I$100:$I$772,CBIC_Late_Fee_Relief_Windows_1!$D$100:$D$772,"&lt;="&amp;B772,CBIC_Late_Fee_Relief_Windows_1!$E$100:$E$772,"&gt;="&amp;B772,CBIC_Late_Fee_Relief_Windows_1!$F$100:$F$772,"&lt;="&amp;C772,CBIC_Late_Fee_Relief_Windows_1!$G$100:$G$772,"&gt;="&amp;C772,CBIC_Late_Fee_Relief_Windows_1!$H$100:$H$772,D772)</f>
        <v>#NAME?</v>
      </c>
      <c r="H772" t="e">
        <f t="shared" ca="1" si="12"/>
        <v>#NAME?</v>
      </c>
      <c r="I772" t="e">
        <f ca="1">INDEX(CBIC_Late_Fee_Relief_Windows_1!$B$100:$B$772,MATCH(G772,CBIC_Late_Fee_Relief_Windows_1!$I$100:$I$772,0))</f>
        <v>#NAME?</v>
      </c>
    </row>
    <row r="773" spans="1:9" x14ac:dyDescent="0.55000000000000004">
      <c r="A773" t="str">
        <f>TEST_DATA!A773</f>
        <v>27AAAAA0773Z5</v>
      </c>
      <c r="B773" t="str">
        <f>TEST_DATA!B773</f>
        <v>Nov-2017</v>
      </c>
      <c r="C773">
        <f>TEST_DATA!C773</f>
        <v>44381</v>
      </c>
      <c r="D773" t="str">
        <f>TEST_DATA!D773</f>
        <v>NON-NIL</v>
      </c>
      <c r="E773">
        <f>TEST_DATA!E773</f>
        <v>1544</v>
      </c>
      <c r="F773">
        <f>MIN(E773*77300,10000)</f>
        <v>10000</v>
      </c>
      <c r="G773" t="e">
        <f ca="1">_xludf.MINIFS(CBIC_Late_Fee_Relief_Windows_1!$I$100:$I$773,CBIC_Late_Fee_Relief_Windows_1!$D$100:$D$773,"&lt;="&amp;B773,CBIC_Late_Fee_Relief_Windows_1!$E$100:$E$773,"&gt;="&amp;B773,CBIC_Late_Fee_Relief_Windows_1!$F$100:$F$773,"&lt;="&amp;C773,CBIC_Late_Fee_Relief_Windows_1!$G$100:$G$773,"&gt;="&amp;C773,CBIC_Late_Fee_Relief_Windows_1!$H$100:$H$773,D773)</f>
        <v>#NAME?</v>
      </c>
      <c r="H773" t="e">
        <f t="shared" ca="1" si="12"/>
        <v>#NAME?</v>
      </c>
      <c r="I773" t="e">
        <f ca="1">INDEX(CBIC_Late_Fee_Relief_Windows_1!$B$100:$B$773,MATCH(G773,CBIC_Late_Fee_Relief_Windows_1!$I$100:$I$773,0))</f>
        <v>#NAME?</v>
      </c>
    </row>
    <row r="774" spans="1:9" x14ac:dyDescent="0.55000000000000004">
      <c r="A774" t="str">
        <f>TEST_DATA!A774</f>
        <v>27AAAAA0774Z5</v>
      </c>
      <c r="B774" t="str">
        <f>TEST_DATA!B774</f>
        <v>Sep-2017</v>
      </c>
      <c r="C774">
        <f>TEST_DATA!C774</f>
        <v>43836</v>
      </c>
      <c r="D774" t="str">
        <f>TEST_DATA!D774</f>
        <v>NON-NIL</v>
      </c>
      <c r="E774">
        <f>TEST_DATA!E774</f>
        <v>2384</v>
      </c>
      <c r="F774">
        <f>MIN(E774*77400,10000)</f>
        <v>10000</v>
      </c>
      <c r="G774" t="e">
        <f ca="1">_xludf.MINIFS(CBIC_Late_Fee_Relief_Windows_1!$I$100:$I$774,CBIC_Late_Fee_Relief_Windows_1!$D$100:$D$774,"&lt;="&amp;B774,CBIC_Late_Fee_Relief_Windows_1!$E$100:$E$774,"&gt;="&amp;B774,CBIC_Late_Fee_Relief_Windows_1!$F$100:$F$774,"&lt;="&amp;C774,CBIC_Late_Fee_Relief_Windows_1!$G$100:$G$774,"&gt;="&amp;C774,CBIC_Late_Fee_Relief_Windows_1!$H$100:$H$774,D774)</f>
        <v>#NAME?</v>
      </c>
      <c r="H774" t="e">
        <f t="shared" ca="1" si="12"/>
        <v>#NAME?</v>
      </c>
      <c r="I774" t="e">
        <f ca="1">INDEX(CBIC_Late_Fee_Relief_Windows_1!$B$100:$B$774,MATCH(G774,CBIC_Late_Fee_Relief_Windows_1!$I$100:$I$774,0))</f>
        <v>#NAME?</v>
      </c>
    </row>
    <row r="775" spans="1:9" x14ac:dyDescent="0.55000000000000004">
      <c r="A775" t="str">
        <f>TEST_DATA!A775</f>
        <v>27AAAAA0775Z5</v>
      </c>
      <c r="B775" t="str">
        <f>TEST_DATA!B775</f>
        <v>Jul-2018</v>
      </c>
      <c r="C775">
        <f>TEST_DATA!C775</f>
        <v>44011</v>
      </c>
      <c r="D775" t="str">
        <f>TEST_DATA!D775</f>
        <v>NON-NIL</v>
      </c>
      <c r="E775">
        <f>TEST_DATA!E775</f>
        <v>2226</v>
      </c>
      <c r="F775">
        <f>MIN(E775*77500,10000)</f>
        <v>10000</v>
      </c>
      <c r="G775" t="e">
        <f ca="1">_xludf.MINIFS(CBIC_Late_Fee_Relief_Windows_1!$I$100:$I$775,CBIC_Late_Fee_Relief_Windows_1!$D$100:$D$775,"&lt;="&amp;B775,CBIC_Late_Fee_Relief_Windows_1!$E$100:$E$775,"&gt;="&amp;B775,CBIC_Late_Fee_Relief_Windows_1!$F$100:$F$775,"&lt;="&amp;C775,CBIC_Late_Fee_Relief_Windows_1!$G$100:$G$775,"&gt;="&amp;C775,CBIC_Late_Fee_Relief_Windows_1!$H$100:$H$775,D775)</f>
        <v>#NAME?</v>
      </c>
      <c r="H775" t="e">
        <f t="shared" ca="1" si="12"/>
        <v>#NAME?</v>
      </c>
      <c r="I775" t="e">
        <f ca="1">INDEX(CBIC_Late_Fee_Relief_Windows_1!$B$100:$B$775,MATCH(G775,CBIC_Late_Fee_Relief_Windows_1!$I$100:$I$775,0))</f>
        <v>#NAME?</v>
      </c>
    </row>
    <row r="776" spans="1:9" x14ac:dyDescent="0.55000000000000004">
      <c r="A776" t="str">
        <f>TEST_DATA!A776</f>
        <v>27AAAAA0776Z5</v>
      </c>
      <c r="B776" t="str">
        <f>TEST_DATA!B776</f>
        <v>Aug-2017</v>
      </c>
      <c r="C776">
        <f>TEST_DATA!C776</f>
        <v>44536</v>
      </c>
      <c r="D776" t="str">
        <f>TEST_DATA!D776</f>
        <v>NON-NIL</v>
      </c>
      <c r="E776">
        <f>TEST_DATA!E776</f>
        <v>2873</v>
      </c>
      <c r="F776">
        <f>MIN(E776*77600,10000)</f>
        <v>10000</v>
      </c>
      <c r="G776" t="e">
        <f ca="1">_xludf.MINIFS(CBIC_Late_Fee_Relief_Windows_1!$I$100:$I$776,CBIC_Late_Fee_Relief_Windows_1!$D$100:$D$776,"&lt;="&amp;B776,CBIC_Late_Fee_Relief_Windows_1!$E$100:$E$776,"&gt;="&amp;B776,CBIC_Late_Fee_Relief_Windows_1!$F$100:$F$776,"&lt;="&amp;C776,CBIC_Late_Fee_Relief_Windows_1!$G$100:$G$776,"&gt;="&amp;C776,CBIC_Late_Fee_Relief_Windows_1!$H$100:$H$776,D776)</f>
        <v>#NAME?</v>
      </c>
      <c r="H776" t="e">
        <f t="shared" ca="1" si="12"/>
        <v>#NAME?</v>
      </c>
      <c r="I776" t="e">
        <f ca="1">INDEX(CBIC_Late_Fee_Relief_Windows_1!$B$100:$B$776,MATCH(G776,CBIC_Late_Fee_Relief_Windows_1!$I$100:$I$776,0))</f>
        <v>#NAME?</v>
      </c>
    </row>
    <row r="777" spans="1:9" x14ac:dyDescent="0.55000000000000004">
      <c r="A777" t="str">
        <f>TEST_DATA!A777</f>
        <v>27AAAAA0777Z5</v>
      </c>
      <c r="B777" t="str">
        <f>TEST_DATA!B777</f>
        <v>Dec-2024</v>
      </c>
      <c r="C777">
        <f>TEST_DATA!C777</f>
        <v>45665</v>
      </c>
      <c r="D777" t="str">
        <f>TEST_DATA!D777</f>
        <v>NIL</v>
      </c>
      <c r="E777">
        <f>TEST_DATA!E777</f>
        <v>447</v>
      </c>
      <c r="F777">
        <f>MIN(E777*77700,10000)</f>
        <v>10000</v>
      </c>
      <c r="G777" t="e">
        <f ca="1">_xludf.MINIFS(CBIC_Late_Fee_Relief_Windows_1!$I$100:$I$777,CBIC_Late_Fee_Relief_Windows_1!$D$100:$D$777,"&lt;="&amp;B777,CBIC_Late_Fee_Relief_Windows_1!$E$100:$E$777,"&gt;="&amp;B777,CBIC_Late_Fee_Relief_Windows_1!$F$100:$F$777,"&lt;="&amp;C777,CBIC_Late_Fee_Relief_Windows_1!$G$100:$G$777,"&gt;="&amp;C777,CBIC_Late_Fee_Relief_Windows_1!$H$100:$H$777,D777)</f>
        <v>#NAME?</v>
      </c>
      <c r="H777" t="e">
        <f t="shared" ca="1" si="12"/>
        <v>#NAME?</v>
      </c>
      <c r="I777" t="e">
        <f ca="1">INDEX(CBIC_Late_Fee_Relief_Windows_1!$B$100:$B$777,MATCH(G777,CBIC_Late_Fee_Relief_Windows_1!$I$100:$I$777,0))</f>
        <v>#NAME?</v>
      </c>
    </row>
    <row r="778" spans="1:9" x14ac:dyDescent="0.55000000000000004">
      <c r="A778" t="str">
        <f>TEST_DATA!A778</f>
        <v>27AAAAA0778Z5</v>
      </c>
      <c r="B778" t="str">
        <f>TEST_DATA!B778</f>
        <v>Mar-2021</v>
      </c>
      <c r="C778">
        <f>TEST_DATA!C778</f>
        <v>44482</v>
      </c>
      <c r="D778" t="str">
        <f>TEST_DATA!D778</f>
        <v>NON-NIL</v>
      </c>
      <c r="E778">
        <f>TEST_DATA!E778</f>
        <v>681</v>
      </c>
      <c r="F778">
        <f>MIN(E778*77800,10000)</f>
        <v>10000</v>
      </c>
      <c r="G778" t="e">
        <f ca="1">_xludf.MINIFS(CBIC_Late_Fee_Relief_Windows_1!$I$100:$I$778,CBIC_Late_Fee_Relief_Windows_1!$D$100:$D$778,"&lt;="&amp;B778,CBIC_Late_Fee_Relief_Windows_1!$E$100:$E$778,"&gt;="&amp;B778,CBIC_Late_Fee_Relief_Windows_1!$F$100:$F$778,"&lt;="&amp;C778,CBIC_Late_Fee_Relief_Windows_1!$G$100:$G$778,"&gt;="&amp;C778,CBIC_Late_Fee_Relief_Windows_1!$H$100:$H$778,D778)</f>
        <v>#NAME?</v>
      </c>
      <c r="H778" t="e">
        <f t="shared" ca="1" si="12"/>
        <v>#NAME?</v>
      </c>
      <c r="I778" t="e">
        <f ca="1">INDEX(CBIC_Late_Fee_Relief_Windows_1!$B$100:$B$778,MATCH(G778,CBIC_Late_Fee_Relief_Windows_1!$I$100:$I$778,0))</f>
        <v>#NAME?</v>
      </c>
    </row>
    <row r="779" spans="1:9" x14ac:dyDescent="0.55000000000000004">
      <c r="A779" t="str">
        <f>TEST_DATA!A779</f>
        <v>27AAAAA0779Z5</v>
      </c>
      <c r="B779" t="str">
        <f>TEST_DATA!B779</f>
        <v>May-2020</v>
      </c>
      <c r="C779">
        <f>TEST_DATA!C779</f>
        <v>43921</v>
      </c>
      <c r="D779" t="str">
        <f>TEST_DATA!D779</f>
        <v>NON-NIL</v>
      </c>
      <c r="E779">
        <f>TEST_DATA!E779</f>
        <v>1358</v>
      </c>
      <c r="F779">
        <f>MIN(E779*77900,10000)</f>
        <v>10000</v>
      </c>
      <c r="G779" t="e">
        <f ca="1">_xludf.MINIFS(CBIC_Late_Fee_Relief_Windows_1!$I$100:$I$779,CBIC_Late_Fee_Relief_Windows_1!$D$100:$D$779,"&lt;="&amp;B779,CBIC_Late_Fee_Relief_Windows_1!$E$100:$E$779,"&gt;="&amp;B779,CBIC_Late_Fee_Relief_Windows_1!$F$100:$F$779,"&lt;="&amp;C779,CBIC_Late_Fee_Relief_Windows_1!$G$100:$G$779,"&gt;="&amp;C779,CBIC_Late_Fee_Relief_Windows_1!$H$100:$H$779,D779)</f>
        <v>#NAME?</v>
      </c>
      <c r="H779" t="e">
        <f t="shared" ca="1" si="12"/>
        <v>#NAME?</v>
      </c>
      <c r="I779" t="e">
        <f ca="1">INDEX(CBIC_Late_Fee_Relief_Windows_1!$B$100:$B$779,MATCH(G779,CBIC_Late_Fee_Relief_Windows_1!$I$100:$I$779,0))</f>
        <v>#NAME?</v>
      </c>
    </row>
    <row r="780" spans="1:9" x14ac:dyDescent="0.55000000000000004">
      <c r="A780" t="str">
        <f>TEST_DATA!A780</f>
        <v>27AAAAA0780Z5</v>
      </c>
      <c r="B780" t="str">
        <f>TEST_DATA!B780</f>
        <v>Apr-2021</v>
      </c>
      <c r="C780">
        <f>TEST_DATA!C780</f>
        <v>45229</v>
      </c>
      <c r="D780" t="str">
        <f>TEST_DATA!D780</f>
        <v>NIL</v>
      </c>
      <c r="E780">
        <f>TEST_DATA!E780</f>
        <v>43</v>
      </c>
      <c r="F780">
        <f>MIN(E780*78000,10000)</f>
        <v>10000</v>
      </c>
      <c r="G780" t="e">
        <f ca="1">_xludf.MINIFS(CBIC_Late_Fee_Relief_Windows_1!$I$100:$I$780,CBIC_Late_Fee_Relief_Windows_1!$D$100:$D$780,"&lt;="&amp;B780,CBIC_Late_Fee_Relief_Windows_1!$E$100:$E$780,"&gt;="&amp;B780,CBIC_Late_Fee_Relief_Windows_1!$F$100:$F$780,"&lt;="&amp;C780,CBIC_Late_Fee_Relief_Windows_1!$G$100:$G$780,"&gt;="&amp;C780,CBIC_Late_Fee_Relief_Windows_1!$H$100:$H$780,D780)</f>
        <v>#NAME?</v>
      </c>
      <c r="H780" t="e">
        <f t="shared" ca="1" si="12"/>
        <v>#NAME?</v>
      </c>
      <c r="I780" t="e">
        <f ca="1">INDEX(CBIC_Late_Fee_Relief_Windows_1!$B$100:$B$780,MATCH(G780,CBIC_Late_Fee_Relief_Windows_1!$I$100:$I$780,0))</f>
        <v>#NAME?</v>
      </c>
    </row>
    <row r="781" spans="1:9" x14ac:dyDescent="0.55000000000000004">
      <c r="A781" t="str">
        <f>TEST_DATA!A781</f>
        <v>27AAAAA0781Z5</v>
      </c>
      <c r="B781" t="str">
        <f>TEST_DATA!B781</f>
        <v>Oct-2017</v>
      </c>
      <c r="C781">
        <f>TEST_DATA!C781</f>
        <v>43446</v>
      </c>
      <c r="D781" t="str">
        <f>TEST_DATA!D781</f>
        <v>NIL</v>
      </c>
      <c r="E781">
        <f>TEST_DATA!E781</f>
        <v>2091</v>
      </c>
      <c r="F781">
        <f>MIN(E781*78100,10000)</f>
        <v>10000</v>
      </c>
      <c r="G781" t="e">
        <f ca="1">_xludf.MINIFS(CBIC_Late_Fee_Relief_Windows_1!$I$100:$I$781,CBIC_Late_Fee_Relief_Windows_1!$D$100:$D$781,"&lt;="&amp;B781,CBIC_Late_Fee_Relief_Windows_1!$E$100:$E$781,"&gt;="&amp;B781,CBIC_Late_Fee_Relief_Windows_1!$F$100:$F$781,"&lt;="&amp;C781,CBIC_Late_Fee_Relief_Windows_1!$G$100:$G$781,"&gt;="&amp;C781,CBIC_Late_Fee_Relief_Windows_1!$H$100:$H$781,D781)</f>
        <v>#NAME?</v>
      </c>
      <c r="H781" t="e">
        <f t="shared" ca="1" si="12"/>
        <v>#NAME?</v>
      </c>
      <c r="I781" t="e">
        <f ca="1">INDEX(CBIC_Late_Fee_Relief_Windows_1!$B$100:$B$781,MATCH(G781,CBIC_Late_Fee_Relief_Windows_1!$I$100:$I$781,0))</f>
        <v>#NAME?</v>
      </c>
    </row>
    <row r="782" spans="1:9" x14ac:dyDescent="0.55000000000000004">
      <c r="A782" t="str">
        <f>TEST_DATA!A782</f>
        <v>27AAAAA0782Z5</v>
      </c>
      <c r="B782" t="str">
        <f>TEST_DATA!B782</f>
        <v>Jan-2021</v>
      </c>
      <c r="C782">
        <f>TEST_DATA!C782</f>
        <v>45590</v>
      </c>
      <c r="D782" t="str">
        <f>TEST_DATA!D782</f>
        <v>NIL</v>
      </c>
      <c r="E782">
        <f>TEST_DATA!E782</f>
        <v>1825</v>
      </c>
      <c r="F782">
        <f>MIN(E782*78200,10000)</f>
        <v>10000</v>
      </c>
      <c r="G782" t="e">
        <f ca="1">_xludf.MINIFS(CBIC_Late_Fee_Relief_Windows_1!$I$100:$I$782,CBIC_Late_Fee_Relief_Windows_1!$D$100:$D$782,"&lt;="&amp;B782,CBIC_Late_Fee_Relief_Windows_1!$E$100:$E$782,"&gt;="&amp;B782,CBIC_Late_Fee_Relief_Windows_1!$F$100:$F$782,"&lt;="&amp;C782,CBIC_Late_Fee_Relief_Windows_1!$G$100:$G$782,"&gt;="&amp;C782,CBIC_Late_Fee_Relief_Windows_1!$H$100:$H$782,D782)</f>
        <v>#NAME?</v>
      </c>
      <c r="H782" t="e">
        <f t="shared" ca="1" si="12"/>
        <v>#NAME?</v>
      </c>
      <c r="I782" t="e">
        <f ca="1">INDEX(CBIC_Late_Fee_Relief_Windows_1!$B$100:$B$782,MATCH(G782,CBIC_Late_Fee_Relief_Windows_1!$I$100:$I$782,0))</f>
        <v>#NAME?</v>
      </c>
    </row>
    <row r="783" spans="1:9" x14ac:dyDescent="0.55000000000000004">
      <c r="A783" t="str">
        <f>TEST_DATA!A783</f>
        <v>27AAAAA0783Z5</v>
      </c>
      <c r="B783" t="str">
        <f>TEST_DATA!B783</f>
        <v>Jun-2018</v>
      </c>
      <c r="C783">
        <f>TEST_DATA!C783</f>
        <v>43718</v>
      </c>
      <c r="D783" t="str">
        <f>TEST_DATA!D783</f>
        <v>NON-NIL</v>
      </c>
      <c r="E783">
        <f>TEST_DATA!E783</f>
        <v>2783</v>
      </c>
      <c r="F783">
        <f>MIN(E783*78300,10000)</f>
        <v>10000</v>
      </c>
      <c r="G783" t="e">
        <f ca="1">_xludf.MINIFS(CBIC_Late_Fee_Relief_Windows_1!$I$100:$I$783,CBIC_Late_Fee_Relief_Windows_1!$D$100:$D$783,"&lt;="&amp;B783,CBIC_Late_Fee_Relief_Windows_1!$E$100:$E$783,"&gt;="&amp;B783,CBIC_Late_Fee_Relief_Windows_1!$F$100:$F$783,"&lt;="&amp;C783,CBIC_Late_Fee_Relief_Windows_1!$G$100:$G$783,"&gt;="&amp;C783,CBIC_Late_Fee_Relief_Windows_1!$H$100:$H$783,D783)</f>
        <v>#NAME?</v>
      </c>
      <c r="H783" t="e">
        <f t="shared" ca="1" si="12"/>
        <v>#NAME?</v>
      </c>
      <c r="I783" t="e">
        <f ca="1">INDEX(CBIC_Late_Fee_Relief_Windows_1!$B$100:$B$783,MATCH(G783,CBIC_Late_Fee_Relief_Windows_1!$I$100:$I$783,0))</f>
        <v>#NAME?</v>
      </c>
    </row>
    <row r="784" spans="1:9" x14ac:dyDescent="0.55000000000000004">
      <c r="A784" t="str">
        <f>TEST_DATA!A784</f>
        <v>27AAAAA0784Z5</v>
      </c>
      <c r="B784" t="str">
        <f>TEST_DATA!B784</f>
        <v>Mar-2020</v>
      </c>
      <c r="C784">
        <f>TEST_DATA!C784</f>
        <v>44855</v>
      </c>
      <c r="D784" t="str">
        <f>TEST_DATA!D784</f>
        <v>NIL</v>
      </c>
      <c r="E784">
        <f>TEST_DATA!E784</f>
        <v>1412</v>
      </c>
      <c r="F784">
        <f>MIN(E784*78400,10000)</f>
        <v>10000</v>
      </c>
      <c r="G784" t="e">
        <f ca="1">_xludf.MINIFS(CBIC_Late_Fee_Relief_Windows_1!$I$100:$I$784,CBIC_Late_Fee_Relief_Windows_1!$D$100:$D$784,"&lt;="&amp;B784,CBIC_Late_Fee_Relief_Windows_1!$E$100:$E$784,"&gt;="&amp;B784,CBIC_Late_Fee_Relief_Windows_1!$F$100:$F$784,"&lt;="&amp;C784,CBIC_Late_Fee_Relief_Windows_1!$G$100:$G$784,"&gt;="&amp;C784,CBIC_Late_Fee_Relief_Windows_1!$H$100:$H$784,D784)</f>
        <v>#NAME?</v>
      </c>
      <c r="H784" t="e">
        <f t="shared" ca="1" si="12"/>
        <v>#NAME?</v>
      </c>
      <c r="I784" t="e">
        <f ca="1">INDEX(CBIC_Late_Fee_Relief_Windows_1!$B$100:$B$784,MATCH(G784,CBIC_Late_Fee_Relief_Windows_1!$I$100:$I$784,0))</f>
        <v>#NAME?</v>
      </c>
    </row>
    <row r="785" spans="1:9" x14ac:dyDescent="0.55000000000000004">
      <c r="A785" t="str">
        <f>TEST_DATA!A785</f>
        <v>27AAAAA0785Z5</v>
      </c>
      <c r="B785" t="str">
        <f>TEST_DATA!B785</f>
        <v>Jul-2017</v>
      </c>
      <c r="C785">
        <f>TEST_DATA!C785</f>
        <v>43905</v>
      </c>
      <c r="D785" t="str">
        <f>TEST_DATA!D785</f>
        <v>NIL</v>
      </c>
      <c r="E785">
        <f>TEST_DATA!E785</f>
        <v>1210</v>
      </c>
      <c r="F785">
        <f>MIN(E785*78500,10000)</f>
        <v>10000</v>
      </c>
      <c r="G785" t="e">
        <f ca="1">_xludf.MINIFS(CBIC_Late_Fee_Relief_Windows_1!$I$100:$I$785,CBIC_Late_Fee_Relief_Windows_1!$D$100:$D$785,"&lt;="&amp;B785,CBIC_Late_Fee_Relief_Windows_1!$E$100:$E$785,"&gt;="&amp;B785,CBIC_Late_Fee_Relief_Windows_1!$F$100:$F$785,"&lt;="&amp;C785,CBIC_Late_Fee_Relief_Windows_1!$G$100:$G$785,"&gt;="&amp;C785,CBIC_Late_Fee_Relief_Windows_1!$H$100:$H$785,D785)</f>
        <v>#NAME?</v>
      </c>
      <c r="H785" t="e">
        <f t="shared" ca="1" si="12"/>
        <v>#NAME?</v>
      </c>
      <c r="I785" t="e">
        <f ca="1">INDEX(CBIC_Late_Fee_Relief_Windows_1!$B$100:$B$785,MATCH(G785,CBIC_Late_Fee_Relief_Windows_1!$I$100:$I$785,0))</f>
        <v>#NAME?</v>
      </c>
    </row>
    <row r="786" spans="1:9" x14ac:dyDescent="0.55000000000000004">
      <c r="A786" t="str">
        <f>TEST_DATA!A786</f>
        <v>27AAAAA0786Z5</v>
      </c>
      <c r="B786" t="str">
        <f>TEST_DATA!B786</f>
        <v>Aug-2018</v>
      </c>
      <c r="C786">
        <f>TEST_DATA!C786</f>
        <v>43092</v>
      </c>
      <c r="D786" t="str">
        <f>TEST_DATA!D786</f>
        <v>NIL</v>
      </c>
      <c r="E786">
        <f>TEST_DATA!E786</f>
        <v>2990</v>
      </c>
      <c r="F786">
        <f>MIN(E786*78600,10000)</f>
        <v>10000</v>
      </c>
      <c r="G786" t="e">
        <f ca="1">_xludf.MINIFS(CBIC_Late_Fee_Relief_Windows_1!$I$100:$I$786,CBIC_Late_Fee_Relief_Windows_1!$D$100:$D$786,"&lt;="&amp;B786,CBIC_Late_Fee_Relief_Windows_1!$E$100:$E$786,"&gt;="&amp;B786,CBIC_Late_Fee_Relief_Windows_1!$F$100:$F$786,"&lt;="&amp;C786,CBIC_Late_Fee_Relief_Windows_1!$G$100:$G$786,"&gt;="&amp;C786,CBIC_Late_Fee_Relief_Windows_1!$H$100:$H$786,D786)</f>
        <v>#NAME?</v>
      </c>
      <c r="H786" t="e">
        <f t="shared" ca="1" si="12"/>
        <v>#NAME?</v>
      </c>
      <c r="I786" t="e">
        <f ca="1">INDEX(CBIC_Late_Fee_Relief_Windows_1!$B$100:$B$786,MATCH(G786,CBIC_Late_Fee_Relief_Windows_1!$I$100:$I$786,0))</f>
        <v>#NAME?</v>
      </c>
    </row>
    <row r="787" spans="1:9" x14ac:dyDescent="0.55000000000000004">
      <c r="A787" t="str">
        <f>TEST_DATA!A787</f>
        <v>27AAAAA0787Z5</v>
      </c>
      <c r="B787" t="str">
        <f>TEST_DATA!B787</f>
        <v>Nov-2017</v>
      </c>
      <c r="C787">
        <f>TEST_DATA!C787</f>
        <v>43630</v>
      </c>
      <c r="D787" t="str">
        <f>TEST_DATA!D787</f>
        <v>NON-NIL</v>
      </c>
      <c r="E787">
        <f>TEST_DATA!E787</f>
        <v>1405</v>
      </c>
      <c r="F787">
        <f>MIN(E787*78700,10000)</f>
        <v>10000</v>
      </c>
      <c r="G787" t="e">
        <f ca="1">_xludf.MINIFS(CBIC_Late_Fee_Relief_Windows_1!$I$100:$I$787,CBIC_Late_Fee_Relief_Windows_1!$D$100:$D$787,"&lt;="&amp;B787,CBIC_Late_Fee_Relief_Windows_1!$E$100:$E$787,"&gt;="&amp;B787,CBIC_Late_Fee_Relief_Windows_1!$F$100:$F$787,"&lt;="&amp;C787,CBIC_Late_Fee_Relief_Windows_1!$G$100:$G$787,"&gt;="&amp;C787,CBIC_Late_Fee_Relief_Windows_1!$H$100:$H$787,D787)</f>
        <v>#NAME?</v>
      </c>
      <c r="H787" t="e">
        <f t="shared" ca="1" si="12"/>
        <v>#NAME?</v>
      </c>
      <c r="I787" t="e">
        <f ca="1">INDEX(CBIC_Late_Fee_Relief_Windows_1!$B$100:$B$787,MATCH(G787,CBIC_Late_Fee_Relief_Windows_1!$I$100:$I$787,0))</f>
        <v>#NAME?</v>
      </c>
    </row>
    <row r="788" spans="1:9" x14ac:dyDescent="0.55000000000000004">
      <c r="A788" t="str">
        <f>TEST_DATA!A788</f>
        <v>27AAAAA0788Z5</v>
      </c>
      <c r="B788" t="str">
        <f>TEST_DATA!B788</f>
        <v>Sep-2018</v>
      </c>
      <c r="C788">
        <f>TEST_DATA!C788</f>
        <v>44523</v>
      </c>
      <c r="D788" t="str">
        <f>TEST_DATA!D788</f>
        <v>NIL</v>
      </c>
      <c r="E788">
        <f>TEST_DATA!E788</f>
        <v>2134</v>
      </c>
      <c r="F788">
        <f>MIN(E788*78800,10000)</f>
        <v>10000</v>
      </c>
      <c r="G788" t="e">
        <f ca="1">_xludf.MINIFS(CBIC_Late_Fee_Relief_Windows_1!$I$100:$I$788,CBIC_Late_Fee_Relief_Windows_1!$D$100:$D$788,"&lt;="&amp;B788,CBIC_Late_Fee_Relief_Windows_1!$E$100:$E$788,"&gt;="&amp;B788,CBIC_Late_Fee_Relief_Windows_1!$F$100:$F$788,"&lt;="&amp;C788,CBIC_Late_Fee_Relief_Windows_1!$G$100:$G$788,"&gt;="&amp;C788,CBIC_Late_Fee_Relief_Windows_1!$H$100:$H$788,D788)</f>
        <v>#NAME?</v>
      </c>
      <c r="H788" t="e">
        <f t="shared" ca="1" si="12"/>
        <v>#NAME?</v>
      </c>
      <c r="I788" t="e">
        <f ca="1">INDEX(CBIC_Late_Fee_Relief_Windows_1!$B$100:$B$788,MATCH(G788,CBIC_Late_Fee_Relief_Windows_1!$I$100:$I$788,0))</f>
        <v>#NAME?</v>
      </c>
    </row>
    <row r="789" spans="1:9" x14ac:dyDescent="0.55000000000000004">
      <c r="A789" t="str">
        <f>TEST_DATA!A789</f>
        <v>27AAAAA0789Z5</v>
      </c>
      <c r="B789" t="str">
        <f>TEST_DATA!B789</f>
        <v>Jan-2019</v>
      </c>
      <c r="C789">
        <f>TEST_DATA!C789</f>
        <v>44892</v>
      </c>
      <c r="D789" t="str">
        <f>TEST_DATA!D789</f>
        <v>NON-NIL</v>
      </c>
      <c r="E789">
        <f>TEST_DATA!E789</f>
        <v>399</v>
      </c>
      <c r="F789">
        <f>MIN(E789*78900,10000)</f>
        <v>10000</v>
      </c>
      <c r="G789" t="e">
        <f ca="1">_xludf.MINIFS(CBIC_Late_Fee_Relief_Windows_1!$I$100:$I$789,CBIC_Late_Fee_Relief_Windows_1!$D$100:$D$789,"&lt;="&amp;B789,CBIC_Late_Fee_Relief_Windows_1!$E$100:$E$789,"&gt;="&amp;B789,CBIC_Late_Fee_Relief_Windows_1!$F$100:$F$789,"&lt;="&amp;C789,CBIC_Late_Fee_Relief_Windows_1!$G$100:$G$789,"&gt;="&amp;C789,CBIC_Late_Fee_Relief_Windows_1!$H$100:$H$789,D789)</f>
        <v>#NAME?</v>
      </c>
      <c r="H789" t="e">
        <f t="shared" ca="1" si="12"/>
        <v>#NAME?</v>
      </c>
      <c r="I789" t="e">
        <f ca="1">INDEX(CBIC_Late_Fee_Relief_Windows_1!$B$100:$B$789,MATCH(G789,CBIC_Late_Fee_Relief_Windows_1!$I$100:$I$789,0))</f>
        <v>#NAME?</v>
      </c>
    </row>
    <row r="790" spans="1:9" x14ac:dyDescent="0.55000000000000004">
      <c r="A790" t="str">
        <f>TEST_DATA!A790</f>
        <v>27AAAAA0790Z5</v>
      </c>
      <c r="B790" t="str">
        <f>TEST_DATA!B790</f>
        <v>Sep-2018</v>
      </c>
      <c r="C790">
        <f>TEST_DATA!C790</f>
        <v>44395</v>
      </c>
      <c r="D790" t="str">
        <f>TEST_DATA!D790</f>
        <v>NON-NIL</v>
      </c>
      <c r="E790">
        <f>TEST_DATA!E790</f>
        <v>1306</v>
      </c>
      <c r="F790">
        <f>MIN(E790*79000,10000)</f>
        <v>10000</v>
      </c>
      <c r="G790" t="e">
        <f ca="1">_xludf.MINIFS(CBIC_Late_Fee_Relief_Windows_1!$I$100:$I$790,CBIC_Late_Fee_Relief_Windows_1!$D$100:$D$790,"&lt;="&amp;B790,CBIC_Late_Fee_Relief_Windows_1!$E$100:$E$790,"&gt;="&amp;B790,CBIC_Late_Fee_Relief_Windows_1!$F$100:$F$790,"&lt;="&amp;C790,CBIC_Late_Fee_Relief_Windows_1!$G$100:$G$790,"&gt;="&amp;C790,CBIC_Late_Fee_Relief_Windows_1!$H$100:$H$790,D790)</f>
        <v>#NAME?</v>
      </c>
      <c r="H790" t="e">
        <f t="shared" ca="1" si="12"/>
        <v>#NAME?</v>
      </c>
      <c r="I790" t="e">
        <f ca="1">INDEX(CBIC_Late_Fee_Relief_Windows_1!$B$100:$B$790,MATCH(G790,CBIC_Late_Fee_Relief_Windows_1!$I$100:$I$790,0))</f>
        <v>#NAME?</v>
      </c>
    </row>
    <row r="791" spans="1:9" x14ac:dyDescent="0.55000000000000004">
      <c r="A791" t="str">
        <f>TEST_DATA!A791</f>
        <v>27AAAAA0791Z5</v>
      </c>
      <c r="B791" t="str">
        <f>TEST_DATA!B791</f>
        <v>Sep-2017</v>
      </c>
      <c r="C791">
        <f>TEST_DATA!C791</f>
        <v>43531</v>
      </c>
      <c r="D791" t="str">
        <f>TEST_DATA!D791</f>
        <v>NIL</v>
      </c>
      <c r="E791">
        <f>TEST_DATA!E791</f>
        <v>2911</v>
      </c>
      <c r="F791">
        <f>MIN(E791*79100,10000)</f>
        <v>10000</v>
      </c>
      <c r="G791" t="e">
        <f ca="1">_xludf.MINIFS(CBIC_Late_Fee_Relief_Windows_1!$I$100:$I$791,CBIC_Late_Fee_Relief_Windows_1!$D$100:$D$791,"&lt;="&amp;B791,CBIC_Late_Fee_Relief_Windows_1!$E$100:$E$791,"&gt;="&amp;B791,CBIC_Late_Fee_Relief_Windows_1!$F$100:$F$791,"&lt;="&amp;C791,CBIC_Late_Fee_Relief_Windows_1!$G$100:$G$791,"&gt;="&amp;C791,CBIC_Late_Fee_Relief_Windows_1!$H$100:$H$791,D791)</f>
        <v>#NAME?</v>
      </c>
      <c r="H791" t="e">
        <f t="shared" ca="1" si="12"/>
        <v>#NAME?</v>
      </c>
      <c r="I791" t="e">
        <f ca="1">INDEX(CBIC_Late_Fee_Relief_Windows_1!$B$100:$B$791,MATCH(G791,CBIC_Late_Fee_Relief_Windows_1!$I$100:$I$791,0))</f>
        <v>#NAME?</v>
      </c>
    </row>
    <row r="792" spans="1:9" x14ac:dyDescent="0.55000000000000004">
      <c r="A792" t="str">
        <f>TEST_DATA!A792</f>
        <v>27AAAAA0792Z5</v>
      </c>
      <c r="B792" t="str">
        <f>TEST_DATA!B792</f>
        <v>Oct-2017</v>
      </c>
      <c r="C792">
        <f>TEST_DATA!C792</f>
        <v>42963</v>
      </c>
      <c r="D792" t="str">
        <f>TEST_DATA!D792</f>
        <v>NON-NIL</v>
      </c>
      <c r="E792">
        <f>TEST_DATA!E792</f>
        <v>2654</v>
      </c>
      <c r="F792">
        <f>MIN(E792*79200,10000)</f>
        <v>10000</v>
      </c>
      <c r="G792" t="e">
        <f ca="1">_xludf.MINIFS(CBIC_Late_Fee_Relief_Windows_1!$I$100:$I$792,CBIC_Late_Fee_Relief_Windows_1!$D$100:$D$792,"&lt;="&amp;B792,CBIC_Late_Fee_Relief_Windows_1!$E$100:$E$792,"&gt;="&amp;B792,CBIC_Late_Fee_Relief_Windows_1!$F$100:$F$792,"&lt;="&amp;C792,CBIC_Late_Fee_Relief_Windows_1!$G$100:$G$792,"&gt;="&amp;C792,CBIC_Late_Fee_Relief_Windows_1!$H$100:$H$792,D792)</f>
        <v>#NAME?</v>
      </c>
      <c r="H792" t="e">
        <f t="shared" ca="1" si="12"/>
        <v>#NAME?</v>
      </c>
      <c r="I792" t="e">
        <f ca="1">INDEX(CBIC_Late_Fee_Relief_Windows_1!$B$100:$B$792,MATCH(G792,CBIC_Late_Fee_Relief_Windows_1!$I$100:$I$792,0))</f>
        <v>#NAME?</v>
      </c>
    </row>
    <row r="793" spans="1:9" x14ac:dyDescent="0.55000000000000004">
      <c r="A793" t="str">
        <f>TEST_DATA!A793</f>
        <v>27AAAAA0793Z5</v>
      </c>
      <c r="B793" t="str">
        <f>TEST_DATA!B793</f>
        <v>Oct-2017</v>
      </c>
      <c r="C793">
        <f>TEST_DATA!C793</f>
        <v>44303</v>
      </c>
      <c r="D793" t="str">
        <f>TEST_DATA!D793</f>
        <v>NIL</v>
      </c>
      <c r="E793">
        <f>TEST_DATA!E793</f>
        <v>999</v>
      </c>
      <c r="F793">
        <f>MIN(E793*79300,10000)</f>
        <v>10000</v>
      </c>
      <c r="G793" t="e">
        <f ca="1">_xludf.MINIFS(CBIC_Late_Fee_Relief_Windows_1!$I$100:$I$793,CBIC_Late_Fee_Relief_Windows_1!$D$100:$D$793,"&lt;="&amp;B793,CBIC_Late_Fee_Relief_Windows_1!$E$100:$E$793,"&gt;="&amp;B793,CBIC_Late_Fee_Relief_Windows_1!$F$100:$F$793,"&lt;="&amp;C793,CBIC_Late_Fee_Relief_Windows_1!$G$100:$G$793,"&gt;="&amp;C793,CBIC_Late_Fee_Relief_Windows_1!$H$100:$H$793,D793)</f>
        <v>#NAME?</v>
      </c>
      <c r="H793" t="e">
        <f t="shared" ca="1" si="12"/>
        <v>#NAME?</v>
      </c>
      <c r="I793" t="e">
        <f ca="1">INDEX(CBIC_Late_Fee_Relief_Windows_1!$B$100:$B$793,MATCH(G793,CBIC_Late_Fee_Relief_Windows_1!$I$100:$I$793,0))</f>
        <v>#NAME?</v>
      </c>
    </row>
    <row r="794" spans="1:9" x14ac:dyDescent="0.55000000000000004">
      <c r="A794" t="str">
        <f>TEST_DATA!A794</f>
        <v>27AAAAA0794Z5</v>
      </c>
      <c r="B794" t="str">
        <f>TEST_DATA!B794</f>
        <v>Jun-2019</v>
      </c>
      <c r="C794">
        <f>TEST_DATA!C794</f>
        <v>44180</v>
      </c>
      <c r="D794" t="str">
        <f>TEST_DATA!D794</f>
        <v>NIL</v>
      </c>
      <c r="E794">
        <f>TEST_DATA!E794</f>
        <v>1355</v>
      </c>
      <c r="F794">
        <f>MIN(E794*79400,10000)</f>
        <v>10000</v>
      </c>
      <c r="G794" t="e">
        <f ca="1">_xludf.MINIFS(CBIC_Late_Fee_Relief_Windows_1!$I$100:$I$794,CBIC_Late_Fee_Relief_Windows_1!$D$100:$D$794,"&lt;="&amp;B794,CBIC_Late_Fee_Relief_Windows_1!$E$100:$E$794,"&gt;="&amp;B794,CBIC_Late_Fee_Relief_Windows_1!$F$100:$F$794,"&lt;="&amp;C794,CBIC_Late_Fee_Relief_Windows_1!$G$100:$G$794,"&gt;="&amp;C794,CBIC_Late_Fee_Relief_Windows_1!$H$100:$H$794,D794)</f>
        <v>#NAME?</v>
      </c>
      <c r="H794" t="e">
        <f t="shared" ca="1" si="12"/>
        <v>#NAME?</v>
      </c>
      <c r="I794" t="e">
        <f ca="1">INDEX(CBIC_Late_Fee_Relief_Windows_1!$B$100:$B$794,MATCH(G794,CBIC_Late_Fee_Relief_Windows_1!$I$100:$I$794,0))</f>
        <v>#NAME?</v>
      </c>
    </row>
    <row r="795" spans="1:9" x14ac:dyDescent="0.55000000000000004">
      <c r="A795" t="str">
        <f>TEST_DATA!A795</f>
        <v>27AAAAA0795Z5</v>
      </c>
      <c r="B795" t="str">
        <f>TEST_DATA!B795</f>
        <v>Dec-2019</v>
      </c>
      <c r="C795">
        <f>TEST_DATA!C795</f>
        <v>45212</v>
      </c>
      <c r="D795" t="str">
        <f>TEST_DATA!D795</f>
        <v>NON-NIL</v>
      </c>
      <c r="E795">
        <f>TEST_DATA!E795</f>
        <v>949</v>
      </c>
      <c r="F795">
        <f>MIN(E795*79500,10000)</f>
        <v>10000</v>
      </c>
      <c r="G795" t="e">
        <f ca="1">_xludf.MINIFS(CBIC_Late_Fee_Relief_Windows_1!$I$100:$I$795,CBIC_Late_Fee_Relief_Windows_1!$D$100:$D$795,"&lt;="&amp;B795,CBIC_Late_Fee_Relief_Windows_1!$E$100:$E$795,"&gt;="&amp;B795,CBIC_Late_Fee_Relief_Windows_1!$F$100:$F$795,"&lt;="&amp;C795,CBIC_Late_Fee_Relief_Windows_1!$G$100:$G$795,"&gt;="&amp;C795,CBIC_Late_Fee_Relief_Windows_1!$H$100:$H$795,D795)</f>
        <v>#NAME?</v>
      </c>
      <c r="H795" t="e">
        <f t="shared" ca="1" si="12"/>
        <v>#NAME?</v>
      </c>
      <c r="I795" t="e">
        <f ca="1">INDEX(CBIC_Late_Fee_Relief_Windows_1!$B$100:$B$795,MATCH(G795,CBIC_Late_Fee_Relief_Windows_1!$I$100:$I$795,0))</f>
        <v>#NAME?</v>
      </c>
    </row>
    <row r="796" spans="1:9" x14ac:dyDescent="0.55000000000000004">
      <c r="A796" t="str">
        <f>TEST_DATA!A796</f>
        <v>27AAAAA0796Z5</v>
      </c>
      <c r="B796" t="str">
        <f>TEST_DATA!B796</f>
        <v>Apr-2021</v>
      </c>
      <c r="C796">
        <f>TEST_DATA!C796</f>
        <v>45125</v>
      </c>
      <c r="D796" t="str">
        <f>TEST_DATA!D796</f>
        <v>NIL</v>
      </c>
      <c r="E796">
        <f>TEST_DATA!E796</f>
        <v>763</v>
      </c>
      <c r="F796">
        <f>MIN(E796*79600,10000)</f>
        <v>10000</v>
      </c>
      <c r="G796" t="e">
        <f ca="1">_xludf.MINIFS(CBIC_Late_Fee_Relief_Windows_1!$I$100:$I$796,CBIC_Late_Fee_Relief_Windows_1!$D$100:$D$796,"&lt;="&amp;B796,CBIC_Late_Fee_Relief_Windows_1!$E$100:$E$796,"&gt;="&amp;B796,CBIC_Late_Fee_Relief_Windows_1!$F$100:$F$796,"&lt;="&amp;C796,CBIC_Late_Fee_Relief_Windows_1!$G$100:$G$796,"&gt;="&amp;C796,CBIC_Late_Fee_Relief_Windows_1!$H$100:$H$796,D796)</f>
        <v>#NAME?</v>
      </c>
      <c r="H796" t="e">
        <f t="shared" ca="1" si="12"/>
        <v>#NAME?</v>
      </c>
      <c r="I796" t="e">
        <f ca="1">INDEX(CBIC_Late_Fee_Relief_Windows_1!$B$100:$B$796,MATCH(G796,CBIC_Late_Fee_Relief_Windows_1!$I$100:$I$796,0))</f>
        <v>#NAME?</v>
      </c>
    </row>
    <row r="797" spans="1:9" x14ac:dyDescent="0.55000000000000004">
      <c r="A797" t="str">
        <f>TEST_DATA!A797</f>
        <v>27AAAAA0797Z5</v>
      </c>
      <c r="B797" t="str">
        <f>TEST_DATA!B797</f>
        <v>May-2020</v>
      </c>
      <c r="C797">
        <f>TEST_DATA!C797</f>
        <v>44716</v>
      </c>
      <c r="D797" t="str">
        <f>TEST_DATA!D797</f>
        <v>NON-NIL</v>
      </c>
      <c r="E797">
        <f>TEST_DATA!E797</f>
        <v>119</v>
      </c>
      <c r="F797">
        <f>MIN(E797*79700,10000)</f>
        <v>10000</v>
      </c>
      <c r="G797" t="e">
        <f ca="1">_xludf.MINIFS(CBIC_Late_Fee_Relief_Windows_1!$I$100:$I$797,CBIC_Late_Fee_Relief_Windows_1!$D$100:$D$797,"&lt;="&amp;B797,CBIC_Late_Fee_Relief_Windows_1!$E$100:$E$797,"&gt;="&amp;B797,CBIC_Late_Fee_Relief_Windows_1!$F$100:$F$797,"&lt;="&amp;C797,CBIC_Late_Fee_Relief_Windows_1!$G$100:$G$797,"&gt;="&amp;C797,CBIC_Late_Fee_Relief_Windows_1!$H$100:$H$797,D797)</f>
        <v>#NAME?</v>
      </c>
      <c r="H797" t="e">
        <f t="shared" ca="1" si="12"/>
        <v>#NAME?</v>
      </c>
      <c r="I797" t="e">
        <f ca="1">INDEX(CBIC_Late_Fee_Relief_Windows_1!$B$100:$B$797,MATCH(G797,CBIC_Late_Fee_Relief_Windows_1!$I$100:$I$797,0))</f>
        <v>#NAME?</v>
      </c>
    </row>
    <row r="798" spans="1:9" x14ac:dyDescent="0.55000000000000004">
      <c r="A798" t="str">
        <f>TEST_DATA!A798</f>
        <v>27AAAAA0798Z5</v>
      </c>
      <c r="B798" t="str">
        <f>TEST_DATA!B798</f>
        <v>Jan-2021</v>
      </c>
      <c r="C798">
        <f>TEST_DATA!C798</f>
        <v>44274</v>
      </c>
      <c r="D798" t="str">
        <f>TEST_DATA!D798</f>
        <v>NON-NIL</v>
      </c>
      <c r="E798">
        <f>TEST_DATA!E798</f>
        <v>2425</v>
      </c>
      <c r="F798">
        <f>MIN(E798*79800,10000)</f>
        <v>10000</v>
      </c>
      <c r="G798" t="e">
        <f ca="1">_xludf.MINIFS(CBIC_Late_Fee_Relief_Windows_1!$I$100:$I$798,CBIC_Late_Fee_Relief_Windows_1!$D$100:$D$798,"&lt;="&amp;B798,CBIC_Late_Fee_Relief_Windows_1!$E$100:$E$798,"&gt;="&amp;B798,CBIC_Late_Fee_Relief_Windows_1!$F$100:$F$798,"&lt;="&amp;C798,CBIC_Late_Fee_Relief_Windows_1!$G$100:$G$798,"&gt;="&amp;C798,CBIC_Late_Fee_Relief_Windows_1!$H$100:$H$798,D798)</f>
        <v>#NAME?</v>
      </c>
      <c r="H798" t="e">
        <f t="shared" ca="1" si="12"/>
        <v>#NAME?</v>
      </c>
      <c r="I798" t="e">
        <f ca="1">INDEX(CBIC_Late_Fee_Relief_Windows_1!$B$100:$B$798,MATCH(G798,CBIC_Late_Fee_Relief_Windows_1!$I$100:$I$798,0))</f>
        <v>#NAME?</v>
      </c>
    </row>
    <row r="799" spans="1:9" x14ac:dyDescent="0.55000000000000004">
      <c r="A799" t="str">
        <f>TEST_DATA!A799</f>
        <v>27AAAAA0799Z5</v>
      </c>
      <c r="B799" t="str">
        <f>TEST_DATA!B799</f>
        <v>Aug-2018</v>
      </c>
      <c r="C799">
        <f>TEST_DATA!C799</f>
        <v>43713</v>
      </c>
      <c r="D799" t="str">
        <f>TEST_DATA!D799</f>
        <v>NIL</v>
      </c>
      <c r="E799">
        <f>TEST_DATA!E799</f>
        <v>2886</v>
      </c>
      <c r="F799">
        <f>MIN(E799*79900,10000)</f>
        <v>10000</v>
      </c>
      <c r="G799" t="e">
        <f ca="1">_xludf.MINIFS(CBIC_Late_Fee_Relief_Windows_1!$I$100:$I$799,CBIC_Late_Fee_Relief_Windows_1!$D$100:$D$799,"&lt;="&amp;B799,CBIC_Late_Fee_Relief_Windows_1!$E$100:$E$799,"&gt;="&amp;B799,CBIC_Late_Fee_Relief_Windows_1!$F$100:$F$799,"&lt;="&amp;C799,CBIC_Late_Fee_Relief_Windows_1!$G$100:$G$799,"&gt;="&amp;C799,CBIC_Late_Fee_Relief_Windows_1!$H$100:$H$799,D799)</f>
        <v>#NAME?</v>
      </c>
      <c r="H799" t="e">
        <f t="shared" ca="1" si="12"/>
        <v>#NAME?</v>
      </c>
      <c r="I799" t="e">
        <f ca="1">INDEX(CBIC_Late_Fee_Relief_Windows_1!$B$100:$B$799,MATCH(G799,CBIC_Late_Fee_Relief_Windows_1!$I$100:$I$799,0))</f>
        <v>#NAME?</v>
      </c>
    </row>
    <row r="800" spans="1:9" x14ac:dyDescent="0.55000000000000004">
      <c r="A800" t="str">
        <f>TEST_DATA!A800</f>
        <v>27AAAAA0800Z5</v>
      </c>
      <c r="B800" t="str">
        <f>TEST_DATA!B800</f>
        <v>Jan-2018</v>
      </c>
      <c r="C800">
        <f>TEST_DATA!C800</f>
        <v>43338</v>
      </c>
      <c r="D800" t="str">
        <f>TEST_DATA!D800</f>
        <v>NON-NIL</v>
      </c>
      <c r="E800">
        <f>TEST_DATA!E800</f>
        <v>2882</v>
      </c>
      <c r="F800">
        <f>MIN(E800*80000,10000)</f>
        <v>10000</v>
      </c>
      <c r="G800" t="e">
        <f ca="1">_xludf.MINIFS(CBIC_Late_Fee_Relief_Windows_1!$I$100:$I$800,CBIC_Late_Fee_Relief_Windows_1!$D$100:$D$800,"&lt;="&amp;B800,CBIC_Late_Fee_Relief_Windows_1!$E$100:$E$800,"&gt;="&amp;B800,CBIC_Late_Fee_Relief_Windows_1!$F$100:$F$800,"&lt;="&amp;C800,CBIC_Late_Fee_Relief_Windows_1!$G$100:$G$800,"&gt;="&amp;C800,CBIC_Late_Fee_Relief_Windows_1!$H$100:$H$800,D800)</f>
        <v>#NAME?</v>
      </c>
      <c r="H800" t="e">
        <f t="shared" ca="1" si="12"/>
        <v>#NAME?</v>
      </c>
      <c r="I800" t="e">
        <f ca="1">INDEX(CBIC_Late_Fee_Relief_Windows_1!$B$100:$B$800,MATCH(G800,CBIC_Late_Fee_Relief_Windows_1!$I$100:$I$800,0))</f>
        <v>#NAME?</v>
      </c>
    </row>
    <row r="801" spans="1:9" x14ac:dyDescent="0.55000000000000004">
      <c r="A801" t="str">
        <f>TEST_DATA!A801</f>
        <v>27AAAAA0801Z5</v>
      </c>
      <c r="B801" t="str">
        <f>TEST_DATA!B801</f>
        <v>Apr-2021</v>
      </c>
      <c r="C801">
        <f>TEST_DATA!C801</f>
        <v>43722</v>
      </c>
      <c r="D801" t="str">
        <f>TEST_DATA!D801</f>
        <v>NIL</v>
      </c>
      <c r="E801">
        <f>TEST_DATA!E801</f>
        <v>2199</v>
      </c>
      <c r="F801">
        <f>MIN(E801*80100,10000)</f>
        <v>10000</v>
      </c>
      <c r="G801" t="e">
        <f ca="1">_xludf.MINIFS(CBIC_Late_Fee_Relief_Windows_1!$I$100:$I$801,CBIC_Late_Fee_Relief_Windows_1!$D$100:$D$801,"&lt;="&amp;B801,CBIC_Late_Fee_Relief_Windows_1!$E$100:$E$801,"&gt;="&amp;B801,CBIC_Late_Fee_Relief_Windows_1!$F$100:$F$801,"&lt;="&amp;C801,CBIC_Late_Fee_Relief_Windows_1!$G$100:$G$801,"&gt;="&amp;C801,CBIC_Late_Fee_Relief_Windows_1!$H$100:$H$801,D801)</f>
        <v>#NAME?</v>
      </c>
      <c r="H801" t="e">
        <f t="shared" ca="1" si="12"/>
        <v>#NAME?</v>
      </c>
      <c r="I801" t="e">
        <f ca="1">INDEX(CBIC_Late_Fee_Relief_Windows_1!$B$100:$B$801,MATCH(G801,CBIC_Late_Fee_Relief_Windows_1!$I$100:$I$801,0))</f>
        <v>#NAME?</v>
      </c>
    </row>
    <row r="802" spans="1:9" x14ac:dyDescent="0.55000000000000004">
      <c r="A802" t="str">
        <f>TEST_DATA!A802</f>
        <v>27AAAAA0802Z5</v>
      </c>
      <c r="B802" t="str">
        <f>TEST_DATA!B802</f>
        <v>Dec-2017</v>
      </c>
      <c r="C802">
        <f>TEST_DATA!C802</f>
        <v>43666</v>
      </c>
      <c r="D802" t="str">
        <f>TEST_DATA!D802</f>
        <v>NON-NIL</v>
      </c>
      <c r="E802">
        <f>TEST_DATA!E802</f>
        <v>807</v>
      </c>
      <c r="F802">
        <f>MIN(E802*80200,10000)</f>
        <v>10000</v>
      </c>
      <c r="G802" t="e">
        <f ca="1">_xludf.MINIFS(CBIC_Late_Fee_Relief_Windows_1!$I$100:$I$802,CBIC_Late_Fee_Relief_Windows_1!$D$100:$D$802,"&lt;="&amp;B802,CBIC_Late_Fee_Relief_Windows_1!$E$100:$E$802,"&gt;="&amp;B802,CBIC_Late_Fee_Relief_Windows_1!$F$100:$F$802,"&lt;="&amp;C802,CBIC_Late_Fee_Relief_Windows_1!$G$100:$G$802,"&gt;="&amp;C802,CBIC_Late_Fee_Relief_Windows_1!$H$100:$H$802,D802)</f>
        <v>#NAME?</v>
      </c>
      <c r="H802" t="e">
        <f t="shared" ca="1" si="12"/>
        <v>#NAME?</v>
      </c>
      <c r="I802" t="e">
        <f ca="1">INDEX(CBIC_Late_Fee_Relief_Windows_1!$B$100:$B$802,MATCH(G802,CBIC_Late_Fee_Relief_Windows_1!$I$100:$I$802,0))</f>
        <v>#NAME?</v>
      </c>
    </row>
    <row r="803" spans="1:9" x14ac:dyDescent="0.55000000000000004">
      <c r="A803" t="str">
        <f>TEST_DATA!A803</f>
        <v>27AAAAA0803Z5</v>
      </c>
      <c r="B803" t="str">
        <f>TEST_DATA!B803</f>
        <v>Sep-2018</v>
      </c>
      <c r="C803">
        <f>TEST_DATA!C803</f>
        <v>43150</v>
      </c>
      <c r="D803" t="str">
        <f>TEST_DATA!D803</f>
        <v>NON-NIL</v>
      </c>
      <c r="E803">
        <f>TEST_DATA!E803</f>
        <v>2747</v>
      </c>
      <c r="F803">
        <f>MIN(E803*80300,10000)</f>
        <v>10000</v>
      </c>
      <c r="G803" t="e">
        <f ca="1">_xludf.MINIFS(CBIC_Late_Fee_Relief_Windows_1!$I$100:$I$803,CBIC_Late_Fee_Relief_Windows_1!$D$100:$D$803,"&lt;="&amp;B803,CBIC_Late_Fee_Relief_Windows_1!$E$100:$E$803,"&gt;="&amp;B803,CBIC_Late_Fee_Relief_Windows_1!$F$100:$F$803,"&lt;="&amp;C803,CBIC_Late_Fee_Relief_Windows_1!$G$100:$G$803,"&gt;="&amp;C803,CBIC_Late_Fee_Relief_Windows_1!$H$100:$H$803,D803)</f>
        <v>#NAME?</v>
      </c>
      <c r="H803" t="e">
        <f t="shared" ca="1" si="12"/>
        <v>#NAME?</v>
      </c>
      <c r="I803" t="e">
        <f ca="1">INDEX(CBIC_Late_Fee_Relief_Windows_1!$B$100:$B$803,MATCH(G803,CBIC_Late_Fee_Relief_Windows_1!$I$100:$I$803,0))</f>
        <v>#NAME?</v>
      </c>
    </row>
    <row r="804" spans="1:9" x14ac:dyDescent="0.55000000000000004">
      <c r="A804" t="str">
        <f>TEST_DATA!A804</f>
        <v>27AAAAA0804Z5</v>
      </c>
      <c r="B804" t="str">
        <f>TEST_DATA!B804</f>
        <v>Mar-2023</v>
      </c>
      <c r="C804">
        <f>TEST_DATA!C804</f>
        <v>45470</v>
      </c>
      <c r="D804" t="str">
        <f>TEST_DATA!D804</f>
        <v>NON-NIL</v>
      </c>
      <c r="E804">
        <f>TEST_DATA!E804</f>
        <v>2445</v>
      </c>
      <c r="F804">
        <f>MIN(E804*80400,10000)</f>
        <v>10000</v>
      </c>
      <c r="G804" t="e">
        <f ca="1">_xludf.MINIFS(CBIC_Late_Fee_Relief_Windows_1!$I$100:$I$804,CBIC_Late_Fee_Relief_Windows_1!$D$100:$D$804,"&lt;="&amp;B804,CBIC_Late_Fee_Relief_Windows_1!$E$100:$E$804,"&gt;="&amp;B804,CBIC_Late_Fee_Relief_Windows_1!$F$100:$F$804,"&lt;="&amp;C804,CBIC_Late_Fee_Relief_Windows_1!$G$100:$G$804,"&gt;="&amp;C804,CBIC_Late_Fee_Relief_Windows_1!$H$100:$H$804,D804)</f>
        <v>#NAME?</v>
      </c>
      <c r="H804" t="e">
        <f t="shared" ca="1" si="12"/>
        <v>#NAME?</v>
      </c>
      <c r="I804" t="e">
        <f ca="1">INDEX(CBIC_Late_Fee_Relief_Windows_1!$B$100:$B$804,MATCH(G804,CBIC_Late_Fee_Relief_Windows_1!$I$100:$I$804,0))</f>
        <v>#NAME?</v>
      </c>
    </row>
    <row r="805" spans="1:9" x14ac:dyDescent="0.55000000000000004">
      <c r="A805" t="str">
        <f>TEST_DATA!A805</f>
        <v>27AAAAA0805Z5</v>
      </c>
      <c r="B805" t="str">
        <f>TEST_DATA!B805</f>
        <v>Jul-2018</v>
      </c>
      <c r="C805">
        <f>TEST_DATA!C805</f>
        <v>44168</v>
      </c>
      <c r="D805" t="str">
        <f>TEST_DATA!D805</f>
        <v>NON-NIL</v>
      </c>
      <c r="E805">
        <f>TEST_DATA!E805</f>
        <v>2404</v>
      </c>
      <c r="F805">
        <f>MIN(E805*80500,10000)</f>
        <v>10000</v>
      </c>
      <c r="G805" t="e">
        <f ca="1">_xludf.MINIFS(CBIC_Late_Fee_Relief_Windows_1!$I$100:$I$805,CBIC_Late_Fee_Relief_Windows_1!$D$100:$D$805,"&lt;="&amp;B805,CBIC_Late_Fee_Relief_Windows_1!$E$100:$E$805,"&gt;="&amp;B805,CBIC_Late_Fee_Relief_Windows_1!$F$100:$F$805,"&lt;="&amp;C805,CBIC_Late_Fee_Relief_Windows_1!$G$100:$G$805,"&gt;="&amp;C805,CBIC_Late_Fee_Relief_Windows_1!$H$100:$H$805,D805)</f>
        <v>#NAME?</v>
      </c>
      <c r="H805" t="e">
        <f t="shared" ca="1" si="12"/>
        <v>#NAME?</v>
      </c>
      <c r="I805" t="e">
        <f ca="1">INDEX(CBIC_Late_Fee_Relief_Windows_1!$B$100:$B$805,MATCH(G805,CBIC_Late_Fee_Relief_Windows_1!$I$100:$I$805,0))</f>
        <v>#NAME?</v>
      </c>
    </row>
    <row r="806" spans="1:9" x14ac:dyDescent="0.55000000000000004">
      <c r="A806" t="str">
        <f>TEST_DATA!A806</f>
        <v>27AAAAA0806Z5</v>
      </c>
      <c r="B806" t="str">
        <f>TEST_DATA!B806</f>
        <v>Oct-2017</v>
      </c>
      <c r="C806">
        <f>TEST_DATA!C806</f>
        <v>43629</v>
      </c>
      <c r="D806" t="str">
        <f>TEST_DATA!D806</f>
        <v>NON-NIL</v>
      </c>
      <c r="E806">
        <f>TEST_DATA!E806</f>
        <v>1875</v>
      </c>
      <c r="F806">
        <f>MIN(E806*80600,10000)</f>
        <v>10000</v>
      </c>
      <c r="G806" t="e">
        <f ca="1">_xludf.MINIFS(CBIC_Late_Fee_Relief_Windows_1!$I$100:$I$806,CBIC_Late_Fee_Relief_Windows_1!$D$100:$D$806,"&lt;="&amp;B806,CBIC_Late_Fee_Relief_Windows_1!$E$100:$E$806,"&gt;="&amp;B806,CBIC_Late_Fee_Relief_Windows_1!$F$100:$F$806,"&lt;="&amp;C806,CBIC_Late_Fee_Relief_Windows_1!$G$100:$G$806,"&gt;="&amp;C806,CBIC_Late_Fee_Relief_Windows_1!$H$100:$H$806,D806)</f>
        <v>#NAME?</v>
      </c>
      <c r="H806" t="e">
        <f t="shared" ca="1" si="12"/>
        <v>#NAME?</v>
      </c>
      <c r="I806" t="e">
        <f ca="1">INDEX(CBIC_Late_Fee_Relief_Windows_1!$B$100:$B$806,MATCH(G806,CBIC_Late_Fee_Relief_Windows_1!$I$100:$I$806,0))</f>
        <v>#NAME?</v>
      </c>
    </row>
    <row r="807" spans="1:9" x14ac:dyDescent="0.55000000000000004">
      <c r="A807" t="str">
        <f>TEST_DATA!A807</f>
        <v>27AAAAA0807Z5</v>
      </c>
      <c r="B807" t="str">
        <f>TEST_DATA!B807</f>
        <v>Apr-2020</v>
      </c>
      <c r="C807">
        <f>TEST_DATA!C807</f>
        <v>44184</v>
      </c>
      <c r="D807" t="str">
        <f>TEST_DATA!D807</f>
        <v>NON-NIL</v>
      </c>
      <c r="E807">
        <f>TEST_DATA!E807</f>
        <v>2516</v>
      </c>
      <c r="F807">
        <f>MIN(E807*80700,10000)</f>
        <v>10000</v>
      </c>
      <c r="G807" t="e">
        <f ca="1">_xludf.MINIFS(CBIC_Late_Fee_Relief_Windows_1!$I$100:$I$807,CBIC_Late_Fee_Relief_Windows_1!$D$100:$D$807,"&lt;="&amp;B807,CBIC_Late_Fee_Relief_Windows_1!$E$100:$E$807,"&gt;="&amp;B807,CBIC_Late_Fee_Relief_Windows_1!$F$100:$F$807,"&lt;="&amp;C807,CBIC_Late_Fee_Relief_Windows_1!$G$100:$G$807,"&gt;="&amp;C807,CBIC_Late_Fee_Relief_Windows_1!$H$100:$H$807,D807)</f>
        <v>#NAME?</v>
      </c>
      <c r="H807" t="e">
        <f t="shared" ca="1" si="12"/>
        <v>#NAME?</v>
      </c>
      <c r="I807" t="e">
        <f ca="1">INDEX(CBIC_Late_Fee_Relief_Windows_1!$B$100:$B$807,MATCH(G807,CBIC_Late_Fee_Relief_Windows_1!$I$100:$I$807,0))</f>
        <v>#NAME?</v>
      </c>
    </row>
    <row r="808" spans="1:9" x14ac:dyDescent="0.55000000000000004">
      <c r="A808" t="str">
        <f>TEST_DATA!A808</f>
        <v>27AAAAA0808Z5</v>
      </c>
      <c r="B808" t="str">
        <f>TEST_DATA!B808</f>
        <v>Mar-2020</v>
      </c>
      <c r="C808">
        <f>TEST_DATA!C808</f>
        <v>44004</v>
      </c>
      <c r="D808" t="str">
        <f>TEST_DATA!D808</f>
        <v>NIL</v>
      </c>
      <c r="E808">
        <f>TEST_DATA!E808</f>
        <v>1282</v>
      </c>
      <c r="F808">
        <f>MIN(E808*80800,10000)</f>
        <v>10000</v>
      </c>
      <c r="G808" t="e">
        <f ca="1">_xludf.MINIFS(CBIC_Late_Fee_Relief_Windows_1!$I$100:$I$808,CBIC_Late_Fee_Relief_Windows_1!$D$100:$D$808,"&lt;="&amp;B808,CBIC_Late_Fee_Relief_Windows_1!$E$100:$E$808,"&gt;="&amp;B808,CBIC_Late_Fee_Relief_Windows_1!$F$100:$F$808,"&lt;="&amp;C808,CBIC_Late_Fee_Relief_Windows_1!$G$100:$G$808,"&gt;="&amp;C808,CBIC_Late_Fee_Relief_Windows_1!$H$100:$H$808,D808)</f>
        <v>#NAME?</v>
      </c>
      <c r="H808" t="e">
        <f t="shared" ca="1" si="12"/>
        <v>#NAME?</v>
      </c>
      <c r="I808" t="e">
        <f ca="1">INDEX(CBIC_Late_Fee_Relief_Windows_1!$B$100:$B$808,MATCH(G808,CBIC_Late_Fee_Relief_Windows_1!$I$100:$I$808,0))</f>
        <v>#NAME?</v>
      </c>
    </row>
    <row r="809" spans="1:9" x14ac:dyDescent="0.55000000000000004">
      <c r="A809" t="str">
        <f>TEST_DATA!A809</f>
        <v>27AAAAA0809Z5</v>
      </c>
      <c r="B809" t="str">
        <f>TEST_DATA!B809</f>
        <v>Oct-2017</v>
      </c>
      <c r="C809">
        <f>TEST_DATA!C809</f>
        <v>43405</v>
      </c>
      <c r="D809" t="str">
        <f>TEST_DATA!D809</f>
        <v>NON-NIL</v>
      </c>
      <c r="E809">
        <f>TEST_DATA!E809</f>
        <v>479</v>
      </c>
      <c r="F809">
        <f>MIN(E809*80900,10000)</f>
        <v>10000</v>
      </c>
      <c r="G809" t="e">
        <f ca="1">_xludf.MINIFS(CBIC_Late_Fee_Relief_Windows_1!$I$100:$I$809,CBIC_Late_Fee_Relief_Windows_1!$D$100:$D$809,"&lt;="&amp;B809,CBIC_Late_Fee_Relief_Windows_1!$E$100:$E$809,"&gt;="&amp;B809,CBIC_Late_Fee_Relief_Windows_1!$F$100:$F$809,"&lt;="&amp;C809,CBIC_Late_Fee_Relief_Windows_1!$G$100:$G$809,"&gt;="&amp;C809,CBIC_Late_Fee_Relief_Windows_1!$H$100:$H$809,D809)</f>
        <v>#NAME?</v>
      </c>
      <c r="H809" t="e">
        <f t="shared" ca="1" si="12"/>
        <v>#NAME?</v>
      </c>
      <c r="I809" t="e">
        <f ca="1">INDEX(CBIC_Late_Fee_Relief_Windows_1!$B$100:$B$809,MATCH(G809,CBIC_Late_Fee_Relief_Windows_1!$I$100:$I$809,0))</f>
        <v>#NAME?</v>
      </c>
    </row>
    <row r="810" spans="1:9" x14ac:dyDescent="0.55000000000000004">
      <c r="A810" t="str">
        <f>TEST_DATA!A810</f>
        <v>27AAAAA0810Z5</v>
      </c>
      <c r="B810" t="str">
        <f>TEST_DATA!B810</f>
        <v>Dec-2017</v>
      </c>
      <c r="C810">
        <f>TEST_DATA!C810</f>
        <v>43681</v>
      </c>
      <c r="D810" t="str">
        <f>TEST_DATA!D810</f>
        <v>NIL</v>
      </c>
      <c r="E810">
        <f>TEST_DATA!E810</f>
        <v>2092</v>
      </c>
      <c r="F810">
        <f>MIN(E810*81000,10000)</f>
        <v>10000</v>
      </c>
      <c r="G810" t="e">
        <f ca="1">_xludf.MINIFS(CBIC_Late_Fee_Relief_Windows_1!$I$100:$I$810,CBIC_Late_Fee_Relief_Windows_1!$D$100:$D$810,"&lt;="&amp;B810,CBIC_Late_Fee_Relief_Windows_1!$E$100:$E$810,"&gt;="&amp;B810,CBIC_Late_Fee_Relief_Windows_1!$F$100:$F$810,"&lt;="&amp;C810,CBIC_Late_Fee_Relief_Windows_1!$G$100:$G$810,"&gt;="&amp;C810,CBIC_Late_Fee_Relief_Windows_1!$H$100:$H$810,D810)</f>
        <v>#NAME?</v>
      </c>
      <c r="H810" t="e">
        <f t="shared" ca="1" si="12"/>
        <v>#NAME?</v>
      </c>
      <c r="I810" t="e">
        <f ca="1">INDEX(CBIC_Late_Fee_Relief_Windows_1!$B$100:$B$810,MATCH(G810,CBIC_Late_Fee_Relief_Windows_1!$I$100:$I$810,0))</f>
        <v>#NAME?</v>
      </c>
    </row>
    <row r="811" spans="1:9" x14ac:dyDescent="0.55000000000000004">
      <c r="A811" t="str">
        <f>TEST_DATA!A811</f>
        <v>27AAAAA0811Z5</v>
      </c>
      <c r="B811" t="str">
        <f>TEST_DATA!B811</f>
        <v>Jul-2018</v>
      </c>
      <c r="C811">
        <f>TEST_DATA!C811</f>
        <v>43773</v>
      </c>
      <c r="D811" t="str">
        <f>TEST_DATA!D811</f>
        <v>NIL</v>
      </c>
      <c r="E811">
        <f>TEST_DATA!E811</f>
        <v>2354</v>
      </c>
      <c r="F811">
        <f>MIN(E811*81100,10000)</f>
        <v>10000</v>
      </c>
      <c r="G811" t="e">
        <f ca="1">_xludf.MINIFS(CBIC_Late_Fee_Relief_Windows_1!$I$100:$I$811,CBIC_Late_Fee_Relief_Windows_1!$D$100:$D$811,"&lt;="&amp;B811,CBIC_Late_Fee_Relief_Windows_1!$E$100:$E$811,"&gt;="&amp;B811,CBIC_Late_Fee_Relief_Windows_1!$F$100:$F$811,"&lt;="&amp;C811,CBIC_Late_Fee_Relief_Windows_1!$G$100:$G$811,"&gt;="&amp;C811,CBIC_Late_Fee_Relief_Windows_1!$H$100:$H$811,D811)</f>
        <v>#NAME?</v>
      </c>
      <c r="H811" t="e">
        <f t="shared" ca="1" si="12"/>
        <v>#NAME?</v>
      </c>
      <c r="I811" t="e">
        <f ca="1">INDEX(CBIC_Late_Fee_Relief_Windows_1!$B$100:$B$811,MATCH(G811,CBIC_Late_Fee_Relief_Windows_1!$I$100:$I$811,0))</f>
        <v>#NAME?</v>
      </c>
    </row>
    <row r="812" spans="1:9" x14ac:dyDescent="0.55000000000000004">
      <c r="A812" t="str">
        <f>TEST_DATA!A812</f>
        <v>27AAAAA0812Z5</v>
      </c>
      <c r="B812" t="str">
        <f>TEST_DATA!B812</f>
        <v>Jul-2018</v>
      </c>
      <c r="C812">
        <f>TEST_DATA!C812</f>
        <v>43783</v>
      </c>
      <c r="D812" t="str">
        <f>TEST_DATA!D812</f>
        <v>NIL</v>
      </c>
      <c r="E812">
        <f>TEST_DATA!E812</f>
        <v>1993</v>
      </c>
      <c r="F812">
        <f>MIN(E812*81200,10000)</f>
        <v>10000</v>
      </c>
      <c r="G812" t="e">
        <f ca="1">_xludf.MINIFS(CBIC_Late_Fee_Relief_Windows_1!$I$100:$I$812,CBIC_Late_Fee_Relief_Windows_1!$D$100:$D$812,"&lt;="&amp;B812,CBIC_Late_Fee_Relief_Windows_1!$E$100:$E$812,"&gt;="&amp;B812,CBIC_Late_Fee_Relief_Windows_1!$F$100:$F$812,"&lt;="&amp;C812,CBIC_Late_Fee_Relief_Windows_1!$G$100:$G$812,"&gt;="&amp;C812,CBIC_Late_Fee_Relief_Windows_1!$H$100:$H$812,D812)</f>
        <v>#NAME?</v>
      </c>
      <c r="H812" t="e">
        <f t="shared" ca="1" si="12"/>
        <v>#NAME?</v>
      </c>
      <c r="I812" t="e">
        <f ca="1">INDEX(CBIC_Late_Fee_Relief_Windows_1!$B$100:$B$812,MATCH(G812,CBIC_Late_Fee_Relief_Windows_1!$I$100:$I$812,0))</f>
        <v>#NAME?</v>
      </c>
    </row>
    <row r="813" spans="1:9" x14ac:dyDescent="0.55000000000000004">
      <c r="A813" t="str">
        <f>TEST_DATA!A813</f>
        <v>27AAAAA0813Z5</v>
      </c>
      <c r="B813" t="str">
        <f>TEST_DATA!B813</f>
        <v>May-2020</v>
      </c>
      <c r="C813">
        <f>TEST_DATA!C813</f>
        <v>44185</v>
      </c>
      <c r="D813" t="str">
        <f>TEST_DATA!D813</f>
        <v>NIL</v>
      </c>
      <c r="E813">
        <f>TEST_DATA!E813</f>
        <v>2005</v>
      </c>
      <c r="F813">
        <f>MIN(E813*81300,10000)</f>
        <v>10000</v>
      </c>
      <c r="G813" t="e">
        <f ca="1">_xludf.MINIFS(CBIC_Late_Fee_Relief_Windows_1!$I$100:$I$813,CBIC_Late_Fee_Relief_Windows_1!$D$100:$D$813,"&lt;="&amp;B813,CBIC_Late_Fee_Relief_Windows_1!$E$100:$E$813,"&gt;="&amp;B813,CBIC_Late_Fee_Relief_Windows_1!$F$100:$F$813,"&lt;="&amp;C813,CBIC_Late_Fee_Relief_Windows_1!$G$100:$G$813,"&gt;="&amp;C813,CBIC_Late_Fee_Relief_Windows_1!$H$100:$H$813,D813)</f>
        <v>#NAME?</v>
      </c>
      <c r="H813" t="e">
        <f t="shared" ca="1" si="12"/>
        <v>#NAME?</v>
      </c>
      <c r="I813" t="e">
        <f ca="1">INDEX(CBIC_Late_Fee_Relief_Windows_1!$B$100:$B$813,MATCH(G813,CBIC_Late_Fee_Relief_Windows_1!$I$100:$I$813,0))</f>
        <v>#NAME?</v>
      </c>
    </row>
    <row r="814" spans="1:9" x14ac:dyDescent="0.55000000000000004">
      <c r="A814" t="str">
        <f>TEST_DATA!A814</f>
        <v>27AAAAA0814Z5</v>
      </c>
      <c r="B814" t="str">
        <f>TEST_DATA!B814</f>
        <v>Apr-2018</v>
      </c>
      <c r="C814">
        <f>TEST_DATA!C814</f>
        <v>43204</v>
      </c>
      <c r="D814" t="str">
        <f>TEST_DATA!D814</f>
        <v>NIL</v>
      </c>
      <c r="E814">
        <f>TEST_DATA!E814</f>
        <v>1288</v>
      </c>
      <c r="F814">
        <f>MIN(E814*81400,10000)</f>
        <v>10000</v>
      </c>
      <c r="G814" t="e">
        <f ca="1">_xludf.MINIFS(CBIC_Late_Fee_Relief_Windows_1!$I$100:$I$814,CBIC_Late_Fee_Relief_Windows_1!$D$100:$D$814,"&lt;="&amp;B814,CBIC_Late_Fee_Relief_Windows_1!$E$100:$E$814,"&gt;="&amp;B814,CBIC_Late_Fee_Relief_Windows_1!$F$100:$F$814,"&lt;="&amp;C814,CBIC_Late_Fee_Relief_Windows_1!$G$100:$G$814,"&gt;="&amp;C814,CBIC_Late_Fee_Relief_Windows_1!$H$100:$H$814,D814)</f>
        <v>#NAME?</v>
      </c>
      <c r="H814" t="e">
        <f t="shared" ca="1" si="12"/>
        <v>#NAME?</v>
      </c>
      <c r="I814" t="e">
        <f ca="1">INDEX(CBIC_Late_Fee_Relief_Windows_1!$B$100:$B$814,MATCH(G814,CBIC_Late_Fee_Relief_Windows_1!$I$100:$I$814,0))</f>
        <v>#NAME?</v>
      </c>
    </row>
    <row r="815" spans="1:9" x14ac:dyDescent="0.55000000000000004">
      <c r="A815" t="str">
        <f>TEST_DATA!A815</f>
        <v>27AAAAA0815Z5</v>
      </c>
      <c r="B815" t="str">
        <f>TEST_DATA!B815</f>
        <v>Dec-2022</v>
      </c>
      <c r="C815">
        <f>TEST_DATA!C815</f>
        <v>45313</v>
      </c>
      <c r="D815" t="str">
        <f>TEST_DATA!D815</f>
        <v>NIL</v>
      </c>
      <c r="E815">
        <f>TEST_DATA!E815</f>
        <v>1470</v>
      </c>
      <c r="F815">
        <f>MIN(E815*81500,10000)</f>
        <v>10000</v>
      </c>
      <c r="G815" t="e">
        <f ca="1">_xludf.MINIFS(CBIC_Late_Fee_Relief_Windows_1!$I$100:$I$815,CBIC_Late_Fee_Relief_Windows_1!$D$100:$D$815,"&lt;="&amp;B815,CBIC_Late_Fee_Relief_Windows_1!$E$100:$E$815,"&gt;="&amp;B815,CBIC_Late_Fee_Relief_Windows_1!$F$100:$F$815,"&lt;="&amp;C815,CBIC_Late_Fee_Relief_Windows_1!$G$100:$G$815,"&gt;="&amp;C815,CBIC_Late_Fee_Relief_Windows_1!$H$100:$H$815,D815)</f>
        <v>#NAME?</v>
      </c>
      <c r="H815" t="e">
        <f t="shared" ca="1" si="12"/>
        <v>#NAME?</v>
      </c>
      <c r="I815" t="e">
        <f ca="1">INDEX(CBIC_Late_Fee_Relief_Windows_1!$B$100:$B$815,MATCH(G815,CBIC_Late_Fee_Relief_Windows_1!$I$100:$I$815,0))</f>
        <v>#NAME?</v>
      </c>
    </row>
    <row r="816" spans="1:9" x14ac:dyDescent="0.55000000000000004">
      <c r="A816" t="str">
        <f>TEST_DATA!A816</f>
        <v>27AAAAA0816Z5</v>
      </c>
      <c r="B816" t="str">
        <f>TEST_DATA!B816</f>
        <v>Jul-2017</v>
      </c>
      <c r="C816">
        <f>TEST_DATA!C816</f>
        <v>43909</v>
      </c>
      <c r="D816" t="str">
        <f>TEST_DATA!D816</f>
        <v>NIL</v>
      </c>
      <c r="E816">
        <f>TEST_DATA!E816</f>
        <v>799</v>
      </c>
      <c r="F816">
        <f>MIN(E816*81600,10000)</f>
        <v>10000</v>
      </c>
      <c r="G816" t="e">
        <f ca="1">_xludf.MINIFS(CBIC_Late_Fee_Relief_Windows_1!$I$100:$I$816,CBIC_Late_Fee_Relief_Windows_1!$D$100:$D$816,"&lt;="&amp;B816,CBIC_Late_Fee_Relief_Windows_1!$E$100:$E$816,"&gt;="&amp;B816,CBIC_Late_Fee_Relief_Windows_1!$F$100:$F$816,"&lt;="&amp;C816,CBIC_Late_Fee_Relief_Windows_1!$G$100:$G$816,"&gt;="&amp;C816,CBIC_Late_Fee_Relief_Windows_1!$H$100:$H$816,D816)</f>
        <v>#NAME?</v>
      </c>
      <c r="H816" t="e">
        <f t="shared" ca="1" si="12"/>
        <v>#NAME?</v>
      </c>
      <c r="I816" t="e">
        <f ca="1">INDEX(CBIC_Late_Fee_Relief_Windows_1!$B$100:$B$816,MATCH(G816,CBIC_Late_Fee_Relief_Windows_1!$I$100:$I$816,0))</f>
        <v>#NAME?</v>
      </c>
    </row>
    <row r="817" spans="1:9" x14ac:dyDescent="0.55000000000000004">
      <c r="A817" t="str">
        <f>TEST_DATA!A817</f>
        <v>27AAAAA0817Z5</v>
      </c>
      <c r="B817" t="str">
        <f>TEST_DATA!B817</f>
        <v>Dec-2022</v>
      </c>
      <c r="C817">
        <f>TEST_DATA!C817</f>
        <v>45038</v>
      </c>
      <c r="D817" t="str">
        <f>TEST_DATA!D817</f>
        <v>NON-NIL</v>
      </c>
      <c r="E817">
        <f>TEST_DATA!E817</f>
        <v>1675</v>
      </c>
      <c r="F817">
        <f>MIN(E817*81700,10000)</f>
        <v>10000</v>
      </c>
      <c r="G817" t="e">
        <f ca="1">_xludf.MINIFS(CBIC_Late_Fee_Relief_Windows_1!$I$100:$I$817,CBIC_Late_Fee_Relief_Windows_1!$D$100:$D$817,"&lt;="&amp;B817,CBIC_Late_Fee_Relief_Windows_1!$E$100:$E$817,"&gt;="&amp;B817,CBIC_Late_Fee_Relief_Windows_1!$F$100:$F$817,"&lt;="&amp;C817,CBIC_Late_Fee_Relief_Windows_1!$G$100:$G$817,"&gt;="&amp;C817,CBIC_Late_Fee_Relief_Windows_1!$H$100:$H$817,D817)</f>
        <v>#NAME?</v>
      </c>
      <c r="H817" t="e">
        <f t="shared" ca="1" si="12"/>
        <v>#NAME?</v>
      </c>
      <c r="I817" t="e">
        <f ca="1">INDEX(CBIC_Late_Fee_Relief_Windows_1!$B$100:$B$817,MATCH(G817,CBIC_Late_Fee_Relief_Windows_1!$I$100:$I$817,0))</f>
        <v>#NAME?</v>
      </c>
    </row>
    <row r="818" spans="1:9" x14ac:dyDescent="0.55000000000000004">
      <c r="A818" t="str">
        <f>TEST_DATA!A818</f>
        <v>27AAAAA0818Z5</v>
      </c>
      <c r="B818" t="str">
        <f>TEST_DATA!B818</f>
        <v>Jun-2020</v>
      </c>
      <c r="C818">
        <f>TEST_DATA!C818</f>
        <v>44838</v>
      </c>
      <c r="D818" t="str">
        <f>TEST_DATA!D818</f>
        <v>NON-NIL</v>
      </c>
      <c r="E818">
        <f>TEST_DATA!E818</f>
        <v>2908</v>
      </c>
      <c r="F818">
        <f>MIN(E818*81800,10000)</f>
        <v>10000</v>
      </c>
      <c r="G818" t="e">
        <f ca="1">_xludf.MINIFS(CBIC_Late_Fee_Relief_Windows_1!$I$100:$I$818,CBIC_Late_Fee_Relief_Windows_1!$D$100:$D$818,"&lt;="&amp;B818,CBIC_Late_Fee_Relief_Windows_1!$E$100:$E$818,"&gt;="&amp;B818,CBIC_Late_Fee_Relief_Windows_1!$F$100:$F$818,"&lt;="&amp;C818,CBIC_Late_Fee_Relief_Windows_1!$G$100:$G$818,"&gt;="&amp;C818,CBIC_Late_Fee_Relief_Windows_1!$H$100:$H$818,D818)</f>
        <v>#NAME?</v>
      </c>
      <c r="H818" t="e">
        <f t="shared" ca="1" si="12"/>
        <v>#NAME?</v>
      </c>
      <c r="I818" t="e">
        <f ca="1">INDEX(CBIC_Late_Fee_Relief_Windows_1!$B$100:$B$818,MATCH(G818,CBIC_Late_Fee_Relief_Windows_1!$I$100:$I$818,0))</f>
        <v>#NAME?</v>
      </c>
    </row>
    <row r="819" spans="1:9" x14ac:dyDescent="0.55000000000000004">
      <c r="A819" t="str">
        <f>TEST_DATA!A819</f>
        <v>27AAAAA0819Z5</v>
      </c>
      <c r="B819" t="str">
        <f>TEST_DATA!B819</f>
        <v>Dec-2022</v>
      </c>
      <c r="C819">
        <f>TEST_DATA!C819</f>
        <v>45284</v>
      </c>
      <c r="D819" t="str">
        <f>TEST_DATA!D819</f>
        <v>NON-NIL</v>
      </c>
      <c r="E819">
        <f>TEST_DATA!E819</f>
        <v>685</v>
      </c>
      <c r="F819">
        <f>MIN(E819*81900,10000)</f>
        <v>10000</v>
      </c>
      <c r="G819" t="e">
        <f ca="1">_xludf.MINIFS(CBIC_Late_Fee_Relief_Windows_1!$I$100:$I$819,CBIC_Late_Fee_Relief_Windows_1!$D$100:$D$819,"&lt;="&amp;B819,CBIC_Late_Fee_Relief_Windows_1!$E$100:$E$819,"&gt;="&amp;B819,CBIC_Late_Fee_Relief_Windows_1!$F$100:$F$819,"&lt;="&amp;C819,CBIC_Late_Fee_Relief_Windows_1!$G$100:$G$819,"&gt;="&amp;C819,CBIC_Late_Fee_Relief_Windows_1!$H$100:$H$819,D819)</f>
        <v>#NAME?</v>
      </c>
      <c r="H819" t="e">
        <f t="shared" ca="1" si="12"/>
        <v>#NAME?</v>
      </c>
      <c r="I819" t="e">
        <f ca="1">INDEX(CBIC_Late_Fee_Relief_Windows_1!$B$100:$B$819,MATCH(G819,CBIC_Late_Fee_Relief_Windows_1!$I$100:$I$819,0))</f>
        <v>#NAME?</v>
      </c>
    </row>
    <row r="820" spans="1:9" x14ac:dyDescent="0.55000000000000004">
      <c r="A820" t="str">
        <f>TEST_DATA!A820</f>
        <v>27AAAAA0820Z5</v>
      </c>
      <c r="B820" t="str">
        <f>TEST_DATA!B820</f>
        <v>Sep-2017</v>
      </c>
      <c r="C820">
        <f>TEST_DATA!C820</f>
        <v>44074</v>
      </c>
      <c r="D820" t="str">
        <f>TEST_DATA!D820</f>
        <v>NIL</v>
      </c>
      <c r="E820">
        <f>TEST_DATA!E820</f>
        <v>903</v>
      </c>
      <c r="F820">
        <f>MIN(E820*82000,10000)</f>
        <v>10000</v>
      </c>
      <c r="G820" t="e">
        <f ca="1">_xludf.MINIFS(CBIC_Late_Fee_Relief_Windows_1!$I$100:$I$820,CBIC_Late_Fee_Relief_Windows_1!$D$100:$D$820,"&lt;="&amp;B820,CBIC_Late_Fee_Relief_Windows_1!$E$100:$E$820,"&gt;="&amp;B820,CBIC_Late_Fee_Relief_Windows_1!$F$100:$F$820,"&lt;="&amp;C820,CBIC_Late_Fee_Relief_Windows_1!$G$100:$G$820,"&gt;="&amp;C820,CBIC_Late_Fee_Relief_Windows_1!$H$100:$H$820,D820)</f>
        <v>#NAME?</v>
      </c>
      <c r="H820" t="e">
        <f t="shared" ca="1" si="12"/>
        <v>#NAME?</v>
      </c>
      <c r="I820" t="e">
        <f ca="1">INDEX(CBIC_Late_Fee_Relief_Windows_1!$B$100:$B$820,MATCH(G820,CBIC_Late_Fee_Relief_Windows_1!$I$100:$I$820,0))</f>
        <v>#NAME?</v>
      </c>
    </row>
    <row r="821" spans="1:9" x14ac:dyDescent="0.55000000000000004">
      <c r="A821" t="str">
        <f>TEST_DATA!A821</f>
        <v>27AAAAA0821Z5</v>
      </c>
      <c r="B821" t="str">
        <f>TEST_DATA!B821</f>
        <v>Apr-2018</v>
      </c>
      <c r="C821">
        <f>TEST_DATA!C821</f>
        <v>42983</v>
      </c>
      <c r="D821" t="str">
        <f>TEST_DATA!D821</f>
        <v>NON-NIL</v>
      </c>
      <c r="E821">
        <f>TEST_DATA!E821</f>
        <v>920</v>
      </c>
      <c r="F821">
        <f>MIN(E821*82100,10000)</f>
        <v>10000</v>
      </c>
      <c r="G821" t="e">
        <f ca="1">_xludf.MINIFS(CBIC_Late_Fee_Relief_Windows_1!$I$100:$I$821,CBIC_Late_Fee_Relief_Windows_1!$D$100:$D$821,"&lt;="&amp;B821,CBIC_Late_Fee_Relief_Windows_1!$E$100:$E$821,"&gt;="&amp;B821,CBIC_Late_Fee_Relief_Windows_1!$F$100:$F$821,"&lt;="&amp;C821,CBIC_Late_Fee_Relief_Windows_1!$G$100:$G$821,"&gt;="&amp;C821,CBIC_Late_Fee_Relief_Windows_1!$H$100:$H$821,D821)</f>
        <v>#NAME?</v>
      </c>
      <c r="H821" t="e">
        <f t="shared" ca="1" si="12"/>
        <v>#NAME?</v>
      </c>
      <c r="I821" t="e">
        <f ca="1">INDEX(CBIC_Late_Fee_Relief_Windows_1!$B$100:$B$821,MATCH(G821,CBIC_Late_Fee_Relief_Windows_1!$I$100:$I$821,0))</f>
        <v>#NAME?</v>
      </c>
    </row>
    <row r="822" spans="1:9" x14ac:dyDescent="0.55000000000000004">
      <c r="A822" t="str">
        <f>TEST_DATA!A822</f>
        <v>27AAAAA0822Z5</v>
      </c>
      <c r="B822" t="str">
        <f>TEST_DATA!B822</f>
        <v>Dec-2019</v>
      </c>
      <c r="C822">
        <f>TEST_DATA!C822</f>
        <v>44648</v>
      </c>
      <c r="D822" t="str">
        <f>TEST_DATA!D822</f>
        <v>NIL</v>
      </c>
      <c r="E822">
        <f>TEST_DATA!E822</f>
        <v>1873</v>
      </c>
      <c r="F822">
        <f>MIN(E822*82200,10000)</f>
        <v>10000</v>
      </c>
      <c r="G822" t="e">
        <f ca="1">_xludf.MINIFS(CBIC_Late_Fee_Relief_Windows_1!$I$100:$I$822,CBIC_Late_Fee_Relief_Windows_1!$D$100:$D$822,"&lt;="&amp;B822,CBIC_Late_Fee_Relief_Windows_1!$E$100:$E$822,"&gt;="&amp;B822,CBIC_Late_Fee_Relief_Windows_1!$F$100:$F$822,"&lt;="&amp;C822,CBIC_Late_Fee_Relief_Windows_1!$G$100:$G$822,"&gt;="&amp;C822,CBIC_Late_Fee_Relief_Windows_1!$H$100:$H$822,D822)</f>
        <v>#NAME?</v>
      </c>
      <c r="H822" t="e">
        <f t="shared" ca="1" si="12"/>
        <v>#NAME?</v>
      </c>
      <c r="I822" t="e">
        <f ca="1">INDEX(CBIC_Late_Fee_Relief_Windows_1!$B$100:$B$822,MATCH(G822,CBIC_Late_Fee_Relief_Windows_1!$I$100:$I$822,0))</f>
        <v>#NAME?</v>
      </c>
    </row>
    <row r="823" spans="1:9" x14ac:dyDescent="0.55000000000000004">
      <c r="A823" t="str">
        <f>TEST_DATA!A823</f>
        <v>27AAAAA0823Z5</v>
      </c>
      <c r="B823" t="str">
        <f>TEST_DATA!B823</f>
        <v>Mar-2020</v>
      </c>
      <c r="C823">
        <f>TEST_DATA!C823</f>
        <v>44845</v>
      </c>
      <c r="D823" t="str">
        <f>TEST_DATA!D823</f>
        <v>NIL</v>
      </c>
      <c r="E823">
        <f>TEST_DATA!E823</f>
        <v>2345</v>
      </c>
      <c r="F823">
        <f>MIN(E823*82300,10000)</f>
        <v>10000</v>
      </c>
      <c r="G823" t="e">
        <f ca="1">_xludf.MINIFS(CBIC_Late_Fee_Relief_Windows_1!$I$100:$I$823,CBIC_Late_Fee_Relief_Windows_1!$D$100:$D$823,"&lt;="&amp;B823,CBIC_Late_Fee_Relief_Windows_1!$E$100:$E$823,"&gt;="&amp;B823,CBIC_Late_Fee_Relief_Windows_1!$F$100:$F$823,"&lt;="&amp;C823,CBIC_Late_Fee_Relief_Windows_1!$G$100:$G$823,"&gt;="&amp;C823,CBIC_Late_Fee_Relief_Windows_1!$H$100:$H$823,D823)</f>
        <v>#NAME?</v>
      </c>
      <c r="H823" t="e">
        <f t="shared" ca="1" si="12"/>
        <v>#NAME?</v>
      </c>
      <c r="I823" t="e">
        <f ca="1">INDEX(CBIC_Late_Fee_Relief_Windows_1!$B$100:$B$823,MATCH(G823,CBIC_Late_Fee_Relief_Windows_1!$I$100:$I$823,0))</f>
        <v>#NAME?</v>
      </c>
    </row>
    <row r="824" spans="1:9" x14ac:dyDescent="0.55000000000000004">
      <c r="A824" t="str">
        <f>TEST_DATA!A824</f>
        <v>27AAAAA0824Z5</v>
      </c>
      <c r="B824" t="str">
        <f>TEST_DATA!B824</f>
        <v>Oct-2017</v>
      </c>
      <c r="C824">
        <f>TEST_DATA!C824</f>
        <v>43465</v>
      </c>
      <c r="D824" t="str">
        <f>TEST_DATA!D824</f>
        <v>NON-NIL</v>
      </c>
      <c r="E824">
        <f>TEST_DATA!E824</f>
        <v>2220</v>
      </c>
      <c r="F824">
        <f>MIN(E824*82400,10000)</f>
        <v>10000</v>
      </c>
      <c r="G824" t="e">
        <f ca="1">_xludf.MINIFS(CBIC_Late_Fee_Relief_Windows_1!$I$100:$I$824,CBIC_Late_Fee_Relief_Windows_1!$D$100:$D$824,"&lt;="&amp;B824,CBIC_Late_Fee_Relief_Windows_1!$E$100:$E$824,"&gt;="&amp;B824,CBIC_Late_Fee_Relief_Windows_1!$F$100:$F$824,"&lt;="&amp;C824,CBIC_Late_Fee_Relief_Windows_1!$G$100:$G$824,"&gt;="&amp;C824,CBIC_Late_Fee_Relief_Windows_1!$H$100:$H$824,D824)</f>
        <v>#NAME?</v>
      </c>
      <c r="H824" t="e">
        <f t="shared" ca="1" si="12"/>
        <v>#NAME?</v>
      </c>
      <c r="I824" t="e">
        <f ca="1">INDEX(CBIC_Late_Fee_Relief_Windows_1!$B$100:$B$824,MATCH(G824,CBIC_Late_Fee_Relief_Windows_1!$I$100:$I$824,0))</f>
        <v>#NAME?</v>
      </c>
    </row>
    <row r="825" spans="1:9" x14ac:dyDescent="0.55000000000000004">
      <c r="A825" t="str">
        <f>TEST_DATA!A825</f>
        <v>27AAAAA0825Z5</v>
      </c>
      <c r="B825" t="str">
        <f>TEST_DATA!B825</f>
        <v>Dec-2022</v>
      </c>
      <c r="C825">
        <f>TEST_DATA!C825</f>
        <v>43636</v>
      </c>
      <c r="D825" t="str">
        <f>TEST_DATA!D825</f>
        <v>NON-NIL</v>
      </c>
      <c r="E825">
        <f>TEST_DATA!E825</f>
        <v>2237</v>
      </c>
      <c r="F825">
        <f>MIN(E825*82500,10000)</f>
        <v>10000</v>
      </c>
      <c r="G825" t="e">
        <f ca="1">_xludf.MINIFS(CBIC_Late_Fee_Relief_Windows_1!$I$100:$I$825,CBIC_Late_Fee_Relief_Windows_1!$D$100:$D$825,"&lt;="&amp;B825,CBIC_Late_Fee_Relief_Windows_1!$E$100:$E$825,"&gt;="&amp;B825,CBIC_Late_Fee_Relief_Windows_1!$F$100:$F$825,"&lt;="&amp;C825,CBIC_Late_Fee_Relief_Windows_1!$G$100:$G$825,"&gt;="&amp;C825,CBIC_Late_Fee_Relief_Windows_1!$H$100:$H$825,D825)</f>
        <v>#NAME?</v>
      </c>
      <c r="H825" t="e">
        <f t="shared" ca="1" si="12"/>
        <v>#NAME?</v>
      </c>
      <c r="I825" t="e">
        <f ca="1">INDEX(CBIC_Late_Fee_Relief_Windows_1!$B$100:$B$825,MATCH(G825,CBIC_Late_Fee_Relief_Windows_1!$I$100:$I$825,0))</f>
        <v>#NAME?</v>
      </c>
    </row>
    <row r="826" spans="1:9" x14ac:dyDescent="0.55000000000000004">
      <c r="A826" t="str">
        <f>TEST_DATA!A826</f>
        <v>27AAAAA0826Z5</v>
      </c>
      <c r="B826" t="str">
        <f>TEST_DATA!B826</f>
        <v>Jan-2018</v>
      </c>
      <c r="C826">
        <f>TEST_DATA!C826</f>
        <v>43787</v>
      </c>
      <c r="D826" t="str">
        <f>TEST_DATA!D826</f>
        <v>NIL</v>
      </c>
      <c r="E826">
        <f>TEST_DATA!E826</f>
        <v>2677</v>
      </c>
      <c r="F826">
        <f>MIN(E826*82600,10000)</f>
        <v>10000</v>
      </c>
      <c r="G826" t="e">
        <f ca="1">_xludf.MINIFS(CBIC_Late_Fee_Relief_Windows_1!$I$100:$I$826,CBIC_Late_Fee_Relief_Windows_1!$D$100:$D$826,"&lt;="&amp;B826,CBIC_Late_Fee_Relief_Windows_1!$E$100:$E$826,"&gt;="&amp;B826,CBIC_Late_Fee_Relief_Windows_1!$F$100:$F$826,"&lt;="&amp;C826,CBIC_Late_Fee_Relief_Windows_1!$G$100:$G$826,"&gt;="&amp;C826,CBIC_Late_Fee_Relief_Windows_1!$H$100:$H$826,D826)</f>
        <v>#NAME?</v>
      </c>
      <c r="H826" t="e">
        <f t="shared" ca="1" si="12"/>
        <v>#NAME?</v>
      </c>
      <c r="I826" t="e">
        <f ca="1">INDEX(CBIC_Late_Fee_Relief_Windows_1!$B$100:$B$826,MATCH(G826,CBIC_Late_Fee_Relief_Windows_1!$I$100:$I$826,0))</f>
        <v>#NAME?</v>
      </c>
    </row>
    <row r="827" spans="1:9" x14ac:dyDescent="0.55000000000000004">
      <c r="A827" t="str">
        <f>TEST_DATA!A827</f>
        <v>27AAAAA0827Z5</v>
      </c>
      <c r="B827" t="str">
        <f>TEST_DATA!B827</f>
        <v>Mar-2021</v>
      </c>
      <c r="C827">
        <f>TEST_DATA!C827</f>
        <v>44479</v>
      </c>
      <c r="D827" t="str">
        <f>TEST_DATA!D827</f>
        <v>NON-NIL</v>
      </c>
      <c r="E827">
        <f>TEST_DATA!E827</f>
        <v>132</v>
      </c>
      <c r="F827">
        <f>MIN(E827*82700,10000)</f>
        <v>10000</v>
      </c>
      <c r="G827" t="e">
        <f ca="1">_xludf.MINIFS(CBIC_Late_Fee_Relief_Windows_1!$I$100:$I$827,CBIC_Late_Fee_Relief_Windows_1!$D$100:$D$827,"&lt;="&amp;B827,CBIC_Late_Fee_Relief_Windows_1!$E$100:$E$827,"&gt;="&amp;B827,CBIC_Late_Fee_Relief_Windows_1!$F$100:$F$827,"&lt;="&amp;C827,CBIC_Late_Fee_Relief_Windows_1!$G$100:$G$827,"&gt;="&amp;C827,CBIC_Late_Fee_Relief_Windows_1!$H$100:$H$827,D827)</f>
        <v>#NAME?</v>
      </c>
      <c r="H827" t="e">
        <f t="shared" ca="1" si="12"/>
        <v>#NAME?</v>
      </c>
      <c r="I827" t="e">
        <f ca="1">INDEX(CBIC_Late_Fee_Relief_Windows_1!$B$100:$B$827,MATCH(G827,CBIC_Late_Fee_Relief_Windows_1!$I$100:$I$827,0))</f>
        <v>#NAME?</v>
      </c>
    </row>
    <row r="828" spans="1:9" x14ac:dyDescent="0.55000000000000004">
      <c r="A828" t="str">
        <f>TEST_DATA!A828</f>
        <v>27AAAAA0828Z5</v>
      </c>
      <c r="B828" t="str">
        <f>TEST_DATA!B828</f>
        <v>Sep-2018</v>
      </c>
      <c r="C828">
        <f>TEST_DATA!C828</f>
        <v>43455</v>
      </c>
      <c r="D828" t="str">
        <f>TEST_DATA!D828</f>
        <v>NON-NIL</v>
      </c>
      <c r="E828">
        <f>TEST_DATA!E828</f>
        <v>356</v>
      </c>
      <c r="F828">
        <f>MIN(E828*82800,10000)</f>
        <v>10000</v>
      </c>
      <c r="G828" t="e">
        <f ca="1">_xludf.MINIFS(CBIC_Late_Fee_Relief_Windows_1!$I$100:$I$828,CBIC_Late_Fee_Relief_Windows_1!$D$100:$D$828,"&lt;="&amp;B828,CBIC_Late_Fee_Relief_Windows_1!$E$100:$E$828,"&gt;="&amp;B828,CBIC_Late_Fee_Relief_Windows_1!$F$100:$F$828,"&lt;="&amp;C828,CBIC_Late_Fee_Relief_Windows_1!$G$100:$G$828,"&gt;="&amp;C828,CBIC_Late_Fee_Relief_Windows_1!$H$100:$H$828,D828)</f>
        <v>#NAME?</v>
      </c>
      <c r="H828" t="e">
        <f t="shared" ca="1" si="12"/>
        <v>#NAME?</v>
      </c>
      <c r="I828" t="e">
        <f ca="1">INDEX(CBIC_Late_Fee_Relief_Windows_1!$B$100:$B$828,MATCH(G828,CBIC_Late_Fee_Relief_Windows_1!$I$100:$I$828,0))</f>
        <v>#NAME?</v>
      </c>
    </row>
    <row r="829" spans="1:9" x14ac:dyDescent="0.55000000000000004">
      <c r="A829" t="str">
        <f>TEST_DATA!A829</f>
        <v>27AAAAA0829Z5</v>
      </c>
      <c r="B829" t="str">
        <f>TEST_DATA!B829</f>
        <v>Sep-2018</v>
      </c>
      <c r="C829">
        <f>TEST_DATA!C829</f>
        <v>43157</v>
      </c>
      <c r="D829" t="str">
        <f>TEST_DATA!D829</f>
        <v>NIL</v>
      </c>
      <c r="E829">
        <f>TEST_DATA!E829</f>
        <v>859</v>
      </c>
      <c r="F829">
        <f>MIN(E829*82900,10000)</f>
        <v>10000</v>
      </c>
      <c r="G829" t="e">
        <f ca="1">_xludf.MINIFS(CBIC_Late_Fee_Relief_Windows_1!$I$100:$I$829,CBIC_Late_Fee_Relief_Windows_1!$D$100:$D$829,"&lt;="&amp;B829,CBIC_Late_Fee_Relief_Windows_1!$E$100:$E$829,"&gt;="&amp;B829,CBIC_Late_Fee_Relief_Windows_1!$F$100:$F$829,"&lt;="&amp;C829,CBIC_Late_Fee_Relief_Windows_1!$G$100:$G$829,"&gt;="&amp;C829,CBIC_Late_Fee_Relief_Windows_1!$H$100:$H$829,D829)</f>
        <v>#NAME?</v>
      </c>
      <c r="H829" t="e">
        <f t="shared" ca="1" si="12"/>
        <v>#NAME?</v>
      </c>
      <c r="I829" t="e">
        <f ca="1">INDEX(CBIC_Late_Fee_Relief_Windows_1!$B$100:$B$829,MATCH(G829,CBIC_Late_Fee_Relief_Windows_1!$I$100:$I$829,0))</f>
        <v>#NAME?</v>
      </c>
    </row>
    <row r="830" spans="1:9" x14ac:dyDescent="0.55000000000000004">
      <c r="A830" t="str">
        <f>TEST_DATA!A830</f>
        <v>27AAAAA0830Z5</v>
      </c>
      <c r="B830" t="str">
        <f>TEST_DATA!B830</f>
        <v>Apr-2021</v>
      </c>
      <c r="C830">
        <f>TEST_DATA!C830</f>
        <v>44902</v>
      </c>
      <c r="D830" t="str">
        <f>TEST_DATA!D830</f>
        <v>NON-NIL</v>
      </c>
      <c r="E830">
        <f>TEST_DATA!E830</f>
        <v>679</v>
      </c>
      <c r="F830">
        <f>MIN(E830*83000,10000)</f>
        <v>10000</v>
      </c>
      <c r="G830" t="e">
        <f ca="1">_xludf.MINIFS(CBIC_Late_Fee_Relief_Windows_1!$I$100:$I$830,CBIC_Late_Fee_Relief_Windows_1!$D$100:$D$830,"&lt;="&amp;B830,CBIC_Late_Fee_Relief_Windows_1!$E$100:$E$830,"&gt;="&amp;B830,CBIC_Late_Fee_Relief_Windows_1!$F$100:$F$830,"&lt;="&amp;C830,CBIC_Late_Fee_Relief_Windows_1!$G$100:$G$830,"&gt;="&amp;C830,CBIC_Late_Fee_Relief_Windows_1!$H$100:$H$830,D830)</f>
        <v>#NAME?</v>
      </c>
      <c r="H830" t="e">
        <f t="shared" ca="1" si="12"/>
        <v>#NAME?</v>
      </c>
      <c r="I830" t="e">
        <f ca="1">INDEX(CBIC_Late_Fee_Relief_Windows_1!$B$100:$B$830,MATCH(G830,CBIC_Late_Fee_Relief_Windows_1!$I$100:$I$830,0))</f>
        <v>#NAME?</v>
      </c>
    </row>
    <row r="831" spans="1:9" x14ac:dyDescent="0.55000000000000004">
      <c r="A831" t="str">
        <f>TEST_DATA!A831</f>
        <v>27AAAAA0831Z5</v>
      </c>
      <c r="B831" t="str">
        <f>TEST_DATA!B831</f>
        <v>Apr-2020</v>
      </c>
      <c r="C831">
        <f>TEST_DATA!C831</f>
        <v>44116</v>
      </c>
      <c r="D831" t="str">
        <f>TEST_DATA!D831</f>
        <v>NIL</v>
      </c>
      <c r="E831">
        <f>TEST_DATA!E831</f>
        <v>847</v>
      </c>
      <c r="F831">
        <f>MIN(E831*83100,10000)</f>
        <v>10000</v>
      </c>
      <c r="G831" t="e">
        <f ca="1">_xludf.MINIFS(CBIC_Late_Fee_Relief_Windows_1!$I$100:$I$831,CBIC_Late_Fee_Relief_Windows_1!$D$100:$D$831,"&lt;="&amp;B831,CBIC_Late_Fee_Relief_Windows_1!$E$100:$E$831,"&gt;="&amp;B831,CBIC_Late_Fee_Relief_Windows_1!$F$100:$F$831,"&lt;="&amp;C831,CBIC_Late_Fee_Relief_Windows_1!$G$100:$G$831,"&gt;="&amp;C831,CBIC_Late_Fee_Relief_Windows_1!$H$100:$H$831,D831)</f>
        <v>#NAME?</v>
      </c>
      <c r="H831" t="e">
        <f t="shared" ca="1" si="12"/>
        <v>#NAME?</v>
      </c>
      <c r="I831" t="e">
        <f ca="1">INDEX(CBIC_Late_Fee_Relief_Windows_1!$B$100:$B$831,MATCH(G831,CBIC_Late_Fee_Relief_Windows_1!$I$100:$I$831,0))</f>
        <v>#NAME?</v>
      </c>
    </row>
    <row r="832" spans="1:9" x14ac:dyDescent="0.55000000000000004">
      <c r="A832" t="str">
        <f>TEST_DATA!A832</f>
        <v>27AAAAA0832Z5</v>
      </c>
      <c r="B832" t="str">
        <f>TEST_DATA!B832</f>
        <v>Apr-2021</v>
      </c>
      <c r="C832">
        <f>TEST_DATA!C832</f>
        <v>43709</v>
      </c>
      <c r="D832" t="str">
        <f>TEST_DATA!D832</f>
        <v>NON-NIL</v>
      </c>
      <c r="E832">
        <f>TEST_DATA!E832</f>
        <v>2180</v>
      </c>
      <c r="F832">
        <f>MIN(E832*83200,10000)</f>
        <v>10000</v>
      </c>
      <c r="G832" t="e">
        <f ca="1">_xludf.MINIFS(CBIC_Late_Fee_Relief_Windows_1!$I$100:$I$832,CBIC_Late_Fee_Relief_Windows_1!$D$100:$D$832,"&lt;="&amp;B832,CBIC_Late_Fee_Relief_Windows_1!$E$100:$E$832,"&gt;="&amp;B832,CBIC_Late_Fee_Relief_Windows_1!$F$100:$F$832,"&lt;="&amp;C832,CBIC_Late_Fee_Relief_Windows_1!$G$100:$G$832,"&gt;="&amp;C832,CBIC_Late_Fee_Relief_Windows_1!$H$100:$H$832,D832)</f>
        <v>#NAME?</v>
      </c>
      <c r="H832" t="e">
        <f t="shared" ca="1" si="12"/>
        <v>#NAME?</v>
      </c>
      <c r="I832" t="e">
        <f ca="1">INDEX(CBIC_Late_Fee_Relief_Windows_1!$B$100:$B$832,MATCH(G832,CBIC_Late_Fee_Relief_Windows_1!$I$100:$I$832,0))</f>
        <v>#NAME?</v>
      </c>
    </row>
    <row r="833" spans="1:9" x14ac:dyDescent="0.55000000000000004">
      <c r="A833" t="str">
        <f>TEST_DATA!A833</f>
        <v>27AAAAA0833Z5</v>
      </c>
      <c r="B833" t="str">
        <f>TEST_DATA!B833</f>
        <v>Mar-2018</v>
      </c>
      <c r="C833">
        <f>TEST_DATA!C833</f>
        <v>44139</v>
      </c>
      <c r="D833" t="str">
        <f>TEST_DATA!D833</f>
        <v>NIL</v>
      </c>
      <c r="E833">
        <f>TEST_DATA!E833</f>
        <v>1325</v>
      </c>
      <c r="F833">
        <f>MIN(E833*83300,10000)</f>
        <v>10000</v>
      </c>
      <c r="G833" t="e">
        <f ca="1">_xludf.MINIFS(CBIC_Late_Fee_Relief_Windows_1!$I$100:$I$833,CBIC_Late_Fee_Relief_Windows_1!$D$100:$D$833,"&lt;="&amp;B833,CBIC_Late_Fee_Relief_Windows_1!$E$100:$E$833,"&gt;="&amp;B833,CBIC_Late_Fee_Relief_Windows_1!$F$100:$F$833,"&lt;="&amp;C833,CBIC_Late_Fee_Relief_Windows_1!$G$100:$G$833,"&gt;="&amp;C833,CBIC_Late_Fee_Relief_Windows_1!$H$100:$H$833,D833)</f>
        <v>#NAME?</v>
      </c>
      <c r="H833" t="e">
        <f t="shared" ca="1" si="12"/>
        <v>#NAME?</v>
      </c>
      <c r="I833" t="e">
        <f ca="1">INDEX(CBIC_Late_Fee_Relief_Windows_1!$B$100:$B$833,MATCH(G833,CBIC_Late_Fee_Relief_Windows_1!$I$100:$I$833,0))</f>
        <v>#NAME?</v>
      </c>
    </row>
    <row r="834" spans="1:9" x14ac:dyDescent="0.55000000000000004">
      <c r="A834" t="str">
        <f>TEST_DATA!A834</f>
        <v>27AAAAA0834Z5</v>
      </c>
      <c r="B834" t="str">
        <f>TEST_DATA!B834</f>
        <v>Jul-2020</v>
      </c>
      <c r="C834">
        <f>TEST_DATA!C834</f>
        <v>44430</v>
      </c>
      <c r="D834" t="str">
        <f>TEST_DATA!D834</f>
        <v>NON-NIL</v>
      </c>
      <c r="E834">
        <f>TEST_DATA!E834</f>
        <v>2345</v>
      </c>
      <c r="F834">
        <f>MIN(E834*83400,10000)</f>
        <v>10000</v>
      </c>
      <c r="G834" t="e">
        <f ca="1">_xludf.MINIFS(CBIC_Late_Fee_Relief_Windows_1!$I$100:$I$834,CBIC_Late_Fee_Relief_Windows_1!$D$100:$D$834,"&lt;="&amp;B834,CBIC_Late_Fee_Relief_Windows_1!$E$100:$E$834,"&gt;="&amp;B834,CBIC_Late_Fee_Relief_Windows_1!$F$100:$F$834,"&lt;="&amp;C834,CBIC_Late_Fee_Relief_Windows_1!$G$100:$G$834,"&gt;="&amp;C834,CBIC_Late_Fee_Relief_Windows_1!$H$100:$H$834,D834)</f>
        <v>#NAME?</v>
      </c>
      <c r="H834" t="e">
        <f t="shared" ref="H834:H897" ca="1" si="13">MIN(F834,G834)</f>
        <v>#NAME?</v>
      </c>
      <c r="I834" t="e">
        <f ca="1">INDEX(CBIC_Late_Fee_Relief_Windows_1!$B$100:$B$834,MATCH(G834,CBIC_Late_Fee_Relief_Windows_1!$I$100:$I$834,0))</f>
        <v>#NAME?</v>
      </c>
    </row>
    <row r="835" spans="1:9" x14ac:dyDescent="0.55000000000000004">
      <c r="A835" t="str">
        <f>TEST_DATA!A835</f>
        <v>27AAAAA0835Z5</v>
      </c>
      <c r="B835" t="str">
        <f>TEST_DATA!B835</f>
        <v>Mar-2018</v>
      </c>
      <c r="C835">
        <f>TEST_DATA!C835</f>
        <v>43970</v>
      </c>
      <c r="D835" t="str">
        <f>TEST_DATA!D835</f>
        <v>NIL</v>
      </c>
      <c r="E835">
        <f>TEST_DATA!E835</f>
        <v>555</v>
      </c>
      <c r="F835">
        <f>MIN(E835*83500,10000)</f>
        <v>10000</v>
      </c>
      <c r="G835" t="e">
        <f ca="1">_xludf.MINIFS(CBIC_Late_Fee_Relief_Windows_1!$I$100:$I$835,CBIC_Late_Fee_Relief_Windows_1!$D$100:$D$835,"&lt;="&amp;B835,CBIC_Late_Fee_Relief_Windows_1!$E$100:$E$835,"&gt;="&amp;B835,CBIC_Late_Fee_Relief_Windows_1!$F$100:$F$835,"&lt;="&amp;C835,CBIC_Late_Fee_Relief_Windows_1!$G$100:$G$835,"&gt;="&amp;C835,CBIC_Late_Fee_Relief_Windows_1!$H$100:$H$835,D835)</f>
        <v>#NAME?</v>
      </c>
      <c r="H835" t="e">
        <f t="shared" ca="1" si="13"/>
        <v>#NAME?</v>
      </c>
      <c r="I835" t="e">
        <f ca="1">INDEX(CBIC_Late_Fee_Relief_Windows_1!$B$100:$B$835,MATCH(G835,CBIC_Late_Fee_Relief_Windows_1!$I$100:$I$835,0))</f>
        <v>#NAME?</v>
      </c>
    </row>
    <row r="836" spans="1:9" x14ac:dyDescent="0.55000000000000004">
      <c r="A836" t="str">
        <f>TEST_DATA!A836</f>
        <v>27AAAAA0836Z5</v>
      </c>
      <c r="B836" t="str">
        <f>TEST_DATA!B836</f>
        <v>Mar-2021</v>
      </c>
      <c r="C836">
        <f>TEST_DATA!C836</f>
        <v>45151</v>
      </c>
      <c r="D836" t="str">
        <f>TEST_DATA!D836</f>
        <v>NIL</v>
      </c>
      <c r="E836">
        <f>TEST_DATA!E836</f>
        <v>1135</v>
      </c>
      <c r="F836">
        <f>MIN(E836*83600,10000)</f>
        <v>10000</v>
      </c>
      <c r="G836" t="e">
        <f ca="1">_xludf.MINIFS(CBIC_Late_Fee_Relief_Windows_1!$I$100:$I$836,CBIC_Late_Fee_Relief_Windows_1!$D$100:$D$836,"&lt;="&amp;B836,CBIC_Late_Fee_Relief_Windows_1!$E$100:$E$836,"&gt;="&amp;B836,CBIC_Late_Fee_Relief_Windows_1!$F$100:$F$836,"&lt;="&amp;C836,CBIC_Late_Fee_Relief_Windows_1!$G$100:$G$836,"&gt;="&amp;C836,CBIC_Late_Fee_Relief_Windows_1!$H$100:$H$836,D836)</f>
        <v>#NAME?</v>
      </c>
      <c r="H836" t="e">
        <f t="shared" ca="1" si="13"/>
        <v>#NAME?</v>
      </c>
      <c r="I836" t="e">
        <f ca="1">INDEX(CBIC_Late_Fee_Relief_Windows_1!$B$100:$B$836,MATCH(G836,CBIC_Late_Fee_Relief_Windows_1!$I$100:$I$836,0))</f>
        <v>#NAME?</v>
      </c>
    </row>
    <row r="837" spans="1:9" x14ac:dyDescent="0.55000000000000004">
      <c r="A837" t="str">
        <f>TEST_DATA!A837</f>
        <v>27AAAAA0837Z5</v>
      </c>
      <c r="B837" t="str">
        <f>TEST_DATA!B837</f>
        <v>Mar-2023</v>
      </c>
      <c r="C837">
        <f>TEST_DATA!C837</f>
        <v>43985</v>
      </c>
      <c r="D837" t="str">
        <f>TEST_DATA!D837</f>
        <v>NIL</v>
      </c>
      <c r="E837">
        <f>TEST_DATA!E837</f>
        <v>1022</v>
      </c>
      <c r="F837">
        <f>MIN(E837*83700,10000)</f>
        <v>10000</v>
      </c>
      <c r="G837" t="e">
        <f ca="1">_xludf.MINIFS(CBIC_Late_Fee_Relief_Windows_1!$I$100:$I$837,CBIC_Late_Fee_Relief_Windows_1!$D$100:$D$837,"&lt;="&amp;B837,CBIC_Late_Fee_Relief_Windows_1!$E$100:$E$837,"&gt;="&amp;B837,CBIC_Late_Fee_Relief_Windows_1!$F$100:$F$837,"&lt;="&amp;C837,CBIC_Late_Fee_Relief_Windows_1!$G$100:$G$837,"&gt;="&amp;C837,CBIC_Late_Fee_Relief_Windows_1!$H$100:$H$837,D837)</f>
        <v>#NAME?</v>
      </c>
      <c r="H837" t="e">
        <f t="shared" ca="1" si="13"/>
        <v>#NAME?</v>
      </c>
      <c r="I837" t="e">
        <f ca="1">INDEX(CBIC_Late_Fee_Relief_Windows_1!$B$100:$B$837,MATCH(G837,CBIC_Late_Fee_Relief_Windows_1!$I$100:$I$837,0))</f>
        <v>#NAME?</v>
      </c>
    </row>
    <row r="838" spans="1:9" x14ac:dyDescent="0.55000000000000004">
      <c r="A838" t="str">
        <f>TEST_DATA!A838</f>
        <v>27AAAAA0838Z5</v>
      </c>
      <c r="B838" t="str">
        <f>TEST_DATA!B838</f>
        <v>Nov-2017</v>
      </c>
      <c r="C838">
        <f>TEST_DATA!C838</f>
        <v>44373</v>
      </c>
      <c r="D838" t="str">
        <f>TEST_DATA!D838</f>
        <v>NON-NIL</v>
      </c>
      <c r="E838">
        <f>TEST_DATA!E838</f>
        <v>1013</v>
      </c>
      <c r="F838">
        <f>MIN(E838*83800,10000)</f>
        <v>10000</v>
      </c>
      <c r="G838" t="e">
        <f ca="1">_xludf.MINIFS(CBIC_Late_Fee_Relief_Windows_1!$I$100:$I$838,CBIC_Late_Fee_Relief_Windows_1!$D$100:$D$838,"&lt;="&amp;B838,CBIC_Late_Fee_Relief_Windows_1!$E$100:$E$838,"&gt;="&amp;B838,CBIC_Late_Fee_Relief_Windows_1!$F$100:$F$838,"&lt;="&amp;C838,CBIC_Late_Fee_Relief_Windows_1!$G$100:$G$838,"&gt;="&amp;C838,CBIC_Late_Fee_Relief_Windows_1!$H$100:$H$838,D838)</f>
        <v>#NAME?</v>
      </c>
      <c r="H838" t="e">
        <f t="shared" ca="1" si="13"/>
        <v>#NAME?</v>
      </c>
      <c r="I838" t="e">
        <f ca="1">INDEX(CBIC_Late_Fee_Relief_Windows_1!$B$100:$B$838,MATCH(G838,CBIC_Late_Fee_Relief_Windows_1!$I$100:$I$838,0))</f>
        <v>#NAME?</v>
      </c>
    </row>
    <row r="839" spans="1:9" x14ac:dyDescent="0.55000000000000004">
      <c r="A839" t="str">
        <f>TEST_DATA!A839</f>
        <v>27AAAAA0839Z5</v>
      </c>
      <c r="B839" t="str">
        <f>TEST_DATA!B839</f>
        <v>Mar-2021</v>
      </c>
      <c r="C839">
        <f>TEST_DATA!C839</f>
        <v>45074</v>
      </c>
      <c r="D839" t="str">
        <f>TEST_DATA!D839</f>
        <v>NON-NIL</v>
      </c>
      <c r="E839">
        <f>TEST_DATA!E839</f>
        <v>582</v>
      </c>
      <c r="F839">
        <f>MIN(E839*83900,10000)</f>
        <v>10000</v>
      </c>
      <c r="G839" t="e">
        <f ca="1">_xludf.MINIFS(CBIC_Late_Fee_Relief_Windows_1!$I$100:$I$839,CBIC_Late_Fee_Relief_Windows_1!$D$100:$D$839,"&lt;="&amp;B839,CBIC_Late_Fee_Relief_Windows_1!$E$100:$E$839,"&gt;="&amp;B839,CBIC_Late_Fee_Relief_Windows_1!$F$100:$F$839,"&lt;="&amp;C839,CBIC_Late_Fee_Relief_Windows_1!$G$100:$G$839,"&gt;="&amp;C839,CBIC_Late_Fee_Relief_Windows_1!$H$100:$H$839,D839)</f>
        <v>#NAME?</v>
      </c>
      <c r="H839" t="e">
        <f t="shared" ca="1" si="13"/>
        <v>#NAME?</v>
      </c>
      <c r="I839" t="e">
        <f ca="1">INDEX(CBIC_Late_Fee_Relief_Windows_1!$B$100:$B$839,MATCH(G839,CBIC_Late_Fee_Relief_Windows_1!$I$100:$I$839,0))</f>
        <v>#NAME?</v>
      </c>
    </row>
    <row r="840" spans="1:9" x14ac:dyDescent="0.55000000000000004">
      <c r="A840" t="str">
        <f>TEST_DATA!A840</f>
        <v>27AAAAA0840Z5</v>
      </c>
      <c r="B840" t="str">
        <f>TEST_DATA!B840</f>
        <v>Mar-2020</v>
      </c>
      <c r="C840">
        <f>TEST_DATA!C840</f>
        <v>44381</v>
      </c>
      <c r="D840" t="str">
        <f>TEST_DATA!D840</f>
        <v>NON-NIL</v>
      </c>
      <c r="E840">
        <f>TEST_DATA!E840</f>
        <v>1536</v>
      </c>
      <c r="F840">
        <f>MIN(E840*84000,10000)</f>
        <v>10000</v>
      </c>
      <c r="G840" t="e">
        <f ca="1">_xludf.MINIFS(CBIC_Late_Fee_Relief_Windows_1!$I$100:$I$840,CBIC_Late_Fee_Relief_Windows_1!$D$100:$D$840,"&lt;="&amp;B840,CBIC_Late_Fee_Relief_Windows_1!$E$100:$E$840,"&gt;="&amp;B840,CBIC_Late_Fee_Relief_Windows_1!$F$100:$F$840,"&lt;="&amp;C840,CBIC_Late_Fee_Relief_Windows_1!$G$100:$G$840,"&gt;="&amp;C840,CBIC_Late_Fee_Relief_Windows_1!$H$100:$H$840,D840)</f>
        <v>#NAME?</v>
      </c>
      <c r="H840" t="e">
        <f t="shared" ca="1" si="13"/>
        <v>#NAME?</v>
      </c>
      <c r="I840" t="e">
        <f ca="1">INDEX(CBIC_Late_Fee_Relief_Windows_1!$B$100:$B$840,MATCH(G840,CBIC_Late_Fee_Relief_Windows_1!$I$100:$I$840,0))</f>
        <v>#NAME?</v>
      </c>
    </row>
    <row r="841" spans="1:9" x14ac:dyDescent="0.55000000000000004">
      <c r="A841" t="str">
        <f>TEST_DATA!A841</f>
        <v>27AAAAA0841Z5</v>
      </c>
      <c r="B841" t="str">
        <f>TEST_DATA!B841</f>
        <v>Sep-2018</v>
      </c>
      <c r="C841">
        <f>TEST_DATA!C841</f>
        <v>43071</v>
      </c>
      <c r="D841" t="str">
        <f>TEST_DATA!D841</f>
        <v>NIL</v>
      </c>
      <c r="E841">
        <f>TEST_DATA!E841</f>
        <v>1650</v>
      </c>
      <c r="F841">
        <f>MIN(E841*84100,10000)</f>
        <v>10000</v>
      </c>
      <c r="G841" t="e">
        <f ca="1">_xludf.MINIFS(CBIC_Late_Fee_Relief_Windows_1!$I$100:$I$841,CBIC_Late_Fee_Relief_Windows_1!$D$100:$D$841,"&lt;="&amp;B841,CBIC_Late_Fee_Relief_Windows_1!$E$100:$E$841,"&gt;="&amp;B841,CBIC_Late_Fee_Relief_Windows_1!$F$100:$F$841,"&lt;="&amp;C841,CBIC_Late_Fee_Relief_Windows_1!$G$100:$G$841,"&gt;="&amp;C841,CBIC_Late_Fee_Relief_Windows_1!$H$100:$H$841,D841)</f>
        <v>#NAME?</v>
      </c>
      <c r="H841" t="e">
        <f t="shared" ca="1" si="13"/>
        <v>#NAME?</v>
      </c>
      <c r="I841" t="e">
        <f ca="1">INDEX(CBIC_Late_Fee_Relief_Windows_1!$B$100:$B$841,MATCH(G841,CBIC_Late_Fee_Relief_Windows_1!$I$100:$I$841,0))</f>
        <v>#NAME?</v>
      </c>
    </row>
    <row r="842" spans="1:9" x14ac:dyDescent="0.55000000000000004">
      <c r="A842" t="str">
        <f>TEST_DATA!A842</f>
        <v>27AAAAA0842Z5</v>
      </c>
      <c r="B842" t="str">
        <f>TEST_DATA!B842</f>
        <v>Jun-2019</v>
      </c>
      <c r="C842">
        <f>TEST_DATA!C842</f>
        <v>44605</v>
      </c>
      <c r="D842" t="str">
        <f>TEST_DATA!D842</f>
        <v>NON-NIL</v>
      </c>
      <c r="E842">
        <f>TEST_DATA!E842</f>
        <v>1862</v>
      </c>
      <c r="F842">
        <f>MIN(E842*84200,10000)</f>
        <v>10000</v>
      </c>
      <c r="G842" t="e">
        <f ca="1">_xludf.MINIFS(CBIC_Late_Fee_Relief_Windows_1!$I$100:$I$842,CBIC_Late_Fee_Relief_Windows_1!$D$100:$D$842,"&lt;="&amp;B842,CBIC_Late_Fee_Relief_Windows_1!$E$100:$E$842,"&gt;="&amp;B842,CBIC_Late_Fee_Relief_Windows_1!$F$100:$F$842,"&lt;="&amp;C842,CBIC_Late_Fee_Relief_Windows_1!$G$100:$G$842,"&gt;="&amp;C842,CBIC_Late_Fee_Relief_Windows_1!$H$100:$H$842,D842)</f>
        <v>#NAME?</v>
      </c>
      <c r="H842" t="e">
        <f t="shared" ca="1" si="13"/>
        <v>#NAME?</v>
      </c>
      <c r="I842" t="e">
        <f ca="1">INDEX(CBIC_Late_Fee_Relief_Windows_1!$B$100:$B$842,MATCH(G842,CBIC_Late_Fee_Relief_Windows_1!$I$100:$I$842,0))</f>
        <v>#NAME?</v>
      </c>
    </row>
    <row r="843" spans="1:9" x14ac:dyDescent="0.55000000000000004">
      <c r="A843" t="str">
        <f>TEST_DATA!A843</f>
        <v>27AAAAA0843Z5</v>
      </c>
      <c r="B843" t="str">
        <f>TEST_DATA!B843</f>
        <v>Jan-2019</v>
      </c>
      <c r="C843">
        <f>TEST_DATA!C843</f>
        <v>44806</v>
      </c>
      <c r="D843" t="str">
        <f>TEST_DATA!D843</f>
        <v>NIL</v>
      </c>
      <c r="E843">
        <f>TEST_DATA!E843</f>
        <v>381</v>
      </c>
      <c r="F843">
        <f>MIN(E843*84300,10000)</f>
        <v>10000</v>
      </c>
      <c r="G843" t="e">
        <f ca="1">_xludf.MINIFS(CBIC_Late_Fee_Relief_Windows_1!$I$100:$I$843,CBIC_Late_Fee_Relief_Windows_1!$D$100:$D$843,"&lt;="&amp;B843,CBIC_Late_Fee_Relief_Windows_1!$E$100:$E$843,"&gt;="&amp;B843,CBIC_Late_Fee_Relief_Windows_1!$F$100:$F$843,"&lt;="&amp;C843,CBIC_Late_Fee_Relief_Windows_1!$G$100:$G$843,"&gt;="&amp;C843,CBIC_Late_Fee_Relief_Windows_1!$H$100:$H$843,D843)</f>
        <v>#NAME?</v>
      </c>
      <c r="H843" t="e">
        <f t="shared" ca="1" si="13"/>
        <v>#NAME?</v>
      </c>
      <c r="I843" t="e">
        <f ca="1">INDEX(CBIC_Late_Fee_Relief_Windows_1!$B$100:$B$843,MATCH(G843,CBIC_Late_Fee_Relief_Windows_1!$I$100:$I$843,0))</f>
        <v>#NAME?</v>
      </c>
    </row>
    <row r="844" spans="1:9" x14ac:dyDescent="0.55000000000000004">
      <c r="A844" t="str">
        <f>TEST_DATA!A844</f>
        <v>27AAAAA0844Z5</v>
      </c>
      <c r="B844" t="str">
        <f>TEST_DATA!B844</f>
        <v>Jan-2021</v>
      </c>
      <c r="C844">
        <f>TEST_DATA!C844</f>
        <v>45343</v>
      </c>
      <c r="D844" t="str">
        <f>TEST_DATA!D844</f>
        <v>NON-NIL</v>
      </c>
      <c r="E844">
        <f>TEST_DATA!E844</f>
        <v>259</v>
      </c>
      <c r="F844">
        <f>MIN(E844*84400,10000)</f>
        <v>10000</v>
      </c>
      <c r="G844" t="e">
        <f ca="1">_xludf.MINIFS(CBIC_Late_Fee_Relief_Windows_1!$I$100:$I$844,CBIC_Late_Fee_Relief_Windows_1!$D$100:$D$844,"&lt;="&amp;B844,CBIC_Late_Fee_Relief_Windows_1!$E$100:$E$844,"&gt;="&amp;B844,CBIC_Late_Fee_Relief_Windows_1!$F$100:$F$844,"&lt;="&amp;C844,CBIC_Late_Fee_Relief_Windows_1!$G$100:$G$844,"&gt;="&amp;C844,CBIC_Late_Fee_Relief_Windows_1!$H$100:$H$844,D844)</f>
        <v>#NAME?</v>
      </c>
      <c r="H844" t="e">
        <f t="shared" ca="1" si="13"/>
        <v>#NAME?</v>
      </c>
      <c r="I844" t="e">
        <f ca="1">INDEX(CBIC_Late_Fee_Relief_Windows_1!$B$100:$B$844,MATCH(G844,CBIC_Late_Fee_Relief_Windows_1!$I$100:$I$844,0))</f>
        <v>#NAME?</v>
      </c>
    </row>
    <row r="845" spans="1:9" x14ac:dyDescent="0.55000000000000004">
      <c r="A845" t="str">
        <f>TEST_DATA!A845</f>
        <v>27AAAAA0845Z5</v>
      </c>
      <c r="B845" t="str">
        <f>TEST_DATA!B845</f>
        <v>Apr-2021</v>
      </c>
      <c r="C845">
        <f>TEST_DATA!C845</f>
        <v>45655</v>
      </c>
      <c r="D845" t="str">
        <f>TEST_DATA!D845</f>
        <v>NON-NIL</v>
      </c>
      <c r="E845">
        <f>TEST_DATA!E845</f>
        <v>892</v>
      </c>
      <c r="F845">
        <f>MIN(E845*84500,10000)</f>
        <v>10000</v>
      </c>
      <c r="G845" t="e">
        <f ca="1">_xludf.MINIFS(CBIC_Late_Fee_Relief_Windows_1!$I$100:$I$845,CBIC_Late_Fee_Relief_Windows_1!$D$100:$D$845,"&lt;="&amp;B845,CBIC_Late_Fee_Relief_Windows_1!$E$100:$E$845,"&gt;="&amp;B845,CBIC_Late_Fee_Relief_Windows_1!$F$100:$F$845,"&lt;="&amp;C845,CBIC_Late_Fee_Relief_Windows_1!$G$100:$G$845,"&gt;="&amp;C845,CBIC_Late_Fee_Relief_Windows_1!$H$100:$H$845,D845)</f>
        <v>#NAME?</v>
      </c>
      <c r="H845" t="e">
        <f t="shared" ca="1" si="13"/>
        <v>#NAME?</v>
      </c>
      <c r="I845" t="e">
        <f ca="1">INDEX(CBIC_Late_Fee_Relief_Windows_1!$B$100:$B$845,MATCH(G845,CBIC_Late_Fee_Relief_Windows_1!$I$100:$I$845,0))</f>
        <v>#NAME?</v>
      </c>
    </row>
    <row r="846" spans="1:9" x14ac:dyDescent="0.55000000000000004">
      <c r="A846" t="str">
        <f>TEST_DATA!A846</f>
        <v>27AAAAA0846Z5</v>
      </c>
      <c r="B846" t="str">
        <f>TEST_DATA!B846</f>
        <v>Aug-2018</v>
      </c>
      <c r="C846">
        <f>TEST_DATA!C846</f>
        <v>43350</v>
      </c>
      <c r="D846" t="str">
        <f>TEST_DATA!D846</f>
        <v>NON-NIL</v>
      </c>
      <c r="E846">
        <f>TEST_DATA!E846</f>
        <v>1099</v>
      </c>
      <c r="F846">
        <f>MIN(E846*84600,10000)</f>
        <v>10000</v>
      </c>
      <c r="G846" t="e">
        <f ca="1">_xludf.MINIFS(CBIC_Late_Fee_Relief_Windows_1!$I$100:$I$846,CBIC_Late_Fee_Relief_Windows_1!$D$100:$D$846,"&lt;="&amp;B846,CBIC_Late_Fee_Relief_Windows_1!$E$100:$E$846,"&gt;="&amp;B846,CBIC_Late_Fee_Relief_Windows_1!$F$100:$F$846,"&lt;="&amp;C846,CBIC_Late_Fee_Relief_Windows_1!$G$100:$G$846,"&gt;="&amp;C846,CBIC_Late_Fee_Relief_Windows_1!$H$100:$H$846,D846)</f>
        <v>#NAME?</v>
      </c>
      <c r="H846" t="e">
        <f t="shared" ca="1" si="13"/>
        <v>#NAME?</v>
      </c>
      <c r="I846" t="e">
        <f ca="1">INDEX(CBIC_Late_Fee_Relief_Windows_1!$B$100:$B$846,MATCH(G846,CBIC_Late_Fee_Relief_Windows_1!$I$100:$I$846,0))</f>
        <v>#NAME?</v>
      </c>
    </row>
    <row r="847" spans="1:9" x14ac:dyDescent="0.55000000000000004">
      <c r="A847" t="str">
        <f>TEST_DATA!A847</f>
        <v>27AAAAA0847Z5</v>
      </c>
      <c r="B847" t="str">
        <f>TEST_DATA!B847</f>
        <v>May-2018</v>
      </c>
      <c r="C847">
        <f>TEST_DATA!C847</f>
        <v>43497</v>
      </c>
      <c r="D847" t="str">
        <f>TEST_DATA!D847</f>
        <v>NON-NIL</v>
      </c>
      <c r="E847">
        <f>TEST_DATA!E847</f>
        <v>2241</v>
      </c>
      <c r="F847">
        <f>MIN(E847*84700,10000)</f>
        <v>10000</v>
      </c>
      <c r="G847" t="e">
        <f ca="1">_xludf.MINIFS(CBIC_Late_Fee_Relief_Windows_1!$I$100:$I$847,CBIC_Late_Fee_Relief_Windows_1!$D$100:$D$847,"&lt;="&amp;B847,CBIC_Late_Fee_Relief_Windows_1!$E$100:$E$847,"&gt;="&amp;B847,CBIC_Late_Fee_Relief_Windows_1!$F$100:$F$847,"&lt;="&amp;C847,CBIC_Late_Fee_Relief_Windows_1!$G$100:$G$847,"&gt;="&amp;C847,CBIC_Late_Fee_Relief_Windows_1!$H$100:$H$847,D847)</f>
        <v>#NAME?</v>
      </c>
      <c r="H847" t="e">
        <f t="shared" ca="1" si="13"/>
        <v>#NAME?</v>
      </c>
      <c r="I847" t="e">
        <f ca="1">INDEX(CBIC_Late_Fee_Relief_Windows_1!$B$100:$B$847,MATCH(G847,CBIC_Late_Fee_Relief_Windows_1!$I$100:$I$847,0))</f>
        <v>#NAME?</v>
      </c>
    </row>
    <row r="848" spans="1:9" x14ac:dyDescent="0.55000000000000004">
      <c r="A848" t="str">
        <f>TEST_DATA!A848</f>
        <v>27AAAAA0848Z5</v>
      </c>
      <c r="B848" t="str">
        <f>TEST_DATA!B848</f>
        <v>Mar-2020</v>
      </c>
      <c r="C848">
        <f>TEST_DATA!C848</f>
        <v>44098</v>
      </c>
      <c r="D848" t="str">
        <f>TEST_DATA!D848</f>
        <v>NON-NIL</v>
      </c>
      <c r="E848">
        <f>TEST_DATA!E848</f>
        <v>1407</v>
      </c>
      <c r="F848">
        <f>MIN(E848*84800,10000)</f>
        <v>10000</v>
      </c>
      <c r="G848" t="e">
        <f ca="1">_xludf.MINIFS(CBIC_Late_Fee_Relief_Windows_1!$I$100:$I$848,CBIC_Late_Fee_Relief_Windows_1!$D$100:$D$848,"&lt;="&amp;B848,CBIC_Late_Fee_Relief_Windows_1!$E$100:$E$848,"&gt;="&amp;B848,CBIC_Late_Fee_Relief_Windows_1!$F$100:$F$848,"&lt;="&amp;C848,CBIC_Late_Fee_Relief_Windows_1!$G$100:$G$848,"&gt;="&amp;C848,CBIC_Late_Fee_Relief_Windows_1!$H$100:$H$848,D848)</f>
        <v>#NAME?</v>
      </c>
      <c r="H848" t="e">
        <f t="shared" ca="1" si="13"/>
        <v>#NAME?</v>
      </c>
      <c r="I848" t="e">
        <f ca="1">INDEX(CBIC_Late_Fee_Relief_Windows_1!$B$100:$B$848,MATCH(G848,CBIC_Late_Fee_Relief_Windows_1!$I$100:$I$848,0))</f>
        <v>#NAME?</v>
      </c>
    </row>
    <row r="849" spans="1:9" x14ac:dyDescent="0.55000000000000004">
      <c r="A849" t="str">
        <f>TEST_DATA!A849</f>
        <v>27AAAAA0849Z5</v>
      </c>
      <c r="B849" t="str">
        <f>TEST_DATA!B849</f>
        <v>Dec-2024</v>
      </c>
      <c r="C849">
        <f>TEST_DATA!C849</f>
        <v>43664</v>
      </c>
      <c r="D849" t="str">
        <f>TEST_DATA!D849</f>
        <v>NIL</v>
      </c>
      <c r="E849">
        <f>TEST_DATA!E849</f>
        <v>407</v>
      </c>
      <c r="F849">
        <f>MIN(E849*84900,10000)</f>
        <v>10000</v>
      </c>
      <c r="G849" t="e">
        <f ca="1">_xludf.MINIFS(CBIC_Late_Fee_Relief_Windows_1!$I$100:$I$849,CBIC_Late_Fee_Relief_Windows_1!$D$100:$D$849,"&lt;="&amp;B849,CBIC_Late_Fee_Relief_Windows_1!$E$100:$E$849,"&gt;="&amp;B849,CBIC_Late_Fee_Relief_Windows_1!$F$100:$F$849,"&lt;="&amp;C849,CBIC_Late_Fee_Relief_Windows_1!$G$100:$G$849,"&gt;="&amp;C849,CBIC_Late_Fee_Relief_Windows_1!$H$100:$H$849,D849)</f>
        <v>#NAME?</v>
      </c>
      <c r="H849" t="e">
        <f t="shared" ca="1" si="13"/>
        <v>#NAME?</v>
      </c>
      <c r="I849" t="e">
        <f ca="1">INDEX(CBIC_Late_Fee_Relief_Windows_1!$B$100:$B$849,MATCH(G849,CBIC_Late_Fee_Relief_Windows_1!$I$100:$I$849,0))</f>
        <v>#NAME?</v>
      </c>
    </row>
    <row r="850" spans="1:9" x14ac:dyDescent="0.55000000000000004">
      <c r="A850" t="str">
        <f>TEST_DATA!A850</f>
        <v>27AAAAA0850Z5</v>
      </c>
      <c r="B850" t="str">
        <f>TEST_DATA!B850</f>
        <v>May-2020</v>
      </c>
      <c r="C850">
        <f>TEST_DATA!C850</f>
        <v>44772</v>
      </c>
      <c r="D850" t="str">
        <f>TEST_DATA!D850</f>
        <v>NIL</v>
      </c>
      <c r="E850">
        <f>TEST_DATA!E850</f>
        <v>508</v>
      </c>
      <c r="F850">
        <f>MIN(E850*85000,10000)</f>
        <v>10000</v>
      </c>
      <c r="G850" t="e">
        <f ca="1">_xludf.MINIFS(CBIC_Late_Fee_Relief_Windows_1!$I$100:$I$850,CBIC_Late_Fee_Relief_Windows_1!$D$100:$D$850,"&lt;="&amp;B850,CBIC_Late_Fee_Relief_Windows_1!$E$100:$E$850,"&gt;="&amp;B850,CBIC_Late_Fee_Relief_Windows_1!$F$100:$F$850,"&lt;="&amp;C850,CBIC_Late_Fee_Relief_Windows_1!$G$100:$G$850,"&gt;="&amp;C850,CBIC_Late_Fee_Relief_Windows_1!$H$100:$H$850,D850)</f>
        <v>#NAME?</v>
      </c>
      <c r="H850" t="e">
        <f t="shared" ca="1" si="13"/>
        <v>#NAME?</v>
      </c>
      <c r="I850" t="e">
        <f ca="1">INDEX(CBIC_Late_Fee_Relief_Windows_1!$B$100:$B$850,MATCH(G850,CBIC_Late_Fee_Relief_Windows_1!$I$100:$I$850,0))</f>
        <v>#NAME?</v>
      </c>
    </row>
    <row r="851" spans="1:9" x14ac:dyDescent="0.55000000000000004">
      <c r="A851" t="str">
        <f>TEST_DATA!A851</f>
        <v>27AAAAA0851Z5</v>
      </c>
      <c r="B851" t="str">
        <f>TEST_DATA!B851</f>
        <v>Mar-2023</v>
      </c>
      <c r="C851">
        <f>TEST_DATA!C851</f>
        <v>44113</v>
      </c>
      <c r="D851" t="str">
        <f>TEST_DATA!D851</f>
        <v>NON-NIL</v>
      </c>
      <c r="E851">
        <f>TEST_DATA!E851</f>
        <v>1869</v>
      </c>
      <c r="F851">
        <f>MIN(E851*85100,10000)</f>
        <v>10000</v>
      </c>
      <c r="G851" t="e">
        <f ca="1">_xludf.MINIFS(CBIC_Late_Fee_Relief_Windows_1!$I$100:$I$851,CBIC_Late_Fee_Relief_Windows_1!$D$100:$D$851,"&lt;="&amp;B851,CBIC_Late_Fee_Relief_Windows_1!$E$100:$E$851,"&gt;="&amp;B851,CBIC_Late_Fee_Relief_Windows_1!$F$100:$F$851,"&lt;="&amp;C851,CBIC_Late_Fee_Relief_Windows_1!$G$100:$G$851,"&gt;="&amp;C851,CBIC_Late_Fee_Relief_Windows_1!$H$100:$H$851,D851)</f>
        <v>#NAME?</v>
      </c>
      <c r="H851" t="e">
        <f t="shared" ca="1" si="13"/>
        <v>#NAME?</v>
      </c>
      <c r="I851" t="e">
        <f ca="1">INDEX(CBIC_Late_Fee_Relief_Windows_1!$B$100:$B$851,MATCH(G851,CBIC_Late_Fee_Relief_Windows_1!$I$100:$I$851,0))</f>
        <v>#NAME?</v>
      </c>
    </row>
    <row r="852" spans="1:9" x14ac:dyDescent="0.55000000000000004">
      <c r="A852" t="str">
        <f>TEST_DATA!A852</f>
        <v>27AAAAA0852Z5</v>
      </c>
      <c r="B852" t="str">
        <f>TEST_DATA!B852</f>
        <v>Jul-2017</v>
      </c>
      <c r="C852">
        <f>TEST_DATA!C852</f>
        <v>43793</v>
      </c>
      <c r="D852" t="str">
        <f>TEST_DATA!D852</f>
        <v>NIL</v>
      </c>
      <c r="E852">
        <f>TEST_DATA!E852</f>
        <v>2820</v>
      </c>
      <c r="F852">
        <f>MIN(E852*85200,10000)</f>
        <v>10000</v>
      </c>
      <c r="G852" t="e">
        <f ca="1">_xludf.MINIFS(CBIC_Late_Fee_Relief_Windows_1!$I$100:$I$852,CBIC_Late_Fee_Relief_Windows_1!$D$100:$D$852,"&lt;="&amp;B852,CBIC_Late_Fee_Relief_Windows_1!$E$100:$E$852,"&gt;="&amp;B852,CBIC_Late_Fee_Relief_Windows_1!$F$100:$F$852,"&lt;="&amp;C852,CBIC_Late_Fee_Relief_Windows_1!$G$100:$G$852,"&gt;="&amp;C852,CBIC_Late_Fee_Relief_Windows_1!$H$100:$H$852,D852)</f>
        <v>#NAME?</v>
      </c>
      <c r="H852" t="e">
        <f t="shared" ca="1" si="13"/>
        <v>#NAME?</v>
      </c>
      <c r="I852" t="e">
        <f ca="1">INDEX(CBIC_Late_Fee_Relief_Windows_1!$B$100:$B$852,MATCH(G852,CBIC_Late_Fee_Relief_Windows_1!$I$100:$I$852,0))</f>
        <v>#NAME?</v>
      </c>
    </row>
    <row r="853" spans="1:9" x14ac:dyDescent="0.55000000000000004">
      <c r="A853" t="str">
        <f>TEST_DATA!A853</f>
        <v>27AAAAA0853Z5</v>
      </c>
      <c r="B853" t="str">
        <f>TEST_DATA!B853</f>
        <v>Nov-2017</v>
      </c>
      <c r="C853">
        <f>TEST_DATA!C853</f>
        <v>44248</v>
      </c>
      <c r="D853" t="str">
        <f>TEST_DATA!D853</f>
        <v>NON-NIL</v>
      </c>
      <c r="E853">
        <f>TEST_DATA!E853</f>
        <v>651</v>
      </c>
      <c r="F853">
        <f>MIN(E853*85300,10000)</f>
        <v>10000</v>
      </c>
      <c r="G853" t="e">
        <f ca="1">_xludf.MINIFS(CBIC_Late_Fee_Relief_Windows_1!$I$100:$I$853,CBIC_Late_Fee_Relief_Windows_1!$D$100:$D$853,"&lt;="&amp;B853,CBIC_Late_Fee_Relief_Windows_1!$E$100:$E$853,"&gt;="&amp;B853,CBIC_Late_Fee_Relief_Windows_1!$F$100:$F$853,"&lt;="&amp;C853,CBIC_Late_Fee_Relief_Windows_1!$G$100:$G$853,"&gt;="&amp;C853,CBIC_Late_Fee_Relief_Windows_1!$H$100:$H$853,D853)</f>
        <v>#NAME?</v>
      </c>
      <c r="H853" t="e">
        <f t="shared" ca="1" si="13"/>
        <v>#NAME?</v>
      </c>
      <c r="I853" t="e">
        <f ca="1">INDEX(CBIC_Late_Fee_Relief_Windows_1!$B$100:$B$853,MATCH(G853,CBIC_Late_Fee_Relief_Windows_1!$I$100:$I$853,0))</f>
        <v>#NAME?</v>
      </c>
    </row>
    <row r="854" spans="1:9" x14ac:dyDescent="0.55000000000000004">
      <c r="A854" t="str">
        <f>TEST_DATA!A854</f>
        <v>27AAAAA0854Z5</v>
      </c>
      <c r="B854" t="str">
        <f>TEST_DATA!B854</f>
        <v>Mar-2023</v>
      </c>
      <c r="C854">
        <f>TEST_DATA!C854</f>
        <v>44588</v>
      </c>
      <c r="D854" t="str">
        <f>TEST_DATA!D854</f>
        <v>NIL</v>
      </c>
      <c r="E854">
        <f>TEST_DATA!E854</f>
        <v>2681</v>
      </c>
      <c r="F854">
        <f>MIN(E854*85400,10000)</f>
        <v>10000</v>
      </c>
      <c r="G854" t="e">
        <f ca="1">_xludf.MINIFS(CBIC_Late_Fee_Relief_Windows_1!$I$100:$I$854,CBIC_Late_Fee_Relief_Windows_1!$D$100:$D$854,"&lt;="&amp;B854,CBIC_Late_Fee_Relief_Windows_1!$E$100:$E$854,"&gt;="&amp;B854,CBIC_Late_Fee_Relief_Windows_1!$F$100:$F$854,"&lt;="&amp;C854,CBIC_Late_Fee_Relief_Windows_1!$G$100:$G$854,"&gt;="&amp;C854,CBIC_Late_Fee_Relief_Windows_1!$H$100:$H$854,D854)</f>
        <v>#NAME?</v>
      </c>
      <c r="H854" t="e">
        <f t="shared" ca="1" si="13"/>
        <v>#NAME?</v>
      </c>
      <c r="I854" t="e">
        <f ca="1">INDEX(CBIC_Late_Fee_Relief_Windows_1!$B$100:$B$854,MATCH(G854,CBIC_Late_Fee_Relief_Windows_1!$I$100:$I$854,0))</f>
        <v>#NAME?</v>
      </c>
    </row>
    <row r="855" spans="1:9" x14ac:dyDescent="0.55000000000000004">
      <c r="A855" t="str">
        <f>TEST_DATA!A855</f>
        <v>27AAAAA0855Z5</v>
      </c>
      <c r="B855" t="str">
        <f>TEST_DATA!B855</f>
        <v>Jun-2018</v>
      </c>
      <c r="C855">
        <f>TEST_DATA!C855</f>
        <v>43429</v>
      </c>
      <c r="D855" t="str">
        <f>TEST_DATA!D855</f>
        <v>NIL</v>
      </c>
      <c r="E855">
        <f>TEST_DATA!E855</f>
        <v>1523</v>
      </c>
      <c r="F855">
        <f>MIN(E855*85500,10000)</f>
        <v>10000</v>
      </c>
      <c r="G855" t="e">
        <f ca="1">_xludf.MINIFS(CBIC_Late_Fee_Relief_Windows_1!$I$100:$I$855,CBIC_Late_Fee_Relief_Windows_1!$D$100:$D$855,"&lt;="&amp;B855,CBIC_Late_Fee_Relief_Windows_1!$E$100:$E$855,"&gt;="&amp;B855,CBIC_Late_Fee_Relief_Windows_1!$F$100:$F$855,"&lt;="&amp;C855,CBIC_Late_Fee_Relief_Windows_1!$G$100:$G$855,"&gt;="&amp;C855,CBIC_Late_Fee_Relief_Windows_1!$H$100:$H$855,D855)</f>
        <v>#NAME?</v>
      </c>
      <c r="H855" t="e">
        <f t="shared" ca="1" si="13"/>
        <v>#NAME?</v>
      </c>
      <c r="I855" t="e">
        <f ca="1">INDEX(CBIC_Late_Fee_Relief_Windows_1!$B$100:$B$855,MATCH(G855,CBIC_Late_Fee_Relief_Windows_1!$I$100:$I$855,0))</f>
        <v>#NAME?</v>
      </c>
    </row>
    <row r="856" spans="1:9" x14ac:dyDescent="0.55000000000000004">
      <c r="A856" t="str">
        <f>TEST_DATA!A856</f>
        <v>27AAAAA0856Z5</v>
      </c>
      <c r="B856" t="str">
        <f>TEST_DATA!B856</f>
        <v>Jun-2020</v>
      </c>
      <c r="C856">
        <f>TEST_DATA!C856</f>
        <v>44169</v>
      </c>
      <c r="D856" t="str">
        <f>TEST_DATA!D856</f>
        <v>NIL</v>
      </c>
      <c r="E856">
        <f>TEST_DATA!E856</f>
        <v>1623</v>
      </c>
      <c r="F856">
        <f>MIN(E856*85600,10000)</f>
        <v>10000</v>
      </c>
      <c r="G856" t="e">
        <f ca="1">_xludf.MINIFS(CBIC_Late_Fee_Relief_Windows_1!$I$100:$I$856,CBIC_Late_Fee_Relief_Windows_1!$D$100:$D$856,"&lt;="&amp;B856,CBIC_Late_Fee_Relief_Windows_1!$E$100:$E$856,"&gt;="&amp;B856,CBIC_Late_Fee_Relief_Windows_1!$F$100:$F$856,"&lt;="&amp;C856,CBIC_Late_Fee_Relief_Windows_1!$G$100:$G$856,"&gt;="&amp;C856,CBIC_Late_Fee_Relief_Windows_1!$H$100:$H$856,D856)</f>
        <v>#NAME?</v>
      </c>
      <c r="H856" t="e">
        <f t="shared" ca="1" si="13"/>
        <v>#NAME?</v>
      </c>
      <c r="I856" t="e">
        <f ca="1">INDEX(CBIC_Late_Fee_Relief_Windows_1!$B$100:$B$856,MATCH(G856,CBIC_Late_Fee_Relief_Windows_1!$I$100:$I$856,0))</f>
        <v>#NAME?</v>
      </c>
    </row>
    <row r="857" spans="1:9" x14ac:dyDescent="0.55000000000000004">
      <c r="A857" t="str">
        <f>TEST_DATA!A857</f>
        <v>27AAAAA0857Z5</v>
      </c>
      <c r="B857" t="str">
        <f>TEST_DATA!B857</f>
        <v>May-2020</v>
      </c>
      <c r="C857">
        <f>TEST_DATA!C857</f>
        <v>44456</v>
      </c>
      <c r="D857" t="str">
        <f>TEST_DATA!D857</f>
        <v>NIL</v>
      </c>
      <c r="E857">
        <f>TEST_DATA!E857</f>
        <v>1758</v>
      </c>
      <c r="F857">
        <f>MIN(E857*85700,10000)</f>
        <v>10000</v>
      </c>
      <c r="G857" t="e">
        <f ca="1">_xludf.MINIFS(CBIC_Late_Fee_Relief_Windows_1!$I$100:$I$857,CBIC_Late_Fee_Relief_Windows_1!$D$100:$D$857,"&lt;="&amp;B857,CBIC_Late_Fee_Relief_Windows_1!$E$100:$E$857,"&gt;="&amp;B857,CBIC_Late_Fee_Relief_Windows_1!$F$100:$F$857,"&lt;="&amp;C857,CBIC_Late_Fee_Relief_Windows_1!$G$100:$G$857,"&gt;="&amp;C857,CBIC_Late_Fee_Relief_Windows_1!$H$100:$H$857,D857)</f>
        <v>#NAME?</v>
      </c>
      <c r="H857" t="e">
        <f t="shared" ca="1" si="13"/>
        <v>#NAME?</v>
      </c>
      <c r="I857" t="e">
        <f ca="1">INDEX(CBIC_Late_Fee_Relief_Windows_1!$B$100:$B$857,MATCH(G857,CBIC_Late_Fee_Relief_Windows_1!$I$100:$I$857,0))</f>
        <v>#NAME?</v>
      </c>
    </row>
    <row r="858" spans="1:9" x14ac:dyDescent="0.55000000000000004">
      <c r="A858" t="str">
        <f>TEST_DATA!A858</f>
        <v>27AAAAA0858Z5</v>
      </c>
      <c r="B858" t="str">
        <f>TEST_DATA!B858</f>
        <v>May-2020</v>
      </c>
      <c r="C858">
        <f>TEST_DATA!C858</f>
        <v>44017</v>
      </c>
      <c r="D858" t="str">
        <f>TEST_DATA!D858</f>
        <v>NIL</v>
      </c>
      <c r="E858">
        <f>TEST_DATA!E858</f>
        <v>4</v>
      </c>
      <c r="F858">
        <f>MIN(E858*85800,10000)</f>
        <v>10000</v>
      </c>
      <c r="G858" t="e">
        <f ca="1">_xludf.MINIFS(CBIC_Late_Fee_Relief_Windows_1!$I$100:$I$858,CBIC_Late_Fee_Relief_Windows_1!$D$100:$D$858,"&lt;="&amp;B858,CBIC_Late_Fee_Relief_Windows_1!$E$100:$E$858,"&gt;="&amp;B858,CBIC_Late_Fee_Relief_Windows_1!$F$100:$F$858,"&lt;="&amp;C858,CBIC_Late_Fee_Relief_Windows_1!$G$100:$G$858,"&gt;="&amp;C858,CBIC_Late_Fee_Relief_Windows_1!$H$100:$H$858,D858)</f>
        <v>#NAME?</v>
      </c>
      <c r="H858" t="e">
        <f t="shared" ca="1" si="13"/>
        <v>#NAME?</v>
      </c>
      <c r="I858" t="e">
        <f ca="1">INDEX(CBIC_Late_Fee_Relief_Windows_1!$B$100:$B$858,MATCH(G858,CBIC_Late_Fee_Relief_Windows_1!$I$100:$I$858,0))</f>
        <v>#NAME?</v>
      </c>
    </row>
    <row r="859" spans="1:9" x14ac:dyDescent="0.55000000000000004">
      <c r="A859" t="str">
        <f>TEST_DATA!A859</f>
        <v>27AAAAA0859Z5</v>
      </c>
      <c r="B859" t="str">
        <f>TEST_DATA!B859</f>
        <v>Jan-2018</v>
      </c>
      <c r="C859">
        <f>TEST_DATA!C859</f>
        <v>43893</v>
      </c>
      <c r="D859" t="str">
        <f>TEST_DATA!D859</f>
        <v>NIL</v>
      </c>
      <c r="E859">
        <f>TEST_DATA!E859</f>
        <v>543</v>
      </c>
      <c r="F859">
        <f>MIN(E859*85900,10000)</f>
        <v>10000</v>
      </c>
      <c r="G859" t="e">
        <f ca="1">_xludf.MINIFS(CBIC_Late_Fee_Relief_Windows_1!$I$100:$I$859,CBIC_Late_Fee_Relief_Windows_1!$D$100:$D$859,"&lt;="&amp;B859,CBIC_Late_Fee_Relief_Windows_1!$E$100:$E$859,"&gt;="&amp;B859,CBIC_Late_Fee_Relief_Windows_1!$F$100:$F$859,"&lt;="&amp;C859,CBIC_Late_Fee_Relief_Windows_1!$G$100:$G$859,"&gt;="&amp;C859,CBIC_Late_Fee_Relief_Windows_1!$H$100:$H$859,D859)</f>
        <v>#NAME?</v>
      </c>
      <c r="H859" t="e">
        <f t="shared" ca="1" si="13"/>
        <v>#NAME?</v>
      </c>
      <c r="I859" t="e">
        <f ca="1">INDEX(CBIC_Late_Fee_Relief_Windows_1!$B$100:$B$859,MATCH(G859,CBIC_Late_Fee_Relief_Windows_1!$I$100:$I$859,0))</f>
        <v>#NAME?</v>
      </c>
    </row>
    <row r="860" spans="1:9" x14ac:dyDescent="0.55000000000000004">
      <c r="A860" t="str">
        <f>TEST_DATA!A860</f>
        <v>27AAAAA0860Z5</v>
      </c>
      <c r="B860" t="str">
        <f>TEST_DATA!B860</f>
        <v>Mar-2020</v>
      </c>
      <c r="C860">
        <f>TEST_DATA!C860</f>
        <v>44294</v>
      </c>
      <c r="D860" t="str">
        <f>TEST_DATA!D860</f>
        <v>NON-NIL</v>
      </c>
      <c r="E860">
        <f>TEST_DATA!E860</f>
        <v>38</v>
      </c>
      <c r="F860">
        <f>MIN(E860*86000,10000)</f>
        <v>10000</v>
      </c>
      <c r="G860" t="e">
        <f ca="1">_xludf.MINIFS(CBIC_Late_Fee_Relief_Windows_1!$I$100:$I$860,CBIC_Late_Fee_Relief_Windows_1!$D$100:$D$860,"&lt;="&amp;B860,CBIC_Late_Fee_Relief_Windows_1!$E$100:$E$860,"&gt;="&amp;B860,CBIC_Late_Fee_Relief_Windows_1!$F$100:$F$860,"&lt;="&amp;C860,CBIC_Late_Fee_Relief_Windows_1!$G$100:$G$860,"&gt;="&amp;C860,CBIC_Late_Fee_Relief_Windows_1!$H$100:$H$860,D860)</f>
        <v>#NAME?</v>
      </c>
      <c r="H860" t="e">
        <f t="shared" ca="1" si="13"/>
        <v>#NAME?</v>
      </c>
      <c r="I860" t="e">
        <f ca="1">INDEX(CBIC_Late_Fee_Relief_Windows_1!$B$100:$B$860,MATCH(G860,CBIC_Late_Fee_Relief_Windows_1!$I$100:$I$860,0))</f>
        <v>#NAME?</v>
      </c>
    </row>
    <row r="861" spans="1:9" x14ac:dyDescent="0.55000000000000004">
      <c r="A861" t="str">
        <f>TEST_DATA!A861</f>
        <v>27AAAAA0861Z5</v>
      </c>
      <c r="B861" t="str">
        <f>TEST_DATA!B861</f>
        <v>Jul-2017</v>
      </c>
      <c r="C861">
        <f>TEST_DATA!C861</f>
        <v>44341</v>
      </c>
      <c r="D861" t="str">
        <f>TEST_DATA!D861</f>
        <v>NON-NIL</v>
      </c>
      <c r="E861">
        <f>TEST_DATA!E861</f>
        <v>493</v>
      </c>
      <c r="F861">
        <f>MIN(E861*86100,10000)</f>
        <v>10000</v>
      </c>
      <c r="G861" t="e">
        <f ca="1">_xludf.MINIFS(CBIC_Late_Fee_Relief_Windows_1!$I$100:$I$861,CBIC_Late_Fee_Relief_Windows_1!$D$100:$D$861,"&lt;="&amp;B861,CBIC_Late_Fee_Relief_Windows_1!$E$100:$E$861,"&gt;="&amp;B861,CBIC_Late_Fee_Relief_Windows_1!$F$100:$F$861,"&lt;="&amp;C861,CBIC_Late_Fee_Relief_Windows_1!$G$100:$G$861,"&gt;="&amp;C861,CBIC_Late_Fee_Relief_Windows_1!$H$100:$H$861,D861)</f>
        <v>#NAME?</v>
      </c>
      <c r="H861" t="e">
        <f t="shared" ca="1" si="13"/>
        <v>#NAME?</v>
      </c>
      <c r="I861" t="e">
        <f ca="1">INDEX(CBIC_Late_Fee_Relief_Windows_1!$B$100:$B$861,MATCH(G861,CBIC_Late_Fee_Relief_Windows_1!$I$100:$I$861,0))</f>
        <v>#NAME?</v>
      </c>
    </row>
    <row r="862" spans="1:9" x14ac:dyDescent="0.55000000000000004">
      <c r="A862" t="str">
        <f>TEST_DATA!A862</f>
        <v>27AAAAA0862Z5</v>
      </c>
      <c r="B862" t="str">
        <f>TEST_DATA!B862</f>
        <v>Mar-2023</v>
      </c>
      <c r="C862">
        <f>TEST_DATA!C862</f>
        <v>45195</v>
      </c>
      <c r="D862" t="str">
        <f>TEST_DATA!D862</f>
        <v>NIL</v>
      </c>
      <c r="E862">
        <f>TEST_DATA!E862</f>
        <v>1956</v>
      </c>
      <c r="F862">
        <f>MIN(E862*86200,10000)</f>
        <v>10000</v>
      </c>
      <c r="G862" t="e">
        <f ca="1">_xludf.MINIFS(CBIC_Late_Fee_Relief_Windows_1!$I$100:$I$862,CBIC_Late_Fee_Relief_Windows_1!$D$100:$D$862,"&lt;="&amp;B862,CBIC_Late_Fee_Relief_Windows_1!$E$100:$E$862,"&gt;="&amp;B862,CBIC_Late_Fee_Relief_Windows_1!$F$100:$F$862,"&lt;="&amp;C862,CBIC_Late_Fee_Relief_Windows_1!$G$100:$G$862,"&gt;="&amp;C862,CBIC_Late_Fee_Relief_Windows_1!$H$100:$H$862,D862)</f>
        <v>#NAME?</v>
      </c>
      <c r="H862" t="e">
        <f t="shared" ca="1" si="13"/>
        <v>#NAME?</v>
      </c>
      <c r="I862" t="e">
        <f ca="1">INDEX(CBIC_Late_Fee_Relief_Windows_1!$B$100:$B$862,MATCH(G862,CBIC_Late_Fee_Relief_Windows_1!$I$100:$I$862,0))</f>
        <v>#NAME?</v>
      </c>
    </row>
    <row r="863" spans="1:9" x14ac:dyDescent="0.55000000000000004">
      <c r="A863" t="str">
        <f>TEST_DATA!A863</f>
        <v>27AAAAA0863Z5</v>
      </c>
      <c r="B863" t="str">
        <f>TEST_DATA!B863</f>
        <v>Sep-2017</v>
      </c>
      <c r="C863">
        <f>TEST_DATA!C863</f>
        <v>43385</v>
      </c>
      <c r="D863" t="str">
        <f>TEST_DATA!D863</f>
        <v>NON-NIL</v>
      </c>
      <c r="E863">
        <f>TEST_DATA!E863</f>
        <v>365</v>
      </c>
      <c r="F863">
        <f>MIN(E863*86300,10000)</f>
        <v>10000</v>
      </c>
      <c r="G863" t="e">
        <f ca="1">_xludf.MINIFS(CBIC_Late_Fee_Relief_Windows_1!$I$100:$I$863,CBIC_Late_Fee_Relief_Windows_1!$D$100:$D$863,"&lt;="&amp;B863,CBIC_Late_Fee_Relief_Windows_1!$E$100:$E$863,"&gt;="&amp;B863,CBIC_Late_Fee_Relief_Windows_1!$F$100:$F$863,"&lt;="&amp;C863,CBIC_Late_Fee_Relief_Windows_1!$G$100:$G$863,"&gt;="&amp;C863,CBIC_Late_Fee_Relief_Windows_1!$H$100:$H$863,D863)</f>
        <v>#NAME?</v>
      </c>
      <c r="H863" t="e">
        <f t="shared" ca="1" si="13"/>
        <v>#NAME?</v>
      </c>
      <c r="I863" t="e">
        <f ca="1">INDEX(CBIC_Late_Fee_Relief_Windows_1!$B$100:$B$863,MATCH(G863,CBIC_Late_Fee_Relief_Windows_1!$I$100:$I$863,0))</f>
        <v>#NAME?</v>
      </c>
    </row>
    <row r="864" spans="1:9" x14ac:dyDescent="0.55000000000000004">
      <c r="A864" t="str">
        <f>TEST_DATA!A864</f>
        <v>27AAAAA0864Z5</v>
      </c>
      <c r="B864" t="str">
        <f>TEST_DATA!B864</f>
        <v>Jan-2021</v>
      </c>
      <c r="C864">
        <f>TEST_DATA!C864</f>
        <v>43885</v>
      </c>
      <c r="D864" t="str">
        <f>TEST_DATA!D864</f>
        <v>NIL</v>
      </c>
      <c r="E864">
        <f>TEST_DATA!E864</f>
        <v>1283</v>
      </c>
      <c r="F864">
        <f>MIN(E864*86400,10000)</f>
        <v>10000</v>
      </c>
      <c r="G864" t="e">
        <f ca="1">_xludf.MINIFS(CBIC_Late_Fee_Relief_Windows_1!$I$100:$I$864,CBIC_Late_Fee_Relief_Windows_1!$D$100:$D$864,"&lt;="&amp;B864,CBIC_Late_Fee_Relief_Windows_1!$E$100:$E$864,"&gt;="&amp;B864,CBIC_Late_Fee_Relief_Windows_1!$F$100:$F$864,"&lt;="&amp;C864,CBIC_Late_Fee_Relief_Windows_1!$G$100:$G$864,"&gt;="&amp;C864,CBIC_Late_Fee_Relief_Windows_1!$H$100:$H$864,D864)</f>
        <v>#NAME?</v>
      </c>
      <c r="H864" t="e">
        <f t="shared" ca="1" si="13"/>
        <v>#NAME?</v>
      </c>
      <c r="I864" t="e">
        <f ca="1">INDEX(CBIC_Late_Fee_Relief_Windows_1!$B$100:$B$864,MATCH(G864,CBIC_Late_Fee_Relief_Windows_1!$I$100:$I$864,0))</f>
        <v>#NAME?</v>
      </c>
    </row>
    <row r="865" spans="1:9" x14ac:dyDescent="0.55000000000000004">
      <c r="A865" t="str">
        <f>TEST_DATA!A865</f>
        <v>27AAAAA0865Z5</v>
      </c>
      <c r="B865" t="str">
        <f>TEST_DATA!B865</f>
        <v>Jun-2018</v>
      </c>
      <c r="C865">
        <f>TEST_DATA!C865</f>
        <v>43529</v>
      </c>
      <c r="D865" t="str">
        <f>TEST_DATA!D865</f>
        <v>NIL</v>
      </c>
      <c r="E865">
        <f>TEST_DATA!E865</f>
        <v>1567</v>
      </c>
      <c r="F865">
        <f>MIN(E865*86500,10000)</f>
        <v>10000</v>
      </c>
      <c r="G865" t="e">
        <f ca="1">_xludf.MINIFS(CBIC_Late_Fee_Relief_Windows_1!$I$100:$I$865,CBIC_Late_Fee_Relief_Windows_1!$D$100:$D$865,"&lt;="&amp;B865,CBIC_Late_Fee_Relief_Windows_1!$E$100:$E$865,"&gt;="&amp;B865,CBIC_Late_Fee_Relief_Windows_1!$F$100:$F$865,"&lt;="&amp;C865,CBIC_Late_Fee_Relief_Windows_1!$G$100:$G$865,"&gt;="&amp;C865,CBIC_Late_Fee_Relief_Windows_1!$H$100:$H$865,D865)</f>
        <v>#NAME?</v>
      </c>
      <c r="H865" t="e">
        <f t="shared" ca="1" si="13"/>
        <v>#NAME?</v>
      </c>
      <c r="I865" t="e">
        <f ca="1">INDEX(CBIC_Late_Fee_Relief_Windows_1!$B$100:$B$865,MATCH(G865,CBIC_Late_Fee_Relief_Windows_1!$I$100:$I$865,0))</f>
        <v>#NAME?</v>
      </c>
    </row>
    <row r="866" spans="1:9" x14ac:dyDescent="0.55000000000000004">
      <c r="A866" t="str">
        <f>TEST_DATA!A866</f>
        <v>27AAAAA0866Z5</v>
      </c>
      <c r="B866" t="str">
        <f>TEST_DATA!B866</f>
        <v>Mar-2021</v>
      </c>
      <c r="C866">
        <f>TEST_DATA!C866</f>
        <v>44011</v>
      </c>
      <c r="D866" t="str">
        <f>TEST_DATA!D866</f>
        <v>NIL</v>
      </c>
      <c r="E866">
        <f>TEST_DATA!E866</f>
        <v>280</v>
      </c>
      <c r="F866">
        <f>MIN(E866*86600,10000)</f>
        <v>10000</v>
      </c>
      <c r="G866" t="e">
        <f ca="1">_xludf.MINIFS(CBIC_Late_Fee_Relief_Windows_1!$I$100:$I$866,CBIC_Late_Fee_Relief_Windows_1!$D$100:$D$866,"&lt;="&amp;B866,CBIC_Late_Fee_Relief_Windows_1!$E$100:$E$866,"&gt;="&amp;B866,CBIC_Late_Fee_Relief_Windows_1!$F$100:$F$866,"&lt;="&amp;C866,CBIC_Late_Fee_Relief_Windows_1!$G$100:$G$866,"&gt;="&amp;C866,CBIC_Late_Fee_Relief_Windows_1!$H$100:$H$866,D866)</f>
        <v>#NAME?</v>
      </c>
      <c r="H866" t="e">
        <f t="shared" ca="1" si="13"/>
        <v>#NAME?</v>
      </c>
      <c r="I866" t="e">
        <f ca="1">INDEX(CBIC_Late_Fee_Relief_Windows_1!$B$100:$B$866,MATCH(G866,CBIC_Late_Fee_Relief_Windows_1!$I$100:$I$866,0))</f>
        <v>#NAME?</v>
      </c>
    </row>
    <row r="867" spans="1:9" x14ac:dyDescent="0.55000000000000004">
      <c r="A867" t="str">
        <f>TEST_DATA!A867</f>
        <v>27AAAAA0867Z5</v>
      </c>
      <c r="B867" t="str">
        <f>TEST_DATA!B867</f>
        <v>Jun-2019</v>
      </c>
      <c r="C867">
        <f>TEST_DATA!C867</f>
        <v>45773</v>
      </c>
      <c r="D867" t="str">
        <f>TEST_DATA!D867</f>
        <v>NIL</v>
      </c>
      <c r="E867">
        <f>TEST_DATA!E867</f>
        <v>2499</v>
      </c>
      <c r="F867">
        <f>MIN(E867*86700,10000)</f>
        <v>10000</v>
      </c>
      <c r="G867" t="e">
        <f ca="1">_xludf.MINIFS(CBIC_Late_Fee_Relief_Windows_1!$I$100:$I$867,CBIC_Late_Fee_Relief_Windows_1!$D$100:$D$867,"&lt;="&amp;B867,CBIC_Late_Fee_Relief_Windows_1!$E$100:$E$867,"&gt;="&amp;B867,CBIC_Late_Fee_Relief_Windows_1!$F$100:$F$867,"&lt;="&amp;C867,CBIC_Late_Fee_Relief_Windows_1!$G$100:$G$867,"&gt;="&amp;C867,CBIC_Late_Fee_Relief_Windows_1!$H$100:$H$867,D867)</f>
        <v>#NAME?</v>
      </c>
      <c r="H867" t="e">
        <f t="shared" ca="1" si="13"/>
        <v>#NAME?</v>
      </c>
      <c r="I867" t="e">
        <f ca="1">INDEX(CBIC_Late_Fee_Relief_Windows_1!$B$100:$B$867,MATCH(G867,CBIC_Late_Fee_Relief_Windows_1!$I$100:$I$867,0))</f>
        <v>#NAME?</v>
      </c>
    </row>
    <row r="868" spans="1:9" x14ac:dyDescent="0.55000000000000004">
      <c r="A868" t="str">
        <f>TEST_DATA!A868</f>
        <v>27AAAAA0868Z5</v>
      </c>
      <c r="B868" t="str">
        <f>TEST_DATA!B868</f>
        <v>May-2020</v>
      </c>
      <c r="C868">
        <f>TEST_DATA!C868</f>
        <v>44167</v>
      </c>
      <c r="D868" t="str">
        <f>TEST_DATA!D868</f>
        <v>NON-NIL</v>
      </c>
      <c r="E868">
        <f>TEST_DATA!E868</f>
        <v>1438</v>
      </c>
      <c r="F868">
        <f>MIN(E868*86800,10000)</f>
        <v>10000</v>
      </c>
      <c r="G868" t="e">
        <f ca="1">_xludf.MINIFS(CBIC_Late_Fee_Relief_Windows_1!$I$100:$I$868,CBIC_Late_Fee_Relief_Windows_1!$D$100:$D$868,"&lt;="&amp;B868,CBIC_Late_Fee_Relief_Windows_1!$E$100:$E$868,"&gt;="&amp;B868,CBIC_Late_Fee_Relief_Windows_1!$F$100:$F$868,"&lt;="&amp;C868,CBIC_Late_Fee_Relief_Windows_1!$G$100:$G$868,"&gt;="&amp;C868,CBIC_Late_Fee_Relief_Windows_1!$H$100:$H$868,D868)</f>
        <v>#NAME?</v>
      </c>
      <c r="H868" t="e">
        <f t="shared" ca="1" si="13"/>
        <v>#NAME?</v>
      </c>
      <c r="I868" t="e">
        <f ca="1">INDEX(CBIC_Late_Fee_Relief_Windows_1!$B$100:$B$868,MATCH(G868,CBIC_Late_Fee_Relief_Windows_1!$I$100:$I$868,0))</f>
        <v>#NAME?</v>
      </c>
    </row>
    <row r="869" spans="1:9" x14ac:dyDescent="0.55000000000000004">
      <c r="A869" t="str">
        <f>TEST_DATA!A869</f>
        <v>27AAAAA0869Z5</v>
      </c>
      <c r="B869" t="str">
        <f>TEST_DATA!B869</f>
        <v>Jan-2021</v>
      </c>
      <c r="C869">
        <f>TEST_DATA!C869</f>
        <v>44338</v>
      </c>
      <c r="D869" t="str">
        <f>TEST_DATA!D869</f>
        <v>NIL</v>
      </c>
      <c r="E869">
        <f>TEST_DATA!E869</f>
        <v>1686</v>
      </c>
      <c r="F869">
        <f>MIN(E869*86900,10000)</f>
        <v>10000</v>
      </c>
      <c r="G869" t="e">
        <f ca="1">_xludf.MINIFS(CBIC_Late_Fee_Relief_Windows_1!$I$100:$I$869,CBIC_Late_Fee_Relief_Windows_1!$D$100:$D$869,"&lt;="&amp;B869,CBIC_Late_Fee_Relief_Windows_1!$E$100:$E$869,"&gt;="&amp;B869,CBIC_Late_Fee_Relief_Windows_1!$F$100:$F$869,"&lt;="&amp;C869,CBIC_Late_Fee_Relief_Windows_1!$G$100:$G$869,"&gt;="&amp;C869,CBIC_Late_Fee_Relief_Windows_1!$H$100:$H$869,D869)</f>
        <v>#NAME?</v>
      </c>
      <c r="H869" t="e">
        <f t="shared" ca="1" si="13"/>
        <v>#NAME?</v>
      </c>
      <c r="I869" t="e">
        <f ca="1">INDEX(CBIC_Late_Fee_Relief_Windows_1!$B$100:$B$869,MATCH(G869,CBIC_Late_Fee_Relief_Windows_1!$I$100:$I$869,0))</f>
        <v>#NAME?</v>
      </c>
    </row>
    <row r="870" spans="1:9" x14ac:dyDescent="0.55000000000000004">
      <c r="A870" t="str">
        <f>TEST_DATA!A870</f>
        <v>27AAAAA0870Z5</v>
      </c>
      <c r="B870" t="str">
        <f>TEST_DATA!B870</f>
        <v>Apr-2020</v>
      </c>
      <c r="C870">
        <f>TEST_DATA!C870</f>
        <v>44737</v>
      </c>
      <c r="D870" t="str">
        <f>TEST_DATA!D870</f>
        <v>NIL</v>
      </c>
      <c r="E870">
        <f>TEST_DATA!E870</f>
        <v>355</v>
      </c>
      <c r="F870">
        <f>MIN(E870*87000,10000)</f>
        <v>10000</v>
      </c>
      <c r="G870" t="e">
        <f ca="1">_xludf.MINIFS(CBIC_Late_Fee_Relief_Windows_1!$I$100:$I$870,CBIC_Late_Fee_Relief_Windows_1!$D$100:$D$870,"&lt;="&amp;B870,CBIC_Late_Fee_Relief_Windows_1!$E$100:$E$870,"&gt;="&amp;B870,CBIC_Late_Fee_Relief_Windows_1!$F$100:$F$870,"&lt;="&amp;C870,CBIC_Late_Fee_Relief_Windows_1!$G$100:$G$870,"&gt;="&amp;C870,CBIC_Late_Fee_Relief_Windows_1!$H$100:$H$870,D870)</f>
        <v>#NAME?</v>
      </c>
      <c r="H870" t="e">
        <f t="shared" ca="1" si="13"/>
        <v>#NAME?</v>
      </c>
      <c r="I870" t="e">
        <f ca="1">INDEX(CBIC_Late_Fee_Relief_Windows_1!$B$100:$B$870,MATCH(G870,CBIC_Late_Fee_Relief_Windows_1!$I$100:$I$870,0))</f>
        <v>#NAME?</v>
      </c>
    </row>
    <row r="871" spans="1:9" x14ac:dyDescent="0.55000000000000004">
      <c r="A871" t="str">
        <f>TEST_DATA!A871</f>
        <v>27AAAAA0871Z5</v>
      </c>
      <c r="B871" t="str">
        <f>TEST_DATA!B871</f>
        <v>Dec-2024</v>
      </c>
      <c r="C871">
        <f>TEST_DATA!C871</f>
        <v>43877</v>
      </c>
      <c r="D871" t="str">
        <f>TEST_DATA!D871</f>
        <v>NIL</v>
      </c>
      <c r="E871">
        <f>TEST_DATA!E871</f>
        <v>504</v>
      </c>
      <c r="F871">
        <f>MIN(E871*87100,10000)</f>
        <v>10000</v>
      </c>
      <c r="G871" t="e">
        <f ca="1">_xludf.MINIFS(CBIC_Late_Fee_Relief_Windows_1!$I$100:$I$871,CBIC_Late_Fee_Relief_Windows_1!$D$100:$D$871,"&lt;="&amp;B871,CBIC_Late_Fee_Relief_Windows_1!$E$100:$E$871,"&gt;="&amp;B871,CBIC_Late_Fee_Relief_Windows_1!$F$100:$F$871,"&lt;="&amp;C871,CBIC_Late_Fee_Relief_Windows_1!$G$100:$G$871,"&gt;="&amp;C871,CBIC_Late_Fee_Relief_Windows_1!$H$100:$H$871,D871)</f>
        <v>#NAME?</v>
      </c>
      <c r="H871" t="e">
        <f t="shared" ca="1" si="13"/>
        <v>#NAME?</v>
      </c>
      <c r="I871" t="e">
        <f ca="1">INDEX(CBIC_Late_Fee_Relief_Windows_1!$B$100:$B$871,MATCH(G871,CBIC_Late_Fee_Relief_Windows_1!$I$100:$I$871,0))</f>
        <v>#NAME?</v>
      </c>
    </row>
    <row r="872" spans="1:9" x14ac:dyDescent="0.55000000000000004">
      <c r="A872" t="str">
        <f>TEST_DATA!A872</f>
        <v>27AAAAA0872Z5</v>
      </c>
      <c r="B872" t="str">
        <f>TEST_DATA!B872</f>
        <v>Mar-2020</v>
      </c>
      <c r="C872">
        <f>TEST_DATA!C872</f>
        <v>44617</v>
      </c>
      <c r="D872" t="str">
        <f>TEST_DATA!D872</f>
        <v>NON-NIL</v>
      </c>
      <c r="E872">
        <f>TEST_DATA!E872</f>
        <v>1758</v>
      </c>
      <c r="F872">
        <f>MIN(E872*87200,10000)</f>
        <v>10000</v>
      </c>
      <c r="G872" t="e">
        <f ca="1">_xludf.MINIFS(CBIC_Late_Fee_Relief_Windows_1!$I$100:$I$872,CBIC_Late_Fee_Relief_Windows_1!$D$100:$D$872,"&lt;="&amp;B872,CBIC_Late_Fee_Relief_Windows_1!$E$100:$E$872,"&gt;="&amp;B872,CBIC_Late_Fee_Relief_Windows_1!$F$100:$F$872,"&lt;="&amp;C872,CBIC_Late_Fee_Relief_Windows_1!$G$100:$G$872,"&gt;="&amp;C872,CBIC_Late_Fee_Relief_Windows_1!$H$100:$H$872,D872)</f>
        <v>#NAME?</v>
      </c>
      <c r="H872" t="e">
        <f t="shared" ca="1" si="13"/>
        <v>#NAME?</v>
      </c>
      <c r="I872" t="e">
        <f ca="1">INDEX(CBIC_Late_Fee_Relief_Windows_1!$B$100:$B$872,MATCH(G872,CBIC_Late_Fee_Relief_Windows_1!$I$100:$I$872,0))</f>
        <v>#NAME?</v>
      </c>
    </row>
    <row r="873" spans="1:9" x14ac:dyDescent="0.55000000000000004">
      <c r="A873" t="str">
        <f>TEST_DATA!A873</f>
        <v>27AAAAA0873Z5</v>
      </c>
      <c r="B873" t="str">
        <f>TEST_DATA!B873</f>
        <v>May-2018</v>
      </c>
      <c r="C873">
        <f>TEST_DATA!C873</f>
        <v>44537</v>
      </c>
      <c r="D873" t="str">
        <f>TEST_DATA!D873</f>
        <v>NIL</v>
      </c>
      <c r="E873">
        <f>TEST_DATA!E873</f>
        <v>1014</v>
      </c>
      <c r="F873">
        <f>MIN(E873*87300,10000)</f>
        <v>10000</v>
      </c>
      <c r="G873" t="e">
        <f ca="1">_xludf.MINIFS(CBIC_Late_Fee_Relief_Windows_1!$I$100:$I$873,CBIC_Late_Fee_Relief_Windows_1!$D$100:$D$873,"&lt;="&amp;B873,CBIC_Late_Fee_Relief_Windows_1!$E$100:$E$873,"&gt;="&amp;B873,CBIC_Late_Fee_Relief_Windows_1!$F$100:$F$873,"&lt;="&amp;C873,CBIC_Late_Fee_Relief_Windows_1!$G$100:$G$873,"&gt;="&amp;C873,CBIC_Late_Fee_Relief_Windows_1!$H$100:$H$873,D873)</f>
        <v>#NAME?</v>
      </c>
      <c r="H873" t="e">
        <f t="shared" ca="1" si="13"/>
        <v>#NAME?</v>
      </c>
      <c r="I873" t="e">
        <f ca="1">INDEX(CBIC_Late_Fee_Relief_Windows_1!$B$100:$B$873,MATCH(G873,CBIC_Late_Fee_Relief_Windows_1!$I$100:$I$873,0))</f>
        <v>#NAME?</v>
      </c>
    </row>
    <row r="874" spans="1:9" x14ac:dyDescent="0.55000000000000004">
      <c r="A874" t="str">
        <f>TEST_DATA!A874</f>
        <v>27AAAAA0874Z5</v>
      </c>
      <c r="B874" t="str">
        <f>TEST_DATA!B874</f>
        <v>Mar-2018</v>
      </c>
      <c r="C874">
        <f>TEST_DATA!C874</f>
        <v>44237</v>
      </c>
      <c r="D874" t="str">
        <f>TEST_DATA!D874</f>
        <v>NIL</v>
      </c>
      <c r="E874">
        <f>TEST_DATA!E874</f>
        <v>1016</v>
      </c>
      <c r="F874">
        <f>MIN(E874*87400,10000)</f>
        <v>10000</v>
      </c>
      <c r="G874" t="e">
        <f ca="1">_xludf.MINIFS(CBIC_Late_Fee_Relief_Windows_1!$I$100:$I$874,CBIC_Late_Fee_Relief_Windows_1!$D$100:$D$874,"&lt;="&amp;B874,CBIC_Late_Fee_Relief_Windows_1!$E$100:$E$874,"&gt;="&amp;B874,CBIC_Late_Fee_Relief_Windows_1!$F$100:$F$874,"&lt;="&amp;C874,CBIC_Late_Fee_Relief_Windows_1!$G$100:$G$874,"&gt;="&amp;C874,CBIC_Late_Fee_Relief_Windows_1!$H$100:$H$874,D874)</f>
        <v>#NAME?</v>
      </c>
      <c r="H874" t="e">
        <f t="shared" ca="1" si="13"/>
        <v>#NAME?</v>
      </c>
      <c r="I874" t="e">
        <f ca="1">INDEX(CBIC_Late_Fee_Relief_Windows_1!$B$100:$B$874,MATCH(G874,CBIC_Late_Fee_Relief_Windows_1!$I$100:$I$874,0))</f>
        <v>#NAME?</v>
      </c>
    </row>
    <row r="875" spans="1:9" x14ac:dyDescent="0.55000000000000004">
      <c r="A875" t="str">
        <f>TEST_DATA!A875</f>
        <v>27AAAAA0875Z5</v>
      </c>
      <c r="B875" t="str">
        <f>TEST_DATA!B875</f>
        <v>Dec-2019</v>
      </c>
      <c r="C875">
        <f>TEST_DATA!C875</f>
        <v>44633</v>
      </c>
      <c r="D875" t="str">
        <f>TEST_DATA!D875</f>
        <v>NIL</v>
      </c>
      <c r="E875">
        <f>TEST_DATA!E875</f>
        <v>2696</v>
      </c>
      <c r="F875">
        <f>MIN(E875*87500,10000)</f>
        <v>10000</v>
      </c>
      <c r="G875" t="e">
        <f ca="1">_xludf.MINIFS(CBIC_Late_Fee_Relief_Windows_1!$I$100:$I$875,CBIC_Late_Fee_Relief_Windows_1!$D$100:$D$875,"&lt;="&amp;B875,CBIC_Late_Fee_Relief_Windows_1!$E$100:$E$875,"&gt;="&amp;B875,CBIC_Late_Fee_Relief_Windows_1!$F$100:$F$875,"&lt;="&amp;C875,CBIC_Late_Fee_Relief_Windows_1!$G$100:$G$875,"&gt;="&amp;C875,CBIC_Late_Fee_Relief_Windows_1!$H$100:$H$875,D875)</f>
        <v>#NAME?</v>
      </c>
      <c r="H875" t="e">
        <f t="shared" ca="1" si="13"/>
        <v>#NAME?</v>
      </c>
      <c r="I875" t="e">
        <f ca="1">INDEX(CBIC_Late_Fee_Relief_Windows_1!$B$100:$B$875,MATCH(G875,CBIC_Late_Fee_Relief_Windows_1!$I$100:$I$875,0))</f>
        <v>#NAME?</v>
      </c>
    </row>
    <row r="876" spans="1:9" x14ac:dyDescent="0.55000000000000004">
      <c r="A876" t="str">
        <f>TEST_DATA!A876</f>
        <v>27AAAAA0876Z5</v>
      </c>
      <c r="B876" t="str">
        <f>TEST_DATA!B876</f>
        <v>Dec-2024</v>
      </c>
      <c r="C876">
        <f>TEST_DATA!C876</f>
        <v>44701</v>
      </c>
      <c r="D876" t="str">
        <f>TEST_DATA!D876</f>
        <v>NIL</v>
      </c>
      <c r="E876">
        <f>TEST_DATA!E876</f>
        <v>2120</v>
      </c>
      <c r="F876">
        <f>MIN(E876*87600,10000)</f>
        <v>10000</v>
      </c>
      <c r="G876" t="e">
        <f ca="1">_xludf.MINIFS(CBIC_Late_Fee_Relief_Windows_1!$I$100:$I$876,CBIC_Late_Fee_Relief_Windows_1!$D$100:$D$876,"&lt;="&amp;B876,CBIC_Late_Fee_Relief_Windows_1!$E$100:$E$876,"&gt;="&amp;B876,CBIC_Late_Fee_Relief_Windows_1!$F$100:$F$876,"&lt;="&amp;C876,CBIC_Late_Fee_Relief_Windows_1!$G$100:$G$876,"&gt;="&amp;C876,CBIC_Late_Fee_Relief_Windows_1!$H$100:$H$876,D876)</f>
        <v>#NAME?</v>
      </c>
      <c r="H876" t="e">
        <f t="shared" ca="1" si="13"/>
        <v>#NAME?</v>
      </c>
      <c r="I876" t="e">
        <f ca="1">INDEX(CBIC_Late_Fee_Relief_Windows_1!$B$100:$B$876,MATCH(G876,CBIC_Late_Fee_Relief_Windows_1!$I$100:$I$876,0))</f>
        <v>#NAME?</v>
      </c>
    </row>
    <row r="877" spans="1:9" x14ac:dyDescent="0.55000000000000004">
      <c r="A877" t="str">
        <f>TEST_DATA!A877</f>
        <v>27AAAAA0877Z5</v>
      </c>
      <c r="B877" t="str">
        <f>TEST_DATA!B877</f>
        <v>Apr-2020</v>
      </c>
      <c r="C877">
        <f>TEST_DATA!C877</f>
        <v>44874</v>
      </c>
      <c r="D877" t="str">
        <f>TEST_DATA!D877</f>
        <v>NIL</v>
      </c>
      <c r="E877">
        <f>TEST_DATA!E877</f>
        <v>1604</v>
      </c>
      <c r="F877">
        <f>MIN(E877*87700,10000)</f>
        <v>10000</v>
      </c>
      <c r="G877" t="e">
        <f ca="1">_xludf.MINIFS(CBIC_Late_Fee_Relief_Windows_1!$I$100:$I$877,CBIC_Late_Fee_Relief_Windows_1!$D$100:$D$877,"&lt;="&amp;B877,CBIC_Late_Fee_Relief_Windows_1!$E$100:$E$877,"&gt;="&amp;B877,CBIC_Late_Fee_Relief_Windows_1!$F$100:$F$877,"&lt;="&amp;C877,CBIC_Late_Fee_Relief_Windows_1!$G$100:$G$877,"&gt;="&amp;C877,CBIC_Late_Fee_Relief_Windows_1!$H$100:$H$877,D877)</f>
        <v>#NAME?</v>
      </c>
      <c r="H877" t="e">
        <f t="shared" ca="1" si="13"/>
        <v>#NAME?</v>
      </c>
      <c r="I877" t="e">
        <f ca="1">INDEX(CBIC_Late_Fee_Relief_Windows_1!$B$100:$B$877,MATCH(G877,CBIC_Late_Fee_Relief_Windows_1!$I$100:$I$877,0))</f>
        <v>#NAME?</v>
      </c>
    </row>
    <row r="878" spans="1:9" x14ac:dyDescent="0.55000000000000004">
      <c r="A878" t="str">
        <f>TEST_DATA!A878</f>
        <v>27AAAAA0878Z5</v>
      </c>
      <c r="B878" t="str">
        <f>TEST_DATA!B878</f>
        <v>Apr-2018</v>
      </c>
      <c r="C878">
        <f>TEST_DATA!C878</f>
        <v>44240</v>
      </c>
      <c r="D878" t="str">
        <f>TEST_DATA!D878</f>
        <v>NIL</v>
      </c>
      <c r="E878">
        <f>TEST_DATA!E878</f>
        <v>980</v>
      </c>
      <c r="F878">
        <f>MIN(E878*87800,10000)</f>
        <v>10000</v>
      </c>
      <c r="G878" t="e">
        <f ca="1">_xludf.MINIFS(CBIC_Late_Fee_Relief_Windows_1!$I$100:$I$878,CBIC_Late_Fee_Relief_Windows_1!$D$100:$D$878,"&lt;="&amp;B878,CBIC_Late_Fee_Relief_Windows_1!$E$100:$E$878,"&gt;="&amp;B878,CBIC_Late_Fee_Relief_Windows_1!$F$100:$F$878,"&lt;="&amp;C878,CBIC_Late_Fee_Relief_Windows_1!$G$100:$G$878,"&gt;="&amp;C878,CBIC_Late_Fee_Relief_Windows_1!$H$100:$H$878,D878)</f>
        <v>#NAME?</v>
      </c>
      <c r="H878" t="e">
        <f t="shared" ca="1" si="13"/>
        <v>#NAME?</v>
      </c>
      <c r="I878" t="e">
        <f ca="1">INDEX(CBIC_Late_Fee_Relief_Windows_1!$B$100:$B$878,MATCH(G878,CBIC_Late_Fee_Relief_Windows_1!$I$100:$I$878,0))</f>
        <v>#NAME?</v>
      </c>
    </row>
    <row r="879" spans="1:9" x14ac:dyDescent="0.55000000000000004">
      <c r="A879" t="str">
        <f>TEST_DATA!A879</f>
        <v>27AAAAA0879Z5</v>
      </c>
      <c r="B879" t="str">
        <f>TEST_DATA!B879</f>
        <v>Jan-2019</v>
      </c>
      <c r="C879">
        <f>TEST_DATA!C879</f>
        <v>45046</v>
      </c>
      <c r="D879" t="str">
        <f>TEST_DATA!D879</f>
        <v>NIL</v>
      </c>
      <c r="E879">
        <f>TEST_DATA!E879</f>
        <v>987</v>
      </c>
      <c r="F879">
        <f>MIN(E879*87900,10000)</f>
        <v>10000</v>
      </c>
      <c r="G879" t="e">
        <f ca="1">_xludf.MINIFS(CBIC_Late_Fee_Relief_Windows_1!$I$100:$I$879,CBIC_Late_Fee_Relief_Windows_1!$D$100:$D$879,"&lt;="&amp;B879,CBIC_Late_Fee_Relief_Windows_1!$E$100:$E$879,"&gt;="&amp;B879,CBIC_Late_Fee_Relief_Windows_1!$F$100:$F$879,"&lt;="&amp;C879,CBIC_Late_Fee_Relief_Windows_1!$G$100:$G$879,"&gt;="&amp;C879,CBIC_Late_Fee_Relief_Windows_1!$H$100:$H$879,D879)</f>
        <v>#NAME?</v>
      </c>
      <c r="H879" t="e">
        <f t="shared" ca="1" si="13"/>
        <v>#NAME?</v>
      </c>
      <c r="I879" t="e">
        <f ca="1">INDEX(CBIC_Late_Fee_Relief_Windows_1!$B$100:$B$879,MATCH(G879,CBIC_Late_Fee_Relief_Windows_1!$I$100:$I$879,0))</f>
        <v>#NAME?</v>
      </c>
    </row>
    <row r="880" spans="1:9" x14ac:dyDescent="0.55000000000000004">
      <c r="A880" t="str">
        <f>TEST_DATA!A880</f>
        <v>27AAAAA0880Z5</v>
      </c>
      <c r="B880" t="str">
        <f>TEST_DATA!B880</f>
        <v>Jan-2019</v>
      </c>
      <c r="C880">
        <f>TEST_DATA!C880</f>
        <v>43756</v>
      </c>
      <c r="D880" t="str">
        <f>TEST_DATA!D880</f>
        <v>NIL</v>
      </c>
      <c r="E880">
        <f>TEST_DATA!E880</f>
        <v>1479</v>
      </c>
      <c r="F880">
        <f>MIN(E880*88000,10000)</f>
        <v>10000</v>
      </c>
      <c r="G880" t="e">
        <f ca="1">_xludf.MINIFS(CBIC_Late_Fee_Relief_Windows_1!$I$100:$I$880,CBIC_Late_Fee_Relief_Windows_1!$D$100:$D$880,"&lt;="&amp;B880,CBIC_Late_Fee_Relief_Windows_1!$E$100:$E$880,"&gt;="&amp;B880,CBIC_Late_Fee_Relief_Windows_1!$F$100:$F$880,"&lt;="&amp;C880,CBIC_Late_Fee_Relief_Windows_1!$G$100:$G$880,"&gt;="&amp;C880,CBIC_Late_Fee_Relief_Windows_1!$H$100:$H$880,D880)</f>
        <v>#NAME?</v>
      </c>
      <c r="H880" t="e">
        <f t="shared" ca="1" si="13"/>
        <v>#NAME?</v>
      </c>
      <c r="I880" t="e">
        <f ca="1">INDEX(CBIC_Late_Fee_Relief_Windows_1!$B$100:$B$880,MATCH(G880,CBIC_Late_Fee_Relief_Windows_1!$I$100:$I$880,0))</f>
        <v>#NAME?</v>
      </c>
    </row>
    <row r="881" spans="1:9" x14ac:dyDescent="0.55000000000000004">
      <c r="A881" t="str">
        <f>TEST_DATA!A881</f>
        <v>27AAAAA0881Z5</v>
      </c>
      <c r="B881" t="str">
        <f>TEST_DATA!B881</f>
        <v>May-2018</v>
      </c>
      <c r="C881">
        <f>TEST_DATA!C881</f>
        <v>43187</v>
      </c>
      <c r="D881" t="str">
        <f>TEST_DATA!D881</f>
        <v>NON-NIL</v>
      </c>
      <c r="E881">
        <f>TEST_DATA!E881</f>
        <v>2328</v>
      </c>
      <c r="F881">
        <f>MIN(E881*88100,10000)</f>
        <v>10000</v>
      </c>
      <c r="G881" t="e">
        <f ca="1">_xludf.MINIFS(CBIC_Late_Fee_Relief_Windows_1!$I$100:$I$881,CBIC_Late_Fee_Relief_Windows_1!$D$100:$D$881,"&lt;="&amp;B881,CBIC_Late_Fee_Relief_Windows_1!$E$100:$E$881,"&gt;="&amp;B881,CBIC_Late_Fee_Relief_Windows_1!$F$100:$F$881,"&lt;="&amp;C881,CBIC_Late_Fee_Relief_Windows_1!$G$100:$G$881,"&gt;="&amp;C881,CBIC_Late_Fee_Relief_Windows_1!$H$100:$H$881,D881)</f>
        <v>#NAME?</v>
      </c>
      <c r="H881" t="e">
        <f t="shared" ca="1" si="13"/>
        <v>#NAME?</v>
      </c>
      <c r="I881" t="e">
        <f ca="1">INDEX(CBIC_Late_Fee_Relief_Windows_1!$B$100:$B$881,MATCH(G881,CBIC_Late_Fee_Relief_Windows_1!$I$100:$I$881,0))</f>
        <v>#NAME?</v>
      </c>
    </row>
    <row r="882" spans="1:9" x14ac:dyDescent="0.55000000000000004">
      <c r="A882" t="str">
        <f>TEST_DATA!A882</f>
        <v>27AAAAA0882Z5</v>
      </c>
      <c r="B882" t="str">
        <f>TEST_DATA!B882</f>
        <v>Aug-2018</v>
      </c>
      <c r="C882">
        <f>TEST_DATA!C882</f>
        <v>43665</v>
      </c>
      <c r="D882" t="str">
        <f>TEST_DATA!D882</f>
        <v>NIL</v>
      </c>
      <c r="E882">
        <f>TEST_DATA!E882</f>
        <v>1929</v>
      </c>
      <c r="F882">
        <f>MIN(E882*88200,10000)</f>
        <v>10000</v>
      </c>
      <c r="G882" t="e">
        <f ca="1">_xludf.MINIFS(CBIC_Late_Fee_Relief_Windows_1!$I$100:$I$882,CBIC_Late_Fee_Relief_Windows_1!$D$100:$D$882,"&lt;="&amp;B882,CBIC_Late_Fee_Relief_Windows_1!$E$100:$E$882,"&gt;="&amp;B882,CBIC_Late_Fee_Relief_Windows_1!$F$100:$F$882,"&lt;="&amp;C882,CBIC_Late_Fee_Relief_Windows_1!$G$100:$G$882,"&gt;="&amp;C882,CBIC_Late_Fee_Relief_Windows_1!$H$100:$H$882,D882)</f>
        <v>#NAME?</v>
      </c>
      <c r="H882" t="e">
        <f t="shared" ca="1" si="13"/>
        <v>#NAME?</v>
      </c>
      <c r="I882" t="e">
        <f ca="1">INDEX(CBIC_Late_Fee_Relief_Windows_1!$B$100:$B$882,MATCH(G882,CBIC_Late_Fee_Relief_Windows_1!$I$100:$I$882,0))</f>
        <v>#NAME?</v>
      </c>
    </row>
    <row r="883" spans="1:9" x14ac:dyDescent="0.55000000000000004">
      <c r="A883" t="str">
        <f>TEST_DATA!A883</f>
        <v>27AAAAA0883Z5</v>
      </c>
      <c r="B883" t="str">
        <f>TEST_DATA!B883</f>
        <v>Mar-2021</v>
      </c>
      <c r="C883">
        <f>TEST_DATA!C883</f>
        <v>43764</v>
      </c>
      <c r="D883" t="str">
        <f>TEST_DATA!D883</f>
        <v>NIL</v>
      </c>
      <c r="E883">
        <f>TEST_DATA!E883</f>
        <v>2405</v>
      </c>
      <c r="F883">
        <f>MIN(E883*88300,10000)</f>
        <v>10000</v>
      </c>
      <c r="G883" t="e">
        <f ca="1">_xludf.MINIFS(CBIC_Late_Fee_Relief_Windows_1!$I$100:$I$883,CBIC_Late_Fee_Relief_Windows_1!$D$100:$D$883,"&lt;="&amp;B883,CBIC_Late_Fee_Relief_Windows_1!$E$100:$E$883,"&gt;="&amp;B883,CBIC_Late_Fee_Relief_Windows_1!$F$100:$F$883,"&lt;="&amp;C883,CBIC_Late_Fee_Relief_Windows_1!$G$100:$G$883,"&gt;="&amp;C883,CBIC_Late_Fee_Relief_Windows_1!$H$100:$H$883,D883)</f>
        <v>#NAME?</v>
      </c>
      <c r="H883" t="e">
        <f t="shared" ca="1" si="13"/>
        <v>#NAME?</v>
      </c>
      <c r="I883" t="e">
        <f ca="1">INDEX(CBIC_Late_Fee_Relief_Windows_1!$B$100:$B$883,MATCH(G883,CBIC_Late_Fee_Relief_Windows_1!$I$100:$I$883,0))</f>
        <v>#NAME?</v>
      </c>
    </row>
    <row r="884" spans="1:9" x14ac:dyDescent="0.55000000000000004">
      <c r="A884" t="str">
        <f>TEST_DATA!A884</f>
        <v>27AAAAA0884Z5</v>
      </c>
      <c r="B884" t="str">
        <f>TEST_DATA!B884</f>
        <v>Sep-2017</v>
      </c>
      <c r="C884">
        <f>TEST_DATA!C884</f>
        <v>42945</v>
      </c>
      <c r="D884" t="str">
        <f>TEST_DATA!D884</f>
        <v>NON-NIL</v>
      </c>
      <c r="E884">
        <f>TEST_DATA!E884</f>
        <v>883</v>
      </c>
      <c r="F884">
        <f>MIN(E884*88400,10000)</f>
        <v>10000</v>
      </c>
      <c r="G884" t="e">
        <f ca="1">_xludf.MINIFS(CBIC_Late_Fee_Relief_Windows_1!$I$100:$I$884,CBIC_Late_Fee_Relief_Windows_1!$D$100:$D$884,"&lt;="&amp;B884,CBIC_Late_Fee_Relief_Windows_1!$E$100:$E$884,"&gt;="&amp;B884,CBIC_Late_Fee_Relief_Windows_1!$F$100:$F$884,"&lt;="&amp;C884,CBIC_Late_Fee_Relief_Windows_1!$G$100:$G$884,"&gt;="&amp;C884,CBIC_Late_Fee_Relief_Windows_1!$H$100:$H$884,D884)</f>
        <v>#NAME?</v>
      </c>
      <c r="H884" t="e">
        <f t="shared" ca="1" si="13"/>
        <v>#NAME?</v>
      </c>
      <c r="I884" t="e">
        <f ca="1">INDEX(CBIC_Late_Fee_Relief_Windows_1!$B$100:$B$884,MATCH(G884,CBIC_Late_Fee_Relief_Windows_1!$I$100:$I$884,0))</f>
        <v>#NAME?</v>
      </c>
    </row>
    <row r="885" spans="1:9" x14ac:dyDescent="0.55000000000000004">
      <c r="A885" t="str">
        <f>TEST_DATA!A885</f>
        <v>27AAAAA0885Z5</v>
      </c>
      <c r="B885" t="str">
        <f>TEST_DATA!B885</f>
        <v>Aug-2017</v>
      </c>
      <c r="C885">
        <f>TEST_DATA!C885</f>
        <v>43040</v>
      </c>
      <c r="D885" t="str">
        <f>TEST_DATA!D885</f>
        <v>NON-NIL</v>
      </c>
      <c r="E885">
        <f>TEST_DATA!E885</f>
        <v>2075</v>
      </c>
      <c r="F885">
        <f>MIN(E885*88500,10000)</f>
        <v>10000</v>
      </c>
      <c r="G885" t="e">
        <f ca="1">_xludf.MINIFS(CBIC_Late_Fee_Relief_Windows_1!$I$100:$I$885,CBIC_Late_Fee_Relief_Windows_1!$D$100:$D$885,"&lt;="&amp;B885,CBIC_Late_Fee_Relief_Windows_1!$E$100:$E$885,"&gt;="&amp;B885,CBIC_Late_Fee_Relief_Windows_1!$F$100:$F$885,"&lt;="&amp;C885,CBIC_Late_Fee_Relief_Windows_1!$G$100:$G$885,"&gt;="&amp;C885,CBIC_Late_Fee_Relief_Windows_1!$H$100:$H$885,D885)</f>
        <v>#NAME?</v>
      </c>
      <c r="H885" t="e">
        <f t="shared" ca="1" si="13"/>
        <v>#NAME?</v>
      </c>
      <c r="I885" t="e">
        <f ca="1">INDEX(CBIC_Late_Fee_Relief_Windows_1!$B$100:$B$885,MATCH(G885,CBIC_Late_Fee_Relief_Windows_1!$I$100:$I$885,0))</f>
        <v>#NAME?</v>
      </c>
    </row>
    <row r="886" spans="1:9" x14ac:dyDescent="0.55000000000000004">
      <c r="A886" t="str">
        <f>TEST_DATA!A886</f>
        <v>27AAAAA0886Z5</v>
      </c>
      <c r="B886" t="str">
        <f>TEST_DATA!B886</f>
        <v>Apr-2018</v>
      </c>
      <c r="C886">
        <f>TEST_DATA!C886</f>
        <v>44204</v>
      </c>
      <c r="D886" t="str">
        <f>TEST_DATA!D886</f>
        <v>NON-NIL</v>
      </c>
      <c r="E886">
        <f>TEST_DATA!E886</f>
        <v>1734</v>
      </c>
      <c r="F886">
        <f>MIN(E886*88600,10000)</f>
        <v>10000</v>
      </c>
      <c r="G886" t="e">
        <f ca="1">_xludf.MINIFS(CBIC_Late_Fee_Relief_Windows_1!$I$100:$I$886,CBIC_Late_Fee_Relief_Windows_1!$D$100:$D$886,"&lt;="&amp;B886,CBIC_Late_Fee_Relief_Windows_1!$E$100:$E$886,"&gt;="&amp;B886,CBIC_Late_Fee_Relief_Windows_1!$F$100:$F$886,"&lt;="&amp;C886,CBIC_Late_Fee_Relief_Windows_1!$G$100:$G$886,"&gt;="&amp;C886,CBIC_Late_Fee_Relief_Windows_1!$H$100:$H$886,D886)</f>
        <v>#NAME?</v>
      </c>
      <c r="H886" t="e">
        <f t="shared" ca="1" si="13"/>
        <v>#NAME?</v>
      </c>
      <c r="I886" t="e">
        <f ca="1">INDEX(CBIC_Late_Fee_Relief_Windows_1!$B$100:$B$886,MATCH(G886,CBIC_Late_Fee_Relief_Windows_1!$I$100:$I$886,0))</f>
        <v>#NAME?</v>
      </c>
    </row>
    <row r="887" spans="1:9" x14ac:dyDescent="0.55000000000000004">
      <c r="A887" t="str">
        <f>TEST_DATA!A887</f>
        <v>27AAAAA0887Z5</v>
      </c>
      <c r="B887" t="str">
        <f>TEST_DATA!B887</f>
        <v>Jul-2020</v>
      </c>
      <c r="C887">
        <f>TEST_DATA!C887</f>
        <v>44654</v>
      </c>
      <c r="D887" t="str">
        <f>TEST_DATA!D887</f>
        <v>NIL</v>
      </c>
      <c r="E887">
        <f>TEST_DATA!E887</f>
        <v>2623</v>
      </c>
      <c r="F887">
        <f>MIN(E887*88700,10000)</f>
        <v>10000</v>
      </c>
      <c r="G887" t="e">
        <f ca="1">_xludf.MINIFS(CBIC_Late_Fee_Relief_Windows_1!$I$100:$I$887,CBIC_Late_Fee_Relief_Windows_1!$D$100:$D$887,"&lt;="&amp;B887,CBIC_Late_Fee_Relief_Windows_1!$E$100:$E$887,"&gt;="&amp;B887,CBIC_Late_Fee_Relief_Windows_1!$F$100:$F$887,"&lt;="&amp;C887,CBIC_Late_Fee_Relief_Windows_1!$G$100:$G$887,"&gt;="&amp;C887,CBIC_Late_Fee_Relief_Windows_1!$H$100:$H$887,D887)</f>
        <v>#NAME?</v>
      </c>
      <c r="H887" t="e">
        <f t="shared" ca="1" si="13"/>
        <v>#NAME?</v>
      </c>
      <c r="I887" t="e">
        <f ca="1">INDEX(CBIC_Late_Fee_Relief_Windows_1!$B$100:$B$887,MATCH(G887,CBIC_Late_Fee_Relief_Windows_1!$I$100:$I$887,0))</f>
        <v>#NAME?</v>
      </c>
    </row>
    <row r="888" spans="1:9" x14ac:dyDescent="0.55000000000000004">
      <c r="A888" t="str">
        <f>TEST_DATA!A888</f>
        <v>27AAAAA0888Z5</v>
      </c>
      <c r="B888" t="str">
        <f>TEST_DATA!B888</f>
        <v>Dec-2019</v>
      </c>
      <c r="C888">
        <f>TEST_DATA!C888</f>
        <v>45668</v>
      </c>
      <c r="D888" t="str">
        <f>TEST_DATA!D888</f>
        <v>NIL</v>
      </c>
      <c r="E888">
        <f>TEST_DATA!E888</f>
        <v>1136</v>
      </c>
      <c r="F888">
        <f>MIN(E888*88800,10000)</f>
        <v>10000</v>
      </c>
      <c r="G888" t="e">
        <f ca="1">_xludf.MINIFS(CBIC_Late_Fee_Relief_Windows_1!$I$100:$I$888,CBIC_Late_Fee_Relief_Windows_1!$D$100:$D$888,"&lt;="&amp;B888,CBIC_Late_Fee_Relief_Windows_1!$E$100:$E$888,"&gt;="&amp;B888,CBIC_Late_Fee_Relief_Windows_1!$F$100:$F$888,"&lt;="&amp;C888,CBIC_Late_Fee_Relief_Windows_1!$G$100:$G$888,"&gt;="&amp;C888,CBIC_Late_Fee_Relief_Windows_1!$H$100:$H$888,D888)</f>
        <v>#NAME?</v>
      </c>
      <c r="H888" t="e">
        <f t="shared" ca="1" si="13"/>
        <v>#NAME?</v>
      </c>
      <c r="I888" t="e">
        <f ca="1">INDEX(CBIC_Late_Fee_Relief_Windows_1!$B$100:$B$888,MATCH(G888,CBIC_Late_Fee_Relief_Windows_1!$I$100:$I$888,0))</f>
        <v>#NAME?</v>
      </c>
    </row>
    <row r="889" spans="1:9" x14ac:dyDescent="0.55000000000000004">
      <c r="A889" t="str">
        <f>TEST_DATA!A889</f>
        <v>27AAAAA0889Z5</v>
      </c>
      <c r="B889" t="str">
        <f>TEST_DATA!B889</f>
        <v>Sep-2017</v>
      </c>
      <c r="C889">
        <f>TEST_DATA!C889</f>
        <v>43551</v>
      </c>
      <c r="D889" t="str">
        <f>TEST_DATA!D889</f>
        <v>NIL</v>
      </c>
      <c r="E889">
        <f>TEST_DATA!E889</f>
        <v>2094</v>
      </c>
      <c r="F889">
        <f>MIN(E889*88900,10000)</f>
        <v>10000</v>
      </c>
      <c r="G889" t="e">
        <f ca="1">_xludf.MINIFS(CBIC_Late_Fee_Relief_Windows_1!$I$100:$I$889,CBIC_Late_Fee_Relief_Windows_1!$D$100:$D$889,"&lt;="&amp;B889,CBIC_Late_Fee_Relief_Windows_1!$E$100:$E$889,"&gt;="&amp;B889,CBIC_Late_Fee_Relief_Windows_1!$F$100:$F$889,"&lt;="&amp;C889,CBIC_Late_Fee_Relief_Windows_1!$G$100:$G$889,"&gt;="&amp;C889,CBIC_Late_Fee_Relief_Windows_1!$H$100:$H$889,D889)</f>
        <v>#NAME?</v>
      </c>
      <c r="H889" t="e">
        <f t="shared" ca="1" si="13"/>
        <v>#NAME?</v>
      </c>
      <c r="I889" t="e">
        <f ca="1">INDEX(CBIC_Late_Fee_Relief_Windows_1!$B$100:$B$889,MATCH(G889,CBIC_Late_Fee_Relief_Windows_1!$I$100:$I$889,0))</f>
        <v>#NAME?</v>
      </c>
    </row>
    <row r="890" spans="1:9" x14ac:dyDescent="0.55000000000000004">
      <c r="A890" t="str">
        <f>TEST_DATA!A890</f>
        <v>27AAAAA0890Z5</v>
      </c>
      <c r="B890" t="str">
        <f>TEST_DATA!B890</f>
        <v>Jan-2018</v>
      </c>
      <c r="C890">
        <f>TEST_DATA!C890</f>
        <v>43235</v>
      </c>
      <c r="D890" t="str">
        <f>TEST_DATA!D890</f>
        <v>NON-NIL</v>
      </c>
      <c r="E890">
        <f>TEST_DATA!E890</f>
        <v>1600</v>
      </c>
      <c r="F890">
        <f>MIN(E890*89000,10000)</f>
        <v>10000</v>
      </c>
      <c r="G890" t="e">
        <f ca="1">_xludf.MINIFS(CBIC_Late_Fee_Relief_Windows_1!$I$100:$I$890,CBIC_Late_Fee_Relief_Windows_1!$D$100:$D$890,"&lt;="&amp;B890,CBIC_Late_Fee_Relief_Windows_1!$E$100:$E$890,"&gt;="&amp;B890,CBIC_Late_Fee_Relief_Windows_1!$F$100:$F$890,"&lt;="&amp;C890,CBIC_Late_Fee_Relief_Windows_1!$G$100:$G$890,"&gt;="&amp;C890,CBIC_Late_Fee_Relief_Windows_1!$H$100:$H$890,D890)</f>
        <v>#NAME?</v>
      </c>
      <c r="H890" t="e">
        <f t="shared" ca="1" si="13"/>
        <v>#NAME?</v>
      </c>
      <c r="I890" t="e">
        <f ca="1">INDEX(CBIC_Late_Fee_Relief_Windows_1!$B$100:$B$890,MATCH(G890,CBIC_Late_Fee_Relief_Windows_1!$I$100:$I$890,0))</f>
        <v>#NAME?</v>
      </c>
    </row>
    <row r="891" spans="1:9" x14ac:dyDescent="0.55000000000000004">
      <c r="A891" t="str">
        <f>TEST_DATA!A891</f>
        <v>27AAAAA0891Z5</v>
      </c>
      <c r="B891" t="str">
        <f>TEST_DATA!B891</f>
        <v>Mar-2020</v>
      </c>
      <c r="C891">
        <f>TEST_DATA!C891</f>
        <v>43966</v>
      </c>
      <c r="D891" t="str">
        <f>TEST_DATA!D891</f>
        <v>NON-NIL</v>
      </c>
      <c r="E891">
        <f>TEST_DATA!E891</f>
        <v>2861</v>
      </c>
      <c r="F891">
        <f>MIN(E891*89100,10000)</f>
        <v>10000</v>
      </c>
      <c r="G891" t="e">
        <f ca="1">_xludf.MINIFS(CBIC_Late_Fee_Relief_Windows_1!$I$100:$I$891,CBIC_Late_Fee_Relief_Windows_1!$D$100:$D$891,"&lt;="&amp;B891,CBIC_Late_Fee_Relief_Windows_1!$E$100:$E$891,"&gt;="&amp;B891,CBIC_Late_Fee_Relief_Windows_1!$F$100:$F$891,"&lt;="&amp;C891,CBIC_Late_Fee_Relief_Windows_1!$G$100:$G$891,"&gt;="&amp;C891,CBIC_Late_Fee_Relief_Windows_1!$H$100:$H$891,D891)</f>
        <v>#NAME?</v>
      </c>
      <c r="H891" t="e">
        <f t="shared" ca="1" si="13"/>
        <v>#NAME?</v>
      </c>
      <c r="I891" t="e">
        <f ca="1">INDEX(CBIC_Late_Fee_Relief_Windows_1!$B$100:$B$891,MATCH(G891,CBIC_Late_Fee_Relief_Windows_1!$I$100:$I$891,0))</f>
        <v>#NAME?</v>
      </c>
    </row>
    <row r="892" spans="1:9" x14ac:dyDescent="0.55000000000000004">
      <c r="A892" t="str">
        <f>TEST_DATA!A892</f>
        <v>27AAAAA0892Z5</v>
      </c>
      <c r="B892" t="str">
        <f>TEST_DATA!B892</f>
        <v>Aug-2018</v>
      </c>
      <c r="C892">
        <f>TEST_DATA!C892</f>
        <v>44411</v>
      </c>
      <c r="D892" t="str">
        <f>TEST_DATA!D892</f>
        <v>NIL</v>
      </c>
      <c r="E892">
        <f>TEST_DATA!E892</f>
        <v>237</v>
      </c>
      <c r="F892">
        <f>MIN(E892*89200,10000)</f>
        <v>10000</v>
      </c>
      <c r="G892" t="e">
        <f ca="1">_xludf.MINIFS(CBIC_Late_Fee_Relief_Windows_1!$I$100:$I$892,CBIC_Late_Fee_Relief_Windows_1!$D$100:$D$892,"&lt;="&amp;B892,CBIC_Late_Fee_Relief_Windows_1!$E$100:$E$892,"&gt;="&amp;B892,CBIC_Late_Fee_Relief_Windows_1!$F$100:$F$892,"&lt;="&amp;C892,CBIC_Late_Fee_Relief_Windows_1!$G$100:$G$892,"&gt;="&amp;C892,CBIC_Late_Fee_Relief_Windows_1!$H$100:$H$892,D892)</f>
        <v>#NAME?</v>
      </c>
      <c r="H892" t="e">
        <f t="shared" ca="1" si="13"/>
        <v>#NAME?</v>
      </c>
      <c r="I892" t="e">
        <f ca="1">INDEX(CBIC_Late_Fee_Relief_Windows_1!$B$100:$B$892,MATCH(G892,CBIC_Late_Fee_Relief_Windows_1!$I$100:$I$892,0))</f>
        <v>#NAME?</v>
      </c>
    </row>
    <row r="893" spans="1:9" x14ac:dyDescent="0.55000000000000004">
      <c r="A893" t="str">
        <f>TEST_DATA!A893</f>
        <v>27AAAAA0893Z5</v>
      </c>
      <c r="B893" t="str">
        <f>TEST_DATA!B893</f>
        <v>Feb-2018</v>
      </c>
      <c r="C893">
        <f>TEST_DATA!C893</f>
        <v>43093</v>
      </c>
      <c r="D893" t="str">
        <f>TEST_DATA!D893</f>
        <v>NON-NIL</v>
      </c>
      <c r="E893">
        <f>TEST_DATA!E893</f>
        <v>475</v>
      </c>
      <c r="F893">
        <f>MIN(E893*89300,10000)</f>
        <v>10000</v>
      </c>
      <c r="G893" t="e">
        <f ca="1">_xludf.MINIFS(CBIC_Late_Fee_Relief_Windows_1!$I$100:$I$893,CBIC_Late_Fee_Relief_Windows_1!$D$100:$D$893,"&lt;="&amp;B893,CBIC_Late_Fee_Relief_Windows_1!$E$100:$E$893,"&gt;="&amp;B893,CBIC_Late_Fee_Relief_Windows_1!$F$100:$F$893,"&lt;="&amp;C893,CBIC_Late_Fee_Relief_Windows_1!$G$100:$G$893,"&gt;="&amp;C893,CBIC_Late_Fee_Relief_Windows_1!$H$100:$H$893,D893)</f>
        <v>#NAME?</v>
      </c>
      <c r="H893" t="e">
        <f t="shared" ca="1" si="13"/>
        <v>#NAME?</v>
      </c>
      <c r="I893" t="e">
        <f ca="1">INDEX(CBIC_Late_Fee_Relief_Windows_1!$B$100:$B$893,MATCH(G893,CBIC_Late_Fee_Relief_Windows_1!$I$100:$I$893,0))</f>
        <v>#NAME?</v>
      </c>
    </row>
    <row r="894" spans="1:9" x14ac:dyDescent="0.55000000000000004">
      <c r="A894" t="str">
        <f>TEST_DATA!A894</f>
        <v>27AAAAA0894Z5</v>
      </c>
      <c r="B894" t="str">
        <f>TEST_DATA!B894</f>
        <v>Sep-2018</v>
      </c>
      <c r="C894">
        <f>TEST_DATA!C894</f>
        <v>44170</v>
      </c>
      <c r="D894" t="str">
        <f>TEST_DATA!D894</f>
        <v>NIL</v>
      </c>
      <c r="E894">
        <f>TEST_DATA!E894</f>
        <v>1266</v>
      </c>
      <c r="F894">
        <f>MIN(E894*89400,10000)</f>
        <v>10000</v>
      </c>
      <c r="G894" t="e">
        <f ca="1">_xludf.MINIFS(CBIC_Late_Fee_Relief_Windows_1!$I$100:$I$894,CBIC_Late_Fee_Relief_Windows_1!$D$100:$D$894,"&lt;="&amp;B894,CBIC_Late_Fee_Relief_Windows_1!$E$100:$E$894,"&gt;="&amp;B894,CBIC_Late_Fee_Relief_Windows_1!$F$100:$F$894,"&lt;="&amp;C894,CBIC_Late_Fee_Relief_Windows_1!$G$100:$G$894,"&gt;="&amp;C894,CBIC_Late_Fee_Relief_Windows_1!$H$100:$H$894,D894)</f>
        <v>#NAME?</v>
      </c>
      <c r="H894" t="e">
        <f t="shared" ca="1" si="13"/>
        <v>#NAME?</v>
      </c>
      <c r="I894" t="e">
        <f ca="1">INDEX(CBIC_Late_Fee_Relief_Windows_1!$B$100:$B$894,MATCH(G894,CBIC_Late_Fee_Relief_Windows_1!$I$100:$I$894,0))</f>
        <v>#NAME?</v>
      </c>
    </row>
    <row r="895" spans="1:9" x14ac:dyDescent="0.55000000000000004">
      <c r="A895" t="str">
        <f>TEST_DATA!A895</f>
        <v>27AAAAA0895Z5</v>
      </c>
      <c r="B895" t="str">
        <f>TEST_DATA!B895</f>
        <v>Jun-2020</v>
      </c>
      <c r="C895">
        <f>TEST_DATA!C895</f>
        <v>44190</v>
      </c>
      <c r="D895" t="str">
        <f>TEST_DATA!D895</f>
        <v>NIL</v>
      </c>
      <c r="E895">
        <f>TEST_DATA!E895</f>
        <v>51</v>
      </c>
      <c r="F895">
        <f>MIN(E895*89500,10000)</f>
        <v>10000</v>
      </c>
      <c r="G895" t="e">
        <f ca="1">_xludf.MINIFS(CBIC_Late_Fee_Relief_Windows_1!$I$100:$I$895,CBIC_Late_Fee_Relief_Windows_1!$D$100:$D$895,"&lt;="&amp;B895,CBIC_Late_Fee_Relief_Windows_1!$E$100:$E$895,"&gt;="&amp;B895,CBIC_Late_Fee_Relief_Windows_1!$F$100:$F$895,"&lt;="&amp;C895,CBIC_Late_Fee_Relief_Windows_1!$G$100:$G$895,"&gt;="&amp;C895,CBIC_Late_Fee_Relief_Windows_1!$H$100:$H$895,D895)</f>
        <v>#NAME?</v>
      </c>
      <c r="H895" t="e">
        <f t="shared" ca="1" si="13"/>
        <v>#NAME?</v>
      </c>
      <c r="I895" t="e">
        <f ca="1">INDEX(CBIC_Late_Fee_Relief_Windows_1!$B$100:$B$895,MATCH(G895,CBIC_Late_Fee_Relief_Windows_1!$I$100:$I$895,0))</f>
        <v>#NAME?</v>
      </c>
    </row>
    <row r="896" spans="1:9" x14ac:dyDescent="0.55000000000000004">
      <c r="A896" t="str">
        <f>TEST_DATA!A896</f>
        <v>27AAAAA0896Z5</v>
      </c>
      <c r="B896" t="str">
        <f>TEST_DATA!B896</f>
        <v>Jul-2020</v>
      </c>
      <c r="C896">
        <f>TEST_DATA!C896</f>
        <v>44112</v>
      </c>
      <c r="D896" t="str">
        <f>TEST_DATA!D896</f>
        <v>NIL</v>
      </c>
      <c r="E896">
        <f>TEST_DATA!E896</f>
        <v>671</v>
      </c>
      <c r="F896">
        <f>MIN(E896*89600,10000)</f>
        <v>10000</v>
      </c>
      <c r="G896" t="e">
        <f ca="1">_xludf.MINIFS(CBIC_Late_Fee_Relief_Windows_1!$I$100:$I$896,CBIC_Late_Fee_Relief_Windows_1!$D$100:$D$896,"&lt;="&amp;B896,CBIC_Late_Fee_Relief_Windows_1!$E$100:$E$896,"&gt;="&amp;B896,CBIC_Late_Fee_Relief_Windows_1!$F$100:$F$896,"&lt;="&amp;C896,CBIC_Late_Fee_Relief_Windows_1!$G$100:$G$896,"&gt;="&amp;C896,CBIC_Late_Fee_Relief_Windows_1!$H$100:$H$896,D896)</f>
        <v>#NAME?</v>
      </c>
      <c r="H896" t="e">
        <f t="shared" ca="1" si="13"/>
        <v>#NAME?</v>
      </c>
      <c r="I896" t="e">
        <f ca="1">INDEX(CBIC_Late_Fee_Relief_Windows_1!$B$100:$B$896,MATCH(G896,CBIC_Late_Fee_Relief_Windows_1!$I$100:$I$896,0))</f>
        <v>#NAME?</v>
      </c>
    </row>
    <row r="897" spans="1:9" x14ac:dyDescent="0.55000000000000004">
      <c r="A897" t="str">
        <f>TEST_DATA!A897</f>
        <v>27AAAAA0897Z5</v>
      </c>
      <c r="B897" t="str">
        <f>TEST_DATA!B897</f>
        <v>Jan-2019</v>
      </c>
      <c r="C897">
        <f>TEST_DATA!C897</f>
        <v>44886</v>
      </c>
      <c r="D897" t="str">
        <f>TEST_DATA!D897</f>
        <v>NON-NIL</v>
      </c>
      <c r="E897">
        <f>TEST_DATA!E897</f>
        <v>683</v>
      </c>
      <c r="F897">
        <f>MIN(E897*89700,10000)</f>
        <v>10000</v>
      </c>
      <c r="G897" t="e">
        <f ca="1">_xludf.MINIFS(CBIC_Late_Fee_Relief_Windows_1!$I$100:$I$897,CBIC_Late_Fee_Relief_Windows_1!$D$100:$D$897,"&lt;="&amp;B897,CBIC_Late_Fee_Relief_Windows_1!$E$100:$E$897,"&gt;="&amp;B897,CBIC_Late_Fee_Relief_Windows_1!$F$100:$F$897,"&lt;="&amp;C897,CBIC_Late_Fee_Relief_Windows_1!$G$100:$G$897,"&gt;="&amp;C897,CBIC_Late_Fee_Relief_Windows_1!$H$100:$H$897,D897)</f>
        <v>#NAME?</v>
      </c>
      <c r="H897" t="e">
        <f t="shared" ca="1" si="13"/>
        <v>#NAME?</v>
      </c>
      <c r="I897" t="e">
        <f ca="1">INDEX(CBIC_Late_Fee_Relief_Windows_1!$B$100:$B$897,MATCH(G897,CBIC_Late_Fee_Relief_Windows_1!$I$100:$I$897,0))</f>
        <v>#NAME?</v>
      </c>
    </row>
    <row r="898" spans="1:9" x14ac:dyDescent="0.55000000000000004">
      <c r="A898" t="str">
        <f>TEST_DATA!A898</f>
        <v>27AAAAA0898Z5</v>
      </c>
      <c r="B898" t="str">
        <f>TEST_DATA!B898</f>
        <v>Jun-2018</v>
      </c>
      <c r="C898">
        <f>TEST_DATA!C898</f>
        <v>43176</v>
      </c>
      <c r="D898" t="str">
        <f>TEST_DATA!D898</f>
        <v>NON-NIL</v>
      </c>
      <c r="E898">
        <f>TEST_DATA!E898</f>
        <v>483</v>
      </c>
      <c r="F898">
        <f>MIN(E898*89800,10000)</f>
        <v>10000</v>
      </c>
      <c r="G898" t="e">
        <f ca="1">_xludf.MINIFS(CBIC_Late_Fee_Relief_Windows_1!$I$100:$I$898,CBIC_Late_Fee_Relief_Windows_1!$D$100:$D$898,"&lt;="&amp;B898,CBIC_Late_Fee_Relief_Windows_1!$E$100:$E$898,"&gt;="&amp;B898,CBIC_Late_Fee_Relief_Windows_1!$F$100:$F$898,"&lt;="&amp;C898,CBIC_Late_Fee_Relief_Windows_1!$G$100:$G$898,"&gt;="&amp;C898,CBIC_Late_Fee_Relief_Windows_1!$H$100:$H$898,D898)</f>
        <v>#NAME?</v>
      </c>
      <c r="H898" t="e">
        <f t="shared" ref="H898:H961" ca="1" si="14">MIN(F898,G898)</f>
        <v>#NAME?</v>
      </c>
      <c r="I898" t="e">
        <f ca="1">INDEX(CBIC_Late_Fee_Relief_Windows_1!$B$100:$B$898,MATCH(G898,CBIC_Late_Fee_Relief_Windows_1!$I$100:$I$898,0))</f>
        <v>#NAME?</v>
      </c>
    </row>
    <row r="899" spans="1:9" x14ac:dyDescent="0.55000000000000004">
      <c r="A899" t="str">
        <f>TEST_DATA!A899</f>
        <v>27AAAAA0899Z5</v>
      </c>
      <c r="B899" t="str">
        <f>TEST_DATA!B899</f>
        <v>Mar-2021</v>
      </c>
      <c r="C899">
        <f>TEST_DATA!C899</f>
        <v>43586</v>
      </c>
      <c r="D899" t="str">
        <f>TEST_DATA!D899</f>
        <v>NON-NIL</v>
      </c>
      <c r="E899">
        <f>TEST_DATA!E899</f>
        <v>1758</v>
      </c>
      <c r="F899">
        <f>MIN(E899*89900,10000)</f>
        <v>10000</v>
      </c>
      <c r="G899" t="e">
        <f ca="1">_xludf.MINIFS(CBIC_Late_Fee_Relief_Windows_1!$I$100:$I$899,CBIC_Late_Fee_Relief_Windows_1!$D$100:$D$899,"&lt;="&amp;B899,CBIC_Late_Fee_Relief_Windows_1!$E$100:$E$899,"&gt;="&amp;B899,CBIC_Late_Fee_Relief_Windows_1!$F$100:$F$899,"&lt;="&amp;C899,CBIC_Late_Fee_Relief_Windows_1!$G$100:$G$899,"&gt;="&amp;C899,CBIC_Late_Fee_Relief_Windows_1!$H$100:$H$899,D899)</f>
        <v>#NAME?</v>
      </c>
      <c r="H899" t="e">
        <f t="shared" ca="1" si="14"/>
        <v>#NAME?</v>
      </c>
      <c r="I899" t="e">
        <f ca="1">INDEX(CBIC_Late_Fee_Relief_Windows_1!$B$100:$B$899,MATCH(G899,CBIC_Late_Fee_Relief_Windows_1!$I$100:$I$899,0))</f>
        <v>#NAME?</v>
      </c>
    </row>
    <row r="900" spans="1:9" x14ac:dyDescent="0.55000000000000004">
      <c r="A900" t="str">
        <f>TEST_DATA!A900</f>
        <v>27AAAAA0900Z5</v>
      </c>
      <c r="B900" t="str">
        <f>TEST_DATA!B900</f>
        <v>Mar-2018</v>
      </c>
      <c r="C900">
        <f>TEST_DATA!C900</f>
        <v>43989</v>
      </c>
      <c r="D900" t="str">
        <f>TEST_DATA!D900</f>
        <v>NIL</v>
      </c>
      <c r="E900">
        <f>TEST_DATA!E900</f>
        <v>1077</v>
      </c>
      <c r="F900">
        <f>MIN(E900*90000,10000)</f>
        <v>10000</v>
      </c>
      <c r="G900" t="e">
        <f ca="1">_xludf.MINIFS(CBIC_Late_Fee_Relief_Windows_1!$I$100:$I$900,CBIC_Late_Fee_Relief_Windows_1!$D$100:$D$900,"&lt;="&amp;B900,CBIC_Late_Fee_Relief_Windows_1!$E$100:$E$900,"&gt;="&amp;B900,CBIC_Late_Fee_Relief_Windows_1!$F$100:$F$900,"&lt;="&amp;C900,CBIC_Late_Fee_Relief_Windows_1!$G$100:$G$900,"&gt;="&amp;C900,CBIC_Late_Fee_Relief_Windows_1!$H$100:$H$900,D900)</f>
        <v>#NAME?</v>
      </c>
      <c r="H900" t="e">
        <f t="shared" ca="1" si="14"/>
        <v>#NAME?</v>
      </c>
      <c r="I900" t="e">
        <f ca="1">INDEX(CBIC_Late_Fee_Relief_Windows_1!$B$100:$B$900,MATCH(G900,CBIC_Late_Fee_Relief_Windows_1!$I$100:$I$900,0))</f>
        <v>#NAME?</v>
      </c>
    </row>
    <row r="901" spans="1:9" x14ac:dyDescent="0.55000000000000004">
      <c r="A901" t="str">
        <f>TEST_DATA!A901</f>
        <v>27AAAAA0901Z5</v>
      </c>
      <c r="B901" t="str">
        <f>TEST_DATA!B901</f>
        <v>Jul-2020</v>
      </c>
      <c r="C901">
        <f>TEST_DATA!C901</f>
        <v>43988</v>
      </c>
      <c r="D901" t="str">
        <f>TEST_DATA!D901</f>
        <v>NON-NIL</v>
      </c>
      <c r="E901">
        <f>TEST_DATA!E901</f>
        <v>1864</v>
      </c>
      <c r="F901">
        <f>MIN(E901*90100,10000)</f>
        <v>10000</v>
      </c>
      <c r="G901" t="e">
        <f ca="1">_xludf.MINIFS(CBIC_Late_Fee_Relief_Windows_1!$I$100:$I$901,CBIC_Late_Fee_Relief_Windows_1!$D$100:$D$901,"&lt;="&amp;B901,CBIC_Late_Fee_Relief_Windows_1!$E$100:$E$901,"&gt;="&amp;B901,CBIC_Late_Fee_Relief_Windows_1!$F$100:$F$901,"&lt;="&amp;C901,CBIC_Late_Fee_Relief_Windows_1!$G$100:$G$901,"&gt;="&amp;C901,CBIC_Late_Fee_Relief_Windows_1!$H$100:$H$901,D901)</f>
        <v>#NAME?</v>
      </c>
      <c r="H901" t="e">
        <f t="shared" ca="1" si="14"/>
        <v>#NAME?</v>
      </c>
      <c r="I901" t="e">
        <f ca="1">INDEX(CBIC_Late_Fee_Relief_Windows_1!$B$100:$B$901,MATCH(G901,CBIC_Late_Fee_Relief_Windows_1!$I$100:$I$901,0))</f>
        <v>#NAME?</v>
      </c>
    </row>
    <row r="902" spans="1:9" x14ac:dyDescent="0.55000000000000004">
      <c r="A902" t="str">
        <f>TEST_DATA!A902</f>
        <v>27AAAAA0902Z5</v>
      </c>
      <c r="B902" t="str">
        <f>TEST_DATA!B902</f>
        <v>Jun-2019</v>
      </c>
      <c r="C902">
        <f>TEST_DATA!C902</f>
        <v>44941</v>
      </c>
      <c r="D902" t="str">
        <f>TEST_DATA!D902</f>
        <v>NIL</v>
      </c>
      <c r="E902">
        <f>TEST_DATA!E902</f>
        <v>2046</v>
      </c>
      <c r="F902">
        <f>MIN(E902*90200,10000)</f>
        <v>10000</v>
      </c>
      <c r="G902" t="e">
        <f ca="1">_xludf.MINIFS(CBIC_Late_Fee_Relief_Windows_1!$I$100:$I$902,CBIC_Late_Fee_Relief_Windows_1!$D$100:$D$902,"&lt;="&amp;B902,CBIC_Late_Fee_Relief_Windows_1!$E$100:$E$902,"&gt;="&amp;B902,CBIC_Late_Fee_Relief_Windows_1!$F$100:$F$902,"&lt;="&amp;C902,CBIC_Late_Fee_Relief_Windows_1!$G$100:$G$902,"&gt;="&amp;C902,CBIC_Late_Fee_Relief_Windows_1!$H$100:$H$902,D902)</f>
        <v>#NAME?</v>
      </c>
      <c r="H902" t="e">
        <f t="shared" ca="1" si="14"/>
        <v>#NAME?</v>
      </c>
      <c r="I902" t="e">
        <f ca="1">INDEX(CBIC_Late_Fee_Relief_Windows_1!$B$100:$B$902,MATCH(G902,CBIC_Late_Fee_Relief_Windows_1!$I$100:$I$902,0))</f>
        <v>#NAME?</v>
      </c>
    </row>
    <row r="903" spans="1:9" x14ac:dyDescent="0.55000000000000004">
      <c r="A903" t="str">
        <f>TEST_DATA!A903</f>
        <v>27AAAAA0903Z5</v>
      </c>
      <c r="B903" t="str">
        <f>TEST_DATA!B903</f>
        <v>Mar-2023</v>
      </c>
      <c r="C903">
        <f>TEST_DATA!C903</f>
        <v>45787</v>
      </c>
      <c r="D903" t="str">
        <f>TEST_DATA!D903</f>
        <v>NIL</v>
      </c>
      <c r="E903">
        <f>TEST_DATA!E903</f>
        <v>1506</v>
      </c>
      <c r="F903">
        <f>MIN(E903*90300,10000)</f>
        <v>10000</v>
      </c>
      <c r="G903" t="e">
        <f ca="1">_xludf.MINIFS(CBIC_Late_Fee_Relief_Windows_1!$I$100:$I$903,CBIC_Late_Fee_Relief_Windows_1!$D$100:$D$903,"&lt;="&amp;B903,CBIC_Late_Fee_Relief_Windows_1!$E$100:$E$903,"&gt;="&amp;B903,CBIC_Late_Fee_Relief_Windows_1!$F$100:$F$903,"&lt;="&amp;C903,CBIC_Late_Fee_Relief_Windows_1!$G$100:$G$903,"&gt;="&amp;C903,CBIC_Late_Fee_Relief_Windows_1!$H$100:$H$903,D903)</f>
        <v>#NAME?</v>
      </c>
      <c r="H903" t="e">
        <f t="shared" ca="1" si="14"/>
        <v>#NAME?</v>
      </c>
      <c r="I903" t="e">
        <f ca="1">INDEX(CBIC_Late_Fee_Relief_Windows_1!$B$100:$B$903,MATCH(G903,CBIC_Late_Fee_Relief_Windows_1!$I$100:$I$903,0))</f>
        <v>#NAME?</v>
      </c>
    </row>
    <row r="904" spans="1:9" x14ac:dyDescent="0.55000000000000004">
      <c r="A904" t="str">
        <f>TEST_DATA!A904</f>
        <v>27AAAAA0904Z5</v>
      </c>
      <c r="B904" t="str">
        <f>TEST_DATA!B904</f>
        <v>Dec-2017</v>
      </c>
      <c r="C904">
        <f>TEST_DATA!C904</f>
        <v>43439</v>
      </c>
      <c r="D904" t="str">
        <f>TEST_DATA!D904</f>
        <v>NIL</v>
      </c>
      <c r="E904">
        <f>TEST_DATA!E904</f>
        <v>2350</v>
      </c>
      <c r="F904">
        <f>MIN(E904*90400,10000)</f>
        <v>10000</v>
      </c>
      <c r="G904" t="e">
        <f ca="1">_xludf.MINIFS(CBIC_Late_Fee_Relief_Windows_1!$I$100:$I$904,CBIC_Late_Fee_Relief_Windows_1!$D$100:$D$904,"&lt;="&amp;B904,CBIC_Late_Fee_Relief_Windows_1!$E$100:$E$904,"&gt;="&amp;B904,CBIC_Late_Fee_Relief_Windows_1!$F$100:$F$904,"&lt;="&amp;C904,CBIC_Late_Fee_Relief_Windows_1!$G$100:$G$904,"&gt;="&amp;C904,CBIC_Late_Fee_Relief_Windows_1!$H$100:$H$904,D904)</f>
        <v>#NAME?</v>
      </c>
      <c r="H904" t="e">
        <f t="shared" ca="1" si="14"/>
        <v>#NAME?</v>
      </c>
      <c r="I904" t="e">
        <f ca="1">INDEX(CBIC_Late_Fee_Relief_Windows_1!$B$100:$B$904,MATCH(G904,CBIC_Late_Fee_Relief_Windows_1!$I$100:$I$904,0))</f>
        <v>#NAME?</v>
      </c>
    </row>
    <row r="905" spans="1:9" x14ac:dyDescent="0.55000000000000004">
      <c r="A905" t="str">
        <f>TEST_DATA!A905</f>
        <v>27AAAAA0905Z5</v>
      </c>
      <c r="B905" t="str">
        <f>TEST_DATA!B905</f>
        <v>Jun-2020</v>
      </c>
      <c r="C905">
        <f>TEST_DATA!C905</f>
        <v>44067</v>
      </c>
      <c r="D905" t="str">
        <f>TEST_DATA!D905</f>
        <v>NIL</v>
      </c>
      <c r="E905">
        <f>TEST_DATA!E905</f>
        <v>2084</v>
      </c>
      <c r="F905">
        <f>MIN(E905*90500,10000)</f>
        <v>10000</v>
      </c>
      <c r="G905" t="e">
        <f ca="1">_xludf.MINIFS(CBIC_Late_Fee_Relief_Windows_1!$I$100:$I$905,CBIC_Late_Fee_Relief_Windows_1!$D$100:$D$905,"&lt;="&amp;B905,CBIC_Late_Fee_Relief_Windows_1!$E$100:$E$905,"&gt;="&amp;B905,CBIC_Late_Fee_Relief_Windows_1!$F$100:$F$905,"&lt;="&amp;C905,CBIC_Late_Fee_Relief_Windows_1!$G$100:$G$905,"&gt;="&amp;C905,CBIC_Late_Fee_Relief_Windows_1!$H$100:$H$905,D905)</f>
        <v>#NAME?</v>
      </c>
      <c r="H905" t="e">
        <f t="shared" ca="1" si="14"/>
        <v>#NAME?</v>
      </c>
      <c r="I905" t="e">
        <f ca="1">INDEX(CBIC_Late_Fee_Relief_Windows_1!$B$100:$B$905,MATCH(G905,CBIC_Late_Fee_Relief_Windows_1!$I$100:$I$905,0))</f>
        <v>#NAME?</v>
      </c>
    </row>
    <row r="906" spans="1:9" x14ac:dyDescent="0.55000000000000004">
      <c r="A906" t="str">
        <f>TEST_DATA!A906</f>
        <v>27AAAAA0906Z5</v>
      </c>
      <c r="B906" t="str">
        <f>TEST_DATA!B906</f>
        <v>Jul-2017</v>
      </c>
      <c r="C906">
        <f>TEST_DATA!C906</f>
        <v>43007</v>
      </c>
      <c r="D906" t="str">
        <f>TEST_DATA!D906</f>
        <v>NIL</v>
      </c>
      <c r="E906">
        <f>TEST_DATA!E906</f>
        <v>1001</v>
      </c>
      <c r="F906">
        <f>MIN(E906*90600,10000)</f>
        <v>10000</v>
      </c>
      <c r="G906" t="e">
        <f ca="1">_xludf.MINIFS(CBIC_Late_Fee_Relief_Windows_1!$I$100:$I$906,CBIC_Late_Fee_Relief_Windows_1!$D$100:$D$906,"&lt;="&amp;B906,CBIC_Late_Fee_Relief_Windows_1!$E$100:$E$906,"&gt;="&amp;B906,CBIC_Late_Fee_Relief_Windows_1!$F$100:$F$906,"&lt;="&amp;C906,CBIC_Late_Fee_Relief_Windows_1!$G$100:$G$906,"&gt;="&amp;C906,CBIC_Late_Fee_Relief_Windows_1!$H$100:$H$906,D906)</f>
        <v>#NAME?</v>
      </c>
      <c r="H906" t="e">
        <f t="shared" ca="1" si="14"/>
        <v>#NAME?</v>
      </c>
      <c r="I906" t="e">
        <f ca="1">INDEX(CBIC_Late_Fee_Relief_Windows_1!$B$100:$B$906,MATCH(G906,CBIC_Late_Fee_Relief_Windows_1!$I$100:$I$906,0))</f>
        <v>#NAME?</v>
      </c>
    </row>
    <row r="907" spans="1:9" x14ac:dyDescent="0.55000000000000004">
      <c r="A907" t="str">
        <f>TEST_DATA!A907</f>
        <v>27AAAAA0907Z5</v>
      </c>
      <c r="B907" t="str">
        <f>TEST_DATA!B907</f>
        <v>Aug-2017</v>
      </c>
      <c r="C907">
        <f>TEST_DATA!C907</f>
        <v>43883</v>
      </c>
      <c r="D907" t="str">
        <f>TEST_DATA!D907</f>
        <v>NON-NIL</v>
      </c>
      <c r="E907">
        <f>TEST_DATA!E907</f>
        <v>1568</v>
      </c>
      <c r="F907">
        <f>MIN(E907*90700,10000)</f>
        <v>10000</v>
      </c>
      <c r="G907" t="e">
        <f ca="1">_xludf.MINIFS(CBIC_Late_Fee_Relief_Windows_1!$I$100:$I$907,CBIC_Late_Fee_Relief_Windows_1!$D$100:$D$907,"&lt;="&amp;B907,CBIC_Late_Fee_Relief_Windows_1!$E$100:$E$907,"&gt;="&amp;B907,CBIC_Late_Fee_Relief_Windows_1!$F$100:$F$907,"&lt;="&amp;C907,CBIC_Late_Fee_Relief_Windows_1!$G$100:$G$907,"&gt;="&amp;C907,CBIC_Late_Fee_Relief_Windows_1!$H$100:$H$907,D907)</f>
        <v>#NAME?</v>
      </c>
      <c r="H907" t="e">
        <f t="shared" ca="1" si="14"/>
        <v>#NAME?</v>
      </c>
      <c r="I907" t="e">
        <f ca="1">INDEX(CBIC_Late_Fee_Relief_Windows_1!$B$100:$B$907,MATCH(G907,CBIC_Late_Fee_Relief_Windows_1!$I$100:$I$907,0))</f>
        <v>#NAME?</v>
      </c>
    </row>
    <row r="908" spans="1:9" x14ac:dyDescent="0.55000000000000004">
      <c r="A908" t="str">
        <f>TEST_DATA!A908</f>
        <v>27AAAAA0908Z5</v>
      </c>
      <c r="B908" t="str">
        <f>TEST_DATA!B908</f>
        <v>Nov-2017</v>
      </c>
      <c r="C908">
        <f>TEST_DATA!C908</f>
        <v>43283</v>
      </c>
      <c r="D908" t="str">
        <f>TEST_DATA!D908</f>
        <v>NIL</v>
      </c>
      <c r="E908">
        <f>TEST_DATA!E908</f>
        <v>2264</v>
      </c>
      <c r="F908">
        <f>MIN(E908*90800,10000)</f>
        <v>10000</v>
      </c>
      <c r="G908" t="e">
        <f ca="1">_xludf.MINIFS(CBIC_Late_Fee_Relief_Windows_1!$I$100:$I$908,CBIC_Late_Fee_Relief_Windows_1!$D$100:$D$908,"&lt;="&amp;B908,CBIC_Late_Fee_Relief_Windows_1!$E$100:$E$908,"&gt;="&amp;B908,CBIC_Late_Fee_Relief_Windows_1!$F$100:$F$908,"&lt;="&amp;C908,CBIC_Late_Fee_Relief_Windows_1!$G$100:$G$908,"&gt;="&amp;C908,CBIC_Late_Fee_Relief_Windows_1!$H$100:$H$908,D908)</f>
        <v>#NAME?</v>
      </c>
      <c r="H908" t="e">
        <f t="shared" ca="1" si="14"/>
        <v>#NAME?</v>
      </c>
      <c r="I908" t="e">
        <f ca="1">INDEX(CBIC_Late_Fee_Relief_Windows_1!$B$100:$B$908,MATCH(G908,CBIC_Late_Fee_Relief_Windows_1!$I$100:$I$908,0))</f>
        <v>#NAME?</v>
      </c>
    </row>
    <row r="909" spans="1:9" x14ac:dyDescent="0.55000000000000004">
      <c r="A909" t="str">
        <f>TEST_DATA!A909</f>
        <v>27AAAAA0909Z5</v>
      </c>
      <c r="B909" t="str">
        <f>TEST_DATA!B909</f>
        <v>Apr-2021</v>
      </c>
      <c r="C909">
        <f>TEST_DATA!C909</f>
        <v>45183</v>
      </c>
      <c r="D909" t="str">
        <f>TEST_DATA!D909</f>
        <v>NIL</v>
      </c>
      <c r="E909">
        <f>TEST_DATA!E909</f>
        <v>1318</v>
      </c>
      <c r="F909">
        <f>MIN(E909*90900,10000)</f>
        <v>10000</v>
      </c>
      <c r="G909" t="e">
        <f ca="1">_xludf.MINIFS(CBIC_Late_Fee_Relief_Windows_1!$I$100:$I$909,CBIC_Late_Fee_Relief_Windows_1!$D$100:$D$909,"&lt;="&amp;B909,CBIC_Late_Fee_Relief_Windows_1!$E$100:$E$909,"&gt;="&amp;B909,CBIC_Late_Fee_Relief_Windows_1!$F$100:$F$909,"&lt;="&amp;C909,CBIC_Late_Fee_Relief_Windows_1!$G$100:$G$909,"&gt;="&amp;C909,CBIC_Late_Fee_Relief_Windows_1!$H$100:$H$909,D909)</f>
        <v>#NAME?</v>
      </c>
      <c r="H909" t="e">
        <f t="shared" ca="1" si="14"/>
        <v>#NAME?</v>
      </c>
      <c r="I909" t="e">
        <f ca="1">INDEX(CBIC_Late_Fee_Relief_Windows_1!$B$100:$B$909,MATCH(G909,CBIC_Late_Fee_Relief_Windows_1!$I$100:$I$909,0))</f>
        <v>#NAME?</v>
      </c>
    </row>
    <row r="910" spans="1:9" x14ac:dyDescent="0.55000000000000004">
      <c r="A910" t="str">
        <f>TEST_DATA!A910</f>
        <v>27AAAAA0910Z5</v>
      </c>
      <c r="B910" t="str">
        <f>TEST_DATA!B910</f>
        <v>Feb-2018</v>
      </c>
      <c r="C910">
        <f>TEST_DATA!C910</f>
        <v>43769</v>
      </c>
      <c r="D910" t="str">
        <f>TEST_DATA!D910</f>
        <v>NON-NIL</v>
      </c>
      <c r="E910">
        <f>TEST_DATA!E910</f>
        <v>1111</v>
      </c>
      <c r="F910">
        <f>MIN(E910*91000,10000)</f>
        <v>10000</v>
      </c>
      <c r="G910" t="e">
        <f ca="1">_xludf.MINIFS(CBIC_Late_Fee_Relief_Windows_1!$I$100:$I$910,CBIC_Late_Fee_Relief_Windows_1!$D$100:$D$910,"&lt;="&amp;B910,CBIC_Late_Fee_Relief_Windows_1!$E$100:$E$910,"&gt;="&amp;B910,CBIC_Late_Fee_Relief_Windows_1!$F$100:$F$910,"&lt;="&amp;C910,CBIC_Late_Fee_Relief_Windows_1!$G$100:$G$910,"&gt;="&amp;C910,CBIC_Late_Fee_Relief_Windows_1!$H$100:$H$910,D910)</f>
        <v>#NAME?</v>
      </c>
      <c r="H910" t="e">
        <f t="shared" ca="1" si="14"/>
        <v>#NAME?</v>
      </c>
      <c r="I910" t="e">
        <f ca="1">INDEX(CBIC_Late_Fee_Relief_Windows_1!$B$100:$B$910,MATCH(G910,CBIC_Late_Fee_Relief_Windows_1!$I$100:$I$910,0))</f>
        <v>#NAME?</v>
      </c>
    </row>
    <row r="911" spans="1:9" x14ac:dyDescent="0.55000000000000004">
      <c r="A911" t="str">
        <f>TEST_DATA!A911</f>
        <v>27AAAAA0911Z5</v>
      </c>
      <c r="B911" t="str">
        <f>TEST_DATA!B911</f>
        <v>Dec-2022</v>
      </c>
      <c r="C911">
        <f>TEST_DATA!C911</f>
        <v>43785</v>
      </c>
      <c r="D911" t="str">
        <f>TEST_DATA!D911</f>
        <v>NON-NIL</v>
      </c>
      <c r="E911">
        <f>TEST_DATA!E911</f>
        <v>489</v>
      </c>
      <c r="F911">
        <f>MIN(E911*91100,10000)</f>
        <v>10000</v>
      </c>
      <c r="G911" t="e">
        <f ca="1">_xludf.MINIFS(CBIC_Late_Fee_Relief_Windows_1!$I$100:$I$911,CBIC_Late_Fee_Relief_Windows_1!$D$100:$D$911,"&lt;="&amp;B911,CBIC_Late_Fee_Relief_Windows_1!$E$100:$E$911,"&gt;="&amp;B911,CBIC_Late_Fee_Relief_Windows_1!$F$100:$F$911,"&lt;="&amp;C911,CBIC_Late_Fee_Relief_Windows_1!$G$100:$G$911,"&gt;="&amp;C911,CBIC_Late_Fee_Relief_Windows_1!$H$100:$H$911,D911)</f>
        <v>#NAME?</v>
      </c>
      <c r="H911" t="e">
        <f t="shared" ca="1" si="14"/>
        <v>#NAME?</v>
      </c>
      <c r="I911" t="e">
        <f ca="1">INDEX(CBIC_Late_Fee_Relief_Windows_1!$B$100:$B$911,MATCH(G911,CBIC_Late_Fee_Relief_Windows_1!$I$100:$I$911,0))</f>
        <v>#NAME?</v>
      </c>
    </row>
    <row r="912" spans="1:9" x14ac:dyDescent="0.55000000000000004">
      <c r="A912" t="str">
        <f>TEST_DATA!A912</f>
        <v>27AAAAA0912Z5</v>
      </c>
      <c r="B912" t="str">
        <f>TEST_DATA!B912</f>
        <v>Jun-2019</v>
      </c>
      <c r="C912">
        <f>TEST_DATA!C912</f>
        <v>43681</v>
      </c>
      <c r="D912" t="str">
        <f>TEST_DATA!D912</f>
        <v>NIL</v>
      </c>
      <c r="E912">
        <f>TEST_DATA!E912</f>
        <v>914</v>
      </c>
      <c r="F912">
        <f>MIN(E912*91200,10000)</f>
        <v>10000</v>
      </c>
      <c r="G912" t="e">
        <f ca="1">_xludf.MINIFS(CBIC_Late_Fee_Relief_Windows_1!$I$100:$I$912,CBIC_Late_Fee_Relief_Windows_1!$D$100:$D$912,"&lt;="&amp;B912,CBIC_Late_Fee_Relief_Windows_1!$E$100:$E$912,"&gt;="&amp;B912,CBIC_Late_Fee_Relief_Windows_1!$F$100:$F$912,"&lt;="&amp;C912,CBIC_Late_Fee_Relief_Windows_1!$G$100:$G$912,"&gt;="&amp;C912,CBIC_Late_Fee_Relief_Windows_1!$H$100:$H$912,D912)</f>
        <v>#NAME?</v>
      </c>
      <c r="H912" t="e">
        <f t="shared" ca="1" si="14"/>
        <v>#NAME?</v>
      </c>
      <c r="I912" t="e">
        <f ca="1">INDEX(CBIC_Late_Fee_Relief_Windows_1!$B$100:$B$912,MATCH(G912,CBIC_Late_Fee_Relief_Windows_1!$I$100:$I$912,0))</f>
        <v>#NAME?</v>
      </c>
    </row>
    <row r="913" spans="1:9" x14ac:dyDescent="0.55000000000000004">
      <c r="A913" t="str">
        <f>TEST_DATA!A913</f>
        <v>27AAAAA0913Z5</v>
      </c>
      <c r="B913" t="str">
        <f>TEST_DATA!B913</f>
        <v>Apr-2021</v>
      </c>
      <c r="C913">
        <f>TEST_DATA!C913</f>
        <v>45578</v>
      </c>
      <c r="D913" t="str">
        <f>TEST_DATA!D913</f>
        <v>NIL</v>
      </c>
      <c r="E913">
        <f>TEST_DATA!E913</f>
        <v>1642</v>
      </c>
      <c r="F913">
        <f>MIN(E913*91300,10000)</f>
        <v>10000</v>
      </c>
      <c r="G913" t="e">
        <f ca="1">_xludf.MINIFS(CBIC_Late_Fee_Relief_Windows_1!$I$100:$I$913,CBIC_Late_Fee_Relief_Windows_1!$D$100:$D$913,"&lt;="&amp;B913,CBIC_Late_Fee_Relief_Windows_1!$E$100:$E$913,"&gt;="&amp;B913,CBIC_Late_Fee_Relief_Windows_1!$F$100:$F$913,"&lt;="&amp;C913,CBIC_Late_Fee_Relief_Windows_1!$G$100:$G$913,"&gt;="&amp;C913,CBIC_Late_Fee_Relief_Windows_1!$H$100:$H$913,D913)</f>
        <v>#NAME?</v>
      </c>
      <c r="H913" t="e">
        <f t="shared" ca="1" si="14"/>
        <v>#NAME?</v>
      </c>
      <c r="I913" t="e">
        <f ca="1">INDEX(CBIC_Late_Fee_Relief_Windows_1!$B$100:$B$913,MATCH(G913,CBIC_Late_Fee_Relief_Windows_1!$I$100:$I$913,0))</f>
        <v>#NAME?</v>
      </c>
    </row>
    <row r="914" spans="1:9" x14ac:dyDescent="0.55000000000000004">
      <c r="A914" t="str">
        <f>TEST_DATA!A914</f>
        <v>27AAAAA0914Z5</v>
      </c>
      <c r="B914" t="str">
        <f>TEST_DATA!B914</f>
        <v>Sep-2017</v>
      </c>
      <c r="C914">
        <f>TEST_DATA!C914</f>
        <v>43869</v>
      </c>
      <c r="D914" t="str">
        <f>TEST_DATA!D914</f>
        <v>NON-NIL</v>
      </c>
      <c r="E914">
        <f>TEST_DATA!E914</f>
        <v>1272</v>
      </c>
      <c r="F914">
        <f>MIN(E914*91400,10000)</f>
        <v>10000</v>
      </c>
      <c r="G914" t="e">
        <f ca="1">_xludf.MINIFS(CBIC_Late_Fee_Relief_Windows_1!$I$100:$I$914,CBIC_Late_Fee_Relief_Windows_1!$D$100:$D$914,"&lt;="&amp;B914,CBIC_Late_Fee_Relief_Windows_1!$E$100:$E$914,"&gt;="&amp;B914,CBIC_Late_Fee_Relief_Windows_1!$F$100:$F$914,"&lt;="&amp;C914,CBIC_Late_Fee_Relief_Windows_1!$G$100:$G$914,"&gt;="&amp;C914,CBIC_Late_Fee_Relief_Windows_1!$H$100:$H$914,D914)</f>
        <v>#NAME?</v>
      </c>
      <c r="H914" t="e">
        <f t="shared" ca="1" si="14"/>
        <v>#NAME?</v>
      </c>
      <c r="I914" t="e">
        <f ca="1">INDEX(CBIC_Late_Fee_Relief_Windows_1!$B$100:$B$914,MATCH(G914,CBIC_Late_Fee_Relief_Windows_1!$I$100:$I$914,0))</f>
        <v>#NAME?</v>
      </c>
    </row>
    <row r="915" spans="1:9" x14ac:dyDescent="0.55000000000000004">
      <c r="A915" t="str">
        <f>TEST_DATA!A915</f>
        <v>27AAAAA0915Z5</v>
      </c>
      <c r="B915" t="str">
        <f>TEST_DATA!B915</f>
        <v>May-2018</v>
      </c>
      <c r="C915">
        <f>TEST_DATA!C915</f>
        <v>43093</v>
      </c>
      <c r="D915" t="str">
        <f>TEST_DATA!D915</f>
        <v>NON-NIL</v>
      </c>
      <c r="E915">
        <f>TEST_DATA!E915</f>
        <v>32</v>
      </c>
      <c r="F915">
        <f>MIN(E915*91500,10000)</f>
        <v>10000</v>
      </c>
      <c r="G915" t="e">
        <f ca="1">_xludf.MINIFS(CBIC_Late_Fee_Relief_Windows_1!$I$100:$I$915,CBIC_Late_Fee_Relief_Windows_1!$D$100:$D$915,"&lt;="&amp;B915,CBIC_Late_Fee_Relief_Windows_1!$E$100:$E$915,"&gt;="&amp;B915,CBIC_Late_Fee_Relief_Windows_1!$F$100:$F$915,"&lt;="&amp;C915,CBIC_Late_Fee_Relief_Windows_1!$G$100:$G$915,"&gt;="&amp;C915,CBIC_Late_Fee_Relief_Windows_1!$H$100:$H$915,D915)</f>
        <v>#NAME?</v>
      </c>
      <c r="H915" t="e">
        <f t="shared" ca="1" si="14"/>
        <v>#NAME?</v>
      </c>
      <c r="I915" t="e">
        <f ca="1">INDEX(CBIC_Late_Fee_Relief_Windows_1!$B$100:$B$915,MATCH(G915,CBIC_Late_Fee_Relief_Windows_1!$I$100:$I$915,0))</f>
        <v>#NAME?</v>
      </c>
    </row>
    <row r="916" spans="1:9" x14ac:dyDescent="0.55000000000000004">
      <c r="A916" t="str">
        <f>TEST_DATA!A916</f>
        <v>27AAAAA0916Z5</v>
      </c>
      <c r="B916" t="str">
        <f>TEST_DATA!B916</f>
        <v>Jun-2018</v>
      </c>
      <c r="C916">
        <f>TEST_DATA!C916</f>
        <v>43327</v>
      </c>
      <c r="D916" t="str">
        <f>TEST_DATA!D916</f>
        <v>NON-NIL</v>
      </c>
      <c r="E916">
        <f>TEST_DATA!E916</f>
        <v>2309</v>
      </c>
      <c r="F916">
        <f>MIN(E916*91600,10000)</f>
        <v>10000</v>
      </c>
      <c r="G916" t="e">
        <f ca="1">_xludf.MINIFS(CBIC_Late_Fee_Relief_Windows_1!$I$100:$I$916,CBIC_Late_Fee_Relief_Windows_1!$D$100:$D$916,"&lt;="&amp;B916,CBIC_Late_Fee_Relief_Windows_1!$E$100:$E$916,"&gt;="&amp;B916,CBIC_Late_Fee_Relief_Windows_1!$F$100:$F$916,"&lt;="&amp;C916,CBIC_Late_Fee_Relief_Windows_1!$G$100:$G$916,"&gt;="&amp;C916,CBIC_Late_Fee_Relief_Windows_1!$H$100:$H$916,D916)</f>
        <v>#NAME?</v>
      </c>
      <c r="H916" t="e">
        <f t="shared" ca="1" si="14"/>
        <v>#NAME?</v>
      </c>
      <c r="I916" t="e">
        <f ca="1">INDEX(CBIC_Late_Fee_Relief_Windows_1!$B$100:$B$916,MATCH(G916,CBIC_Late_Fee_Relief_Windows_1!$I$100:$I$916,0))</f>
        <v>#NAME?</v>
      </c>
    </row>
    <row r="917" spans="1:9" x14ac:dyDescent="0.55000000000000004">
      <c r="A917" t="str">
        <f>TEST_DATA!A917</f>
        <v>27AAAAA0917Z5</v>
      </c>
      <c r="B917" t="str">
        <f>TEST_DATA!B917</f>
        <v>Apr-2021</v>
      </c>
      <c r="C917">
        <f>TEST_DATA!C917</f>
        <v>44710</v>
      </c>
      <c r="D917" t="str">
        <f>TEST_DATA!D917</f>
        <v>NIL</v>
      </c>
      <c r="E917">
        <f>TEST_DATA!E917</f>
        <v>1900</v>
      </c>
      <c r="F917">
        <f>MIN(E917*91700,10000)</f>
        <v>10000</v>
      </c>
      <c r="G917" t="e">
        <f ca="1">_xludf.MINIFS(CBIC_Late_Fee_Relief_Windows_1!$I$100:$I$917,CBIC_Late_Fee_Relief_Windows_1!$D$100:$D$917,"&lt;="&amp;B917,CBIC_Late_Fee_Relief_Windows_1!$E$100:$E$917,"&gt;="&amp;B917,CBIC_Late_Fee_Relief_Windows_1!$F$100:$F$917,"&lt;="&amp;C917,CBIC_Late_Fee_Relief_Windows_1!$G$100:$G$917,"&gt;="&amp;C917,CBIC_Late_Fee_Relief_Windows_1!$H$100:$H$917,D917)</f>
        <v>#NAME?</v>
      </c>
      <c r="H917" t="e">
        <f t="shared" ca="1" si="14"/>
        <v>#NAME?</v>
      </c>
      <c r="I917" t="e">
        <f ca="1">INDEX(CBIC_Late_Fee_Relief_Windows_1!$B$100:$B$917,MATCH(G917,CBIC_Late_Fee_Relief_Windows_1!$I$100:$I$917,0))</f>
        <v>#NAME?</v>
      </c>
    </row>
    <row r="918" spans="1:9" x14ac:dyDescent="0.55000000000000004">
      <c r="A918" t="str">
        <f>TEST_DATA!A918</f>
        <v>27AAAAA0918Z5</v>
      </c>
      <c r="B918" t="str">
        <f>TEST_DATA!B918</f>
        <v>Jun-2018</v>
      </c>
      <c r="C918">
        <f>TEST_DATA!C918</f>
        <v>44128</v>
      </c>
      <c r="D918" t="str">
        <f>TEST_DATA!D918</f>
        <v>NON-NIL</v>
      </c>
      <c r="E918">
        <f>TEST_DATA!E918</f>
        <v>800</v>
      </c>
      <c r="F918">
        <f>MIN(E918*91800,10000)</f>
        <v>10000</v>
      </c>
      <c r="G918" t="e">
        <f ca="1">_xludf.MINIFS(CBIC_Late_Fee_Relief_Windows_1!$I$100:$I$918,CBIC_Late_Fee_Relief_Windows_1!$D$100:$D$918,"&lt;="&amp;B918,CBIC_Late_Fee_Relief_Windows_1!$E$100:$E$918,"&gt;="&amp;B918,CBIC_Late_Fee_Relief_Windows_1!$F$100:$F$918,"&lt;="&amp;C918,CBIC_Late_Fee_Relief_Windows_1!$G$100:$G$918,"&gt;="&amp;C918,CBIC_Late_Fee_Relief_Windows_1!$H$100:$H$918,D918)</f>
        <v>#NAME?</v>
      </c>
      <c r="H918" t="e">
        <f t="shared" ca="1" si="14"/>
        <v>#NAME?</v>
      </c>
      <c r="I918" t="e">
        <f ca="1">INDEX(CBIC_Late_Fee_Relief_Windows_1!$B$100:$B$918,MATCH(G918,CBIC_Late_Fee_Relief_Windows_1!$I$100:$I$918,0))</f>
        <v>#NAME?</v>
      </c>
    </row>
    <row r="919" spans="1:9" x14ac:dyDescent="0.55000000000000004">
      <c r="A919" t="str">
        <f>TEST_DATA!A919</f>
        <v>27AAAAA0919Z5</v>
      </c>
      <c r="B919" t="str">
        <f>TEST_DATA!B919</f>
        <v>Jan-2021</v>
      </c>
      <c r="C919">
        <f>TEST_DATA!C919</f>
        <v>45704</v>
      </c>
      <c r="D919" t="str">
        <f>TEST_DATA!D919</f>
        <v>NIL</v>
      </c>
      <c r="E919">
        <f>TEST_DATA!E919</f>
        <v>616</v>
      </c>
      <c r="F919">
        <f>MIN(E919*91900,10000)</f>
        <v>10000</v>
      </c>
      <c r="G919" t="e">
        <f ca="1">_xludf.MINIFS(CBIC_Late_Fee_Relief_Windows_1!$I$100:$I$919,CBIC_Late_Fee_Relief_Windows_1!$D$100:$D$919,"&lt;="&amp;B919,CBIC_Late_Fee_Relief_Windows_1!$E$100:$E$919,"&gt;="&amp;B919,CBIC_Late_Fee_Relief_Windows_1!$F$100:$F$919,"&lt;="&amp;C919,CBIC_Late_Fee_Relief_Windows_1!$G$100:$G$919,"&gt;="&amp;C919,CBIC_Late_Fee_Relief_Windows_1!$H$100:$H$919,D919)</f>
        <v>#NAME?</v>
      </c>
      <c r="H919" t="e">
        <f t="shared" ca="1" si="14"/>
        <v>#NAME?</v>
      </c>
      <c r="I919" t="e">
        <f ca="1">INDEX(CBIC_Late_Fee_Relief_Windows_1!$B$100:$B$919,MATCH(G919,CBIC_Late_Fee_Relief_Windows_1!$I$100:$I$919,0))</f>
        <v>#NAME?</v>
      </c>
    </row>
    <row r="920" spans="1:9" x14ac:dyDescent="0.55000000000000004">
      <c r="A920" t="str">
        <f>TEST_DATA!A920</f>
        <v>27AAAAA0920Z5</v>
      </c>
      <c r="B920" t="str">
        <f>TEST_DATA!B920</f>
        <v>Jul-2017</v>
      </c>
      <c r="C920">
        <f>TEST_DATA!C920</f>
        <v>43756</v>
      </c>
      <c r="D920" t="str">
        <f>TEST_DATA!D920</f>
        <v>NIL</v>
      </c>
      <c r="E920">
        <f>TEST_DATA!E920</f>
        <v>954</v>
      </c>
      <c r="F920">
        <f>MIN(E920*92000,10000)</f>
        <v>10000</v>
      </c>
      <c r="G920" t="e">
        <f ca="1">_xludf.MINIFS(CBIC_Late_Fee_Relief_Windows_1!$I$100:$I$920,CBIC_Late_Fee_Relief_Windows_1!$D$100:$D$920,"&lt;="&amp;B920,CBIC_Late_Fee_Relief_Windows_1!$E$100:$E$920,"&gt;="&amp;B920,CBIC_Late_Fee_Relief_Windows_1!$F$100:$F$920,"&lt;="&amp;C920,CBIC_Late_Fee_Relief_Windows_1!$G$100:$G$920,"&gt;="&amp;C920,CBIC_Late_Fee_Relief_Windows_1!$H$100:$H$920,D920)</f>
        <v>#NAME?</v>
      </c>
      <c r="H920" t="e">
        <f t="shared" ca="1" si="14"/>
        <v>#NAME?</v>
      </c>
      <c r="I920" t="e">
        <f ca="1">INDEX(CBIC_Late_Fee_Relief_Windows_1!$B$100:$B$920,MATCH(G920,CBIC_Late_Fee_Relief_Windows_1!$I$100:$I$920,0))</f>
        <v>#NAME?</v>
      </c>
    </row>
    <row r="921" spans="1:9" x14ac:dyDescent="0.55000000000000004">
      <c r="A921" t="str">
        <f>TEST_DATA!A921</f>
        <v>27AAAAA0921Z5</v>
      </c>
      <c r="B921" t="str">
        <f>TEST_DATA!B921</f>
        <v>Dec-2019</v>
      </c>
      <c r="C921">
        <f>TEST_DATA!C921</f>
        <v>44884</v>
      </c>
      <c r="D921" t="str">
        <f>TEST_DATA!D921</f>
        <v>NIL</v>
      </c>
      <c r="E921">
        <f>TEST_DATA!E921</f>
        <v>1372</v>
      </c>
      <c r="F921">
        <f>MIN(E921*92100,10000)</f>
        <v>10000</v>
      </c>
      <c r="G921" t="e">
        <f ca="1">_xludf.MINIFS(CBIC_Late_Fee_Relief_Windows_1!$I$100:$I$921,CBIC_Late_Fee_Relief_Windows_1!$D$100:$D$921,"&lt;="&amp;B921,CBIC_Late_Fee_Relief_Windows_1!$E$100:$E$921,"&gt;="&amp;B921,CBIC_Late_Fee_Relief_Windows_1!$F$100:$F$921,"&lt;="&amp;C921,CBIC_Late_Fee_Relief_Windows_1!$G$100:$G$921,"&gt;="&amp;C921,CBIC_Late_Fee_Relief_Windows_1!$H$100:$H$921,D921)</f>
        <v>#NAME?</v>
      </c>
      <c r="H921" t="e">
        <f t="shared" ca="1" si="14"/>
        <v>#NAME?</v>
      </c>
      <c r="I921" t="e">
        <f ca="1">INDEX(CBIC_Late_Fee_Relief_Windows_1!$B$100:$B$921,MATCH(G921,CBIC_Late_Fee_Relief_Windows_1!$I$100:$I$921,0))</f>
        <v>#NAME?</v>
      </c>
    </row>
    <row r="922" spans="1:9" x14ac:dyDescent="0.55000000000000004">
      <c r="A922" t="str">
        <f>TEST_DATA!A922</f>
        <v>27AAAAA0922Z5</v>
      </c>
      <c r="B922" t="str">
        <f>TEST_DATA!B922</f>
        <v>Jul-2017</v>
      </c>
      <c r="C922">
        <f>TEST_DATA!C922</f>
        <v>44471</v>
      </c>
      <c r="D922" t="str">
        <f>TEST_DATA!D922</f>
        <v>NON-NIL</v>
      </c>
      <c r="E922">
        <f>TEST_DATA!E922</f>
        <v>2978</v>
      </c>
      <c r="F922">
        <f>MIN(E922*92200,10000)</f>
        <v>10000</v>
      </c>
      <c r="G922" t="e">
        <f ca="1">_xludf.MINIFS(CBIC_Late_Fee_Relief_Windows_1!$I$100:$I$922,CBIC_Late_Fee_Relief_Windows_1!$D$100:$D$922,"&lt;="&amp;B922,CBIC_Late_Fee_Relief_Windows_1!$E$100:$E$922,"&gt;="&amp;B922,CBIC_Late_Fee_Relief_Windows_1!$F$100:$F$922,"&lt;="&amp;C922,CBIC_Late_Fee_Relief_Windows_1!$G$100:$G$922,"&gt;="&amp;C922,CBIC_Late_Fee_Relief_Windows_1!$H$100:$H$922,D922)</f>
        <v>#NAME?</v>
      </c>
      <c r="H922" t="e">
        <f t="shared" ca="1" si="14"/>
        <v>#NAME?</v>
      </c>
      <c r="I922" t="e">
        <f ca="1">INDEX(CBIC_Late_Fee_Relief_Windows_1!$B$100:$B$922,MATCH(G922,CBIC_Late_Fee_Relief_Windows_1!$I$100:$I$922,0))</f>
        <v>#NAME?</v>
      </c>
    </row>
    <row r="923" spans="1:9" x14ac:dyDescent="0.55000000000000004">
      <c r="A923" t="str">
        <f>TEST_DATA!A923</f>
        <v>27AAAAA0923Z5</v>
      </c>
      <c r="B923" t="str">
        <f>TEST_DATA!B923</f>
        <v>Apr-2018</v>
      </c>
      <c r="C923">
        <f>TEST_DATA!C923</f>
        <v>43129</v>
      </c>
      <c r="D923" t="str">
        <f>TEST_DATA!D923</f>
        <v>NIL</v>
      </c>
      <c r="E923">
        <f>TEST_DATA!E923</f>
        <v>2170</v>
      </c>
      <c r="F923">
        <f>MIN(E923*92300,10000)</f>
        <v>10000</v>
      </c>
      <c r="G923" t="e">
        <f ca="1">_xludf.MINIFS(CBIC_Late_Fee_Relief_Windows_1!$I$100:$I$923,CBIC_Late_Fee_Relief_Windows_1!$D$100:$D$923,"&lt;="&amp;B923,CBIC_Late_Fee_Relief_Windows_1!$E$100:$E$923,"&gt;="&amp;B923,CBIC_Late_Fee_Relief_Windows_1!$F$100:$F$923,"&lt;="&amp;C923,CBIC_Late_Fee_Relief_Windows_1!$G$100:$G$923,"&gt;="&amp;C923,CBIC_Late_Fee_Relief_Windows_1!$H$100:$H$923,D923)</f>
        <v>#NAME?</v>
      </c>
      <c r="H923" t="e">
        <f t="shared" ca="1" si="14"/>
        <v>#NAME?</v>
      </c>
      <c r="I923" t="e">
        <f ca="1">INDEX(CBIC_Late_Fee_Relief_Windows_1!$B$100:$B$923,MATCH(G923,CBIC_Late_Fee_Relief_Windows_1!$I$100:$I$923,0))</f>
        <v>#NAME?</v>
      </c>
    </row>
    <row r="924" spans="1:9" x14ac:dyDescent="0.55000000000000004">
      <c r="A924" t="str">
        <f>TEST_DATA!A924</f>
        <v>27AAAAA0924Z5</v>
      </c>
      <c r="B924" t="str">
        <f>TEST_DATA!B924</f>
        <v>Feb-2018</v>
      </c>
      <c r="C924">
        <f>TEST_DATA!C924</f>
        <v>43776</v>
      </c>
      <c r="D924" t="str">
        <f>TEST_DATA!D924</f>
        <v>NON-NIL</v>
      </c>
      <c r="E924">
        <f>TEST_DATA!E924</f>
        <v>245</v>
      </c>
      <c r="F924">
        <f>MIN(E924*92400,10000)</f>
        <v>10000</v>
      </c>
      <c r="G924" t="e">
        <f ca="1">_xludf.MINIFS(CBIC_Late_Fee_Relief_Windows_1!$I$100:$I$924,CBIC_Late_Fee_Relief_Windows_1!$D$100:$D$924,"&lt;="&amp;B924,CBIC_Late_Fee_Relief_Windows_1!$E$100:$E$924,"&gt;="&amp;B924,CBIC_Late_Fee_Relief_Windows_1!$F$100:$F$924,"&lt;="&amp;C924,CBIC_Late_Fee_Relief_Windows_1!$G$100:$G$924,"&gt;="&amp;C924,CBIC_Late_Fee_Relief_Windows_1!$H$100:$H$924,D924)</f>
        <v>#NAME?</v>
      </c>
      <c r="H924" t="e">
        <f t="shared" ca="1" si="14"/>
        <v>#NAME?</v>
      </c>
      <c r="I924" t="e">
        <f ca="1">INDEX(CBIC_Late_Fee_Relief_Windows_1!$B$100:$B$924,MATCH(G924,CBIC_Late_Fee_Relief_Windows_1!$I$100:$I$924,0))</f>
        <v>#NAME?</v>
      </c>
    </row>
    <row r="925" spans="1:9" x14ac:dyDescent="0.55000000000000004">
      <c r="A925" t="str">
        <f>TEST_DATA!A925</f>
        <v>27AAAAA0925Z5</v>
      </c>
      <c r="B925" t="str">
        <f>TEST_DATA!B925</f>
        <v>Nov-2017</v>
      </c>
      <c r="C925">
        <f>TEST_DATA!C925</f>
        <v>44374</v>
      </c>
      <c r="D925" t="str">
        <f>TEST_DATA!D925</f>
        <v>NON-NIL</v>
      </c>
      <c r="E925">
        <f>TEST_DATA!E925</f>
        <v>381</v>
      </c>
      <c r="F925">
        <f>MIN(E925*92500,10000)</f>
        <v>10000</v>
      </c>
      <c r="G925" t="e">
        <f ca="1">_xludf.MINIFS(CBIC_Late_Fee_Relief_Windows_1!$I$100:$I$925,CBIC_Late_Fee_Relief_Windows_1!$D$100:$D$925,"&lt;="&amp;B925,CBIC_Late_Fee_Relief_Windows_1!$E$100:$E$925,"&gt;="&amp;B925,CBIC_Late_Fee_Relief_Windows_1!$F$100:$F$925,"&lt;="&amp;C925,CBIC_Late_Fee_Relief_Windows_1!$G$100:$G$925,"&gt;="&amp;C925,CBIC_Late_Fee_Relief_Windows_1!$H$100:$H$925,D925)</f>
        <v>#NAME?</v>
      </c>
      <c r="H925" t="e">
        <f t="shared" ca="1" si="14"/>
        <v>#NAME?</v>
      </c>
      <c r="I925" t="e">
        <f ca="1">INDEX(CBIC_Late_Fee_Relief_Windows_1!$B$100:$B$925,MATCH(G925,CBIC_Late_Fee_Relief_Windows_1!$I$100:$I$925,0))</f>
        <v>#NAME?</v>
      </c>
    </row>
    <row r="926" spans="1:9" x14ac:dyDescent="0.55000000000000004">
      <c r="A926" t="str">
        <f>TEST_DATA!A926</f>
        <v>27AAAAA0926Z5</v>
      </c>
      <c r="B926" t="str">
        <f>TEST_DATA!B926</f>
        <v>Aug-2017</v>
      </c>
      <c r="C926">
        <f>TEST_DATA!C926</f>
        <v>43391</v>
      </c>
      <c r="D926" t="str">
        <f>TEST_DATA!D926</f>
        <v>NON-NIL</v>
      </c>
      <c r="E926">
        <f>TEST_DATA!E926</f>
        <v>2870</v>
      </c>
      <c r="F926">
        <f>MIN(E926*92600,10000)</f>
        <v>10000</v>
      </c>
      <c r="G926" t="e">
        <f ca="1">_xludf.MINIFS(CBIC_Late_Fee_Relief_Windows_1!$I$100:$I$926,CBIC_Late_Fee_Relief_Windows_1!$D$100:$D$926,"&lt;="&amp;B926,CBIC_Late_Fee_Relief_Windows_1!$E$100:$E$926,"&gt;="&amp;B926,CBIC_Late_Fee_Relief_Windows_1!$F$100:$F$926,"&lt;="&amp;C926,CBIC_Late_Fee_Relief_Windows_1!$G$100:$G$926,"&gt;="&amp;C926,CBIC_Late_Fee_Relief_Windows_1!$H$100:$H$926,D926)</f>
        <v>#NAME?</v>
      </c>
      <c r="H926" t="e">
        <f t="shared" ca="1" si="14"/>
        <v>#NAME?</v>
      </c>
      <c r="I926" t="e">
        <f ca="1">INDEX(CBIC_Late_Fee_Relief_Windows_1!$B$100:$B$926,MATCH(G926,CBIC_Late_Fee_Relief_Windows_1!$I$100:$I$926,0))</f>
        <v>#NAME?</v>
      </c>
    </row>
    <row r="927" spans="1:9" x14ac:dyDescent="0.55000000000000004">
      <c r="A927" t="str">
        <f>TEST_DATA!A927</f>
        <v>27AAAAA0927Z5</v>
      </c>
      <c r="B927" t="str">
        <f>TEST_DATA!B927</f>
        <v>Dec-2024</v>
      </c>
      <c r="C927">
        <f>TEST_DATA!C927</f>
        <v>44991</v>
      </c>
      <c r="D927" t="str">
        <f>TEST_DATA!D927</f>
        <v>NON-NIL</v>
      </c>
      <c r="E927">
        <f>TEST_DATA!E927</f>
        <v>347</v>
      </c>
      <c r="F927">
        <f>MIN(E927*92700,10000)</f>
        <v>10000</v>
      </c>
      <c r="G927" t="e">
        <f ca="1">_xludf.MINIFS(CBIC_Late_Fee_Relief_Windows_1!$I$100:$I$927,CBIC_Late_Fee_Relief_Windows_1!$D$100:$D$927,"&lt;="&amp;B927,CBIC_Late_Fee_Relief_Windows_1!$E$100:$E$927,"&gt;="&amp;B927,CBIC_Late_Fee_Relief_Windows_1!$F$100:$F$927,"&lt;="&amp;C927,CBIC_Late_Fee_Relief_Windows_1!$G$100:$G$927,"&gt;="&amp;C927,CBIC_Late_Fee_Relief_Windows_1!$H$100:$H$927,D927)</f>
        <v>#NAME?</v>
      </c>
      <c r="H927" t="e">
        <f t="shared" ca="1" si="14"/>
        <v>#NAME?</v>
      </c>
      <c r="I927" t="e">
        <f ca="1">INDEX(CBIC_Late_Fee_Relief_Windows_1!$B$100:$B$927,MATCH(G927,CBIC_Late_Fee_Relief_Windows_1!$I$100:$I$927,0))</f>
        <v>#NAME?</v>
      </c>
    </row>
    <row r="928" spans="1:9" x14ac:dyDescent="0.55000000000000004">
      <c r="A928" t="str">
        <f>TEST_DATA!A928</f>
        <v>27AAAAA0928Z5</v>
      </c>
      <c r="B928" t="str">
        <f>TEST_DATA!B928</f>
        <v>Mar-2020</v>
      </c>
      <c r="C928">
        <f>TEST_DATA!C928</f>
        <v>44026</v>
      </c>
      <c r="D928" t="str">
        <f>TEST_DATA!D928</f>
        <v>NIL</v>
      </c>
      <c r="E928">
        <f>TEST_DATA!E928</f>
        <v>2610</v>
      </c>
      <c r="F928">
        <f>MIN(E928*92800,10000)</f>
        <v>10000</v>
      </c>
      <c r="G928" t="e">
        <f ca="1">_xludf.MINIFS(CBIC_Late_Fee_Relief_Windows_1!$I$100:$I$928,CBIC_Late_Fee_Relief_Windows_1!$D$100:$D$928,"&lt;="&amp;B928,CBIC_Late_Fee_Relief_Windows_1!$E$100:$E$928,"&gt;="&amp;B928,CBIC_Late_Fee_Relief_Windows_1!$F$100:$F$928,"&lt;="&amp;C928,CBIC_Late_Fee_Relief_Windows_1!$G$100:$G$928,"&gt;="&amp;C928,CBIC_Late_Fee_Relief_Windows_1!$H$100:$H$928,D928)</f>
        <v>#NAME?</v>
      </c>
      <c r="H928" t="e">
        <f t="shared" ca="1" si="14"/>
        <v>#NAME?</v>
      </c>
      <c r="I928" t="e">
        <f ca="1">INDEX(CBIC_Late_Fee_Relief_Windows_1!$B$100:$B$928,MATCH(G928,CBIC_Late_Fee_Relief_Windows_1!$I$100:$I$928,0))</f>
        <v>#NAME?</v>
      </c>
    </row>
    <row r="929" spans="1:9" x14ac:dyDescent="0.55000000000000004">
      <c r="A929" t="str">
        <f>TEST_DATA!A929</f>
        <v>27AAAAA0929Z5</v>
      </c>
      <c r="B929" t="str">
        <f>TEST_DATA!B929</f>
        <v>Dec-2022</v>
      </c>
      <c r="C929">
        <f>TEST_DATA!C929</f>
        <v>45081</v>
      </c>
      <c r="D929" t="str">
        <f>TEST_DATA!D929</f>
        <v>NIL</v>
      </c>
      <c r="E929">
        <f>TEST_DATA!E929</f>
        <v>2424</v>
      </c>
      <c r="F929">
        <f>MIN(E929*92900,10000)</f>
        <v>10000</v>
      </c>
      <c r="G929" t="e">
        <f ca="1">_xludf.MINIFS(CBIC_Late_Fee_Relief_Windows_1!$I$100:$I$929,CBIC_Late_Fee_Relief_Windows_1!$D$100:$D$929,"&lt;="&amp;B929,CBIC_Late_Fee_Relief_Windows_1!$E$100:$E$929,"&gt;="&amp;B929,CBIC_Late_Fee_Relief_Windows_1!$F$100:$F$929,"&lt;="&amp;C929,CBIC_Late_Fee_Relief_Windows_1!$G$100:$G$929,"&gt;="&amp;C929,CBIC_Late_Fee_Relief_Windows_1!$H$100:$H$929,D929)</f>
        <v>#NAME?</v>
      </c>
      <c r="H929" t="e">
        <f t="shared" ca="1" si="14"/>
        <v>#NAME?</v>
      </c>
      <c r="I929" t="e">
        <f ca="1">INDEX(CBIC_Late_Fee_Relief_Windows_1!$B$100:$B$929,MATCH(G929,CBIC_Late_Fee_Relief_Windows_1!$I$100:$I$929,0))</f>
        <v>#NAME?</v>
      </c>
    </row>
    <row r="930" spans="1:9" x14ac:dyDescent="0.55000000000000004">
      <c r="A930" t="str">
        <f>TEST_DATA!A930</f>
        <v>27AAAAA0930Z5</v>
      </c>
      <c r="B930" t="str">
        <f>TEST_DATA!B930</f>
        <v>Mar-2020</v>
      </c>
      <c r="C930">
        <f>TEST_DATA!C930</f>
        <v>43958</v>
      </c>
      <c r="D930" t="str">
        <f>TEST_DATA!D930</f>
        <v>NON-NIL</v>
      </c>
      <c r="E930">
        <f>TEST_DATA!E930</f>
        <v>2713</v>
      </c>
      <c r="F930">
        <f>MIN(E930*93000,10000)</f>
        <v>10000</v>
      </c>
      <c r="G930" t="e">
        <f ca="1">_xludf.MINIFS(CBIC_Late_Fee_Relief_Windows_1!$I$100:$I$930,CBIC_Late_Fee_Relief_Windows_1!$D$100:$D$930,"&lt;="&amp;B930,CBIC_Late_Fee_Relief_Windows_1!$E$100:$E$930,"&gt;="&amp;B930,CBIC_Late_Fee_Relief_Windows_1!$F$100:$F$930,"&lt;="&amp;C930,CBIC_Late_Fee_Relief_Windows_1!$G$100:$G$930,"&gt;="&amp;C930,CBIC_Late_Fee_Relief_Windows_1!$H$100:$H$930,D930)</f>
        <v>#NAME?</v>
      </c>
      <c r="H930" t="e">
        <f t="shared" ca="1" si="14"/>
        <v>#NAME?</v>
      </c>
      <c r="I930" t="e">
        <f ca="1">INDEX(CBIC_Late_Fee_Relief_Windows_1!$B$100:$B$930,MATCH(G930,CBIC_Late_Fee_Relief_Windows_1!$I$100:$I$930,0))</f>
        <v>#NAME?</v>
      </c>
    </row>
    <row r="931" spans="1:9" x14ac:dyDescent="0.55000000000000004">
      <c r="A931" t="str">
        <f>TEST_DATA!A931</f>
        <v>27AAAAA0931Z5</v>
      </c>
      <c r="B931" t="str">
        <f>TEST_DATA!B931</f>
        <v>Nov-2017</v>
      </c>
      <c r="C931">
        <f>TEST_DATA!C931</f>
        <v>43401</v>
      </c>
      <c r="D931" t="str">
        <f>TEST_DATA!D931</f>
        <v>NON-NIL</v>
      </c>
      <c r="E931">
        <f>TEST_DATA!E931</f>
        <v>1069</v>
      </c>
      <c r="F931">
        <f>MIN(E931*93100,10000)</f>
        <v>10000</v>
      </c>
      <c r="G931" t="e">
        <f ca="1">_xludf.MINIFS(CBIC_Late_Fee_Relief_Windows_1!$I$100:$I$931,CBIC_Late_Fee_Relief_Windows_1!$D$100:$D$931,"&lt;="&amp;B931,CBIC_Late_Fee_Relief_Windows_1!$E$100:$E$931,"&gt;="&amp;B931,CBIC_Late_Fee_Relief_Windows_1!$F$100:$F$931,"&lt;="&amp;C931,CBIC_Late_Fee_Relief_Windows_1!$G$100:$G$931,"&gt;="&amp;C931,CBIC_Late_Fee_Relief_Windows_1!$H$100:$H$931,D931)</f>
        <v>#NAME?</v>
      </c>
      <c r="H931" t="e">
        <f t="shared" ca="1" si="14"/>
        <v>#NAME?</v>
      </c>
      <c r="I931" t="e">
        <f ca="1">INDEX(CBIC_Late_Fee_Relief_Windows_1!$B$100:$B$931,MATCH(G931,CBIC_Late_Fee_Relief_Windows_1!$I$100:$I$931,0))</f>
        <v>#NAME?</v>
      </c>
    </row>
    <row r="932" spans="1:9" x14ac:dyDescent="0.55000000000000004">
      <c r="A932" t="str">
        <f>TEST_DATA!A932</f>
        <v>27AAAAA0932Z5</v>
      </c>
      <c r="B932" t="str">
        <f>TEST_DATA!B932</f>
        <v>Mar-2023</v>
      </c>
      <c r="C932">
        <f>TEST_DATA!C932</f>
        <v>44756</v>
      </c>
      <c r="D932" t="str">
        <f>TEST_DATA!D932</f>
        <v>NON-NIL</v>
      </c>
      <c r="E932">
        <f>TEST_DATA!E932</f>
        <v>2870</v>
      </c>
      <c r="F932">
        <f>MIN(E932*93200,10000)</f>
        <v>10000</v>
      </c>
      <c r="G932" t="e">
        <f ca="1">_xludf.MINIFS(CBIC_Late_Fee_Relief_Windows_1!$I$100:$I$932,CBIC_Late_Fee_Relief_Windows_1!$D$100:$D$932,"&lt;="&amp;B932,CBIC_Late_Fee_Relief_Windows_1!$E$100:$E$932,"&gt;="&amp;B932,CBIC_Late_Fee_Relief_Windows_1!$F$100:$F$932,"&lt;="&amp;C932,CBIC_Late_Fee_Relief_Windows_1!$G$100:$G$932,"&gt;="&amp;C932,CBIC_Late_Fee_Relief_Windows_1!$H$100:$H$932,D932)</f>
        <v>#NAME?</v>
      </c>
      <c r="H932" t="e">
        <f t="shared" ca="1" si="14"/>
        <v>#NAME?</v>
      </c>
      <c r="I932" t="e">
        <f ca="1">INDEX(CBIC_Late_Fee_Relief_Windows_1!$B$100:$B$932,MATCH(G932,CBIC_Late_Fee_Relief_Windows_1!$I$100:$I$932,0))</f>
        <v>#NAME?</v>
      </c>
    </row>
    <row r="933" spans="1:9" x14ac:dyDescent="0.55000000000000004">
      <c r="A933" t="str">
        <f>TEST_DATA!A933</f>
        <v>27AAAAA0933Z5</v>
      </c>
      <c r="B933" t="str">
        <f>TEST_DATA!B933</f>
        <v>Dec-2022</v>
      </c>
      <c r="C933">
        <f>TEST_DATA!C933</f>
        <v>44802</v>
      </c>
      <c r="D933" t="str">
        <f>TEST_DATA!D933</f>
        <v>NON-NIL</v>
      </c>
      <c r="E933">
        <f>TEST_DATA!E933</f>
        <v>1854</v>
      </c>
      <c r="F933">
        <f>MIN(E933*93300,10000)</f>
        <v>10000</v>
      </c>
      <c r="G933" t="e">
        <f ca="1">_xludf.MINIFS(CBIC_Late_Fee_Relief_Windows_1!$I$100:$I$933,CBIC_Late_Fee_Relief_Windows_1!$D$100:$D$933,"&lt;="&amp;B933,CBIC_Late_Fee_Relief_Windows_1!$E$100:$E$933,"&gt;="&amp;B933,CBIC_Late_Fee_Relief_Windows_1!$F$100:$F$933,"&lt;="&amp;C933,CBIC_Late_Fee_Relief_Windows_1!$G$100:$G$933,"&gt;="&amp;C933,CBIC_Late_Fee_Relief_Windows_1!$H$100:$H$933,D933)</f>
        <v>#NAME?</v>
      </c>
      <c r="H933" t="e">
        <f t="shared" ca="1" si="14"/>
        <v>#NAME?</v>
      </c>
      <c r="I933" t="e">
        <f ca="1">INDEX(CBIC_Late_Fee_Relief_Windows_1!$B$100:$B$933,MATCH(G933,CBIC_Late_Fee_Relief_Windows_1!$I$100:$I$933,0))</f>
        <v>#NAME?</v>
      </c>
    </row>
    <row r="934" spans="1:9" x14ac:dyDescent="0.55000000000000004">
      <c r="A934" t="str">
        <f>TEST_DATA!A934</f>
        <v>27AAAAA0934Z5</v>
      </c>
      <c r="B934" t="str">
        <f>TEST_DATA!B934</f>
        <v>Mar-2018</v>
      </c>
      <c r="C934">
        <f>TEST_DATA!C934</f>
        <v>43395</v>
      </c>
      <c r="D934" t="str">
        <f>TEST_DATA!D934</f>
        <v>NIL</v>
      </c>
      <c r="E934">
        <f>TEST_DATA!E934</f>
        <v>830</v>
      </c>
      <c r="F934">
        <f>MIN(E934*93400,10000)</f>
        <v>10000</v>
      </c>
      <c r="G934" t="e">
        <f ca="1">_xludf.MINIFS(CBIC_Late_Fee_Relief_Windows_1!$I$100:$I$934,CBIC_Late_Fee_Relief_Windows_1!$D$100:$D$934,"&lt;="&amp;B934,CBIC_Late_Fee_Relief_Windows_1!$E$100:$E$934,"&gt;="&amp;B934,CBIC_Late_Fee_Relief_Windows_1!$F$100:$F$934,"&lt;="&amp;C934,CBIC_Late_Fee_Relief_Windows_1!$G$100:$G$934,"&gt;="&amp;C934,CBIC_Late_Fee_Relief_Windows_1!$H$100:$H$934,D934)</f>
        <v>#NAME?</v>
      </c>
      <c r="H934" t="e">
        <f t="shared" ca="1" si="14"/>
        <v>#NAME?</v>
      </c>
      <c r="I934" t="e">
        <f ca="1">INDEX(CBIC_Late_Fee_Relief_Windows_1!$B$100:$B$934,MATCH(G934,CBIC_Late_Fee_Relief_Windows_1!$I$100:$I$934,0))</f>
        <v>#NAME?</v>
      </c>
    </row>
    <row r="935" spans="1:9" x14ac:dyDescent="0.55000000000000004">
      <c r="A935" t="str">
        <f>TEST_DATA!A935</f>
        <v>27AAAAA0935Z5</v>
      </c>
      <c r="B935" t="str">
        <f>TEST_DATA!B935</f>
        <v>Nov-2017</v>
      </c>
      <c r="C935">
        <f>TEST_DATA!C935</f>
        <v>44514</v>
      </c>
      <c r="D935" t="str">
        <f>TEST_DATA!D935</f>
        <v>NIL</v>
      </c>
      <c r="E935">
        <f>TEST_DATA!E935</f>
        <v>636</v>
      </c>
      <c r="F935">
        <f>MIN(E935*93500,10000)</f>
        <v>10000</v>
      </c>
      <c r="G935" t="e">
        <f ca="1">_xludf.MINIFS(CBIC_Late_Fee_Relief_Windows_1!$I$100:$I$935,CBIC_Late_Fee_Relief_Windows_1!$D$100:$D$935,"&lt;="&amp;B935,CBIC_Late_Fee_Relief_Windows_1!$E$100:$E$935,"&gt;="&amp;B935,CBIC_Late_Fee_Relief_Windows_1!$F$100:$F$935,"&lt;="&amp;C935,CBIC_Late_Fee_Relief_Windows_1!$G$100:$G$935,"&gt;="&amp;C935,CBIC_Late_Fee_Relief_Windows_1!$H$100:$H$935,D935)</f>
        <v>#NAME?</v>
      </c>
      <c r="H935" t="e">
        <f t="shared" ca="1" si="14"/>
        <v>#NAME?</v>
      </c>
      <c r="I935" t="e">
        <f ca="1">INDEX(CBIC_Late_Fee_Relief_Windows_1!$B$100:$B$935,MATCH(G935,CBIC_Late_Fee_Relief_Windows_1!$I$100:$I$935,0))</f>
        <v>#NAME?</v>
      </c>
    </row>
    <row r="936" spans="1:9" x14ac:dyDescent="0.55000000000000004">
      <c r="A936" t="str">
        <f>TEST_DATA!A936</f>
        <v>27AAAAA0936Z5</v>
      </c>
      <c r="B936" t="str">
        <f>TEST_DATA!B936</f>
        <v>Oct-2017</v>
      </c>
      <c r="C936">
        <f>TEST_DATA!C936</f>
        <v>43253</v>
      </c>
      <c r="D936" t="str">
        <f>TEST_DATA!D936</f>
        <v>NON-NIL</v>
      </c>
      <c r="E936">
        <f>TEST_DATA!E936</f>
        <v>1908</v>
      </c>
      <c r="F936">
        <f>MIN(E936*93600,10000)</f>
        <v>10000</v>
      </c>
      <c r="G936" t="e">
        <f ca="1">_xludf.MINIFS(CBIC_Late_Fee_Relief_Windows_1!$I$100:$I$936,CBIC_Late_Fee_Relief_Windows_1!$D$100:$D$936,"&lt;="&amp;B936,CBIC_Late_Fee_Relief_Windows_1!$E$100:$E$936,"&gt;="&amp;B936,CBIC_Late_Fee_Relief_Windows_1!$F$100:$F$936,"&lt;="&amp;C936,CBIC_Late_Fee_Relief_Windows_1!$G$100:$G$936,"&gt;="&amp;C936,CBIC_Late_Fee_Relief_Windows_1!$H$100:$H$936,D936)</f>
        <v>#NAME?</v>
      </c>
      <c r="H936" t="e">
        <f t="shared" ca="1" si="14"/>
        <v>#NAME?</v>
      </c>
      <c r="I936" t="e">
        <f ca="1">INDEX(CBIC_Late_Fee_Relief_Windows_1!$B$100:$B$936,MATCH(G936,CBIC_Late_Fee_Relief_Windows_1!$I$100:$I$936,0))</f>
        <v>#NAME?</v>
      </c>
    </row>
    <row r="937" spans="1:9" x14ac:dyDescent="0.55000000000000004">
      <c r="A937" t="str">
        <f>TEST_DATA!A937</f>
        <v>27AAAAA0937Z5</v>
      </c>
      <c r="B937" t="str">
        <f>TEST_DATA!B937</f>
        <v>May-2018</v>
      </c>
      <c r="C937">
        <f>TEST_DATA!C937</f>
        <v>43749</v>
      </c>
      <c r="D937" t="str">
        <f>TEST_DATA!D937</f>
        <v>NIL</v>
      </c>
      <c r="E937">
        <f>TEST_DATA!E937</f>
        <v>2195</v>
      </c>
      <c r="F937">
        <f>MIN(E937*93700,10000)</f>
        <v>10000</v>
      </c>
      <c r="G937" t="e">
        <f ca="1">_xludf.MINIFS(CBIC_Late_Fee_Relief_Windows_1!$I$100:$I$937,CBIC_Late_Fee_Relief_Windows_1!$D$100:$D$937,"&lt;="&amp;B937,CBIC_Late_Fee_Relief_Windows_1!$E$100:$E$937,"&gt;="&amp;B937,CBIC_Late_Fee_Relief_Windows_1!$F$100:$F$937,"&lt;="&amp;C937,CBIC_Late_Fee_Relief_Windows_1!$G$100:$G$937,"&gt;="&amp;C937,CBIC_Late_Fee_Relief_Windows_1!$H$100:$H$937,D937)</f>
        <v>#NAME?</v>
      </c>
      <c r="H937" t="e">
        <f t="shared" ca="1" si="14"/>
        <v>#NAME?</v>
      </c>
      <c r="I937" t="e">
        <f ca="1">INDEX(CBIC_Late_Fee_Relief_Windows_1!$B$100:$B$937,MATCH(G937,CBIC_Late_Fee_Relief_Windows_1!$I$100:$I$937,0))</f>
        <v>#NAME?</v>
      </c>
    </row>
    <row r="938" spans="1:9" x14ac:dyDescent="0.55000000000000004">
      <c r="A938" t="str">
        <f>TEST_DATA!A938</f>
        <v>27AAAAA0938Z5</v>
      </c>
      <c r="B938" t="str">
        <f>TEST_DATA!B938</f>
        <v>Jun-2018</v>
      </c>
      <c r="C938">
        <f>TEST_DATA!C938</f>
        <v>44494</v>
      </c>
      <c r="D938" t="str">
        <f>TEST_DATA!D938</f>
        <v>NIL</v>
      </c>
      <c r="E938">
        <f>TEST_DATA!E938</f>
        <v>1851</v>
      </c>
      <c r="F938">
        <f>MIN(E938*93800,10000)</f>
        <v>10000</v>
      </c>
      <c r="G938" t="e">
        <f ca="1">_xludf.MINIFS(CBIC_Late_Fee_Relief_Windows_1!$I$100:$I$938,CBIC_Late_Fee_Relief_Windows_1!$D$100:$D$938,"&lt;="&amp;B938,CBIC_Late_Fee_Relief_Windows_1!$E$100:$E$938,"&gt;="&amp;B938,CBIC_Late_Fee_Relief_Windows_1!$F$100:$F$938,"&lt;="&amp;C938,CBIC_Late_Fee_Relief_Windows_1!$G$100:$G$938,"&gt;="&amp;C938,CBIC_Late_Fee_Relief_Windows_1!$H$100:$H$938,D938)</f>
        <v>#NAME?</v>
      </c>
      <c r="H938" t="e">
        <f t="shared" ca="1" si="14"/>
        <v>#NAME?</v>
      </c>
      <c r="I938" t="e">
        <f ca="1">INDEX(CBIC_Late_Fee_Relief_Windows_1!$B$100:$B$938,MATCH(G938,CBIC_Late_Fee_Relief_Windows_1!$I$100:$I$938,0))</f>
        <v>#NAME?</v>
      </c>
    </row>
    <row r="939" spans="1:9" x14ac:dyDescent="0.55000000000000004">
      <c r="A939" t="str">
        <f>TEST_DATA!A939</f>
        <v>27AAAAA0939Z5</v>
      </c>
      <c r="B939" t="str">
        <f>TEST_DATA!B939</f>
        <v>Apr-2018</v>
      </c>
      <c r="C939">
        <f>TEST_DATA!C939</f>
        <v>43865</v>
      </c>
      <c r="D939" t="str">
        <f>TEST_DATA!D939</f>
        <v>NON-NIL</v>
      </c>
      <c r="E939">
        <f>TEST_DATA!E939</f>
        <v>491</v>
      </c>
      <c r="F939">
        <f>MIN(E939*93900,10000)</f>
        <v>10000</v>
      </c>
      <c r="G939" t="e">
        <f ca="1">_xludf.MINIFS(CBIC_Late_Fee_Relief_Windows_1!$I$100:$I$939,CBIC_Late_Fee_Relief_Windows_1!$D$100:$D$939,"&lt;="&amp;B939,CBIC_Late_Fee_Relief_Windows_1!$E$100:$E$939,"&gt;="&amp;B939,CBIC_Late_Fee_Relief_Windows_1!$F$100:$F$939,"&lt;="&amp;C939,CBIC_Late_Fee_Relief_Windows_1!$G$100:$G$939,"&gt;="&amp;C939,CBIC_Late_Fee_Relief_Windows_1!$H$100:$H$939,D939)</f>
        <v>#NAME?</v>
      </c>
      <c r="H939" t="e">
        <f t="shared" ca="1" si="14"/>
        <v>#NAME?</v>
      </c>
      <c r="I939" t="e">
        <f ca="1">INDEX(CBIC_Late_Fee_Relief_Windows_1!$B$100:$B$939,MATCH(G939,CBIC_Late_Fee_Relief_Windows_1!$I$100:$I$939,0))</f>
        <v>#NAME?</v>
      </c>
    </row>
    <row r="940" spans="1:9" x14ac:dyDescent="0.55000000000000004">
      <c r="A940" t="str">
        <f>TEST_DATA!A940</f>
        <v>27AAAAA0940Z5</v>
      </c>
      <c r="B940" t="str">
        <f>TEST_DATA!B940</f>
        <v>Sep-2017</v>
      </c>
      <c r="C940">
        <f>TEST_DATA!C940</f>
        <v>43239</v>
      </c>
      <c r="D940" t="str">
        <f>TEST_DATA!D940</f>
        <v>NON-NIL</v>
      </c>
      <c r="E940">
        <f>TEST_DATA!E940</f>
        <v>2886</v>
      </c>
      <c r="F940">
        <f>MIN(E940*94000,10000)</f>
        <v>10000</v>
      </c>
      <c r="G940" t="e">
        <f ca="1">_xludf.MINIFS(CBIC_Late_Fee_Relief_Windows_1!$I$100:$I$940,CBIC_Late_Fee_Relief_Windows_1!$D$100:$D$940,"&lt;="&amp;B940,CBIC_Late_Fee_Relief_Windows_1!$E$100:$E$940,"&gt;="&amp;B940,CBIC_Late_Fee_Relief_Windows_1!$F$100:$F$940,"&lt;="&amp;C940,CBIC_Late_Fee_Relief_Windows_1!$G$100:$G$940,"&gt;="&amp;C940,CBIC_Late_Fee_Relief_Windows_1!$H$100:$H$940,D940)</f>
        <v>#NAME?</v>
      </c>
      <c r="H940" t="e">
        <f t="shared" ca="1" si="14"/>
        <v>#NAME?</v>
      </c>
      <c r="I940" t="e">
        <f ca="1">INDEX(CBIC_Late_Fee_Relief_Windows_1!$B$100:$B$940,MATCH(G940,CBIC_Late_Fee_Relief_Windows_1!$I$100:$I$940,0))</f>
        <v>#NAME?</v>
      </c>
    </row>
    <row r="941" spans="1:9" x14ac:dyDescent="0.55000000000000004">
      <c r="A941" t="str">
        <f>TEST_DATA!A941</f>
        <v>27AAAAA0941Z5</v>
      </c>
      <c r="B941" t="str">
        <f>TEST_DATA!B941</f>
        <v>Jul-2020</v>
      </c>
      <c r="C941">
        <f>TEST_DATA!C941</f>
        <v>43913</v>
      </c>
      <c r="D941" t="str">
        <f>TEST_DATA!D941</f>
        <v>NIL</v>
      </c>
      <c r="E941">
        <f>TEST_DATA!E941</f>
        <v>1342</v>
      </c>
      <c r="F941">
        <f>MIN(E941*94100,10000)</f>
        <v>10000</v>
      </c>
      <c r="G941" t="e">
        <f ca="1">_xludf.MINIFS(CBIC_Late_Fee_Relief_Windows_1!$I$100:$I$941,CBIC_Late_Fee_Relief_Windows_1!$D$100:$D$941,"&lt;="&amp;B941,CBIC_Late_Fee_Relief_Windows_1!$E$100:$E$941,"&gt;="&amp;B941,CBIC_Late_Fee_Relief_Windows_1!$F$100:$F$941,"&lt;="&amp;C941,CBIC_Late_Fee_Relief_Windows_1!$G$100:$G$941,"&gt;="&amp;C941,CBIC_Late_Fee_Relief_Windows_1!$H$100:$H$941,D941)</f>
        <v>#NAME?</v>
      </c>
      <c r="H941" t="e">
        <f t="shared" ca="1" si="14"/>
        <v>#NAME?</v>
      </c>
      <c r="I941" t="e">
        <f ca="1">INDEX(CBIC_Late_Fee_Relief_Windows_1!$B$100:$B$941,MATCH(G941,CBIC_Late_Fee_Relief_Windows_1!$I$100:$I$941,0))</f>
        <v>#NAME?</v>
      </c>
    </row>
    <row r="942" spans="1:9" x14ac:dyDescent="0.55000000000000004">
      <c r="A942" t="str">
        <f>TEST_DATA!A942</f>
        <v>27AAAAA0942Z5</v>
      </c>
      <c r="B942" t="str">
        <f>TEST_DATA!B942</f>
        <v>Nov-2017</v>
      </c>
      <c r="C942">
        <f>TEST_DATA!C942</f>
        <v>43103</v>
      </c>
      <c r="D942" t="str">
        <f>TEST_DATA!D942</f>
        <v>NIL</v>
      </c>
      <c r="E942">
        <f>TEST_DATA!E942</f>
        <v>1457</v>
      </c>
      <c r="F942">
        <f>MIN(E942*94200,10000)</f>
        <v>10000</v>
      </c>
      <c r="G942" t="e">
        <f ca="1">_xludf.MINIFS(CBIC_Late_Fee_Relief_Windows_1!$I$100:$I$942,CBIC_Late_Fee_Relief_Windows_1!$D$100:$D$942,"&lt;="&amp;B942,CBIC_Late_Fee_Relief_Windows_1!$E$100:$E$942,"&gt;="&amp;B942,CBIC_Late_Fee_Relief_Windows_1!$F$100:$F$942,"&lt;="&amp;C942,CBIC_Late_Fee_Relief_Windows_1!$G$100:$G$942,"&gt;="&amp;C942,CBIC_Late_Fee_Relief_Windows_1!$H$100:$H$942,D942)</f>
        <v>#NAME?</v>
      </c>
      <c r="H942" t="e">
        <f t="shared" ca="1" si="14"/>
        <v>#NAME?</v>
      </c>
      <c r="I942" t="e">
        <f ca="1">INDEX(CBIC_Late_Fee_Relief_Windows_1!$B$100:$B$942,MATCH(G942,CBIC_Late_Fee_Relief_Windows_1!$I$100:$I$942,0))</f>
        <v>#NAME?</v>
      </c>
    </row>
    <row r="943" spans="1:9" x14ac:dyDescent="0.55000000000000004">
      <c r="A943" t="str">
        <f>TEST_DATA!A943</f>
        <v>27AAAAA0943Z5</v>
      </c>
      <c r="B943" t="str">
        <f>TEST_DATA!B943</f>
        <v>Jul-2018</v>
      </c>
      <c r="C943">
        <f>TEST_DATA!C943</f>
        <v>43968</v>
      </c>
      <c r="D943" t="str">
        <f>TEST_DATA!D943</f>
        <v>NIL</v>
      </c>
      <c r="E943">
        <f>TEST_DATA!E943</f>
        <v>2773</v>
      </c>
      <c r="F943">
        <f>MIN(E943*94300,10000)</f>
        <v>10000</v>
      </c>
      <c r="G943" t="e">
        <f ca="1">_xludf.MINIFS(CBIC_Late_Fee_Relief_Windows_1!$I$100:$I$943,CBIC_Late_Fee_Relief_Windows_1!$D$100:$D$943,"&lt;="&amp;B943,CBIC_Late_Fee_Relief_Windows_1!$E$100:$E$943,"&gt;="&amp;B943,CBIC_Late_Fee_Relief_Windows_1!$F$100:$F$943,"&lt;="&amp;C943,CBIC_Late_Fee_Relief_Windows_1!$G$100:$G$943,"&gt;="&amp;C943,CBIC_Late_Fee_Relief_Windows_1!$H$100:$H$943,D943)</f>
        <v>#NAME?</v>
      </c>
      <c r="H943" t="e">
        <f t="shared" ca="1" si="14"/>
        <v>#NAME?</v>
      </c>
      <c r="I943" t="e">
        <f ca="1">INDEX(CBIC_Late_Fee_Relief_Windows_1!$B$100:$B$943,MATCH(G943,CBIC_Late_Fee_Relief_Windows_1!$I$100:$I$943,0))</f>
        <v>#NAME?</v>
      </c>
    </row>
    <row r="944" spans="1:9" x14ac:dyDescent="0.55000000000000004">
      <c r="A944" t="str">
        <f>TEST_DATA!A944</f>
        <v>27AAAAA0944Z5</v>
      </c>
      <c r="B944" t="str">
        <f>TEST_DATA!B944</f>
        <v>Apr-2018</v>
      </c>
      <c r="C944">
        <f>TEST_DATA!C944</f>
        <v>43449</v>
      </c>
      <c r="D944" t="str">
        <f>TEST_DATA!D944</f>
        <v>NIL</v>
      </c>
      <c r="E944">
        <f>TEST_DATA!E944</f>
        <v>127</v>
      </c>
      <c r="F944">
        <f>MIN(E944*94400,10000)</f>
        <v>10000</v>
      </c>
      <c r="G944" t="e">
        <f ca="1">_xludf.MINIFS(CBIC_Late_Fee_Relief_Windows_1!$I$100:$I$944,CBIC_Late_Fee_Relief_Windows_1!$D$100:$D$944,"&lt;="&amp;B944,CBIC_Late_Fee_Relief_Windows_1!$E$100:$E$944,"&gt;="&amp;B944,CBIC_Late_Fee_Relief_Windows_1!$F$100:$F$944,"&lt;="&amp;C944,CBIC_Late_Fee_Relief_Windows_1!$G$100:$G$944,"&gt;="&amp;C944,CBIC_Late_Fee_Relief_Windows_1!$H$100:$H$944,D944)</f>
        <v>#NAME?</v>
      </c>
      <c r="H944" t="e">
        <f t="shared" ca="1" si="14"/>
        <v>#NAME?</v>
      </c>
      <c r="I944" t="e">
        <f ca="1">INDEX(CBIC_Late_Fee_Relief_Windows_1!$B$100:$B$944,MATCH(G944,CBIC_Late_Fee_Relief_Windows_1!$I$100:$I$944,0))</f>
        <v>#NAME?</v>
      </c>
    </row>
    <row r="945" spans="1:9" x14ac:dyDescent="0.55000000000000004">
      <c r="A945" t="str">
        <f>TEST_DATA!A945</f>
        <v>27AAAAA0945Z5</v>
      </c>
      <c r="B945" t="str">
        <f>TEST_DATA!B945</f>
        <v>Jul-2018</v>
      </c>
      <c r="C945">
        <f>TEST_DATA!C945</f>
        <v>43843</v>
      </c>
      <c r="D945" t="str">
        <f>TEST_DATA!D945</f>
        <v>NIL</v>
      </c>
      <c r="E945">
        <f>TEST_DATA!E945</f>
        <v>387</v>
      </c>
      <c r="F945">
        <f>MIN(E945*94500,10000)</f>
        <v>10000</v>
      </c>
      <c r="G945" t="e">
        <f ca="1">_xludf.MINIFS(CBIC_Late_Fee_Relief_Windows_1!$I$100:$I$945,CBIC_Late_Fee_Relief_Windows_1!$D$100:$D$945,"&lt;="&amp;B945,CBIC_Late_Fee_Relief_Windows_1!$E$100:$E$945,"&gt;="&amp;B945,CBIC_Late_Fee_Relief_Windows_1!$F$100:$F$945,"&lt;="&amp;C945,CBIC_Late_Fee_Relief_Windows_1!$G$100:$G$945,"&gt;="&amp;C945,CBIC_Late_Fee_Relief_Windows_1!$H$100:$H$945,D945)</f>
        <v>#NAME?</v>
      </c>
      <c r="H945" t="e">
        <f t="shared" ca="1" si="14"/>
        <v>#NAME?</v>
      </c>
      <c r="I945" t="e">
        <f ca="1">INDEX(CBIC_Late_Fee_Relief_Windows_1!$B$100:$B$945,MATCH(G945,CBIC_Late_Fee_Relief_Windows_1!$I$100:$I$945,0))</f>
        <v>#NAME?</v>
      </c>
    </row>
    <row r="946" spans="1:9" x14ac:dyDescent="0.55000000000000004">
      <c r="A946" t="str">
        <f>TEST_DATA!A946</f>
        <v>27AAAAA0946Z5</v>
      </c>
      <c r="B946" t="str">
        <f>TEST_DATA!B946</f>
        <v>Sep-2018</v>
      </c>
      <c r="C946">
        <f>TEST_DATA!C946</f>
        <v>43125</v>
      </c>
      <c r="D946" t="str">
        <f>TEST_DATA!D946</f>
        <v>NIL</v>
      </c>
      <c r="E946">
        <f>TEST_DATA!E946</f>
        <v>497</v>
      </c>
      <c r="F946">
        <f>MIN(E946*94600,10000)</f>
        <v>10000</v>
      </c>
      <c r="G946" t="e">
        <f ca="1">_xludf.MINIFS(CBIC_Late_Fee_Relief_Windows_1!$I$100:$I$946,CBIC_Late_Fee_Relief_Windows_1!$D$100:$D$946,"&lt;="&amp;B946,CBIC_Late_Fee_Relief_Windows_1!$E$100:$E$946,"&gt;="&amp;B946,CBIC_Late_Fee_Relief_Windows_1!$F$100:$F$946,"&lt;="&amp;C946,CBIC_Late_Fee_Relief_Windows_1!$G$100:$G$946,"&gt;="&amp;C946,CBIC_Late_Fee_Relief_Windows_1!$H$100:$H$946,D946)</f>
        <v>#NAME?</v>
      </c>
      <c r="H946" t="e">
        <f t="shared" ca="1" si="14"/>
        <v>#NAME?</v>
      </c>
      <c r="I946" t="e">
        <f ca="1">INDEX(CBIC_Late_Fee_Relief_Windows_1!$B$100:$B$946,MATCH(G946,CBIC_Late_Fee_Relief_Windows_1!$I$100:$I$946,0))</f>
        <v>#NAME?</v>
      </c>
    </row>
    <row r="947" spans="1:9" x14ac:dyDescent="0.55000000000000004">
      <c r="A947" t="str">
        <f>TEST_DATA!A947</f>
        <v>27AAAAA0947Z5</v>
      </c>
      <c r="B947" t="str">
        <f>TEST_DATA!B947</f>
        <v>Jul-2017</v>
      </c>
      <c r="C947">
        <f>TEST_DATA!C947</f>
        <v>43043</v>
      </c>
      <c r="D947" t="str">
        <f>TEST_DATA!D947</f>
        <v>NIL</v>
      </c>
      <c r="E947">
        <f>TEST_DATA!E947</f>
        <v>535</v>
      </c>
      <c r="F947">
        <f>MIN(E947*94700,10000)</f>
        <v>10000</v>
      </c>
      <c r="G947" t="e">
        <f ca="1">_xludf.MINIFS(CBIC_Late_Fee_Relief_Windows_1!$I$100:$I$947,CBIC_Late_Fee_Relief_Windows_1!$D$100:$D$947,"&lt;="&amp;B947,CBIC_Late_Fee_Relief_Windows_1!$E$100:$E$947,"&gt;="&amp;B947,CBIC_Late_Fee_Relief_Windows_1!$F$100:$F$947,"&lt;="&amp;C947,CBIC_Late_Fee_Relief_Windows_1!$G$100:$G$947,"&gt;="&amp;C947,CBIC_Late_Fee_Relief_Windows_1!$H$100:$H$947,D947)</f>
        <v>#NAME?</v>
      </c>
      <c r="H947" t="e">
        <f t="shared" ca="1" si="14"/>
        <v>#NAME?</v>
      </c>
      <c r="I947" t="e">
        <f ca="1">INDEX(CBIC_Late_Fee_Relief_Windows_1!$B$100:$B$947,MATCH(G947,CBIC_Late_Fee_Relief_Windows_1!$I$100:$I$947,0))</f>
        <v>#NAME?</v>
      </c>
    </row>
    <row r="948" spans="1:9" x14ac:dyDescent="0.55000000000000004">
      <c r="A948" t="str">
        <f>TEST_DATA!A948</f>
        <v>27AAAAA0948Z5</v>
      </c>
      <c r="B948" t="str">
        <f>TEST_DATA!B948</f>
        <v>Jan-2018</v>
      </c>
      <c r="C948">
        <f>TEST_DATA!C948</f>
        <v>43737</v>
      </c>
      <c r="D948" t="str">
        <f>TEST_DATA!D948</f>
        <v>NON-NIL</v>
      </c>
      <c r="E948">
        <f>TEST_DATA!E948</f>
        <v>2811</v>
      </c>
      <c r="F948">
        <f>MIN(E948*94800,10000)</f>
        <v>10000</v>
      </c>
      <c r="G948" t="e">
        <f ca="1">_xludf.MINIFS(CBIC_Late_Fee_Relief_Windows_1!$I$100:$I$948,CBIC_Late_Fee_Relief_Windows_1!$D$100:$D$948,"&lt;="&amp;B948,CBIC_Late_Fee_Relief_Windows_1!$E$100:$E$948,"&gt;="&amp;B948,CBIC_Late_Fee_Relief_Windows_1!$F$100:$F$948,"&lt;="&amp;C948,CBIC_Late_Fee_Relief_Windows_1!$G$100:$G$948,"&gt;="&amp;C948,CBIC_Late_Fee_Relief_Windows_1!$H$100:$H$948,D948)</f>
        <v>#NAME?</v>
      </c>
      <c r="H948" t="e">
        <f t="shared" ca="1" si="14"/>
        <v>#NAME?</v>
      </c>
      <c r="I948" t="e">
        <f ca="1">INDEX(CBIC_Late_Fee_Relief_Windows_1!$B$100:$B$948,MATCH(G948,CBIC_Late_Fee_Relief_Windows_1!$I$100:$I$948,0))</f>
        <v>#NAME?</v>
      </c>
    </row>
    <row r="949" spans="1:9" x14ac:dyDescent="0.55000000000000004">
      <c r="A949" t="str">
        <f>TEST_DATA!A949</f>
        <v>27AAAAA0949Z5</v>
      </c>
      <c r="B949" t="str">
        <f>TEST_DATA!B949</f>
        <v>May-2020</v>
      </c>
      <c r="C949">
        <f>TEST_DATA!C949</f>
        <v>44003</v>
      </c>
      <c r="D949" t="str">
        <f>TEST_DATA!D949</f>
        <v>NON-NIL</v>
      </c>
      <c r="E949">
        <f>TEST_DATA!E949</f>
        <v>307</v>
      </c>
      <c r="F949">
        <f>MIN(E949*94900,10000)</f>
        <v>10000</v>
      </c>
      <c r="G949" t="e">
        <f ca="1">_xludf.MINIFS(CBIC_Late_Fee_Relief_Windows_1!$I$100:$I$949,CBIC_Late_Fee_Relief_Windows_1!$D$100:$D$949,"&lt;="&amp;B949,CBIC_Late_Fee_Relief_Windows_1!$E$100:$E$949,"&gt;="&amp;B949,CBIC_Late_Fee_Relief_Windows_1!$F$100:$F$949,"&lt;="&amp;C949,CBIC_Late_Fee_Relief_Windows_1!$G$100:$G$949,"&gt;="&amp;C949,CBIC_Late_Fee_Relief_Windows_1!$H$100:$H$949,D949)</f>
        <v>#NAME?</v>
      </c>
      <c r="H949" t="e">
        <f t="shared" ca="1" si="14"/>
        <v>#NAME?</v>
      </c>
      <c r="I949" t="e">
        <f ca="1">INDEX(CBIC_Late_Fee_Relief_Windows_1!$B$100:$B$949,MATCH(G949,CBIC_Late_Fee_Relief_Windows_1!$I$100:$I$949,0))</f>
        <v>#NAME?</v>
      </c>
    </row>
    <row r="950" spans="1:9" x14ac:dyDescent="0.55000000000000004">
      <c r="A950" t="str">
        <f>TEST_DATA!A950</f>
        <v>27AAAAA0950Z5</v>
      </c>
      <c r="B950" t="str">
        <f>TEST_DATA!B950</f>
        <v>Jul-2017</v>
      </c>
      <c r="C950">
        <f>TEST_DATA!C950</f>
        <v>43049</v>
      </c>
      <c r="D950" t="str">
        <f>TEST_DATA!D950</f>
        <v>NIL</v>
      </c>
      <c r="E950">
        <f>TEST_DATA!E950</f>
        <v>2645</v>
      </c>
      <c r="F950">
        <f>MIN(E950*95000,10000)</f>
        <v>10000</v>
      </c>
      <c r="G950" t="e">
        <f ca="1">_xludf.MINIFS(CBIC_Late_Fee_Relief_Windows_1!$I$100:$I$950,CBIC_Late_Fee_Relief_Windows_1!$D$100:$D$950,"&lt;="&amp;B950,CBIC_Late_Fee_Relief_Windows_1!$E$100:$E$950,"&gt;="&amp;B950,CBIC_Late_Fee_Relief_Windows_1!$F$100:$F$950,"&lt;="&amp;C950,CBIC_Late_Fee_Relief_Windows_1!$G$100:$G$950,"&gt;="&amp;C950,CBIC_Late_Fee_Relief_Windows_1!$H$100:$H$950,D950)</f>
        <v>#NAME?</v>
      </c>
      <c r="H950" t="e">
        <f t="shared" ca="1" si="14"/>
        <v>#NAME?</v>
      </c>
      <c r="I950" t="e">
        <f ca="1">INDEX(CBIC_Late_Fee_Relief_Windows_1!$B$100:$B$950,MATCH(G950,CBIC_Late_Fee_Relief_Windows_1!$I$100:$I$950,0))</f>
        <v>#NAME?</v>
      </c>
    </row>
    <row r="951" spans="1:9" x14ac:dyDescent="0.55000000000000004">
      <c r="A951" t="str">
        <f>TEST_DATA!A951</f>
        <v>27AAAAA0951Z5</v>
      </c>
      <c r="B951" t="str">
        <f>TEST_DATA!B951</f>
        <v>Sep-2018</v>
      </c>
      <c r="C951">
        <f>TEST_DATA!C951</f>
        <v>43180</v>
      </c>
      <c r="D951" t="str">
        <f>TEST_DATA!D951</f>
        <v>NIL</v>
      </c>
      <c r="E951">
        <f>TEST_DATA!E951</f>
        <v>1358</v>
      </c>
      <c r="F951">
        <f>MIN(E951*95100,10000)</f>
        <v>10000</v>
      </c>
      <c r="G951" t="e">
        <f ca="1">_xludf.MINIFS(CBIC_Late_Fee_Relief_Windows_1!$I$100:$I$951,CBIC_Late_Fee_Relief_Windows_1!$D$100:$D$951,"&lt;="&amp;B951,CBIC_Late_Fee_Relief_Windows_1!$E$100:$E$951,"&gt;="&amp;B951,CBIC_Late_Fee_Relief_Windows_1!$F$100:$F$951,"&lt;="&amp;C951,CBIC_Late_Fee_Relief_Windows_1!$G$100:$G$951,"&gt;="&amp;C951,CBIC_Late_Fee_Relief_Windows_1!$H$100:$H$951,D951)</f>
        <v>#NAME?</v>
      </c>
      <c r="H951" t="e">
        <f t="shared" ca="1" si="14"/>
        <v>#NAME?</v>
      </c>
      <c r="I951" t="e">
        <f ca="1">INDEX(CBIC_Late_Fee_Relief_Windows_1!$B$100:$B$951,MATCH(G951,CBIC_Late_Fee_Relief_Windows_1!$I$100:$I$951,0))</f>
        <v>#NAME?</v>
      </c>
    </row>
    <row r="952" spans="1:9" x14ac:dyDescent="0.55000000000000004">
      <c r="A952" t="str">
        <f>TEST_DATA!A952</f>
        <v>27AAAAA0952Z5</v>
      </c>
      <c r="B952" t="str">
        <f>TEST_DATA!B952</f>
        <v>Oct-2017</v>
      </c>
      <c r="C952">
        <f>TEST_DATA!C952</f>
        <v>43004</v>
      </c>
      <c r="D952" t="str">
        <f>TEST_DATA!D952</f>
        <v>NON-NIL</v>
      </c>
      <c r="E952">
        <f>TEST_DATA!E952</f>
        <v>207</v>
      </c>
      <c r="F952">
        <f>MIN(E952*95200,10000)</f>
        <v>10000</v>
      </c>
      <c r="G952" t="e">
        <f ca="1">_xludf.MINIFS(CBIC_Late_Fee_Relief_Windows_1!$I$100:$I$952,CBIC_Late_Fee_Relief_Windows_1!$D$100:$D$952,"&lt;="&amp;B952,CBIC_Late_Fee_Relief_Windows_1!$E$100:$E$952,"&gt;="&amp;B952,CBIC_Late_Fee_Relief_Windows_1!$F$100:$F$952,"&lt;="&amp;C952,CBIC_Late_Fee_Relief_Windows_1!$G$100:$G$952,"&gt;="&amp;C952,CBIC_Late_Fee_Relief_Windows_1!$H$100:$H$952,D952)</f>
        <v>#NAME?</v>
      </c>
      <c r="H952" t="e">
        <f t="shared" ca="1" si="14"/>
        <v>#NAME?</v>
      </c>
      <c r="I952" t="e">
        <f ca="1">INDEX(CBIC_Late_Fee_Relief_Windows_1!$B$100:$B$952,MATCH(G952,CBIC_Late_Fee_Relief_Windows_1!$I$100:$I$952,0))</f>
        <v>#NAME?</v>
      </c>
    </row>
    <row r="953" spans="1:9" x14ac:dyDescent="0.55000000000000004">
      <c r="A953" t="str">
        <f>TEST_DATA!A953</f>
        <v>27AAAAA0953Z5</v>
      </c>
      <c r="B953" t="str">
        <f>TEST_DATA!B953</f>
        <v>Dec-2017</v>
      </c>
      <c r="C953">
        <f>TEST_DATA!C953</f>
        <v>44092</v>
      </c>
      <c r="D953" t="str">
        <f>TEST_DATA!D953</f>
        <v>NON-NIL</v>
      </c>
      <c r="E953">
        <f>TEST_DATA!E953</f>
        <v>2967</v>
      </c>
      <c r="F953">
        <f>MIN(E953*95300,10000)</f>
        <v>10000</v>
      </c>
      <c r="G953" t="e">
        <f ca="1">_xludf.MINIFS(CBIC_Late_Fee_Relief_Windows_1!$I$100:$I$953,CBIC_Late_Fee_Relief_Windows_1!$D$100:$D$953,"&lt;="&amp;B953,CBIC_Late_Fee_Relief_Windows_1!$E$100:$E$953,"&gt;="&amp;B953,CBIC_Late_Fee_Relief_Windows_1!$F$100:$F$953,"&lt;="&amp;C953,CBIC_Late_Fee_Relief_Windows_1!$G$100:$G$953,"&gt;="&amp;C953,CBIC_Late_Fee_Relief_Windows_1!$H$100:$H$953,D953)</f>
        <v>#NAME?</v>
      </c>
      <c r="H953" t="e">
        <f t="shared" ca="1" si="14"/>
        <v>#NAME?</v>
      </c>
      <c r="I953" t="e">
        <f ca="1">INDEX(CBIC_Late_Fee_Relief_Windows_1!$B$100:$B$953,MATCH(G953,CBIC_Late_Fee_Relief_Windows_1!$I$100:$I$953,0))</f>
        <v>#NAME?</v>
      </c>
    </row>
    <row r="954" spans="1:9" x14ac:dyDescent="0.55000000000000004">
      <c r="A954" t="str">
        <f>TEST_DATA!A954</f>
        <v>27AAAAA0954Z5</v>
      </c>
      <c r="B954" t="str">
        <f>TEST_DATA!B954</f>
        <v>Jul-2018</v>
      </c>
      <c r="C954">
        <f>TEST_DATA!C954</f>
        <v>43933</v>
      </c>
      <c r="D954" t="str">
        <f>TEST_DATA!D954</f>
        <v>NIL</v>
      </c>
      <c r="E954">
        <f>TEST_DATA!E954</f>
        <v>1567</v>
      </c>
      <c r="F954">
        <f>MIN(E954*95400,10000)</f>
        <v>10000</v>
      </c>
      <c r="G954" t="e">
        <f ca="1">_xludf.MINIFS(CBIC_Late_Fee_Relief_Windows_1!$I$100:$I$954,CBIC_Late_Fee_Relief_Windows_1!$D$100:$D$954,"&lt;="&amp;B954,CBIC_Late_Fee_Relief_Windows_1!$E$100:$E$954,"&gt;="&amp;B954,CBIC_Late_Fee_Relief_Windows_1!$F$100:$F$954,"&lt;="&amp;C954,CBIC_Late_Fee_Relief_Windows_1!$G$100:$G$954,"&gt;="&amp;C954,CBIC_Late_Fee_Relief_Windows_1!$H$100:$H$954,D954)</f>
        <v>#NAME?</v>
      </c>
      <c r="H954" t="e">
        <f t="shared" ca="1" si="14"/>
        <v>#NAME?</v>
      </c>
      <c r="I954" t="e">
        <f ca="1">INDEX(CBIC_Late_Fee_Relief_Windows_1!$B$100:$B$954,MATCH(G954,CBIC_Late_Fee_Relief_Windows_1!$I$100:$I$954,0))</f>
        <v>#NAME?</v>
      </c>
    </row>
    <row r="955" spans="1:9" x14ac:dyDescent="0.55000000000000004">
      <c r="A955" t="str">
        <f>TEST_DATA!A955</f>
        <v>27AAAAA0955Z5</v>
      </c>
      <c r="B955" t="str">
        <f>TEST_DATA!B955</f>
        <v>Jun-2020</v>
      </c>
      <c r="C955">
        <f>TEST_DATA!C955</f>
        <v>44704</v>
      </c>
      <c r="D955" t="str">
        <f>TEST_DATA!D955</f>
        <v>NIL</v>
      </c>
      <c r="E955">
        <f>TEST_DATA!E955</f>
        <v>1449</v>
      </c>
      <c r="F955">
        <f>MIN(E955*95500,10000)</f>
        <v>10000</v>
      </c>
      <c r="G955" t="e">
        <f ca="1">_xludf.MINIFS(CBIC_Late_Fee_Relief_Windows_1!$I$100:$I$955,CBIC_Late_Fee_Relief_Windows_1!$D$100:$D$955,"&lt;="&amp;B955,CBIC_Late_Fee_Relief_Windows_1!$E$100:$E$955,"&gt;="&amp;B955,CBIC_Late_Fee_Relief_Windows_1!$F$100:$F$955,"&lt;="&amp;C955,CBIC_Late_Fee_Relief_Windows_1!$G$100:$G$955,"&gt;="&amp;C955,CBIC_Late_Fee_Relief_Windows_1!$H$100:$H$955,D955)</f>
        <v>#NAME?</v>
      </c>
      <c r="H955" t="e">
        <f t="shared" ca="1" si="14"/>
        <v>#NAME?</v>
      </c>
      <c r="I955" t="e">
        <f ca="1">INDEX(CBIC_Late_Fee_Relief_Windows_1!$B$100:$B$955,MATCH(G955,CBIC_Late_Fee_Relief_Windows_1!$I$100:$I$955,0))</f>
        <v>#NAME?</v>
      </c>
    </row>
    <row r="956" spans="1:9" x14ac:dyDescent="0.55000000000000004">
      <c r="A956" t="str">
        <f>TEST_DATA!A956</f>
        <v>27AAAAA0956Z5</v>
      </c>
      <c r="B956" t="str">
        <f>TEST_DATA!B956</f>
        <v>Jan-2018</v>
      </c>
      <c r="C956">
        <f>TEST_DATA!C956</f>
        <v>43300</v>
      </c>
      <c r="D956" t="str">
        <f>TEST_DATA!D956</f>
        <v>NON-NIL</v>
      </c>
      <c r="E956">
        <f>TEST_DATA!E956</f>
        <v>1146</v>
      </c>
      <c r="F956">
        <f>MIN(E956*95600,10000)</f>
        <v>10000</v>
      </c>
      <c r="G956" t="e">
        <f ca="1">_xludf.MINIFS(CBIC_Late_Fee_Relief_Windows_1!$I$100:$I$956,CBIC_Late_Fee_Relief_Windows_1!$D$100:$D$956,"&lt;="&amp;B956,CBIC_Late_Fee_Relief_Windows_1!$E$100:$E$956,"&gt;="&amp;B956,CBIC_Late_Fee_Relief_Windows_1!$F$100:$F$956,"&lt;="&amp;C956,CBIC_Late_Fee_Relief_Windows_1!$G$100:$G$956,"&gt;="&amp;C956,CBIC_Late_Fee_Relief_Windows_1!$H$100:$H$956,D956)</f>
        <v>#NAME?</v>
      </c>
      <c r="H956" t="e">
        <f t="shared" ca="1" si="14"/>
        <v>#NAME?</v>
      </c>
      <c r="I956" t="e">
        <f ca="1">INDEX(CBIC_Late_Fee_Relief_Windows_1!$B$100:$B$956,MATCH(G956,CBIC_Late_Fee_Relief_Windows_1!$I$100:$I$956,0))</f>
        <v>#NAME?</v>
      </c>
    </row>
    <row r="957" spans="1:9" x14ac:dyDescent="0.55000000000000004">
      <c r="A957" t="str">
        <f>TEST_DATA!A957</f>
        <v>27AAAAA0957Z5</v>
      </c>
      <c r="B957" t="str">
        <f>TEST_DATA!B957</f>
        <v>Sep-2018</v>
      </c>
      <c r="C957">
        <f>TEST_DATA!C957</f>
        <v>43221</v>
      </c>
      <c r="D957" t="str">
        <f>TEST_DATA!D957</f>
        <v>NIL</v>
      </c>
      <c r="E957">
        <f>TEST_DATA!E957</f>
        <v>2515</v>
      </c>
      <c r="F957">
        <f>MIN(E957*95700,10000)</f>
        <v>10000</v>
      </c>
      <c r="G957" t="e">
        <f ca="1">_xludf.MINIFS(CBIC_Late_Fee_Relief_Windows_1!$I$100:$I$957,CBIC_Late_Fee_Relief_Windows_1!$D$100:$D$957,"&lt;="&amp;B957,CBIC_Late_Fee_Relief_Windows_1!$E$100:$E$957,"&gt;="&amp;B957,CBIC_Late_Fee_Relief_Windows_1!$F$100:$F$957,"&lt;="&amp;C957,CBIC_Late_Fee_Relief_Windows_1!$G$100:$G$957,"&gt;="&amp;C957,CBIC_Late_Fee_Relief_Windows_1!$H$100:$H$957,D957)</f>
        <v>#NAME?</v>
      </c>
      <c r="H957" t="e">
        <f t="shared" ca="1" si="14"/>
        <v>#NAME?</v>
      </c>
      <c r="I957" t="e">
        <f ca="1">INDEX(CBIC_Late_Fee_Relief_Windows_1!$B$100:$B$957,MATCH(G957,CBIC_Late_Fee_Relief_Windows_1!$I$100:$I$957,0))</f>
        <v>#NAME?</v>
      </c>
    </row>
    <row r="958" spans="1:9" x14ac:dyDescent="0.55000000000000004">
      <c r="A958" t="str">
        <f>TEST_DATA!A958</f>
        <v>27AAAAA0958Z5</v>
      </c>
      <c r="B958" t="str">
        <f>TEST_DATA!B958</f>
        <v>Apr-2020</v>
      </c>
      <c r="C958">
        <f>TEST_DATA!C958</f>
        <v>44334</v>
      </c>
      <c r="D958" t="str">
        <f>TEST_DATA!D958</f>
        <v>NON-NIL</v>
      </c>
      <c r="E958">
        <f>TEST_DATA!E958</f>
        <v>2043</v>
      </c>
      <c r="F958">
        <f>MIN(E958*95800,10000)</f>
        <v>10000</v>
      </c>
      <c r="G958" t="e">
        <f ca="1">_xludf.MINIFS(CBIC_Late_Fee_Relief_Windows_1!$I$100:$I$958,CBIC_Late_Fee_Relief_Windows_1!$D$100:$D$958,"&lt;="&amp;B958,CBIC_Late_Fee_Relief_Windows_1!$E$100:$E$958,"&gt;="&amp;B958,CBIC_Late_Fee_Relief_Windows_1!$F$100:$F$958,"&lt;="&amp;C958,CBIC_Late_Fee_Relief_Windows_1!$G$100:$G$958,"&gt;="&amp;C958,CBIC_Late_Fee_Relief_Windows_1!$H$100:$H$958,D958)</f>
        <v>#NAME?</v>
      </c>
      <c r="H958" t="e">
        <f t="shared" ca="1" si="14"/>
        <v>#NAME?</v>
      </c>
      <c r="I958" t="e">
        <f ca="1">INDEX(CBIC_Late_Fee_Relief_Windows_1!$B$100:$B$958,MATCH(G958,CBIC_Late_Fee_Relief_Windows_1!$I$100:$I$958,0))</f>
        <v>#NAME?</v>
      </c>
    </row>
    <row r="959" spans="1:9" x14ac:dyDescent="0.55000000000000004">
      <c r="A959" t="str">
        <f>TEST_DATA!A959</f>
        <v>27AAAAA0959Z5</v>
      </c>
      <c r="B959" t="str">
        <f>TEST_DATA!B959</f>
        <v>Aug-2018</v>
      </c>
      <c r="C959">
        <f>TEST_DATA!C959</f>
        <v>44044</v>
      </c>
      <c r="D959" t="str">
        <f>TEST_DATA!D959</f>
        <v>NON-NIL</v>
      </c>
      <c r="E959">
        <f>TEST_DATA!E959</f>
        <v>249</v>
      </c>
      <c r="F959">
        <f>MIN(E959*95900,10000)</f>
        <v>10000</v>
      </c>
      <c r="G959" t="e">
        <f ca="1">_xludf.MINIFS(CBIC_Late_Fee_Relief_Windows_1!$I$100:$I$959,CBIC_Late_Fee_Relief_Windows_1!$D$100:$D$959,"&lt;="&amp;B959,CBIC_Late_Fee_Relief_Windows_1!$E$100:$E$959,"&gt;="&amp;B959,CBIC_Late_Fee_Relief_Windows_1!$F$100:$F$959,"&lt;="&amp;C959,CBIC_Late_Fee_Relief_Windows_1!$G$100:$G$959,"&gt;="&amp;C959,CBIC_Late_Fee_Relief_Windows_1!$H$100:$H$959,D959)</f>
        <v>#NAME?</v>
      </c>
      <c r="H959" t="e">
        <f t="shared" ca="1" si="14"/>
        <v>#NAME?</v>
      </c>
      <c r="I959" t="e">
        <f ca="1">INDEX(CBIC_Late_Fee_Relief_Windows_1!$B$100:$B$959,MATCH(G959,CBIC_Late_Fee_Relief_Windows_1!$I$100:$I$959,0))</f>
        <v>#NAME?</v>
      </c>
    </row>
    <row r="960" spans="1:9" x14ac:dyDescent="0.55000000000000004">
      <c r="A960" t="str">
        <f>TEST_DATA!A960</f>
        <v>27AAAAA0960Z5</v>
      </c>
      <c r="B960" t="str">
        <f>TEST_DATA!B960</f>
        <v>Sep-2017</v>
      </c>
      <c r="C960">
        <f>TEST_DATA!C960</f>
        <v>43489</v>
      </c>
      <c r="D960" t="str">
        <f>TEST_DATA!D960</f>
        <v>NON-NIL</v>
      </c>
      <c r="E960">
        <f>TEST_DATA!E960</f>
        <v>562</v>
      </c>
      <c r="F960">
        <f>MIN(E960*96000,10000)</f>
        <v>10000</v>
      </c>
      <c r="G960" t="e">
        <f ca="1">_xludf.MINIFS(CBIC_Late_Fee_Relief_Windows_1!$I$100:$I$960,CBIC_Late_Fee_Relief_Windows_1!$D$100:$D$960,"&lt;="&amp;B960,CBIC_Late_Fee_Relief_Windows_1!$E$100:$E$960,"&gt;="&amp;B960,CBIC_Late_Fee_Relief_Windows_1!$F$100:$F$960,"&lt;="&amp;C960,CBIC_Late_Fee_Relief_Windows_1!$G$100:$G$960,"&gt;="&amp;C960,CBIC_Late_Fee_Relief_Windows_1!$H$100:$H$960,D960)</f>
        <v>#NAME?</v>
      </c>
      <c r="H960" t="e">
        <f t="shared" ca="1" si="14"/>
        <v>#NAME?</v>
      </c>
      <c r="I960" t="e">
        <f ca="1">INDEX(CBIC_Late_Fee_Relief_Windows_1!$B$100:$B$960,MATCH(G960,CBIC_Late_Fee_Relief_Windows_1!$I$100:$I$960,0))</f>
        <v>#NAME?</v>
      </c>
    </row>
    <row r="961" spans="1:9" x14ac:dyDescent="0.55000000000000004">
      <c r="A961" t="str">
        <f>TEST_DATA!A961</f>
        <v>27AAAAA0961Z5</v>
      </c>
      <c r="B961" t="str">
        <f>TEST_DATA!B961</f>
        <v>Aug-2018</v>
      </c>
      <c r="C961">
        <f>TEST_DATA!C961</f>
        <v>43325</v>
      </c>
      <c r="D961" t="str">
        <f>TEST_DATA!D961</f>
        <v>NIL</v>
      </c>
      <c r="E961">
        <f>TEST_DATA!E961</f>
        <v>2583</v>
      </c>
      <c r="F961">
        <f>MIN(E961*96100,10000)</f>
        <v>10000</v>
      </c>
      <c r="G961" t="e">
        <f ca="1">_xludf.MINIFS(CBIC_Late_Fee_Relief_Windows_1!$I$100:$I$961,CBIC_Late_Fee_Relief_Windows_1!$D$100:$D$961,"&lt;="&amp;B961,CBIC_Late_Fee_Relief_Windows_1!$E$100:$E$961,"&gt;="&amp;B961,CBIC_Late_Fee_Relief_Windows_1!$F$100:$F$961,"&lt;="&amp;C961,CBIC_Late_Fee_Relief_Windows_1!$G$100:$G$961,"&gt;="&amp;C961,CBIC_Late_Fee_Relief_Windows_1!$H$100:$H$961,D961)</f>
        <v>#NAME?</v>
      </c>
      <c r="H961" t="e">
        <f t="shared" ca="1" si="14"/>
        <v>#NAME?</v>
      </c>
      <c r="I961" t="e">
        <f ca="1">INDEX(CBIC_Late_Fee_Relief_Windows_1!$B$100:$B$961,MATCH(G961,CBIC_Late_Fee_Relief_Windows_1!$I$100:$I$961,0))</f>
        <v>#NAME?</v>
      </c>
    </row>
    <row r="962" spans="1:9" x14ac:dyDescent="0.55000000000000004">
      <c r="A962" t="str">
        <f>TEST_DATA!A962</f>
        <v>27AAAAA0962Z5</v>
      </c>
      <c r="B962" t="str">
        <f>TEST_DATA!B962</f>
        <v>Apr-2021</v>
      </c>
      <c r="C962">
        <f>TEST_DATA!C962</f>
        <v>45692</v>
      </c>
      <c r="D962" t="str">
        <f>TEST_DATA!D962</f>
        <v>NIL</v>
      </c>
      <c r="E962">
        <f>TEST_DATA!E962</f>
        <v>1566</v>
      </c>
      <c r="F962">
        <f>MIN(E962*96200,10000)</f>
        <v>10000</v>
      </c>
      <c r="G962" t="e">
        <f ca="1">_xludf.MINIFS(CBIC_Late_Fee_Relief_Windows_1!$I$100:$I$962,CBIC_Late_Fee_Relief_Windows_1!$D$100:$D$962,"&lt;="&amp;B962,CBIC_Late_Fee_Relief_Windows_1!$E$100:$E$962,"&gt;="&amp;B962,CBIC_Late_Fee_Relief_Windows_1!$F$100:$F$962,"&lt;="&amp;C962,CBIC_Late_Fee_Relief_Windows_1!$G$100:$G$962,"&gt;="&amp;C962,CBIC_Late_Fee_Relief_Windows_1!$H$100:$H$962,D962)</f>
        <v>#NAME?</v>
      </c>
      <c r="H962" t="e">
        <f t="shared" ref="H962:H1025" ca="1" si="15">MIN(F962,G962)</f>
        <v>#NAME?</v>
      </c>
      <c r="I962" t="e">
        <f ca="1">INDEX(CBIC_Late_Fee_Relief_Windows_1!$B$100:$B$962,MATCH(G962,CBIC_Late_Fee_Relief_Windows_1!$I$100:$I$962,0))</f>
        <v>#NAME?</v>
      </c>
    </row>
    <row r="963" spans="1:9" x14ac:dyDescent="0.55000000000000004">
      <c r="A963" t="str">
        <f>TEST_DATA!A963</f>
        <v>27AAAAA0963Z5</v>
      </c>
      <c r="B963" t="str">
        <f>TEST_DATA!B963</f>
        <v>Apr-2021</v>
      </c>
      <c r="C963">
        <f>TEST_DATA!C963</f>
        <v>44936</v>
      </c>
      <c r="D963" t="str">
        <f>TEST_DATA!D963</f>
        <v>NON-NIL</v>
      </c>
      <c r="E963">
        <f>TEST_DATA!E963</f>
        <v>2230</v>
      </c>
      <c r="F963">
        <f>MIN(E963*96300,10000)</f>
        <v>10000</v>
      </c>
      <c r="G963" t="e">
        <f ca="1">_xludf.MINIFS(CBIC_Late_Fee_Relief_Windows_1!$I$100:$I$963,CBIC_Late_Fee_Relief_Windows_1!$D$100:$D$963,"&lt;="&amp;B963,CBIC_Late_Fee_Relief_Windows_1!$E$100:$E$963,"&gt;="&amp;B963,CBIC_Late_Fee_Relief_Windows_1!$F$100:$F$963,"&lt;="&amp;C963,CBIC_Late_Fee_Relief_Windows_1!$G$100:$G$963,"&gt;="&amp;C963,CBIC_Late_Fee_Relief_Windows_1!$H$100:$H$963,D963)</f>
        <v>#NAME?</v>
      </c>
      <c r="H963" t="e">
        <f t="shared" ca="1" si="15"/>
        <v>#NAME?</v>
      </c>
      <c r="I963" t="e">
        <f ca="1">INDEX(CBIC_Late_Fee_Relief_Windows_1!$B$100:$B$963,MATCH(G963,CBIC_Late_Fee_Relief_Windows_1!$I$100:$I$963,0))</f>
        <v>#NAME?</v>
      </c>
    </row>
    <row r="964" spans="1:9" x14ac:dyDescent="0.55000000000000004">
      <c r="A964" t="str">
        <f>TEST_DATA!A964</f>
        <v>27AAAAA0964Z5</v>
      </c>
      <c r="B964" t="str">
        <f>TEST_DATA!B964</f>
        <v>Apr-2021</v>
      </c>
      <c r="C964">
        <f>TEST_DATA!C964</f>
        <v>45451</v>
      </c>
      <c r="D964" t="str">
        <f>TEST_DATA!D964</f>
        <v>NON-NIL</v>
      </c>
      <c r="E964">
        <f>TEST_DATA!E964</f>
        <v>2316</v>
      </c>
      <c r="F964">
        <f>MIN(E964*96400,10000)</f>
        <v>10000</v>
      </c>
      <c r="G964" t="e">
        <f ca="1">_xludf.MINIFS(CBIC_Late_Fee_Relief_Windows_1!$I$100:$I$964,CBIC_Late_Fee_Relief_Windows_1!$D$100:$D$964,"&lt;="&amp;B964,CBIC_Late_Fee_Relief_Windows_1!$E$100:$E$964,"&gt;="&amp;B964,CBIC_Late_Fee_Relief_Windows_1!$F$100:$F$964,"&lt;="&amp;C964,CBIC_Late_Fee_Relief_Windows_1!$G$100:$G$964,"&gt;="&amp;C964,CBIC_Late_Fee_Relief_Windows_1!$H$100:$H$964,D964)</f>
        <v>#NAME?</v>
      </c>
      <c r="H964" t="e">
        <f t="shared" ca="1" si="15"/>
        <v>#NAME?</v>
      </c>
      <c r="I964" t="e">
        <f ca="1">INDEX(CBIC_Late_Fee_Relief_Windows_1!$B$100:$B$964,MATCH(G964,CBIC_Late_Fee_Relief_Windows_1!$I$100:$I$964,0))</f>
        <v>#NAME?</v>
      </c>
    </row>
    <row r="965" spans="1:9" x14ac:dyDescent="0.55000000000000004">
      <c r="A965" t="str">
        <f>TEST_DATA!A965</f>
        <v>27AAAAA0965Z5</v>
      </c>
      <c r="B965" t="str">
        <f>TEST_DATA!B965</f>
        <v>Jun-2019</v>
      </c>
      <c r="C965">
        <f>TEST_DATA!C965</f>
        <v>44783</v>
      </c>
      <c r="D965" t="str">
        <f>TEST_DATA!D965</f>
        <v>NON-NIL</v>
      </c>
      <c r="E965">
        <f>TEST_DATA!E965</f>
        <v>1107</v>
      </c>
      <c r="F965">
        <f>MIN(E965*96500,10000)</f>
        <v>10000</v>
      </c>
      <c r="G965" t="e">
        <f ca="1">_xludf.MINIFS(CBIC_Late_Fee_Relief_Windows_1!$I$100:$I$965,CBIC_Late_Fee_Relief_Windows_1!$D$100:$D$965,"&lt;="&amp;B965,CBIC_Late_Fee_Relief_Windows_1!$E$100:$E$965,"&gt;="&amp;B965,CBIC_Late_Fee_Relief_Windows_1!$F$100:$F$965,"&lt;="&amp;C965,CBIC_Late_Fee_Relief_Windows_1!$G$100:$G$965,"&gt;="&amp;C965,CBIC_Late_Fee_Relief_Windows_1!$H$100:$H$965,D965)</f>
        <v>#NAME?</v>
      </c>
      <c r="H965" t="e">
        <f t="shared" ca="1" si="15"/>
        <v>#NAME?</v>
      </c>
      <c r="I965" t="e">
        <f ca="1">INDEX(CBIC_Late_Fee_Relief_Windows_1!$B$100:$B$965,MATCH(G965,CBIC_Late_Fee_Relief_Windows_1!$I$100:$I$965,0))</f>
        <v>#NAME?</v>
      </c>
    </row>
    <row r="966" spans="1:9" x14ac:dyDescent="0.55000000000000004">
      <c r="A966" t="str">
        <f>TEST_DATA!A966</f>
        <v>27AAAAA0966Z5</v>
      </c>
      <c r="B966" t="str">
        <f>TEST_DATA!B966</f>
        <v>Dec-2017</v>
      </c>
      <c r="C966">
        <f>TEST_DATA!C966</f>
        <v>42970</v>
      </c>
      <c r="D966" t="str">
        <f>TEST_DATA!D966</f>
        <v>NON-NIL</v>
      </c>
      <c r="E966">
        <f>TEST_DATA!E966</f>
        <v>2445</v>
      </c>
      <c r="F966">
        <f>MIN(E966*96600,10000)</f>
        <v>10000</v>
      </c>
      <c r="G966" t="e">
        <f ca="1">_xludf.MINIFS(CBIC_Late_Fee_Relief_Windows_1!$I$100:$I$966,CBIC_Late_Fee_Relief_Windows_1!$D$100:$D$966,"&lt;="&amp;B966,CBIC_Late_Fee_Relief_Windows_1!$E$100:$E$966,"&gt;="&amp;B966,CBIC_Late_Fee_Relief_Windows_1!$F$100:$F$966,"&lt;="&amp;C966,CBIC_Late_Fee_Relief_Windows_1!$G$100:$G$966,"&gt;="&amp;C966,CBIC_Late_Fee_Relief_Windows_1!$H$100:$H$966,D966)</f>
        <v>#NAME?</v>
      </c>
      <c r="H966" t="e">
        <f t="shared" ca="1" si="15"/>
        <v>#NAME?</v>
      </c>
      <c r="I966" t="e">
        <f ca="1">INDEX(CBIC_Late_Fee_Relief_Windows_1!$B$100:$B$966,MATCH(G966,CBIC_Late_Fee_Relief_Windows_1!$I$100:$I$966,0))</f>
        <v>#NAME?</v>
      </c>
    </row>
    <row r="967" spans="1:9" x14ac:dyDescent="0.55000000000000004">
      <c r="A967" t="str">
        <f>TEST_DATA!A967</f>
        <v>27AAAAA0967Z5</v>
      </c>
      <c r="B967" t="str">
        <f>TEST_DATA!B967</f>
        <v>Feb-2018</v>
      </c>
      <c r="C967">
        <f>TEST_DATA!C967</f>
        <v>42977</v>
      </c>
      <c r="D967" t="str">
        <f>TEST_DATA!D967</f>
        <v>NON-NIL</v>
      </c>
      <c r="E967">
        <f>TEST_DATA!E967</f>
        <v>239</v>
      </c>
      <c r="F967">
        <f>MIN(E967*96700,10000)</f>
        <v>10000</v>
      </c>
      <c r="G967" t="e">
        <f ca="1">_xludf.MINIFS(CBIC_Late_Fee_Relief_Windows_1!$I$100:$I$967,CBIC_Late_Fee_Relief_Windows_1!$D$100:$D$967,"&lt;="&amp;B967,CBIC_Late_Fee_Relief_Windows_1!$E$100:$E$967,"&gt;="&amp;B967,CBIC_Late_Fee_Relief_Windows_1!$F$100:$F$967,"&lt;="&amp;C967,CBIC_Late_Fee_Relief_Windows_1!$G$100:$G$967,"&gt;="&amp;C967,CBIC_Late_Fee_Relief_Windows_1!$H$100:$H$967,D967)</f>
        <v>#NAME?</v>
      </c>
      <c r="H967" t="e">
        <f t="shared" ca="1" si="15"/>
        <v>#NAME?</v>
      </c>
      <c r="I967" t="e">
        <f ca="1">INDEX(CBIC_Late_Fee_Relief_Windows_1!$B$100:$B$967,MATCH(G967,CBIC_Late_Fee_Relief_Windows_1!$I$100:$I$967,0))</f>
        <v>#NAME?</v>
      </c>
    </row>
    <row r="968" spans="1:9" x14ac:dyDescent="0.55000000000000004">
      <c r="A968" t="str">
        <f>TEST_DATA!A968</f>
        <v>27AAAAA0968Z5</v>
      </c>
      <c r="B968" t="str">
        <f>TEST_DATA!B968</f>
        <v>Apr-2021</v>
      </c>
      <c r="C968">
        <f>TEST_DATA!C968</f>
        <v>45398</v>
      </c>
      <c r="D968" t="str">
        <f>TEST_DATA!D968</f>
        <v>NON-NIL</v>
      </c>
      <c r="E968">
        <f>TEST_DATA!E968</f>
        <v>2392</v>
      </c>
      <c r="F968">
        <f>MIN(E968*96800,10000)</f>
        <v>10000</v>
      </c>
      <c r="G968" t="e">
        <f ca="1">_xludf.MINIFS(CBIC_Late_Fee_Relief_Windows_1!$I$100:$I$968,CBIC_Late_Fee_Relief_Windows_1!$D$100:$D$968,"&lt;="&amp;B968,CBIC_Late_Fee_Relief_Windows_1!$E$100:$E$968,"&gt;="&amp;B968,CBIC_Late_Fee_Relief_Windows_1!$F$100:$F$968,"&lt;="&amp;C968,CBIC_Late_Fee_Relief_Windows_1!$G$100:$G$968,"&gt;="&amp;C968,CBIC_Late_Fee_Relief_Windows_1!$H$100:$H$968,D968)</f>
        <v>#NAME?</v>
      </c>
      <c r="H968" t="e">
        <f t="shared" ca="1" si="15"/>
        <v>#NAME?</v>
      </c>
      <c r="I968" t="e">
        <f ca="1">INDEX(CBIC_Late_Fee_Relief_Windows_1!$B$100:$B$968,MATCH(G968,CBIC_Late_Fee_Relief_Windows_1!$I$100:$I$968,0))</f>
        <v>#NAME?</v>
      </c>
    </row>
    <row r="969" spans="1:9" x14ac:dyDescent="0.55000000000000004">
      <c r="A969" t="str">
        <f>TEST_DATA!A969</f>
        <v>27AAAAA0969Z5</v>
      </c>
      <c r="B969" t="str">
        <f>TEST_DATA!B969</f>
        <v>Feb-2018</v>
      </c>
      <c r="C969">
        <f>TEST_DATA!C969</f>
        <v>43243</v>
      </c>
      <c r="D969" t="str">
        <f>TEST_DATA!D969</f>
        <v>NIL</v>
      </c>
      <c r="E969">
        <f>TEST_DATA!E969</f>
        <v>1015</v>
      </c>
      <c r="F969">
        <f>MIN(E969*96900,10000)</f>
        <v>10000</v>
      </c>
      <c r="G969" t="e">
        <f ca="1">_xludf.MINIFS(CBIC_Late_Fee_Relief_Windows_1!$I$100:$I$969,CBIC_Late_Fee_Relief_Windows_1!$D$100:$D$969,"&lt;="&amp;B969,CBIC_Late_Fee_Relief_Windows_1!$E$100:$E$969,"&gt;="&amp;B969,CBIC_Late_Fee_Relief_Windows_1!$F$100:$F$969,"&lt;="&amp;C969,CBIC_Late_Fee_Relief_Windows_1!$G$100:$G$969,"&gt;="&amp;C969,CBIC_Late_Fee_Relief_Windows_1!$H$100:$H$969,D969)</f>
        <v>#NAME?</v>
      </c>
      <c r="H969" t="e">
        <f t="shared" ca="1" si="15"/>
        <v>#NAME?</v>
      </c>
      <c r="I969" t="e">
        <f ca="1">INDEX(CBIC_Late_Fee_Relief_Windows_1!$B$100:$B$969,MATCH(G969,CBIC_Late_Fee_Relief_Windows_1!$I$100:$I$969,0))</f>
        <v>#NAME?</v>
      </c>
    </row>
    <row r="970" spans="1:9" x14ac:dyDescent="0.55000000000000004">
      <c r="A970" t="str">
        <f>TEST_DATA!A970</f>
        <v>27AAAAA0970Z5</v>
      </c>
      <c r="B970" t="str">
        <f>TEST_DATA!B970</f>
        <v>Jun-2020</v>
      </c>
      <c r="C970">
        <f>TEST_DATA!C970</f>
        <v>44324</v>
      </c>
      <c r="D970" t="str">
        <f>TEST_DATA!D970</f>
        <v>NON-NIL</v>
      </c>
      <c r="E970">
        <f>TEST_DATA!E970</f>
        <v>2185</v>
      </c>
      <c r="F970">
        <f>MIN(E970*97000,10000)</f>
        <v>10000</v>
      </c>
      <c r="G970" t="e">
        <f ca="1">_xludf.MINIFS(CBIC_Late_Fee_Relief_Windows_1!$I$100:$I$970,CBIC_Late_Fee_Relief_Windows_1!$D$100:$D$970,"&lt;="&amp;B970,CBIC_Late_Fee_Relief_Windows_1!$E$100:$E$970,"&gt;="&amp;B970,CBIC_Late_Fee_Relief_Windows_1!$F$100:$F$970,"&lt;="&amp;C970,CBIC_Late_Fee_Relief_Windows_1!$G$100:$G$970,"&gt;="&amp;C970,CBIC_Late_Fee_Relief_Windows_1!$H$100:$H$970,D970)</f>
        <v>#NAME?</v>
      </c>
      <c r="H970" t="e">
        <f t="shared" ca="1" si="15"/>
        <v>#NAME?</v>
      </c>
      <c r="I970" t="e">
        <f ca="1">INDEX(CBIC_Late_Fee_Relief_Windows_1!$B$100:$B$970,MATCH(G970,CBIC_Late_Fee_Relief_Windows_1!$I$100:$I$970,0))</f>
        <v>#NAME?</v>
      </c>
    </row>
    <row r="971" spans="1:9" x14ac:dyDescent="0.55000000000000004">
      <c r="A971" t="str">
        <f>TEST_DATA!A971</f>
        <v>27AAAAA0971Z5</v>
      </c>
      <c r="B971" t="str">
        <f>TEST_DATA!B971</f>
        <v>Dec-2022</v>
      </c>
      <c r="C971">
        <f>TEST_DATA!C971</f>
        <v>43695</v>
      </c>
      <c r="D971" t="str">
        <f>TEST_DATA!D971</f>
        <v>NIL</v>
      </c>
      <c r="E971">
        <f>TEST_DATA!E971</f>
        <v>2358</v>
      </c>
      <c r="F971">
        <f>MIN(E971*97100,10000)</f>
        <v>10000</v>
      </c>
      <c r="G971" t="e">
        <f ca="1">_xludf.MINIFS(CBIC_Late_Fee_Relief_Windows_1!$I$100:$I$971,CBIC_Late_Fee_Relief_Windows_1!$D$100:$D$971,"&lt;="&amp;B971,CBIC_Late_Fee_Relief_Windows_1!$E$100:$E$971,"&gt;="&amp;B971,CBIC_Late_Fee_Relief_Windows_1!$F$100:$F$971,"&lt;="&amp;C971,CBIC_Late_Fee_Relief_Windows_1!$G$100:$G$971,"&gt;="&amp;C971,CBIC_Late_Fee_Relief_Windows_1!$H$100:$H$971,D971)</f>
        <v>#NAME?</v>
      </c>
      <c r="H971" t="e">
        <f t="shared" ca="1" si="15"/>
        <v>#NAME?</v>
      </c>
      <c r="I971" t="e">
        <f ca="1">INDEX(CBIC_Late_Fee_Relief_Windows_1!$B$100:$B$971,MATCH(G971,CBIC_Late_Fee_Relief_Windows_1!$I$100:$I$971,0))</f>
        <v>#NAME?</v>
      </c>
    </row>
    <row r="972" spans="1:9" x14ac:dyDescent="0.55000000000000004">
      <c r="A972" t="str">
        <f>TEST_DATA!A972</f>
        <v>27AAAAA0972Z5</v>
      </c>
      <c r="B972" t="str">
        <f>TEST_DATA!B972</f>
        <v>Mar-2023</v>
      </c>
      <c r="C972">
        <f>TEST_DATA!C972</f>
        <v>45056</v>
      </c>
      <c r="D972" t="str">
        <f>TEST_DATA!D972</f>
        <v>NON-NIL</v>
      </c>
      <c r="E972">
        <f>TEST_DATA!E972</f>
        <v>711</v>
      </c>
      <c r="F972">
        <f>MIN(E972*97200,10000)</f>
        <v>10000</v>
      </c>
      <c r="G972" t="e">
        <f ca="1">_xludf.MINIFS(CBIC_Late_Fee_Relief_Windows_1!$I$100:$I$972,CBIC_Late_Fee_Relief_Windows_1!$D$100:$D$972,"&lt;="&amp;B972,CBIC_Late_Fee_Relief_Windows_1!$E$100:$E$972,"&gt;="&amp;B972,CBIC_Late_Fee_Relief_Windows_1!$F$100:$F$972,"&lt;="&amp;C972,CBIC_Late_Fee_Relief_Windows_1!$G$100:$G$972,"&gt;="&amp;C972,CBIC_Late_Fee_Relief_Windows_1!$H$100:$H$972,D972)</f>
        <v>#NAME?</v>
      </c>
      <c r="H972" t="e">
        <f t="shared" ca="1" si="15"/>
        <v>#NAME?</v>
      </c>
      <c r="I972" t="e">
        <f ca="1">INDEX(CBIC_Late_Fee_Relief_Windows_1!$B$100:$B$972,MATCH(G972,CBIC_Late_Fee_Relief_Windows_1!$I$100:$I$972,0))</f>
        <v>#NAME?</v>
      </c>
    </row>
    <row r="973" spans="1:9" x14ac:dyDescent="0.55000000000000004">
      <c r="A973" t="str">
        <f>TEST_DATA!A973</f>
        <v>27AAAAA0973Z5</v>
      </c>
      <c r="B973" t="str">
        <f>TEST_DATA!B973</f>
        <v>Dec-2017</v>
      </c>
      <c r="C973">
        <f>TEST_DATA!C973</f>
        <v>43401</v>
      </c>
      <c r="D973" t="str">
        <f>TEST_DATA!D973</f>
        <v>NON-NIL</v>
      </c>
      <c r="E973">
        <f>TEST_DATA!E973</f>
        <v>2857</v>
      </c>
      <c r="F973">
        <f>MIN(E973*97300,10000)</f>
        <v>10000</v>
      </c>
      <c r="G973" t="e">
        <f ca="1">_xludf.MINIFS(CBIC_Late_Fee_Relief_Windows_1!$I$100:$I$973,CBIC_Late_Fee_Relief_Windows_1!$D$100:$D$973,"&lt;="&amp;B973,CBIC_Late_Fee_Relief_Windows_1!$E$100:$E$973,"&gt;="&amp;B973,CBIC_Late_Fee_Relief_Windows_1!$F$100:$F$973,"&lt;="&amp;C973,CBIC_Late_Fee_Relief_Windows_1!$G$100:$G$973,"&gt;="&amp;C973,CBIC_Late_Fee_Relief_Windows_1!$H$100:$H$973,D973)</f>
        <v>#NAME?</v>
      </c>
      <c r="H973" t="e">
        <f t="shared" ca="1" si="15"/>
        <v>#NAME?</v>
      </c>
      <c r="I973" t="e">
        <f ca="1">INDEX(CBIC_Late_Fee_Relief_Windows_1!$B$100:$B$973,MATCH(G973,CBIC_Late_Fee_Relief_Windows_1!$I$100:$I$973,0))</f>
        <v>#NAME?</v>
      </c>
    </row>
    <row r="974" spans="1:9" x14ac:dyDescent="0.55000000000000004">
      <c r="A974" t="str">
        <f>TEST_DATA!A974</f>
        <v>27AAAAA0974Z5</v>
      </c>
      <c r="B974" t="str">
        <f>TEST_DATA!B974</f>
        <v>Jun-2018</v>
      </c>
      <c r="C974">
        <f>TEST_DATA!C974</f>
        <v>44128</v>
      </c>
      <c r="D974" t="str">
        <f>TEST_DATA!D974</f>
        <v>NIL</v>
      </c>
      <c r="E974">
        <f>TEST_DATA!E974</f>
        <v>2881</v>
      </c>
      <c r="F974">
        <f>MIN(E974*97400,10000)</f>
        <v>10000</v>
      </c>
      <c r="G974" t="e">
        <f ca="1">_xludf.MINIFS(CBIC_Late_Fee_Relief_Windows_1!$I$100:$I$974,CBIC_Late_Fee_Relief_Windows_1!$D$100:$D$974,"&lt;="&amp;B974,CBIC_Late_Fee_Relief_Windows_1!$E$100:$E$974,"&gt;="&amp;B974,CBIC_Late_Fee_Relief_Windows_1!$F$100:$F$974,"&lt;="&amp;C974,CBIC_Late_Fee_Relief_Windows_1!$G$100:$G$974,"&gt;="&amp;C974,CBIC_Late_Fee_Relief_Windows_1!$H$100:$H$974,D974)</f>
        <v>#NAME?</v>
      </c>
      <c r="H974" t="e">
        <f t="shared" ca="1" si="15"/>
        <v>#NAME?</v>
      </c>
      <c r="I974" t="e">
        <f ca="1">INDEX(CBIC_Late_Fee_Relief_Windows_1!$B$100:$B$974,MATCH(G974,CBIC_Late_Fee_Relief_Windows_1!$I$100:$I$974,0))</f>
        <v>#NAME?</v>
      </c>
    </row>
    <row r="975" spans="1:9" x14ac:dyDescent="0.55000000000000004">
      <c r="A975" t="str">
        <f>TEST_DATA!A975</f>
        <v>27AAAAA0975Z5</v>
      </c>
      <c r="B975" t="str">
        <f>TEST_DATA!B975</f>
        <v>Jul-2020</v>
      </c>
      <c r="C975">
        <f>TEST_DATA!C975</f>
        <v>44551</v>
      </c>
      <c r="D975" t="str">
        <f>TEST_DATA!D975</f>
        <v>NIL</v>
      </c>
      <c r="E975">
        <f>TEST_DATA!E975</f>
        <v>2306</v>
      </c>
      <c r="F975">
        <f>MIN(E975*97500,10000)</f>
        <v>10000</v>
      </c>
      <c r="G975" t="e">
        <f ca="1">_xludf.MINIFS(CBIC_Late_Fee_Relief_Windows_1!$I$100:$I$975,CBIC_Late_Fee_Relief_Windows_1!$D$100:$D$975,"&lt;="&amp;B975,CBIC_Late_Fee_Relief_Windows_1!$E$100:$E$975,"&gt;="&amp;B975,CBIC_Late_Fee_Relief_Windows_1!$F$100:$F$975,"&lt;="&amp;C975,CBIC_Late_Fee_Relief_Windows_1!$G$100:$G$975,"&gt;="&amp;C975,CBIC_Late_Fee_Relief_Windows_1!$H$100:$H$975,D975)</f>
        <v>#NAME?</v>
      </c>
      <c r="H975" t="e">
        <f t="shared" ca="1" si="15"/>
        <v>#NAME?</v>
      </c>
      <c r="I975" t="e">
        <f ca="1">INDEX(CBIC_Late_Fee_Relief_Windows_1!$B$100:$B$975,MATCH(G975,CBIC_Late_Fee_Relief_Windows_1!$I$100:$I$975,0))</f>
        <v>#NAME?</v>
      </c>
    </row>
    <row r="976" spans="1:9" x14ac:dyDescent="0.55000000000000004">
      <c r="A976" t="str">
        <f>TEST_DATA!A976</f>
        <v>27AAAAA0976Z5</v>
      </c>
      <c r="B976" t="str">
        <f>TEST_DATA!B976</f>
        <v>Jan-2018</v>
      </c>
      <c r="C976">
        <f>TEST_DATA!C976</f>
        <v>43925</v>
      </c>
      <c r="D976" t="str">
        <f>TEST_DATA!D976</f>
        <v>NON-NIL</v>
      </c>
      <c r="E976">
        <f>TEST_DATA!E976</f>
        <v>719</v>
      </c>
      <c r="F976">
        <f>MIN(E976*97600,10000)</f>
        <v>10000</v>
      </c>
      <c r="G976" t="e">
        <f ca="1">_xludf.MINIFS(CBIC_Late_Fee_Relief_Windows_1!$I$100:$I$976,CBIC_Late_Fee_Relief_Windows_1!$D$100:$D$976,"&lt;="&amp;B976,CBIC_Late_Fee_Relief_Windows_1!$E$100:$E$976,"&gt;="&amp;B976,CBIC_Late_Fee_Relief_Windows_1!$F$100:$F$976,"&lt;="&amp;C976,CBIC_Late_Fee_Relief_Windows_1!$G$100:$G$976,"&gt;="&amp;C976,CBIC_Late_Fee_Relief_Windows_1!$H$100:$H$976,D976)</f>
        <v>#NAME?</v>
      </c>
      <c r="H976" t="e">
        <f t="shared" ca="1" si="15"/>
        <v>#NAME?</v>
      </c>
      <c r="I976" t="e">
        <f ca="1">INDEX(CBIC_Late_Fee_Relief_Windows_1!$B$100:$B$976,MATCH(G976,CBIC_Late_Fee_Relief_Windows_1!$I$100:$I$976,0))</f>
        <v>#NAME?</v>
      </c>
    </row>
    <row r="977" spans="1:9" x14ac:dyDescent="0.55000000000000004">
      <c r="A977" t="str">
        <f>TEST_DATA!A977</f>
        <v>27AAAAA0977Z5</v>
      </c>
      <c r="B977" t="str">
        <f>TEST_DATA!B977</f>
        <v>Jan-2019</v>
      </c>
      <c r="C977">
        <f>TEST_DATA!C977</f>
        <v>43621</v>
      </c>
      <c r="D977" t="str">
        <f>TEST_DATA!D977</f>
        <v>NIL</v>
      </c>
      <c r="E977">
        <f>TEST_DATA!E977</f>
        <v>230</v>
      </c>
      <c r="F977">
        <f>MIN(E977*97700,10000)</f>
        <v>10000</v>
      </c>
      <c r="G977" t="e">
        <f ca="1">_xludf.MINIFS(CBIC_Late_Fee_Relief_Windows_1!$I$100:$I$977,CBIC_Late_Fee_Relief_Windows_1!$D$100:$D$977,"&lt;="&amp;B977,CBIC_Late_Fee_Relief_Windows_1!$E$100:$E$977,"&gt;="&amp;B977,CBIC_Late_Fee_Relief_Windows_1!$F$100:$F$977,"&lt;="&amp;C977,CBIC_Late_Fee_Relief_Windows_1!$G$100:$G$977,"&gt;="&amp;C977,CBIC_Late_Fee_Relief_Windows_1!$H$100:$H$977,D977)</f>
        <v>#NAME?</v>
      </c>
      <c r="H977" t="e">
        <f t="shared" ca="1" si="15"/>
        <v>#NAME?</v>
      </c>
      <c r="I977" t="e">
        <f ca="1">INDEX(CBIC_Late_Fee_Relief_Windows_1!$B$100:$B$977,MATCH(G977,CBIC_Late_Fee_Relief_Windows_1!$I$100:$I$977,0))</f>
        <v>#NAME?</v>
      </c>
    </row>
    <row r="978" spans="1:9" x14ac:dyDescent="0.55000000000000004">
      <c r="A978" t="str">
        <f>TEST_DATA!A978</f>
        <v>27AAAAA0978Z5</v>
      </c>
      <c r="B978" t="str">
        <f>TEST_DATA!B978</f>
        <v>Feb-2018</v>
      </c>
      <c r="C978">
        <f>TEST_DATA!C978</f>
        <v>44149</v>
      </c>
      <c r="D978" t="str">
        <f>TEST_DATA!D978</f>
        <v>NIL</v>
      </c>
      <c r="E978">
        <f>TEST_DATA!E978</f>
        <v>81</v>
      </c>
      <c r="F978">
        <f>MIN(E978*97800,10000)</f>
        <v>10000</v>
      </c>
      <c r="G978" t="e">
        <f ca="1">_xludf.MINIFS(CBIC_Late_Fee_Relief_Windows_1!$I$100:$I$978,CBIC_Late_Fee_Relief_Windows_1!$D$100:$D$978,"&lt;="&amp;B978,CBIC_Late_Fee_Relief_Windows_1!$E$100:$E$978,"&gt;="&amp;B978,CBIC_Late_Fee_Relief_Windows_1!$F$100:$F$978,"&lt;="&amp;C978,CBIC_Late_Fee_Relief_Windows_1!$G$100:$G$978,"&gt;="&amp;C978,CBIC_Late_Fee_Relief_Windows_1!$H$100:$H$978,D978)</f>
        <v>#NAME?</v>
      </c>
      <c r="H978" t="e">
        <f t="shared" ca="1" si="15"/>
        <v>#NAME?</v>
      </c>
      <c r="I978" t="e">
        <f ca="1">INDEX(CBIC_Late_Fee_Relief_Windows_1!$B$100:$B$978,MATCH(G978,CBIC_Late_Fee_Relief_Windows_1!$I$100:$I$978,0))</f>
        <v>#NAME?</v>
      </c>
    </row>
    <row r="979" spans="1:9" x14ac:dyDescent="0.55000000000000004">
      <c r="A979" t="str">
        <f>TEST_DATA!A979</f>
        <v>27AAAAA0979Z5</v>
      </c>
      <c r="B979" t="str">
        <f>TEST_DATA!B979</f>
        <v>Jun-2019</v>
      </c>
      <c r="C979">
        <f>TEST_DATA!C979</f>
        <v>45423</v>
      </c>
      <c r="D979" t="str">
        <f>TEST_DATA!D979</f>
        <v>NIL</v>
      </c>
      <c r="E979">
        <f>TEST_DATA!E979</f>
        <v>1358</v>
      </c>
      <c r="F979">
        <f>MIN(E979*97900,10000)</f>
        <v>10000</v>
      </c>
      <c r="G979" t="e">
        <f ca="1">_xludf.MINIFS(CBIC_Late_Fee_Relief_Windows_1!$I$100:$I$979,CBIC_Late_Fee_Relief_Windows_1!$D$100:$D$979,"&lt;="&amp;B979,CBIC_Late_Fee_Relief_Windows_1!$E$100:$E$979,"&gt;="&amp;B979,CBIC_Late_Fee_Relief_Windows_1!$F$100:$F$979,"&lt;="&amp;C979,CBIC_Late_Fee_Relief_Windows_1!$G$100:$G$979,"&gt;="&amp;C979,CBIC_Late_Fee_Relief_Windows_1!$H$100:$H$979,D979)</f>
        <v>#NAME?</v>
      </c>
      <c r="H979" t="e">
        <f t="shared" ca="1" si="15"/>
        <v>#NAME?</v>
      </c>
      <c r="I979" t="e">
        <f ca="1">INDEX(CBIC_Late_Fee_Relief_Windows_1!$B$100:$B$979,MATCH(G979,CBIC_Late_Fee_Relief_Windows_1!$I$100:$I$979,0))</f>
        <v>#NAME?</v>
      </c>
    </row>
    <row r="980" spans="1:9" x14ac:dyDescent="0.55000000000000004">
      <c r="A980" t="str">
        <f>TEST_DATA!A980</f>
        <v>27AAAAA0980Z5</v>
      </c>
      <c r="B980" t="str">
        <f>TEST_DATA!B980</f>
        <v>Apr-2020</v>
      </c>
      <c r="C980">
        <f>TEST_DATA!C980</f>
        <v>44243</v>
      </c>
      <c r="D980" t="str">
        <f>TEST_DATA!D980</f>
        <v>NIL</v>
      </c>
      <c r="E980">
        <f>TEST_DATA!E980</f>
        <v>1395</v>
      </c>
      <c r="F980">
        <f>MIN(E980*98000,10000)</f>
        <v>10000</v>
      </c>
      <c r="G980" t="e">
        <f ca="1">_xludf.MINIFS(CBIC_Late_Fee_Relief_Windows_1!$I$100:$I$980,CBIC_Late_Fee_Relief_Windows_1!$D$100:$D$980,"&lt;="&amp;B980,CBIC_Late_Fee_Relief_Windows_1!$E$100:$E$980,"&gt;="&amp;B980,CBIC_Late_Fee_Relief_Windows_1!$F$100:$F$980,"&lt;="&amp;C980,CBIC_Late_Fee_Relief_Windows_1!$G$100:$G$980,"&gt;="&amp;C980,CBIC_Late_Fee_Relief_Windows_1!$H$100:$H$980,D980)</f>
        <v>#NAME?</v>
      </c>
      <c r="H980" t="e">
        <f t="shared" ca="1" si="15"/>
        <v>#NAME?</v>
      </c>
      <c r="I980" t="e">
        <f ca="1">INDEX(CBIC_Late_Fee_Relief_Windows_1!$B$100:$B$980,MATCH(G980,CBIC_Late_Fee_Relief_Windows_1!$I$100:$I$980,0))</f>
        <v>#NAME?</v>
      </c>
    </row>
    <row r="981" spans="1:9" x14ac:dyDescent="0.55000000000000004">
      <c r="A981" t="str">
        <f>TEST_DATA!A981</f>
        <v>27AAAAA0981Z5</v>
      </c>
      <c r="B981" t="str">
        <f>TEST_DATA!B981</f>
        <v>Jul-2020</v>
      </c>
      <c r="C981">
        <f>TEST_DATA!C981</f>
        <v>44194</v>
      </c>
      <c r="D981" t="str">
        <f>TEST_DATA!D981</f>
        <v>NON-NIL</v>
      </c>
      <c r="E981">
        <f>TEST_DATA!E981</f>
        <v>243</v>
      </c>
      <c r="F981">
        <f>MIN(E981*98100,10000)</f>
        <v>10000</v>
      </c>
      <c r="G981" t="e">
        <f ca="1">_xludf.MINIFS(CBIC_Late_Fee_Relief_Windows_1!$I$100:$I$981,CBIC_Late_Fee_Relief_Windows_1!$D$100:$D$981,"&lt;="&amp;B981,CBIC_Late_Fee_Relief_Windows_1!$E$100:$E$981,"&gt;="&amp;B981,CBIC_Late_Fee_Relief_Windows_1!$F$100:$F$981,"&lt;="&amp;C981,CBIC_Late_Fee_Relief_Windows_1!$G$100:$G$981,"&gt;="&amp;C981,CBIC_Late_Fee_Relief_Windows_1!$H$100:$H$981,D981)</f>
        <v>#NAME?</v>
      </c>
      <c r="H981" t="e">
        <f t="shared" ca="1" si="15"/>
        <v>#NAME?</v>
      </c>
      <c r="I981" t="e">
        <f ca="1">INDEX(CBIC_Late_Fee_Relief_Windows_1!$B$100:$B$981,MATCH(G981,CBIC_Late_Fee_Relief_Windows_1!$I$100:$I$981,0))</f>
        <v>#NAME?</v>
      </c>
    </row>
    <row r="982" spans="1:9" x14ac:dyDescent="0.55000000000000004">
      <c r="A982" t="str">
        <f>TEST_DATA!A982</f>
        <v>27AAAAA0982Z5</v>
      </c>
      <c r="B982" t="str">
        <f>TEST_DATA!B982</f>
        <v>Jul-2017</v>
      </c>
      <c r="C982">
        <f>TEST_DATA!C982</f>
        <v>43219</v>
      </c>
      <c r="D982" t="str">
        <f>TEST_DATA!D982</f>
        <v>NIL</v>
      </c>
      <c r="E982">
        <f>TEST_DATA!E982</f>
        <v>454</v>
      </c>
      <c r="F982">
        <f>MIN(E982*98200,10000)</f>
        <v>10000</v>
      </c>
      <c r="G982" t="e">
        <f ca="1">_xludf.MINIFS(CBIC_Late_Fee_Relief_Windows_1!$I$100:$I$982,CBIC_Late_Fee_Relief_Windows_1!$D$100:$D$982,"&lt;="&amp;B982,CBIC_Late_Fee_Relief_Windows_1!$E$100:$E$982,"&gt;="&amp;B982,CBIC_Late_Fee_Relief_Windows_1!$F$100:$F$982,"&lt;="&amp;C982,CBIC_Late_Fee_Relief_Windows_1!$G$100:$G$982,"&gt;="&amp;C982,CBIC_Late_Fee_Relief_Windows_1!$H$100:$H$982,D982)</f>
        <v>#NAME?</v>
      </c>
      <c r="H982" t="e">
        <f t="shared" ca="1" si="15"/>
        <v>#NAME?</v>
      </c>
      <c r="I982" t="e">
        <f ca="1">INDEX(CBIC_Late_Fee_Relief_Windows_1!$B$100:$B$982,MATCH(G982,CBIC_Late_Fee_Relief_Windows_1!$I$100:$I$982,0))</f>
        <v>#NAME?</v>
      </c>
    </row>
    <row r="983" spans="1:9" x14ac:dyDescent="0.55000000000000004">
      <c r="A983" t="str">
        <f>TEST_DATA!A983</f>
        <v>27AAAAA0983Z5</v>
      </c>
      <c r="B983" t="str">
        <f>TEST_DATA!B983</f>
        <v>Mar-2023</v>
      </c>
      <c r="C983">
        <f>TEST_DATA!C983</f>
        <v>45621</v>
      </c>
      <c r="D983" t="str">
        <f>TEST_DATA!D983</f>
        <v>NON-NIL</v>
      </c>
      <c r="E983">
        <f>TEST_DATA!E983</f>
        <v>297</v>
      </c>
      <c r="F983">
        <f>MIN(E983*98300,10000)</f>
        <v>10000</v>
      </c>
      <c r="G983" t="e">
        <f ca="1">_xludf.MINIFS(CBIC_Late_Fee_Relief_Windows_1!$I$100:$I$983,CBIC_Late_Fee_Relief_Windows_1!$D$100:$D$983,"&lt;="&amp;B983,CBIC_Late_Fee_Relief_Windows_1!$E$100:$E$983,"&gt;="&amp;B983,CBIC_Late_Fee_Relief_Windows_1!$F$100:$F$983,"&lt;="&amp;C983,CBIC_Late_Fee_Relief_Windows_1!$G$100:$G$983,"&gt;="&amp;C983,CBIC_Late_Fee_Relief_Windows_1!$H$100:$H$983,D983)</f>
        <v>#NAME?</v>
      </c>
      <c r="H983" t="e">
        <f t="shared" ca="1" si="15"/>
        <v>#NAME?</v>
      </c>
      <c r="I983" t="e">
        <f ca="1">INDEX(CBIC_Late_Fee_Relief_Windows_1!$B$100:$B$983,MATCH(G983,CBIC_Late_Fee_Relief_Windows_1!$I$100:$I$983,0))</f>
        <v>#NAME?</v>
      </c>
    </row>
    <row r="984" spans="1:9" x14ac:dyDescent="0.55000000000000004">
      <c r="A984" t="str">
        <f>TEST_DATA!A984</f>
        <v>27AAAAA0984Z5</v>
      </c>
      <c r="B984" t="str">
        <f>TEST_DATA!B984</f>
        <v>Jun-2018</v>
      </c>
      <c r="C984">
        <f>TEST_DATA!C984</f>
        <v>44359</v>
      </c>
      <c r="D984" t="str">
        <f>TEST_DATA!D984</f>
        <v>NON-NIL</v>
      </c>
      <c r="E984">
        <f>TEST_DATA!E984</f>
        <v>2400</v>
      </c>
      <c r="F984">
        <f>MIN(E984*98400,10000)</f>
        <v>10000</v>
      </c>
      <c r="G984" t="e">
        <f ca="1">_xludf.MINIFS(CBIC_Late_Fee_Relief_Windows_1!$I$100:$I$984,CBIC_Late_Fee_Relief_Windows_1!$D$100:$D$984,"&lt;="&amp;B984,CBIC_Late_Fee_Relief_Windows_1!$E$100:$E$984,"&gt;="&amp;B984,CBIC_Late_Fee_Relief_Windows_1!$F$100:$F$984,"&lt;="&amp;C984,CBIC_Late_Fee_Relief_Windows_1!$G$100:$G$984,"&gt;="&amp;C984,CBIC_Late_Fee_Relief_Windows_1!$H$100:$H$984,D984)</f>
        <v>#NAME?</v>
      </c>
      <c r="H984" t="e">
        <f t="shared" ca="1" si="15"/>
        <v>#NAME?</v>
      </c>
      <c r="I984" t="e">
        <f ca="1">INDEX(CBIC_Late_Fee_Relief_Windows_1!$B$100:$B$984,MATCH(G984,CBIC_Late_Fee_Relief_Windows_1!$I$100:$I$984,0))</f>
        <v>#NAME?</v>
      </c>
    </row>
    <row r="985" spans="1:9" x14ac:dyDescent="0.55000000000000004">
      <c r="A985" t="str">
        <f>TEST_DATA!A985</f>
        <v>27AAAAA0985Z5</v>
      </c>
      <c r="B985" t="str">
        <f>TEST_DATA!B985</f>
        <v>Oct-2017</v>
      </c>
      <c r="C985">
        <f>TEST_DATA!C985</f>
        <v>43606</v>
      </c>
      <c r="D985" t="str">
        <f>TEST_DATA!D985</f>
        <v>NON-NIL</v>
      </c>
      <c r="E985">
        <f>TEST_DATA!E985</f>
        <v>1321</v>
      </c>
      <c r="F985">
        <f>MIN(E985*98500,10000)</f>
        <v>10000</v>
      </c>
      <c r="G985" t="e">
        <f ca="1">_xludf.MINIFS(CBIC_Late_Fee_Relief_Windows_1!$I$100:$I$985,CBIC_Late_Fee_Relief_Windows_1!$D$100:$D$985,"&lt;="&amp;B985,CBIC_Late_Fee_Relief_Windows_1!$E$100:$E$985,"&gt;="&amp;B985,CBIC_Late_Fee_Relief_Windows_1!$F$100:$F$985,"&lt;="&amp;C985,CBIC_Late_Fee_Relief_Windows_1!$G$100:$G$985,"&gt;="&amp;C985,CBIC_Late_Fee_Relief_Windows_1!$H$100:$H$985,D985)</f>
        <v>#NAME?</v>
      </c>
      <c r="H985" t="e">
        <f t="shared" ca="1" si="15"/>
        <v>#NAME?</v>
      </c>
      <c r="I985" t="e">
        <f ca="1">INDEX(CBIC_Late_Fee_Relief_Windows_1!$B$100:$B$985,MATCH(G985,CBIC_Late_Fee_Relief_Windows_1!$I$100:$I$985,0))</f>
        <v>#NAME?</v>
      </c>
    </row>
    <row r="986" spans="1:9" x14ac:dyDescent="0.55000000000000004">
      <c r="A986" t="str">
        <f>TEST_DATA!A986</f>
        <v>27AAAAA0986Z5</v>
      </c>
      <c r="B986" t="str">
        <f>TEST_DATA!B986</f>
        <v>Nov-2017</v>
      </c>
      <c r="C986">
        <f>TEST_DATA!C986</f>
        <v>43239</v>
      </c>
      <c r="D986" t="str">
        <f>TEST_DATA!D986</f>
        <v>NON-NIL</v>
      </c>
      <c r="E986">
        <f>TEST_DATA!E986</f>
        <v>2618</v>
      </c>
      <c r="F986">
        <f>MIN(E986*98600,10000)</f>
        <v>10000</v>
      </c>
      <c r="G986" t="e">
        <f ca="1">_xludf.MINIFS(CBIC_Late_Fee_Relief_Windows_1!$I$100:$I$986,CBIC_Late_Fee_Relief_Windows_1!$D$100:$D$986,"&lt;="&amp;B986,CBIC_Late_Fee_Relief_Windows_1!$E$100:$E$986,"&gt;="&amp;B986,CBIC_Late_Fee_Relief_Windows_1!$F$100:$F$986,"&lt;="&amp;C986,CBIC_Late_Fee_Relief_Windows_1!$G$100:$G$986,"&gt;="&amp;C986,CBIC_Late_Fee_Relief_Windows_1!$H$100:$H$986,D986)</f>
        <v>#NAME?</v>
      </c>
      <c r="H986" t="e">
        <f t="shared" ca="1" si="15"/>
        <v>#NAME?</v>
      </c>
      <c r="I986" t="e">
        <f ca="1">INDEX(CBIC_Late_Fee_Relief_Windows_1!$B$100:$B$986,MATCH(G986,CBIC_Late_Fee_Relief_Windows_1!$I$100:$I$986,0))</f>
        <v>#NAME?</v>
      </c>
    </row>
    <row r="987" spans="1:9" x14ac:dyDescent="0.55000000000000004">
      <c r="A987" t="str">
        <f>TEST_DATA!A987</f>
        <v>27AAAAA0987Z5</v>
      </c>
      <c r="B987" t="str">
        <f>TEST_DATA!B987</f>
        <v>Jan-2019</v>
      </c>
      <c r="C987">
        <f>TEST_DATA!C987</f>
        <v>44765</v>
      </c>
      <c r="D987" t="str">
        <f>TEST_DATA!D987</f>
        <v>NIL</v>
      </c>
      <c r="E987">
        <f>TEST_DATA!E987</f>
        <v>2896</v>
      </c>
      <c r="F987">
        <f>MIN(E987*98700,10000)</f>
        <v>10000</v>
      </c>
      <c r="G987" t="e">
        <f ca="1">_xludf.MINIFS(CBIC_Late_Fee_Relief_Windows_1!$I$100:$I$987,CBIC_Late_Fee_Relief_Windows_1!$D$100:$D$987,"&lt;="&amp;B987,CBIC_Late_Fee_Relief_Windows_1!$E$100:$E$987,"&gt;="&amp;B987,CBIC_Late_Fee_Relief_Windows_1!$F$100:$F$987,"&lt;="&amp;C987,CBIC_Late_Fee_Relief_Windows_1!$G$100:$G$987,"&gt;="&amp;C987,CBIC_Late_Fee_Relief_Windows_1!$H$100:$H$987,D987)</f>
        <v>#NAME?</v>
      </c>
      <c r="H987" t="e">
        <f t="shared" ca="1" si="15"/>
        <v>#NAME?</v>
      </c>
      <c r="I987" t="e">
        <f ca="1">INDEX(CBIC_Late_Fee_Relief_Windows_1!$B$100:$B$987,MATCH(G987,CBIC_Late_Fee_Relief_Windows_1!$I$100:$I$987,0))</f>
        <v>#NAME?</v>
      </c>
    </row>
    <row r="988" spans="1:9" x14ac:dyDescent="0.55000000000000004">
      <c r="A988" t="str">
        <f>TEST_DATA!A988</f>
        <v>27AAAAA0988Z5</v>
      </c>
      <c r="B988" t="str">
        <f>TEST_DATA!B988</f>
        <v>Dec-2019</v>
      </c>
      <c r="C988">
        <f>TEST_DATA!C988</f>
        <v>44927</v>
      </c>
      <c r="D988" t="str">
        <f>TEST_DATA!D988</f>
        <v>NIL</v>
      </c>
      <c r="E988">
        <f>TEST_DATA!E988</f>
        <v>2726</v>
      </c>
      <c r="F988">
        <f>MIN(E988*98800,10000)</f>
        <v>10000</v>
      </c>
      <c r="G988" t="e">
        <f ca="1">_xludf.MINIFS(CBIC_Late_Fee_Relief_Windows_1!$I$100:$I$988,CBIC_Late_Fee_Relief_Windows_1!$D$100:$D$988,"&lt;="&amp;B988,CBIC_Late_Fee_Relief_Windows_1!$E$100:$E$988,"&gt;="&amp;B988,CBIC_Late_Fee_Relief_Windows_1!$F$100:$F$988,"&lt;="&amp;C988,CBIC_Late_Fee_Relief_Windows_1!$G$100:$G$988,"&gt;="&amp;C988,CBIC_Late_Fee_Relief_Windows_1!$H$100:$H$988,D988)</f>
        <v>#NAME?</v>
      </c>
      <c r="H988" t="e">
        <f t="shared" ca="1" si="15"/>
        <v>#NAME?</v>
      </c>
      <c r="I988" t="e">
        <f ca="1">INDEX(CBIC_Late_Fee_Relief_Windows_1!$B$100:$B$988,MATCH(G988,CBIC_Late_Fee_Relief_Windows_1!$I$100:$I$988,0))</f>
        <v>#NAME?</v>
      </c>
    </row>
    <row r="989" spans="1:9" x14ac:dyDescent="0.55000000000000004">
      <c r="A989" t="str">
        <f>TEST_DATA!A989</f>
        <v>27AAAAA0989Z5</v>
      </c>
      <c r="B989" t="str">
        <f>TEST_DATA!B989</f>
        <v>Mar-2020</v>
      </c>
      <c r="C989">
        <f>TEST_DATA!C989</f>
        <v>44190</v>
      </c>
      <c r="D989" t="str">
        <f>TEST_DATA!D989</f>
        <v>NON-NIL</v>
      </c>
      <c r="E989">
        <f>TEST_DATA!E989</f>
        <v>1256</v>
      </c>
      <c r="F989">
        <f>MIN(E989*98900,10000)</f>
        <v>10000</v>
      </c>
      <c r="G989" t="e">
        <f ca="1">_xludf.MINIFS(CBIC_Late_Fee_Relief_Windows_1!$I$100:$I$989,CBIC_Late_Fee_Relief_Windows_1!$D$100:$D$989,"&lt;="&amp;B989,CBIC_Late_Fee_Relief_Windows_1!$E$100:$E$989,"&gt;="&amp;B989,CBIC_Late_Fee_Relief_Windows_1!$F$100:$F$989,"&lt;="&amp;C989,CBIC_Late_Fee_Relief_Windows_1!$G$100:$G$989,"&gt;="&amp;C989,CBIC_Late_Fee_Relief_Windows_1!$H$100:$H$989,D989)</f>
        <v>#NAME?</v>
      </c>
      <c r="H989" t="e">
        <f t="shared" ca="1" si="15"/>
        <v>#NAME?</v>
      </c>
      <c r="I989" t="e">
        <f ca="1">INDEX(CBIC_Late_Fee_Relief_Windows_1!$B$100:$B$989,MATCH(G989,CBIC_Late_Fee_Relief_Windows_1!$I$100:$I$989,0))</f>
        <v>#NAME?</v>
      </c>
    </row>
    <row r="990" spans="1:9" x14ac:dyDescent="0.55000000000000004">
      <c r="A990" t="str">
        <f>TEST_DATA!A990</f>
        <v>27AAAAA0990Z5</v>
      </c>
      <c r="B990" t="str">
        <f>TEST_DATA!B990</f>
        <v>Jan-2021</v>
      </c>
      <c r="C990">
        <f>TEST_DATA!C990</f>
        <v>44672</v>
      </c>
      <c r="D990" t="str">
        <f>TEST_DATA!D990</f>
        <v>NIL</v>
      </c>
      <c r="E990">
        <f>TEST_DATA!E990</f>
        <v>727</v>
      </c>
      <c r="F990">
        <f>MIN(E990*99000,10000)</f>
        <v>10000</v>
      </c>
      <c r="G990" t="e">
        <f ca="1">_xludf.MINIFS(CBIC_Late_Fee_Relief_Windows_1!$I$100:$I$990,CBIC_Late_Fee_Relief_Windows_1!$D$100:$D$990,"&lt;="&amp;B990,CBIC_Late_Fee_Relief_Windows_1!$E$100:$E$990,"&gt;="&amp;B990,CBIC_Late_Fee_Relief_Windows_1!$F$100:$F$990,"&lt;="&amp;C990,CBIC_Late_Fee_Relief_Windows_1!$G$100:$G$990,"&gt;="&amp;C990,CBIC_Late_Fee_Relief_Windows_1!$H$100:$H$990,D990)</f>
        <v>#NAME?</v>
      </c>
      <c r="H990" t="e">
        <f t="shared" ca="1" si="15"/>
        <v>#NAME?</v>
      </c>
      <c r="I990" t="e">
        <f ca="1">INDEX(CBIC_Late_Fee_Relief_Windows_1!$B$100:$B$990,MATCH(G990,CBIC_Late_Fee_Relief_Windows_1!$I$100:$I$990,0))</f>
        <v>#NAME?</v>
      </c>
    </row>
    <row r="991" spans="1:9" x14ac:dyDescent="0.55000000000000004">
      <c r="A991" t="str">
        <f>TEST_DATA!A991</f>
        <v>27AAAAA0991Z5</v>
      </c>
      <c r="B991" t="str">
        <f>TEST_DATA!B991</f>
        <v>Jan-2021</v>
      </c>
      <c r="C991">
        <f>TEST_DATA!C991</f>
        <v>43473</v>
      </c>
      <c r="D991" t="str">
        <f>TEST_DATA!D991</f>
        <v>NON-NIL</v>
      </c>
      <c r="E991">
        <f>TEST_DATA!E991</f>
        <v>2324</v>
      </c>
      <c r="F991">
        <f>MIN(E991*99100,10000)</f>
        <v>10000</v>
      </c>
      <c r="G991" t="e">
        <f ca="1">_xludf.MINIFS(CBIC_Late_Fee_Relief_Windows_1!$I$100:$I$991,CBIC_Late_Fee_Relief_Windows_1!$D$100:$D$991,"&lt;="&amp;B991,CBIC_Late_Fee_Relief_Windows_1!$E$100:$E$991,"&gt;="&amp;B991,CBIC_Late_Fee_Relief_Windows_1!$F$100:$F$991,"&lt;="&amp;C991,CBIC_Late_Fee_Relief_Windows_1!$G$100:$G$991,"&gt;="&amp;C991,CBIC_Late_Fee_Relief_Windows_1!$H$100:$H$991,D991)</f>
        <v>#NAME?</v>
      </c>
      <c r="H991" t="e">
        <f t="shared" ca="1" si="15"/>
        <v>#NAME?</v>
      </c>
      <c r="I991" t="e">
        <f ca="1">INDEX(CBIC_Late_Fee_Relief_Windows_1!$B$100:$B$991,MATCH(G991,CBIC_Late_Fee_Relief_Windows_1!$I$100:$I$991,0))</f>
        <v>#NAME?</v>
      </c>
    </row>
    <row r="992" spans="1:9" x14ac:dyDescent="0.55000000000000004">
      <c r="A992" t="str">
        <f>TEST_DATA!A992</f>
        <v>27AAAAA0992Z5</v>
      </c>
      <c r="B992" t="str">
        <f>TEST_DATA!B992</f>
        <v>Aug-2017</v>
      </c>
      <c r="C992">
        <f>TEST_DATA!C992</f>
        <v>43289</v>
      </c>
      <c r="D992" t="str">
        <f>TEST_DATA!D992</f>
        <v>NON-NIL</v>
      </c>
      <c r="E992">
        <f>TEST_DATA!E992</f>
        <v>2504</v>
      </c>
      <c r="F992">
        <f>MIN(E992*99200,10000)</f>
        <v>10000</v>
      </c>
      <c r="G992" t="e">
        <f ca="1">_xludf.MINIFS(CBIC_Late_Fee_Relief_Windows_1!$I$100:$I$992,CBIC_Late_Fee_Relief_Windows_1!$D$100:$D$992,"&lt;="&amp;B992,CBIC_Late_Fee_Relief_Windows_1!$E$100:$E$992,"&gt;="&amp;B992,CBIC_Late_Fee_Relief_Windows_1!$F$100:$F$992,"&lt;="&amp;C992,CBIC_Late_Fee_Relief_Windows_1!$G$100:$G$992,"&gt;="&amp;C992,CBIC_Late_Fee_Relief_Windows_1!$H$100:$H$992,D992)</f>
        <v>#NAME?</v>
      </c>
      <c r="H992" t="e">
        <f t="shared" ca="1" si="15"/>
        <v>#NAME?</v>
      </c>
      <c r="I992" t="e">
        <f ca="1">INDEX(CBIC_Late_Fee_Relief_Windows_1!$B$100:$B$992,MATCH(G992,CBIC_Late_Fee_Relief_Windows_1!$I$100:$I$992,0))</f>
        <v>#NAME?</v>
      </c>
    </row>
    <row r="993" spans="1:9" x14ac:dyDescent="0.55000000000000004">
      <c r="A993" t="str">
        <f>TEST_DATA!A993</f>
        <v>27AAAAA0993Z5</v>
      </c>
      <c r="B993" t="str">
        <f>TEST_DATA!B993</f>
        <v>Feb-2018</v>
      </c>
      <c r="C993">
        <f>TEST_DATA!C993</f>
        <v>44226</v>
      </c>
      <c r="D993" t="str">
        <f>TEST_DATA!D993</f>
        <v>NIL</v>
      </c>
      <c r="E993">
        <f>TEST_DATA!E993</f>
        <v>2032</v>
      </c>
      <c r="F993">
        <f>MIN(E993*99300,10000)</f>
        <v>10000</v>
      </c>
      <c r="G993" t="e">
        <f ca="1">_xludf.MINIFS(CBIC_Late_Fee_Relief_Windows_1!$I$100:$I$993,CBIC_Late_Fee_Relief_Windows_1!$D$100:$D$993,"&lt;="&amp;B993,CBIC_Late_Fee_Relief_Windows_1!$E$100:$E$993,"&gt;="&amp;B993,CBIC_Late_Fee_Relief_Windows_1!$F$100:$F$993,"&lt;="&amp;C993,CBIC_Late_Fee_Relief_Windows_1!$G$100:$G$993,"&gt;="&amp;C993,CBIC_Late_Fee_Relief_Windows_1!$H$100:$H$993,D993)</f>
        <v>#NAME?</v>
      </c>
      <c r="H993" t="e">
        <f t="shared" ca="1" si="15"/>
        <v>#NAME?</v>
      </c>
      <c r="I993" t="e">
        <f ca="1">INDEX(CBIC_Late_Fee_Relief_Windows_1!$B$100:$B$993,MATCH(G993,CBIC_Late_Fee_Relief_Windows_1!$I$100:$I$993,0))</f>
        <v>#NAME?</v>
      </c>
    </row>
    <row r="994" spans="1:9" x14ac:dyDescent="0.55000000000000004">
      <c r="A994" t="str">
        <f>TEST_DATA!A994</f>
        <v>27AAAAA0994Z5</v>
      </c>
      <c r="B994" t="str">
        <f>TEST_DATA!B994</f>
        <v>Nov-2017</v>
      </c>
      <c r="C994">
        <f>TEST_DATA!C994</f>
        <v>43595</v>
      </c>
      <c r="D994" t="str">
        <f>TEST_DATA!D994</f>
        <v>NIL</v>
      </c>
      <c r="E994">
        <f>TEST_DATA!E994</f>
        <v>974</v>
      </c>
      <c r="F994">
        <f>MIN(E994*99400,10000)</f>
        <v>10000</v>
      </c>
      <c r="G994" t="e">
        <f ca="1">_xludf.MINIFS(CBIC_Late_Fee_Relief_Windows_1!$I$100:$I$994,CBIC_Late_Fee_Relief_Windows_1!$D$100:$D$994,"&lt;="&amp;B994,CBIC_Late_Fee_Relief_Windows_1!$E$100:$E$994,"&gt;="&amp;B994,CBIC_Late_Fee_Relief_Windows_1!$F$100:$F$994,"&lt;="&amp;C994,CBIC_Late_Fee_Relief_Windows_1!$G$100:$G$994,"&gt;="&amp;C994,CBIC_Late_Fee_Relief_Windows_1!$H$100:$H$994,D994)</f>
        <v>#NAME?</v>
      </c>
      <c r="H994" t="e">
        <f t="shared" ca="1" si="15"/>
        <v>#NAME?</v>
      </c>
      <c r="I994" t="e">
        <f ca="1">INDEX(CBIC_Late_Fee_Relief_Windows_1!$B$100:$B$994,MATCH(G994,CBIC_Late_Fee_Relief_Windows_1!$I$100:$I$994,0))</f>
        <v>#NAME?</v>
      </c>
    </row>
    <row r="995" spans="1:9" x14ac:dyDescent="0.55000000000000004">
      <c r="A995" t="str">
        <f>TEST_DATA!A995</f>
        <v>27AAAAA0995Z5</v>
      </c>
      <c r="B995" t="str">
        <f>TEST_DATA!B995</f>
        <v>Jun-2018</v>
      </c>
      <c r="C995">
        <f>TEST_DATA!C995</f>
        <v>43571</v>
      </c>
      <c r="D995" t="str">
        <f>TEST_DATA!D995</f>
        <v>NIL</v>
      </c>
      <c r="E995">
        <f>TEST_DATA!E995</f>
        <v>2605</v>
      </c>
      <c r="F995">
        <f>MIN(E995*99500,10000)</f>
        <v>10000</v>
      </c>
      <c r="G995" t="e">
        <f ca="1">_xludf.MINIFS(CBIC_Late_Fee_Relief_Windows_1!$I$100:$I$995,CBIC_Late_Fee_Relief_Windows_1!$D$100:$D$995,"&lt;="&amp;B995,CBIC_Late_Fee_Relief_Windows_1!$E$100:$E$995,"&gt;="&amp;B995,CBIC_Late_Fee_Relief_Windows_1!$F$100:$F$995,"&lt;="&amp;C995,CBIC_Late_Fee_Relief_Windows_1!$G$100:$G$995,"&gt;="&amp;C995,CBIC_Late_Fee_Relief_Windows_1!$H$100:$H$995,D995)</f>
        <v>#NAME?</v>
      </c>
      <c r="H995" t="e">
        <f t="shared" ca="1" si="15"/>
        <v>#NAME?</v>
      </c>
      <c r="I995" t="e">
        <f ca="1">INDEX(CBIC_Late_Fee_Relief_Windows_1!$B$100:$B$995,MATCH(G995,CBIC_Late_Fee_Relief_Windows_1!$I$100:$I$995,0))</f>
        <v>#NAME?</v>
      </c>
    </row>
    <row r="996" spans="1:9" x14ac:dyDescent="0.55000000000000004">
      <c r="A996" t="str">
        <f>TEST_DATA!A996</f>
        <v>27AAAAA0996Z5</v>
      </c>
      <c r="B996" t="str">
        <f>TEST_DATA!B996</f>
        <v>Dec-2024</v>
      </c>
      <c r="C996">
        <f>TEST_DATA!C996</f>
        <v>43829</v>
      </c>
      <c r="D996" t="str">
        <f>TEST_DATA!D996</f>
        <v>NON-NIL</v>
      </c>
      <c r="E996">
        <f>TEST_DATA!E996</f>
        <v>1829</v>
      </c>
      <c r="F996">
        <f>MIN(E996*99600,10000)</f>
        <v>10000</v>
      </c>
      <c r="G996" t="e">
        <f ca="1">_xludf.MINIFS(CBIC_Late_Fee_Relief_Windows_1!$I$100:$I$996,CBIC_Late_Fee_Relief_Windows_1!$D$100:$D$996,"&lt;="&amp;B996,CBIC_Late_Fee_Relief_Windows_1!$E$100:$E$996,"&gt;="&amp;B996,CBIC_Late_Fee_Relief_Windows_1!$F$100:$F$996,"&lt;="&amp;C996,CBIC_Late_Fee_Relief_Windows_1!$G$100:$G$996,"&gt;="&amp;C996,CBIC_Late_Fee_Relief_Windows_1!$H$100:$H$996,D996)</f>
        <v>#NAME?</v>
      </c>
      <c r="H996" t="e">
        <f t="shared" ca="1" si="15"/>
        <v>#NAME?</v>
      </c>
      <c r="I996" t="e">
        <f ca="1">INDEX(CBIC_Late_Fee_Relief_Windows_1!$B$100:$B$996,MATCH(G996,CBIC_Late_Fee_Relief_Windows_1!$I$100:$I$996,0))</f>
        <v>#NAME?</v>
      </c>
    </row>
    <row r="997" spans="1:9" x14ac:dyDescent="0.55000000000000004">
      <c r="A997" t="str">
        <f>TEST_DATA!A997</f>
        <v>27AAAAA0997Z5</v>
      </c>
      <c r="B997" t="str">
        <f>TEST_DATA!B997</f>
        <v>Jul-2017</v>
      </c>
      <c r="C997">
        <f>TEST_DATA!C997</f>
        <v>43460</v>
      </c>
      <c r="D997" t="str">
        <f>TEST_DATA!D997</f>
        <v>NIL</v>
      </c>
      <c r="E997">
        <f>TEST_DATA!E997</f>
        <v>1022</v>
      </c>
      <c r="F997">
        <f>MIN(E997*99700,10000)</f>
        <v>10000</v>
      </c>
      <c r="G997" t="e">
        <f ca="1">_xludf.MINIFS(CBIC_Late_Fee_Relief_Windows_1!$I$100:$I$997,CBIC_Late_Fee_Relief_Windows_1!$D$100:$D$997,"&lt;="&amp;B997,CBIC_Late_Fee_Relief_Windows_1!$E$100:$E$997,"&gt;="&amp;B997,CBIC_Late_Fee_Relief_Windows_1!$F$100:$F$997,"&lt;="&amp;C997,CBIC_Late_Fee_Relief_Windows_1!$G$100:$G$997,"&gt;="&amp;C997,CBIC_Late_Fee_Relief_Windows_1!$H$100:$H$997,D997)</f>
        <v>#NAME?</v>
      </c>
      <c r="H997" t="e">
        <f t="shared" ca="1" si="15"/>
        <v>#NAME?</v>
      </c>
      <c r="I997" t="e">
        <f ca="1">INDEX(CBIC_Late_Fee_Relief_Windows_1!$B$100:$B$997,MATCH(G997,CBIC_Late_Fee_Relief_Windows_1!$I$100:$I$997,0))</f>
        <v>#NAME?</v>
      </c>
    </row>
    <row r="998" spans="1:9" x14ac:dyDescent="0.55000000000000004">
      <c r="A998" t="str">
        <f>TEST_DATA!A998</f>
        <v>27AAAAA0998Z5</v>
      </c>
      <c r="B998" t="str">
        <f>TEST_DATA!B998</f>
        <v>Jul-2020</v>
      </c>
      <c r="C998">
        <f>TEST_DATA!C998</f>
        <v>43969</v>
      </c>
      <c r="D998" t="str">
        <f>TEST_DATA!D998</f>
        <v>NON-NIL</v>
      </c>
      <c r="E998">
        <f>TEST_DATA!E998</f>
        <v>1051</v>
      </c>
      <c r="F998">
        <f>MIN(E998*99800,10000)</f>
        <v>10000</v>
      </c>
      <c r="G998" t="e">
        <f ca="1">_xludf.MINIFS(CBIC_Late_Fee_Relief_Windows_1!$I$100:$I$998,CBIC_Late_Fee_Relief_Windows_1!$D$100:$D$998,"&lt;="&amp;B998,CBIC_Late_Fee_Relief_Windows_1!$E$100:$E$998,"&gt;="&amp;B998,CBIC_Late_Fee_Relief_Windows_1!$F$100:$F$998,"&lt;="&amp;C998,CBIC_Late_Fee_Relief_Windows_1!$G$100:$G$998,"&gt;="&amp;C998,CBIC_Late_Fee_Relief_Windows_1!$H$100:$H$998,D998)</f>
        <v>#NAME?</v>
      </c>
      <c r="H998" t="e">
        <f t="shared" ca="1" si="15"/>
        <v>#NAME?</v>
      </c>
      <c r="I998" t="e">
        <f ca="1">INDEX(CBIC_Late_Fee_Relief_Windows_1!$B$100:$B$998,MATCH(G998,CBIC_Late_Fee_Relief_Windows_1!$I$100:$I$998,0))</f>
        <v>#NAME?</v>
      </c>
    </row>
    <row r="999" spans="1:9" x14ac:dyDescent="0.55000000000000004">
      <c r="A999" t="str">
        <f>TEST_DATA!A999</f>
        <v>27AAAAA0999Z5</v>
      </c>
      <c r="B999" t="str">
        <f>TEST_DATA!B999</f>
        <v>Apr-2021</v>
      </c>
      <c r="C999">
        <f>TEST_DATA!C999</f>
        <v>43908</v>
      </c>
      <c r="D999" t="str">
        <f>TEST_DATA!D999</f>
        <v>NIL</v>
      </c>
      <c r="E999">
        <f>TEST_DATA!E999</f>
        <v>197</v>
      </c>
      <c r="F999">
        <f>MIN(E999*99900,10000)</f>
        <v>10000</v>
      </c>
      <c r="G999" t="e">
        <f ca="1">_xludf.MINIFS(CBIC_Late_Fee_Relief_Windows_1!$I$100:$I$999,CBIC_Late_Fee_Relief_Windows_1!$D$100:$D$999,"&lt;="&amp;B999,CBIC_Late_Fee_Relief_Windows_1!$E$100:$E$999,"&gt;="&amp;B999,CBIC_Late_Fee_Relief_Windows_1!$F$100:$F$999,"&lt;="&amp;C999,CBIC_Late_Fee_Relief_Windows_1!$G$100:$G$999,"&gt;="&amp;C999,CBIC_Late_Fee_Relief_Windows_1!$H$100:$H$999,D999)</f>
        <v>#NAME?</v>
      </c>
      <c r="H999" t="e">
        <f t="shared" ca="1" si="15"/>
        <v>#NAME?</v>
      </c>
      <c r="I999" t="e">
        <f ca="1">INDEX(CBIC_Late_Fee_Relief_Windows_1!$B$100:$B$999,MATCH(G999,CBIC_Late_Fee_Relief_Windows_1!$I$100:$I$999,0))</f>
        <v>#NAME?</v>
      </c>
    </row>
    <row r="1000" spans="1:9" x14ac:dyDescent="0.55000000000000004">
      <c r="A1000" t="str">
        <f>TEST_DATA!A1000</f>
        <v>27AAAAA1000Z5</v>
      </c>
      <c r="B1000" t="str">
        <f>TEST_DATA!B1000</f>
        <v>Jul-2018</v>
      </c>
      <c r="C1000">
        <f>TEST_DATA!C1000</f>
        <v>43814</v>
      </c>
      <c r="D1000" t="str">
        <f>TEST_DATA!D1000</f>
        <v>NON-NIL</v>
      </c>
      <c r="E1000">
        <f>TEST_DATA!E1000</f>
        <v>681</v>
      </c>
      <c r="F1000">
        <f>MIN(E1000*100000,10000)</f>
        <v>10000</v>
      </c>
      <c r="G1000" t="e">
        <f ca="1">_xludf.MINIFS(CBIC_Late_Fee_Relief_Windows_1!$I$100:$I$1000,CBIC_Late_Fee_Relief_Windows_1!$D$100:$D$1000,"&lt;="&amp;B1000,CBIC_Late_Fee_Relief_Windows_1!$E$100:$E$1000,"&gt;="&amp;B1000,CBIC_Late_Fee_Relief_Windows_1!$F$100:$F$1000,"&lt;="&amp;C1000,CBIC_Late_Fee_Relief_Windows_1!$G$100:$G$1000,"&gt;="&amp;C1000,CBIC_Late_Fee_Relief_Windows_1!$H$100:$H$1000,D1000)</f>
        <v>#NAME?</v>
      </c>
      <c r="H1000" t="e">
        <f t="shared" ca="1" si="15"/>
        <v>#NAME?</v>
      </c>
      <c r="I1000" t="e">
        <f ca="1">INDEX(CBIC_Late_Fee_Relief_Windows_1!$B$100:$B$1000,MATCH(G1000,CBIC_Late_Fee_Relief_Windows_1!$I$100:$I$1000,0))</f>
        <v>#NAME?</v>
      </c>
    </row>
    <row r="1001" spans="1:9" x14ac:dyDescent="0.55000000000000004">
      <c r="A1001" t="str">
        <f>TEST_DATA!A1001</f>
        <v>27AAAAA1001Z5</v>
      </c>
      <c r="B1001" t="str">
        <f>TEST_DATA!B1001</f>
        <v>Dec-2024</v>
      </c>
      <c r="C1001">
        <f>TEST_DATA!C1001</f>
        <v>45161</v>
      </c>
      <c r="D1001" t="str">
        <f>TEST_DATA!D1001</f>
        <v>NON-NIL</v>
      </c>
      <c r="E1001">
        <f>TEST_DATA!E1001</f>
        <v>1551</v>
      </c>
      <c r="F1001">
        <f>MIN(E1001*100100,10000)</f>
        <v>10000</v>
      </c>
      <c r="G1001" t="e">
        <f ca="1">_xludf.MINIFS(CBIC_Late_Fee_Relief_Windows_1!$I$100:$I$1001,CBIC_Late_Fee_Relief_Windows_1!$D$100:$D$1001,"&lt;="&amp;B1001,CBIC_Late_Fee_Relief_Windows_1!$E$100:$E$1001,"&gt;="&amp;B1001,CBIC_Late_Fee_Relief_Windows_1!$F$100:$F$1001,"&lt;="&amp;C1001,CBIC_Late_Fee_Relief_Windows_1!$G$100:$G$1001,"&gt;="&amp;C1001,CBIC_Late_Fee_Relief_Windows_1!$H$100:$H$1001,D1001)</f>
        <v>#NAME?</v>
      </c>
      <c r="H1001" t="e">
        <f t="shared" ca="1" si="15"/>
        <v>#NAME?</v>
      </c>
      <c r="I1001" t="e">
        <f ca="1">INDEX(CBIC_Late_Fee_Relief_Windows_1!$B$100:$B$1001,MATCH(G1001,CBIC_Late_Fee_Relief_Windows_1!$I$100:$I$1001,0))</f>
        <v>#NAME?</v>
      </c>
    </row>
    <row r="1002" spans="1:9" x14ac:dyDescent="0.55000000000000004">
      <c r="A1002" t="str">
        <f>TEST_DATA!A1002</f>
        <v>27AAAAA1002Z5</v>
      </c>
      <c r="B1002" t="str">
        <f>TEST_DATA!B1002</f>
        <v>Jun-2018</v>
      </c>
      <c r="C1002">
        <f>TEST_DATA!C1002</f>
        <v>44035</v>
      </c>
      <c r="D1002" t="str">
        <f>TEST_DATA!D1002</f>
        <v>NON-NIL</v>
      </c>
      <c r="E1002">
        <f>TEST_DATA!E1002</f>
        <v>415</v>
      </c>
      <c r="F1002">
        <f>MIN(E1002*100200,10000)</f>
        <v>10000</v>
      </c>
      <c r="G1002" t="e">
        <f ca="1">_xludf.MINIFS(CBIC_Late_Fee_Relief_Windows_1!$I$100:$I$1002,CBIC_Late_Fee_Relief_Windows_1!$D$100:$D$1002,"&lt;="&amp;B1002,CBIC_Late_Fee_Relief_Windows_1!$E$100:$E$1002,"&gt;="&amp;B1002,CBIC_Late_Fee_Relief_Windows_1!$F$100:$F$1002,"&lt;="&amp;C1002,CBIC_Late_Fee_Relief_Windows_1!$G$100:$G$1002,"&gt;="&amp;C1002,CBIC_Late_Fee_Relief_Windows_1!$H$100:$H$1002,D1002)</f>
        <v>#NAME?</v>
      </c>
      <c r="H1002" t="e">
        <f t="shared" ca="1" si="15"/>
        <v>#NAME?</v>
      </c>
      <c r="I1002" t="e">
        <f ca="1">INDEX(CBIC_Late_Fee_Relief_Windows_1!$B$100:$B$1002,MATCH(G1002,CBIC_Late_Fee_Relief_Windows_1!$I$100:$I$1002,0))</f>
        <v>#NAME?</v>
      </c>
    </row>
    <row r="1003" spans="1:9" x14ac:dyDescent="0.55000000000000004">
      <c r="A1003" t="str">
        <f>TEST_DATA!A1003</f>
        <v>27AAAAA1003Z5</v>
      </c>
      <c r="B1003" t="str">
        <f>TEST_DATA!B1003</f>
        <v>Dec-2022</v>
      </c>
      <c r="C1003">
        <f>TEST_DATA!C1003</f>
        <v>45429</v>
      </c>
      <c r="D1003" t="str">
        <f>TEST_DATA!D1003</f>
        <v>NIL</v>
      </c>
      <c r="E1003">
        <f>TEST_DATA!E1003</f>
        <v>666</v>
      </c>
      <c r="F1003">
        <f>MIN(E1003*100300,10000)</f>
        <v>10000</v>
      </c>
      <c r="G1003" t="e">
        <f ca="1">_xludf.MINIFS(CBIC_Late_Fee_Relief_Windows_1!$I$100:$I$1003,CBIC_Late_Fee_Relief_Windows_1!$D$100:$D$1003,"&lt;="&amp;B1003,CBIC_Late_Fee_Relief_Windows_1!$E$100:$E$1003,"&gt;="&amp;B1003,CBIC_Late_Fee_Relief_Windows_1!$F$100:$F$1003,"&lt;="&amp;C1003,CBIC_Late_Fee_Relief_Windows_1!$G$100:$G$1003,"&gt;="&amp;C1003,CBIC_Late_Fee_Relief_Windows_1!$H$100:$H$1003,D1003)</f>
        <v>#NAME?</v>
      </c>
      <c r="H1003" t="e">
        <f t="shared" ca="1" si="15"/>
        <v>#NAME?</v>
      </c>
      <c r="I1003" t="e">
        <f ca="1">INDEX(CBIC_Late_Fee_Relief_Windows_1!$B$100:$B$1003,MATCH(G1003,CBIC_Late_Fee_Relief_Windows_1!$I$100:$I$1003,0))</f>
        <v>#NAME?</v>
      </c>
    </row>
    <row r="1004" spans="1:9" x14ac:dyDescent="0.55000000000000004">
      <c r="A1004" t="str">
        <f>TEST_DATA!A1004</f>
        <v>27AAAAA1004Z5</v>
      </c>
      <c r="B1004" t="str">
        <f>TEST_DATA!B1004</f>
        <v>Sep-2018</v>
      </c>
      <c r="C1004">
        <f>TEST_DATA!C1004</f>
        <v>43067</v>
      </c>
      <c r="D1004" t="str">
        <f>TEST_DATA!D1004</f>
        <v>NIL</v>
      </c>
      <c r="E1004">
        <f>TEST_DATA!E1004</f>
        <v>1207</v>
      </c>
      <c r="F1004">
        <f>MIN(E1004*100400,10000)</f>
        <v>10000</v>
      </c>
      <c r="G1004" t="e">
        <f ca="1">_xludf.MINIFS(CBIC_Late_Fee_Relief_Windows_1!$I$100:$I$1004,CBIC_Late_Fee_Relief_Windows_1!$D$100:$D$1004,"&lt;="&amp;B1004,CBIC_Late_Fee_Relief_Windows_1!$E$100:$E$1004,"&gt;="&amp;B1004,CBIC_Late_Fee_Relief_Windows_1!$F$100:$F$1004,"&lt;="&amp;C1004,CBIC_Late_Fee_Relief_Windows_1!$G$100:$G$1004,"&gt;="&amp;C1004,CBIC_Late_Fee_Relief_Windows_1!$H$100:$H$1004,D1004)</f>
        <v>#NAME?</v>
      </c>
      <c r="H1004" t="e">
        <f t="shared" ca="1" si="15"/>
        <v>#NAME?</v>
      </c>
      <c r="I1004" t="e">
        <f ca="1">INDEX(CBIC_Late_Fee_Relief_Windows_1!$B$100:$B$1004,MATCH(G1004,CBIC_Late_Fee_Relief_Windows_1!$I$100:$I$1004,0))</f>
        <v>#NAME?</v>
      </c>
    </row>
    <row r="1005" spans="1:9" x14ac:dyDescent="0.55000000000000004">
      <c r="A1005" t="str">
        <f>TEST_DATA!A1005</f>
        <v>27AAAAA1005Z5</v>
      </c>
      <c r="B1005" t="str">
        <f>TEST_DATA!B1005</f>
        <v>Jul-2017</v>
      </c>
      <c r="C1005">
        <f>TEST_DATA!C1005</f>
        <v>43569</v>
      </c>
      <c r="D1005" t="str">
        <f>TEST_DATA!D1005</f>
        <v>NON-NIL</v>
      </c>
      <c r="E1005">
        <f>TEST_DATA!E1005</f>
        <v>428</v>
      </c>
      <c r="F1005">
        <f>MIN(E1005*100500,10000)</f>
        <v>10000</v>
      </c>
      <c r="G1005" t="e">
        <f ca="1">_xludf.MINIFS(CBIC_Late_Fee_Relief_Windows_1!$I$100:$I$1005,CBIC_Late_Fee_Relief_Windows_1!$D$100:$D$1005,"&lt;="&amp;B1005,CBIC_Late_Fee_Relief_Windows_1!$E$100:$E$1005,"&gt;="&amp;B1005,CBIC_Late_Fee_Relief_Windows_1!$F$100:$F$1005,"&lt;="&amp;C1005,CBIC_Late_Fee_Relief_Windows_1!$G$100:$G$1005,"&gt;="&amp;C1005,CBIC_Late_Fee_Relief_Windows_1!$H$100:$H$1005,D1005)</f>
        <v>#NAME?</v>
      </c>
      <c r="H1005" t="e">
        <f t="shared" ca="1" si="15"/>
        <v>#NAME?</v>
      </c>
      <c r="I1005" t="e">
        <f ca="1">INDEX(CBIC_Late_Fee_Relief_Windows_1!$B$100:$B$1005,MATCH(G1005,CBIC_Late_Fee_Relief_Windows_1!$I$100:$I$1005,0))</f>
        <v>#NAME?</v>
      </c>
    </row>
    <row r="1006" spans="1:9" x14ac:dyDescent="0.55000000000000004">
      <c r="A1006" t="str">
        <f>TEST_DATA!A1006</f>
        <v>27AAAAA1006Z5</v>
      </c>
      <c r="B1006" t="str">
        <f>TEST_DATA!B1006</f>
        <v>Sep-2017</v>
      </c>
      <c r="C1006">
        <f>TEST_DATA!C1006</f>
        <v>43617</v>
      </c>
      <c r="D1006" t="str">
        <f>TEST_DATA!D1006</f>
        <v>NIL</v>
      </c>
      <c r="E1006">
        <f>TEST_DATA!E1006</f>
        <v>1537</v>
      </c>
      <c r="F1006">
        <f>MIN(E1006*100600,10000)</f>
        <v>10000</v>
      </c>
      <c r="G1006" t="e">
        <f ca="1">_xludf.MINIFS(CBIC_Late_Fee_Relief_Windows_1!$I$100:$I$1006,CBIC_Late_Fee_Relief_Windows_1!$D$100:$D$1006,"&lt;="&amp;B1006,CBIC_Late_Fee_Relief_Windows_1!$E$100:$E$1006,"&gt;="&amp;B1006,CBIC_Late_Fee_Relief_Windows_1!$F$100:$F$1006,"&lt;="&amp;C1006,CBIC_Late_Fee_Relief_Windows_1!$G$100:$G$1006,"&gt;="&amp;C1006,CBIC_Late_Fee_Relief_Windows_1!$H$100:$H$1006,D1006)</f>
        <v>#NAME?</v>
      </c>
      <c r="H1006" t="e">
        <f t="shared" ca="1" si="15"/>
        <v>#NAME?</v>
      </c>
      <c r="I1006" t="e">
        <f ca="1">INDEX(CBIC_Late_Fee_Relief_Windows_1!$B$100:$B$1006,MATCH(G1006,CBIC_Late_Fee_Relief_Windows_1!$I$100:$I$1006,0))</f>
        <v>#NAME?</v>
      </c>
    </row>
    <row r="1007" spans="1:9" x14ac:dyDescent="0.55000000000000004">
      <c r="A1007" t="str">
        <f>TEST_DATA!A1007</f>
        <v>27AAAAA1007Z5</v>
      </c>
      <c r="B1007" t="str">
        <f>TEST_DATA!B1007</f>
        <v>Dec-2017</v>
      </c>
      <c r="C1007">
        <f>TEST_DATA!C1007</f>
        <v>44416</v>
      </c>
      <c r="D1007" t="str">
        <f>TEST_DATA!D1007</f>
        <v>NIL</v>
      </c>
      <c r="E1007">
        <f>TEST_DATA!E1007</f>
        <v>2240</v>
      </c>
      <c r="F1007">
        <f>MIN(E1007*100700,10000)</f>
        <v>10000</v>
      </c>
      <c r="G1007" t="e">
        <f ca="1">_xludf.MINIFS(CBIC_Late_Fee_Relief_Windows_1!$I$100:$I$1007,CBIC_Late_Fee_Relief_Windows_1!$D$100:$D$1007,"&lt;="&amp;B1007,CBIC_Late_Fee_Relief_Windows_1!$E$100:$E$1007,"&gt;="&amp;B1007,CBIC_Late_Fee_Relief_Windows_1!$F$100:$F$1007,"&lt;="&amp;C1007,CBIC_Late_Fee_Relief_Windows_1!$G$100:$G$1007,"&gt;="&amp;C1007,CBIC_Late_Fee_Relief_Windows_1!$H$100:$H$1007,D1007)</f>
        <v>#NAME?</v>
      </c>
      <c r="H1007" t="e">
        <f t="shared" ca="1" si="15"/>
        <v>#NAME?</v>
      </c>
      <c r="I1007" t="e">
        <f ca="1">INDEX(CBIC_Late_Fee_Relief_Windows_1!$B$100:$B$1007,MATCH(G1007,CBIC_Late_Fee_Relief_Windows_1!$I$100:$I$1007,0))</f>
        <v>#NAME?</v>
      </c>
    </row>
    <row r="1008" spans="1:9" x14ac:dyDescent="0.55000000000000004">
      <c r="A1008" t="str">
        <f>TEST_DATA!A1008</f>
        <v>27AAAAA1008Z5</v>
      </c>
      <c r="B1008" t="str">
        <f>TEST_DATA!B1008</f>
        <v>Dec-2024</v>
      </c>
      <c r="C1008">
        <f>TEST_DATA!C1008</f>
        <v>43847</v>
      </c>
      <c r="D1008" t="str">
        <f>TEST_DATA!D1008</f>
        <v>NON-NIL</v>
      </c>
      <c r="E1008">
        <f>TEST_DATA!E1008</f>
        <v>2433</v>
      </c>
      <c r="F1008">
        <f>MIN(E1008*100800,10000)</f>
        <v>10000</v>
      </c>
      <c r="G1008" t="e">
        <f ca="1">_xludf.MINIFS(CBIC_Late_Fee_Relief_Windows_1!$I$100:$I$1008,CBIC_Late_Fee_Relief_Windows_1!$D$100:$D$1008,"&lt;="&amp;B1008,CBIC_Late_Fee_Relief_Windows_1!$E$100:$E$1008,"&gt;="&amp;B1008,CBIC_Late_Fee_Relief_Windows_1!$F$100:$F$1008,"&lt;="&amp;C1008,CBIC_Late_Fee_Relief_Windows_1!$G$100:$G$1008,"&gt;="&amp;C1008,CBIC_Late_Fee_Relief_Windows_1!$H$100:$H$1008,D1008)</f>
        <v>#NAME?</v>
      </c>
      <c r="H1008" t="e">
        <f t="shared" ca="1" si="15"/>
        <v>#NAME?</v>
      </c>
      <c r="I1008" t="e">
        <f ca="1">INDEX(CBIC_Late_Fee_Relief_Windows_1!$B$100:$B$1008,MATCH(G1008,CBIC_Late_Fee_Relief_Windows_1!$I$100:$I$1008,0))</f>
        <v>#NAME?</v>
      </c>
    </row>
    <row r="1009" spans="1:9" x14ac:dyDescent="0.55000000000000004">
      <c r="A1009" t="str">
        <f>TEST_DATA!A1009</f>
        <v>27AAAAA1009Z5</v>
      </c>
      <c r="B1009" t="str">
        <f>TEST_DATA!B1009</f>
        <v>Apr-2020</v>
      </c>
      <c r="C1009">
        <f>TEST_DATA!C1009</f>
        <v>44819</v>
      </c>
      <c r="D1009" t="str">
        <f>TEST_DATA!D1009</f>
        <v>NIL</v>
      </c>
      <c r="E1009">
        <f>TEST_DATA!E1009</f>
        <v>1766</v>
      </c>
      <c r="F1009">
        <f>MIN(E1009*100900,10000)</f>
        <v>10000</v>
      </c>
      <c r="G1009" t="e">
        <f ca="1">_xludf.MINIFS(CBIC_Late_Fee_Relief_Windows_1!$I$100:$I$1009,CBIC_Late_Fee_Relief_Windows_1!$D$100:$D$1009,"&lt;="&amp;B1009,CBIC_Late_Fee_Relief_Windows_1!$E$100:$E$1009,"&gt;="&amp;B1009,CBIC_Late_Fee_Relief_Windows_1!$F$100:$F$1009,"&lt;="&amp;C1009,CBIC_Late_Fee_Relief_Windows_1!$G$100:$G$1009,"&gt;="&amp;C1009,CBIC_Late_Fee_Relief_Windows_1!$H$100:$H$1009,D1009)</f>
        <v>#NAME?</v>
      </c>
      <c r="H1009" t="e">
        <f t="shared" ca="1" si="15"/>
        <v>#NAME?</v>
      </c>
      <c r="I1009" t="e">
        <f ca="1">INDEX(CBIC_Late_Fee_Relief_Windows_1!$B$100:$B$1009,MATCH(G1009,CBIC_Late_Fee_Relief_Windows_1!$I$100:$I$1009,0))</f>
        <v>#NAME?</v>
      </c>
    </row>
    <row r="1010" spans="1:9" x14ac:dyDescent="0.55000000000000004">
      <c r="A1010" t="str">
        <f>TEST_DATA!A1010</f>
        <v>27AAAAA1010Z5</v>
      </c>
      <c r="B1010" t="str">
        <f>TEST_DATA!B1010</f>
        <v>May-2020</v>
      </c>
      <c r="C1010">
        <f>TEST_DATA!C1010</f>
        <v>44168</v>
      </c>
      <c r="D1010" t="str">
        <f>TEST_DATA!D1010</f>
        <v>NON-NIL</v>
      </c>
      <c r="E1010">
        <f>TEST_DATA!E1010</f>
        <v>643</v>
      </c>
      <c r="F1010">
        <f>MIN(E1010*101000,10000)</f>
        <v>10000</v>
      </c>
      <c r="G1010" t="e">
        <f ca="1">_xludf.MINIFS(CBIC_Late_Fee_Relief_Windows_1!$I$100:$I$1010,CBIC_Late_Fee_Relief_Windows_1!$D$100:$D$1010,"&lt;="&amp;B1010,CBIC_Late_Fee_Relief_Windows_1!$E$100:$E$1010,"&gt;="&amp;B1010,CBIC_Late_Fee_Relief_Windows_1!$F$100:$F$1010,"&lt;="&amp;C1010,CBIC_Late_Fee_Relief_Windows_1!$G$100:$G$1010,"&gt;="&amp;C1010,CBIC_Late_Fee_Relief_Windows_1!$H$100:$H$1010,D1010)</f>
        <v>#NAME?</v>
      </c>
      <c r="H1010" t="e">
        <f t="shared" ca="1" si="15"/>
        <v>#NAME?</v>
      </c>
      <c r="I1010" t="e">
        <f ca="1">INDEX(CBIC_Late_Fee_Relief_Windows_1!$B$100:$B$1010,MATCH(G1010,CBIC_Late_Fee_Relief_Windows_1!$I$100:$I$1010,0))</f>
        <v>#NAME?</v>
      </c>
    </row>
    <row r="1011" spans="1:9" x14ac:dyDescent="0.55000000000000004">
      <c r="A1011" t="str">
        <f>TEST_DATA!A1011</f>
        <v>27AAAAA1011Z5</v>
      </c>
      <c r="B1011" t="str">
        <f>TEST_DATA!B1011</f>
        <v>Aug-2017</v>
      </c>
      <c r="C1011">
        <f>TEST_DATA!C1011</f>
        <v>43124</v>
      </c>
      <c r="D1011" t="str">
        <f>TEST_DATA!D1011</f>
        <v>NON-NIL</v>
      </c>
      <c r="E1011">
        <f>TEST_DATA!E1011</f>
        <v>841</v>
      </c>
      <c r="F1011">
        <f>MIN(E1011*101100,10000)</f>
        <v>10000</v>
      </c>
      <c r="G1011" t="e">
        <f ca="1">_xludf.MINIFS(CBIC_Late_Fee_Relief_Windows_1!$I$100:$I$1011,CBIC_Late_Fee_Relief_Windows_1!$D$100:$D$1011,"&lt;="&amp;B1011,CBIC_Late_Fee_Relief_Windows_1!$E$100:$E$1011,"&gt;="&amp;B1011,CBIC_Late_Fee_Relief_Windows_1!$F$100:$F$1011,"&lt;="&amp;C1011,CBIC_Late_Fee_Relief_Windows_1!$G$100:$G$1011,"&gt;="&amp;C1011,CBIC_Late_Fee_Relief_Windows_1!$H$100:$H$1011,D1011)</f>
        <v>#NAME?</v>
      </c>
      <c r="H1011" t="e">
        <f t="shared" ca="1" si="15"/>
        <v>#NAME?</v>
      </c>
      <c r="I1011" t="e">
        <f ca="1">INDEX(CBIC_Late_Fee_Relief_Windows_1!$B$100:$B$1011,MATCH(G1011,CBIC_Late_Fee_Relief_Windows_1!$I$100:$I$1011,0))</f>
        <v>#NAME?</v>
      </c>
    </row>
    <row r="1012" spans="1:9" x14ac:dyDescent="0.55000000000000004">
      <c r="A1012" t="str">
        <f>TEST_DATA!A1012</f>
        <v>27AAAAA1012Z5</v>
      </c>
      <c r="B1012" t="str">
        <f>TEST_DATA!B1012</f>
        <v>Jan-2018</v>
      </c>
      <c r="C1012">
        <f>TEST_DATA!C1012</f>
        <v>43755</v>
      </c>
      <c r="D1012" t="str">
        <f>TEST_DATA!D1012</f>
        <v>NON-NIL</v>
      </c>
      <c r="E1012">
        <f>TEST_DATA!E1012</f>
        <v>2705</v>
      </c>
      <c r="F1012">
        <f>MIN(E1012*101200,10000)</f>
        <v>10000</v>
      </c>
      <c r="G1012" t="e">
        <f ca="1">_xludf.MINIFS(CBIC_Late_Fee_Relief_Windows_1!$I$100:$I$1012,CBIC_Late_Fee_Relief_Windows_1!$D$100:$D$1012,"&lt;="&amp;B1012,CBIC_Late_Fee_Relief_Windows_1!$E$100:$E$1012,"&gt;="&amp;B1012,CBIC_Late_Fee_Relief_Windows_1!$F$100:$F$1012,"&lt;="&amp;C1012,CBIC_Late_Fee_Relief_Windows_1!$G$100:$G$1012,"&gt;="&amp;C1012,CBIC_Late_Fee_Relief_Windows_1!$H$100:$H$1012,D1012)</f>
        <v>#NAME?</v>
      </c>
      <c r="H1012" t="e">
        <f t="shared" ca="1" si="15"/>
        <v>#NAME?</v>
      </c>
      <c r="I1012" t="e">
        <f ca="1">INDEX(CBIC_Late_Fee_Relief_Windows_1!$B$100:$B$1012,MATCH(G1012,CBIC_Late_Fee_Relief_Windows_1!$I$100:$I$1012,0))</f>
        <v>#NAME?</v>
      </c>
    </row>
    <row r="1013" spans="1:9" x14ac:dyDescent="0.55000000000000004">
      <c r="A1013" t="str">
        <f>TEST_DATA!A1013</f>
        <v>27AAAAA1013Z5</v>
      </c>
      <c r="B1013" t="str">
        <f>TEST_DATA!B1013</f>
        <v>Apr-2018</v>
      </c>
      <c r="C1013">
        <f>TEST_DATA!C1013</f>
        <v>43526</v>
      </c>
      <c r="D1013" t="str">
        <f>TEST_DATA!D1013</f>
        <v>NIL</v>
      </c>
      <c r="E1013">
        <f>TEST_DATA!E1013</f>
        <v>392</v>
      </c>
      <c r="F1013">
        <f>MIN(E1013*101300,10000)</f>
        <v>10000</v>
      </c>
      <c r="G1013" t="e">
        <f ca="1">_xludf.MINIFS(CBIC_Late_Fee_Relief_Windows_1!$I$100:$I$1013,CBIC_Late_Fee_Relief_Windows_1!$D$100:$D$1013,"&lt;="&amp;B1013,CBIC_Late_Fee_Relief_Windows_1!$E$100:$E$1013,"&gt;="&amp;B1013,CBIC_Late_Fee_Relief_Windows_1!$F$100:$F$1013,"&lt;="&amp;C1013,CBIC_Late_Fee_Relief_Windows_1!$G$100:$G$1013,"&gt;="&amp;C1013,CBIC_Late_Fee_Relief_Windows_1!$H$100:$H$1013,D1013)</f>
        <v>#NAME?</v>
      </c>
      <c r="H1013" t="e">
        <f t="shared" ca="1" si="15"/>
        <v>#NAME?</v>
      </c>
      <c r="I1013" t="e">
        <f ca="1">INDEX(CBIC_Late_Fee_Relief_Windows_1!$B$100:$B$1013,MATCH(G1013,CBIC_Late_Fee_Relief_Windows_1!$I$100:$I$1013,0))</f>
        <v>#NAME?</v>
      </c>
    </row>
    <row r="1014" spans="1:9" x14ac:dyDescent="0.55000000000000004">
      <c r="A1014" t="str">
        <f>TEST_DATA!A1014</f>
        <v>27AAAAA1014Z5</v>
      </c>
      <c r="B1014" t="str">
        <f>TEST_DATA!B1014</f>
        <v>Aug-2017</v>
      </c>
      <c r="C1014">
        <f>TEST_DATA!C1014</f>
        <v>43721</v>
      </c>
      <c r="D1014" t="str">
        <f>TEST_DATA!D1014</f>
        <v>NON-NIL</v>
      </c>
      <c r="E1014">
        <f>TEST_DATA!E1014</f>
        <v>629</v>
      </c>
      <c r="F1014">
        <f>MIN(E1014*101400,10000)</f>
        <v>10000</v>
      </c>
      <c r="G1014" t="e">
        <f ca="1">_xludf.MINIFS(CBIC_Late_Fee_Relief_Windows_1!$I$100:$I$1014,CBIC_Late_Fee_Relief_Windows_1!$D$100:$D$1014,"&lt;="&amp;B1014,CBIC_Late_Fee_Relief_Windows_1!$E$100:$E$1014,"&gt;="&amp;B1014,CBIC_Late_Fee_Relief_Windows_1!$F$100:$F$1014,"&lt;="&amp;C1014,CBIC_Late_Fee_Relief_Windows_1!$G$100:$G$1014,"&gt;="&amp;C1014,CBIC_Late_Fee_Relief_Windows_1!$H$100:$H$1014,D1014)</f>
        <v>#NAME?</v>
      </c>
      <c r="H1014" t="e">
        <f t="shared" ca="1" si="15"/>
        <v>#NAME?</v>
      </c>
      <c r="I1014" t="e">
        <f ca="1">INDEX(CBIC_Late_Fee_Relief_Windows_1!$B$100:$B$1014,MATCH(G1014,CBIC_Late_Fee_Relief_Windows_1!$I$100:$I$1014,0))</f>
        <v>#NAME?</v>
      </c>
    </row>
    <row r="1015" spans="1:9" x14ac:dyDescent="0.55000000000000004">
      <c r="A1015" t="str">
        <f>TEST_DATA!A1015</f>
        <v>27AAAAA1015Z5</v>
      </c>
      <c r="B1015" t="str">
        <f>TEST_DATA!B1015</f>
        <v>Aug-2017</v>
      </c>
      <c r="C1015">
        <f>TEST_DATA!C1015</f>
        <v>43655</v>
      </c>
      <c r="D1015" t="str">
        <f>TEST_DATA!D1015</f>
        <v>NIL</v>
      </c>
      <c r="E1015">
        <f>TEST_DATA!E1015</f>
        <v>1751</v>
      </c>
      <c r="F1015">
        <f>MIN(E1015*101500,10000)</f>
        <v>10000</v>
      </c>
      <c r="G1015" t="e">
        <f ca="1">_xludf.MINIFS(CBIC_Late_Fee_Relief_Windows_1!$I$100:$I$1015,CBIC_Late_Fee_Relief_Windows_1!$D$100:$D$1015,"&lt;="&amp;B1015,CBIC_Late_Fee_Relief_Windows_1!$E$100:$E$1015,"&gt;="&amp;B1015,CBIC_Late_Fee_Relief_Windows_1!$F$100:$F$1015,"&lt;="&amp;C1015,CBIC_Late_Fee_Relief_Windows_1!$G$100:$G$1015,"&gt;="&amp;C1015,CBIC_Late_Fee_Relief_Windows_1!$H$100:$H$1015,D1015)</f>
        <v>#NAME?</v>
      </c>
      <c r="H1015" t="e">
        <f t="shared" ca="1" si="15"/>
        <v>#NAME?</v>
      </c>
      <c r="I1015" t="e">
        <f ca="1">INDEX(CBIC_Late_Fee_Relief_Windows_1!$B$100:$B$1015,MATCH(G1015,CBIC_Late_Fee_Relief_Windows_1!$I$100:$I$1015,0))</f>
        <v>#NAME?</v>
      </c>
    </row>
    <row r="1016" spans="1:9" x14ac:dyDescent="0.55000000000000004">
      <c r="A1016" t="str">
        <f>TEST_DATA!A1016</f>
        <v>27AAAAA1016Z5</v>
      </c>
      <c r="B1016" t="str">
        <f>TEST_DATA!B1016</f>
        <v>Sep-2017</v>
      </c>
      <c r="C1016">
        <f>TEST_DATA!C1016</f>
        <v>43520</v>
      </c>
      <c r="D1016" t="str">
        <f>TEST_DATA!D1016</f>
        <v>NON-NIL</v>
      </c>
      <c r="E1016">
        <f>TEST_DATA!E1016</f>
        <v>817</v>
      </c>
      <c r="F1016">
        <f>MIN(E1016*101600,10000)</f>
        <v>10000</v>
      </c>
      <c r="G1016" t="e">
        <f ca="1">_xludf.MINIFS(CBIC_Late_Fee_Relief_Windows_1!$I$100:$I$1016,CBIC_Late_Fee_Relief_Windows_1!$D$100:$D$1016,"&lt;="&amp;B1016,CBIC_Late_Fee_Relief_Windows_1!$E$100:$E$1016,"&gt;="&amp;B1016,CBIC_Late_Fee_Relief_Windows_1!$F$100:$F$1016,"&lt;="&amp;C1016,CBIC_Late_Fee_Relief_Windows_1!$G$100:$G$1016,"&gt;="&amp;C1016,CBIC_Late_Fee_Relief_Windows_1!$H$100:$H$1016,D1016)</f>
        <v>#NAME?</v>
      </c>
      <c r="H1016" t="e">
        <f t="shared" ca="1" si="15"/>
        <v>#NAME?</v>
      </c>
      <c r="I1016" t="e">
        <f ca="1">INDEX(CBIC_Late_Fee_Relief_Windows_1!$B$100:$B$1016,MATCH(G1016,CBIC_Late_Fee_Relief_Windows_1!$I$100:$I$1016,0))</f>
        <v>#NAME?</v>
      </c>
    </row>
    <row r="1017" spans="1:9" x14ac:dyDescent="0.55000000000000004">
      <c r="A1017" t="str">
        <f>TEST_DATA!A1017</f>
        <v>27AAAAA1017Z5</v>
      </c>
      <c r="B1017" t="str">
        <f>TEST_DATA!B1017</f>
        <v>Oct-2017</v>
      </c>
      <c r="C1017">
        <f>TEST_DATA!C1017</f>
        <v>42969</v>
      </c>
      <c r="D1017" t="str">
        <f>TEST_DATA!D1017</f>
        <v>NIL</v>
      </c>
      <c r="E1017">
        <f>TEST_DATA!E1017</f>
        <v>699</v>
      </c>
      <c r="F1017">
        <f>MIN(E1017*101700,10000)</f>
        <v>10000</v>
      </c>
      <c r="G1017" t="e">
        <f ca="1">_xludf.MINIFS(CBIC_Late_Fee_Relief_Windows_1!$I$100:$I$1017,CBIC_Late_Fee_Relief_Windows_1!$D$100:$D$1017,"&lt;="&amp;B1017,CBIC_Late_Fee_Relief_Windows_1!$E$100:$E$1017,"&gt;="&amp;B1017,CBIC_Late_Fee_Relief_Windows_1!$F$100:$F$1017,"&lt;="&amp;C1017,CBIC_Late_Fee_Relief_Windows_1!$G$100:$G$1017,"&gt;="&amp;C1017,CBIC_Late_Fee_Relief_Windows_1!$H$100:$H$1017,D1017)</f>
        <v>#NAME?</v>
      </c>
      <c r="H1017" t="e">
        <f t="shared" ca="1" si="15"/>
        <v>#NAME?</v>
      </c>
      <c r="I1017" t="e">
        <f ca="1">INDEX(CBIC_Late_Fee_Relief_Windows_1!$B$100:$B$1017,MATCH(G1017,CBIC_Late_Fee_Relief_Windows_1!$I$100:$I$1017,0))</f>
        <v>#NAME?</v>
      </c>
    </row>
    <row r="1018" spans="1:9" x14ac:dyDescent="0.55000000000000004">
      <c r="A1018" t="str">
        <f>TEST_DATA!A1018</f>
        <v>27AAAAA1018Z5</v>
      </c>
      <c r="B1018" t="str">
        <f>TEST_DATA!B1018</f>
        <v>May-2020</v>
      </c>
      <c r="C1018">
        <f>TEST_DATA!C1018</f>
        <v>44428</v>
      </c>
      <c r="D1018" t="str">
        <f>TEST_DATA!D1018</f>
        <v>NIL</v>
      </c>
      <c r="E1018">
        <f>TEST_DATA!E1018</f>
        <v>1939</v>
      </c>
      <c r="F1018">
        <f>MIN(E1018*101800,10000)</f>
        <v>10000</v>
      </c>
      <c r="G1018" t="e">
        <f ca="1">_xludf.MINIFS(CBIC_Late_Fee_Relief_Windows_1!$I$100:$I$1018,CBIC_Late_Fee_Relief_Windows_1!$D$100:$D$1018,"&lt;="&amp;B1018,CBIC_Late_Fee_Relief_Windows_1!$E$100:$E$1018,"&gt;="&amp;B1018,CBIC_Late_Fee_Relief_Windows_1!$F$100:$F$1018,"&lt;="&amp;C1018,CBIC_Late_Fee_Relief_Windows_1!$G$100:$G$1018,"&gt;="&amp;C1018,CBIC_Late_Fee_Relief_Windows_1!$H$100:$H$1018,D1018)</f>
        <v>#NAME?</v>
      </c>
      <c r="H1018" t="e">
        <f t="shared" ca="1" si="15"/>
        <v>#NAME?</v>
      </c>
      <c r="I1018" t="e">
        <f ca="1">INDEX(CBIC_Late_Fee_Relief_Windows_1!$B$100:$B$1018,MATCH(G1018,CBIC_Late_Fee_Relief_Windows_1!$I$100:$I$1018,0))</f>
        <v>#NAME?</v>
      </c>
    </row>
    <row r="1019" spans="1:9" x14ac:dyDescent="0.55000000000000004">
      <c r="A1019" t="str">
        <f>TEST_DATA!A1019</f>
        <v>27AAAAA1019Z5</v>
      </c>
      <c r="B1019" t="str">
        <f>TEST_DATA!B1019</f>
        <v>Mar-2023</v>
      </c>
      <c r="C1019">
        <f>TEST_DATA!C1019</f>
        <v>43939</v>
      </c>
      <c r="D1019" t="str">
        <f>TEST_DATA!D1019</f>
        <v>NON-NIL</v>
      </c>
      <c r="E1019">
        <f>TEST_DATA!E1019</f>
        <v>1628</v>
      </c>
      <c r="F1019">
        <f>MIN(E1019*101900,10000)</f>
        <v>10000</v>
      </c>
      <c r="G1019" t="e">
        <f ca="1">_xludf.MINIFS(CBIC_Late_Fee_Relief_Windows_1!$I$100:$I$1019,CBIC_Late_Fee_Relief_Windows_1!$D$100:$D$1019,"&lt;="&amp;B1019,CBIC_Late_Fee_Relief_Windows_1!$E$100:$E$1019,"&gt;="&amp;B1019,CBIC_Late_Fee_Relief_Windows_1!$F$100:$F$1019,"&lt;="&amp;C1019,CBIC_Late_Fee_Relief_Windows_1!$G$100:$G$1019,"&gt;="&amp;C1019,CBIC_Late_Fee_Relief_Windows_1!$H$100:$H$1019,D1019)</f>
        <v>#NAME?</v>
      </c>
      <c r="H1019" t="e">
        <f t="shared" ca="1" si="15"/>
        <v>#NAME?</v>
      </c>
      <c r="I1019" t="e">
        <f ca="1">INDEX(CBIC_Late_Fee_Relief_Windows_1!$B$100:$B$1019,MATCH(G1019,CBIC_Late_Fee_Relief_Windows_1!$I$100:$I$1019,0))</f>
        <v>#NAME?</v>
      </c>
    </row>
    <row r="1020" spans="1:9" x14ac:dyDescent="0.55000000000000004">
      <c r="A1020" t="str">
        <f>TEST_DATA!A1020</f>
        <v>27AAAAA1020Z5</v>
      </c>
      <c r="B1020" t="str">
        <f>TEST_DATA!B1020</f>
        <v>Jan-2019</v>
      </c>
      <c r="C1020">
        <f>TEST_DATA!C1020</f>
        <v>45469</v>
      </c>
      <c r="D1020" t="str">
        <f>TEST_DATA!D1020</f>
        <v>NON-NIL</v>
      </c>
      <c r="E1020">
        <f>TEST_DATA!E1020</f>
        <v>373</v>
      </c>
      <c r="F1020">
        <f>MIN(E1020*102000,10000)</f>
        <v>10000</v>
      </c>
      <c r="G1020" t="e">
        <f ca="1">_xludf.MINIFS(CBIC_Late_Fee_Relief_Windows_1!$I$100:$I$1020,CBIC_Late_Fee_Relief_Windows_1!$D$100:$D$1020,"&lt;="&amp;B1020,CBIC_Late_Fee_Relief_Windows_1!$E$100:$E$1020,"&gt;="&amp;B1020,CBIC_Late_Fee_Relief_Windows_1!$F$100:$F$1020,"&lt;="&amp;C1020,CBIC_Late_Fee_Relief_Windows_1!$G$100:$G$1020,"&gt;="&amp;C1020,CBIC_Late_Fee_Relief_Windows_1!$H$100:$H$1020,D1020)</f>
        <v>#NAME?</v>
      </c>
      <c r="H1020" t="e">
        <f t="shared" ca="1" si="15"/>
        <v>#NAME?</v>
      </c>
      <c r="I1020" t="e">
        <f ca="1">INDEX(CBIC_Late_Fee_Relief_Windows_1!$B$100:$B$1020,MATCH(G1020,CBIC_Late_Fee_Relief_Windows_1!$I$100:$I$1020,0))</f>
        <v>#NAME?</v>
      </c>
    </row>
    <row r="1021" spans="1:9" x14ac:dyDescent="0.55000000000000004">
      <c r="A1021" t="str">
        <f>TEST_DATA!A1021</f>
        <v>27AAAAA1021Z5</v>
      </c>
      <c r="B1021" t="str">
        <f>TEST_DATA!B1021</f>
        <v>May-2020</v>
      </c>
      <c r="C1021">
        <f>TEST_DATA!C1021</f>
        <v>44624</v>
      </c>
      <c r="D1021" t="str">
        <f>TEST_DATA!D1021</f>
        <v>NIL</v>
      </c>
      <c r="E1021">
        <f>TEST_DATA!E1021</f>
        <v>1519</v>
      </c>
      <c r="F1021">
        <f>MIN(E1021*102100,10000)</f>
        <v>10000</v>
      </c>
      <c r="G1021" t="e">
        <f ca="1">_xludf.MINIFS(CBIC_Late_Fee_Relief_Windows_1!$I$100:$I$1021,CBIC_Late_Fee_Relief_Windows_1!$D$100:$D$1021,"&lt;="&amp;B1021,CBIC_Late_Fee_Relief_Windows_1!$E$100:$E$1021,"&gt;="&amp;B1021,CBIC_Late_Fee_Relief_Windows_1!$F$100:$F$1021,"&lt;="&amp;C1021,CBIC_Late_Fee_Relief_Windows_1!$G$100:$G$1021,"&gt;="&amp;C1021,CBIC_Late_Fee_Relief_Windows_1!$H$100:$H$1021,D1021)</f>
        <v>#NAME?</v>
      </c>
      <c r="H1021" t="e">
        <f t="shared" ca="1" si="15"/>
        <v>#NAME?</v>
      </c>
      <c r="I1021" t="e">
        <f ca="1">INDEX(CBIC_Late_Fee_Relief_Windows_1!$B$100:$B$1021,MATCH(G1021,CBIC_Late_Fee_Relief_Windows_1!$I$100:$I$1021,0))</f>
        <v>#NAME?</v>
      </c>
    </row>
    <row r="1022" spans="1:9" x14ac:dyDescent="0.55000000000000004">
      <c r="A1022" t="str">
        <f>TEST_DATA!A1022</f>
        <v>27AAAAA1022Z5</v>
      </c>
      <c r="B1022" t="str">
        <f>TEST_DATA!B1022</f>
        <v>Dec-2024</v>
      </c>
      <c r="C1022">
        <f>TEST_DATA!C1022</f>
        <v>45028</v>
      </c>
      <c r="D1022" t="str">
        <f>TEST_DATA!D1022</f>
        <v>NON-NIL</v>
      </c>
      <c r="E1022">
        <f>TEST_DATA!E1022</f>
        <v>764</v>
      </c>
      <c r="F1022">
        <f>MIN(E1022*102200,10000)</f>
        <v>10000</v>
      </c>
      <c r="G1022" t="e">
        <f ca="1">_xludf.MINIFS(CBIC_Late_Fee_Relief_Windows_1!$I$100:$I$1022,CBIC_Late_Fee_Relief_Windows_1!$D$100:$D$1022,"&lt;="&amp;B1022,CBIC_Late_Fee_Relief_Windows_1!$E$100:$E$1022,"&gt;="&amp;B1022,CBIC_Late_Fee_Relief_Windows_1!$F$100:$F$1022,"&lt;="&amp;C1022,CBIC_Late_Fee_Relief_Windows_1!$G$100:$G$1022,"&gt;="&amp;C1022,CBIC_Late_Fee_Relief_Windows_1!$H$100:$H$1022,D1022)</f>
        <v>#NAME?</v>
      </c>
      <c r="H1022" t="e">
        <f t="shared" ca="1" si="15"/>
        <v>#NAME?</v>
      </c>
      <c r="I1022" t="e">
        <f ca="1">INDEX(CBIC_Late_Fee_Relief_Windows_1!$B$100:$B$1022,MATCH(G1022,CBIC_Late_Fee_Relief_Windows_1!$I$100:$I$1022,0))</f>
        <v>#NAME?</v>
      </c>
    </row>
    <row r="1023" spans="1:9" x14ac:dyDescent="0.55000000000000004">
      <c r="A1023" t="str">
        <f>TEST_DATA!A1023</f>
        <v>27AAAAA1023Z5</v>
      </c>
      <c r="B1023" t="str">
        <f>TEST_DATA!B1023</f>
        <v>Sep-2018</v>
      </c>
      <c r="C1023">
        <f>TEST_DATA!C1023</f>
        <v>43008</v>
      </c>
      <c r="D1023" t="str">
        <f>TEST_DATA!D1023</f>
        <v>NON-NIL</v>
      </c>
      <c r="E1023">
        <f>TEST_DATA!E1023</f>
        <v>1801</v>
      </c>
      <c r="F1023">
        <f>MIN(E1023*102300,10000)</f>
        <v>10000</v>
      </c>
      <c r="G1023" t="e">
        <f ca="1">_xludf.MINIFS(CBIC_Late_Fee_Relief_Windows_1!$I$100:$I$1023,CBIC_Late_Fee_Relief_Windows_1!$D$100:$D$1023,"&lt;="&amp;B1023,CBIC_Late_Fee_Relief_Windows_1!$E$100:$E$1023,"&gt;="&amp;B1023,CBIC_Late_Fee_Relief_Windows_1!$F$100:$F$1023,"&lt;="&amp;C1023,CBIC_Late_Fee_Relief_Windows_1!$G$100:$G$1023,"&gt;="&amp;C1023,CBIC_Late_Fee_Relief_Windows_1!$H$100:$H$1023,D1023)</f>
        <v>#NAME?</v>
      </c>
      <c r="H1023" t="e">
        <f t="shared" ca="1" si="15"/>
        <v>#NAME?</v>
      </c>
      <c r="I1023" t="e">
        <f ca="1">INDEX(CBIC_Late_Fee_Relief_Windows_1!$B$100:$B$1023,MATCH(G1023,CBIC_Late_Fee_Relief_Windows_1!$I$100:$I$1023,0))</f>
        <v>#NAME?</v>
      </c>
    </row>
    <row r="1024" spans="1:9" x14ac:dyDescent="0.55000000000000004">
      <c r="A1024" t="str">
        <f>TEST_DATA!A1024</f>
        <v>27AAAAA1024Z5</v>
      </c>
      <c r="B1024" t="str">
        <f>TEST_DATA!B1024</f>
        <v>Sep-2018</v>
      </c>
      <c r="C1024">
        <f>TEST_DATA!C1024</f>
        <v>43456</v>
      </c>
      <c r="D1024" t="str">
        <f>TEST_DATA!D1024</f>
        <v>NIL</v>
      </c>
      <c r="E1024">
        <f>TEST_DATA!E1024</f>
        <v>1100</v>
      </c>
      <c r="F1024">
        <f>MIN(E1024*102400,10000)</f>
        <v>10000</v>
      </c>
      <c r="G1024" t="e">
        <f ca="1">_xludf.MINIFS(CBIC_Late_Fee_Relief_Windows_1!$I$100:$I$1024,CBIC_Late_Fee_Relief_Windows_1!$D$100:$D$1024,"&lt;="&amp;B1024,CBIC_Late_Fee_Relief_Windows_1!$E$100:$E$1024,"&gt;="&amp;B1024,CBIC_Late_Fee_Relief_Windows_1!$F$100:$F$1024,"&lt;="&amp;C1024,CBIC_Late_Fee_Relief_Windows_1!$G$100:$G$1024,"&gt;="&amp;C1024,CBIC_Late_Fee_Relief_Windows_1!$H$100:$H$1024,D1024)</f>
        <v>#NAME?</v>
      </c>
      <c r="H1024" t="e">
        <f t="shared" ca="1" si="15"/>
        <v>#NAME?</v>
      </c>
      <c r="I1024" t="e">
        <f ca="1">INDEX(CBIC_Late_Fee_Relief_Windows_1!$B$100:$B$1024,MATCH(G1024,CBIC_Late_Fee_Relief_Windows_1!$I$100:$I$1024,0))</f>
        <v>#NAME?</v>
      </c>
    </row>
    <row r="1025" spans="1:9" x14ac:dyDescent="0.55000000000000004">
      <c r="A1025" t="str">
        <f>TEST_DATA!A1025</f>
        <v>27AAAAA1025Z5</v>
      </c>
      <c r="B1025" t="str">
        <f>TEST_DATA!B1025</f>
        <v>Mar-2020</v>
      </c>
      <c r="C1025">
        <f>TEST_DATA!C1025</f>
        <v>43957</v>
      </c>
      <c r="D1025" t="str">
        <f>TEST_DATA!D1025</f>
        <v>NIL</v>
      </c>
      <c r="E1025">
        <f>TEST_DATA!E1025</f>
        <v>2852</v>
      </c>
      <c r="F1025">
        <f>MIN(E1025*102500,10000)</f>
        <v>10000</v>
      </c>
      <c r="G1025" t="e">
        <f ca="1">_xludf.MINIFS(CBIC_Late_Fee_Relief_Windows_1!$I$100:$I$1025,CBIC_Late_Fee_Relief_Windows_1!$D$100:$D$1025,"&lt;="&amp;B1025,CBIC_Late_Fee_Relief_Windows_1!$E$100:$E$1025,"&gt;="&amp;B1025,CBIC_Late_Fee_Relief_Windows_1!$F$100:$F$1025,"&lt;="&amp;C1025,CBIC_Late_Fee_Relief_Windows_1!$G$100:$G$1025,"&gt;="&amp;C1025,CBIC_Late_Fee_Relief_Windows_1!$H$100:$H$1025,D1025)</f>
        <v>#NAME?</v>
      </c>
      <c r="H1025" t="e">
        <f t="shared" ca="1" si="15"/>
        <v>#NAME?</v>
      </c>
      <c r="I1025" t="e">
        <f ca="1">INDEX(CBIC_Late_Fee_Relief_Windows_1!$B$100:$B$1025,MATCH(G1025,CBIC_Late_Fee_Relief_Windows_1!$I$100:$I$1025,0))</f>
        <v>#NAME?</v>
      </c>
    </row>
    <row r="1026" spans="1:9" x14ac:dyDescent="0.55000000000000004">
      <c r="A1026" t="str">
        <f>TEST_DATA!A1026</f>
        <v>27AAAAA1026Z5</v>
      </c>
      <c r="B1026" t="str">
        <f>TEST_DATA!B1026</f>
        <v>Jun-2020</v>
      </c>
      <c r="C1026">
        <f>TEST_DATA!C1026</f>
        <v>44029</v>
      </c>
      <c r="D1026" t="str">
        <f>TEST_DATA!D1026</f>
        <v>NIL</v>
      </c>
      <c r="E1026">
        <f>TEST_DATA!E1026</f>
        <v>2736</v>
      </c>
      <c r="F1026">
        <f>MIN(E1026*102600,10000)</f>
        <v>10000</v>
      </c>
      <c r="G1026" t="e">
        <f ca="1">_xludf.MINIFS(CBIC_Late_Fee_Relief_Windows_1!$I$100:$I$1026,CBIC_Late_Fee_Relief_Windows_1!$D$100:$D$1026,"&lt;="&amp;B1026,CBIC_Late_Fee_Relief_Windows_1!$E$100:$E$1026,"&gt;="&amp;B1026,CBIC_Late_Fee_Relief_Windows_1!$F$100:$F$1026,"&lt;="&amp;C1026,CBIC_Late_Fee_Relief_Windows_1!$G$100:$G$1026,"&gt;="&amp;C1026,CBIC_Late_Fee_Relief_Windows_1!$H$100:$H$1026,D1026)</f>
        <v>#NAME?</v>
      </c>
      <c r="H1026" t="e">
        <f t="shared" ref="H1026:H1089" ca="1" si="16">MIN(F1026,G1026)</f>
        <v>#NAME?</v>
      </c>
      <c r="I1026" t="e">
        <f ca="1">INDEX(CBIC_Late_Fee_Relief_Windows_1!$B$100:$B$1026,MATCH(G1026,CBIC_Late_Fee_Relief_Windows_1!$I$100:$I$1026,0))</f>
        <v>#NAME?</v>
      </c>
    </row>
    <row r="1027" spans="1:9" x14ac:dyDescent="0.55000000000000004">
      <c r="A1027" t="str">
        <f>TEST_DATA!A1027</f>
        <v>27AAAAA1027Z5</v>
      </c>
      <c r="B1027" t="str">
        <f>TEST_DATA!B1027</f>
        <v>Jun-2018</v>
      </c>
      <c r="C1027">
        <f>TEST_DATA!C1027</f>
        <v>44025</v>
      </c>
      <c r="D1027" t="str">
        <f>TEST_DATA!D1027</f>
        <v>NON-NIL</v>
      </c>
      <c r="E1027">
        <f>TEST_DATA!E1027</f>
        <v>2415</v>
      </c>
      <c r="F1027">
        <f>MIN(E1027*102700,10000)</f>
        <v>10000</v>
      </c>
      <c r="G1027" t="e">
        <f ca="1">_xludf.MINIFS(CBIC_Late_Fee_Relief_Windows_1!$I$100:$I$1027,CBIC_Late_Fee_Relief_Windows_1!$D$100:$D$1027,"&lt;="&amp;B1027,CBIC_Late_Fee_Relief_Windows_1!$E$100:$E$1027,"&gt;="&amp;B1027,CBIC_Late_Fee_Relief_Windows_1!$F$100:$F$1027,"&lt;="&amp;C1027,CBIC_Late_Fee_Relief_Windows_1!$G$100:$G$1027,"&gt;="&amp;C1027,CBIC_Late_Fee_Relief_Windows_1!$H$100:$H$1027,D1027)</f>
        <v>#NAME?</v>
      </c>
      <c r="H1027" t="e">
        <f t="shared" ca="1" si="16"/>
        <v>#NAME?</v>
      </c>
      <c r="I1027" t="e">
        <f ca="1">INDEX(CBIC_Late_Fee_Relief_Windows_1!$B$100:$B$1027,MATCH(G1027,CBIC_Late_Fee_Relief_Windows_1!$I$100:$I$1027,0))</f>
        <v>#NAME?</v>
      </c>
    </row>
    <row r="1028" spans="1:9" x14ac:dyDescent="0.55000000000000004">
      <c r="A1028" t="str">
        <f>TEST_DATA!A1028</f>
        <v>27AAAAA1028Z5</v>
      </c>
      <c r="B1028" t="str">
        <f>TEST_DATA!B1028</f>
        <v>Feb-2018</v>
      </c>
      <c r="C1028">
        <f>TEST_DATA!C1028</f>
        <v>44050</v>
      </c>
      <c r="D1028" t="str">
        <f>TEST_DATA!D1028</f>
        <v>NIL</v>
      </c>
      <c r="E1028">
        <f>TEST_DATA!E1028</f>
        <v>1585</v>
      </c>
      <c r="F1028">
        <f>MIN(E1028*102800,10000)</f>
        <v>10000</v>
      </c>
      <c r="G1028" t="e">
        <f ca="1">_xludf.MINIFS(CBIC_Late_Fee_Relief_Windows_1!$I$100:$I$1028,CBIC_Late_Fee_Relief_Windows_1!$D$100:$D$1028,"&lt;="&amp;B1028,CBIC_Late_Fee_Relief_Windows_1!$E$100:$E$1028,"&gt;="&amp;B1028,CBIC_Late_Fee_Relief_Windows_1!$F$100:$F$1028,"&lt;="&amp;C1028,CBIC_Late_Fee_Relief_Windows_1!$G$100:$G$1028,"&gt;="&amp;C1028,CBIC_Late_Fee_Relief_Windows_1!$H$100:$H$1028,D1028)</f>
        <v>#NAME?</v>
      </c>
      <c r="H1028" t="e">
        <f t="shared" ca="1" si="16"/>
        <v>#NAME?</v>
      </c>
      <c r="I1028" t="e">
        <f ca="1">INDEX(CBIC_Late_Fee_Relief_Windows_1!$B$100:$B$1028,MATCH(G1028,CBIC_Late_Fee_Relief_Windows_1!$I$100:$I$1028,0))</f>
        <v>#NAME?</v>
      </c>
    </row>
    <row r="1029" spans="1:9" x14ac:dyDescent="0.55000000000000004">
      <c r="A1029" t="str">
        <f>TEST_DATA!A1029</f>
        <v>27AAAAA1029Z5</v>
      </c>
      <c r="B1029" t="str">
        <f>TEST_DATA!B1029</f>
        <v>Dec-2022</v>
      </c>
      <c r="C1029">
        <f>TEST_DATA!C1029</f>
        <v>45606</v>
      </c>
      <c r="D1029" t="str">
        <f>TEST_DATA!D1029</f>
        <v>NON-NIL</v>
      </c>
      <c r="E1029">
        <f>TEST_DATA!E1029</f>
        <v>2193</v>
      </c>
      <c r="F1029">
        <f>MIN(E1029*102900,10000)</f>
        <v>10000</v>
      </c>
      <c r="G1029" t="e">
        <f ca="1">_xludf.MINIFS(CBIC_Late_Fee_Relief_Windows_1!$I$100:$I$1029,CBIC_Late_Fee_Relief_Windows_1!$D$100:$D$1029,"&lt;="&amp;B1029,CBIC_Late_Fee_Relief_Windows_1!$E$100:$E$1029,"&gt;="&amp;B1029,CBIC_Late_Fee_Relief_Windows_1!$F$100:$F$1029,"&lt;="&amp;C1029,CBIC_Late_Fee_Relief_Windows_1!$G$100:$G$1029,"&gt;="&amp;C1029,CBIC_Late_Fee_Relief_Windows_1!$H$100:$H$1029,D1029)</f>
        <v>#NAME?</v>
      </c>
      <c r="H1029" t="e">
        <f t="shared" ca="1" si="16"/>
        <v>#NAME?</v>
      </c>
      <c r="I1029" t="e">
        <f ca="1">INDEX(CBIC_Late_Fee_Relief_Windows_1!$B$100:$B$1029,MATCH(G1029,CBIC_Late_Fee_Relief_Windows_1!$I$100:$I$1029,0))</f>
        <v>#NAME?</v>
      </c>
    </row>
    <row r="1030" spans="1:9" x14ac:dyDescent="0.55000000000000004">
      <c r="A1030" t="str">
        <f>TEST_DATA!A1030</f>
        <v>27AAAAA1030Z5</v>
      </c>
      <c r="B1030" t="str">
        <f>TEST_DATA!B1030</f>
        <v>Jun-2020</v>
      </c>
      <c r="C1030">
        <f>TEST_DATA!C1030</f>
        <v>44803</v>
      </c>
      <c r="D1030" t="str">
        <f>TEST_DATA!D1030</f>
        <v>NIL</v>
      </c>
      <c r="E1030">
        <f>TEST_DATA!E1030</f>
        <v>1950</v>
      </c>
      <c r="F1030">
        <f>MIN(E1030*103000,10000)</f>
        <v>10000</v>
      </c>
      <c r="G1030" t="e">
        <f ca="1">_xludf.MINIFS(CBIC_Late_Fee_Relief_Windows_1!$I$100:$I$1030,CBIC_Late_Fee_Relief_Windows_1!$D$100:$D$1030,"&lt;="&amp;B1030,CBIC_Late_Fee_Relief_Windows_1!$E$100:$E$1030,"&gt;="&amp;B1030,CBIC_Late_Fee_Relief_Windows_1!$F$100:$F$1030,"&lt;="&amp;C1030,CBIC_Late_Fee_Relief_Windows_1!$G$100:$G$1030,"&gt;="&amp;C1030,CBIC_Late_Fee_Relief_Windows_1!$H$100:$H$1030,D1030)</f>
        <v>#NAME?</v>
      </c>
      <c r="H1030" t="e">
        <f t="shared" ca="1" si="16"/>
        <v>#NAME?</v>
      </c>
      <c r="I1030" t="e">
        <f ca="1">INDEX(CBIC_Late_Fee_Relief_Windows_1!$B$100:$B$1030,MATCH(G1030,CBIC_Late_Fee_Relief_Windows_1!$I$100:$I$1030,0))</f>
        <v>#NAME?</v>
      </c>
    </row>
    <row r="1031" spans="1:9" x14ac:dyDescent="0.55000000000000004">
      <c r="A1031" t="str">
        <f>TEST_DATA!A1031</f>
        <v>27AAAAA1031Z5</v>
      </c>
      <c r="B1031" t="str">
        <f>TEST_DATA!B1031</f>
        <v>Apr-2018</v>
      </c>
      <c r="C1031">
        <f>TEST_DATA!C1031</f>
        <v>43078</v>
      </c>
      <c r="D1031" t="str">
        <f>TEST_DATA!D1031</f>
        <v>NON-NIL</v>
      </c>
      <c r="E1031">
        <f>TEST_DATA!E1031</f>
        <v>2925</v>
      </c>
      <c r="F1031">
        <f>MIN(E1031*103100,10000)</f>
        <v>10000</v>
      </c>
      <c r="G1031" t="e">
        <f ca="1">_xludf.MINIFS(CBIC_Late_Fee_Relief_Windows_1!$I$100:$I$1031,CBIC_Late_Fee_Relief_Windows_1!$D$100:$D$1031,"&lt;="&amp;B1031,CBIC_Late_Fee_Relief_Windows_1!$E$100:$E$1031,"&gt;="&amp;B1031,CBIC_Late_Fee_Relief_Windows_1!$F$100:$F$1031,"&lt;="&amp;C1031,CBIC_Late_Fee_Relief_Windows_1!$G$100:$G$1031,"&gt;="&amp;C1031,CBIC_Late_Fee_Relief_Windows_1!$H$100:$H$1031,D1031)</f>
        <v>#NAME?</v>
      </c>
      <c r="H1031" t="e">
        <f t="shared" ca="1" si="16"/>
        <v>#NAME?</v>
      </c>
      <c r="I1031" t="e">
        <f ca="1">INDEX(CBIC_Late_Fee_Relief_Windows_1!$B$100:$B$1031,MATCH(G1031,CBIC_Late_Fee_Relief_Windows_1!$I$100:$I$1031,0))</f>
        <v>#NAME?</v>
      </c>
    </row>
    <row r="1032" spans="1:9" x14ac:dyDescent="0.55000000000000004">
      <c r="A1032" t="str">
        <f>TEST_DATA!A1032</f>
        <v>27AAAAA1032Z5</v>
      </c>
      <c r="B1032" t="str">
        <f>TEST_DATA!B1032</f>
        <v>Aug-2017</v>
      </c>
      <c r="C1032">
        <f>TEST_DATA!C1032</f>
        <v>43945</v>
      </c>
      <c r="D1032" t="str">
        <f>TEST_DATA!D1032</f>
        <v>NIL</v>
      </c>
      <c r="E1032">
        <f>TEST_DATA!E1032</f>
        <v>492</v>
      </c>
      <c r="F1032">
        <f>MIN(E1032*103200,10000)</f>
        <v>10000</v>
      </c>
      <c r="G1032" t="e">
        <f ca="1">_xludf.MINIFS(CBIC_Late_Fee_Relief_Windows_1!$I$100:$I$1032,CBIC_Late_Fee_Relief_Windows_1!$D$100:$D$1032,"&lt;="&amp;B1032,CBIC_Late_Fee_Relief_Windows_1!$E$100:$E$1032,"&gt;="&amp;B1032,CBIC_Late_Fee_Relief_Windows_1!$F$100:$F$1032,"&lt;="&amp;C1032,CBIC_Late_Fee_Relief_Windows_1!$G$100:$G$1032,"&gt;="&amp;C1032,CBIC_Late_Fee_Relief_Windows_1!$H$100:$H$1032,D1032)</f>
        <v>#NAME?</v>
      </c>
      <c r="H1032" t="e">
        <f t="shared" ca="1" si="16"/>
        <v>#NAME?</v>
      </c>
      <c r="I1032" t="e">
        <f ca="1">INDEX(CBIC_Late_Fee_Relief_Windows_1!$B$100:$B$1032,MATCH(G1032,CBIC_Late_Fee_Relief_Windows_1!$I$100:$I$1032,0))</f>
        <v>#NAME?</v>
      </c>
    </row>
    <row r="1033" spans="1:9" x14ac:dyDescent="0.55000000000000004">
      <c r="A1033" t="str">
        <f>TEST_DATA!A1033</f>
        <v>27AAAAA1033Z5</v>
      </c>
      <c r="B1033" t="str">
        <f>TEST_DATA!B1033</f>
        <v>Mar-2021</v>
      </c>
      <c r="C1033">
        <f>TEST_DATA!C1033</f>
        <v>45305</v>
      </c>
      <c r="D1033" t="str">
        <f>TEST_DATA!D1033</f>
        <v>NIL</v>
      </c>
      <c r="E1033">
        <f>TEST_DATA!E1033</f>
        <v>684</v>
      </c>
      <c r="F1033">
        <f>MIN(E1033*103300,10000)</f>
        <v>10000</v>
      </c>
      <c r="G1033" t="e">
        <f ca="1">_xludf.MINIFS(CBIC_Late_Fee_Relief_Windows_1!$I$100:$I$1033,CBIC_Late_Fee_Relief_Windows_1!$D$100:$D$1033,"&lt;="&amp;B1033,CBIC_Late_Fee_Relief_Windows_1!$E$100:$E$1033,"&gt;="&amp;B1033,CBIC_Late_Fee_Relief_Windows_1!$F$100:$F$1033,"&lt;="&amp;C1033,CBIC_Late_Fee_Relief_Windows_1!$G$100:$G$1033,"&gt;="&amp;C1033,CBIC_Late_Fee_Relief_Windows_1!$H$100:$H$1033,D1033)</f>
        <v>#NAME?</v>
      </c>
      <c r="H1033" t="e">
        <f t="shared" ca="1" si="16"/>
        <v>#NAME?</v>
      </c>
      <c r="I1033" t="e">
        <f ca="1">INDEX(CBIC_Late_Fee_Relief_Windows_1!$B$100:$B$1033,MATCH(G1033,CBIC_Late_Fee_Relief_Windows_1!$I$100:$I$1033,0))</f>
        <v>#NAME?</v>
      </c>
    </row>
    <row r="1034" spans="1:9" x14ac:dyDescent="0.55000000000000004">
      <c r="A1034" t="str">
        <f>TEST_DATA!A1034</f>
        <v>27AAAAA1034Z5</v>
      </c>
      <c r="B1034" t="str">
        <f>TEST_DATA!B1034</f>
        <v>Jan-2018</v>
      </c>
      <c r="C1034">
        <f>TEST_DATA!C1034</f>
        <v>43311</v>
      </c>
      <c r="D1034" t="str">
        <f>TEST_DATA!D1034</f>
        <v>NIL</v>
      </c>
      <c r="E1034">
        <f>TEST_DATA!E1034</f>
        <v>174</v>
      </c>
      <c r="F1034">
        <f>MIN(E1034*103400,10000)</f>
        <v>10000</v>
      </c>
      <c r="G1034" t="e">
        <f ca="1">_xludf.MINIFS(CBIC_Late_Fee_Relief_Windows_1!$I$100:$I$1034,CBIC_Late_Fee_Relief_Windows_1!$D$100:$D$1034,"&lt;="&amp;B1034,CBIC_Late_Fee_Relief_Windows_1!$E$100:$E$1034,"&gt;="&amp;B1034,CBIC_Late_Fee_Relief_Windows_1!$F$100:$F$1034,"&lt;="&amp;C1034,CBIC_Late_Fee_Relief_Windows_1!$G$100:$G$1034,"&gt;="&amp;C1034,CBIC_Late_Fee_Relief_Windows_1!$H$100:$H$1034,D1034)</f>
        <v>#NAME?</v>
      </c>
      <c r="H1034" t="e">
        <f t="shared" ca="1" si="16"/>
        <v>#NAME?</v>
      </c>
      <c r="I1034" t="e">
        <f ca="1">INDEX(CBIC_Late_Fee_Relief_Windows_1!$B$100:$B$1034,MATCH(G1034,CBIC_Late_Fee_Relief_Windows_1!$I$100:$I$1034,0))</f>
        <v>#NAME?</v>
      </c>
    </row>
    <row r="1035" spans="1:9" x14ac:dyDescent="0.55000000000000004">
      <c r="A1035" t="str">
        <f>TEST_DATA!A1035</f>
        <v>27AAAAA1035Z5</v>
      </c>
      <c r="B1035" t="str">
        <f>TEST_DATA!B1035</f>
        <v>Aug-2018</v>
      </c>
      <c r="C1035">
        <f>TEST_DATA!C1035</f>
        <v>43077</v>
      </c>
      <c r="D1035" t="str">
        <f>TEST_DATA!D1035</f>
        <v>NON-NIL</v>
      </c>
      <c r="E1035">
        <f>TEST_DATA!E1035</f>
        <v>827</v>
      </c>
      <c r="F1035">
        <f>MIN(E1035*103500,10000)</f>
        <v>10000</v>
      </c>
      <c r="G1035" t="e">
        <f ca="1">_xludf.MINIFS(CBIC_Late_Fee_Relief_Windows_1!$I$100:$I$1035,CBIC_Late_Fee_Relief_Windows_1!$D$100:$D$1035,"&lt;="&amp;B1035,CBIC_Late_Fee_Relief_Windows_1!$E$100:$E$1035,"&gt;="&amp;B1035,CBIC_Late_Fee_Relief_Windows_1!$F$100:$F$1035,"&lt;="&amp;C1035,CBIC_Late_Fee_Relief_Windows_1!$G$100:$G$1035,"&gt;="&amp;C1035,CBIC_Late_Fee_Relief_Windows_1!$H$100:$H$1035,D1035)</f>
        <v>#NAME?</v>
      </c>
      <c r="H1035" t="e">
        <f t="shared" ca="1" si="16"/>
        <v>#NAME?</v>
      </c>
      <c r="I1035" t="e">
        <f ca="1">INDEX(CBIC_Late_Fee_Relief_Windows_1!$B$100:$B$1035,MATCH(G1035,CBIC_Late_Fee_Relief_Windows_1!$I$100:$I$1035,0))</f>
        <v>#NAME?</v>
      </c>
    </row>
    <row r="1036" spans="1:9" x14ac:dyDescent="0.55000000000000004">
      <c r="A1036" t="str">
        <f>TEST_DATA!A1036</f>
        <v>27AAAAA1036Z5</v>
      </c>
      <c r="B1036" t="str">
        <f>TEST_DATA!B1036</f>
        <v>Dec-2022</v>
      </c>
      <c r="C1036">
        <f>TEST_DATA!C1036</f>
        <v>44071</v>
      </c>
      <c r="D1036" t="str">
        <f>TEST_DATA!D1036</f>
        <v>NON-NIL</v>
      </c>
      <c r="E1036">
        <f>TEST_DATA!E1036</f>
        <v>1309</v>
      </c>
      <c r="F1036">
        <f>MIN(E1036*103600,10000)</f>
        <v>10000</v>
      </c>
      <c r="G1036" t="e">
        <f ca="1">_xludf.MINIFS(CBIC_Late_Fee_Relief_Windows_1!$I$100:$I$1036,CBIC_Late_Fee_Relief_Windows_1!$D$100:$D$1036,"&lt;="&amp;B1036,CBIC_Late_Fee_Relief_Windows_1!$E$100:$E$1036,"&gt;="&amp;B1036,CBIC_Late_Fee_Relief_Windows_1!$F$100:$F$1036,"&lt;="&amp;C1036,CBIC_Late_Fee_Relief_Windows_1!$G$100:$G$1036,"&gt;="&amp;C1036,CBIC_Late_Fee_Relief_Windows_1!$H$100:$H$1036,D1036)</f>
        <v>#NAME?</v>
      </c>
      <c r="H1036" t="e">
        <f t="shared" ca="1" si="16"/>
        <v>#NAME?</v>
      </c>
      <c r="I1036" t="e">
        <f ca="1">INDEX(CBIC_Late_Fee_Relief_Windows_1!$B$100:$B$1036,MATCH(G1036,CBIC_Late_Fee_Relief_Windows_1!$I$100:$I$1036,0))</f>
        <v>#NAME?</v>
      </c>
    </row>
    <row r="1037" spans="1:9" x14ac:dyDescent="0.55000000000000004">
      <c r="A1037" t="str">
        <f>TEST_DATA!A1037</f>
        <v>27AAAAA1037Z5</v>
      </c>
      <c r="B1037" t="str">
        <f>TEST_DATA!B1037</f>
        <v>Jan-2021</v>
      </c>
      <c r="C1037">
        <f>TEST_DATA!C1037</f>
        <v>43740</v>
      </c>
      <c r="D1037" t="str">
        <f>TEST_DATA!D1037</f>
        <v>NIL</v>
      </c>
      <c r="E1037">
        <f>TEST_DATA!E1037</f>
        <v>1589</v>
      </c>
      <c r="F1037">
        <f>MIN(E1037*103700,10000)</f>
        <v>10000</v>
      </c>
      <c r="G1037" t="e">
        <f ca="1">_xludf.MINIFS(CBIC_Late_Fee_Relief_Windows_1!$I$100:$I$1037,CBIC_Late_Fee_Relief_Windows_1!$D$100:$D$1037,"&lt;="&amp;B1037,CBIC_Late_Fee_Relief_Windows_1!$E$100:$E$1037,"&gt;="&amp;B1037,CBIC_Late_Fee_Relief_Windows_1!$F$100:$F$1037,"&lt;="&amp;C1037,CBIC_Late_Fee_Relief_Windows_1!$G$100:$G$1037,"&gt;="&amp;C1037,CBIC_Late_Fee_Relief_Windows_1!$H$100:$H$1037,D1037)</f>
        <v>#NAME?</v>
      </c>
      <c r="H1037" t="e">
        <f t="shared" ca="1" si="16"/>
        <v>#NAME?</v>
      </c>
      <c r="I1037" t="e">
        <f ca="1">INDEX(CBIC_Late_Fee_Relief_Windows_1!$B$100:$B$1037,MATCH(G1037,CBIC_Late_Fee_Relief_Windows_1!$I$100:$I$1037,0))</f>
        <v>#NAME?</v>
      </c>
    </row>
    <row r="1038" spans="1:9" x14ac:dyDescent="0.55000000000000004">
      <c r="A1038" t="str">
        <f>TEST_DATA!A1038</f>
        <v>27AAAAA1038Z5</v>
      </c>
      <c r="B1038" t="str">
        <f>TEST_DATA!B1038</f>
        <v>Dec-2019</v>
      </c>
      <c r="C1038">
        <f>TEST_DATA!C1038</f>
        <v>45093</v>
      </c>
      <c r="D1038" t="str">
        <f>TEST_DATA!D1038</f>
        <v>NON-NIL</v>
      </c>
      <c r="E1038">
        <f>TEST_DATA!E1038</f>
        <v>1131</v>
      </c>
      <c r="F1038">
        <f>MIN(E1038*103800,10000)</f>
        <v>10000</v>
      </c>
      <c r="G1038" t="e">
        <f ca="1">_xludf.MINIFS(CBIC_Late_Fee_Relief_Windows_1!$I$100:$I$1038,CBIC_Late_Fee_Relief_Windows_1!$D$100:$D$1038,"&lt;="&amp;B1038,CBIC_Late_Fee_Relief_Windows_1!$E$100:$E$1038,"&gt;="&amp;B1038,CBIC_Late_Fee_Relief_Windows_1!$F$100:$F$1038,"&lt;="&amp;C1038,CBIC_Late_Fee_Relief_Windows_1!$G$100:$G$1038,"&gt;="&amp;C1038,CBIC_Late_Fee_Relief_Windows_1!$H$100:$H$1038,D1038)</f>
        <v>#NAME?</v>
      </c>
      <c r="H1038" t="e">
        <f t="shared" ca="1" si="16"/>
        <v>#NAME?</v>
      </c>
      <c r="I1038" t="e">
        <f ca="1">INDEX(CBIC_Late_Fee_Relief_Windows_1!$B$100:$B$1038,MATCH(G1038,CBIC_Late_Fee_Relief_Windows_1!$I$100:$I$1038,0))</f>
        <v>#NAME?</v>
      </c>
    </row>
    <row r="1039" spans="1:9" x14ac:dyDescent="0.55000000000000004">
      <c r="A1039" t="str">
        <f>TEST_DATA!A1039</f>
        <v>27AAAAA1039Z5</v>
      </c>
      <c r="B1039" t="str">
        <f>TEST_DATA!B1039</f>
        <v>Jun-2019</v>
      </c>
      <c r="C1039">
        <f>TEST_DATA!C1039</f>
        <v>45342</v>
      </c>
      <c r="D1039" t="str">
        <f>TEST_DATA!D1039</f>
        <v>NIL</v>
      </c>
      <c r="E1039">
        <f>TEST_DATA!E1039</f>
        <v>2868</v>
      </c>
      <c r="F1039">
        <f>MIN(E1039*103900,10000)</f>
        <v>10000</v>
      </c>
      <c r="G1039" t="e">
        <f ca="1">_xludf.MINIFS(CBIC_Late_Fee_Relief_Windows_1!$I$100:$I$1039,CBIC_Late_Fee_Relief_Windows_1!$D$100:$D$1039,"&lt;="&amp;B1039,CBIC_Late_Fee_Relief_Windows_1!$E$100:$E$1039,"&gt;="&amp;B1039,CBIC_Late_Fee_Relief_Windows_1!$F$100:$F$1039,"&lt;="&amp;C1039,CBIC_Late_Fee_Relief_Windows_1!$G$100:$G$1039,"&gt;="&amp;C1039,CBIC_Late_Fee_Relief_Windows_1!$H$100:$H$1039,D1039)</f>
        <v>#NAME?</v>
      </c>
      <c r="H1039" t="e">
        <f t="shared" ca="1" si="16"/>
        <v>#NAME?</v>
      </c>
      <c r="I1039" t="e">
        <f ca="1">INDEX(CBIC_Late_Fee_Relief_Windows_1!$B$100:$B$1039,MATCH(G1039,CBIC_Late_Fee_Relief_Windows_1!$I$100:$I$1039,0))</f>
        <v>#NAME?</v>
      </c>
    </row>
    <row r="1040" spans="1:9" x14ac:dyDescent="0.55000000000000004">
      <c r="A1040" t="str">
        <f>TEST_DATA!A1040</f>
        <v>27AAAAA1040Z5</v>
      </c>
      <c r="B1040" t="str">
        <f>TEST_DATA!B1040</f>
        <v>Apr-2020</v>
      </c>
      <c r="C1040">
        <f>TEST_DATA!C1040</f>
        <v>44901</v>
      </c>
      <c r="D1040" t="str">
        <f>TEST_DATA!D1040</f>
        <v>NON-NIL</v>
      </c>
      <c r="E1040">
        <f>TEST_DATA!E1040</f>
        <v>460</v>
      </c>
      <c r="F1040">
        <f>MIN(E1040*104000,10000)</f>
        <v>10000</v>
      </c>
      <c r="G1040" t="e">
        <f ca="1">_xludf.MINIFS(CBIC_Late_Fee_Relief_Windows_1!$I$100:$I$1040,CBIC_Late_Fee_Relief_Windows_1!$D$100:$D$1040,"&lt;="&amp;B1040,CBIC_Late_Fee_Relief_Windows_1!$E$100:$E$1040,"&gt;="&amp;B1040,CBIC_Late_Fee_Relief_Windows_1!$F$100:$F$1040,"&lt;="&amp;C1040,CBIC_Late_Fee_Relief_Windows_1!$G$100:$G$1040,"&gt;="&amp;C1040,CBIC_Late_Fee_Relief_Windows_1!$H$100:$H$1040,D1040)</f>
        <v>#NAME?</v>
      </c>
      <c r="H1040" t="e">
        <f t="shared" ca="1" si="16"/>
        <v>#NAME?</v>
      </c>
      <c r="I1040" t="e">
        <f ca="1">INDEX(CBIC_Late_Fee_Relief_Windows_1!$B$100:$B$1040,MATCH(G1040,CBIC_Late_Fee_Relief_Windows_1!$I$100:$I$1040,0))</f>
        <v>#NAME?</v>
      </c>
    </row>
    <row r="1041" spans="1:9" x14ac:dyDescent="0.55000000000000004">
      <c r="A1041" t="str">
        <f>TEST_DATA!A1041</f>
        <v>27AAAAA1041Z5</v>
      </c>
      <c r="B1041" t="str">
        <f>TEST_DATA!B1041</f>
        <v>Aug-2018</v>
      </c>
      <c r="C1041">
        <f>TEST_DATA!C1041</f>
        <v>43223</v>
      </c>
      <c r="D1041" t="str">
        <f>TEST_DATA!D1041</f>
        <v>NIL</v>
      </c>
      <c r="E1041">
        <f>TEST_DATA!E1041</f>
        <v>2320</v>
      </c>
      <c r="F1041">
        <f>MIN(E1041*104100,10000)</f>
        <v>10000</v>
      </c>
      <c r="G1041" t="e">
        <f ca="1">_xludf.MINIFS(CBIC_Late_Fee_Relief_Windows_1!$I$100:$I$1041,CBIC_Late_Fee_Relief_Windows_1!$D$100:$D$1041,"&lt;="&amp;B1041,CBIC_Late_Fee_Relief_Windows_1!$E$100:$E$1041,"&gt;="&amp;B1041,CBIC_Late_Fee_Relief_Windows_1!$F$100:$F$1041,"&lt;="&amp;C1041,CBIC_Late_Fee_Relief_Windows_1!$G$100:$G$1041,"&gt;="&amp;C1041,CBIC_Late_Fee_Relief_Windows_1!$H$100:$H$1041,D1041)</f>
        <v>#NAME?</v>
      </c>
      <c r="H1041" t="e">
        <f t="shared" ca="1" si="16"/>
        <v>#NAME?</v>
      </c>
      <c r="I1041" t="e">
        <f ca="1">INDEX(CBIC_Late_Fee_Relief_Windows_1!$B$100:$B$1041,MATCH(G1041,CBIC_Late_Fee_Relief_Windows_1!$I$100:$I$1041,0))</f>
        <v>#NAME?</v>
      </c>
    </row>
    <row r="1042" spans="1:9" x14ac:dyDescent="0.55000000000000004">
      <c r="A1042" t="str">
        <f>TEST_DATA!A1042</f>
        <v>27AAAAA1042Z5</v>
      </c>
      <c r="B1042" t="str">
        <f>TEST_DATA!B1042</f>
        <v>Mar-2020</v>
      </c>
      <c r="C1042">
        <f>TEST_DATA!C1042</f>
        <v>44036</v>
      </c>
      <c r="D1042" t="str">
        <f>TEST_DATA!D1042</f>
        <v>NIL</v>
      </c>
      <c r="E1042">
        <f>TEST_DATA!E1042</f>
        <v>2304</v>
      </c>
      <c r="F1042">
        <f>MIN(E1042*104200,10000)</f>
        <v>10000</v>
      </c>
      <c r="G1042" t="e">
        <f ca="1">_xludf.MINIFS(CBIC_Late_Fee_Relief_Windows_1!$I$100:$I$1042,CBIC_Late_Fee_Relief_Windows_1!$D$100:$D$1042,"&lt;="&amp;B1042,CBIC_Late_Fee_Relief_Windows_1!$E$100:$E$1042,"&gt;="&amp;B1042,CBIC_Late_Fee_Relief_Windows_1!$F$100:$F$1042,"&lt;="&amp;C1042,CBIC_Late_Fee_Relief_Windows_1!$G$100:$G$1042,"&gt;="&amp;C1042,CBIC_Late_Fee_Relief_Windows_1!$H$100:$H$1042,D1042)</f>
        <v>#NAME?</v>
      </c>
      <c r="H1042" t="e">
        <f t="shared" ca="1" si="16"/>
        <v>#NAME?</v>
      </c>
      <c r="I1042" t="e">
        <f ca="1">INDEX(CBIC_Late_Fee_Relief_Windows_1!$B$100:$B$1042,MATCH(G1042,CBIC_Late_Fee_Relief_Windows_1!$I$100:$I$1042,0))</f>
        <v>#NAME?</v>
      </c>
    </row>
    <row r="1043" spans="1:9" x14ac:dyDescent="0.55000000000000004">
      <c r="A1043" t="str">
        <f>TEST_DATA!A1043</f>
        <v>27AAAAA1043Z5</v>
      </c>
      <c r="B1043" t="str">
        <f>TEST_DATA!B1043</f>
        <v>Mar-2021</v>
      </c>
      <c r="C1043">
        <f>TEST_DATA!C1043</f>
        <v>43879</v>
      </c>
      <c r="D1043" t="str">
        <f>TEST_DATA!D1043</f>
        <v>NON-NIL</v>
      </c>
      <c r="E1043">
        <f>TEST_DATA!E1043</f>
        <v>2193</v>
      </c>
      <c r="F1043">
        <f>MIN(E1043*104300,10000)</f>
        <v>10000</v>
      </c>
      <c r="G1043" t="e">
        <f ca="1">_xludf.MINIFS(CBIC_Late_Fee_Relief_Windows_1!$I$100:$I$1043,CBIC_Late_Fee_Relief_Windows_1!$D$100:$D$1043,"&lt;="&amp;B1043,CBIC_Late_Fee_Relief_Windows_1!$E$100:$E$1043,"&gt;="&amp;B1043,CBIC_Late_Fee_Relief_Windows_1!$F$100:$F$1043,"&lt;="&amp;C1043,CBIC_Late_Fee_Relief_Windows_1!$G$100:$G$1043,"&gt;="&amp;C1043,CBIC_Late_Fee_Relief_Windows_1!$H$100:$H$1043,D1043)</f>
        <v>#NAME?</v>
      </c>
      <c r="H1043" t="e">
        <f t="shared" ca="1" si="16"/>
        <v>#NAME?</v>
      </c>
      <c r="I1043" t="e">
        <f ca="1">INDEX(CBIC_Late_Fee_Relief_Windows_1!$B$100:$B$1043,MATCH(G1043,CBIC_Late_Fee_Relief_Windows_1!$I$100:$I$1043,0))</f>
        <v>#NAME?</v>
      </c>
    </row>
    <row r="1044" spans="1:9" x14ac:dyDescent="0.55000000000000004">
      <c r="A1044" t="str">
        <f>TEST_DATA!A1044</f>
        <v>27AAAAA1044Z5</v>
      </c>
      <c r="B1044" t="str">
        <f>TEST_DATA!B1044</f>
        <v>Dec-2024</v>
      </c>
      <c r="C1044">
        <f>TEST_DATA!C1044</f>
        <v>44874</v>
      </c>
      <c r="D1044" t="str">
        <f>TEST_DATA!D1044</f>
        <v>NON-NIL</v>
      </c>
      <c r="E1044">
        <f>TEST_DATA!E1044</f>
        <v>1081</v>
      </c>
      <c r="F1044">
        <f>MIN(E1044*104400,10000)</f>
        <v>10000</v>
      </c>
      <c r="G1044" t="e">
        <f ca="1">_xludf.MINIFS(CBIC_Late_Fee_Relief_Windows_1!$I$100:$I$1044,CBIC_Late_Fee_Relief_Windows_1!$D$100:$D$1044,"&lt;="&amp;B1044,CBIC_Late_Fee_Relief_Windows_1!$E$100:$E$1044,"&gt;="&amp;B1044,CBIC_Late_Fee_Relief_Windows_1!$F$100:$F$1044,"&lt;="&amp;C1044,CBIC_Late_Fee_Relief_Windows_1!$G$100:$G$1044,"&gt;="&amp;C1044,CBIC_Late_Fee_Relief_Windows_1!$H$100:$H$1044,D1044)</f>
        <v>#NAME?</v>
      </c>
      <c r="H1044" t="e">
        <f t="shared" ca="1" si="16"/>
        <v>#NAME?</v>
      </c>
      <c r="I1044" t="e">
        <f ca="1">INDEX(CBIC_Late_Fee_Relief_Windows_1!$B$100:$B$1044,MATCH(G1044,CBIC_Late_Fee_Relief_Windows_1!$I$100:$I$1044,0))</f>
        <v>#NAME?</v>
      </c>
    </row>
    <row r="1045" spans="1:9" x14ac:dyDescent="0.55000000000000004">
      <c r="A1045" t="str">
        <f>TEST_DATA!A1045</f>
        <v>27AAAAA1045Z5</v>
      </c>
      <c r="B1045" t="str">
        <f>TEST_DATA!B1045</f>
        <v>Jul-2018</v>
      </c>
      <c r="C1045">
        <f>TEST_DATA!C1045</f>
        <v>44258</v>
      </c>
      <c r="D1045" t="str">
        <f>TEST_DATA!D1045</f>
        <v>NON-NIL</v>
      </c>
      <c r="E1045">
        <f>TEST_DATA!E1045</f>
        <v>2343</v>
      </c>
      <c r="F1045">
        <f>MIN(E1045*104500,10000)</f>
        <v>10000</v>
      </c>
      <c r="G1045" t="e">
        <f ca="1">_xludf.MINIFS(CBIC_Late_Fee_Relief_Windows_1!$I$100:$I$1045,CBIC_Late_Fee_Relief_Windows_1!$D$100:$D$1045,"&lt;="&amp;B1045,CBIC_Late_Fee_Relief_Windows_1!$E$100:$E$1045,"&gt;="&amp;B1045,CBIC_Late_Fee_Relief_Windows_1!$F$100:$F$1045,"&lt;="&amp;C1045,CBIC_Late_Fee_Relief_Windows_1!$G$100:$G$1045,"&gt;="&amp;C1045,CBIC_Late_Fee_Relief_Windows_1!$H$100:$H$1045,D1045)</f>
        <v>#NAME?</v>
      </c>
      <c r="H1045" t="e">
        <f t="shared" ca="1" si="16"/>
        <v>#NAME?</v>
      </c>
      <c r="I1045" t="e">
        <f ca="1">INDEX(CBIC_Late_Fee_Relief_Windows_1!$B$100:$B$1045,MATCH(G1045,CBIC_Late_Fee_Relief_Windows_1!$I$100:$I$1045,0))</f>
        <v>#NAME?</v>
      </c>
    </row>
    <row r="1046" spans="1:9" x14ac:dyDescent="0.55000000000000004">
      <c r="A1046" t="str">
        <f>TEST_DATA!A1046</f>
        <v>27AAAAA1046Z5</v>
      </c>
      <c r="B1046" t="str">
        <f>TEST_DATA!B1046</f>
        <v>Apr-2020</v>
      </c>
      <c r="C1046">
        <f>TEST_DATA!C1046</f>
        <v>44799</v>
      </c>
      <c r="D1046" t="str">
        <f>TEST_DATA!D1046</f>
        <v>NIL</v>
      </c>
      <c r="E1046">
        <f>TEST_DATA!E1046</f>
        <v>705</v>
      </c>
      <c r="F1046">
        <f>MIN(E1046*104600,10000)</f>
        <v>10000</v>
      </c>
      <c r="G1046" t="e">
        <f ca="1">_xludf.MINIFS(CBIC_Late_Fee_Relief_Windows_1!$I$100:$I$1046,CBIC_Late_Fee_Relief_Windows_1!$D$100:$D$1046,"&lt;="&amp;B1046,CBIC_Late_Fee_Relief_Windows_1!$E$100:$E$1046,"&gt;="&amp;B1046,CBIC_Late_Fee_Relief_Windows_1!$F$100:$F$1046,"&lt;="&amp;C1046,CBIC_Late_Fee_Relief_Windows_1!$G$100:$G$1046,"&gt;="&amp;C1046,CBIC_Late_Fee_Relief_Windows_1!$H$100:$H$1046,D1046)</f>
        <v>#NAME?</v>
      </c>
      <c r="H1046" t="e">
        <f t="shared" ca="1" si="16"/>
        <v>#NAME?</v>
      </c>
      <c r="I1046" t="e">
        <f ca="1">INDEX(CBIC_Late_Fee_Relief_Windows_1!$B$100:$B$1046,MATCH(G1046,CBIC_Late_Fee_Relief_Windows_1!$I$100:$I$1046,0))</f>
        <v>#NAME?</v>
      </c>
    </row>
    <row r="1047" spans="1:9" x14ac:dyDescent="0.55000000000000004">
      <c r="A1047" t="str">
        <f>TEST_DATA!A1047</f>
        <v>27AAAAA1047Z5</v>
      </c>
      <c r="B1047" t="str">
        <f>TEST_DATA!B1047</f>
        <v>Mar-2018</v>
      </c>
      <c r="C1047">
        <f>TEST_DATA!C1047</f>
        <v>43742</v>
      </c>
      <c r="D1047" t="str">
        <f>TEST_DATA!D1047</f>
        <v>NIL</v>
      </c>
      <c r="E1047">
        <f>TEST_DATA!E1047</f>
        <v>2532</v>
      </c>
      <c r="F1047">
        <f>MIN(E1047*104700,10000)</f>
        <v>10000</v>
      </c>
      <c r="G1047" t="e">
        <f ca="1">_xludf.MINIFS(CBIC_Late_Fee_Relief_Windows_1!$I$100:$I$1047,CBIC_Late_Fee_Relief_Windows_1!$D$100:$D$1047,"&lt;="&amp;B1047,CBIC_Late_Fee_Relief_Windows_1!$E$100:$E$1047,"&gt;="&amp;B1047,CBIC_Late_Fee_Relief_Windows_1!$F$100:$F$1047,"&lt;="&amp;C1047,CBIC_Late_Fee_Relief_Windows_1!$G$100:$G$1047,"&gt;="&amp;C1047,CBIC_Late_Fee_Relief_Windows_1!$H$100:$H$1047,D1047)</f>
        <v>#NAME?</v>
      </c>
      <c r="H1047" t="e">
        <f t="shared" ca="1" si="16"/>
        <v>#NAME?</v>
      </c>
      <c r="I1047" t="e">
        <f ca="1">INDEX(CBIC_Late_Fee_Relief_Windows_1!$B$100:$B$1047,MATCH(G1047,CBIC_Late_Fee_Relief_Windows_1!$I$100:$I$1047,0))</f>
        <v>#NAME?</v>
      </c>
    </row>
    <row r="1048" spans="1:9" x14ac:dyDescent="0.55000000000000004">
      <c r="A1048" t="str">
        <f>TEST_DATA!A1048</f>
        <v>27AAAAA1048Z5</v>
      </c>
      <c r="B1048" t="str">
        <f>TEST_DATA!B1048</f>
        <v>Apr-2020</v>
      </c>
      <c r="C1048">
        <f>TEST_DATA!C1048</f>
        <v>44653</v>
      </c>
      <c r="D1048" t="str">
        <f>TEST_DATA!D1048</f>
        <v>NIL</v>
      </c>
      <c r="E1048">
        <f>TEST_DATA!E1048</f>
        <v>1621</v>
      </c>
      <c r="F1048">
        <f>MIN(E1048*104800,10000)</f>
        <v>10000</v>
      </c>
      <c r="G1048" t="e">
        <f ca="1">_xludf.MINIFS(CBIC_Late_Fee_Relief_Windows_1!$I$100:$I$1048,CBIC_Late_Fee_Relief_Windows_1!$D$100:$D$1048,"&lt;="&amp;B1048,CBIC_Late_Fee_Relief_Windows_1!$E$100:$E$1048,"&gt;="&amp;B1048,CBIC_Late_Fee_Relief_Windows_1!$F$100:$F$1048,"&lt;="&amp;C1048,CBIC_Late_Fee_Relief_Windows_1!$G$100:$G$1048,"&gt;="&amp;C1048,CBIC_Late_Fee_Relief_Windows_1!$H$100:$H$1048,D1048)</f>
        <v>#NAME?</v>
      </c>
      <c r="H1048" t="e">
        <f t="shared" ca="1" si="16"/>
        <v>#NAME?</v>
      </c>
      <c r="I1048" t="e">
        <f ca="1">INDEX(CBIC_Late_Fee_Relief_Windows_1!$B$100:$B$1048,MATCH(G1048,CBIC_Late_Fee_Relief_Windows_1!$I$100:$I$1048,0))</f>
        <v>#NAME?</v>
      </c>
    </row>
    <row r="1049" spans="1:9" x14ac:dyDescent="0.55000000000000004">
      <c r="A1049" t="str">
        <f>TEST_DATA!A1049</f>
        <v>27AAAAA1049Z5</v>
      </c>
      <c r="B1049" t="str">
        <f>TEST_DATA!B1049</f>
        <v>Dec-2024</v>
      </c>
      <c r="C1049">
        <f>TEST_DATA!C1049</f>
        <v>44823</v>
      </c>
      <c r="D1049" t="str">
        <f>TEST_DATA!D1049</f>
        <v>NIL</v>
      </c>
      <c r="E1049">
        <f>TEST_DATA!E1049</f>
        <v>201</v>
      </c>
      <c r="F1049">
        <f>MIN(E1049*104900,10000)</f>
        <v>10000</v>
      </c>
      <c r="G1049" t="e">
        <f ca="1">_xludf.MINIFS(CBIC_Late_Fee_Relief_Windows_1!$I$100:$I$1049,CBIC_Late_Fee_Relief_Windows_1!$D$100:$D$1049,"&lt;="&amp;B1049,CBIC_Late_Fee_Relief_Windows_1!$E$100:$E$1049,"&gt;="&amp;B1049,CBIC_Late_Fee_Relief_Windows_1!$F$100:$F$1049,"&lt;="&amp;C1049,CBIC_Late_Fee_Relief_Windows_1!$G$100:$G$1049,"&gt;="&amp;C1049,CBIC_Late_Fee_Relief_Windows_1!$H$100:$H$1049,D1049)</f>
        <v>#NAME?</v>
      </c>
      <c r="H1049" t="e">
        <f t="shared" ca="1" si="16"/>
        <v>#NAME?</v>
      </c>
      <c r="I1049" t="e">
        <f ca="1">INDEX(CBIC_Late_Fee_Relief_Windows_1!$B$100:$B$1049,MATCH(G1049,CBIC_Late_Fee_Relief_Windows_1!$I$100:$I$1049,0))</f>
        <v>#NAME?</v>
      </c>
    </row>
    <row r="1050" spans="1:9" x14ac:dyDescent="0.55000000000000004">
      <c r="A1050" t="str">
        <f>TEST_DATA!A1050</f>
        <v>27AAAAA1050Z5</v>
      </c>
      <c r="B1050" t="str">
        <f>TEST_DATA!B1050</f>
        <v>Jan-2021</v>
      </c>
      <c r="C1050">
        <f>TEST_DATA!C1050</f>
        <v>45412</v>
      </c>
      <c r="D1050" t="str">
        <f>TEST_DATA!D1050</f>
        <v>NON-NIL</v>
      </c>
      <c r="E1050">
        <f>TEST_DATA!E1050</f>
        <v>1525</v>
      </c>
      <c r="F1050">
        <f>MIN(E1050*105000,10000)</f>
        <v>10000</v>
      </c>
      <c r="G1050" t="e">
        <f ca="1">_xludf.MINIFS(CBIC_Late_Fee_Relief_Windows_1!$I$100:$I$1050,CBIC_Late_Fee_Relief_Windows_1!$D$100:$D$1050,"&lt;="&amp;B1050,CBIC_Late_Fee_Relief_Windows_1!$E$100:$E$1050,"&gt;="&amp;B1050,CBIC_Late_Fee_Relief_Windows_1!$F$100:$F$1050,"&lt;="&amp;C1050,CBIC_Late_Fee_Relief_Windows_1!$G$100:$G$1050,"&gt;="&amp;C1050,CBIC_Late_Fee_Relief_Windows_1!$H$100:$H$1050,D1050)</f>
        <v>#NAME?</v>
      </c>
      <c r="H1050" t="e">
        <f t="shared" ca="1" si="16"/>
        <v>#NAME?</v>
      </c>
      <c r="I1050" t="e">
        <f ca="1">INDEX(CBIC_Late_Fee_Relief_Windows_1!$B$100:$B$1050,MATCH(G1050,CBIC_Late_Fee_Relief_Windows_1!$I$100:$I$1050,0))</f>
        <v>#NAME?</v>
      </c>
    </row>
    <row r="1051" spans="1:9" x14ac:dyDescent="0.55000000000000004">
      <c r="A1051" t="str">
        <f>TEST_DATA!A1051</f>
        <v>27AAAAA1051Z5</v>
      </c>
      <c r="B1051" t="str">
        <f>TEST_DATA!B1051</f>
        <v>Jul-2017</v>
      </c>
      <c r="C1051">
        <f>TEST_DATA!C1051</f>
        <v>43608</v>
      </c>
      <c r="D1051" t="str">
        <f>TEST_DATA!D1051</f>
        <v>NON-NIL</v>
      </c>
      <c r="E1051">
        <f>TEST_DATA!E1051</f>
        <v>1273</v>
      </c>
      <c r="F1051">
        <f>MIN(E1051*105100,10000)</f>
        <v>10000</v>
      </c>
      <c r="G1051" t="e">
        <f ca="1">_xludf.MINIFS(CBIC_Late_Fee_Relief_Windows_1!$I$100:$I$1051,CBIC_Late_Fee_Relief_Windows_1!$D$100:$D$1051,"&lt;="&amp;B1051,CBIC_Late_Fee_Relief_Windows_1!$E$100:$E$1051,"&gt;="&amp;B1051,CBIC_Late_Fee_Relief_Windows_1!$F$100:$F$1051,"&lt;="&amp;C1051,CBIC_Late_Fee_Relief_Windows_1!$G$100:$G$1051,"&gt;="&amp;C1051,CBIC_Late_Fee_Relief_Windows_1!$H$100:$H$1051,D1051)</f>
        <v>#NAME?</v>
      </c>
      <c r="H1051" t="e">
        <f t="shared" ca="1" si="16"/>
        <v>#NAME?</v>
      </c>
      <c r="I1051" t="e">
        <f ca="1">INDEX(CBIC_Late_Fee_Relief_Windows_1!$B$100:$B$1051,MATCH(G1051,CBIC_Late_Fee_Relief_Windows_1!$I$100:$I$1051,0))</f>
        <v>#NAME?</v>
      </c>
    </row>
    <row r="1052" spans="1:9" x14ac:dyDescent="0.55000000000000004">
      <c r="A1052" t="str">
        <f>TEST_DATA!A1052</f>
        <v>27AAAAA1052Z5</v>
      </c>
      <c r="B1052" t="str">
        <f>TEST_DATA!B1052</f>
        <v>Mar-2018</v>
      </c>
      <c r="C1052">
        <f>TEST_DATA!C1052</f>
        <v>43923</v>
      </c>
      <c r="D1052" t="str">
        <f>TEST_DATA!D1052</f>
        <v>NIL</v>
      </c>
      <c r="E1052">
        <f>TEST_DATA!E1052</f>
        <v>933</v>
      </c>
      <c r="F1052">
        <f>MIN(E1052*105200,10000)</f>
        <v>10000</v>
      </c>
      <c r="G1052" t="e">
        <f ca="1">_xludf.MINIFS(CBIC_Late_Fee_Relief_Windows_1!$I$100:$I$1052,CBIC_Late_Fee_Relief_Windows_1!$D$100:$D$1052,"&lt;="&amp;B1052,CBIC_Late_Fee_Relief_Windows_1!$E$100:$E$1052,"&gt;="&amp;B1052,CBIC_Late_Fee_Relief_Windows_1!$F$100:$F$1052,"&lt;="&amp;C1052,CBIC_Late_Fee_Relief_Windows_1!$G$100:$G$1052,"&gt;="&amp;C1052,CBIC_Late_Fee_Relief_Windows_1!$H$100:$H$1052,D1052)</f>
        <v>#NAME?</v>
      </c>
      <c r="H1052" t="e">
        <f t="shared" ca="1" si="16"/>
        <v>#NAME?</v>
      </c>
      <c r="I1052" t="e">
        <f ca="1">INDEX(CBIC_Late_Fee_Relief_Windows_1!$B$100:$B$1052,MATCH(G1052,CBIC_Late_Fee_Relief_Windows_1!$I$100:$I$1052,0))</f>
        <v>#NAME?</v>
      </c>
    </row>
    <row r="1053" spans="1:9" x14ac:dyDescent="0.55000000000000004">
      <c r="A1053" t="str">
        <f>TEST_DATA!A1053</f>
        <v>27AAAAA1053Z5</v>
      </c>
      <c r="B1053" t="str">
        <f>TEST_DATA!B1053</f>
        <v>Nov-2017</v>
      </c>
      <c r="C1053">
        <f>TEST_DATA!C1053</f>
        <v>43532</v>
      </c>
      <c r="D1053" t="str">
        <f>TEST_DATA!D1053</f>
        <v>NON-NIL</v>
      </c>
      <c r="E1053">
        <f>TEST_DATA!E1053</f>
        <v>1314</v>
      </c>
      <c r="F1053">
        <f>MIN(E1053*105300,10000)</f>
        <v>10000</v>
      </c>
      <c r="G1053" t="e">
        <f ca="1">_xludf.MINIFS(CBIC_Late_Fee_Relief_Windows_1!$I$100:$I$1053,CBIC_Late_Fee_Relief_Windows_1!$D$100:$D$1053,"&lt;="&amp;B1053,CBIC_Late_Fee_Relief_Windows_1!$E$100:$E$1053,"&gt;="&amp;B1053,CBIC_Late_Fee_Relief_Windows_1!$F$100:$F$1053,"&lt;="&amp;C1053,CBIC_Late_Fee_Relief_Windows_1!$G$100:$G$1053,"&gt;="&amp;C1053,CBIC_Late_Fee_Relief_Windows_1!$H$100:$H$1053,D1053)</f>
        <v>#NAME?</v>
      </c>
      <c r="H1053" t="e">
        <f t="shared" ca="1" si="16"/>
        <v>#NAME?</v>
      </c>
      <c r="I1053" t="e">
        <f ca="1">INDEX(CBIC_Late_Fee_Relief_Windows_1!$B$100:$B$1053,MATCH(G1053,CBIC_Late_Fee_Relief_Windows_1!$I$100:$I$1053,0))</f>
        <v>#NAME?</v>
      </c>
    </row>
    <row r="1054" spans="1:9" x14ac:dyDescent="0.55000000000000004">
      <c r="A1054" t="str">
        <f>TEST_DATA!A1054</f>
        <v>27AAAAA1054Z5</v>
      </c>
      <c r="B1054" t="str">
        <f>TEST_DATA!B1054</f>
        <v>Mar-2018</v>
      </c>
      <c r="C1054">
        <f>TEST_DATA!C1054</f>
        <v>44409</v>
      </c>
      <c r="D1054" t="str">
        <f>TEST_DATA!D1054</f>
        <v>NON-NIL</v>
      </c>
      <c r="E1054">
        <f>TEST_DATA!E1054</f>
        <v>2477</v>
      </c>
      <c r="F1054">
        <f>MIN(E1054*105400,10000)</f>
        <v>10000</v>
      </c>
      <c r="G1054" t="e">
        <f ca="1">_xludf.MINIFS(CBIC_Late_Fee_Relief_Windows_1!$I$100:$I$1054,CBIC_Late_Fee_Relief_Windows_1!$D$100:$D$1054,"&lt;="&amp;B1054,CBIC_Late_Fee_Relief_Windows_1!$E$100:$E$1054,"&gt;="&amp;B1054,CBIC_Late_Fee_Relief_Windows_1!$F$100:$F$1054,"&lt;="&amp;C1054,CBIC_Late_Fee_Relief_Windows_1!$G$100:$G$1054,"&gt;="&amp;C1054,CBIC_Late_Fee_Relief_Windows_1!$H$100:$H$1054,D1054)</f>
        <v>#NAME?</v>
      </c>
      <c r="H1054" t="e">
        <f t="shared" ca="1" si="16"/>
        <v>#NAME?</v>
      </c>
      <c r="I1054" t="e">
        <f ca="1">INDEX(CBIC_Late_Fee_Relief_Windows_1!$B$100:$B$1054,MATCH(G1054,CBIC_Late_Fee_Relief_Windows_1!$I$100:$I$1054,0))</f>
        <v>#NAME?</v>
      </c>
    </row>
    <row r="1055" spans="1:9" x14ac:dyDescent="0.55000000000000004">
      <c r="A1055" t="str">
        <f>TEST_DATA!A1055</f>
        <v>27AAAAA1055Z5</v>
      </c>
      <c r="B1055" t="str">
        <f>TEST_DATA!B1055</f>
        <v>May-2020</v>
      </c>
      <c r="C1055">
        <f>TEST_DATA!C1055</f>
        <v>44013</v>
      </c>
      <c r="D1055" t="str">
        <f>TEST_DATA!D1055</f>
        <v>NIL</v>
      </c>
      <c r="E1055">
        <f>TEST_DATA!E1055</f>
        <v>1809</v>
      </c>
      <c r="F1055">
        <f>MIN(E1055*105500,10000)</f>
        <v>10000</v>
      </c>
      <c r="G1055" t="e">
        <f ca="1">_xludf.MINIFS(CBIC_Late_Fee_Relief_Windows_1!$I$100:$I$1055,CBIC_Late_Fee_Relief_Windows_1!$D$100:$D$1055,"&lt;="&amp;B1055,CBIC_Late_Fee_Relief_Windows_1!$E$100:$E$1055,"&gt;="&amp;B1055,CBIC_Late_Fee_Relief_Windows_1!$F$100:$F$1055,"&lt;="&amp;C1055,CBIC_Late_Fee_Relief_Windows_1!$G$100:$G$1055,"&gt;="&amp;C1055,CBIC_Late_Fee_Relief_Windows_1!$H$100:$H$1055,D1055)</f>
        <v>#NAME?</v>
      </c>
      <c r="H1055" t="e">
        <f t="shared" ca="1" si="16"/>
        <v>#NAME?</v>
      </c>
      <c r="I1055" t="e">
        <f ca="1">INDEX(CBIC_Late_Fee_Relief_Windows_1!$B$100:$B$1055,MATCH(G1055,CBIC_Late_Fee_Relief_Windows_1!$I$100:$I$1055,0))</f>
        <v>#NAME?</v>
      </c>
    </row>
    <row r="1056" spans="1:9" x14ac:dyDescent="0.55000000000000004">
      <c r="A1056" t="str">
        <f>TEST_DATA!A1056</f>
        <v>27AAAAA1056Z5</v>
      </c>
      <c r="B1056" t="str">
        <f>TEST_DATA!B1056</f>
        <v>Jan-2018</v>
      </c>
      <c r="C1056">
        <f>TEST_DATA!C1056</f>
        <v>43750</v>
      </c>
      <c r="D1056" t="str">
        <f>TEST_DATA!D1056</f>
        <v>NON-NIL</v>
      </c>
      <c r="E1056">
        <f>TEST_DATA!E1056</f>
        <v>2115</v>
      </c>
      <c r="F1056">
        <f>MIN(E1056*105600,10000)</f>
        <v>10000</v>
      </c>
      <c r="G1056" t="e">
        <f ca="1">_xludf.MINIFS(CBIC_Late_Fee_Relief_Windows_1!$I$100:$I$1056,CBIC_Late_Fee_Relief_Windows_1!$D$100:$D$1056,"&lt;="&amp;B1056,CBIC_Late_Fee_Relief_Windows_1!$E$100:$E$1056,"&gt;="&amp;B1056,CBIC_Late_Fee_Relief_Windows_1!$F$100:$F$1056,"&lt;="&amp;C1056,CBIC_Late_Fee_Relief_Windows_1!$G$100:$G$1056,"&gt;="&amp;C1056,CBIC_Late_Fee_Relief_Windows_1!$H$100:$H$1056,D1056)</f>
        <v>#NAME?</v>
      </c>
      <c r="H1056" t="e">
        <f t="shared" ca="1" si="16"/>
        <v>#NAME?</v>
      </c>
      <c r="I1056" t="e">
        <f ca="1">INDEX(CBIC_Late_Fee_Relief_Windows_1!$B$100:$B$1056,MATCH(G1056,CBIC_Late_Fee_Relief_Windows_1!$I$100:$I$1056,0))</f>
        <v>#NAME?</v>
      </c>
    </row>
    <row r="1057" spans="1:9" x14ac:dyDescent="0.55000000000000004">
      <c r="A1057" t="str">
        <f>TEST_DATA!A1057</f>
        <v>27AAAAA1057Z5</v>
      </c>
      <c r="B1057" t="str">
        <f>TEST_DATA!B1057</f>
        <v>Mar-2023</v>
      </c>
      <c r="C1057">
        <f>TEST_DATA!C1057</f>
        <v>44997</v>
      </c>
      <c r="D1057" t="str">
        <f>TEST_DATA!D1057</f>
        <v>NIL</v>
      </c>
      <c r="E1057">
        <f>TEST_DATA!E1057</f>
        <v>2110</v>
      </c>
      <c r="F1057">
        <f>MIN(E1057*105700,10000)</f>
        <v>10000</v>
      </c>
      <c r="G1057" t="e">
        <f ca="1">_xludf.MINIFS(CBIC_Late_Fee_Relief_Windows_1!$I$100:$I$1057,CBIC_Late_Fee_Relief_Windows_1!$D$100:$D$1057,"&lt;="&amp;B1057,CBIC_Late_Fee_Relief_Windows_1!$E$100:$E$1057,"&gt;="&amp;B1057,CBIC_Late_Fee_Relief_Windows_1!$F$100:$F$1057,"&lt;="&amp;C1057,CBIC_Late_Fee_Relief_Windows_1!$G$100:$G$1057,"&gt;="&amp;C1057,CBIC_Late_Fee_Relief_Windows_1!$H$100:$H$1057,D1057)</f>
        <v>#NAME?</v>
      </c>
      <c r="H1057" t="e">
        <f t="shared" ca="1" si="16"/>
        <v>#NAME?</v>
      </c>
      <c r="I1057" t="e">
        <f ca="1">INDEX(CBIC_Late_Fee_Relief_Windows_1!$B$100:$B$1057,MATCH(G1057,CBIC_Late_Fee_Relief_Windows_1!$I$100:$I$1057,0))</f>
        <v>#NAME?</v>
      </c>
    </row>
    <row r="1058" spans="1:9" x14ac:dyDescent="0.55000000000000004">
      <c r="A1058" t="str">
        <f>TEST_DATA!A1058</f>
        <v>27AAAAA1058Z5</v>
      </c>
      <c r="B1058" t="str">
        <f>TEST_DATA!B1058</f>
        <v>Apr-2021</v>
      </c>
      <c r="C1058">
        <f>TEST_DATA!C1058</f>
        <v>44117</v>
      </c>
      <c r="D1058" t="str">
        <f>TEST_DATA!D1058</f>
        <v>NIL</v>
      </c>
      <c r="E1058">
        <f>TEST_DATA!E1058</f>
        <v>1274</v>
      </c>
      <c r="F1058">
        <f>MIN(E1058*105800,10000)</f>
        <v>10000</v>
      </c>
      <c r="G1058" t="e">
        <f ca="1">_xludf.MINIFS(CBIC_Late_Fee_Relief_Windows_1!$I$100:$I$1058,CBIC_Late_Fee_Relief_Windows_1!$D$100:$D$1058,"&lt;="&amp;B1058,CBIC_Late_Fee_Relief_Windows_1!$E$100:$E$1058,"&gt;="&amp;B1058,CBIC_Late_Fee_Relief_Windows_1!$F$100:$F$1058,"&lt;="&amp;C1058,CBIC_Late_Fee_Relief_Windows_1!$G$100:$G$1058,"&gt;="&amp;C1058,CBIC_Late_Fee_Relief_Windows_1!$H$100:$H$1058,D1058)</f>
        <v>#NAME?</v>
      </c>
      <c r="H1058" t="e">
        <f t="shared" ca="1" si="16"/>
        <v>#NAME?</v>
      </c>
      <c r="I1058" t="e">
        <f ca="1">INDEX(CBIC_Late_Fee_Relief_Windows_1!$B$100:$B$1058,MATCH(G1058,CBIC_Late_Fee_Relief_Windows_1!$I$100:$I$1058,0))</f>
        <v>#NAME?</v>
      </c>
    </row>
    <row r="1059" spans="1:9" x14ac:dyDescent="0.55000000000000004">
      <c r="A1059" t="str">
        <f>TEST_DATA!A1059</f>
        <v>27AAAAA1059Z5</v>
      </c>
      <c r="B1059" t="str">
        <f>TEST_DATA!B1059</f>
        <v>Jul-2020</v>
      </c>
      <c r="C1059">
        <f>TEST_DATA!C1059</f>
        <v>44868</v>
      </c>
      <c r="D1059" t="str">
        <f>TEST_DATA!D1059</f>
        <v>NON-NIL</v>
      </c>
      <c r="E1059">
        <f>TEST_DATA!E1059</f>
        <v>555</v>
      </c>
      <c r="F1059">
        <f>MIN(E1059*105900,10000)</f>
        <v>10000</v>
      </c>
      <c r="G1059" t="e">
        <f ca="1">_xludf.MINIFS(CBIC_Late_Fee_Relief_Windows_1!$I$100:$I$1059,CBIC_Late_Fee_Relief_Windows_1!$D$100:$D$1059,"&lt;="&amp;B1059,CBIC_Late_Fee_Relief_Windows_1!$E$100:$E$1059,"&gt;="&amp;B1059,CBIC_Late_Fee_Relief_Windows_1!$F$100:$F$1059,"&lt;="&amp;C1059,CBIC_Late_Fee_Relief_Windows_1!$G$100:$G$1059,"&gt;="&amp;C1059,CBIC_Late_Fee_Relief_Windows_1!$H$100:$H$1059,D1059)</f>
        <v>#NAME?</v>
      </c>
      <c r="H1059" t="e">
        <f t="shared" ca="1" si="16"/>
        <v>#NAME?</v>
      </c>
      <c r="I1059" t="e">
        <f ca="1">INDEX(CBIC_Late_Fee_Relief_Windows_1!$B$100:$B$1059,MATCH(G1059,CBIC_Late_Fee_Relief_Windows_1!$I$100:$I$1059,0))</f>
        <v>#NAME?</v>
      </c>
    </row>
    <row r="1060" spans="1:9" x14ac:dyDescent="0.55000000000000004">
      <c r="A1060" t="str">
        <f>TEST_DATA!A1060</f>
        <v>27AAAAA1060Z5</v>
      </c>
      <c r="B1060" t="str">
        <f>TEST_DATA!B1060</f>
        <v>Mar-2021</v>
      </c>
      <c r="C1060">
        <f>TEST_DATA!C1060</f>
        <v>45613</v>
      </c>
      <c r="D1060" t="str">
        <f>TEST_DATA!D1060</f>
        <v>NIL</v>
      </c>
      <c r="E1060">
        <f>TEST_DATA!E1060</f>
        <v>711</v>
      </c>
      <c r="F1060">
        <f>MIN(E1060*106000,10000)</f>
        <v>10000</v>
      </c>
      <c r="G1060" t="e">
        <f ca="1">_xludf.MINIFS(CBIC_Late_Fee_Relief_Windows_1!$I$100:$I$1060,CBIC_Late_Fee_Relief_Windows_1!$D$100:$D$1060,"&lt;="&amp;B1060,CBIC_Late_Fee_Relief_Windows_1!$E$100:$E$1060,"&gt;="&amp;B1060,CBIC_Late_Fee_Relief_Windows_1!$F$100:$F$1060,"&lt;="&amp;C1060,CBIC_Late_Fee_Relief_Windows_1!$G$100:$G$1060,"&gt;="&amp;C1060,CBIC_Late_Fee_Relief_Windows_1!$H$100:$H$1060,D1060)</f>
        <v>#NAME?</v>
      </c>
      <c r="H1060" t="e">
        <f t="shared" ca="1" si="16"/>
        <v>#NAME?</v>
      </c>
      <c r="I1060" t="e">
        <f ca="1">INDEX(CBIC_Late_Fee_Relief_Windows_1!$B$100:$B$1060,MATCH(G1060,CBIC_Late_Fee_Relief_Windows_1!$I$100:$I$1060,0))</f>
        <v>#NAME?</v>
      </c>
    </row>
    <row r="1061" spans="1:9" x14ac:dyDescent="0.55000000000000004">
      <c r="A1061" t="str">
        <f>TEST_DATA!A1061</f>
        <v>27AAAAA1061Z5</v>
      </c>
      <c r="B1061" t="str">
        <f>TEST_DATA!B1061</f>
        <v>Jan-2018</v>
      </c>
      <c r="C1061">
        <f>TEST_DATA!C1061</f>
        <v>43328</v>
      </c>
      <c r="D1061" t="str">
        <f>TEST_DATA!D1061</f>
        <v>NIL</v>
      </c>
      <c r="E1061">
        <f>TEST_DATA!E1061</f>
        <v>1021</v>
      </c>
      <c r="F1061">
        <f>MIN(E1061*106100,10000)</f>
        <v>10000</v>
      </c>
      <c r="G1061" t="e">
        <f ca="1">_xludf.MINIFS(CBIC_Late_Fee_Relief_Windows_1!$I$100:$I$1061,CBIC_Late_Fee_Relief_Windows_1!$D$100:$D$1061,"&lt;="&amp;B1061,CBIC_Late_Fee_Relief_Windows_1!$E$100:$E$1061,"&gt;="&amp;B1061,CBIC_Late_Fee_Relief_Windows_1!$F$100:$F$1061,"&lt;="&amp;C1061,CBIC_Late_Fee_Relief_Windows_1!$G$100:$G$1061,"&gt;="&amp;C1061,CBIC_Late_Fee_Relief_Windows_1!$H$100:$H$1061,D1061)</f>
        <v>#NAME?</v>
      </c>
      <c r="H1061" t="e">
        <f t="shared" ca="1" si="16"/>
        <v>#NAME?</v>
      </c>
      <c r="I1061" t="e">
        <f ca="1">INDEX(CBIC_Late_Fee_Relief_Windows_1!$B$100:$B$1061,MATCH(G1061,CBIC_Late_Fee_Relief_Windows_1!$I$100:$I$1061,0))</f>
        <v>#NAME?</v>
      </c>
    </row>
    <row r="1062" spans="1:9" x14ac:dyDescent="0.55000000000000004">
      <c r="A1062" t="str">
        <f>TEST_DATA!A1062</f>
        <v>27AAAAA1062Z5</v>
      </c>
      <c r="B1062" t="str">
        <f>TEST_DATA!B1062</f>
        <v>Aug-2017</v>
      </c>
      <c r="C1062">
        <f>TEST_DATA!C1062</f>
        <v>43851</v>
      </c>
      <c r="D1062" t="str">
        <f>TEST_DATA!D1062</f>
        <v>NIL</v>
      </c>
      <c r="E1062">
        <f>TEST_DATA!E1062</f>
        <v>1476</v>
      </c>
      <c r="F1062">
        <f>MIN(E1062*106200,10000)</f>
        <v>10000</v>
      </c>
      <c r="G1062" t="e">
        <f ca="1">_xludf.MINIFS(CBIC_Late_Fee_Relief_Windows_1!$I$100:$I$1062,CBIC_Late_Fee_Relief_Windows_1!$D$100:$D$1062,"&lt;="&amp;B1062,CBIC_Late_Fee_Relief_Windows_1!$E$100:$E$1062,"&gt;="&amp;B1062,CBIC_Late_Fee_Relief_Windows_1!$F$100:$F$1062,"&lt;="&amp;C1062,CBIC_Late_Fee_Relief_Windows_1!$G$100:$G$1062,"&gt;="&amp;C1062,CBIC_Late_Fee_Relief_Windows_1!$H$100:$H$1062,D1062)</f>
        <v>#NAME?</v>
      </c>
      <c r="H1062" t="e">
        <f t="shared" ca="1" si="16"/>
        <v>#NAME?</v>
      </c>
      <c r="I1062" t="e">
        <f ca="1">INDEX(CBIC_Late_Fee_Relief_Windows_1!$B$100:$B$1062,MATCH(G1062,CBIC_Late_Fee_Relief_Windows_1!$I$100:$I$1062,0))</f>
        <v>#NAME?</v>
      </c>
    </row>
    <row r="1063" spans="1:9" x14ac:dyDescent="0.55000000000000004">
      <c r="A1063" t="str">
        <f>TEST_DATA!A1063</f>
        <v>27AAAAA1063Z5</v>
      </c>
      <c r="B1063" t="str">
        <f>TEST_DATA!B1063</f>
        <v>Jul-2020</v>
      </c>
      <c r="C1063">
        <f>TEST_DATA!C1063</f>
        <v>44238</v>
      </c>
      <c r="D1063" t="str">
        <f>TEST_DATA!D1063</f>
        <v>NON-NIL</v>
      </c>
      <c r="E1063">
        <f>TEST_DATA!E1063</f>
        <v>1508</v>
      </c>
      <c r="F1063">
        <f>MIN(E1063*106300,10000)</f>
        <v>10000</v>
      </c>
      <c r="G1063" t="e">
        <f ca="1">_xludf.MINIFS(CBIC_Late_Fee_Relief_Windows_1!$I$100:$I$1063,CBIC_Late_Fee_Relief_Windows_1!$D$100:$D$1063,"&lt;="&amp;B1063,CBIC_Late_Fee_Relief_Windows_1!$E$100:$E$1063,"&gt;="&amp;B1063,CBIC_Late_Fee_Relief_Windows_1!$F$100:$F$1063,"&lt;="&amp;C1063,CBIC_Late_Fee_Relief_Windows_1!$G$100:$G$1063,"&gt;="&amp;C1063,CBIC_Late_Fee_Relief_Windows_1!$H$100:$H$1063,D1063)</f>
        <v>#NAME?</v>
      </c>
      <c r="H1063" t="e">
        <f t="shared" ca="1" si="16"/>
        <v>#NAME?</v>
      </c>
      <c r="I1063" t="e">
        <f ca="1">INDEX(CBIC_Late_Fee_Relief_Windows_1!$B$100:$B$1063,MATCH(G1063,CBIC_Late_Fee_Relief_Windows_1!$I$100:$I$1063,0))</f>
        <v>#NAME?</v>
      </c>
    </row>
    <row r="1064" spans="1:9" x14ac:dyDescent="0.55000000000000004">
      <c r="A1064" t="str">
        <f>TEST_DATA!A1064</f>
        <v>27AAAAA1064Z5</v>
      </c>
      <c r="B1064" t="str">
        <f>TEST_DATA!B1064</f>
        <v>Dec-2022</v>
      </c>
      <c r="C1064">
        <f>TEST_DATA!C1064</f>
        <v>45367</v>
      </c>
      <c r="D1064" t="str">
        <f>TEST_DATA!D1064</f>
        <v>NON-NIL</v>
      </c>
      <c r="E1064">
        <f>TEST_DATA!E1064</f>
        <v>2602</v>
      </c>
      <c r="F1064">
        <f>MIN(E1064*106400,10000)</f>
        <v>10000</v>
      </c>
      <c r="G1064" t="e">
        <f ca="1">_xludf.MINIFS(CBIC_Late_Fee_Relief_Windows_1!$I$100:$I$1064,CBIC_Late_Fee_Relief_Windows_1!$D$100:$D$1064,"&lt;="&amp;B1064,CBIC_Late_Fee_Relief_Windows_1!$E$100:$E$1064,"&gt;="&amp;B1064,CBIC_Late_Fee_Relief_Windows_1!$F$100:$F$1064,"&lt;="&amp;C1064,CBIC_Late_Fee_Relief_Windows_1!$G$100:$G$1064,"&gt;="&amp;C1064,CBIC_Late_Fee_Relief_Windows_1!$H$100:$H$1064,D1064)</f>
        <v>#NAME?</v>
      </c>
      <c r="H1064" t="e">
        <f t="shared" ca="1" si="16"/>
        <v>#NAME?</v>
      </c>
      <c r="I1064" t="e">
        <f ca="1">INDEX(CBIC_Late_Fee_Relief_Windows_1!$B$100:$B$1064,MATCH(G1064,CBIC_Late_Fee_Relief_Windows_1!$I$100:$I$1064,0))</f>
        <v>#NAME?</v>
      </c>
    </row>
    <row r="1065" spans="1:9" x14ac:dyDescent="0.55000000000000004">
      <c r="A1065" t="str">
        <f>TEST_DATA!A1065</f>
        <v>27AAAAA1065Z5</v>
      </c>
      <c r="B1065" t="str">
        <f>TEST_DATA!B1065</f>
        <v>Oct-2017</v>
      </c>
      <c r="C1065">
        <f>TEST_DATA!C1065</f>
        <v>44312</v>
      </c>
      <c r="D1065" t="str">
        <f>TEST_DATA!D1065</f>
        <v>NIL</v>
      </c>
      <c r="E1065">
        <f>TEST_DATA!E1065</f>
        <v>990</v>
      </c>
      <c r="F1065">
        <f>MIN(E1065*106500,10000)</f>
        <v>10000</v>
      </c>
      <c r="G1065" t="e">
        <f ca="1">_xludf.MINIFS(CBIC_Late_Fee_Relief_Windows_1!$I$100:$I$1065,CBIC_Late_Fee_Relief_Windows_1!$D$100:$D$1065,"&lt;="&amp;B1065,CBIC_Late_Fee_Relief_Windows_1!$E$100:$E$1065,"&gt;="&amp;B1065,CBIC_Late_Fee_Relief_Windows_1!$F$100:$F$1065,"&lt;="&amp;C1065,CBIC_Late_Fee_Relief_Windows_1!$G$100:$G$1065,"&gt;="&amp;C1065,CBIC_Late_Fee_Relief_Windows_1!$H$100:$H$1065,D1065)</f>
        <v>#NAME?</v>
      </c>
      <c r="H1065" t="e">
        <f t="shared" ca="1" si="16"/>
        <v>#NAME?</v>
      </c>
      <c r="I1065" t="e">
        <f ca="1">INDEX(CBIC_Late_Fee_Relief_Windows_1!$B$100:$B$1065,MATCH(G1065,CBIC_Late_Fee_Relief_Windows_1!$I$100:$I$1065,0))</f>
        <v>#NAME?</v>
      </c>
    </row>
    <row r="1066" spans="1:9" x14ac:dyDescent="0.55000000000000004">
      <c r="A1066" t="str">
        <f>TEST_DATA!A1066</f>
        <v>27AAAAA1066Z5</v>
      </c>
      <c r="B1066" t="str">
        <f>TEST_DATA!B1066</f>
        <v>Jun-2018</v>
      </c>
      <c r="C1066">
        <f>TEST_DATA!C1066</f>
        <v>43918</v>
      </c>
      <c r="D1066" t="str">
        <f>TEST_DATA!D1066</f>
        <v>NON-NIL</v>
      </c>
      <c r="E1066">
        <f>TEST_DATA!E1066</f>
        <v>727</v>
      </c>
      <c r="F1066">
        <f>MIN(E1066*106600,10000)</f>
        <v>10000</v>
      </c>
      <c r="G1066" t="e">
        <f ca="1">_xludf.MINIFS(CBIC_Late_Fee_Relief_Windows_1!$I$100:$I$1066,CBIC_Late_Fee_Relief_Windows_1!$D$100:$D$1066,"&lt;="&amp;B1066,CBIC_Late_Fee_Relief_Windows_1!$E$100:$E$1066,"&gt;="&amp;B1066,CBIC_Late_Fee_Relief_Windows_1!$F$100:$F$1066,"&lt;="&amp;C1066,CBIC_Late_Fee_Relief_Windows_1!$G$100:$G$1066,"&gt;="&amp;C1066,CBIC_Late_Fee_Relief_Windows_1!$H$100:$H$1066,D1066)</f>
        <v>#NAME?</v>
      </c>
      <c r="H1066" t="e">
        <f t="shared" ca="1" si="16"/>
        <v>#NAME?</v>
      </c>
      <c r="I1066" t="e">
        <f ca="1">INDEX(CBIC_Late_Fee_Relief_Windows_1!$B$100:$B$1066,MATCH(G1066,CBIC_Late_Fee_Relief_Windows_1!$I$100:$I$1066,0))</f>
        <v>#NAME?</v>
      </c>
    </row>
    <row r="1067" spans="1:9" x14ac:dyDescent="0.55000000000000004">
      <c r="A1067" t="str">
        <f>TEST_DATA!A1067</f>
        <v>27AAAAA1067Z5</v>
      </c>
      <c r="B1067" t="str">
        <f>TEST_DATA!B1067</f>
        <v>Mar-2023</v>
      </c>
      <c r="C1067">
        <f>TEST_DATA!C1067</f>
        <v>45409</v>
      </c>
      <c r="D1067" t="str">
        <f>TEST_DATA!D1067</f>
        <v>NON-NIL</v>
      </c>
      <c r="E1067">
        <f>TEST_DATA!E1067</f>
        <v>1410</v>
      </c>
      <c r="F1067">
        <f>MIN(E1067*106700,10000)</f>
        <v>10000</v>
      </c>
      <c r="G1067" t="e">
        <f ca="1">_xludf.MINIFS(CBIC_Late_Fee_Relief_Windows_1!$I$100:$I$1067,CBIC_Late_Fee_Relief_Windows_1!$D$100:$D$1067,"&lt;="&amp;B1067,CBIC_Late_Fee_Relief_Windows_1!$E$100:$E$1067,"&gt;="&amp;B1067,CBIC_Late_Fee_Relief_Windows_1!$F$100:$F$1067,"&lt;="&amp;C1067,CBIC_Late_Fee_Relief_Windows_1!$G$100:$G$1067,"&gt;="&amp;C1067,CBIC_Late_Fee_Relief_Windows_1!$H$100:$H$1067,D1067)</f>
        <v>#NAME?</v>
      </c>
      <c r="H1067" t="e">
        <f t="shared" ca="1" si="16"/>
        <v>#NAME?</v>
      </c>
      <c r="I1067" t="e">
        <f ca="1">INDEX(CBIC_Late_Fee_Relief_Windows_1!$B$100:$B$1067,MATCH(G1067,CBIC_Late_Fee_Relief_Windows_1!$I$100:$I$1067,0))</f>
        <v>#NAME?</v>
      </c>
    </row>
    <row r="1068" spans="1:9" x14ac:dyDescent="0.55000000000000004">
      <c r="A1068" t="str">
        <f>TEST_DATA!A1068</f>
        <v>27AAAAA1068Z5</v>
      </c>
      <c r="B1068" t="str">
        <f>TEST_DATA!B1068</f>
        <v>Dec-2017</v>
      </c>
      <c r="C1068">
        <f>TEST_DATA!C1068</f>
        <v>43446</v>
      </c>
      <c r="D1068" t="str">
        <f>TEST_DATA!D1068</f>
        <v>NIL</v>
      </c>
      <c r="E1068">
        <f>TEST_DATA!E1068</f>
        <v>1167</v>
      </c>
      <c r="F1068">
        <f>MIN(E1068*106800,10000)</f>
        <v>10000</v>
      </c>
      <c r="G1068" t="e">
        <f ca="1">_xludf.MINIFS(CBIC_Late_Fee_Relief_Windows_1!$I$100:$I$1068,CBIC_Late_Fee_Relief_Windows_1!$D$100:$D$1068,"&lt;="&amp;B1068,CBIC_Late_Fee_Relief_Windows_1!$E$100:$E$1068,"&gt;="&amp;B1068,CBIC_Late_Fee_Relief_Windows_1!$F$100:$F$1068,"&lt;="&amp;C1068,CBIC_Late_Fee_Relief_Windows_1!$G$100:$G$1068,"&gt;="&amp;C1068,CBIC_Late_Fee_Relief_Windows_1!$H$100:$H$1068,D1068)</f>
        <v>#NAME?</v>
      </c>
      <c r="H1068" t="e">
        <f t="shared" ca="1" si="16"/>
        <v>#NAME?</v>
      </c>
      <c r="I1068" t="e">
        <f ca="1">INDEX(CBIC_Late_Fee_Relief_Windows_1!$B$100:$B$1068,MATCH(G1068,CBIC_Late_Fee_Relief_Windows_1!$I$100:$I$1068,0))</f>
        <v>#NAME?</v>
      </c>
    </row>
    <row r="1069" spans="1:9" x14ac:dyDescent="0.55000000000000004">
      <c r="A1069" t="str">
        <f>TEST_DATA!A1069</f>
        <v>27AAAAA1069Z5</v>
      </c>
      <c r="B1069" t="str">
        <f>TEST_DATA!B1069</f>
        <v>Jul-2017</v>
      </c>
      <c r="C1069">
        <f>TEST_DATA!C1069</f>
        <v>43708</v>
      </c>
      <c r="D1069" t="str">
        <f>TEST_DATA!D1069</f>
        <v>NIL</v>
      </c>
      <c r="E1069">
        <f>TEST_DATA!E1069</f>
        <v>667</v>
      </c>
      <c r="F1069">
        <f>MIN(E1069*106900,10000)</f>
        <v>10000</v>
      </c>
      <c r="G1069" t="e">
        <f ca="1">_xludf.MINIFS(CBIC_Late_Fee_Relief_Windows_1!$I$100:$I$1069,CBIC_Late_Fee_Relief_Windows_1!$D$100:$D$1069,"&lt;="&amp;B1069,CBIC_Late_Fee_Relief_Windows_1!$E$100:$E$1069,"&gt;="&amp;B1069,CBIC_Late_Fee_Relief_Windows_1!$F$100:$F$1069,"&lt;="&amp;C1069,CBIC_Late_Fee_Relief_Windows_1!$G$100:$G$1069,"&gt;="&amp;C1069,CBIC_Late_Fee_Relief_Windows_1!$H$100:$H$1069,D1069)</f>
        <v>#NAME?</v>
      </c>
      <c r="H1069" t="e">
        <f t="shared" ca="1" si="16"/>
        <v>#NAME?</v>
      </c>
      <c r="I1069" t="e">
        <f ca="1">INDEX(CBIC_Late_Fee_Relief_Windows_1!$B$100:$B$1069,MATCH(G1069,CBIC_Late_Fee_Relief_Windows_1!$I$100:$I$1069,0))</f>
        <v>#NAME?</v>
      </c>
    </row>
    <row r="1070" spans="1:9" x14ac:dyDescent="0.55000000000000004">
      <c r="A1070" t="str">
        <f>TEST_DATA!A1070</f>
        <v>27AAAAA1070Z5</v>
      </c>
      <c r="B1070" t="str">
        <f>TEST_DATA!B1070</f>
        <v>Mar-2023</v>
      </c>
      <c r="C1070">
        <f>TEST_DATA!C1070</f>
        <v>45809</v>
      </c>
      <c r="D1070" t="str">
        <f>TEST_DATA!D1070</f>
        <v>NIL</v>
      </c>
      <c r="E1070">
        <f>TEST_DATA!E1070</f>
        <v>906</v>
      </c>
      <c r="F1070">
        <f>MIN(E1070*107000,10000)</f>
        <v>10000</v>
      </c>
      <c r="G1070" t="e">
        <f ca="1">_xludf.MINIFS(CBIC_Late_Fee_Relief_Windows_1!$I$100:$I$1070,CBIC_Late_Fee_Relief_Windows_1!$D$100:$D$1070,"&lt;="&amp;B1070,CBIC_Late_Fee_Relief_Windows_1!$E$100:$E$1070,"&gt;="&amp;B1070,CBIC_Late_Fee_Relief_Windows_1!$F$100:$F$1070,"&lt;="&amp;C1070,CBIC_Late_Fee_Relief_Windows_1!$G$100:$G$1070,"&gt;="&amp;C1070,CBIC_Late_Fee_Relief_Windows_1!$H$100:$H$1070,D1070)</f>
        <v>#NAME?</v>
      </c>
      <c r="H1070" t="e">
        <f t="shared" ca="1" si="16"/>
        <v>#NAME?</v>
      </c>
      <c r="I1070" t="e">
        <f ca="1">INDEX(CBIC_Late_Fee_Relief_Windows_1!$B$100:$B$1070,MATCH(G1070,CBIC_Late_Fee_Relief_Windows_1!$I$100:$I$1070,0))</f>
        <v>#NAME?</v>
      </c>
    </row>
    <row r="1071" spans="1:9" x14ac:dyDescent="0.55000000000000004">
      <c r="A1071" t="str">
        <f>TEST_DATA!A1071</f>
        <v>27AAAAA1071Z5</v>
      </c>
      <c r="B1071" t="str">
        <f>TEST_DATA!B1071</f>
        <v>May-2020</v>
      </c>
      <c r="C1071">
        <f>TEST_DATA!C1071</f>
        <v>44292</v>
      </c>
      <c r="D1071" t="str">
        <f>TEST_DATA!D1071</f>
        <v>NIL</v>
      </c>
      <c r="E1071">
        <f>TEST_DATA!E1071</f>
        <v>1102</v>
      </c>
      <c r="F1071">
        <f>MIN(E1071*107100,10000)</f>
        <v>10000</v>
      </c>
      <c r="G1071" t="e">
        <f ca="1">_xludf.MINIFS(CBIC_Late_Fee_Relief_Windows_1!$I$100:$I$1071,CBIC_Late_Fee_Relief_Windows_1!$D$100:$D$1071,"&lt;="&amp;B1071,CBIC_Late_Fee_Relief_Windows_1!$E$100:$E$1071,"&gt;="&amp;B1071,CBIC_Late_Fee_Relief_Windows_1!$F$100:$F$1071,"&lt;="&amp;C1071,CBIC_Late_Fee_Relief_Windows_1!$G$100:$G$1071,"&gt;="&amp;C1071,CBIC_Late_Fee_Relief_Windows_1!$H$100:$H$1071,D1071)</f>
        <v>#NAME?</v>
      </c>
      <c r="H1071" t="e">
        <f t="shared" ca="1" si="16"/>
        <v>#NAME?</v>
      </c>
      <c r="I1071" t="e">
        <f ca="1">INDEX(CBIC_Late_Fee_Relief_Windows_1!$B$100:$B$1071,MATCH(G1071,CBIC_Late_Fee_Relief_Windows_1!$I$100:$I$1071,0))</f>
        <v>#NAME?</v>
      </c>
    </row>
    <row r="1072" spans="1:9" x14ac:dyDescent="0.55000000000000004">
      <c r="A1072" t="str">
        <f>TEST_DATA!A1072</f>
        <v>27AAAAA1072Z5</v>
      </c>
      <c r="B1072" t="str">
        <f>TEST_DATA!B1072</f>
        <v>May-2020</v>
      </c>
      <c r="C1072">
        <f>TEST_DATA!C1072</f>
        <v>44669</v>
      </c>
      <c r="D1072" t="str">
        <f>TEST_DATA!D1072</f>
        <v>NIL</v>
      </c>
      <c r="E1072">
        <f>TEST_DATA!E1072</f>
        <v>2794</v>
      </c>
      <c r="F1072">
        <f>MIN(E1072*107200,10000)</f>
        <v>10000</v>
      </c>
      <c r="G1072" t="e">
        <f ca="1">_xludf.MINIFS(CBIC_Late_Fee_Relief_Windows_1!$I$100:$I$1072,CBIC_Late_Fee_Relief_Windows_1!$D$100:$D$1072,"&lt;="&amp;B1072,CBIC_Late_Fee_Relief_Windows_1!$E$100:$E$1072,"&gt;="&amp;B1072,CBIC_Late_Fee_Relief_Windows_1!$F$100:$F$1072,"&lt;="&amp;C1072,CBIC_Late_Fee_Relief_Windows_1!$G$100:$G$1072,"&gt;="&amp;C1072,CBIC_Late_Fee_Relief_Windows_1!$H$100:$H$1072,D1072)</f>
        <v>#NAME?</v>
      </c>
      <c r="H1072" t="e">
        <f t="shared" ca="1" si="16"/>
        <v>#NAME?</v>
      </c>
      <c r="I1072" t="e">
        <f ca="1">INDEX(CBIC_Late_Fee_Relief_Windows_1!$B$100:$B$1072,MATCH(G1072,CBIC_Late_Fee_Relief_Windows_1!$I$100:$I$1072,0))</f>
        <v>#NAME?</v>
      </c>
    </row>
    <row r="1073" spans="1:9" x14ac:dyDescent="0.55000000000000004">
      <c r="A1073" t="str">
        <f>TEST_DATA!A1073</f>
        <v>27AAAAA1073Z5</v>
      </c>
      <c r="B1073" t="str">
        <f>TEST_DATA!B1073</f>
        <v>Jul-2017</v>
      </c>
      <c r="C1073">
        <f>TEST_DATA!C1073</f>
        <v>43887</v>
      </c>
      <c r="D1073" t="str">
        <f>TEST_DATA!D1073</f>
        <v>NIL</v>
      </c>
      <c r="E1073">
        <f>TEST_DATA!E1073</f>
        <v>2651</v>
      </c>
      <c r="F1073">
        <f>MIN(E1073*107300,10000)</f>
        <v>10000</v>
      </c>
      <c r="G1073" t="e">
        <f ca="1">_xludf.MINIFS(CBIC_Late_Fee_Relief_Windows_1!$I$100:$I$1073,CBIC_Late_Fee_Relief_Windows_1!$D$100:$D$1073,"&lt;="&amp;B1073,CBIC_Late_Fee_Relief_Windows_1!$E$100:$E$1073,"&gt;="&amp;B1073,CBIC_Late_Fee_Relief_Windows_1!$F$100:$F$1073,"&lt;="&amp;C1073,CBIC_Late_Fee_Relief_Windows_1!$G$100:$G$1073,"&gt;="&amp;C1073,CBIC_Late_Fee_Relief_Windows_1!$H$100:$H$1073,D1073)</f>
        <v>#NAME?</v>
      </c>
      <c r="H1073" t="e">
        <f t="shared" ca="1" si="16"/>
        <v>#NAME?</v>
      </c>
      <c r="I1073" t="e">
        <f ca="1">INDEX(CBIC_Late_Fee_Relief_Windows_1!$B$100:$B$1073,MATCH(G1073,CBIC_Late_Fee_Relief_Windows_1!$I$100:$I$1073,0))</f>
        <v>#NAME?</v>
      </c>
    </row>
    <row r="1074" spans="1:9" x14ac:dyDescent="0.55000000000000004">
      <c r="A1074" t="str">
        <f>TEST_DATA!A1074</f>
        <v>27AAAAA1074Z5</v>
      </c>
      <c r="B1074" t="str">
        <f>TEST_DATA!B1074</f>
        <v>Dec-2017</v>
      </c>
      <c r="C1074">
        <f>TEST_DATA!C1074</f>
        <v>44148</v>
      </c>
      <c r="D1074" t="str">
        <f>TEST_DATA!D1074</f>
        <v>NIL</v>
      </c>
      <c r="E1074">
        <f>TEST_DATA!E1074</f>
        <v>916</v>
      </c>
      <c r="F1074">
        <f>MIN(E1074*107400,10000)</f>
        <v>10000</v>
      </c>
      <c r="G1074" t="e">
        <f ca="1">_xludf.MINIFS(CBIC_Late_Fee_Relief_Windows_1!$I$100:$I$1074,CBIC_Late_Fee_Relief_Windows_1!$D$100:$D$1074,"&lt;="&amp;B1074,CBIC_Late_Fee_Relief_Windows_1!$E$100:$E$1074,"&gt;="&amp;B1074,CBIC_Late_Fee_Relief_Windows_1!$F$100:$F$1074,"&lt;="&amp;C1074,CBIC_Late_Fee_Relief_Windows_1!$G$100:$G$1074,"&gt;="&amp;C1074,CBIC_Late_Fee_Relief_Windows_1!$H$100:$H$1074,D1074)</f>
        <v>#NAME?</v>
      </c>
      <c r="H1074" t="e">
        <f t="shared" ca="1" si="16"/>
        <v>#NAME?</v>
      </c>
      <c r="I1074" t="e">
        <f ca="1">INDEX(CBIC_Late_Fee_Relief_Windows_1!$B$100:$B$1074,MATCH(G1074,CBIC_Late_Fee_Relief_Windows_1!$I$100:$I$1074,0))</f>
        <v>#NAME?</v>
      </c>
    </row>
    <row r="1075" spans="1:9" x14ac:dyDescent="0.55000000000000004">
      <c r="A1075" t="str">
        <f>TEST_DATA!A1075</f>
        <v>27AAAAA1075Z5</v>
      </c>
      <c r="B1075" t="str">
        <f>TEST_DATA!B1075</f>
        <v>Mar-2018</v>
      </c>
      <c r="C1075">
        <f>TEST_DATA!C1075</f>
        <v>44162</v>
      </c>
      <c r="D1075" t="str">
        <f>TEST_DATA!D1075</f>
        <v>NON-NIL</v>
      </c>
      <c r="E1075">
        <f>TEST_DATA!E1075</f>
        <v>2919</v>
      </c>
      <c r="F1075">
        <f>MIN(E1075*107500,10000)</f>
        <v>10000</v>
      </c>
      <c r="G1075" t="e">
        <f ca="1">_xludf.MINIFS(CBIC_Late_Fee_Relief_Windows_1!$I$100:$I$1075,CBIC_Late_Fee_Relief_Windows_1!$D$100:$D$1075,"&lt;="&amp;B1075,CBIC_Late_Fee_Relief_Windows_1!$E$100:$E$1075,"&gt;="&amp;B1075,CBIC_Late_Fee_Relief_Windows_1!$F$100:$F$1075,"&lt;="&amp;C1075,CBIC_Late_Fee_Relief_Windows_1!$G$100:$G$1075,"&gt;="&amp;C1075,CBIC_Late_Fee_Relief_Windows_1!$H$100:$H$1075,D1075)</f>
        <v>#NAME?</v>
      </c>
      <c r="H1075" t="e">
        <f t="shared" ca="1" si="16"/>
        <v>#NAME?</v>
      </c>
      <c r="I1075" t="e">
        <f ca="1">INDEX(CBIC_Late_Fee_Relief_Windows_1!$B$100:$B$1075,MATCH(G1075,CBIC_Late_Fee_Relief_Windows_1!$I$100:$I$1075,0))</f>
        <v>#NAME?</v>
      </c>
    </row>
    <row r="1076" spans="1:9" x14ac:dyDescent="0.55000000000000004">
      <c r="A1076" t="str">
        <f>TEST_DATA!A1076</f>
        <v>27AAAAA1076Z5</v>
      </c>
      <c r="B1076" t="str">
        <f>TEST_DATA!B1076</f>
        <v>Jul-2020</v>
      </c>
      <c r="C1076">
        <f>TEST_DATA!C1076</f>
        <v>44394</v>
      </c>
      <c r="D1076" t="str">
        <f>TEST_DATA!D1076</f>
        <v>NON-NIL</v>
      </c>
      <c r="E1076">
        <f>TEST_DATA!E1076</f>
        <v>1542</v>
      </c>
      <c r="F1076">
        <f>MIN(E1076*107600,10000)</f>
        <v>10000</v>
      </c>
      <c r="G1076" t="e">
        <f ca="1">_xludf.MINIFS(CBIC_Late_Fee_Relief_Windows_1!$I$100:$I$1076,CBIC_Late_Fee_Relief_Windows_1!$D$100:$D$1076,"&lt;="&amp;B1076,CBIC_Late_Fee_Relief_Windows_1!$E$100:$E$1076,"&gt;="&amp;B1076,CBIC_Late_Fee_Relief_Windows_1!$F$100:$F$1076,"&lt;="&amp;C1076,CBIC_Late_Fee_Relief_Windows_1!$G$100:$G$1076,"&gt;="&amp;C1076,CBIC_Late_Fee_Relief_Windows_1!$H$100:$H$1076,D1076)</f>
        <v>#NAME?</v>
      </c>
      <c r="H1076" t="e">
        <f t="shared" ca="1" si="16"/>
        <v>#NAME?</v>
      </c>
      <c r="I1076" t="e">
        <f ca="1">INDEX(CBIC_Late_Fee_Relief_Windows_1!$B$100:$B$1076,MATCH(G1076,CBIC_Late_Fee_Relief_Windows_1!$I$100:$I$1076,0))</f>
        <v>#NAME?</v>
      </c>
    </row>
    <row r="1077" spans="1:9" x14ac:dyDescent="0.55000000000000004">
      <c r="A1077" t="str">
        <f>TEST_DATA!A1077</f>
        <v>27AAAAA1077Z5</v>
      </c>
      <c r="B1077" t="str">
        <f>TEST_DATA!B1077</f>
        <v>Mar-2023</v>
      </c>
      <c r="C1077">
        <f>TEST_DATA!C1077</f>
        <v>44894</v>
      </c>
      <c r="D1077" t="str">
        <f>TEST_DATA!D1077</f>
        <v>NON-NIL</v>
      </c>
      <c r="E1077">
        <f>TEST_DATA!E1077</f>
        <v>1032</v>
      </c>
      <c r="F1077">
        <f>MIN(E1077*107700,10000)</f>
        <v>10000</v>
      </c>
      <c r="G1077" t="e">
        <f ca="1">_xludf.MINIFS(CBIC_Late_Fee_Relief_Windows_1!$I$100:$I$1077,CBIC_Late_Fee_Relief_Windows_1!$D$100:$D$1077,"&lt;="&amp;B1077,CBIC_Late_Fee_Relief_Windows_1!$E$100:$E$1077,"&gt;="&amp;B1077,CBIC_Late_Fee_Relief_Windows_1!$F$100:$F$1077,"&lt;="&amp;C1077,CBIC_Late_Fee_Relief_Windows_1!$G$100:$G$1077,"&gt;="&amp;C1077,CBIC_Late_Fee_Relief_Windows_1!$H$100:$H$1077,D1077)</f>
        <v>#NAME?</v>
      </c>
      <c r="H1077" t="e">
        <f t="shared" ca="1" si="16"/>
        <v>#NAME?</v>
      </c>
      <c r="I1077" t="e">
        <f ca="1">INDEX(CBIC_Late_Fee_Relief_Windows_1!$B$100:$B$1077,MATCH(G1077,CBIC_Late_Fee_Relief_Windows_1!$I$100:$I$1077,0))</f>
        <v>#NAME?</v>
      </c>
    </row>
    <row r="1078" spans="1:9" x14ac:dyDescent="0.55000000000000004">
      <c r="A1078" t="str">
        <f>TEST_DATA!A1078</f>
        <v>27AAAAA1078Z5</v>
      </c>
      <c r="B1078" t="str">
        <f>TEST_DATA!B1078</f>
        <v>Jan-2018</v>
      </c>
      <c r="C1078">
        <f>TEST_DATA!C1078</f>
        <v>43872</v>
      </c>
      <c r="D1078" t="str">
        <f>TEST_DATA!D1078</f>
        <v>NON-NIL</v>
      </c>
      <c r="E1078">
        <f>TEST_DATA!E1078</f>
        <v>2773</v>
      </c>
      <c r="F1078">
        <f>MIN(E1078*107800,10000)</f>
        <v>10000</v>
      </c>
      <c r="G1078" t="e">
        <f ca="1">_xludf.MINIFS(CBIC_Late_Fee_Relief_Windows_1!$I$100:$I$1078,CBIC_Late_Fee_Relief_Windows_1!$D$100:$D$1078,"&lt;="&amp;B1078,CBIC_Late_Fee_Relief_Windows_1!$E$100:$E$1078,"&gt;="&amp;B1078,CBIC_Late_Fee_Relief_Windows_1!$F$100:$F$1078,"&lt;="&amp;C1078,CBIC_Late_Fee_Relief_Windows_1!$G$100:$G$1078,"&gt;="&amp;C1078,CBIC_Late_Fee_Relief_Windows_1!$H$100:$H$1078,D1078)</f>
        <v>#NAME?</v>
      </c>
      <c r="H1078" t="e">
        <f t="shared" ca="1" si="16"/>
        <v>#NAME?</v>
      </c>
      <c r="I1078" t="e">
        <f ca="1">INDEX(CBIC_Late_Fee_Relief_Windows_1!$B$100:$B$1078,MATCH(G1078,CBIC_Late_Fee_Relief_Windows_1!$I$100:$I$1078,0))</f>
        <v>#NAME?</v>
      </c>
    </row>
    <row r="1079" spans="1:9" x14ac:dyDescent="0.55000000000000004">
      <c r="A1079" t="str">
        <f>TEST_DATA!A1079</f>
        <v>27AAAAA1079Z5</v>
      </c>
      <c r="B1079" t="str">
        <f>TEST_DATA!B1079</f>
        <v>Jun-2019</v>
      </c>
      <c r="C1079">
        <f>TEST_DATA!C1079</f>
        <v>45092</v>
      </c>
      <c r="D1079" t="str">
        <f>TEST_DATA!D1079</f>
        <v>NIL</v>
      </c>
      <c r="E1079">
        <f>TEST_DATA!E1079</f>
        <v>30</v>
      </c>
      <c r="F1079">
        <f>MIN(E1079*107900,10000)</f>
        <v>10000</v>
      </c>
      <c r="G1079" t="e">
        <f ca="1">_xludf.MINIFS(CBIC_Late_Fee_Relief_Windows_1!$I$100:$I$1079,CBIC_Late_Fee_Relief_Windows_1!$D$100:$D$1079,"&lt;="&amp;B1079,CBIC_Late_Fee_Relief_Windows_1!$E$100:$E$1079,"&gt;="&amp;B1079,CBIC_Late_Fee_Relief_Windows_1!$F$100:$F$1079,"&lt;="&amp;C1079,CBIC_Late_Fee_Relief_Windows_1!$G$100:$G$1079,"&gt;="&amp;C1079,CBIC_Late_Fee_Relief_Windows_1!$H$100:$H$1079,D1079)</f>
        <v>#NAME?</v>
      </c>
      <c r="H1079" t="e">
        <f t="shared" ca="1" si="16"/>
        <v>#NAME?</v>
      </c>
      <c r="I1079" t="e">
        <f ca="1">INDEX(CBIC_Late_Fee_Relief_Windows_1!$B$100:$B$1079,MATCH(G1079,CBIC_Late_Fee_Relief_Windows_1!$I$100:$I$1079,0))</f>
        <v>#NAME?</v>
      </c>
    </row>
    <row r="1080" spans="1:9" x14ac:dyDescent="0.55000000000000004">
      <c r="A1080" t="str">
        <f>TEST_DATA!A1080</f>
        <v>27AAAAA1080Z5</v>
      </c>
      <c r="B1080" t="str">
        <f>TEST_DATA!B1080</f>
        <v>Jun-2019</v>
      </c>
      <c r="C1080">
        <f>TEST_DATA!C1080</f>
        <v>44998</v>
      </c>
      <c r="D1080" t="str">
        <f>TEST_DATA!D1080</f>
        <v>NON-NIL</v>
      </c>
      <c r="E1080">
        <f>TEST_DATA!E1080</f>
        <v>1222</v>
      </c>
      <c r="F1080">
        <f>MIN(E1080*108000,10000)</f>
        <v>10000</v>
      </c>
      <c r="G1080" t="e">
        <f ca="1">_xludf.MINIFS(CBIC_Late_Fee_Relief_Windows_1!$I$100:$I$1080,CBIC_Late_Fee_Relief_Windows_1!$D$100:$D$1080,"&lt;="&amp;B1080,CBIC_Late_Fee_Relief_Windows_1!$E$100:$E$1080,"&gt;="&amp;B1080,CBIC_Late_Fee_Relief_Windows_1!$F$100:$F$1080,"&lt;="&amp;C1080,CBIC_Late_Fee_Relief_Windows_1!$G$100:$G$1080,"&gt;="&amp;C1080,CBIC_Late_Fee_Relief_Windows_1!$H$100:$H$1080,D1080)</f>
        <v>#NAME?</v>
      </c>
      <c r="H1080" t="e">
        <f t="shared" ca="1" si="16"/>
        <v>#NAME?</v>
      </c>
      <c r="I1080" t="e">
        <f ca="1">INDEX(CBIC_Late_Fee_Relief_Windows_1!$B$100:$B$1080,MATCH(G1080,CBIC_Late_Fee_Relief_Windows_1!$I$100:$I$1080,0))</f>
        <v>#NAME?</v>
      </c>
    </row>
    <row r="1081" spans="1:9" x14ac:dyDescent="0.55000000000000004">
      <c r="A1081" t="str">
        <f>TEST_DATA!A1081</f>
        <v>27AAAAA1081Z5</v>
      </c>
      <c r="B1081" t="str">
        <f>TEST_DATA!B1081</f>
        <v>Jun-2020</v>
      </c>
      <c r="C1081">
        <f>TEST_DATA!C1081</f>
        <v>44052</v>
      </c>
      <c r="D1081" t="str">
        <f>TEST_DATA!D1081</f>
        <v>NON-NIL</v>
      </c>
      <c r="E1081">
        <f>TEST_DATA!E1081</f>
        <v>261</v>
      </c>
      <c r="F1081">
        <f>MIN(E1081*108100,10000)</f>
        <v>10000</v>
      </c>
      <c r="G1081" t="e">
        <f ca="1">_xludf.MINIFS(CBIC_Late_Fee_Relief_Windows_1!$I$100:$I$1081,CBIC_Late_Fee_Relief_Windows_1!$D$100:$D$1081,"&lt;="&amp;B1081,CBIC_Late_Fee_Relief_Windows_1!$E$100:$E$1081,"&gt;="&amp;B1081,CBIC_Late_Fee_Relief_Windows_1!$F$100:$F$1081,"&lt;="&amp;C1081,CBIC_Late_Fee_Relief_Windows_1!$G$100:$G$1081,"&gt;="&amp;C1081,CBIC_Late_Fee_Relief_Windows_1!$H$100:$H$1081,D1081)</f>
        <v>#NAME?</v>
      </c>
      <c r="H1081" t="e">
        <f t="shared" ca="1" si="16"/>
        <v>#NAME?</v>
      </c>
      <c r="I1081" t="e">
        <f ca="1">INDEX(CBIC_Late_Fee_Relief_Windows_1!$B$100:$B$1081,MATCH(G1081,CBIC_Late_Fee_Relief_Windows_1!$I$100:$I$1081,0))</f>
        <v>#NAME?</v>
      </c>
    </row>
    <row r="1082" spans="1:9" x14ac:dyDescent="0.55000000000000004">
      <c r="A1082" t="str">
        <f>TEST_DATA!A1082</f>
        <v>27AAAAA1082Z5</v>
      </c>
      <c r="B1082" t="str">
        <f>TEST_DATA!B1082</f>
        <v>May-2018</v>
      </c>
      <c r="C1082">
        <f>TEST_DATA!C1082</f>
        <v>43483</v>
      </c>
      <c r="D1082" t="str">
        <f>TEST_DATA!D1082</f>
        <v>NON-NIL</v>
      </c>
      <c r="E1082">
        <f>TEST_DATA!E1082</f>
        <v>1134</v>
      </c>
      <c r="F1082">
        <f>MIN(E1082*108200,10000)</f>
        <v>10000</v>
      </c>
      <c r="G1082" t="e">
        <f ca="1">_xludf.MINIFS(CBIC_Late_Fee_Relief_Windows_1!$I$100:$I$1082,CBIC_Late_Fee_Relief_Windows_1!$D$100:$D$1082,"&lt;="&amp;B1082,CBIC_Late_Fee_Relief_Windows_1!$E$100:$E$1082,"&gt;="&amp;B1082,CBIC_Late_Fee_Relief_Windows_1!$F$100:$F$1082,"&lt;="&amp;C1082,CBIC_Late_Fee_Relief_Windows_1!$G$100:$G$1082,"&gt;="&amp;C1082,CBIC_Late_Fee_Relief_Windows_1!$H$100:$H$1082,D1082)</f>
        <v>#NAME?</v>
      </c>
      <c r="H1082" t="e">
        <f t="shared" ca="1" si="16"/>
        <v>#NAME?</v>
      </c>
      <c r="I1082" t="e">
        <f ca="1">INDEX(CBIC_Late_Fee_Relief_Windows_1!$B$100:$B$1082,MATCH(G1082,CBIC_Late_Fee_Relief_Windows_1!$I$100:$I$1082,0))</f>
        <v>#NAME?</v>
      </c>
    </row>
    <row r="1083" spans="1:9" x14ac:dyDescent="0.55000000000000004">
      <c r="A1083" t="str">
        <f>TEST_DATA!A1083</f>
        <v>27AAAAA1083Z5</v>
      </c>
      <c r="B1083" t="str">
        <f>TEST_DATA!B1083</f>
        <v>Mar-2018</v>
      </c>
      <c r="C1083">
        <f>TEST_DATA!C1083</f>
        <v>44260</v>
      </c>
      <c r="D1083" t="str">
        <f>TEST_DATA!D1083</f>
        <v>NON-NIL</v>
      </c>
      <c r="E1083">
        <f>TEST_DATA!E1083</f>
        <v>771</v>
      </c>
      <c r="F1083">
        <f>MIN(E1083*108300,10000)</f>
        <v>10000</v>
      </c>
      <c r="G1083" t="e">
        <f ca="1">_xludf.MINIFS(CBIC_Late_Fee_Relief_Windows_1!$I$100:$I$1083,CBIC_Late_Fee_Relief_Windows_1!$D$100:$D$1083,"&lt;="&amp;B1083,CBIC_Late_Fee_Relief_Windows_1!$E$100:$E$1083,"&gt;="&amp;B1083,CBIC_Late_Fee_Relief_Windows_1!$F$100:$F$1083,"&lt;="&amp;C1083,CBIC_Late_Fee_Relief_Windows_1!$G$100:$G$1083,"&gt;="&amp;C1083,CBIC_Late_Fee_Relief_Windows_1!$H$100:$H$1083,D1083)</f>
        <v>#NAME?</v>
      </c>
      <c r="H1083" t="e">
        <f t="shared" ca="1" si="16"/>
        <v>#NAME?</v>
      </c>
      <c r="I1083" t="e">
        <f ca="1">INDEX(CBIC_Late_Fee_Relief_Windows_1!$B$100:$B$1083,MATCH(G1083,CBIC_Late_Fee_Relief_Windows_1!$I$100:$I$1083,0))</f>
        <v>#NAME?</v>
      </c>
    </row>
    <row r="1084" spans="1:9" x14ac:dyDescent="0.55000000000000004">
      <c r="A1084" t="str">
        <f>TEST_DATA!A1084</f>
        <v>27AAAAA1084Z5</v>
      </c>
      <c r="B1084" t="str">
        <f>TEST_DATA!B1084</f>
        <v>Nov-2017</v>
      </c>
      <c r="C1084">
        <f>TEST_DATA!C1084</f>
        <v>43976</v>
      </c>
      <c r="D1084" t="str">
        <f>TEST_DATA!D1084</f>
        <v>NIL</v>
      </c>
      <c r="E1084">
        <f>TEST_DATA!E1084</f>
        <v>232</v>
      </c>
      <c r="F1084">
        <f>MIN(E1084*108400,10000)</f>
        <v>10000</v>
      </c>
      <c r="G1084" t="e">
        <f ca="1">_xludf.MINIFS(CBIC_Late_Fee_Relief_Windows_1!$I$100:$I$1084,CBIC_Late_Fee_Relief_Windows_1!$D$100:$D$1084,"&lt;="&amp;B1084,CBIC_Late_Fee_Relief_Windows_1!$E$100:$E$1084,"&gt;="&amp;B1084,CBIC_Late_Fee_Relief_Windows_1!$F$100:$F$1084,"&lt;="&amp;C1084,CBIC_Late_Fee_Relief_Windows_1!$G$100:$G$1084,"&gt;="&amp;C1084,CBIC_Late_Fee_Relief_Windows_1!$H$100:$H$1084,D1084)</f>
        <v>#NAME?</v>
      </c>
      <c r="H1084" t="e">
        <f t="shared" ca="1" si="16"/>
        <v>#NAME?</v>
      </c>
      <c r="I1084" t="e">
        <f ca="1">INDEX(CBIC_Late_Fee_Relief_Windows_1!$B$100:$B$1084,MATCH(G1084,CBIC_Late_Fee_Relief_Windows_1!$I$100:$I$1084,0))</f>
        <v>#NAME?</v>
      </c>
    </row>
    <row r="1085" spans="1:9" x14ac:dyDescent="0.55000000000000004">
      <c r="A1085" t="str">
        <f>TEST_DATA!A1085</f>
        <v>27AAAAA1085Z5</v>
      </c>
      <c r="B1085" t="str">
        <f>TEST_DATA!B1085</f>
        <v>Apr-2021</v>
      </c>
      <c r="C1085">
        <f>TEST_DATA!C1085</f>
        <v>45121</v>
      </c>
      <c r="D1085" t="str">
        <f>TEST_DATA!D1085</f>
        <v>NON-NIL</v>
      </c>
      <c r="E1085">
        <f>TEST_DATA!E1085</f>
        <v>2788</v>
      </c>
      <c r="F1085">
        <f>MIN(E1085*108500,10000)</f>
        <v>10000</v>
      </c>
      <c r="G1085" t="e">
        <f ca="1">_xludf.MINIFS(CBIC_Late_Fee_Relief_Windows_1!$I$100:$I$1085,CBIC_Late_Fee_Relief_Windows_1!$D$100:$D$1085,"&lt;="&amp;B1085,CBIC_Late_Fee_Relief_Windows_1!$E$100:$E$1085,"&gt;="&amp;B1085,CBIC_Late_Fee_Relief_Windows_1!$F$100:$F$1085,"&lt;="&amp;C1085,CBIC_Late_Fee_Relief_Windows_1!$G$100:$G$1085,"&gt;="&amp;C1085,CBIC_Late_Fee_Relief_Windows_1!$H$100:$H$1085,D1085)</f>
        <v>#NAME?</v>
      </c>
      <c r="H1085" t="e">
        <f t="shared" ca="1" si="16"/>
        <v>#NAME?</v>
      </c>
      <c r="I1085" t="e">
        <f ca="1">INDEX(CBIC_Late_Fee_Relief_Windows_1!$B$100:$B$1085,MATCH(G1085,CBIC_Late_Fee_Relief_Windows_1!$I$100:$I$1085,0))</f>
        <v>#NAME?</v>
      </c>
    </row>
    <row r="1086" spans="1:9" x14ac:dyDescent="0.55000000000000004">
      <c r="A1086" t="str">
        <f>TEST_DATA!A1086</f>
        <v>27AAAAA1086Z5</v>
      </c>
      <c r="B1086" t="str">
        <f>TEST_DATA!B1086</f>
        <v>Nov-2017</v>
      </c>
      <c r="C1086">
        <f>TEST_DATA!C1086</f>
        <v>44394</v>
      </c>
      <c r="D1086" t="str">
        <f>TEST_DATA!D1086</f>
        <v>NIL</v>
      </c>
      <c r="E1086">
        <f>TEST_DATA!E1086</f>
        <v>2684</v>
      </c>
      <c r="F1086">
        <f>MIN(E1086*108600,10000)</f>
        <v>10000</v>
      </c>
      <c r="G1086" t="e">
        <f ca="1">_xludf.MINIFS(CBIC_Late_Fee_Relief_Windows_1!$I$100:$I$1086,CBIC_Late_Fee_Relief_Windows_1!$D$100:$D$1086,"&lt;="&amp;B1086,CBIC_Late_Fee_Relief_Windows_1!$E$100:$E$1086,"&gt;="&amp;B1086,CBIC_Late_Fee_Relief_Windows_1!$F$100:$F$1086,"&lt;="&amp;C1086,CBIC_Late_Fee_Relief_Windows_1!$G$100:$G$1086,"&gt;="&amp;C1086,CBIC_Late_Fee_Relief_Windows_1!$H$100:$H$1086,D1086)</f>
        <v>#NAME?</v>
      </c>
      <c r="H1086" t="e">
        <f t="shared" ca="1" si="16"/>
        <v>#NAME?</v>
      </c>
      <c r="I1086" t="e">
        <f ca="1">INDEX(CBIC_Late_Fee_Relief_Windows_1!$B$100:$B$1086,MATCH(G1086,CBIC_Late_Fee_Relief_Windows_1!$I$100:$I$1086,0))</f>
        <v>#NAME?</v>
      </c>
    </row>
    <row r="1087" spans="1:9" x14ac:dyDescent="0.55000000000000004">
      <c r="A1087" t="str">
        <f>TEST_DATA!A1087</f>
        <v>27AAAAA1087Z5</v>
      </c>
      <c r="B1087" t="str">
        <f>TEST_DATA!B1087</f>
        <v>Jan-2019</v>
      </c>
      <c r="C1087">
        <f>TEST_DATA!C1087</f>
        <v>44676</v>
      </c>
      <c r="D1087" t="str">
        <f>TEST_DATA!D1087</f>
        <v>NON-NIL</v>
      </c>
      <c r="E1087">
        <f>TEST_DATA!E1087</f>
        <v>1714</v>
      </c>
      <c r="F1087">
        <f>MIN(E1087*108700,10000)</f>
        <v>10000</v>
      </c>
      <c r="G1087" t="e">
        <f ca="1">_xludf.MINIFS(CBIC_Late_Fee_Relief_Windows_1!$I$100:$I$1087,CBIC_Late_Fee_Relief_Windows_1!$D$100:$D$1087,"&lt;="&amp;B1087,CBIC_Late_Fee_Relief_Windows_1!$E$100:$E$1087,"&gt;="&amp;B1087,CBIC_Late_Fee_Relief_Windows_1!$F$100:$F$1087,"&lt;="&amp;C1087,CBIC_Late_Fee_Relief_Windows_1!$G$100:$G$1087,"&gt;="&amp;C1087,CBIC_Late_Fee_Relief_Windows_1!$H$100:$H$1087,D1087)</f>
        <v>#NAME?</v>
      </c>
      <c r="H1087" t="e">
        <f t="shared" ca="1" si="16"/>
        <v>#NAME?</v>
      </c>
      <c r="I1087" t="e">
        <f ca="1">INDEX(CBIC_Late_Fee_Relief_Windows_1!$B$100:$B$1087,MATCH(G1087,CBIC_Late_Fee_Relief_Windows_1!$I$100:$I$1087,0))</f>
        <v>#NAME?</v>
      </c>
    </row>
    <row r="1088" spans="1:9" x14ac:dyDescent="0.55000000000000004">
      <c r="A1088" t="str">
        <f>TEST_DATA!A1088</f>
        <v>27AAAAA1088Z5</v>
      </c>
      <c r="B1088" t="str">
        <f>TEST_DATA!B1088</f>
        <v>Jul-2018</v>
      </c>
      <c r="C1088">
        <f>TEST_DATA!C1088</f>
        <v>43712</v>
      </c>
      <c r="D1088" t="str">
        <f>TEST_DATA!D1088</f>
        <v>NIL</v>
      </c>
      <c r="E1088">
        <f>TEST_DATA!E1088</f>
        <v>2388</v>
      </c>
      <c r="F1088">
        <f>MIN(E1088*108800,10000)</f>
        <v>10000</v>
      </c>
      <c r="G1088" t="e">
        <f ca="1">_xludf.MINIFS(CBIC_Late_Fee_Relief_Windows_1!$I$100:$I$1088,CBIC_Late_Fee_Relief_Windows_1!$D$100:$D$1088,"&lt;="&amp;B1088,CBIC_Late_Fee_Relief_Windows_1!$E$100:$E$1088,"&gt;="&amp;B1088,CBIC_Late_Fee_Relief_Windows_1!$F$100:$F$1088,"&lt;="&amp;C1088,CBIC_Late_Fee_Relief_Windows_1!$G$100:$G$1088,"&gt;="&amp;C1088,CBIC_Late_Fee_Relief_Windows_1!$H$100:$H$1088,D1088)</f>
        <v>#NAME?</v>
      </c>
      <c r="H1088" t="e">
        <f t="shared" ca="1" si="16"/>
        <v>#NAME?</v>
      </c>
      <c r="I1088" t="e">
        <f ca="1">INDEX(CBIC_Late_Fee_Relief_Windows_1!$B$100:$B$1088,MATCH(G1088,CBIC_Late_Fee_Relief_Windows_1!$I$100:$I$1088,0))</f>
        <v>#NAME?</v>
      </c>
    </row>
    <row r="1089" spans="1:9" x14ac:dyDescent="0.55000000000000004">
      <c r="A1089" t="str">
        <f>TEST_DATA!A1089</f>
        <v>27AAAAA1089Z5</v>
      </c>
      <c r="B1089" t="str">
        <f>TEST_DATA!B1089</f>
        <v>Jul-2020</v>
      </c>
      <c r="C1089">
        <f>TEST_DATA!C1089</f>
        <v>44219</v>
      </c>
      <c r="D1089" t="str">
        <f>TEST_DATA!D1089</f>
        <v>NON-NIL</v>
      </c>
      <c r="E1089">
        <f>TEST_DATA!E1089</f>
        <v>2975</v>
      </c>
      <c r="F1089">
        <f>MIN(E1089*108900,10000)</f>
        <v>10000</v>
      </c>
      <c r="G1089" t="e">
        <f ca="1">_xludf.MINIFS(CBIC_Late_Fee_Relief_Windows_1!$I$100:$I$1089,CBIC_Late_Fee_Relief_Windows_1!$D$100:$D$1089,"&lt;="&amp;B1089,CBIC_Late_Fee_Relief_Windows_1!$E$100:$E$1089,"&gt;="&amp;B1089,CBIC_Late_Fee_Relief_Windows_1!$F$100:$F$1089,"&lt;="&amp;C1089,CBIC_Late_Fee_Relief_Windows_1!$G$100:$G$1089,"&gt;="&amp;C1089,CBIC_Late_Fee_Relief_Windows_1!$H$100:$H$1089,D1089)</f>
        <v>#NAME?</v>
      </c>
      <c r="H1089" t="e">
        <f t="shared" ca="1" si="16"/>
        <v>#NAME?</v>
      </c>
      <c r="I1089" t="e">
        <f ca="1">INDEX(CBIC_Late_Fee_Relief_Windows_1!$B$100:$B$1089,MATCH(G1089,CBIC_Late_Fee_Relief_Windows_1!$I$100:$I$1089,0))</f>
        <v>#NAME?</v>
      </c>
    </row>
    <row r="1090" spans="1:9" x14ac:dyDescent="0.55000000000000004">
      <c r="A1090" t="str">
        <f>TEST_DATA!A1090</f>
        <v>27AAAAA1090Z5</v>
      </c>
      <c r="B1090" t="str">
        <f>TEST_DATA!B1090</f>
        <v>Jul-2020</v>
      </c>
      <c r="C1090">
        <f>TEST_DATA!C1090</f>
        <v>44286</v>
      </c>
      <c r="D1090" t="str">
        <f>TEST_DATA!D1090</f>
        <v>NON-NIL</v>
      </c>
      <c r="E1090">
        <f>TEST_DATA!E1090</f>
        <v>2751</v>
      </c>
      <c r="F1090">
        <f>MIN(E1090*109000,10000)</f>
        <v>10000</v>
      </c>
      <c r="G1090" t="e">
        <f ca="1">_xludf.MINIFS(CBIC_Late_Fee_Relief_Windows_1!$I$100:$I$1090,CBIC_Late_Fee_Relief_Windows_1!$D$100:$D$1090,"&lt;="&amp;B1090,CBIC_Late_Fee_Relief_Windows_1!$E$100:$E$1090,"&gt;="&amp;B1090,CBIC_Late_Fee_Relief_Windows_1!$F$100:$F$1090,"&lt;="&amp;C1090,CBIC_Late_Fee_Relief_Windows_1!$G$100:$G$1090,"&gt;="&amp;C1090,CBIC_Late_Fee_Relief_Windows_1!$H$100:$H$1090,D1090)</f>
        <v>#NAME?</v>
      </c>
      <c r="H1090" t="e">
        <f t="shared" ref="H1090:H1153" ca="1" si="17">MIN(F1090,G1090)</f>
        <v>#NAME?</v>
      </c>
      <c r="I1090" t="e">
        <f ca="1">INDEX(CBIC_Late_Fee_Relief_Windows_1!$B$100:$B$1090,MATCH(G1090,CBIC_Late_Fee_Relief_Windows_1!$I$100:$I$1090,0))</f>
        <v>#NAME?</v>
      </c>
    </row>
    <row r="1091" spans="1:9" x14ac:dyDescent="0.55000000000000004">
      <c r="A1091" t="str">
        <f>TEST_DATA!A1091</f>
        <v>27AAAAA1091Z5</v>
      </c>
      <c r="B1091" t="str">
        <f>TEST_DATA!B1091</f>
        <v>Jun-2018</v>
      </c>
      <c r="C1091">
        <f>TEST_DATA!C1091</f>
        <v>43955</v>
      </c>
      <c r="D1091" t="str">
        <f>TEST_DATA!D1091</f>
        <v>NON-NIL</v>
      </c>
      <c r="E1091">
        <f>TEST_DATA!E1091</f>
        <v>696</v>
      </c>
      <c r="F1091">
        <f>MIN(E1091*109100,10000)</f>
        <v>10000</v>
      </c>
      <c r="G1091" t="e">
        <f ca="1">_xludf.MINIFS(CBIC_Late_Fee_Relief_Windows_1!$I$100:$I$1091,CBIC_Late_Fee_Relief_Windows_1!$D$100:$D$1091,"&lt;="&amp;B1091,CBIC_Late_Fee_Relief_Windows_1!$E$100:$E$1091,"&gt;="&amp;B1091,CBIC_Late_Fee_Relief_Windows_1!$F$100:$F$1091,"&lt;="&amp;C1091,CBIC_Late_Fee_Relief_Windows_1!$G$100:$G$1091,"&gt;="&amp;C1091,CBIC_Late_Fee_Relief_Windows_1!$H$100:$H$1091,D1091)</f>
        <v>#NAME?</v>
      </c>
      <c r="H1091" t="e">
        <f t="shared" ca="1" si="17"/>
        <v>#NAME?</v>
      </c>
      <c r="I1091" t="e">
        <f ca="1">INDEX(CBIC_Late_Fee_Relief_Windows_1!$B$100:$B$1091,MATCH(G1091,CBIC_Late_Fee_Relief_Windows_1!$I$100:$I$1091,0))</f>
        <v>#NAME?</v>
      </c>
    </row>
    <row r="1092" spans="1:9" x14ac:dyDescent="0.55000000000000004">
      <c r="A1092" t="str">
        <f>TEST_DATA!A1092</f>
        <v>27AAAAA1092Z5</v>
      </c>
      <c r="B1092" t="str">
        <f>TEST_DATA!B1092</f>
        <v>Dec-2022</v>
      </c>
      <c r="C1092">
        <f>TEST_DATA!C1092</f>
        <v>45752</v>
      </c>
      <c r="D1092" t="str">
        <f>TEST_DATA!D1092</f>
        <v>NIL</v>
      </c>
      <c r="E1092">
        <f>TEST_DATA!E1092</f>
        <v>1203</v>
      </c>
      <c r="F1092">
        <f>MIN(E1092*109200,10000)</f>
        <v>10000</v>
      </c>
      <c r="G1092" t="e">
        <f ca="1">_xludf.MINIFS(CBIC_Late_Fee_Relief_Windows_1!$I$100:$I$1092,CBIC_Late_Fee_Relief_Windows_1!$D$100:$D$1092,"&lt;="&amp;B1092,CBIC_Late_Fee_Relief_Windows_1!$E$100:$E$1092,"&gt;="&amp;B1092,CBIC_Late_Fee_Relief_Windows_1!$F$100:$F$1092,"&lt;="&amp;C1092,CBIC_Late_Fee_Relief_Windows_1!$G$100:$G$1092,"&gt;="&amp;C1092,CBIC_Late_Fee_Relief_Windows_1!$H$100:$H$1092,D1092)</f>
        <v>#NAME?</v>
      </c>
      <c r="H1092" t="e">
        <f t="shared" ca="1" si="17"/>
        <v>#NAME?</v>
      </c>
      <c r="I1092" t="e">
        <f ca="1">INDEX(CBIC_Late_Fee_Relief_Windows_1!$B$100:$B$1092,MATCH(G1092,CBIC_Late_Fee_Relief_Windows_1!$I$100:$I$1092,0))</f>
        <v>#NAME?</v>
      </c>
    </row>
    <row r="1093" spans="1:9" x14ac:dyDescent="0.55000000000000004">
      <c r="A1093" t="str">
        <f>TEST_DATA!A1093</f>
        <v>27AAAAA1093Z5</v>
      </c>
      <c r="B1093" t="str">
        <f>TEST_DATA!B1093</f>
        <v>Oct-2017</v>
      </c>
      <c r="C1093">
        <f>TEST_DATA!C1093</f>
        <v>43881</v>
      </c>
      <c r="D1093" t="str">
        <f>TEST_DATA!D1093</f>
        <v>NIL</v>
      </c>
      <c r="E1093">
        <f>TEST_DATA!E1093</f>
        <v>1059</v>
      </c>
      <c r="F1093">
        <f>MIN(E1093*109300,10000)</f>
        <v>10000</v>
      </c>
      <c r="G1093" t="e">
        <f ca="1">_xludf.MINIFS(CBIC_Late_Fee_Relief_Windows_1!$I$100:$I$1093,CBIC_Late_Fee_Relief_Windows_1!$D$100:$D$1093,"&lt;="&amp;B1093,CBIC_Late_Fee_Relief_Windows_1!$E$100:$E$1093,"&gt;="&amp;B1093,CBIC_Late_Fee_Relief_Windows_1!$F$100:$F$1093,"&lt;="&amp;C1093,CBIC_Late_Fee_Relief_Windows_1!$G$100:$G$1093,"&gt;="&amp;C1093,CBIC_Late_Fee_Relief_Windows_1!$H$100:$H$1093,D1093)</f>
        <v>#NAME?</v>
      </c>
      <c r="H1093" t="e">
        <f t="shared" ca="1" si="17"/>
        <v>#NAME?</v>
      </c>
      <c r="I1093" t="e">
        <f ca="1">INDEX(CBIC_Late_Fee_Relief_Windows_1!$B$100:$B$1093,MATCH(G1093,CBIC_Late_Fee_Relief_Windows_1!$I$100:$I$1093,0))</f>
        <v>#NAME?</v>
      </c>
    </row>
    <row r="1094" spans="1:9" x14ac:dyDescent="0.55000000000000004">
      <c r="A1094" t="str">
        <f>TEST_DATA!A1094</f>
        <v>27AAAAA1094Z5</v>
      </c>
      <c r="B1094" t="str">
        <f>TEST_DATA!B1094</f>
        <v>Jan-2021</v>
      </c>
      <c r="C1094">
        <f>TEST_DATA!C1094</f>
        <v>45755</v>
      </c>
      <c r="D1094" t="str">
        <f>TEST_DATA!D1094</f>
        <v>NIL</v>
      </c>
      <c r="E1094">
        <f>TEST_DATA!E1094</f>
        <v>2784</v>
      </c>
      <c r="F1094">
        <f>MIN(E1094*109400,10000)</f>
        <v>10000</v>
      </c>
      <c r="G1094" t="e">
        <f ca="1">_xludf.MINIFS(CBIC_Late_Fee_Relief_Windows_1!$I$100:$I$1094,CBIC_Late_Fee_Relief_Windows_1!$D$100:$D$1094,"&lt;="&amp;B1094,CBIC_Late_Fee_Relief_Windows_1!$E$100:$E$1094,"&gt;="&amp;B1094,CBIC_Late_Fee_Relief_Windows_1!$F$100:$F$1094,"&lt;="&amp;C1094,CBIC_Late_Fee_Relief_Windows_1!$G$100:$G$1094,"&gt;="&amp;C1094,CBIC_Late_Fee_Relief_Windows_1!$H$100:$H$1094,D1094)</f>
        <v>#NAME?</v>
      </c>
      <c r="H1094" t="e">
        <f t="shared" ca="1" si="17"/>
        <v>#NAME?</v>
      </c>
      <c r="I1094" t="e">
        <f ca="1">INDEX(CBIC_Late_Fee_Relief_Windows_1!$B$100:$B$1094,MATCH(G1094,CBIC_Late_Fee_Relief_Windows_1!$I$100:$I$1094,0))</f>
        <v>#NAME?</v>
      </c>
    </row>
    <row r="1095" spans="1:9" x14ac:dyDescent="0.55000000000000004">
      <c r="A1095" t="str">
        <f>TEST_DATA!A1095</f>
        <v>27AAAAA1095Z5</v>
      </c>
      <c r="B1095" t="str">
        <f>TEST_DATA!B1095</f>
        <v>Dec-2024</v>
      </c>
      <c r="C1095">
        <f>TEST_DATA!C1095</f>
        <v>44840</v>
      </c>
      <c r="D1095" t="str">
        <f>TEST_DATA!D1095</f>
        <v>NIL</v>
      </c>
      <c r="E1095">
        <f>TEST_DATA!E1095</f>
        <v>910</v>
      </c>
      <c r="F1095">
        <f>MIN(E1095*109500,10000)</f>
        <v>10000</v>
      </c>
      <c r="G1095" t="e">
        <f ca="1">_xludf.MINIFS(CBIC_Late_Fee_Relief_Windows_1!$I$100:$I$1095,CBIC_Late_Fee_Relief_Windows_1!$D$100:$D$1095,"&lt;="&amp;B1095,CBIC_Late_Fee_Relief_Windows_1!$E$100:$E$1095,"&gt;="&amp;B1095,CBIC_Late_Fee_Relief_Windows_1!$F$100:$F$1095,"&lt;="&amp;C1095,CBIC_Late_Fee_Relief_Windows_1!$G$100:$G$1095,"&gt;="&amp;C1095,CBIC_Late_Fee_Relief_Windows_1!$H$100:$H$1095,D1095)</f>
        <v>#NAME?</v>
      </c>
      <c r="H1095" t="e">
        <f t="shared" ca="1" si="17"/>
        <v>#NAME?</v>
      </c>
      <c r="I1095" t="e">
        <f ca="1">INDEX(CBIC_Late_Fee_Relief_Windows_1!$B$100:$B$1095,MATCH(G1095,CBIC_Late_Fee_Relief_Windows_1!$I$100:$I$1095,0))</f>
        <v>#NAME?</v>
      </c>
    </row>
    <row r="1096" spans="1:9" x14ac:dyDescent="0.55000000000000004">
      <c r="A1096" t="str">
        <f>TEST_DATA!A1096</f>
        <v>27AAAAA1096Z5</v>
      </c>
      <c r="B1096" t="str">
        <f>TEST_DATA!B1096</f>
        <v>Jun-2018</v>
      </c>
      <c r="C1096">
        <f>TEST_DATA!C1096</f>
        <v>43374</v>
      </c>
      <c r="D1096" t="str">
        <f>TEST_DATA!D1096</f>
        <v>NON-NIL</v>
      </c>
      <c r="E1096">
        <f>TEST_DATA!E1096</f>
        <v>1722</v>
      </c>
      <c r="F1096">
        <f>MIN(E1096*109600,10000)</f>
        <v>10000</v>
      </c>
      <c r="G1096" t="e">
        <f ca="1">_xludf.MINIFS(CBIC_Late_Fee_Relief_Windows_1!$I$100:$I$1096,CBIC_Late_Fee_Relief_Windows_1!$D$100:$D$1096,"&lt;="&amp;B1096,CBIC_Late_Fee_Relief_Windows_1!$E$100:$E$1096,"&gt;="&amp;B1096,CBIC_Late_Fee_Relief_Windows_1!$F$100:$F$1096,"&lt;="&amp;C1096,CBIC_Late_Fee_Relief_Windows_1!$G$100:$G$1096,"&gt;="&amp;C1096,CBIC_Late_Fee_Relief_Windows_1!$H$100:$H$1096,D1096)</f>
        <v>#NAME?</v>
      </c>
      <c r="H1096" t="e">
        <f t="shared" ca="1" si="17"/>
        <v>#NAME?</v>
      </c>
      <c r="I1096" t="e">
        <f ca="1">INDEX(CBIC_Late_Fee_Relief_Windows_1!$B$100:$B$1096,MATCH(G1096,CBIC_Late_Fee_Relief_Windows_1!$I$100:$I$1096,0))</f>
        <v>#NAME?</v>
      </c>
    </row>
    <row r="1097" spans="1:9" x14ac:dyDescent="0.55000000000000004">
      <c r="A1097" t="str">
        <f>TEST_DATA!A1097</f>
        <v>27AAAAA1097Z5</v>
      </c>
      <c r="B1097" t="str">
        <f>TEST_DATA!B1097</f>
        <v>Apr-2021</v>
      </c>
      <c r="C1097">
        <f>TEST_DATA!C1097</f>
        <v>44823</v>
      </c>
      <c r="D1097" t="str">
        <f>TEST_DATA!D1097</f>
        <v>NON-NIL</v>
      </c>
      <c r="E1097">
        <f>TEST_DATA!E1097</f>
        <v>1067</v>
      </c>
      <c r="F1097">
        <f>MIN(E1097*109700,10000)</f>
        <v>10000</v>
      </c>
      <c r="G1097" t="e">
        <f ca="1">_xludf.MINIFS(CBIC_Late_Fee_Relief_Windows_1!$I$100:$I$1097,CBIC_Late_Fee_Relief_Windows_1!$D$100:$D$1097,"&lt;="&amp;B1097,CBIC_Late_Fee_Relief_Windows_1!$E$100:$E$1097,"&gt;="&amp;B1097,CBIC_Late_Fee_Relief_Windows_1!$F$100:$F$1097,"&lt;="&amp;C1097,CBIC_Late_Fee_Relief_Windows_1!$G$100:$G$1097,"&gt;="&amp;C1097,CBIC_Late_Fee_Relief_Windows_1!$H$100:$H$1097,D1097)</f>
        <v>#NAME?</v>
      </c>
      <c r="H1097" t="e">
        <f t="shared" ca="1" si="17"/>
        <v>#NAME?</v>
      </c>
      <c r="I1097" t="e">
        <f ca="1">INDEX(CBIC_Late_Fee_Relief_Windows_1!$B$100:$B$1097,MATCH(G1097,CBIC_Late_Fee_Relief_Windows_1!$I$100:$I$1097,0))</f>
        <v>#NAME?</v>
      </c>
    </row>
    <row r="1098" spans="1:9" x14ac:dyDescent="0.55000000000000004">
      <c r="A1098" t="str">
        <f>TEST_DATA!A1098</f>
        <v>27AAAAA1098Z5</v>
      </c>
      <c r="B1098" t="str">
        <f>TEST_DATA!B1098</f>
        <v>Mar-2020</v>
      </c>
      <c r="C1098">
        <f>TEST_DATA!C1098</f>
        <v>44433</v>
      </c>
      <c r="D1098" t="str">
        <f>TEST_DATA!D1098</f>
        <v>NON-NIL</v>
      </c>
      <c r="E1098">
        <f>TEST_DATA!E1098</f>
        <v>482</v>
      </c>
      <c r="F1098">
        <f>MIN(E1098*109800,10000)</f>
        <v>10000</v>
      </c>
      <c r="G1098" t="e">
        <f ca="1">_xludf.MINIFS(CBIC_Late_Fee_Relief_Windows_1!$I$100:$I$1098,CBIC_Late_Fee_Relief_Windows_1!$D$100:$D$1098,"&lt;="&amp;B1098,CBIC_Late_Fee_Relief_Windows_1!$E$100:$E$1098,"&gt;="&amp;B1098,CBIC_Late_Fee_Relief_Windows_1!$F$100:$F$1098,"&lt;="&amp;C1098,CBIC_Late_Fee_Relief_Windows_1!$G$100:$G$1098,"&gt;="&amp;C1098,CBIC_Late_Fee_Relief_Windows_1!$H$100:$H$1098,D1098)</f>
        <v>#NAME?</v>
      </c>
      <c r="H1098" t="e">
        <f t="shared" ca="1" si="17"/>
        <v>#NAME?</v>
      </c>
      <c r="I1098" t="e">
        <f ca="1">INDEX(CBIC_Late_Fee_Relief_Windows_1!$B$100:$B$1098,MATCH(G1098,CBIC_Late_Fee_Relief_Windows_1!$I$100:$I$1098,0))</f>
        <v>#NAME?</v>
      </c>
    </row>
    <row r="1099" spans="1:9" x14ac:dyDescent="0.55000000000000004">
      <c r="A1099" t="str">
        <f>TEST_DATA!A1099</f>
        <v>27AAAAA1099Z5</v>
      </c>
      <c r="B1099" t="str">
        <f>TEST_DATA!B1099</f>
        <v>Jan-2019</v>
      </c>
      <c r="C1099">
        <f>TEST_DATA!C1099</f>
        <v>43685</v>
      </c>
      <c r="D1099" t="str">
        <f>TEST_DATA!D1099</f>
        <v>NIL</v>
      </c>
      <c r="E1099">
        <f>TEST_DATA!E1099</f>
        <v>1934</v>
      </c>
      <c r="F1099">
        <f>MIN(E1099*109900,10000)</f>
        <v>10000</v>
      </c>
      <c r="G1099" t="e">
        <f ca="1">_xludf.MINIFS(CBIC_Late_Fee_Relief_Windows_1!$I$100:$I$1099,CBIC_Late_Fee_Relief_Windows_1!$D$100:$D$1099,"&lt;="&amp;B1099,CBIC_Late_Fee_Relief_Windows_1!$E$100:$E$1099,"&gt;="&amp;B1099,CBIC_Late_Fee_Relief_Windows_1!$F$100:$F$1099,"&lt;="&amp;C1099,CBIC_Late_Fee_Relief_Windows_1!$G$100:$G$1099,"&gt;="&amp;C1099,CBIC_Late_Fee_Relief_Windows_1!$H$100:$H$1099,D1099)</f>
        <v>#NAME?</v>
      </c>
      <c r="H1099" t="e">
        <f t="shared" ca="1" si="17"/>
        <v>#NAME?</v>
      </c>
      <c r="I1099" t="e">
        <f ca="1">INDEX(CBIC_Late_Fee_Relief_Windows_1!$B$100:$B$1099,MATCH(G1099,CBIC_Late_Fee_Relief_Windows_1!$I$100:$I$1099,0))</f>
        <v>#NAME?</v>
      </c>
    </row>
    <row r="1100" spans="1:9" x14ac:dyDescent="0.55000000000000004">
      <c r="A1100" t="str">
        <f>TEST_DATA!A1100</f>
        <v>27AAAAA1100Z5</v>
      </c>
      <c r="B1100" t="str">
        <f>TEST_DATA!B1100</f>
        <v>Dec-2024</v>
      </c>
      <c r="C1100">
        <f>TEST_DATA!C1100</f>
        <v>44262</v>
      </c>
      <c r="D1100" t="str">
        <f>TEST_DATA!D1100</f>
        <v>NIL</v>
      </c>
      <c r="E1100">
        <f>TEST_DATA!E1100</f>
        <v>2788</v>
      </c>
      <c r="F1100">
        <f>MIN(E1100*110000,10000)</f>
        <v>10000</v>
      </c>
      <c r="G1100" t="e">
        <f ca="1">_xludf.MINIFS(CBIC_Late_Fee_Relief_Windows_1!$I$100:$I$1100,CBIC_Late_Fee_Relief_Windows_1!$D$100:$D$1100,"&lt;="&amp;B1100,CBIC_Late_Fee_Relief_Windows_1!$E$100:$E$1100,"&gt;="&amp;B1100,CBIC_Late_Fee_Relief_Windows_1!$F$100:$F$1100,"&lt;="&amp;C1100,CBIC_Late_Fee_Relief_Windows_1!$G$100:$G$1100,"&gt;="&amp;C1100,CBIC_Late_Fee_Relief_Windows_1!$H$100:$H$1100,D1100)</f>
        <v>#NAME?</v>
      </c>
      <c r="H1100" t="e">
        <f t="shared" ca="1" si="17"/>
        <v>#NAME?</v>
      </c>
      <c r="I1100" t="e">
        <f ca="1">INDEX(CBIC_Late_Fee_Relief_Windows_1!$B$100:$B$1100,MATCH(G1100,CBIC_Late_Fee_Relief_Windows_1!$I$100:$I$1100,0))</f>
        <v>#NAME?</v>
      </c>
    </row>
    <row r="1101" spans="1:9" x14ac:dyDescent="0.55000000000000004">
      <c r="A1101" t="str">
        <f>TEST_DATA!A1101</f>
        <v>27AAAAA1101Z5</v>
      </c>
      <c r="B1101" t="str">
        <f>TEST_DATA!B1101</f>
        <v>Jul-2018</v>
      </c>
      <c r="C1101">
        <f>TEST_DATA!C1101</f>
        <v>44002</v>
      </c>
      <c r="D1101" t="str">
        <f>TEST_DATA!D1101</f>
        <v>NON-NIL</v>
      </c>
      <c r="E1101">
        <f>TEST_DATA!E1101</f>
        <v>1692</v>
      </c>
      <c r="F1101">
        <f>MIN(E1101*110100,10000)</f>
        <v>10000</v>
      </c>
      <c r="G1101" t="e">
        <f ca="1">_xludf.MINIFS(CBIC_Late_Fee_Relief_Windows_1!$I$100:$I$1101,CBIC_Late_Fee_Relief_Windows_1!$D$100:$D$1101,"&lt;="&amp;B1101,CBIC_Late_Fee_Relief_Windows_1!$E$100:$E$1101,"&gt;="&amp;B1101,CBIC_Late_Fee_Relief_Windows_1!$F$100:$F$1101,"&lt;="&amp;C1101,CBIC_Late_Fee_Relief_Windows_1!$G$100:$G$1101,"&gt;="&amp;C1101,CBIC_Late_Fee_Relief_Windows_1!$H$100:$H$1101,D1101)</f>
        <v>#NAME?</v>
      </c>
      <c r="H1101" t="e">
        <f t="shared" ca="1" si="17"/>
        <v>#NAME?</v>
      </c>
      <c r="I1101" t="e">
        <f ca="1">INDEX(CBIC_Late_Fee_Relief_Windows_1!$B$100:$B$1101,MATCH(G1101,CBIC_Late_Fee_Relief_Windows_1!$I$100:$I$1101,0))</f>
        <v>#NAME?</v>
      </c>
    </row>
    <row r="1102" spans="1:9" x14ac:dyDescent="0.55000000000000004">
      <c r="A1102" t="str">
        <f>TEST_DATA!A1102</f>
        <v>27AAAAA1102Z5</v>
      </c>
      <c r="B1102" t="str">
        <f>TEST_DATA!B1102</f>
        <v>Aug-2017</v>
      </c>
      <c r="C1102">
        <f>TEST_DATA!C1102</f>
        <v>43225</v>
      </c>
      <c r="D1102" t="str">
        <f>TEST_DATA!D1102</f>
        <v>NIL</v>
      </c>
      <c r="E1102">
        <f>TEST_DATA!E1102</f>
        <v>820</v>
      </c>
      <c r="F1102">
        <f>MIN(E1102*110200,10000)</f>
        <v>10000</v>
      </c>
      <c r="G1102" t="e">
        <f ca="1">_xludf.MINIFS(CBIC_Late_Fee_Relief_Windows_1!$I$100:$I$1102,CBIC_Late_Fee_Relief_Windows_1!$D$100:$D$1102,"&lt;="&amp;B1102,CBIC_Late_Fee_Relief_Windows_1!$E$100:$E$1102,"&gt;="&amp;B1102,CBIC_Late_Fee_Relief_Windows_1!$F$100:$F$1102,"&lt;="&amp;C1102,CBIC_Late_Fee_Relief_Windows_1!$G$100:$G$1102,"&gt;="&amp;C1102,CBIC_Late_Fee_Relief_Windows_1!$H$100:$H$1102,D1102)</f>
        <v>#NAME?</v>
      </c>
      <c r="H1102" t="e">
        <f t="shared" ca="1" si="17"/>
        <v>#NAME?</v>
      </c>
      <c r="I1102" t="e">
        <f ca="1">INDEX(CBIC_Late_Fee_Relief_Windows_1!$B$100:$B$1102,MATCH(G1102,CBIC_Late_Fee_Relief_Windows_1!$I$100:$I$1102,0))</f>
        <v>#NAME?</v>
      </c>
    </row>
    <row r="1103" spans="1:9" x14ac:dyDescent="0.55000000000000004">
      <c r="A1103" t="str">
        <f>TEST_DATA!A1103</f>
        <v>27AAAAA1103Z5</v>
      </c>
      <c r="B1103" t="str">
        <f>TEST_DATA!B1103</f>
        <v>May-2018</v>
      </c>
      <c r="C1103">
        <f>TEST_DATA!C1103</f>
        <v>43755</v>
      </c>
      <c r="D1103" t="str">
        <f>TEST_DATA!D1103</f>
        <v>NON-NIL</v>
      </c>
      <c r="E1103">
        <f>TEST_DATA!E1103</f>
        <v>586</v>
      </c>
      <c r="F1103">
        <f>MIN(E1103*110300,10000)</f>
        <v>10000</v>
      </c>
      <c r="G1103" t="e">
        <f ca="1">_xludf.MINIFS(CBIC_Late_Fee_Relief_Windows_1!$I$100:$I$1103,CBIC_Late_Fee_Relief_Windows_1!$D$100:$D$1103,"&lt;="&amp;B1103,CBIC_Late_Fee_Relief_Windows_1!$E$100:$E$1103,"&gt;="&amp;B1103,CBIC_Late_Fee_Relief_Windows_1!$F$100:$F$1103,"&lt;="&amp;C1103,CBIC_Late_Fee_Relief_Windows_1!$G$100:$G$1103,"&gt;="&amp;C1103,CBIC_Late_Fee_Relief_Windows_1!$H$100:$H$1103,D1103)</f>
        <v>#NAME?</v>
      </c>
      <c r="H1103" t="e">
        <f t="shared" ca="1" si="17"/>
        <v>#NAME?</v>
      </c>
      <c r="I1103" t="e">
        <f ca="1">INDEX(CBIC_Late_Fee_Relief_Windows_1!$B$100:$B$1103,MATCH(G1103,CBIC_Late_Fee_Relief_Windows_1!$I$100:$I$1103,0))</f>
        <v>#NAME?</v>
      </c>
    </row>
    <row r="1104" spans="1:9" x14ac:dyDescent="0.55000000000000004">
      <c r="A1104" t="str">
        <f>TEST_DATA!A1104</f>
        <v>27AAAAA1104Z5</v>
      </c>
      <c r="B1104" t="str">
        <f>TEST_DATA!B1104</f>
        <v>May-2018</v>
      </c>
      <c r="C1104">
        <f>TEST_DATA!C1104</f>
        <v>44382</v>
      </c>
      <c r="D1104" t="str">
        <f>TEST_DATA!D1104</f>
        <v>NIL</v>
      </c>
      <c r="E1104">
        <f>TEST_DATA!E1104</f>
        <v>331</v>
      </c>
      <c r="F1104">
        <f>MIN(E1104*110400,10000)</f>
        <v>10000</v>
      </c>
      <c r="G1104" t="e">
        <f ca="1">_xludf.MINIFS(CBIC_Late_Fee_Relief_Windows_1!$I$100:$I$1104,CBIC_Late_Fee_Relief_Windows_1!$D$100:$D$1104,"&lt;="&amp;B1104,CBIC_Late_Fee_Relief_Windows_1!$E$100:$E$1104,"&gt;="&amp;B1104,CBIC_Late_Fee_Relief_Windows_1!$F$100:$F$1104,"&lt;="&amp;C1104,CBIC_Late_Fee_Relief_Windows_1!$G$100:$G$1104,"&gt;="&amp;C1104,CBIC_Late_Fee_Relief_Windows_1!$H$100:$H$1104,D1104)</f>
        <v>#NAME?</v>
      </c>
      <c r="H1104" t="e">
        <f t="shared" ca="1" si="17"/>
        <v>#NAME?</v>
      </c>
      <c r="I1104" t="e">
        <f ca="1">INDEX(CBIC_Late_Fee_Relief_Windows_1!$B$100:$B$1104,MATCH(G1104,CBIC_Late_Fee_Relief_Windows_1!$I$100:$I$1104,0))</f>
        <v>#NAME?</v>
      </c>
    </row>
    <row r="1105" spans="1:9" x14ac:dyDescent="0.55000000000000004">
      <c r="A1105" t="str">
        <f>TEST_DATA!A1105</f>
        <v>27AAAAA1105Z5</v>
      </c>
      <c r="B1105" t="str">
        <f>TEST_DATA!B1105</f>
        <v>Jan-2019</v>
      </c>
      <c r="C1105">
        <f>TEST_DATA!C1105</f>
        <v>44828</v>
      </c>
      <c r="D1105" t="str">
        <f>TEST_DATA!D1105</f>
        <v>NIL</v>
      </c>
      <c r="E1105">
        <f>TEST_DATA!E1105</f>
        <v>1283</v>
      </c>
      <c r="F1105">
        <f>MIN(E1105*110500,10000)</f>
        <v>10000</v>
      </c>
      <c r="G1105" t="e">
        <f ca="1">_xludf.MINIFS(CBIC_Late_Fee_Relief_Windows_1!$I$100:$I$1105,CBIC_Late_Fee_Relief_Windows_1!$D$100:$D$1105,"&lt;="&amp;B1105,CBIC_Late_Fee_Relief_Windows_1!$E$100:$E$1105,"&gt;="&amp;B1105,CBIC_Late_Fee_Relief_Windows_1!$F$100:$F$1105,"&lt;="&amp;C1105,CBIC_Late_Fee_Relief_Windows_1!$G$100:$G$1105,"&gt;="&amp;C1105,CBIC_Late_Fee_Relief_Windows_1!$H$100:$H$1105,D1105)</f>
        <v>#NAME?</v>
      </c>
      <c r="H1105" t="e">
        <f t="shared" ca="1" si="17"/>
        <v>#NAME?</v>
      </c>
      <c r="I1105" t="e">
        <f ca="1">INDEX(CBIC_Late_Fee_Relief_Windows_1!$B$100:$B$1105,MATCH(G1105,CBIC_Late_Fee_Relief_Windows_1!$I$100:$I$1105,0))</f>
        <v>#NAME?</v>
      </c>
    </row>
    <row r="1106" spans="1:9" x14ac:dyDescent="0.55000000000000004">
      <c r="A1106" t="str">
        <f>TEST_DATA!A1106</f>
        <v>27AAAAA1106Z5</v>
      </c>
      <c r="B1106" t="str">
        <f>TEST_DATA!B1106</f>
        <v>May-2020</v>
      </c>
      <c r="C1106">
        <f>TEST_DATA!C1106</f>
        <v>43949</v>
      </c>
      <c r="D1106" t="str">
        <f>TEST_DATA!D1106</f>
        <v>NIL</v>
      </c>
      <c r="E1106">
        <f>TEST_DATA!E1106</f>
        <v>1851</v>
      </c>
      <c r="F1106">
        <f>MIN(E1106*110600,10000)</f>
        <v>10000</v>
      </c>
      <c r="G1106" t="e">
        <f ca="1">_xludf.MINIFS(CBIC_Late_Fee_Relief_Windows_1!$I$100:$I$1106,CBIC_Late_Fee_Relief_Windows_1!$D$100:$D$1106,"&lt;="&amp;B1106,CBIC_Late_Fee_Relief_Windows_1!$E$100:$E$1106,"&gt;="&amp;B1106,CBIC_Late_Fee_Relief_Windows_1!$F$100:$F$1106,"&lt;="&amp;C1106,CBIC_Late_Fee_Relief_Windows_1!$G$100:$G$1106,"&gt;="&amp;C1106,CBIC_Late_Fee_Relief_Windows_1!$H$100:$H$1106,D1106)</f>
        <v>#NAME?</v>
      </c>
      <c r="H1106" t="e">
        <f t="shared" ca="1" si="17"/>
        <v>#NAME?</v>
      </c>
      <c r="I1106" t="e">
        <f ca="1">INDEX(CBIC_Late_Fee_Relief_Windows_1!$B$100:$B$1106,MATCH(G1106,CBIC_Late_Fee_Relief_Windows_1!$I$100:$I$1106,0))</f>
        <v>#NAME?</v>
      </c>
    </row>
    <row r="1107" spans="1:9" x14ac:dyDescent="0.55000000000000004">
      <c r="A1107" t="str">
        <f>TEST_DATA!A1107</f>
        <v>27AAAAA1107Z5</v>
      </c>
      <c r="B1107" t="str">
        <f>TEST_DATA!B1107</f>
        <v>Mar-2018</v>
      </c>
      <c r="C1107">
        <f>TEST_DATA!C1107</f>
        <v>43345</v>
      </c>
      <c r="D1107" t="str">
        <f>TEST_DATA!D1107</f>
        <v>NIL</v>
      </c>
      <c r="E1107">
        <f>TEST_DATA!E1107</f>
        <v>2360</v>
      </c>
      <c r="F1107">
        <f>MIN(E1107*110700,10000)</f>
        <v>10000</v>
      </c>
      <c r="G1107" t="e">
        <f ca="1">_xludf.MINIFS(CBIC_Late_Fee_Relief_Windows_1!$I$100:$I$1107,CBIC_Late_Fee_Relief_Windows_1!$D$100:$D$1107,"&lt;="&amp;B1107,CBIC_Late_Fee_Relief_Windows_1!$E$100:$E$1107,"&gt;="&amp;B1107,CBIC_Late_Fee_Relief_Windows_1!$F$100:$F$1107,"&lt;="&amp;C1107,CBIC_Late_Fee_Relief_Windows_1!$G$100:$G$1107,"&gt;="&amp;C1107,CBIC_Late_Fee_Relief_Windows_1!$H$100:$H$1107,D1107)</f>
        <v>#NAME?</v>
      </c>
      <c r="H1107" t="e">
        <f t="shared" ca="1" si="17"/>
        <v>#NAME?</v>
      </c>
      <c r="I1107" t="e">
        <f ca="1">INDEX(CBIC_Late_Fee_Relief_Windows_1!$B$100:$B$1107,MATCH(G1107,CBIC_Late_Fee_Relief_Windows_1!$I$100:$I$1107,0))</f>
        <v>#NAME?</v>
      </c>
    </row>
    <row r="1108" spans="1:9" x14ac:dyDescent="0.55000000000000004">
      <c r="A1108" t="str">
        <f>TEST_DATA!A1108</f>
        <v>27AAAAA1108Z5</v>
      </c>
      <c r="B1108" t="str">
        <f>TEST_DATA!B1108</f>
        <v>Mar-2021</v>
      </c>
      <c r="C1108">
        <f>TEST_DATA!C1108</f>
        <v>44114</v>
      </c>
      <c r="D1108" t="str">
        <f>TEST_DATA!D1108</f>
        <v>NON-NIL</v>
      </c>
      <c r="E1108">
        <f>TEST_DATA!E1108</f>
        <v>360</v>
      </c>
      <c r="F1108">
        <f>MIN(E1108*110800,10000)</f>
        <v>10000</v>
      </c>
      <c r="G1108" t="e">
        <f ca="1">_xludf.MINIFS(CBIC_Late_Fee_Relief_Windows_1!$I$100:$I$1108,CBIC_Late_Fee_Relief_Windows_1!$D$100:$D$1108,"&lt;="&amp;B1108,CBIC_Late_Fee_Relief_Windows_1!$E$100:$E$1108,"&gt;="&amp;B1108,CBIC_Late_Fee_Relief_Windows_1!$F$100:$F$1108,"&lt;="&amp;C1108,CBIC_Late_Fee_Relief_Windows_1!$G$100:$G$1108,"&gt;="&amp;C1108,CBIC_Late_Fee_Relief_Windows_1!$H$100:$H$1108,D1108)</f>
        <v>#NAME?</v>
      </c>
      <c r="H1108" t="e">
        <f t="shared" ca="1" si="17"/>
        <v>#NAME?</v>
      </c>
      <c r="I1108" t="e">
        <f ca="1">INDEX(CBIC_Late_Fee_Relief_Windows_1!$B$100:$B$1108,MATCH(G1108,CBIC_Late_Fee_Relief_Windows_1!$I$100:$I$1108,0))</f>
        <v>#NAME?</v>
      </c>
    </row>
    <row r="1109" spans="1:9" x14ac:dyDescent="0.55000000000000004">
      <c r="A1109" t="str">
        <f>TEST_DATA!A1109</f>
        <v>27AAAAA1109Z5</v>
      </c>
      <c r="B1109" t="str">
        <f>TEST_DATA!B1109</f>
        <v>Nov-2017</v>
      </c>
      <c r="C1109">
        <f>TEST_DATA!C1109</f>
        <v>44175</v>
      </c>
      <c r="D1109" t="str">
        <f>TEST_DATA!D1109</f>
        <v>NON-NIL</v>
      </c>
      <c r="E1109">
        <f>TEST_DATA!E1109</f>
        <v>2594</v>
      </c>
      <c r="F1109">
        <f>MIN(E1109*110900,10000)</f>
        <v>10000</v>
      </c>
      <c r="G1109" t="e">
        <f ca="1">_xludf.MINIFS(CBIC_Late_Fee_Relief_Windows_1!$I$100:$I$1109,CBIC_Late_Fee_Relief_Windows_1!$D$100:$D$1109,"&lt;="&amp;B1109,CBIC_Late_Fee_Relief_Windows_1!$E$100:$E$1109,"&gt;="&amp;B1109,CBIC_Late_Fee_Relief_Windows_1!$F$100:$F$1109,"&lt;="&amp;C1109,CBIC_Late_Fee_Relief_Windows_1!$G$100:$G$1109,"&gt;="&amp;C1109,CBIC_Late_Fee_Relief_Windows_1!$H$100:$H$1109,D1109)</f>
        <v>#NAME?</v>
      </c>
      <c r="H1109" t="e">
        <f t="shared" ca="1" si="17"/>
        <v>#NAME?</v>
      </c>
      <c r="I1109" t="e">
        <f ca="1">INDEX(CBIC_Late_Fee_Relief_Windows_1!$B$100:$B$1109,MATCH(G1109,CBIC_Late_Fee_Relief_Windows_1!$I$100:$I$1109,0))</f>
        <v>#NAME?</v>
      </c>
    </row>
    <row r="1110" spans="1:9" x14ac:dyDescent="0.55000000000000004">
      <c r="A1110" t="str">
        <f>TEST_DATA!A1110</f>
        <v>27AAAAA1110Z5</v>
      </c>
      <c r="B1110" t="str">
        <f>TEST_DATA!B1110</f>
        <v>Aug-2018</v>
      </c>
      <c r="C1110">
        <f>TEST_DATA!C1110</f>
        <v>43743</v>
      </c>
      <c r="D1110" t="str">
        <f>TEST_DATA!D1110</f>
        <v>NON-NIL</v>
      </c>
      <c r="E1110">
        <f>TEST_DATA!E1110</f>
        <v>1955</v>
      </c>
      <c r="F1110">
        <f>MIN(E1110*111000,10000)</f>
        <v>10000</v>
      </c>
      <c r="G1110" t="e">
        <f ca="1">_xludf.MINIFS(CBIC_Late_Fee_Relief_Windows_1!$I$100:$I$1110,CBIC_Late_Fee_Relief_Windows_1!$D$100:$D$1110,"&lt;="&amp;B1110,CBIC_Late_Fee_Relief_Windows_1!$E$100:$E$1110,"&gt;="&amp;B1110,CBIC_Late_Fee_Relief_Windows_1!$F$100:$F$1110,"&lt;="&amp;C1110,CBIC_Late_Fee_Relief_Windows_1!$G$100:$G$1110,"&gt;="&amp;C1110,CBIC_Late_Fee_Relief_Windows_1!$H$100:$H$1110,D1110)</f>
        <v>#NAME?</v>
      </c>
      <c r="H1110" t="e">
        <f t="shared" ca="1" si="17"/>
        <v>#NAME?</v>
      </c>
      <c r="I1110" t="e">
        <f ca="1">INDEX(CBIC_Late_Fee_Relief_Windows_1!$B$100:$B$1110,MATCH(G1110,CBIC_Late_Fee_Relief_Windows_1!$I$100:$I$1110,0))</f>
        <v>#NAME?</v>
      </c>
    </row>
    <row r="1111" spans="1:9" x14ac:dyDescent="0.55000000000000004">
      <c r="A1111" t="str">
        <f>TEST_DATA!A1111</f>
        <v>27AAAAA1111Z5</v>
      </c>
      <c r="B1111" t="str">
        <f>TEST_DATA!B1111</f>
        <v>Jul-2018</v>
      </c>
      <c r="C1111">
        <f>TEST_DATA!C1111</f>
        <v>42926</v>
      </c>
      <c r="D1111" t="str">
        <f>TEST_DATA!D1111</f>
        <v>NIL</v>
      </c>
      <c r="E1111">
        <f>TEST_DATA!E1111</f>
        <v>2186</v>
      </c>
      <c r="F1111">
        <f>MIN(E1111*111100,10000)</f>
        <v>10000</v>
      </c>
      <c r="G1111" t="e">
        <f ca="1">_xludf.MINIFS(CBIC_Late_Fee_Relief_Windows_1!$I$100:$I$1111,CBIC_Late_Fee_Relief_Windows_1!$D$100:$D$1111,"&lt;="&amp;B1111,CBIC_Late_Fee_Relief_Windows_1!$E$100:$E$1111,"&gt;="&amp;B1111,CBIC_Late_Fee_Relief_Windows_1!$F$100:$F$1111,"&lt;="&amp;C1111,CBIC_Late_Fee_Relief_Windows_1!$G$100:$G$1111,"&gt;="&amp;C1111,CBIC_Late_Fee_Relief_Windows_1!$H$100:$H$1111,D1111)</f>
        <v>#NAME?</v>
      </c>
      <c r="H1111" t="e">
        <f t="shared" ca="1" si="17"/>
        <v>#NAME?</v>
      </c>
      <c r="I1111" t="e">
        <f ca="1">INDEX(CBIC_Late_Fee_Relief_Windows_1!$B$100:$B$1111,MATCH(G1111,CBIC_Late_Fee_Relief_Windows_1!$I$100:$I$1111,0))</f>
        <v>#NAME?</v>
      </c>
    </row>
    <row r="1112" spans="1:9" x14ac:dyDescent="0.55000000000000004">
      <c r="A1112" t="str">
        <f>TEST_DATA!A1112</f>
        <v>27AAAAA1112Z5</v>
      </c>
      <c r="B1112" t="str">
        <f>TEST_DATA!B1112</f>
        <v>Jan-2018</v>
      </c>
      <c r="C1112">
        <f>TEST_DATA!C1112</f>
        <v>44413</v>
      </c>
      <c r="D1112" t="str">
        <f>TEST_DATA!D1112</f>
        <v>NON-NIL</v>
      </c>
      <c r="E1112">
        <f>TEST_DATA!E1112</f>
        <v>57</v>
      </c>
      <c r="F1112">
        <f>MIN(E1112*111200,10000)</f>
        <v>10000</v>
      </c>
      <c r="G1112" t="e">
        <f ca="1">_xludf.MINIFS(CBIC_Late_Fee_Relief_Windows_1!$I$100:$I$1112,CBIC_Late_Fee_Relief_Windows_1!$D$100:$D$1112,"&lt;="&amp;B1112,CBIC_Late_Fee_Relief_Windows_1!$E$100:$E$1112,"&gt;="&amp;B1112,CBIC_Late_Fee_Relief_Windows_1!$F$100:$F$1112,"&lt;="&amp;C1112,CBIC_Late_Fee_Relief_Windows_1!$G$100:$G$1112,"&gt;="&amp;C1112,CBIC_Late_Fee_Relief_Windows_1!$H$100:$H$1112,D1112)</f>
        <v>#NAME?</v>
      </c>
      <c r="H1112" t="e">
        <f t="shared" ca="1" si="17"/>
        <v>#NAME?</v>
      </c>
      <c r="I1112" t="e">
        <f ca="1">INDEX(CBIC_Late_Fee_Relief_Windows_1!$B$100:$B$1112,MATCH(G1112,CBIC_Late_Fee_Relief_Windows_1!$I$100:$I$1112,0))</f>
        <v>#NAME?</v>
      </c>
    </row>
    <row r="1113" spans="1:9" x14ac:dyDescent="0.55000000000000004">
      <c r="A1113" t="str">
        <f>TEST_DATA!A1113</f>
        <v>27AAAAA1113Z5</v>
      </c>
      <c r="B1113" t="str">
        <f>TEST_DATA!B1113</f>
        <v>Dec-2024</v>
      </c>
      <c r="C1113">
        <f>TEST_DATA!C1113</f>
        <v>44785</v>
      </c>
      <c r="D1113" t="str">
        <f>TEST_DATA!D1113</f>
        <v>NIL</v>
      </c>
      <c r="E1113">
        <f>TEST_DATA!E1113</f>
        <v>73</v>
      </c>
      <c r="F1113">
        <f>MIN(E1113*111300,10000)</f>
        <v>10000</v>
      </c>
      <c r="G1113" t="e">
        <f ca="1">_xludf.MINIFS(CBIC_Late_Fee_Relief_Windows_1!$I$100:$I$1113,CBIC_Late_Fee_Relief_Windows_1!$D$100:$D$1113,"&lt;="&amp;B1113,CBIC_Late_Fee_Relief_Windows_1!$E$100:$E$1113,"&gt;="&amp;B1113,CBIC_Late_Fee_Relief_Windows_1!$F$100:$F$1113,"&lt;="&amp;C1113,CBIC_Late_Fee_Relief_Windows_1!$G$100:$G$1113,"&gt;="&amp;C1113,CBIC_Late_Fee_Relief_Windows_1!$H$100:$H$1113,D1113)</f>
        <v>#NAME?</v>
      </c>
      <c r="H1113" t="e">
        <f t="shared" ca="1" si="17"/>
        <v>#NAME?</v>
      </c>
      <c r="I1113" t="e">
        <f ca="1">INDEX(CBIC_Late_Fee_Relief_Windows_1!$B$100:$B$1113,MATCH(G1113,CBIC_Late_Fee_Relief_Windows_1!$I$100:$I$1113,0))</f>
        <v>#NAME?</v>
      </c>
    </row>
    <row r="1114" spans="1:9" x14ac:dyDescent="0.55000000000000004">
      <c r="A1114" t="str">
        <f>TEST_DATA!A1114</f>
        <v>27AAAAA1114Z5</v>
      </c>
      <c r="B1114" t="str">
        <f>TEST_DATA!B1114</f>
        <v>Jun-2020</v>
      </c>
      <c r="C1114">
        <f>TEST_DATA!C1114</f>
        <v>43839</v>
      </c>
      <c r="D1114" t="str">
        <f>TEST_DATA!D1114</f>
        <v>NIL</v>
      </c>
      <c r="E1114">
        <f>TEST_DATA!E1114</f>
        <v>926</v>
      </c>
      <c r="F1114">
        <f>MIN(E1114*111400,10000)</f>
        <v>10000</v>
      </c>
      <c r="G1114" t="e">
        <f ca="1">_xludf.MINIFS(CBIC_Late_Fee_Relief_Windows_1!$I$100:$I$1114,CBIC_Late_Fee_Relief_Windows_1!$D$100:$D$1114,"&lt;="&amp;B1114,CBIC_Late_Fee_Relief_Windows_1!$E$100:$E$1114,"&gt;="&amp;B1114,CBIC_Late_Fee_Relief_Windows_1!$F$100:$F$1114,"&lt;="&amp;C1114,CBIC_Late_Fee_Relief_Windows_1!$G$100:$G$1114,"&gt;="&amp;C1114,CBIC_Late_Fee_Relief_Windows_1!$H$100:$H$1114,D1114)</f>
        <v>#NAME?</v>
      </c>
      <c r="H1114" t="e">
        <f t="shared" ca="1" si="17"/>
        <v>#NAME?</v>
      </c>
      <c r="I1114" t="e">
        <f ca="1">INDEX(CBIC_Late_Fee_Relief_Windows_1!$B$100:$B$1114,MATCH(G1114,CBIC_Late_Fee_Relief_Windows_1!$I$100:$I$1114,0))</f>
        <v>#NAME?</v>
      </c>
    </row>
    <row r="1115" spans="1:9" x14ac:dyDescent="0.55000000000000004">
      <c r="A1115" t="str">
        <f>TEST_DATA!A1115</f>
        <v>27AAAAA1115Z5</v>
      </c>
      <c r="B1115" t="str">
        <f>TEST_DATA!B1115</f>
        <v>Jul-2020</v>
      </c>
      <c r="C1115">
        <f>TEST_DATA!C1115</f>
        <v>44536</v>
      </c>
      <c r="D1115" t="str">
        <f>TEST_DATA!D1115</f>
        <v>NON-NIL</v>
      </c>
      <c r="E1115">
        <f>TEST_DATA!E1115</f>
        <v>528</v>
      </c>
      <c r="F1115">
        <f>MIN(E1115*111500,10000)</f>
        <v>10000</v>
      </c>
      <c r="G1115" t="e">
        <f ca="1">_xludf.MINIFS(CBIC_Late_Fee_Relief_Windows_1!$I$100:$I$1115,CBIC_Late_Fee_Relief_Windows_1!$D$100:$D$1115,"&lt;="&amp;B1115,CBIC_Late_Fee_Relief_Windows_1!$E$100:$E$1115,"&gt;="&amp;B1115,CBIC_Late_Fee_Relief_Windows_1!$F$100:$F$1115,"&lt;="&amp;C1115,CBIC_Late_Fee_Relief_Windows_1!$G$100:$G$1115,"&gt;="&amp;C1115,CBIC_Late_Fee_Relief_Windows_1!$H$100:$H$1115,D1115)</f>
        <v>#NAME?</v>
      </c>
      <c r="H1115" t="e">
        <f t="shared" ca="1" si="17"/>
        <v>#NAME?</v>
      </c>
      <c r="I1115" t="e">
        <f ca="1">INDEX(CBIC_Late_Fee_Relief_Windows_1!$B$100:$B$1115,MATCH(G1115,CBIC_Late_Fee_Relief_Windows_1!$I$100:$I$1115,0))</f>
        <v>#NAME?</v>
      </c>
    </row>
    <row r="1116" spans="1:9" x14ac:dyDescent="0.55000000000000004">
      <c r="A1116" t="str">
        <f>TEST_DATA!A1116</f>
        <v>27AAAAA1116Z5</v>
      </c>
      <c r="B1116" t="str">
        <f>TEST_DATA!B1116</f>
        <v>Oct-2017</v>
      </c>
      <c r="C1116">
        <f>TEST_DATA!C1116</f>
        <v>43702</v>
      </c>
      <c r="D1116" t="str">
        <f>TEST_DATA!D1116</f>
        <v>NON-NIL</v>
      </c>
      <c r="E1116">
        <f>TEST_DATA!E1116</f>
        <v>684</v>
      </c>
      <c r="F1116">
        <f>MIN(E1116*111600,10000)</f>
        <v>10000</v>
      </c>
      <c r="G1116" t="e">
        <f ca="1">_xludf.MINIFS(CBIC_Late_Fee_Relief_Windows_1!$I$100:$I$1116,CBIC_Late_Fee_Relief_Windows_1!$D$100:$D$1116,"&lt;="&amp;B1116,CBIC_Late_Fee_Relief_Windows_1!$E$100:$E$1116,"&gt;="&amp;B1116,CBIC_Late_Fee_Relief_Windows_1!$F$100:$F$1116,"&lt;="&amp;C1116,CBIC_Late_Fee_Relief_Windows_1!$G$100:$G$1116,"&gt;="&amp;C1116,CBIC_Late_Fee_Relief_Windows_1!$H$100:$H$1116,D1116)</f>
        <v>#NAME?</v>
      </c>
      <c r="H1116" t="e">
        <f t="shared" ca="1" si="17"/>
        <v>#NAME?</v>
      </c>
      <c r="I1116" t="e">
        <f ca="1">INDEX(CBIC_Late_Fee_Relief_Windows_1!$B$100:$B$1116,MATCH(G1116,CBIC_Late_Fee_Relief_Windows_1!$I$100:$I$1116,0))</f>
        <v>#NAME?</v>
      </c>
    </row>
    <row r="1117" spans="1:9" x14ac:dyDescent="0.55000000000000004">
      <c r="A1117" t="str">
        <f>TEST_DATA!A1117</f>
        <v>27AAAAA1117Z5</v>
      </c>
      <c r="B1117" t="str">
        <f>TEST_DATA!B1117</f>
        <v>Sep-2017</v>
      </c>
      <c r="C1117">
        <f>TEST_DATA!C1117</f>
        <v>43010</v>
      </c>
      <c r="D1117" t="str">
        <f>TEST_DATA!D1117</f>
        <v>NON-NIL</v>
      </c>
      <c r="E1117">
        <f>TEST_DATA!E1117</f>
        <v>1191</v>
      </c>
      <c r="F1117">
        <f>MIN(E1117*111700,10000)</f>
        <v>10000</v>
      </c>
      <c r="G1117" t="e">
        <f ca="1">_xludf.MINIFS(CBIC_Late_Fee_Relief_Windows_1!$I$100:$I$1117,CBIC_Late_Fee_Relief_Windows_1!$D$100:$D$1117,"&lt;="&amp;B1117,CBIC_Late_Fee_Relief_Windows_1!$E$100:$E$1117,"&gt;="&amp;B1117,CBIC_Late_Fee_Relief_Windows_1!$F$100:$F$1117,"&lt;="&amp;C1117,CBIC_Late_Fee_Relief_Windows_1!$G$100:$G$1117,"&gt;="&amp;C1117,CBIC_Late_Fee_Relief_Windows_1!$H$100:$H$1117,D1117)</f>
        <v>#NAME?</v>
      </c>
      <c r="H1117" t="e">
        <f t="shared" ca="1" si="17"/>
        <v>#NAME?</v>
      </c>
      <c r="I1117" t="e">
        <f ca="1">INDEX(CBIC_Late_Fee_Relief_Windows_1!$B$100:$B$1117,MATCH(G1117,CBIC_Late_Fee_Relief_Windows_1!$I$100:$I$1117,0))</f>
        <v>#NAME?</v>
      </c>
    </row>
    <row r="1118" spans="1:9" x14ac:dyDescent="0.55000000000000004">
      <c r="A1118" t="str">
        <f>TEST_DATA!A1118</f>
        <v>27AAAAA1118Z5</v>
      </c>
      <c r="B1118" t="str">
        <f>TEST_DATA!B1118</f>
        <v>Sep-2018</v>
      </c>
      <c r="C1118">
        <f>TEST_DATA!C1118</f>
        <v>44407</v>
      </c>
      <c r="D1118" t="str">
        <f>TEST_DATA!D1118</f>
        <v>NON-NIL</v>
      </c>
      <c r="E1118">
        <f>TEST_DATA!E1118</f>
        <v>1776</v>
      </c>
      <c r="F1118">
        <f>MIN(E1118*111800,10000)</f>
        <v>10000</v>
      </c>
      <c r="G1118" t="e">
        <f ca="1">_xludf.MINIFS(CBIC_Late_Fee_Relief_Windows_1!$I$100:$I$1118,CBIC_Late_Fee_Relief_Windows_1!$D$100:$D$1118,"&lt;="&amp;B1118,CBIC_Late_Fee_Relief_Windows_1!$E$100:$E$1118,"&gt;="&amp;B1118,CBIC_Late_Fee_Relief_Windows_1!$F$100:$F$1118,"&lt;="&amp;C1118,CBIC_Late_Fee_Relief_Windows_1!$G$100:$G$1118,"&gt;="&amp;C1118,CBIC_Late_Fee_Relief_Windows_1!$H$100:$H$1118,D1118)</f>
        <v>#NAME?</v>
      </c>
      <c r="H1118" t="e">
        <f t="shared" ca="1" si="17"/>
        <v>#NAME?</v>
      </c>
      <c r="I1118" t="e">
        <f ca="1">INDEX(CBIC_Late_Fee_Relief_Windows_1!$B$100:$B$1118,MATCH(G1118,CBIC_Late_Fee_Relief_Windows_1!$I$100:$I$1118,0))</f>
        <v>#NAME?</v>
      </c>
    </row>
    <row r="1119" spans="1:9" x14ac:dyDescent="0.55000000000000004">
      <c r="A1119" t="str">
        <f>TEST_DATA!A1119</f>
        <v>27AAAAA1119Z5</v>
      </c>
      <c r="B1119" t="str">
        <f>TEST_DATA!B1119</f>
        <v>Dec-2024</v>
      </c>
      <c r="C1119">
        <f>TEST_DATA!C1119</f>
        <v>44014</v>
      </c>
      <c r="D1119" t="str">
        <f>TEST_DATA!D1119</f>
        <v>NON-NIL</v>
      </c>
      <c r="E1119">
        <f>TEST_DATA!E1119</f>
        <v>2007</v>
      </c>
      <c r="F1119">
        <f>MIN(E1119*111900,10000)</f>
        <v>10000</v>
      </c>
      <c r="G1119" t="e">
        <f ca="1">_xludf.MINIFS(CBIC_Late_Fee_Relief_Windows_1!$I$100:$I$1119,CBIC_Late_Fee_Relief_Windows_1!$D$100:$D$1119,"&lt;="&amp;B1119,CBIC_Late_Fee_Relief_Windows_1!$E$100:$E$1119,"&gt;="&amp;B1119,CBIC_Late_Fee_Relief_Windows_1!$F$100:$F$1119,"&lt;="&amp;C1119,CBIC_Late_Fee_Relief_Windows_1!$G$100:$G$1119,"&gt;="&amp;C1119,CBIC_Late_Fee_Relief_Windows_1!$H$100:$H$1119,D1119)</f>
        <v>#NAME?</v>
      </c>
      <c r="H1119" t="e">
        <f t="shared" ca="1" si="17"/>
        <v>#NAME?</v>
      </c>
      <c r="I1119" t="e">
        <f ca="1">INDEX(CBIC_Late_Fee_Relief_Windows_1!$B$100:$B$1119,MATCH(G1119,CBIC_Late_Fee_Relief_Windows_1!$I$100:$I$1119,0))</f>
        <v>#NAME?</v>
      </c>
    </row>
    <row r="1120" spans="1:9" x14ac:dyDescent="0.55000000000000004">
      <c r="A1120" t="str">
        <f>TEST_DATA!A1120</f>
        <v>27AAAAA1120Z5</v>
      </c>
      <c r="B1120" t="str">
        <f>TEST_DATA!B1120</f>
        <v>Jun-2018</v>
      </c>
      <c r="C1120">
        <f>TEST_DATA!C1120</f>
        <v>44453</v>
      </c>
      <c r="D1120" t="str">
        <f>TEST_DATA!D1120</f>
        <v>NIL</v>
      </c>
      <c r="E1120">
        <f>TEST_DATA!E1120</f>
        <v>675</v>
      </c>
      <c r="F1120">
        <f>MIN(E1120*112000,10000)</f>
        <v>10000</v>
      </c>
      <c r="G1120" t="e">
        <f ca="1">_xludf.MINIFS(CBIC_Late_Fee_Relief_Windows_1!$I$100:$I$1120,CBIC_Late_Fee_Relief_Windows_1!$D$100:$D$1120,"&lt;="&amp;B1120,CBIC_Late_Fee_Relief_Windows_1!$E$100:$E$1120,"&gt;="&amp;B1120,CBIC_Late_Fee_Relief_Windows_1!$F$100:$F$1120,"&lt;="&amp;C1120,CBIC_Late_Fee_Relief_Windows_1!$G$100:$G$1120,"&gt;="&amp;C1120,CBIC_Late_Fee_Relief_Windows_1!$H$100:$H$1120,D1120)</f>
        <v>#NAME?</v>
      </c>
      <c r="H1120" t="e">
        <f t="shared" ca="1" si="17"/>
        <v>#NAME?</v>
      </c>
      <c r="I1120" t="e">
        <f ca="1">INDEX(CBIC_Late_Fee_Relief_Windows_1!$B$100:$B$1120,MATCH(G1120,CBIC_Late_Fee_Relief_Windows_1!$I$100:$I$1120,0))</f>
        <v>#NAME?</v>
      </c>
    </row>
    <row r="1121" spans="1:9" x14ac:dyDescent="0.55000000000000004">
      <c r="A1121" t="str">
        <f>TEST_DATA!A1121</f>
        <v>27AAAAA1121Z5</v>
      </c>
      <c r="B1121" t="str">
        <f>TEST_DATA!B1121</f>
        <v>Apr-2021</v>
      </c>
      <c r="C1121">
        <f>TEST_DATA!C1121</f>
        <v>45118</v>
      </c>
      <c r="D1121" t="str">
        <f>TEST_DATA!D1121</f>
        <v>NIL</v>
      </c>
      <c r="E1121">
        <f>TEST_DATA!E1121</f>
        <v>935</v>
      </c>
      <c r="F1121">
        <f>MIN(E1121*112100,10000)</f>
        <v>10000</v>
      </c>
      <c r="G1121" t="e">
        <f ca="1">_xludf.MINIFS(CBIC_Late_Fee_Relief_Windows_1!$I$100:$I$1121,CBIC_Late_Fee_Relief_Windows_1!$D$100:$D$1121,"&lt;="&amp;B1121,CBIC_Late_Fee_Relief_Windows_1!$E$100:$E$1121,"&gt;="&amp;B1121,CBIC_Late_Fee_Relief_Windows_1!$F$100:$F$1121,"&lt;="&amp;C1121,CBIC_Late_Fee_Relief_Windows_1!$G$100:$G$1121,"&gt;="&amp;C1121,CBIC_Late_Fee_Relief_Windows_1!$H$100:$H$1121,D1121)</f>
        <v>#NAME?</v>
      </c>
      <c r="H1121" t="e">
        <f t="shared" ca="1" si="17"/>
        <v>#NAME?</v>
      </c>
      <c r="I1121" t="e">
        <f ca="1">INDEX(CBIC_Late_Fee_Relief_Windows_1!$B$100:$B$1121,MATCH(G1121,CBIC_Late_Fee_Relief_Windows_1!$I$100:$I$1121,0))</f>
        <v>#NAME?</v>
      </c>
    </row>
    <row r="1122" spans="1:9" x14ac:dyDescent="0.55000000000000004">
      <c r="A1122" t="str">
        <f>TEST_DATA!A1122</f>
        <v>27AAAAA1122Z5</v>
      </c>
      <c r="B1122" t="str">
        <f>TEST_DATA!B1122</f>
        <v>Feb-2018</v>
      </c>
      <c r="C1122">
        <f>TEST_DATA!C1122</f>
        <v>44406</v>
      </c>
      <c r="D1122" t="str">
        <f>TEST_DATA!D1122</f>
        <v>NIL</v>
      </c>
      <c r="E1122">
        <f>TEST_DATA!E1122</f>
        <v>865</v>
      </c>
      <c r="F1122">
        <f>MIN(E1122*112200,10000)</f>
        <v>10000</v>
      </c>
      <c r="G1122" t="e">
        <f ca="1">_xludf.MINIFS(CBIC_Late_Fee_Relief_Windows_1!$I$100:$I$1122,CBIC_Late_Fee_Relief_Windows_1!$D$100:$D$1122,"&lt;="&amp;B1122,CBIC_Late_Fee_Relief_Windows_1!$E$100:$E$1122,"&gt;="&amp;B1122,CBIC_Late_Fee_Relief_Windows_1!$F$100:$F$1122,"&lt;="&amp;C1122,CBIC_Late_Fee_Relief_Windows_1!$G$100:$G$1122,"&gt;="&amp;C1122,CBIC_Late_Fee_Relief_Windows_1!$H$100:$H$1122,D1122)</f>
        <v>#NAME?</v>
      </c>
      <c r="H1122" t="e">
        <f t="shared" ca="1" si="17"/>
        <v>#NAME?</v>
      </c>
      <c r="I1122" t="e">
        <f ca="1">INDEX(CBIC_Late_Fee_Relief_Windows_1!$B$100:$B$1122,MATCH(G1122,CBIC_Late_Fee_Relief_Windows_1!$I$100:$I$1122,0))</f>
        <v>#NAME?</v>
      </c>
    </row>
    <row r="1123" spans="1:9" x14ac:dyDescent="0.55000000000000004">
      <c r="A1123" t="str">
        <f>TEST_DATA!A1123</f>
        <v>27AAAAA1123Z5</v>
      </c>
      <c r="B1123" t="str">
        <f>TEST_DATA!B1123</f>
        <v>Jan-2021</v>
      </c>
      <c r="C1123">
        <f>TEST_DATA!C1123</f>
        <v>43555</v>
      </c>
      <c r="D1123" t="str">
        <f>TEST_DATA!D1123</f>
        <v>NIL</v>
      </c>
      <c r="E1123">
        <f>TEST_DATA!E1123</f>
        <v>504</v>
      </c>
      <c r="F1123">
        <f>MIN(E1123*112300,10000)</f>
        <v>10000</v>
      </c>
      <c r="G1123" t="e">
        <f ca="1">_xludf.MINIFS(CBIC_Late_Fee_Relief_Windows_1!$I$100:$I$1123,CBIC_Late_Fee_Relief_Windows_1!$D$100:$D$1123,"&lt;="&amp;B1123,CBIC_Late_Fee_Relief_Windows_1!$E$100:$E$1123,"&gt;="&amp;B1123,CBIC_Late_Fee_Relief_Windows_1!$F$100:$F$1123,"&lt;="&amp;C1123,CBIC_Late_Fee_Relief_Windows_1!$G$100:$G$1123,"&gt;="&amp;C1123,CBIC_Late_Fee_Relief_Windows_1!$H$100:$H$1123,D1123)</f>
        <v>#NAME?</v>
      </c>
      <c r="H1123" t="e">
        <f t="shared" ca="1" si="17"/>
        <v>#NAME?</v>
      </c>
      <c r="I1123" t="e">
        <f ca="1">INDEX(CBIC_Late_Fee_Relief_Windows_1!$B$100:$B$1123,MATCH(G1123,CBIC_Late_Fee_Relief_Windows_1!$I$100:$I$1123,0))</f>
        <v>#NAME?</v>
      </c>
    </row>
    <row r="1124" spans="1:9" x14ac:dyDescent="0.55000000000000004">
      <c r="A1124" t="str">
        <f>TEST_DATA!A1124</f>
        <v>27AAAAA1124Z5</v>
      </c>
      <c r="B1124" t="str">
        <f>TEST_DATA!B1124</f>
        <v>Jun-2018</v>
      </c>
      <c r="C1124">
        <f>TEST_DATA!C1124</f>
        <v>44373</v>
      </c>
      <c r="D1124" t="str">
        <f>TEST_DATA!D1124</f>
        <v>NIL</v>
      </c>
      <c r="E1124">
        <f>TEST_DATA!E1124</f>
        <v>1536</v>
      </c>
      <c r="F1124">
        <f>MIN(E1124*112400,10000)</f>
        <v>10000</v>
      </c>
      <c r="G1124" t="e">
        <f ca="1">_xludf.MINIFS(CBIC_Late_Fee_Relief_Windows_1!$I$100:$I$1124,CBIC_Late_Fee_Relief_Windows_1!$D$100:$D$1124,"&lt;="&amp;B1124,CBIC_Late_Fee_Relief_Windows_1!$E$100:$E$1124,"&gt;="&amp;B1124,CBIC_Late_Fee_Relief_Windows_1!$F$100:$F$1124,"&lt;="&amp;C1124,CBIC_Late_Fee_Relief_Windows_1!$G$100:$G$1124,"&gt;="&amp;C1124,CBIC_Late_Fee_Relief_Windows_1!$H$100:$H$1124,D1124)</f>
        <v>#NAME?</v>
      </c>
      <c r="H1124" t="e">
        <f t="shared" ca="1" si="17"/>
        <v>#NAME?</v>
      </c>
      <c r="I1124" t="e">
        <f ca="1">INDEX(CBIC_Late_Fee_Relief_Windows_1!$B$100:$B$1124,MATCH(G1124,CBIC_Late_Fee_Relief_Windows_1!$I$100:$I$1124,0))</f>
        <v>#NAME?</v>
      </c>
    </row>
    <row r="1125" spans="1:9" x14ac:dyDescent="0.55000000000000004">
      <c r="A1125" t="str">
        <f>TEST_DATA!A1125</f>
        <v>27AAAAA1125Z5</v>
      </c>
      <c r="B1125" t="str">
        <f>TEST_DATA!B1125</f>
        <v>Dec-2024</v>
      </c>
      <c r="C1125">
        <f>TEST_DATA!C1125</f>
        <v>44513</v>
      </c>
      <c r="D1125" t="str">
        <f>TEST_DATA!D1125</f>
        <v>NIL</v>
      </c>
      <c r="E1125">
        <f>TEST_DATA!E1125</f>
        <v>2432</v>
      </c>
      <c r="F1125">
        <f>MIN(E1125*112500,10000)</f>
        <v>10000</v>
      </c>
      <c r="G1125" t="e">
        <f ca="1">_xludf.MINIFS(CBIC_Late_Fee_Relief_Windows_1!$I$100:$I$1125,CBIC_Late_Fee_Relief_Windows_1!$D$100:$D$1125,"&lt;="&amp;B1125,CBIC_Late_Fee_Relief_Windows_1!$E$100:$E$1125,"&gt;="&amp;B1125,CBIC_Late_Fee_Relief_Windows_1!$F$100:$F$1125,"&lt;="&amp;C1125,CBIC_Late_Fee_Relief_Windows_1!$G$100:$G$1125,"&gt;="&amp;C1125,CBIC_Late_Fee_Relief_Windows_1!$H$100:$H$1125,D1125)</f>
        <v>#NAME?</v>
      </c>
      <c r="H1125" t="e">
        <f t="shared" ca="1" si="17"/>
        <v>#NAME?</v>
      </c>
      <c r="I1125" t="e">
        <f ca="1">INDEX(CBIC_Late_Fee_Relief_Windows_1!$B$100:$B$1125,MATCH(G1125,CBIC_Late_Fee_Relief_Windows_1!$I$100:$I$1125,0))</f>
        <v>#NAME?</v>
      </c>
    </row>
    <row r="1126" spans="1:9" x14ac:dyDescent="0.55000000000000004">
      <c r="A1126" t="str">
        <f>TEST_DATA!A1126</f>
        <v>27AAAAA1126Z5</v>
      </c>
      <c r="B1126" t="str">
        <f>TEST_DATA!B1126</f>
        <v>Aug-2017</v>
      </c>
      <c r="C1126">
        <f>TEST_DATA!C1126</f>
        <v>44272</v>
      </c>
      <c r="D1126" t="str">
        <f>TEST_DATA!D1126</f>
        <v>NIL</v>
      </c>
      <c r="E1126">
        <f>TEST_DATA!E1126</f>
        <v>2677</v>
      </c>
      <c r="F1126">
        <f>MIN(E1126*112600,10000)</f>
        <v>10000</v>
      </c>
      <c r="G1126" t="e">
        <f ca="1">_xludf.MINIFS(CBIC_Late_Fee_Relief_Windows_1!$I$100:$I$1126,CBIC_Late_Fee_Relief_Windows_1!$D$100:$D$1126,"&lt;="&amp;B1126,CBIC_Late_Fee_Relief_Windows_1!$E$100:$E$1126,"&gt;="&amp;B1126,CBIC_Late_Fee_Relief_Windows_1!$F$100:$F$1126,"&lt;="&amp;C1126,CBIC_Late_Fee_Relief_Windows_1!$G$100:$G$1126,"&gt;="&amp;C1126,CBIC_Late_Fee_Relief_Windows_1!$H$100:$H$1126,D1126)</f>
        <v>#NAME?</v>
      </c>
      <c r="H1126" t="e">
        <f t="shared" ca="1" si="17"/>
        <v>#NAME?</v>
      </c>
      <c r="I1126" t="e">
        <f ca="1">INDEX(CBIC_Late_Fee_Relief_Windows_1!$B$100:$B$1126,MATCH(G1126,CBIC_Late_Fee_Relief_Windows_1!$I$100:$I$1126,0))</f>
        <v>#NAME?</v>
      </c>
    </row>
    <row r="1127" spans="1:9" x14ac:dyDescent="0.55000000000000004">
      <c r="A1127" t="str">
        <f>TEST_DATA!A1127</f>
        <v>27AAAAA1127Z5</v>
      </c>
      <c r="B1127" t="str">
        <f>TEST_DATA!B1127</f>
        <v>Dec-2022</v>
      </c>
      <c r="C1127">
        <f>TEST_DATA!C1127</f>
        <v>43546</v>
      </c>
      <c r="D1127" t="str">
        <f>TEST_DATA!D1127</f>
        <v>NIL</v>
      </c>
      <c r="E1127">
        <f>TEST_DATA!E1127</f>
        <v>2825</v>
      </c>
      <c r="F1127">
        <f>MIN(E1127*112700,10000)</f>
        <v>10000</v>
      </c>
      <c r="G1127" t="e">
        <f ca="1">_xludf.MINIFS(CBIC_Late_Fee_Relief_Windows_1!$I$100:$I$1127,CBIC_Late_Fee_Relief_Windows_1!$D$100:$D$1127,"&lt;="&amp;B1127,CBIC_Late_Fee_Relief_Windows_1!$E$100:$E$1127,"&gt;="&amp;B1127,CBIC_Late_Fee_Relief_Windows_1!$F$100:$F$1127,"&lt;="&amp;C1127,CBIC_Late_Fee_Relief_Windows_1!$G$100:$G$1127,"&gt;="&amp;C1127,CBIC_Late_Fee_Relief_Windows_1!$H$100:$H$1127,D1127)</f>
        <v>#NAME?</v>
      </c>
      <c r="H1127" t="e">
        <f t="shared" ca="1" si="17"/>
        <v>#NAME?</v>
      </c>
      <c r="I1127" t="e">
        <f ca="1">INDEX(CBIC_Late_Fee_Relief_Windows_1!$B$100:$B$1127,MATCH(G1127,CBIC_Late_Fee_Relief_Windows_1!$I$100:$I$1127,0))</f>
        <v>#NAME?</v>
      </c>
    </row>
    <row r="1128" spans="1:9" x14ac:dyDescent="0.55000000000000004">
      <c r="A1128" t="str">
        <f>TEST_DATA!A1128</f>
        <v>27AAAAA1128Z5</v>
      </c>
      <c r="B1128" t="str">
        <f>TEST_DATA!B1128</f>
        <v>Oct-2017</v>
      </c>
      <c r="C1128">
        <f>TEST_DATA!C1128</f>
        <v>43770</v>
      </c>
      <c r="D1128" t="str">
        <f>TEST_DATA!D1128</f>
        <v>NON-NIL</v>
      </c>
      <c r="E1128">
        <f>TEST_DATA!E1128</f>
        <v>1557</v>
      </c>
      <c r="F1128">
        <f>MIN(E1128*112800,10000)</f>
        <v>10000</v>
      </c>
      <c r="G1128" t="e">
        <f ca="1">_xludf.MINIFS(CBIC_Late_Fee_Relief_Windows_1!$I$100:$I$1128,CBIC_Late_Fee_Relief_Windows_1!$D$100:$D$1128,"&lt;="&amp;B1128,CBIC_Late_Fee_Relief_Windows_1!$E$100:$E$1128,"&gt;="&amp;B1128,CBIC_Late_Fee_Relief_Windows_1!$F$100:$F$1128,"&lt;="&amp;C1128,CBIC_Late_Fee_Relief_Windows_1!$G$100:$G$1128,"&gt;="&amp;C1128,CBIC_Late_Fee_Relief_Windows_1!$H$100:$H$1128,D1128)</f>
        <v>#NAME?</v>
      </c>
      <c r="H1128" t="e">
        <f t="shared" ca="1" si="17"/>
        <v>#NAME?</v>
      </c>
      <c r="I1128" t="e">
        <f ca="1">INDEX(CBIC_Late_Fee_Relief_Windows_1!$B$100:$B$1128,MATCH(G1128,CBIC_Late_Fee_Relief_Windows_1!$I$100:$I$1128,0))</f>
        <v>#NAME?</v>
      </c>
    </row>
    <row r="1129" spans="1:9" x14ac:dyDescent="0.55000000000000004">
      <c r="A1129" t="str">
        <f>TEST_DATA!A1129</f>
        <v>27AAAAA1129Z5</v>
      </c>
      <c r="B1129" t="str">
        <f>TEST_DATA!B1129</f>
        <v>Oct-2017</v>
      </c>
      <c r="C1129">
        <f>TEST_DATA!C1129</f>
        <v>44037</v>
      </c>
      <c r="D1129" t="str">
        <f>TEST_DATA!D1129</f>
        <v>NON-NIL</v>
      </c>
      <c r="E1129">
        <f>TEST_DATA!E1129</f>
        <v>1943</v>
      </c>
      <c r="F1129">
        <f>MIN(E1129*112900,10000)</f>
        <v>10000</v>
      </c>
      <c r="G1129" t="e">
        <f ca="1">_xludf.MINIFS(CBIC_Late_Fee_Relief_Windows_1!$I$100:$I$1129,CBIC_Late_Fee_Relief_Windows_1!$D$100:$D$1129,"&lt;="&amp;B1129,CBIC_Late_Fee_Relief_Windows_1!$E$100:$E$1129,"&gt;="&amp;B1129,CBIC_Late_Fee_Relief_Windows_1!$F$100:$F$1129,"&lt;="&amp;C1129,CBIC_Late_Fee_Relief_Windows_1!$G$100:$G$1129,"&gt;="&amp;C1129,CBIC_Late_Fee_Relief_Windows_1!$H$100:$H$1129,D1129)</f>
        <v>#NAME?</v>
      </c>
      <c r="H1129" t="e">
        <f t="shared" ca="1" si="17"/>
        <v>#NAME?</v>
      </c>
      <c r="I1129" t="e">
        <f ca="1">INDEX(CBIC_Late_Fee_Relief_Windows_1!$B$100:$B$1129,MATCH(G1129,CBIC_Late_Fee_Relief_Windows_1!$I$100:$I$1129,0))</f>
        <v>#NAME?</v>
      </c>
    </row>
    <row r="1130" spans="1:9" x14ac:dyDescent="0.55000000000000004">
      <c r="A1130" t="str">
        <f>TEST_DATA!A1130</f>
        <v>27AAAAA1130Z5</v>
      </c>
      <c r="B1130" t="str">
        <f>TEST_DATA!B1130</f>
        <v>Jul-2020</v>
      </c>
      <c r="C1130">
        <f>TEST_DATA!C1130</f>
        <v>44144</v>
      </c>
      <c r="D1130" t="str">
        <f>TEST_DATA!D1130</f>
        <v>NIL</v>
      </c>
      <c r="E1130">
        <f>TEST_DATA!E1130</f>
        <v>2847</v>
      </c>
      <c r="F1130">
        <f>MIN(E1130*113000,10000)</f>
        <v>10000</v>
      </c>
      <c r="G1130" t="e">
        <f ca="1">_xludf.MINIFS(CBIC_Late_Fee_Relief_Windows_1!$I$100:$I$1130,CBIC_Late_Fee_Relief_Windows_1!$D$100:$D$1130,"&lt;="&amp;B1130,CBIC_Late_Fee_Relief_Windows_1!$E$100:$E$1130,"&gt;="&amp;B1130,CBIC_Late_Fee_Relief_Windows_1!$F$100:$F$1130,"&lt;="&amp;C1130,CBIC_Late_Fee_Relief_Windows_1!$G$100:$G$1130,"&gt;="&amp;C1130,CBIC_Late_Fee_Relief_Windows_1!$H$100:$H$1130,D1130)</f>
        <v>#NAME?</v>
      </c>
      <c r="H1130" t="e">
        <f t="shared" ca="1" si="17"/>
        <v>#NAME?</v>
      </c>
      <c r="I1130" t="e">
        <f ca="1">INDEX(CBIC_Late_Fee_Relief_Windows_1!$B$100:$B$1130,MATCH(G1130,CBIC_Late_Fee_Relief_Windows_1!$I$100:$I$1130,0))</f>
        <v>#NAME?</v>
      </c>
    </row>
    <row r="1131" spans="1:9" x14ac:dyDescent="0.55000000000000004">
      <c r="A1131" t="str">
        <f>TEST_DATA!A1131</f>
        <v>27AAAAA1131Z5</v>
      </c>
      <c r="B1131" t="str">
        <f>TEST_DATA!B1131</f>
        <v>Jun-2020</v>
      </c>
      <c r="C1131">
        <f>TEST_DATA!C1131</f>
        <v>43850</v>
      </c>
      <c r="D1131" t="str">
        <f>TEST_DATA!D1131</f>
        <v>NON-NIL</v>
      </c>
      <c r="E1131">
        <f>TEST_DATA!E1131</f>
        <v>1723</v>
      </c>
      <c r="F1131">
        <f>MIN(E1131*113100,10000)</f>
        <v>10000</v>
      </c>
      <c r="G1131" t="e">
        <f ca="1">_xludf.MINIFS(CBIC_Late_Fee_Relief_Windows_1!$I$100:$I$1131,CBIC_Late_Fee_Relief_Windows_1!$D$100:$D$1131,"&lt;="&amp;B1131,CBIC_Late_Fee_Relief_Windows_1!$E$100:$E$1131,"&gt;="&amp;B1131,CBIC_Late_Fee_Relief_Windows_1!$F$100:$F$1131,"&lt;="&amp;C1131,CBIC_Late_Fee_Relief_Windows_1!$G$100:$G$1131,"&gt;="&amp;C1131,CBIC_Late_Fee_Relief_Windows_1!$H$100:$H$1131,D1131)</f>
        <v>#NAME?</v>
      </c>
      <c r="H1131" t="e">
        <f t="shared" ca="1" si="17"/>
        <v>#NAME?</v>
      </c>
      <c r="I1131" t="e">
        <f ca="1">INDEX(CBIC_Late_Fee_Relief_Windows_1!$B$100:$B$1131,MATCH(G1131,CBIC_Late_Fee_Relief_Windows_1!$I$100:$I$1131,0))</f>
        <v>#NAME?</v>
      </c>
    </row>
    <row r="1132" spans="1:9" x14ac:dyDescent="0.55000000000000004">
      <c r="A1132" t="str">
        <f>TEST_DATA!A1132</f>
        <v>27AAAAA1132Z5</v>
      </c>
      <c r="B1132" t="str">
        <f>TEST_DATA!B1132</f>
        <v>Jun-2020</v>
      </c>
      <c r="C1132">
        <f>TEST_DATA!C1132</f>
        <v>44037</v>
      </c>
      <c r="D1132" t="str">
        <f>TEST_DATA!D1132</f>
        <v>NON-NIL</v>
      </c>
      <c r="E1132">
        <f>TEST_DATA!E1132</f>
        <v>2550</v>
      </c>
      <c r="F1132">
        <f>MIN(E1132*113200,10000)</f>
        <v>10000</v>
      </c>
      <c r="G1132" t="e">
        <f ca="1">_xludf.MINIFS(CBIC_Late_Fee_Relief_Windows_1!$I$100:$I$1132,CBIC_Late_Fee_Relief_Windows_1!$D$100:$D$1132,"&lt;="&amp;B1132,CBIC_Late_Fee_Relief_Windows_1!$E$100:$E$1132,"&gt;="&amp;B1132,CBIC_Late_Fee_Relief_Windows_1!$F$100:$F$1132,"&lt;="&amp;C1132,CBIC_Late_Fee_Relief_Windows_1!$G$100:$G$1132,"&gt;="&amp;C1132,CBIC_Late_Fee_Relief_Windows_1!$H$100:$H$1132,D1132)</f>
        <v>#NAME?</v>
      </c>
      <c r="H1132" t="e">
        <f t="shared" ca="1" si="17"/>
        <v>#NAME?</v>
      </c>
      <c r="I1132" t="e">
        <f ca="1">INDEX(CBIC_Late_Fee_Relief_Windows_1!$B$100:$B$1132,MATCH(G1132,CBIC_Late_Fee_Relief_Windows_1!$I$100:$I$1132,0))</f>
        <v>#NAME?</v>
      </c>
    </row>
    <row r="1133" spans="1:9" x14ac:dyDescent="0.55000000000000004">
      <c r="A1133" t="str">
        <f>TEST_DATA!A1133</f>
        <v>27AAAAA1133Z5</v>
      </c>
      <c r="B1133" t="str">
        <f>TEST_DATA!B1133</f>
        <v>Apr-2020</v>
      </c>
      <c r="C1133">
        <f>TEST_DATA!C1133</f>
        <v>44111</v>
      </c>
      <c r="D1133" t="str">
        <f>TEST_DATA!D1133</f>
        <v>NON-NIL</v>
      </c>
      <c r="E1133">
        <f>TEST_DATA!E1133</f>
        <v>429</v>
      </c>
      <c r="F1133">
        <f>MIN(E1133*113300,10000)</f>
        <v>10000</v>
      </c>
      <c r="G1133" t="e">
        <f ca="1">_xludf.MINIFS(CBIC_Late_Fee_Relief_Windows_1!$I$100:$I$1133,CBIC_Late_Fee_Relief_Windows_1!$D$100:$D$1133,"&lt;="&amp;B1133,CBIC_Late_Fee_Relief_Windows_1!$E$100:$E$1133,"&gt;="&amp;B1133,CBIC_Late_Fee_Relief_Windows_1!$F$100:$F$1133,"&lt;="&amp;C1133,CBIC_Late_Fee_Relief_Windows_1!$G$100:$G$1133,"&gt;="&amp;C1133,CBIC_Late_Fee_Relief_Windows_1!$H$100:$H$1133,D1133)</f>
        <v>#NAME?</v>
      </c>
      <c r="H1133" t="e">
        <f t="shared" ca="1" si="17"/>
        <v>#NAME?</v>
      </c>
      <c r="I1133" t="e">
        <f ca="1">INDEX(CBIC_Late_Fee_Relief_Windows_1!$B$100:$B$1133,MATCH(G1133,CBIC_Late_Fee_Relief_Windows_1!$I$100:$I$1133,0))</f>
        <v>#NAME?</v>
      </c>
    </row>
    <row r="1134" spans="1:9" x14ac:dyDescent="0.55000000000000004">
      <c r="A1134" t="str">
        <f>TEST_DATA!A1134</f>
        <v>27AAAAA1134Z5</v>
      </c>
      <c r="B1134" t="str">
        <f>TEST_DATA!B1134</f>
        <v>Jun-2019</v>
      </c>
      <c r="C1134">
        <f>TEST_DATA!C1134</f>
        <v>43948</v>
      </c>
      <c r="D1134" t="str">
        <f>TEST_DATA!D1134</f>
        <v>NON-NIL</v>
      </c>
      <c r="E1134">
        <f>TEST_DATA!E1134</f>
        <v>466</v>
      </c>
      <c r="F1134">
        <f>MIN(E1134*113400,10000)</f>
        <v>10000</v>
      </c>
      <c r="G1134" t="e">
        <f ca="1">_xludf.MINIFS(CBIC_Late_Fee_Relief_Windows_1!$I$100:$I$1134,CBIC_Late_Fee_Relief_Windows_1!$D$100:$D$1134,"&lt;="&amp;B1134,CBIC_Late_Fee_Relief_Windows_1!$E$100:$E$1134,"&gt;="&amp;B1134,CBIC_Late_Fee_Relief_Windows_1!$F$100:$F$1134,"&lt;="&amp;C1134,CBIC_Late_Fee_Relief_Windows_1!$G$100:$G$1134,"&gt;="&amp;C1134,CBIC_Late_Fee_Relief_Windows_1!$H$100:$H$1134,D1134)</f>
        <v>#NAME?</v>
      </c>
      <c r="H1134" t="e">
        <f t="shared" ca="1" si="17"/>
        <v>#NAME?</v>
      </c>
      <c r="I1134" t="e">
        <f ca="1">INDEX(CBIC_Late_Fee_Relief_Windows_1!$B$100:$B$1134,MATCH(G1134,CBIC_Late_Fee_Relief_Windows_1!$I$100:$I$1134,0))</f>
        <v>#NAME?</v>
      </c>
    </row>
    <row r="1135" spans="1:9" x14ac:dyDescent="0.55000000000000004">
      <c r="A1135" t="str">
        <f>TEST_DATA!A1135</f>
        <v>27AAAAA1135Z5</v>
      </c>
      <c r="B1135" t="str">
        <f>TEST_DATA!B1135</f>
        <v>Apr-2021</v>
      </c>
      <c r="C1135">
        <f>TEST_DATA!C1135</f>
        <v>43901</v>
      </c>
      <c r="D1135" t="str">
        <f>TEST_DATA!D1135</f>
        <v>NON-NIL</v>
      </c>
      <c r="E1135">
        <f>TEST_DATA!E1135</f>
        <v>813</v>
      </c>
      <c r="F1135">
        <f>MIN(E1135*113500,10000)</f>
        <v>10000</v>
      </c>
      <c r="G1135" t="e">
        <f ca="1">_xludf.MINIFS(CBIC_Late_Fee_Relief_Windows_1!$I$100:$I$1135,CBIC_Late_Fee_Relief_Windows_1!$D$100:$D$1135,"&lt;="&amp;B1135,CBIC_Late_Fee_Relief_Windows_1!$E$100:$E$1135,"&gt;="&amp;B1135,CBIC_Late_Fee_Relief_Windows_1!$F$100:$F$1135,"&lt;="&amp;C1135,CBIC_Late_Fee_Relief_Windows_1!$G$100:$G$1135,"&gt;="&amp;C1135,CBIC_Late_Fee_Relief_Windows_1!$H$100:$H$1135,D1135)</f>
        <v>#NAME?</v>
      </c>
      <c r="H1135" t="e">
        <f t="shared" ca="1" si="17"/>
        <v>#NAME?</v>
      </c>
      <c r="I1135" t="e">
        <f ca="1">INDEX(CBIC_Late_Fee_Relief_Windows_1!$B$100:$B$1135,MATCH(G1135,CBIC_Late_Fee_Relief_Windows_1!$I$100:$I$1135,0))</f>
        <v>#NAME?</v>
      </c>
    </row>
    <row r="1136" spans="1:9" x14ac:dyDescent="0.55000000000000004">
      <c r="A1136" t="str">
        <f>TEST_DATA!A1136</f>
        <v>27AAAAA1136Z5</v>
      </c>
      <c r="B1136" t="str">
        <f>TEST_DATA!B1136</f>
        <v>Apr-2020</v>
      </c>
      <c r="C1136">
        <f>TEST_DATA!C1136</f>
        <v>44240</v>
      </c>
      <c r="D1136" t="str">
        <f>TEST_DATA!D1136</f>
        <v>NON-NIL</v>
      </c>
      <c r="E1136">
        <f>TEST_DATA!E1136</f>
        <v>2142</v>
      </c>
      <c r="F1136">
        <f>MIN(E1136*113600,10000)</f>
        <v>10000</v>
      </c>
      <c r="G1136" t="e">
        <f ca="1">_xludf.MINIFS(CBIC_Late_Fee_Relief_Windows_1!$I$100:$I$1136,CBIC_Late_Fee_Relief_Windows_1!$D$100:$D$1136,"&lt;="&amp;B1136,CBIC_Late_Fee_Relief_Windows_1!$E$100:$E$1136,"&gt;="&amp;B1136,CBIC_Late_Fee_Relief_Windows_1!$F$100:$F$1136,"&lt;="&amp;C1136,CBIC_Late_Fee_Relief_Windows_1!$G$100:$G$1136,"&gt;="&amp;C1136,CBIC_Late_Fee_Relief_Windows_1!$H$100:$H$1136,D1136)</f>
        <v>#NAME?</v>
      </c>
      <c r="H1136" t="e">
        <f t="shared" ca="1" si="17"/>
        <v>#NAME?</v>
      </c>
      <c r="I1136" t="e">
        <f ca="1">INDEX(CBIC_Late_Fee_Relief_Windows_1!$B$100:$B$1136,MATCH(G1136,CBIC_Late_Fee_Relief_Windows_1!$I$100:$I$1136,0))</f>
        <v>#NAME?</v>
      </c>
    </row>
    <row r="1137" spans="1:9" x14ac:dyDescent="0.55000000000000004">
      <c r="A1137" t="str">
        <f>TEST_DATA!A1137</f>
        <v>27AAAAA1137Z5</v>
      </c>
      <c r="B1137" t="str">
        <f>TEST_DATA!B1137</f>
        <v>Jan-2018</v>
      </c>
      <c r="C1137">
        <f>TEST_DATA!C1137</f>
        <v>43650</v>
      </c>
      <c r="D1137" t="str">
        <f>TEST_DATA!D1137</f>
        <v>NON-NIL</v>
      </c>
      <c r="E1137">
        <f>TEST_DATA!E1137</f>
        <v>1209</v>
      </c>
      <c r="F1137">
        <f>MIN(E1137*113700,10000)</f>
        <v>10000</v>
      </c>
      <c r="G1137" t="e">
        <f ca="1">_xludf.MINIFS(CBIC_Late_Fee_Relief_Windows_1!$I$100:$I$1137,CBIC_Late_Fee_Relief_Windows_1!$D$100:$D$1137,"&lt;="&amp;B1137,CBIC_Late_Fee_Relief_Windows_1!$E$100:$E$1137,"&gt;="&amp;B1137,CBIC_Late_Fee_Relief_Windows_1!$F$100:$F$1137,"&lt;="&amp;C1137,CBIC_Late_Fee_Relief_Windows_1!$G$100:$G$1137,"&gt;="&amp;C1137,CBIC_Late_Fee_Relief_Windows_1!$H$100:$H$1137,D1137)</f>
        <v>#NAME?</v>
      </c>
      <c r="H1137" t="e">
        <f t="shared" ca="1" si="17"/>
        <v>#NAME?</v>
      </c>
      <c r="I1137" t="e">
        <f ca="1">INDEX(CBIC_Late_Fee_Relief_Windows_1!$B$100:$B$1137,MATCH(G1137,CBIC_Late_Fee_Relief_Windows_1!$I$100:$I$1137,0))</f>
        <v>#NAME?</v>
      </c>
    </row>
    <row r="1138" spans="1:9" x14ac:dyDescent="0.55000000000000004">
      <c r="A1138" t="str">
        <f>TEST_DATA!A1138</f>
        <v>27AAAAA1138Z5</v>
      </c>
      <c r="B1138" t="str">
        <f>TEST_DATA!B1138</f>
        <v>Dec-2017</v>
      </c>
      <c r="C1138">
        <f>TEST_DATA!C1138</f>
        <v>42997</v>
      </c>
      <c r="D1138" t="str">
        <f>TEST_DATA!D1138</f>
        <v>NON-NIL</v>
      </c>
      <c r="E1138">
        <f>TEST_DATA!E1138</f>
        <v>850</v>
      </c>
      <c r="F1138">
        <f>MIN(E1138*113800,10000)</f>
        <v>10000</v>
      </c>
      <c r="G1138" t="e">
        <f ca="1">_xludf.MINIFS(CBIC_Late_Fee_Relief_Windows_1!$I$100:$I$1138,CBIC_Late_Fee_Relief_Windows_1!$D$100:$D$1138,"&lt;="&amp;B1138,CBIC_Late_Fee_Relief_Windows_1!$E$100:$E$1138,"&gt;="&amp;B1138,CBIC_Late_Fee_Relief_Windows_1!$F$100:$F$1138,"&lt;="&amp;C1138,CBIC_Late_Fee_Relief_Windows_1!$G$100:$G$1138,"&gt;="&amp;C1138,CBIC_Late_Fee_Relief_Windows_1!$H$100:$H$1138,D1138)</f>
        <v>#NAME?</v>
      </c>
      <c r="H1138" t="e">
        <f t="shared" ca="1" si="17"/>
        <v>#NAME?</v>
      </c>
      <c r="I1138" t="e">
        <f ca="1">INDEX(CBIC_Late_Fee_Relief_Windows_1!$B$100:$B$1138,MATCH(G1138,CBIC_Late_Fee_Relief_Windows_1!$I$100:$I$1138,0))</f>
        <v>#NAME?</v>
      </c>
    </row>
    <row r="1139" spans="1:9" x14ac:dyDescent="0.55000000000000004">
      <c r="A1139" t="str">
        <f>TEST_DATA!A1139</f>
        <v>27AAAAA1139Z5</v>
      </c>
      <c r="B1139" t="str">
        <f>TEST_DATA!B1139</f>
        <v>Jul-2020</v>
      </c>
      <c r="C1139">
        <f>TEST_DATA!C1139</f>
        <v>44815</v>
      </c>
      <c r="D1139" t="str">
        <f>TEST_DATA!D1139</f>
        <v>NON-NIL</v>
      </c>
      <c r="E1139">
        <f>TEST_DATA!E1139</f>
        <v>960</v>
      </c>
      <c r="F1139">
        <f>MIN(E1139*113900,10000)</f>
        <v>10000</v>
      </c>
      <c r="G1139" t="e">
        <f ca="1">_xludf.MINIFS(CBIC_Late_Fee_Relief_Windows_1!$I$100:$I$1139,CBIC_Late_Fee_Relief_Windows_1!$D$100:$D$1139,"&lt;="&amp;B1139,CBIC_Late_Fee_Relief_Windows_1!$E$100:$E$1139,"&gt;="&amp;B1139,CBIC_Late_Fee_Relief_Windows_1!$F$100:$F$1139,"&lt;="&amp;C1139,CBIC_Late_Fee_Relief_Windows_1!$G$100:$G$1139,"&gt;="&amp;C1139,CBIC_Late_Fee_Relief_Windows_1!$H$100:$H$1139,D1139)</f>
        <v>#NAME?</v>
      </c>
      <c r="H1139" t="e">
        <f t="shared" ca="1" si="17"/>
        <v>#NAME?</v>
      </c>
      <c r="I1139" t="e">
        <f ca="1">INDEX(CBIC_Late_Fee_Relief_Windows_1!$B$100:$B$1139,MATCH(G1139,CBIC_Late_Fee_Relief_Windows_1!$I$100:$I$1139,0))</f>
        <v>#NAME?</v>
      </c>
    </row>
    <row r="1140" spans="1:9" x14ac:dyDescent="0.55000000000000004">
      <c r="A1140" t="str">
        <f>TEST_DATA!A1140</f>
        <v>27AAAAA1140Z5</v>
      </c>
      <c r="B1140" t="str">
        <f>TEST_DATA!B1140</f>
        <v>Jul-2017</v>
      </c>
      <c r="C1140">
        <f>TEST_DATA!C1140</f>
        <v>42943</v>
      </c>
      <c r="D1140" t="str">
        <f>TEST_DATA!D1140</f>
        <v>NIL</v>
      </c>
      <c r="E1140">
        <f>TEST_DATA!E1140</f>
        <v>452</v>
      </c>
      <c r="F1140">
        <f>MIN(E1140*114000,10000)</f>
        <v>10000</v>
      </c>
      <c r="G1140" t="e">
        <f ca="1">_xludf.MINIFS(CBIC_Late_Fee_Relief_Windows_1!$I$100:$I$1140,CBIC_Late_Fee_Relief_Windows_1!$D$100:$D$1140,"&lt;="&amp;B1140,CBIC_Late_Fee_Relief_Windows_1!$E$100:$E$1140,"&gt;="&amp;B1140,CBIC_Late_Fee_Relief_Windows_1!$F$100:$F$1140,"&lt;="&amp;C1140,CBIC_Late_Fee_Relief_Windows_1!$G$100:$G$1140,"&gt;="&amp;C1140,CBIC_Late_Fee_Relief_Windows_1!$H$100:$H$1140,D1140)</f>
        <v>#NAME?</v>
      </c>
      <c r="H1140" t="e">
        <f t="shared" ca="1" si="17"/>
        <v>#NAME?</v>
      </c>
      <c r="I1140" t="e">
        <f ca="1">INDEX(CBIC_Late_Fee_Relief_Windows_1!$B$100:$B$1140,MATCH(G1140,CBIC_Late_Fee_Relief_Windows_1!$I$100:$I$1140,0))</f>
        <v>#NAME?</v>
      </c>
    </row>
    <row r="1141" spans="1:9" x14ac:dyDescent="0.55000000000000004">
      <c r="A1141" t="str">
        <f>TEST_DATA!A1141</f>
        <v>27AAAAA1141Z5</v>
      </c>
      <c r="B1141" t="str">
        <f>TEST_DATA!B1141</f>
        <v>Dec-2022</v>
      </c>
      <c r="C1141">
        <f>TEST_DATA!C1141</f>
        <v>45817</v>
      </c>
      <c r="D1141" t="str">
        <f>TEST_DATA!D1141</f>
        <v>NON-NIL</v>
      </c>
      <c r="E1141">
        <f>TEST_DATA!E1141</f>
        <v>610</v>
      </c>
      <c r="F1141">
        <f>MIN(E1141*114100,10000)</f>
        <v>10000</v>
      </c>
      <c r="G1141" t="e">
        <f ca="1">_xludf.MINIFS(CBIC_Late_Fee_Relief_Windows_1!$I$100:$I$1141,CBIC_Late_Fee_Relief_Windows_1!$D$100:$D$1141,"&lt;="&amp;B1141,CBIC_Late_Fee_Relief_Windows_1!$E$100:$E$1141,"&gt;="&amp;B1141,CBIC_Late_Fee_Relief_Windows_1!$F$100:$F$1141,"&lt;="&amp;C1141,CBIC_Late_Fee_Relief_Windows_1!$G$100:$G$1141,"&gt;="&amp;C1141,CBIC_Late_Fee_Relief_Windows_1!$H$100:$H$1141,D1141)</f>
        <v>#NAME?</v>
      </c>
      <c r="H1141" t="e">
        <f t="shared" ca="1" si="17"/>
        <v>#NAME?</v>
      </c>
      <c r="I1141" t="e">
        <f ca="1">INDEX(CBIC_Late_Fee_Relief_Windows_1!$B$100:$B$1141,MATCH(G1141,CBIC_Late_Fee_Relief_Windows_1!$I$100:$I$1141,0))</f>
        <v>#NAME?</v>
      </c>
    </row>
    <row r="1142" spans="1:9" x14ac:dyDescent="0.55000000000000004">
      <c r="A1142" t="str">
        <f>TEST_DATA!A1142</f>
        <v>27AAAAA1142Z5</v>
      </c>
      <c r="B1142" t="str">
        <f>TEST_DATA!B1142</f>
        <v>Sep-2017</v>
      </c>
      <c r="C1142">
        <f>TEST_DATA!C1142</f>
        <v>44513</v>
      </c>
      <c r="D1142" t="str">
        <f>TEST_DATA!D1142</f>
        <v>NIL</v>
      </c>
      <c r="E1142">
        <f>TEST_DATA!E1142</f>
        <v>2963</v>
      </c>
      <c r="F1142">
        <f>MIN(E1142*114200,10000)</f>
        <v>10000</v>
      </c>
      <c r="G1142" t="e">
        <f ca="1">_xludf.MINIFS(CBIC_Late_Fee_Relief_Windows_1!$I$100:$I$1142,CBIC_Late_Fee_Relief_Windows_1!$D$100:$D$1142,"&lt;="&amp;B1142,CBIC_Late_Fee_Relief_Windows_1!$E$100:$E$1142,"&gt;="&amp;B1142,CBIC_Late_Fee_Relief_Windows_1!$F$100:$F$1142,"&lt;="&amp;C1142,CBIC_Late_Fee_Relief_Windows_1!$G$100:$G$1142,"&gt;="&amp;C1142,CBIC_Late_Fee_Relief_Windows_1!$H$100:$H$1142,D1142)</f>
        <v>#NAME?</v>
      </c>
      <c r="H1142" t="e">
        <f t="shared" ca="1" si="17"/>
        <v>#NAME?</v>
      </c>
      <c r="I1142" t="e">
        <f ca="1">INDEX(CBIC_Late_Fee_Relief_Windows_1!$B$100:$B$1142,MATCH(G1142,CBIC_Late_Fee_Relief_Windows_1!$I$100:$I$1142,0))</f>
        <v>#NAME?</v>
      </c>
    </row>
    <row r="1143" spans="1:9" x14ac:dyDescent="0.55000000000000004">
      <c r="A1143" t="str">
        <f>TEST_DATA!A1143</f>
        <v>27AAAAA1143Z5</v>
      </c>
      <c r="B1143" t="str">
        <f>TEST_DATA!B1143</f>
        <v>Jan-2021</v>
      </c>
      <c r="C1143">
        <f>TEST_DATA!C1143</f>
        <v>43880</v>
      </c>
      <c r="D1143" t="str">
        <f>TEST_DATA!D1143</f>
        <v>NON-NIL</v>
      </c>
      <c r="E1143">
        <f>TEST_DATA!E1143</f>
        <v>2639</v>
      </c>
      <c r="F1143">
        <f>MIN(E1143*114300,10000)</f>
        <v>10000</v>
      </c>
      <c r="G1143" t="e">
        <f ca="1">_xludf.MINIFS(CBIC_Late_Fee_Relief_Windows_1!$I$100:$I$1143,CBIC_Late_Fee_Relief_Windows_1!$D$100:$D$1143,"&lt;="&amp;B1143,CBIC_Late_Fee_Relief_Windows_1!$E$100:$E$1143,"&gt;="&amp;B1143,CBIC_Late_Fee_Relief_Windows_1!$F$100:$F$1143,"&lt;="&amp;C1143,CBIC_Late_Fee_Relief_Windows_1!$G$100:$G$1143,"&gt;="&amp;C1143,CBIC_Late_Fee_Relief_Windows_1!$H$100:$H$1143,D1143)</f>
        <v>#NAME?</v>
      </c>
      <c r="H1143" t="e">
        <f t="shared" ca="1" si="17"/>
        <v>#NAME?</v>
      </c>
      <c r="I1143" t="e">
        <f ca="1">INDEX(CBIC_Late_Fee_Relief_Windows_1!$B$100:$B$1143,MATCH(G1143,CBIC_Late_Fee_Relief_Windows_1!$I$100:$I$1143,0))</f>
        <v>#NAME?</v>
      </c>
    </row>
    <row r="1144" spans="1:9" x14ac:dyDescent="0.55000000000000004">
      <c r="A1144" t="str">
        <f>TEST_DATA!A1144</f>
        <v>27AAAAA1144Z5</v>
      </c>
      <c r="B1144" t="str">
        <f>TEST_DATA!B1144</f>
        <v>Feb-2018</v>
      </c>
      <c r="C1144">
        <f>TEST_DATA!C1144</f>
        <v>43852</v>
      </c>
      <c r="D1144" t="str">
        <f>TEST_DATA!D1144</f>
        <v>NON-NIL</v>
      </c>
      <c r="E1144">
        <f>TEST_DATA!E1144</f>
        <v>1081</v>
      </c>
      <c r="F1144">
        <f>MIN(E1144*114400,10000)</f>
        <v>10000</v>
      </c>
      <c r="G1144" t="e">
        <f ca="1">_xludf.MINIFS(CBIC_Late_Fee_Relief_Windows_1!$I$100:$I$1144,CBIC_Late_Fee_Relief_Windows_1!$D$100:$D$1144,"&lt;="&amp;B1144,CBIC_Late_Fee_Relief_Windows_1!$E$100:$E$1144,"&gt;="&amp;B1144,CBIC_Late_Fee_Relief_Windows_1!$F$100:$F$1144,"&lt;="&amp;C1144,CBIC_Late_Fee_Relief_Windows_1!$G$100:$G$1144,"&gt;="&amp;C1144,CBIC_Late_Fee_Relief_Windows_1!$H$100:$H$1144,D1144)</f>
        <v>#NAME?</v>
      </c>
      <c r="H1144" t="e">
        <f t="shared" ca="1" si="17"/>
        <v>#NAME?</v>
      </c>
      <c r="I1144" t="e">
        <f ca="1">INDEX(CBIC_Late_Fee_Relief_Windows_1!$B$100:$B$1144,MATCH(G1144,CBIC_Late_Fee_Relief_Windows_1!$I$100:$I$1144,0))</f>
        <v>#NAME?</v>
      </c>
    </row>
    <row r="1145" spans="1:9" x14ac:dyDescent="0.55000000000000004">
      <c r="A1145" t="str">
        <f>TEST_DATA!A1145</f>
        <v>27AAAAA1145Z5</v>
      </c>
      <c r="B1145" t="str">
        <f>TEST_DATA!B1145</f>
        <v>Sep-2018</v>
      </c>
      <c r="C1145">
        <f>TEST_DATA!C1145</f>
        <v>43019</v>
      </c>
      <c r="D1145" t="str">
        <f>TEST_DATA!D1145</f>
        <v>NIL</v>
      </c>
      <c r="E1145">
        <f>TEST_DATA!E1145</f>
        <v>715</v>
      </c>
      <c r="F1145">
        <f>MIN(E1145*114500,10000)</f>
        <v>10000</v>
      </c>
      <c r="G1145" t="e">
        <f ca="1">_xludf.MINIFS(CBIC_Late_Fee_Relief_Windows_1!$I$100:$I$1145,CBIC_Late_Fee_Relief_Windows_1!$D$100:$D$1145,"&lt;="&amp;B1145,CBIC_Late_Fee_Relief_Windows_1!$E$100:$E$1145,"&gt;="&amp;B1145,CBIC_Late_Fee_Relief_Windows_1!$F$100:$F$1145,"&lt;="&amp;C1145,CBIC_Late_Fee_Relief_Windows_1!$G$100:$G$1145,"&gt;="&amp;C1145,CBIC_Late_Fee_Relief_Windows_1!$H$100:$H$1145,D1145)</f>
        <v>#NAME?</v>
      </c>
      <c r="H1145" t="e">
        <f t="shared" ca="1" si="17"/>
        <v>#NAME?</v>
      </c>
      <c r="I1145" t="e">
        <f ca="1">INDEX(CBIC_Late_Fee_Relief_Windows_1!$B$100:$B$1145,MATCH(G1145,CBIC_Late_Fee_Relief_Windows_1!$I$100:$I$1145,0))</f>
        <v>#NAME?</v>
      </c>
    </row>
    <row r="1146" spans="1:9" x14ac:dyDescent="0.55000000000000004">
      <c r="A1146" t="str">
        <f>TEST_DATA!A1146</f>
        <v>27AAAAA1146Z5</v>
      </c>
      <c r="B1146" t="str">
        <f>TEST_DATA!B1146</f>
        <v>Mar-2023</v>
      </c>
      <c r="C1146">
        <f>TEST_DATA!C1146</f>
        <v>43627</v>
      </c>
      <c r="D1146" t="str">
        <f>TEST_DATA!D1146</f>
        <v>NON-NIL</v>
      </c>
      <c r="E1146">
        <f>TEST_DATA!E1146</f>
        <v>1475</v>
      </c>
      <c r="F1146">
        <f>MIN(E1146*114600,10000)</f>
        <v>10000</v>
      </c>
      <c r="G1146" t="e">
        <f ca="1">_xludf.MINIFS(CBIC_Late_Fee_Relief_Windows_1!$I$100:$I$1146,CBIC_Late_Fee_Relief_Windows_1!$D$100:$D$1146,"&lt;="&amp;B1146,CBIC_Late_Fee_Relief_Windows_1!$E$100:$E$1146,"&gt;="&amp;B1146,CBIC_Late_Fee_Relief_Windows_1!$F$100:$F$1146,"&lt;="&amp;C1146,CBIC_Late_Fee_Relief_Windows_1!$G$100:$G$1146,"&gt;="&amp;C1146,CBIC_Late_Fee_Relief_Windows_1!$H$100:$H$1146,D1146)</f>
        <v>#NAME?</v>
      </c>
      <c r="H1146" t="e">
        <f t="shared" ca="1" si="17"/>
        <v>#NAME?</v>
      </c>
      <c r="I1146" t="e">
        <f ca="1">INDEX(CBIC_Late_Fee_Relief_Windows_1!$B$100:$B$1146,MATCH(G1146,CBIC_Late_Fee_Relief_Windows_1!$I$100:$I$1146,0))</f>
        <v>#NAME?</v>
      </c>
    </row>
    <row r="1147" spans="1:9" x14ac:dyDescent="0.55000000000000004">
      <c r="A1147" t="str">
        <f>TEST_DATA!A1147</f>
        <v>27AAAAA1147Z5</v>
      </c>
      <c r="B1147" t="str">
        <f>TEST_DATA!B1147</f>
        <v>Apr-2021</v>
      </c>
      <c r="C1147">
        <f>TEST_DATA!C1147</f>
        <v>44746</v>
      </c>
      <c r="D1147" t="str">
        <f>TEST_DATA!D1147</f>
        <v>NON-NIL</v>
      </c>
      <c r="E1147">
        <f>TEST_DATA!E1147</f>
        <v>474</v>
      </c>
      <c r="F1147">
        <f>MIN(E1147*114700,10000)</f>
        <v>10000</v>
      </c>
      <c r="G1147" t="e">
        <f ca="1">_xludf.MINIFS(CBIC_Late_Fee_Relief_Windows_1!$I$100:$I$1147,CBIC_Late_Fee_Relief_Windows_1!$D$100:$D$1147,"&lt;="&amp;B1147,CBIC_Late_Fee_Relief_Windows_1!$E$100:$E$1147,"&gt;="&amp;B1147,CBIC_Late_Fee_Relief_Windows_1!$F$100:$F$1147,"&lt;="&amp;C1147,CBIC_Late_Fee_Relief_Windows_1!$G$100:$G$1147,"&gt;="&amp;C1147,CBIC_Late_Fee_Relief_Windows_1!$H$100:$H$1147,D1147)</f>
        <v>#NAME?</v>
      </c>
      <c r="H1147" t="e">
        <f t="shared" ca="1" si="17"/>
        <v>#NAME?</v>
      </c>
      <c r="I1147" t="e">
        <f ca="1">INDEX(CBIC_Late_Fee_Relief_Windows_1!$B$100:$B$1147,MATCH(G1147,CBIC_Late_Fee_Relief_Windows_1!$I$100:$I$1147,0))</f>
        <v>#NAME?</v>
      </c>
    </row>
    <row r="1148" spans="1:9" x14ac:dyDescent="0.55000000000000004">
      <c r="A1148" t="str">
        <f>TEST_DATA!A1148</f>
        <v>27AAAAA1148Z5</v>
      </c>
      <c r="B1148" t="str">
        <f>TEST_DATA!B1148</f>
        <v>Oct-2017</v>
      </c>
      <c r="C1148">
        <f>TEST_DATA!C1148</f>
        <v>44469</v>
      </c>
      <c r="D1148" t="str">
        <f>TEST_DATA!D1148</f>
        <v>NIL</v>
      </c>
      <c r="E1148">
        <f>TEST_DATA!E1148</f>
        <v>39</v>
      </c>
      <c r="F1148">
        <f>MIN(E1148*114800,10000)</f>
        <v>10000</v>
      </c>
      <c r="G1148" t="e">
        <f ca="1">_xludf.MINIFS(CBIC_Late_Fee_Relief_Windows_1!$I$100:$I$1148,CBIC_Late_Fee_Relief_Windows_1!$D$100:$D$1148,"&lt;="&amp;B1148,CBIC_Late_Fee_Relief_Windows_1!$E$100:$E$1148,"&gt;="&amp;B1148,CBIC_Late_Fee_Relief_Windows_1!$F$100:$F$1148,"&lt;="&amp;C1148,CBIC_Late_Fee_Relief_Windows_1!$G$100:$G$1148,"&gt;="&amp;C1148,CBIC_Late_Fee_Relief_Windows_1!$H$100:$H$1148,D1148)</f>
        <v>#NAME?</v>
      </c>
      <c r="H1148" t="e">
        <f t="shared" ca="1" si="17"/>
        <v>#NAME?</v>
      </c>
      <c r="I1148" t="e">
        <f ca="1">INDEX(CBIC_Late_Fee_Relief_Windows_1!$B$100:$B$1148,MATCH(G1148,CBIC_Late_Fee_Relief_Windows_1!$I$100:$I$1148,0))</f>
        <v>#NAME?</v>
      </c>
    </row>
    <row r="1149" spans="1:9" x14ac:dyDescent="0.55000000000000004">
      <c r="A1149" t="str">
        <f>TEST_DATA!A1149</f>
        <v>27AAAAA1149Z5</v>
      </c>
      <c r="B1149" t="str">
        <f>TEST_DATA!B1149</f>
        <v>Mar-2023</v>
      </c>
      <c r="C1149">
        <f>TEST_DATA!C1149</f>
        <v>44032</v>
      </c>
      <c r="D1149" t="str">
        <f>TEST_DATA!D1149</f>
        <v>NIL</v>
      </c>
      <c r="E1149">
        <f>TEST_DATA!E1149</f>
        <v>1346</v>
      </c>
      <c r="F1149">
        <f>MIN(E1149*114900,10000)</f>
        <v>10000</v>
      </c>
      <c r="G1149" t="e">
        <f ca="1">_xludf.MINIFS(CBIC_Late_Fee_Relief_Windows_1!$I$100:$I$1149,CBIC_Late_Fee_Relief_Windows_1!$D$100:$D$1149,"&lt;="&amp;B1149,CBIC_Late_Fee_Relief_Windows_1!$E$100:$E$1149,"&gt;="&amp;B1149,CBIC_Late_Fee_Relief_Windows_1!$F$100:$F$1149,"&lt;="&amp;C1149,CBIC_Late_Fee_Relief_Windows_1!$G$100:$G$1149,"&gt;="&amp;C1149,CBIC_Late_Fee_Relief_Windows_1!$H$100:$H$1149,D1149)</f>
        <v>#NAME?</v>
      </c>
      <c r="H1149" t="e">
        <f t="shared" ca="1" si="17"/>
        <v>#NAME?</v>
      </c>
      <c r="I1149" t="e">
        <f ca="1">INDEX(CBIC_Late_Fee_Relief_Windows_1!$B$100:$B$1149,MATCH(G1149,CBIC_Late_Fee_Relief_Windows_1!$I$100:$I$1149,0))</f>
        <v>#NAME?</v>
      </c>
    </row>
    <row r="1150" spans="1:9" x14ac:dyDescent="0.55000000000000004">
      <c r="A1150" t="str">
        <f>TEST_DATA!A1150</f>
        <v>27AAAAA1150Z5</v>
      </c>
      <c r="B1150" t="str">
        <f>TEST_DATA!B1150</f>
        <v>Jun-2018</v>
      </c>
      <c r="C1150">
        <f>TEST_DATA!C1150</f>
        <v>43813</v>
      </c>
      <c r="D1150" t="str">
        <f>TEST_DATA!D1150</f>
        <v>NON-NIL</v>
      </c>
      <c r="E1150">
        <f>TEST_DATA!E1150</f>
        <v>380</v>
      </c>
      <c r="F1150">
        <f>MIN(E1150*115000,10000)</f>
        <v>10000</v>
      </c>
      <c r="G1150" t="e">
        <f ca="1">_xludf.MINIFS(CBIC_Late_Fee_Relief_Windows_1!$I$100:$I$1150,CBIC_Late_Fee_Relief_Windows_1!$D$100:$D$1150,"&lt;="&amp;B1150,CBIC_Late_Fee_Relief_Windows_1!$E$100:$E$1150,"&gt;="&amp;B1150,CBIC_Late_Fee_Relief_Windows_1!$F$100:$F$1150,"&lt;="&amp;C1150,CBIC_Late_Fee_Relief_Windows_1!$G$100:$G$1150,"&gt;="&amp;C1150,CBIC_Late_Fee_Relief_Windows_1!$H$100:$H$1150,D1150)</f>
        <v>#NAME?</v>
      </c>
      <c r="H1150" t="e">
        <f t="shared" ca="1" si="17"/>
        <v>#NAME?</v>
      </c>
      <c r="I1150" t="e">
        <f ca="1">INDEX(CBIC_Late_Fee_Relief_Windows_1!$B$100:$B$1150,MATCH(G1150,CBIC_Late_Fee_Relief_Windows_1!$I$100:$I$1150,0))</f>
        <v>#NAME?</v>
      </c>
    </row>
    <row r="1151" spans="1:9" x14ac:dyDescent="0.55000000000000004">
      <c r="A1151" t="str">
        <f>TEST_DATA!A1151</f>
        <v>27AAAAA1151Z5</v>
      </c>
      <c r="B1151" t="str">
        <f>TEST_DATA!B1151</f>
        <v>Jun-2018</v>
      </c>
      <c r="C1151">
        <f>TEST_DATA!C1151</f>
        <v>43618</v>
      </c>
      <c r="D1151" t="str">
        <f>TEST_DATA!D1151</f>
        <v>NIL</v>
      </c>
      <c r="E1151">
        <f>TEST_DATA!E1151</f>
        <v>466</v>
      </c>
      <c r="F1151">
        <f>MIN(E1151*115100,10000)</f>
        <v>10000</v>
      </c>
      <c r="G1151" t="e">
        <f ca="1">_xludf.MINIFS(CBIC_Late_Fee_Relief_Windows_1!$I$100:$I$1151,CBIC_Late_Fee_Relief_Windows_1!$D$100:$D$1151,"&lt;="&amp;B1151,CBIC_Late_Fee_Relief_Windows_1!$E$100:$E$1151,"&gt;="&amp;B1151,CBIC_Late_Fee_Relief_Windows_1!$F$100:$F$1151,"&lt;="&amp;C1151,CBIC_Late_Fee_Relief_Windows_1!$G$100:$G$1151,"&gt;="&amp;C1151,CBIC_Late_Fee_Relief_Windows_1!$H$100:$H$1151,D1151)</f>
        <v>#NAME?</v>
      </c>
      <c r="H1151" t="e">
        <f t="shared" ca="1" si="17"/>
        <v>#NAME?</v>
      </c>
      <c r="I1151" t="e">
        <f ca="1">INDEX(CBIC_Late_Fee_Relief_Windows_1!$B$100:$B$1151,MATCH(G1151,CBIC_Late_Fee_Relief_Windows_1!$I$100:$I$1151,0))</f>
        <v>#NAME?</v>
      </c>
    </row>
    <row r="1152" spans="1:9" x14ac:dyDescent="0.55000000000000004">
      <c r="A1152" t="str">
        <f>TEST_DATA!A1152</f>
        <v>27AAAAA1152Z5</v>
      </c>
      <c r="B1152" t="str">
        <f>TEST_DATA!B1152</f>
        <v>Jul-2018</v>
      </c>
      <c r="C1152">
        <f>TEST_DATA!C1152</f>
        <v>43736</v>
      </c>
      <c r="D1152" t="str">
        <f>TEST_DATA!D1152</f>
        <v>NON-NIL</v>
      </c>
      <c r="E1152">
        <f>TEST_DATA!E1152</f>
        <v>1113</v>
      </c>
      <c r="F1152">
        <f>MIN(E1152*115200,10000)</f>
        <v>10000</v>
      </c>
      <c r="G1152" t="e">
        <f ca="1">_xludf.MINIFS(CBIC_Late_Fee_Relief_Windows_1!$I$100:$I$1152,CBIC_Late_Fee_Relief_Windows_1!$D$100:$D$1152,"&lt;="&amp;B1152,CBIC_Late_Fee_Relief_Windows_1!$E$100:$E$1152,"&gt;="&amp;B1152,CBIC_Late_Fee_Relief_Windows_1!$F$100:$F$1152,"&lt;="&amp;C1152,CBIC_Late_Fee_Relief_Windows_1!$G$100:$G$1152,"&gt;="&amp;C1152,CBIC_Late_Fee_Relief_Windows_1!$H$100:$H$1152,D1152)</f>
        <v>#NAME?</v>
      </c>
      <c r="H1152" t="e">
        <f t="shared" ca="1" si="17"/>
        <v>#NAME?</v>
      </c>
      <c r="I1152" t="e">
        <f ca="1">INDEX(CBIC_Late_Fee_Relief_Windows_1!$B$100:$B$1152,MATCH(G1152,CBIC_Late_Fee_Relief_Windows_1!$I$100:$I$1152,0))</f>
        <v>#NAME?</v>
      </c>
    </row>
    <row r="1153" spans="1:9" x14ac:dyDescent="0.55000000000000004">
      <c r="A1153" t="str">
        <f>TEST_DATA!A1153</f>
        <v>27AAAAA1153Z5</v>
      </c>
      <c r="B1153" t="str">
        <f>TEST_DATA!B1153</f>
        <v>Dec-2022</v>
      </c>
      <c r="C1153">
        <f>TEST_DATA!C1153</f>
        <v>45045</v>
      </c>
      <c r="D1153" t="str">
        <f>TEST_DATA!D1153</f>
        <v>NON-NIL</v>
      </c>
      <c r="E1153">
        <f>TEST_DATA!E1153</f>
        <v>1727</v>
      </c>
      <c r="F1153">
        <f>MIN(E1153*115300,10000)</f>
        <v>10000</v>
      </c>
      <c r="G1153" t="e">
        <f ca="1">_xludf.MINIFS(CBIC_Late_Fee_Relief_Windows_1!$I$100:$I$1153,CBIC_Late_Fee_Relief_Windows_1!$D$100:$D$1153,"&lt;="&amp;B1153,CBIC_Late_Fee_Relief_Windows_1!$E$100:$E$1153,"&gt;="&amp;B1153,CBIC_Late_Fee_Relief_Windows_1!$F$100:$F$1153,"&lt;="&amp;C1153,CBIC_Late_Fee_Relief_Windows_1!$G$100:$G$1153,"&gt;="&amp;C1153,CBIC_Late_Fee_Relief_Windows_1!$H$100:$H$1153,D1153)</f>
        <v>#NAME?</v>
      </c>
      <c r="H1153" t="e">
        <f t="shared" ca="1" si="17"/>
        <v>#NAME?</v>
      </c>
      <c r="I1153" t="e">
        <f ca="1">INDEX(CBIC_Late_Fee_Relief_Windows_1!$B$100:$B$1153,MATCH(G1153,CBIC_Late_Fee_Relief_Windows_1!$I$100:$I$1153,0))</f>
        <v>#NAME?</v>
      </c>
    </row>
    <row r="1154" spans="1:9" x14ac:dyDescent="0.55000000000000004">
      <c r="A1154" t="str">
        <f>TEST_DATA!A1154</f>
        <v>27AAAAA1154Z5</v>
      </c>
      <c r="B1154" t="str">
        <f>TEST_DATA!B1154</f>
        <v>May-2020</v>
      </c>
      <c r="C1154">
        <f>TEST_DATA!C1154</f>
        <v>44172</v>
      </c>
      <c r="D1154" t="str">
        <f>TEST_DATA!D1154</f>
        <v>NIL</v>
      </c>
      <c r="E1154">
        <f>TEST_DATA!E1154</f>
        <v>542</v>
      </c>
      <c r="F1154">
        <f>MIN(E1154*115400,10000)</f>
        <v>10000</v>
      </c>
      <c r="G1154" t="e">
        <f ca="1">_xludf.MINIFS(CBIC_Late_Fee_Relief_Windows_1!$I$100:$I$1154,CBIC_Late_Fee_Relief_Windows_1!$D$100:$D$1154,"&lt;="&amp;B1154,CBIC_Late_Fee_Relief_Windows_1!$E$100:$E$1154,"&gt;="&amp;B1154,CBIC_Late_Fee_Relief_Windows_1!$F$100:$F$1154,"&lt;="&amp;C1154,CBIC_Late_Fee_Relief_Windows_1!$G$100:$G$1154,"&gt;="&amp;C1154,CBIC_Late_Fee_Relief_Windows_1!$H$100:$H$1154,D1154)</f>
        <v>#NAME?</v>
      </c>
      <c r="H1154" t="e">
        <f t="shared" ref="H1154:H1217" ca="1" si="18">MIN(F1154,G1154)</f>
        <v>#NAME?</v>
      </c>
      <c r="I1154" t="e">
        <f ca="1">INDEX(CBIC_Late_Fee_Relief_Windows_1!$B$100:$B$1154,MATCH(G1154,CBIC_Late_Fee_Relief_Windows_1!$I$100:$I$1154,0))</f>
        <v>#NAME?</v>
      </c>
    </row>
    <row r="1155" spans="1:9" x14ac:dyDescent="0.55000000000000004">
      <c r="A1155" t="str">
        <f>TEST_DATA!A1155</f>
        <v>27AAAAA1155Z5</v>
      </c>
      <c r="B1155" t="str">
        <f>TEST_DATA!B1155</f>
        <v>Jul-2020</v>
      </c>
      <c r="C1155">
        <f>TEST_DATA!C1155</f>
        <v>43951</v>
      </c>
      <c r="D1155" t="str">
        <f>TEST_DATA!D1155</f>
        <v>NIL</v>
      </c>
      <c r="E1155">
        <f>TEST_DATA!E1155</f>
        <v>424</v>
      </c>
      <c r="F1155">
        <f>MIN(E1155*115500,10000)</f>
        <v>10000</v>
      </c>
      <c r="G1155" t="e">
        <f ca="1">_xludf.MINIFS(CBIC_Late_Fee_Relief_Windows_1!$I$100:$I$1155,CBIC_Late_Fee_Relief_Windows_1!$D$100:$D$1155,"&lt;="&amp;B1155,CBIC_Late_Fee_Relief_Windows_1!$E$100:$E$1155,"&gt;="&amp;B1155,CBIC_Late_Fee_Relief_Windows_1!$F$100:$F$1155,"&lt;="&amp;C1155,CBIC_Late_Fee_Relief_Windows_1!$G$100:$G$1155,"&gt;="&amp;C1155,CBIC_Late_Fee_Relief_Windows_1!$H$100:$H$1155,D1155)</f>
        <v>#NAME?</v>
      </c>
      <c r="H1155" t="e">
        <f t="shared" ca="1" si="18"/>
        <v>#NAME?</v>
      </c>
      <c r="I1155" t="e">
        <f ca="1">INDEX(CBIC_Late_Fee_Relief_Windows_1!$B$100:$B$1155,MATCH(G1155,CBIC_Late_Fee_Relief_Windows_1!$I$100:$I$1155,0))</f>
        <v>#NAME?</v>
      </c>
    </row>
    <row r="1156" spans="1:9" x14ac:dyDescent="0.55000000000000004">
      <c r="A1156" t="str">
        <f>TEST_DATA!A1156</f>
        <v>27AAAAA1156Z5</v>
      </c>
      <c r="B1156" t="str">
        <f>TEST_DATA!B1156</f>
        <v>Aug-2018</v>
      </c>
      <c r="C1156">
        <f>TEST_DATA!C1156</f>
        <v>44126</v>
      </c>
      <c r="D1156" t="str">
        <f>TEST_DATA!D1156</f>
        <v>NON-NIL</v>
      </c>
      <c r="E1156">
        <f>TEST_DATA!E1156</f>
        <v>2330</v>
      </c>
      <c r="F1156">
        <f>MIN(E1156*115600,10000)</f>
        <v>10000</v>
      </c>
      <c r="G1156" t="e">
        <f ca="1">_xludf.MINIFS(CBIC_Late_Fee_Relief_Windows_1!$I$100:$I$1156,CBIC_Late_Fee_Relief_Windows_1!$D$100:$D$1156,"&lt;="&amp;B1156,CBIC_Late_Fee_Relief_Windows_1!$E$100:$E$1156,"&gt;="&amp;B1156,CBIC_Late_Fee_Relief_Windows_1!$F$100:$F$1156,"&lt;="&amp;C1156,CBIC_Late_Fee_Relief_Windows_1!$G$100:$G$1156,"&gt;="&amp;C1156,CBIC_Late_Fee_Relief_Windows_1!$H$100:$H$1156,D1156)</f>
        <v>#NAME?</v>
      </c>
      <c r="H1156" t="e">
        <f t="shared" ca="1" si="18"/>
        <v>#NAME?</v>
      </c>
      <c r="I1156" t="e">
        <f ca="1">INDEX(CBIC_Late_Fee_Relief_Windows_1!$B$100:$B$1156,MATCH(G1156,CBIC_Late_Fee_Relief_Windows_1!$I$100:$I$1156,0))</f>
        <v>#NAME?</v>
      </c>
    </row>
    <row r="1157" spans="1:9" x14ac:dyDescent="0.55000000000000004">
      <c r="A1157" t="str">
        <f>TEST_DATA!A1157</f>
        <v>27AAAAA1157Z5</v>
      </c>
      <c r="B1157" t="str">
        <f>TEST_DATA!B1157</f>
        <v>Jun-2020</v>
      </c>
      <c r="C1157">
        <f>TEST_DATA!C1157</f>
        <v>44728</v>
      </c>
      <c r="D1157" t="str">
        <f>TEST_DATA!D1157</f>
        <v>NIL</v>
      </c>
      <c r="E1157">
        <f>TEST_DATA!E1157</f>
        <v>2503</v>
      </c>
      <c r="F1157">
        <f>MIN(E1157*115700,10000)</f>
        <v>10000</v>
      </c>
      <c r="G1157" t="e">
        <f ca="1">_xludf.MINIFS(CBIC_Late_Fee_Relief_Windows_1!$I$100:$I$1157,CBIC_Late_Fee_Relief_Windows_1!$D$100:$D$1157,"&lt;="&amp;B1157,CBIC_Late_Fee_Relief_Windows_1!$E$100:$E$1157,"&gt;="&amp;B1157,CBIC_Late_Fee_Relief_Windows_1!$F$100:$F$1157,"&lt;="&amp;C1157,CBIC_Late_Fee_Relief_Windows_1!$G$100:$G$1157,"&gt;="&amp;C1157,CBIC_Late_Fee_Relief_Windows_1!$H$100:$H$1157,D1157)</f>
        <v>#NAME?</v>
      </c>
      <c r="H1157" t="e">
        <f t="shared" ca="1" si="18"/>
        <v>#NAME?</v>
      </c>
      <c r="I1157" t="e">
        <f ca="1">INDEX(CBIC_Late_Fee_Relief_Windows_1!$B$100:$B$1157,MATCH(G1157,CBIC_Late_Fee_Relief_Windows_1!$I$100:$I$1157,0))</f>
        <v>#NAME?</v>
      </c>
    </row>
    <row r="1158" spans="1:9" x14ac:dyDescent="0.55000000000000004">
      <c r="A1158" t="str">
        <f>TEST_DATA!A1158</f>
        <v>27AAAAA1158Z5</v>
      </c>
      <c r="B1158" t="str">
        <f>TEST_DATA!B1158</f>
        <v>Jul-2018</v>
      </c>
      <c r="C1158">
        <f>TEST_DATA!C1158</f>
        <v>44512</v>
      </c>
      <c r="D1158" t="str">
        <f>TEST_DATA!D1158</f>
        <v>NON-NIL</v>
      </c>
      <c r="E1158">
        <f>TEST_DATA!E1158</f>
        <v>2504</v>
      </c>
      <c r="F1158">
        <f>MIN(E1158*115800,10000)</f>
        <v>10000</v>
      </c>
      <c r="G1158" t="e">
        <f ca="1">_xludf.MINIFS(CBIC_Late_Fee_Relief_Windows_1!$I$100:$I$1158,CBIC_Late_Fee_Relief_Windows_1!$D$100:$D$1158,"&lt;="&amp;B1158,CBIC_Late_Fee_Relief_Windows_1!$E$100:$E$1158,"&gt;="&amp;B1158,CBIC_Late_Fee_Relief_Windows_1!$F$100:$F$1158,"&lt;="&amp;C1158,CBIC_Late_Fee_Relief_Windows_1!$G$100:$G$1158,"&gt;="&amp;C1158,CBIC_Late_Fee_Relief_Windows_1!$H$100:$H$1158,D1158)</f>
        <v>#NAME?</v>
      </c>
      <c r="H1158" t="e">
        <f t="shared" ca="1" si="18"/>
        <v>#NAME?</v>
      </c>
      <c r="I1158" t="e">
        <f ca="1">INDEX(CBIC_Late_Fee_Relief_Windows_1!$B$100:$B$1158,MATCH(G1158,CBIC_Late_Fee_Relief_Windows_1!$I$100:$I$1158,0))</f>
        <v>#NAME?</v>
      </c>
    </row>
    <row r="1159" spans="1:9" x14ac:dyDescent="0.55000000000000004">
      <c r="A1159" t="str">
        <f>TEST_DATA!A1159</f>
        <v>27AAAAA1159Z5</v>
      </c>
      <c r="B1159" t="str">
        <f>TEST_DATA!B1159</f>
        <v>Jul-2017</v>
      </c>
      <c r="C1159">
        <f>TEST_DATA!C1159</f>
        <v>44318</v>
      </c>
      <c r="D1159" t="str">
        <f>TEST_DATA!D1159</f>
        <v>NIL</v>
      </c>
      <c r="E1159">
        <f>TEST_DATA!E1159</f>
        <v>1978</v>
      </c>
      <c r="F1159">
        <f>MIN(E1159*115900,10000)</f>
        <v>10000</v>
      </c>
      <c r="G1159" t="e">
        <f ca="1">_xludf.MINIFS(CBIC_Late_Fee_Relief_Windows_1!$I$100:$I$1159,CBIC_Late_Fee_Relief_Windows_1!$D$100:$D$1159,"&lt;="&amp;B1159,CBIC_Late_Fee_Relief_Windows_1!$E$100:$E$1159,"&gt;="&amp;B1159,CBIC_Late_Fee_Relief_Windows_1!$F$100:$F$1159,"&lt;="&amp;C1159,CBIC_Late_Fee_Relief_Windows_1!$G$100:$G$1159,"&gt;="&amp;C1159,CBIC_Late_Fee_Relief_Windows_1!$H$100:$H$1159,D1159)</f>
        <v>#NAME?</v>
      </c>
      <c r="H1159" t="e">
        <f t="shared" ca="1" si="18"/>
        <v>#NAME?</v>
      </c>
      <c r="I1159" t="e">
        <f ca="1">INDEX(CBIC_Late_Fee_Relief_Windows_1!$B$100:$B$1159,MATCH(G1159,CBIC_Late_Fee_Relief_Windows_1!$I$100:$I$1159,0))</f>
        <v>#NAME?</v>
      </c>
    </row>
    <row r="1160" spans="1:9" x14ac:dyDescent="0.55000000000000004">
      <c r="A1160" t="str">
        <f>TEST_DATA!A1160</f>
        <v>27AAAAA1160Z5</v>
      </c>
      <c r="B1160" t="str">
        <f>TEST_DATA!B1160</f>
        <v>Jan-2019</v>
      </c>
      <c r="C1160">
        <f>TEST_DATA!C1160</f>
        <v>43928</v>
      </c>
      <c r="D1160" t="str">
        <f>TEST_DATA!D1160</f>
        <v>NON-NIL</v>
      </c>
      <c r="E1160">
        <f>TEST_DATA!E1160</f>
        <v>1805</v>
      </c>
      <c r="F1160">
        <f>MIN(E1160*116000,10000)</f>
        <v>10000</v>
      </c>
      <c r="G1160" t="e">
        <f ca="1">_xludf.MINIFS(CBIC_Late_Fee_Relief_Windows_1!$I$100:$I$1160,CBIC_Late_Fee_Relief_Windows_1!$D$100:$D$1160,"&lt;="&amp;B1160,CBIC_Late_Fee_Relief_Windows_1!$E$100:$E$1160,"&gt;="&amp;B1160,CBIC_Late_Fee_Relief_Windows_1!$F$100:$F$1160,"&lt;="&amp;C1160,CBIC_Late_Fee_Relief_Windows_1!$G$100:$G$1160,"&gt;="&amp;C1160,CBIC_Late_Fee_Relief_Windows_1!$H$100:$H$1160,D1160)</f>
        <v>#NAME?</v>
      </c>
      <c r="H1160" t="e">
        <f t="shared" ca="1" si="18"/>
        <v>#NAME?</v>
      </c>
      <c r="I1160" t="e">
        <f ca="1">INDEX(CBIC_Late_Fee_Relief_Windows_1!$B$100:$B$1160,MATCH(G1160,CBIC_Late_Fee_Relief_Windows_1!$I$100:$I$1160,0))</f>
        <v>#NAME?</v>
      </c>
    </row>
    <row r="1161" spans="1:9" x14ac:dyDescent="0.55000000000000004">
      <c r="A1161" t="str">
        <f>TEST_DATA!A1161</f>
        <v>27AAAAA1161Z5</v>
      </c>
      <c r="B1161" t="str">
        <f>TEST_DATA!B1161</f>
        <v>Aug-2017</v>
      </c>
      <c r="C1161">
        <f>TEST_DATA!C1161</f>
        <v>43046</v>
      </c>
      <c r="D1161" t="str">
        <f>TEST_DATA!D1161</f>
        <v>NON-NIL</v>
      </c>
      <c r="E1161">
        <f>TEST_DATA!E1161</f>
        <v>2682</v>
      </c>
      <c r="F1161">
        <f>MIN(E1161*116100,10000)</f>
        <v>10000</v>
      </c>
      <c r="G1161" t="e">
        <f ca="1">_xludf.MINIFS(CBIC_Late_Fee_Relief_Windows_1!$I$100:$I$1161,CBIC_Late_Fee_Relief_Windows_1!$D$100:$D$1161,"&lt;="&amp;B1161,CBIC_Late_Fee_Relief_Windows_1!$E$100:$E$1161,"&gt;="&amp;B1161,CBIC_Late_Fee_Relief_Windows_1!$F$100:$F$1161,"&lt;="&amp;C1161,CBIC_Late_Fee_Relief_Windows_1!$G$100:$G$1161,"&gt;="&amp;C1161,CBIC_Late_Fee_Relief_Windows_1!$H$100:$H$1161,D1161)</f>
        <v>#NAME?</v>
      </c>
      <c r="H1161" t="e">
        <f t="shared" ca="1" si="18"/>
        <v>#NAME?</v>
      </c>
      <c r="I1161" t="e">
        <f ca="1">INDEX(CBIC_Late_Fee_Relief_Windows_1!$B$100:$B$1161,MATCH(G1161,CBIC_Late_Fee_Relief_Windows_1!$I$100:$I$1161,0))</f>
        <v>#NAME?</v>
      </c>
    </row>
    <row r="1162" spans="1:9" x14ac:dyDescent="0.55000000000000004">
      <c r="A1162" t="str">
        <f>TEST_DATA!A1162</f>
        <v>27AAAAA1162Z5</v>
      </c>
      <c r="B1162" t="str">
        <f>TEST_DATA!B1162</f>
        <v>May-2018</v>
      </c>
      <c r="C1162">
        <f>TEST_DATA!C1162</f>
        <v>42942</v>
      </c>
      <c r="D1162" t="str">
        <f>TEST_DATA!D1162</f>
        <v>NIL</v>
      </c>
      <c r="E1162">
        <f>TEST_DATA!E1162</f>
        <v>2743</v>
      </c>
      <c r="F1162">
        <f>MIN(E1162*116200,10000)</f>
        <v>10000</v>
      </c>
      <c r="G1162" t="e">
        <f ca="1">_xludf.MINIFS(CBIC_Late_Fee_Relief_Windows_1!$I$100:$I$1162,CBIC_Late_Fee_Relief_Windows_1!$D$100:$D$1162,"&lt;="&amp;B1162,CBIC_Late_Fee_Relief_Windows_1!$E$100:$E$1162,"&gt;="&amp;B1162,CBIC_Late_Fee_Relief_Windows_1!$F$100:$F$1162,"&lt;="&amp;C1162,CBIC_Late_Fee_Relief_Windows_1!$G$100:$G$1162,"&gt;="&amp;C1162,CBIC_Late_Fee_Relief_Windows_1!$H$100:$H$1162,D1162)</f>
        <v>#NAME?</v>
      </c>
      <c r="H1162" t="e">
        <f t="shared" ca="1" si="18"/>
        <v>#NAME?</v>
      </c>
      <c r="I1162" t="e">
        <f ca="1">INDEX(CBIC_Late_Fee_Relief_Windows_1!$B$100:$B$1162,MATCH(G1162,CBIC_Late_Fee_Relief_Windows_1!$I$100:$I$1162,0))</f>
        <v>#NAME?</v>
      </c>
    </row>
    <row r="1163" spans="1:9" x14ac:dyDescent="0.55000000000000004">
      <c r="A1163" t="str">
        <f>TEST_DATA!A1163</f>
        <v>27AAAAA1163Z5</v>
      </c>
      <c r="B1163" t="str">
        <f>TEST_DATA!B1163</f>
        <v>Mar-2023</v>
      </c>
      <c r="C1163">
        <f>TEST_DATA!C1163</f>
        <v>44851</v>
      </c>
      <c r="D1163" t="str">
        <f>TEST_DATA!D1163</f>
        <v>NIL</v>
      </c>
      <c r="E1163">
        <f>TEST_DATA!E1163</f>
        <v>1772</v>
      </c>
      <c r="F1163">
        <f>MIN(E1163*116300,10000)</f>
        <v>10000</v>
      </c>
      <c r="G1163" t="e">
        <f ca="1">_xludf.MINIFS(CBIC_Late_Fee_Relief_Windows_1!$I$100:$I$1163,CBIC_Late_Fee_Relief_Windows_1!$D$100:$D$1163,"&lt;="&amp;B1163,CBIC_Late_Fee_Relief_Windows_1!$E$100:$E$1163,"&gt;="&amp;B1163,CBIC_Late_Fee_Relief_Windows_1!$F$100:$F$1163,"&lt;="&amp;C1163,CBIC_Late_Fee_Relief_Windows_1!$G$100:$G$1163,"&gt;="&amp;C1163,CBIC_Late_Fee_Relief_Windows_1!$H$100:$H$1163,D1163)</f>
        <v>#NAME?</v>
      </c>
      <c r="H1163" t="e">
        <f t="shared" ca="1" si="18"/>
        <v>#NAME?</v>
      </c>
      <c r="I1163" t="e">
        <f ca="1">INDEX(CBIC_Late_Fee_Relief_Windows_1!$B$100:$B$1163,MATCH(G1163,CBIC_Late_Fee_Relief_Windows_1!$I$100:$I$1163,0))</f>
        <v>#NAME?</v>
      </c>
    </row>
    <row r="1164" spans="1:9" x14ac:dyDescent="0.55000000000000004">
      <c r="A1164" t="str">
        <f>TEST_DATA!A1164</f>
        <v>27AAAAA1164Z5</v>
      </c>
      <c r="B1164" t="str">
        <f>TEST_DATA!B1164</f>
        <v>Jun-2020</v>
      </c>
      <c r="C1164">
        <f>TEST_DATA!C1164</f>
        <v>44340</v>
      </c>
      <c r="D1164" t="str">
        <f>TEST_DATA!D1164</f>
        <v>NON-NIL</v>
      </c>
      <c r="E1164">
        <f>TEST_DATA!E1164</f>
        <v>1416</v>
      </c>
      <c r="F1164">
        <f>MIN(E1164*116400,10000)</f>
        <v>10000</v>
      </c>
      <c r="G1164" t="e">
        <f ca="1">_xludf.MINIFS(CBIC_Late_Fee_Relief_Windows_1!$I$100:$I$1164,CBIC_Late_Fee_Relief_Windows_1!$D$100:$D$1164,"&lt;="&amp;B1164,CBIC_Late_Fee_Relief_Windows_1!$E$100:$E$1164,"&gt;="&amp;B1164,CBIC_Late_Fee_Relief_Windows_1!$F$100:$F$1164,"&lt;="&amp;C1164,CBIC_Late_Fee_Relief_Windows_1!$G$100:$G$1164,"&gt;="&amp;C1164,CBIC_Late_Fee_Relief_Windows_1!$H$100:$H$1164,D1164)</f>
        <v>#NAME?</v>
      </c>
      <c r="H1164" t="e">
        <f t="shared" ca="1" si="18"/>
        <v>#NAME?</v>
      </c>
      <c r="I1164" t="e">
        <f ca="1">INDEX(CBIC_Late_Fee_Relief_Windows_1!$B$100:$B$1164,MATCH(G1164,CBIC_Late_Fee_Relief_Windows_1!$I$100:$I$1164,0))</f>
        <v>#NAME?</v>
      </c>
    </row>
    <row r="1165" spans="1:9" x14ac:dyDescent="0.55000000000000004">
      <c r="A1165" t="str">
        <f>TEST_DATA!A1165</f>
        <v>27AAAAA1165Z5</v>
      </c>
      <c r="B1165" t="str">
        <f>TEST_DATA!B1165</f>
        <v>Jun-2020</v>
      </c>
      <c r="C1165">
        <f>TEST_DATA!C1165</f>
        <v>44619</v>
      </c>
      <c r="D1165" t="str">
        <f>TEST_DATA!D1165</f>
        <v>NIL</v>
      </c>
      <c r="E1165">
        <f>TEST_DATA!E1165</f>
        <v>2286</v>
      </c>
      <c r="F1165">
        <f>MIN(E1165*116500,10000)</f>
        <v>10000</v>
      </c>
      <c r="G1165" t="e">
        <f ca="1">_xludf.MINIFS(CBIC_Late_Fee_Relief_Windows_1!$I$100:$I$1165,CBIC_Late_Fee_Relief_Windows_1!$D$100:$D$1165,"&lt;="&amp;B1165,CBIC_Late_Fee_Relief_Windows_1!$E$100:$E$1165,"&gt;="&amp;B1165,CBIC_Late_Fee_Relief_Windows_1!$F$100:$F$1165,"&lt;="&amp;C1165,CBIC_Late_Fee_Relief_Windows_1!$G$100:$G$1165,"&gt;="&amp;C1165,CBIC_Late_Fee_Relief_Windows_1!$H$100:$H$1165,D1165)</f>
        <v>#NAME?</v>
      </c>
      <c r="H1165" t="e">
        <f t="shared" ca="1" si="18"/>
        <v>#NAME?</v>
      </c>
      <c r="I1165" t="e">
        <f ca="1">INDEX(CBIC_Late_Fee_Relief_Windows_1!$B$100:$B$1165,MATCH(G1165,CBIC_Late_Fee_Relief_Windows_1!$I$100:$I$1165,0))</f>
        <v>#NAME?</v>
      </c>
    </row>
    <row r="1166" spans="1:9" x14ac:dyDescent="0.55000000000000004">
      <c r="A1166" t="str">
        <f>TEST_DATA!A1166</f>
        <v>27AAAAA1166Z5</v>
      </c>
      <c r="B1166" t="str">
        <f>TEST_DATA!B1166</f>
        <v>Dec-2024</v>
      </c>
      <c r="C1166">
        <f>TEST_DATA!C1166</f>
        <v>43689</v>
      </c>
      <c r="D1166" t="str">
        <f>TEST_DATA!D1166</f>
        <v>NIL</v>
      </c>
      <c r="E1166">
        <f>TEST_DATA!E1166</f>
        <v>2635</v>
      </c>
      <c r="F1166">
        <f>MIN(E1166*116600,10000)</f>
        <v>10000</v>
      </c>
      <c r="G1166" t="e">
        <f ca="1">_xludf.MINIFS(CBIC_Late_Fee_Relief_Windows_1!$I$100:$I$1166,CBIC_Late_Fee_Relief_Windows_1!$D$100:$D$1166,"&lt;="&amp;B1166,CBIC_Late_Fee_Relief_Windows_1!$E$100:$E$1166,"&gt;="&amp;B1166,CBIC_Late_Fee_Relief_Windows_1!$F$100:$F$1166,"&lt;="&amp;C1166,CBIC_Late_Fee_Relief_Windows_1!$G$100:$G$1166,"&gt;="&amp;C1166,CBIC_Late_Fee_Relief_Windows_1!$H$100:$H$1166,D1166)</f>
        <v>#NAME?</v>
      </c>
      <c r="H1166" t="e">
        <f t="shared" ca="1" si="18"/>
        <v>#NAME?</v>
      </c>
      <c r="I1166" t="e">
        <f ca="1">INDEX(CBIC_Late_Fee_Relief_Windows_1!$B$100:$B$1166,MATCH(G1166,CBIC_Late_Fee_Relief_Windows_1!$I$100:$I$1166,0))</f>
        <v>#NAME?</v>
      </c>
    </row>
    <row r="1167" spans="1:9" x14ac:dyDescent="0.55000000000000004">
      <c r="A1167" t="str">
        <f>TEST_DATA!A1167</f>
        <v>27AAAAA1167Z5</v>
      </c>
      <c r="B1167" t="str">
        <f>TEST_DATA!B1167</f>
        <v>Dec-2017</v>
      </c>
      <c r="C1167">
        <f>TEST_DATA!C1167</f>
        <v>43952</v>
      </c>
      <c r="D1167" t="str">
        <f>TEST_DATA!D1167</f>
        <v>NON-NIL</v>
      </c>
      <c r="E1167">
        <f>TEST_DATA!E1167</f>
        <v>2030</v>
      </c>
      <c r="F1167">
        <f>MIN(E1167*116700,10000)</f>
        <v>10000</v>
      </c>
      <c r="G1167" t="e">
        <f ca="1">_xludf.MINIFS(CBIC_Late_Fee_Relief_Windows_1!$I$100:$I$1167,CBIC_Late_Fee_Relief_Windows_1!$D$100:$D$1167,"&lt;="&amp;B1167,CBIC_Late_Fee_Relief_Windows_1!$E$100:$E$1167,"&gt;="&amp;B1167,CBIC_Late_Fee_Relief_Windows_1!$F$100:$F$1167,"&lt;="&amp;C1167,CBIC_Late_Fee_Relief_Windows_1!$G$100:$G$1167,"&gt;="&amp;C1167,CBIC_Late_Fee_Relief_Windows_1!$H$100:$H$1167,D1167)</f>
        <v>#NAME?</v>
      </c>
      <c r="H1167" t="e">
        <f t="shared" ca="1" si="18"/>
        <v>#NAME?</v>
      </c>
      <c r="I1167" t="e">
        <f ca="1">INDEX(CBIC_Late_Fee_Relief_Windows_1!$B$100:$B$1167,MATCH(G1167,CBIC_Late_Fee_Relief_Windows_1!$I$100:$I$1167,0))</f>
        <v>#NAME?</v>
      </c>
    </row>
    <row r="1168" spans="1:9" x14ac:dyDescent="0.55000000000000004">
      <c r="A1168" t="str">
        <f>TEST_DATA!A1168</f>
        <v>27AAAAA1168Z5</v>
      </c>
      <c r="B1168" t="str">
        <f>TEST_DATA!B1168</f>
        <v>Mar-2023</v>
      </c>
      <c r="C1168">
        <f>TEST_DATA!C1168</f>
        <v>44143</v>
      </c>
      <c r="D1168" t="str">
        <f>TEST_DATA!D1168</f>
        <v>NIL</v>
      </c>
      <c r="E1168">
        <f>TEST_DATA!E1168</f>
        <v>2013</v>
      </c>
      <c r="F1168">
        <f>MIN(E1168*116800,10000)</f>
        <v>10000</v>
      </c>
      <c r="G1168" t="e">
        <f ca="1">_xludf.MINIFS(CBIC_Late_Fee_Relief_Windows_1!$I$100:$I$1168,CBIC_Late_Fee_Relief_Windows_1!$D$100:$D$1168,"&lt;="&amp;B1168,CBIC_Late_Fee_Relief_Windows_1!$E$100:$E$1168,"&gt;="&amp;B1168,CBIC_Late_Fee_Relief_Windows_1!$F$100:$F$1168,"&lt;="&amp;C1168,CBIC_Late_Fee_Relief_Windows_1!$G$100:$G$1168,"&gt;="&amp;C1168,CBIC_Late_Fee_Relief_Windows_1!$H$100:$H$1168,D1168)</f>
        <v>#NAME?</v>
      </c>
      <c r="H1168" t="e">
        <f t="shared" ca="1" si="18"/>
        <v>#NAME?</v>
      </c>
      <c r="I1168" t="e">
        <f ca="1">INDEX(CBIC_Late_Fee_Relief_Windows_1!$B$100:$B$1168,MATCH(G1168,CBIC_Late_Fee_Relief_Windows_1!$I$100:$I$1168,0))</f>
        <v>#NAME?</v>
      </c>
    </row>
    <row r="1169" spans="1:9" x14ac:dyDescent="0.55000000000000004">
      <c r="A1169" t="str">
        <f>TEST_DATA!A1169</f>
        <v>27AAAAA1169Z5</v>
      </c>
      <c r="B1169" t="str">
        <f>TEST_DATA!B1169</f>
        <v>May-2018</v>
      </c>
      <c r="C1169">
        <f>TEST_DATA!C1169</f>
        <v>43410</v>
      </c>
      <c r="D1169" t="str">
        <f>TEST_DATA!D1169</f>
        <v>NON-NIL</v>
      </c>
      <c r="E1169">
        <f>TEST_DATA!E1169</f>
        <v>1139</v>
      </c>
      <c r="F1169">
        <f>MIN(E1169*116900,10000)</f>
        <v>10000</v>
      </c>
      <c r="G1169" t="e">
        <f ca="1">_xludf.MINIFS(CBIC_Late_Fee_Relief_Windows_1!$I$100:$I$1169,CBIC_Late_Fee_Relief_Windows_1!$D$100:$D$1169,"&lt;="&amp;B1169,CBIC_Late_Fee_Relief_Windows_1!$E$100:$E$1169,"&gt;="&amp;B1169,CBIC_Late_Fee_Relief_Windows_1!$F$100:$F$1169,"&lt;="&amp;C1169,CBIC_Late_Fee_Relief_Windows_1!$G$100:$G$1169,"&gt;="&amp;C1169,CBIC_Late_Fee_Relief_Windows_1!$H$100:$H$1169,D1169)</f>
        <v>#NAME?</v>
      </c>
      <c r="H1169" t="e">
        <f t="shared" ca="1" si="18"/>
        <v>#NAME?</v>
      </c>
      <c r="I1169" t="e">
        <f ca="1">INDEX(CBIC_Late_Fee_Relief_Windows_1!$B$100:$B$1169,MATCH(G1169,CBIC_Late_Fee_Relief_Windows_1!$I$100:$I$1169,0))</f>
        <v>#NAME?</v>
      </c>
    </row>
    <row r="1170" spans="1:9" x14ac:dyDescent="0.55000000000000004">
      <c r="A1170" t="str">
        <f>TEST_DATA!A1170</f>
        <v>27AAAAA1170Z5</v>
      </c>
      <c r="B1170" t="str">
        <f>TEST_DATA!B1170</f>
        <v>Aug-2017</v>
      </c>
      <c r="C1170">
        <f>TEST_DATA!C1170</f>
        <v>43955</v>
      </c>
      <c r="D1170" t="str">
        <f>TEST_DATA!D1170</f>
        <v>NIL</v>
      </c>
      <c r="E1170">
        <f>TEST_DATA!E1170</f>
        <v>2254</v>
      </c>
      <c r="F1170">
        <f>MIN(E1170*117000,10000)</f>
        <v>10000</v>
      </c>
      <c r="G1170" t="e">
        <f ca="1">_xludf.MINIFS(CBIC_Late_Fee_Relief_Windows_1!$I$100:$I$1170,CBIC_Late_Fee_Relief_Windows_1!$D$100:$D$1170,"&lt;="&amp;B1170,CBIC_Late_Fee_Relief_Windows_1!$E$100:$E$1170,"&gt;="&amp;B1170,CBIC_Late_Fee_Relief_Windows_1!$F$100:$F$1170,"&lt;="&amp;C1170,CBIC_Late_Fee_Relief_Windows_1!$G$100:$G$1170,"&gt;="&amp;C1170,CBIC_Late_Fee_Relief_Windows_1!$H$100:$H$1170,D1170)</f>
        <v>#NAME?</v>
      </c>
      <c r="H1170" t="e">
        <f t="shared" ca="1" si="18"/>
        <v>#NAME?</v>
      </c>
      <c r="I1170" t="e">
        <f ca="1">INDEX(CBIC_Late_Fee_Relief_Windows_1!$B$100:$B$1170,MATCH(G1170,CBIC_Late_Fee_Relief_Windows_1!$I$100:$I$1170,0))</f>
        <v>#NAME?</v>
      </c>
    </row>
    <row r="1171" spans="1:9" x14ac:dyDescent="0.55000000000000004">
      <c r="A1171" t="str">
        <f>TEST_DATA!A1171</f>
        <v>27AAAAA1171Z5</v>
      </c>
      <c r="B1171" t="str">
        <f>TEST_DATA!B1171</f>
        <v>May-2020</v>
      </c>
      <c r="C1171">
        <f>TEST_DATA!C1171</f>
        <v>44606</v>
      </c>
      <c r="D1171" t="str">
        <f>TEST_DATA!D1171</f>
        <v>NON-NIL</v>
      </c>
      <c r="E1171">
        <f>TEST_DATA!E1171</f>
        <v>962</v>
      </c>
      <c r="F1171">
        <f>MIN(E1171*117100,10000)</f>
        <v>10000</v>
      </c>
      <c r="G1171" t="e">
        <f ca="1">_xludf.MINIFS(CBIC_Late_Fee_Relief_Windows_1!$I$100:$I$1171,CBIC_Late_Fee_Relief_Windows_1!$D$100:$D$1171,"&lt;="&amp;B1171,CBIC_Late_Fee_Relief_Windows_1!$E$100:$E$1171,"&gt;="&amp;B1171,CBIC_Late_Fee_Relief_Windows_1!$F$100:$F$1171,"&lt;="&amp;C1171,CBIC_Late_Fee_Relief_Windows_1!$G$100:$G$1171,"&gt;="&amp;C1171,CBIC_Late_Fee_Relief_Windows_1!$H$100:$H$1171,D1171)</f>
        <v>#NAME?</v>
      </c>
      <c r="H1171" t="e">
        <f t="shared" ca="1" si="18"/>
        <v>#NAME?</v>
      </c>
      <c r="I1171" t="e">
        <f ca="1">INDEX(CBIC_Late_Fee_Relief_Windows_1!$B$100:$B$1171,MATCH(G1171,CBIC_Late_Fee_Relief_Windows_1!$I$100:$I$1171,0))</f>
        <v>#NAME?</v>
      </c>
    </row>
    <row r="1172" spans="1:9" x14ac:dyDescent="0.55000000000000004">
      <c r="A1172" t="str">
        <f>TEST_DATA!A1172</f>
        <v>27AAAAA1172Z5</v>
      </c>
      <c r="B1172" t="str">
        <f>TEST_DATA!B1172</f>
        <v>Sep-2017</v>
      </c>
      <c r="C1172">
        <f>TEST_DATA!C1172</f>
        <v>43857</v>
      </c>
      <c r="D1172" t="str">
        <f>TEST_DATA!D1172</f>
        <v>NON-NIL</v>
      </c>
      <c r="E1172">
        <f>TEST_DATA!E1172</f>
        <v>2347</v>
      </c>
      <c r="F1172">
        <f>MIN(E1172*117200,10000)</f>
        <v>10000</v>
      </c>
      <c r="G1172" t="e">
        <f ca="1">_xludf.MINIFS(CBIC_Late_Fee_Relief_Windows_1!$I$100:$I$1172,CBIC_Late_Fee_Relief_Windows_1!$D$100:$D$1172,"&lt;="&amp;B1172,CBIC_Late_Fee_Relief_Windows_1!$E$100:$E$1172,"&gt;="&amp;B1172,CBIC_Late_Fee_Relief_Windows_1!$F$100:$F$1172,"&lt;="&amp;C1172,CBIC_Late_Fee_Relief_Windows_1!$G$100:$G$1172,"&gt;="&amp;C1172,CBIC_Late_Fee_Relief_Windows_1!$H$100:$H$1172,D1172)</f>
        <v>#NAME?</v>
      </c>
      <c r="H1172" t="e">
        <f t="shared" ca="1" si="18"/>
        <v>#NAME?</v>
      </c>
      <c r="I1172" t="e">
        <f ca="1">INDEX(CBIC_Late_Fee_Relief_Windows_1!$B$100:$B$1172,MATCH(G1172,CBIC_Late_Fee_Relief_Windows_1!$I$100:$I$1172,0))</f>
        <v>#NAME?</v>
      </c>
    </row>
    <row r="1173" spans="1:9" x14ac:dyDescent="0.55000000000000004">
      <c r="A1173" t="str">
        <f>TEST_DATA!A1173</f>
        <v>27AAAAA1173Z5</v>
      </c>
      <c r="B1173" t="str">
        <f>TEST_DATA!B1173</f>
        <v>Sep-2018</v>
      </c>
      <c r="C1173">
        <f>TEST_DATA!C1173</f>
        <v>43097</v>
      </c>
      <c r="D1173" t="str">
        <f>TEST_DATA!D1173</f>
        <v>NON-NIL</v>
      </c>
      <c r="E1173">
        <f>TEST_DATA!E1173</f>
        <v>1831</v>
      </c>
      <c r="F1173">
        <f>MIN(E1173*117300,10000)</f>
        <v>10000</v>
      </c>
      <c r="G1173" t="e">
        <f ca="1">_xludf.MINIFS(CBIC_Late_Fee_Relief_Windows_1!$I$100:$I$1173,CBIC_Late_Fee_Relief_Windows_1!$D$100:$D$1173,"&lt;="&amp;B1173,CBIC_Late_Fee_Relief_Windows_1!$E$100:$E$1173,"&gt;="&amp;B1173,CBIC_Late_Fee_Relief_Windows_1!$F$100:$F$1173,"&lt;="&amp;C1173,CBIC_Late_Fee_Relief_Windows_1!$G$100:$G$1173,"&gt;="&amp;C1173,CBIC_Late_Fee_Relief_Windows_1!$H$100:$H$1173,D1173)</f>
        <v>#NAME?</v>
      </c>
      <c r="H1173" t="e">
        <f t="shared" ca="1" si="18"/>
        <v>#NAME?</v>
      </c>
      <c r="I1173" t="e">
        <f ca="1">INDEX(CBIC_Late_Fee_Relief_Windows_1!$B$100:$B$1173,MATCH(G1173,CBIC_Late_Fee_Relief_Windows_1!$I$100:$I$1173,0))</f>
        <v>#NAME?</v>
      </c>
    </row>
    <row r="1174" spans="1:9" x14ac:dyDescent="0.55000000000000004">
      <c r="A1174" t="str">
        <f>TEST_DATA!A1174</f>
        <v>27AAAAA1174Z5</v>
      </c>
      <c r="B1174" t="str">
        <f>TEST_DATA!B1174</f>
        <v>May-2018</v>
      </c>
      <c r="C1174">
        <f>TEST_DATA!C1174</f>
        <v>43160</v>
      </c>
      <c r="D1174" t="str">
        <f>TEST_DATA!D1174</f>
        <v>NON-NIL</v>
      </c>
      <c r="E1174">
        <f>TEST_DATA!E1174</f>
        <v>2676</v>
      </c>
      <c r="F1174">
        <f>MIN(E1174*117400,10000)</f>
        <v>10000</v>
      </c>
      <c r="G1174" t="e">
        <f ca="1">_xludf.MINIFS(CBIC_Late_Fee_Relief_Windows_1!$I$100:$I$1174,CBIC_Late_Fee_Relief_Windows_1!$D$100:$D$1174,"&lt;="&amp;B1174,CBIC_Late_Fee_Relief_Windows_1!$E$100:$E$1174,"&gt;="&amp;B1174,CBIC_Late_Fee_Relief_Windows_1!$F$100:$F$1174,"&lt;="&amp;C1174,CBIC_Late_Fee_Relief_Windows_1!$G$100:$G$1174,"&gt;="&amp;C1174,CBIC_Late_Fee_Relief_Windows_1!$H$100:$H$1174,D1174)</f>
        <v>#NAME?</v>
      </c>
      <c r="H1174" t="e">
        <f t="shared" ca="1" si="18"/>
        <v>#NAME?</v>
      </c>
      <c r="I1174" t="e">
        <f ca="1">INDEX(CBIC_Late_Fee_Relief_Windows_1!$B$100:$B$1174,MATCH(G1174,CBIC_Late_Fee_Relief_Windows_1!$I$100:$I$1174,0))</f>
        <v>#NAME?</v>
      </c>
    </row>
    <row r="1175" spans="1:9" x14ac:dyDescent="0.55000000000000004">
      <c r="A1175" t="str">
        <f>TEST_DATA!A1175</f>
        <v>27AAAAA1175Z5</v>
      </c>
      <c r="B1175" t="str">
        <f>TEST_DATA!B1175</f>
        <v>Jul-2017</v>
      </c>
      <c r="C1175">
        <f>TEST_DATA!C1175</f>
        <v>43127</v>
      </c>
      <c r="D1175" t="str">
        <f>TEST_DATA!D1175</f>
        <v>NON-NIL</v>
      </c>
      <c r="E1175">
        <f>TEST_DATA!E1175</f>
        <v>1688</v>
      </c>
      <c r="F1175">
        <f>MIN(E1175*117500,10000)</f>
        <v>10000</v>
      </c>
      <c r="G1175" t="e">
        <f ca="1">_xludf.MINIFS(CBIC_Late_Fee_Relief_Windows_1!$I$100:$I$1175,CBIC_Late_Fee_Relief_Windows_1!$D$100:$D$1175,"&lt;="&amp;B1175,CBIC_Late_Fee_Relief_Windows_1!$E$100:$E$1175,"&gt;="&amp;B1175,CBIC_Late_Fee_Relief_Windows_1!$F$100:$F$1175,"&lt;="&amp;C1175,CBIC_Late_Fee_Relief_Windows_1!$G$100:$G$1175,"&gt;="&amp;C1175,CBIC_Late_Fee_Relief_Windows_1!$H$100:$H$1175,D1175)</f>
        <v>#NAME?</v>
      </c>
      <c r="H1175" t="e">
        <f t="shared" ca="1" si="18"/>
        <v>#NAME?</v>
      </c>
      <c r="I1175" t="e">
        <f ca="1">INDEX(CBIC_Late_Fee_Relief_Windows_1!$B$100:$B$1175,MATCH(G1175,CBIC_Late_Fee_Relief_Windows_1!$I$100:$I$1175,0))</f>
        <v>#NAME?</v>
      </c>
    </row>
    <row r="1176" spans="1:9" x14ac:dyDescent="0.55000000000000004">
      <c r="A1176" t="str">
        <f>TEST_DATA!A1176</f>
        <v>27AAAAA1176Z5</v>
      </c>
      <c r="B1176" t="str">
        <f>TEST_DATA!B1176</f>
        <v>Aug-2017</v>
      </c>
      <c r="C1176">
        <f>TEST_DATA!C1176</f>
        <v>44058</v>
      </c>
      <c r="D1176" t="str">
        <f>TEST_DATA!D1176</f>
        <v>NIL</v>
      </c>
      <c r="E1176">
        <f>TEST_DATA!E1176</f>
        <v>372</v>
      </c>
      <c r="F1176">
        <f>MIN(E1176*117600,10000)</f>
        <v>10000</v>
      </c>
      <c r="G1176" t="e">
        <f ca="1">_xludf.MINIFS(CBIC_Late_Fee_Relief_Windows_1!$I$100:$I$1176,CBIC_Late_Fee_Relief_Windows_1!$D$100:$D$1176,"&lt;="&amp;B1176,CBIC_Late_Fee_Relief_Windows_1!$E$100:$E$1176,"&gt;="&amp;B1176,CBIC_Late_Fee_Relief_Windows_1!$F$100:$F$1176,"&lt;="&amp;C1176,CBIC_Late_Fee_Relief_Windows_1!$G$100:$G$1176,"&gt;="&amp;C1176,CBIC_Late_Fee_Relief_Windows_1!$H$100:$H$1176,D1176)</f>
        <v>#NAME?</v>
      </c>
      <c r="H1176" t="e">
        <f t="shared" ca="1" si="18"/>
        <v>#NAME?</v>
      </c>
      <c r="I1176" t="e">
        <f ca="1">INDEX(CBIC_Late_Fee_Relief_Windows_1!$B$100:$B$1176,MATCH(G1176,CBIC_Late_Fee_Relief_Windows_1!$I$100:$I$1176,0))</f>
        <v>#NAME?</v>
      </c>
    </row>
    <row r="1177" spans="1:9" x14ac:dyDescent="0.55000000000000004">
      <c r="A1177" t="str">
        <f>TEST_DATA!A1177</f>
        <v>27AAAAA1177Z5</v>
      </c>
      <c r="B1177" t="str">
        <f>TEST_DATA!B1177</f>
        <v>Apr-2021</v>
      </c>
      <c r="C1177">
        <f>TEST_DATA!C1177</f>
        <v>44713</v>
      </c>
      <c r="D1177" t="str">
        <f>TEST_DATA!D1177</f>
        <v>NIL</v>
      </c>
      <c r="E1177">
        <f>TEST_DATA!E1177</f>
        <v>2681</v>
      </c>
      <c r="F1177">
        <f>MIN(E1177*117700,10000)</f>
        <v>10000</v>
      </c>
      <c r="G1177" t="e">
        <f ca="1">_xludf.MINIFS(CBIC_Late_Fee_Relief_Windows_1!$I$100:$I$1177,CBIC_Late_Fee_Relief_Windows_1!$D$100:$D$1177,"&lt;="&amp;B1177,CBIC_Late_Fee_Relief_Windows_1!$E$100:$E$1177,"&gt;="&amp;B1177,CBIC_Late_Fee_Relief_Windows_1!$F$100:$F$1177,"&lt;="&amp;C1177,CBIC_Late_Fee_Relief_Windows_1!$G$100:$G$1177,"&gt;="&amp;C1177,CBIC_Late_Fee_Relief_Windows_1!$H$100:$H$1177,D1177)</f>
        <v>#NAME?</v>
      </c>
      <c r="H1177" t="e">
        <f t="shared" ca="1" si="18"/>
        <v>#NAME?</v>
      </c>
      <c r="I1177" t="e">
        <f ca="1">INDEX(CBIC_Late_Fee_Relief_Windows_1!$B$100:$B$1177,MATCH(G1177,CBIC_Late_Fee_Relief_Windows_1!$I$100:$I$1177,0))</f>
        <v>#NAME?</v>
      </c>
    </row>
    <row r="1178" spans="1:9" x14ac:dyDescent="0.55000000000000004">
      <c r="A1178" t="str">
        <f>TEST_DATA!A1178</f>
        <v>27AAAAA1178Z5</v>
      </c>
      <c r="B1178" t="str">
        <f>TEST_DATA!B1178</f>
        <v>Jun-2020</v>
      </c>
      <c r="C1178">
        <f>TEST_DATA!C1178</f>
        <v>44765</v>
      </c>
      <c r="D1178" t="str">
        <f>TEST_DATA!D1178</f>
        <v>NON-NIL</v>
      </c>
      <c r="E1178">
        <f>TEST_DATA!E1178</f>
        <v>1488</v>
      </c>
      <c r="F1178">
        <f>MIN(E1178*117800,10000)</f>
        <v>10000</v>
      </c>
      <c r="G1178" t="e">
        <f ca="1">_xludf.MINIFS(CBIC_Late_Fee_Relief_Windows_1!$I$100:$I$1178,CBIC_Late_Fee_Relief_Windows_1!$D$100:$D$1178,"&lt;="&amp;B1178,CBIC_Late_Fee_Relief_Windows_1!$E$100:$E$1178,"&gt;="&amp;B1178,CBIC_Late_Fee_Relief_Windows_1!$F$100:$F$1178,"&lt;="&amp;C1178,CBIC_Late_Fee_Relief_Windows_1!$G$100:$G$1178,"&gt;="&amp;C1178,CBIC_Late_Fee_Relief_Windows_1!$H$100:$H$1178,D1178)</f>
        <v>#NAME?</v>
      </c>
      <c r="H1178" t="e">
        <f t="shared" ca="1" si="18"/>
        <v>#NAME?</v>
      </c>
      <c r="I1178" t="e">
        <f ca="1">INDEX(CBIC_Late_Fee_Relief_Windows_1!$B$100:$B$1178,MATCH(G1178,CBIC_Late_Fee_Relief_Windows_1!$I$100:$I$1178,0))</f>
        <v>#NAME?</v>
      </c>
    </row>
    <row r="1179" spans="1:9" x14ac:dyDescent="0.55000000000000004">
      <c r="A1179" t="str">
        <f>TEST_DATA!A1179</f>
        <v>27AAAAA1179Z5</v>
      </c>
      <c r="B1179" t="str">
        <f>TEST_DATA!B1179</f>
        <v>Dec-2022</v>
      </c>
      <c r="C1179">
        <f>TEST_DATA!C1179</f>
        <v>43688</v>
      </c>
      <c r="D1179" t="str">
        <f>TEST_DATA!D1179</f>
        <v>NIL</v>
      </c>
      <c r="E1179">
        <f>TEST_DATA!E1179</f>
        <v>1861</v>
      </c>
      <c r="F1179">
        <f>MIN(E1179*117900,10000)</f>
        <v>10000</v>
      </c>
      <c r="G1179" t="e">
        <f ca="1">_xludf.MINIFS(CBIC_Late_Fee_Relief_Windows_1!$I$100:$I$1179,CBIC_Late_Fee_Relief_Windows_1!$D$100:$D$1179,"&lt;="&amp;B1179,CBIC_Late_Fee_Relief_Windows_1!$E$100:$E$1179,"&gt;="&amp;B1179,CBIC_Late_Fee_Relief_Windows_1!$F$100:$F$1179,"&lt;="&amp;C1179,CBIC_Late_Fee_Relief_Windows_1!$G$100:$G$1179,"&gt;="&amp;C1179,CBIC_Late_Fee_Relief_Windows_1!$H$100:$H$1179,D1179)</f>
        <v>#NAME?</v>
      </c>
      <c r="H1179" t="e">
        <f t="shared" ca="1" si="18"/>
        <v>#NAME?</v>
      </c>
      <c r="I1179" t="e">
        <f ca="1">INDEX(CBIC_Late_Fee_Relief_Windows_1!$B$100:$B$1179,MATCH(G1179,CBIC_Late_Fee_Relief_Windows_1!$I$100:$I$1179,0))</f>
        <v>#NAME?</v>
      </c>
    </row>
    <row r="1180" spans="1:9" x14ac:dyDescent="0.55000000000000004">
      <c r="A1180" t="str">
        <f>TEST_DATA!A1180</f>
        <v>27AAAAA1180Z5</v>
      </c>
      <c r="B1180" t="str">
        <f>TEST_DATA!B1180</f>
        <v>May-2018</v>
      </c>
      <c r="C1180">
        <f>TEST_DATA!C1180</f>
        <v>44064</v>
      </c>
      <c r="D1180" t="str">
        <f>TEST_DATA!D1180</f>
        <v>NON-NIL</v>
      </c>
      <c r="E1180">
        <f>TEST_DATA!E1180</f>
        <v>2935</v>
      </c>
      <c r="F1180">
        <f>MIN(E1180*118000,10000)</f>
        <v>10000</v>
      </c>
      <c r="G1180" t="e">
        <f ca="1">_xludf.MINIFS(CBIC_Late_Fee_Relief_Windows_1!$I$100:$I$1180,CBIC_Late_Fee_Relief_Windows_1!$D$100:$D$1180,"&lt;="&amp;B1180,CBIC_Late_Fee_Relief_Windows_1!$E$100:$E$1180,"&gt;="&amp;B1180,CBIC_Late_Fee_Relief_Windows_1!$F$100:$F$1180,"&lt;="&amp;C1180,CBIC_Late_Fee_Relief_Windows_1!$G$100:$G$1180,"&gt;="&amp;C1180,CBIC_Late_Fee_Relief_Windows_1!$H$100:$H$1180,D1180)</f>
        <v>#NAME?</v>
      </c>
      <c r="H1180" t="e">
        <f t="shared" ca="1" si="18"/>
        <v>#NAME?</v>
      </c>
      <c r="I1180" t="e">
        <f ca="1">INDEX(CBIC_Late_Fee_Relief_Windows_1!$B$100:$B$1180,MATCH(G1180,CBIC_Late_Fee_Relief_Windows_1!$I$100:$I$1180,0))</f>
        <v>#NAME?</v>
      </c>
    </row>
    <row r="1181" spans="1:9" x14ac:dyDescent="0.55000000000000004">
      <c r="A1181" t="str">
        <f>TEST_DATA!A1181</f>
        <v>27AAAAA1181Z5</v>
      </c>
      <c r="B1181" t="str">
        <f>TEST_DATA!B1181</f>
        <v>Jun-2020</v>
      </c>
      <c r="C1181">
        <f>TEST_DATA!C1181</f>
        <v>44575</v>
      </c>
      <c r="D1181" t="str">
        <f>TEST_DATA!D1181</f>
        <v>NON-NIL</v>
      </c>
      <c r="E1181">
        <f>TEST_DATA!E1181</f>
        <v>467</v>
      </c>
      <c r="F1181">
        <f>MIN(E1181*118100,10000)</f>
        <v>10000</v>
      </c>
      <c r="G1181" t="e">
        <f ca="1">_xludf.MINIFS(CBIC_Late_Fee_Relief_Windows_1!$I$100:$I$1181,CBIC_Late_Fee_Relief_Windows_1!$D$100:$D$1181,"&lt;="&amp;B1181,CBIC_Late_Fee_Relief_Windows_1!$E$100:$E$1181,"&gt;="&amp;B1181,CBIC_Late_Fee_Relief_Windows_1!$F$100:$F$1181,"&lt;="&amp;C1181,CBIC_Late_Fee_Relief_Windows_1!$G$100:$G$1181,"&gt;="&amp;C1181,CBIC_Late_Fee_Relief_Windows_1!$H$100:$H$1181,D1181)</f>
        <v>#NAME?</v>
      </c>
      <c r="H1181" t="e">
        <f t="shared" ca="1" si="18"/>
        <v>#NAME?</v>
      </c>
      <c r="I1181" t="e">
        <f ca="1">INDEX(CBIC_Late_Fee_Relief_Windows_1!$B$100:$B$1181,MATCH(G1181,CBIC_Late_Fee_Relief_Windows_1!$I$100:$I$1181,0))</f>
        <v>#NAME?</v>
      </c>
    </row>
    <row r="1182" spans="1:9" x14ac:dyDescent="0.55000000000000004">
      <c r="A1182" t="str">
        <f>TEST_DATA!A1182</f>
        <v>27AAAAA1182Z5</v>
      </c>
      <c r="B1182" t="str">
        <f>TEST_DATA!B1182</f>
        <v>Oct-2017</v>
      </c>
      <c r="C1182">
        <f>TEST_DATA!C1182</f>
        <v>44472</v>
      </c>
      <c r="D1182" t="str">
        <f>TEST_DATA!D1182</f>
        <v>NIL</v>
      </c>
      <c r="E1182">
        <f>TEST_DATA!E1182</f>
        <v>8</v>
      </c>
      <c r="F1182">
        <f>MIN(E1182*118200,10000)</f>
        <v>10000</v>
      </c>
      <c r="G1182" t="e">
        <f ca="1">_xludf.MINIFS(CBIC_Late_Fee_Relief_Windows_1!$I$100:$I$1182,CBIC_Late_Fee_Relief_Windows_1!$D$100:$D$1182,"&lt;="&amp;B1182,CBIC_Late_Fee_Relief_Windows_1!$E$100:$E$1182,"&gt;="&amp;B1182,CBIC_Late_Fee_Relief_Windows_1!$F$100:$F$1182,"&lt;="&amp;C1182,CBIC_Late_Fee_Relief_Windows_1!$G$100:$G$1182,"&gt;="&amp;C1182,CBIC_Late_Fee_Relief_Windows_1!$H$100:$H$1182,D1182)</f>
        <v>#NAME?</v>
      </c>
      <c r="H1182" t="e">
        <f t="shared" ca="1" si="18"/>
        <v>#NAME?</v>
      </c>
      <c r="I1182" t="e">
        <f ca="1">INDEX(CBIC_Late_Fee_Relief_Windows_1!$B$100:$B$1182,MATCH(G1182,CBIC_Late_Fee_Relief_Windows_1!$I$100:$I$1182,0))</f>
        <v>#NAME?</v>
      </c>
    </row>
    <row r="1183" spans="1:9" x14ac:dyDescent="0.55000000000000004">
      <c r="A1183" t="str">
        <f>TEST_DATA!A1183</f>
        <v>27AAAAA1183Z5</v>
      </c>
      <c r="B1183" t="str">
        <f>TEST_DATA!B1183</f>
        <v>May-2018</v>
      </c>
      <c r="C1183">
        <f>TEST_DATA!C1183</f>
        <v>43644</v>
      </c>
      <c r="D1183" t="str">
        <f>TEST_DATA!D1183</f>
        <v>NON-NIL</v>
      </c>
      <c r="E1183">
        <f>TEST_DATA!E1183</f>
        <v>2243</v>
      </c>
      <c r="F1183">
        <f>MIN(E1183*118300,10000)</f>
        <v>10000</v>
      </c>
      <c r="G1183" t="e">
        <f ca="1">_xludf.MINIFS(CBIC_Late_Fee_Relief_Windows_1!$I$100:$I$1183,CBIC_Late_Fee_Relief_Windows_1!$D$100:$D$1183,"&lt;="&amp;B1183,CBIC_Late_Fee_Relief_Windows_1!$E$100:$E$1183,"&gt;="&amp;B1183,CBIC_Late_Fee_Relief_Windows_1!$F$100:$F$1183,"&lt;="&amp;C1183,CBIC_Late_Fee_Relief_Windows_1!$G$100:$G$1183,"&gt;="&amp;C1183,CBIC_Late_Fee_Relief_Windows_1!$H$100:$H$1183,D1183)</f>
        <v>#NAME?</v>
      </c>
      <c r="H1183" t="e">
        <f t="shared" ca="1" si="18"/>
        <v>#NAME?</v>
      </c>
      <c r="I1183" t="e">
        <f ca="1">INDEX(CBIC_Late_Fee_Relief_Windows_1!$B$100:$B$1183,MATCH(G1183,CBIC_Late_Fee_Relief_Windows_1!$I$100:$I$1183,0))</f>
        <v>#NAME?</v>
      </c>
    </row>
    <row r="1184" spans="1:9" x14ac:dyDescent="0.55000000000000004">
      <c r="A1184" t="str">
        <f>TEST_DATA!A1184</f>
        <v>27AAAAA1184Z5</v>
      </c>
      <c r="B1184" t="str">
        <f>TEST_DATA!B1184</f>
        <v>Jun-2019</v>
      </c>
      <c r="C1184">
        <f>TEST_DATA!C1184</f>
        <v>44997</v>
      </c>
      <c r="D1184" t="str">
        <f>TEST_DATA!D1184</f>
        <v>NIL</v>
      </c>
      <c r="E1184">
        <f>TEST_DATA!E1184</f>
        <v>187</v>
      </c>
      <c r="F1184">
        <f>MIN(E1184*118400,10000)</f>
        <v>10000</v>
      </c>
      <c r="G1184" t="e">
        <f ca="1">_xludf.MINIFS(CBIC_Late_Fee_Relief_Windows_1!$I$100:$I$1184,CBIC_Late_Fee_Relief_Windows_1!$D$100:$D$1184,"&lt;="&amp;B1184,CBIC_Late_Fee_Relief_Windows_1!$E$100:$E$1184,"&gt;="&amp;B1184,CBIC_Late_Fee_Relief_Windows_1!$F$100:$F$1184,"&lt;="&amp;C1184,CBIC_Late_Fee_Relief_Windows_1!$G$100:$G$1184,"&gt;="&amp;C1184,CBIC_Late_Fee_Relief_Windows_1!$H$100:$H$1184,D1184)</f>
        <v>#NAME?</v>
      </c>
      <c r="H1184" t="e">
        <f t="shared" ca="1" si="18"/>
        <v>#NAME?</v>
      </c>
      <c r="I1184" t="e">
        <f ca="1">INDEX(CBIC_Late_Fee_Relief_Windows_1!$B$100:$B$1184,MATCH(G1184,CBIC_Late_Fee_Relief_Windows_1!$I$100:$I$1184,0))</f>
        <v>#NAME?</v>
      </c>
    </row>
    <row r="1185" spans="1:9" x14ac:dyDescent="0.55000000000000004">
      <c r="A1185" t="str">
        <f>TEST_DATA!A1185</f>
        <v>27AAAAA1185Z5</v>
      </c>
      <c r="B1185" t="str">
        <f>TEST_DATA!B1185</f>
        <v>Dec-2024</v>
      </c>
      <c r="C1185">
        <f>TEST_DATA!C1185</f>
        <v>44138</v>
      </c>
      <c r="D1185" t="str">
        <f>TEST_DATA!D1185</f>
        <v>NON-NIL</v>
      </c>
      <c r="E1185">
        <f>TEST_DATA!E1185</f>
        <v>575</v>
      </c>
      <c r="F1185">
        <f>MIN(E1185*118500,10000)</f>
        <v>10000</v>
      </c>
      <c r="G1185" t="e">
        <f ca="1">_xludf.MINIFS(CBIC_Late_Fee_Relief_Windows_1!$I$100:$I$1185,CBIC_Late_Fee_Relief_Windows_1!$D$100:$D$1185,"&lt;="&amp;B1185,CBIC_Late_Fee_Relief_Windows_1!$E$100:$E$1185,"&gt;="&amp;B1185,CBIC_Late_Fee_Relief_Windows_1!$F$100:$F$1185,"&lt;="&amp;C1185,CBIC_Late_Fee_Relief_Windows_1!$G$100:$G$1185,"&gt;="&amp;C1185,CBIC_Late_Fee_Relief_Windows_1!$H$100:$H$1185,D1185)</f>
        <v>#NAME?</v>
      </c>
      <c r="H1185" t="e">
        <f t="shared" ca="1" si="18"/>
        <v>#NAME?</v>
      </c>
      <c r="I1185" t="e">
        <f ca="1">INDEX(CBIC_Late_Fee_Relief_Windows_1!$B$100:$B$1185,MATCH(G1185,CBIC_Late_Fee_Relief_Windows_1!$I$100:$I$1185,0))</f>
        <v>#NAME?</v>
      </c>
    </row>
    <row r="1186" spans="1:9" x14ac:dyDescent="0.55000000000000004">
      <c r="A1186" t="str">
        <f>TEST_DATA!A1186</f>
        <v>27AAAAA1186Z5</v>
      </c>
      <c r="B1186" t="str">
        <f>TEST_DATA!B1186</f>
        <v>Dec-2022</v>
      </c>
      <c r="C1186">
        <f>TEST_DATA!C1186</f>
        <v>45142</v>
      </c>
      <c r="D1186" t="str">
        <f>TEST_DATA!D1186</f>
        <v>NIL</v>
      </c>
      <c r="E1186">
        <f>TEST_DATA!E1186</f>
        <v>1041</v>
      </c>
      <c r="F1186">
        <f>MIN(E1186*118600,10000)</f>
        <v>10000</v>
      </c>
      <c r="G1186" t="e">
        <f ca="1">_xludf.MINIFS(CBIC_Late_Fee_Relief_Windows_1!$I$100:$I$1186,CBIC_Late_Fee_Relief_Windows_1!$D$100:$D$1186,"&lt;="&amp;B1186,CBIC_Late_Fee_Relief_Windows_1!$E$100:$E$1186,"&gt;="&amp;B1186,CBIC_Late_Fee_Relief_Windows_1!$F$100:$F$1186,"&lt;="&amp;C1186,CBIC_Late_Fee_Relief_Windows_1!$G$100:$G$1186,"&gt;="&amp;C1186,CBIC_Late_Fee_Relief_Windows_1!$H$100:$H$1186,D1186)</f>
        <v>#NAME?</v>
      </c>
      <c r="H1186" t="e">
        <f t="shared" ca="1" si="18"/>
        <v>#NAME?</v>
      </c>
      <c r="I1186" t="e">
        <f ca="1">INDEX(CBIC_Late_Fee_Relief_Windows_1!$B$100:$B$1186,MATCH(G1186,CBIC_Late_Fee_Relief_Windows_1!$I$100:$I$1186,0))</f>
        <v>#NAME?</v>
      </c>
    </row>
    <row r="1187" spans="1:9" x14ac:dyDescent="0.55000000000000004">
      <c r="A1187" t="str">
        <f>TEST_DATA!A1187</f>
        <v>27AAAAA1187Z5</v>
      </c>
      <c r="B1187" t="str">
        <f>TEST_DATA!B1187</f>
        <v>Apr-2020</v>
      </c>
      <c r="C1187">
        <f>TEST_DATA!C1187</f>
        <v>44232</v>
      </c>
      <c r="D1187" t="str">
        <f>TEST_DATA!D1187</f>
        <v>NIL</v>
      </c>
      <c r="E1187">
        <f>TEST_DATA!E1187</f>
        <v>494</v>
      </c>
      <c r="F1187">
        <f>MIN(E1187*118700,10000)</f>
        <v>10000</v>
      </c>
      <c r="G1187" t="e">
        <f ca="1">_xludf.MINIFS(CBIC_Late_Fee_Relief_Windows_1!$I$100:$I$1187,CBIC_Late_Fee_Relief_Windows_1!$D$100:$D$1187,"&lt;="&amp;B1187,CBIC_Late_Fee_Relief_Windows_1!$E$100:$E$1187,"&gt;="&amp;B1187,CBIC_Late_Fee_Relief_Windows_1!$F$100:$F$1187,"&lt;="&amp;C1187,CBIC_Late_Fee_Relief_Windows_1!$G$100:$G$1187,"&gt;="&amp;C1187,CBIC_Late_Fee_Relief_Windows_1!$H$100:$H$1187,D1187)</f>
        <v>#NAME?</v>
      </c>
      <c r="H1187" t="e">
        <f t="shared" ca="1" si="18"/>
        <v>#NAME?</v>
      </c>
      <c r="I1187" t="e">
        <f ca="1">INDEX(CBIC_Late_Fee_Relief_Windows_1!$B$100:$B$1187,MATCH(G1187,CBIC_Late_Fee_Relief_Windows_1!$I$100:$I$1187,0))</f>
        <v>#NAME?</v>
      </c>
    </row>
    <row r="1188" spans="1:9" x14ac:dyDescent="0.55000000000000004">
      <c r="A1188" t="str">
        <f>TEST_DATA!A1188</f>
        <v>27AAAAA1188Z5</v>
      </c>
      <c r="B1188" t="str">
        <f>TEST_DATA!B1188</f>
        <v>Mar-2023</v>
      </c>
      <c r="C1188">
        <f>TEST_DATA!C1188</f>
        <v>45075</v>
      </c>
      <c r="D1188" t="str">
        <f>TEST_DATA!D1188</f>
        <v>NIL</v>
      </c>
      <c r="E1188">
        <f>TEST_DATA!E1188</f>
        <v>1872</v>
      </c>
      <c r="F1188">
        <f>MIN(E1188*118800,10000)</f>
        <v>10000</v>
      </c>
      <c r="G1188" t="e">
        <f ca="1">_xludf.MINIFS(CBIC_Late_Fee_Relief_Windows_1!$I$100:$I$1188,CBIC_Late_Fee_Relief_Windows_1!$D$100:$D$1188,"&lt;="&amp;B1188,CBIC_Late_Fee_Relief_Windows_1!$E$100:$E$1188,"&gt;="&amp;B1188,CBIC_Late_Fee_Relief_Windows_1!$F$100:$F$1188,"&lt;="&amp;C1188,CBIC_Late_Fee_Relief_Windows_1!$G$100:$G$1188,"&gt;="&amp;C1188,CBIC_Late_Fee_Relief_Windows_1!$H$100:$H$1188,D1188)</f>
        <v>#NAME?</v>
      </c>
      <c r="H1188" t="e">
        <f t="shared" ca="1" si="18"/>
        <v>#NAME?</v>
      </c>
      <c r="I1188" t="e">
        <f ca="1">INDEX(CBIC_Late_Fee_Relief_Windows_1!$B$100:$B$1188,MATCH(G1188,CBIC_Late_Fee_Relief_Windows_1!$I$100:$I$1188,0))</f>
        <v>#NAME?</v>
      </c>
    </row>
    <row r="1189" spans="1:9" x14ac:dyDescent="0.55000000000000004">
      <c r="A1189" t="str">
        <f>TEST_DATA!A1189</f>
        <v>27AAAAA1189Z5</v>
      </c>
      <c r="B1189" t="str">
        <f>TEST_DATA!B1189</f>
        <v>Dec-2022</v>
      </c>
      <c r="C1189">
        <f>TEST_DATA!C1189</f>
        <v>44246</v>
      </c>
      <c r="D1189" t="str">
        <f>TEST_DATA!D1189</f>
        <v>NON-NIL</v>
      </c>
      <c r="E1189">
        <f>TEST_DATA!E1189</f>
        <v>441</v>
      </c>
      <c r="F1189">
        <f>MIN(E1189*118900,10000)</f>
        <v>10000</v>
      </c>
      <c r="G1189" t="e">
        <f ca="1">_xludf.MINIFS(CBIC_Late_Fee_Relief_Windows_1!$I$100:$I$1189,CBIC_Late_Fee_Relief_Windows_1!$D$100:$D$1189,"&lt;="&amp;B1189,CBIC_Late_Fee_Relief_Windows_1!$E$100:$E$1189,"&gt;="&amp;B1189,CBIC_Late_Fee_Relief_Windows_1!$F$100:$F$1189,"&lt;="&amp;C1189,CBIC_Late_Fee_Relief_Windows_1!$G$100:$G$1189,"&gt;="&amp;C1189,CBIC_Late_Fee_Relief_Windows_1!$H$100:$H$1189,D1189)</f>
        <v>#NAME?</v>
      </c>
      <c r="H1189" t="e">
        <f t="shared" ca="1" si="18"/>
        <v>#NAME?</v>
      </c>
      <c r="I1189" t="e">
        <f ca="1">INDEX(CBIC_Late_Fee_Relief_Windows_1!$B$100:$B$1189,MATCH(G1189,CBIC_Late_Fee_Relief_Windows_1!$I$100:$I$1189,0))</f>
        <v>#NAME?</v>
      </c>
    </row>
    <row r="1190" spans="1:9" x14ac:dyDescent="0.55000000000000004">
      <c r="A1190" t="str">
        <f>TEST_DATA!A1190</f>
        <v>27AAAAA1190Z5</v>
      </c>
      <c r="B1190" t="str">
        <f>TEST_DATA!B1190</f>
        <v>Mar-2021</v>
      </c>
      <c r="C1190">
        <f>TEST_DATA!C1190</f>
        <v>45163</v>
      </c>
      <c r="D1190" t="str">
        <f>TEST_DATA!D1190</f>
        <v>NIL</v>
      </c>
      <c r="E1190">
        <f>TEST_DATA!E1190</f>
        <v>2593</v>
      </c>
      <c r="F1190">
        <f>MIN(E1190*119000,10000)</f>
        <v>10000</v>
      </c>
      <c r="G1190" t="e">
        <f ca="1">_xludf.MINIFS(CBIC_Late_Fee_Relief_Windows_1!$I$100:$I$1190,CBIC_Late_Fee_Relief_Windows_1!$D$100:$D$1190,"&lt;="&amp;B1190,CBIC_Late_Fee_Relief_Windows_1!$E$100:$E$1190,"&gt;="&amp;B1190,CBIC_Late_Fee_Relief_Windows_1!$F$100:$F$1190,"&lt;="&amp;C1190,CBIC_Late_Fee_Relief_Windows_1!$G$100:$G$1190,"&gt;="&amp;C1190,CBIC_Late_Fee_Relief_Windows_1!$H$100:$H$1190,D1190)</f>
        <v>#NAME?</v>
      </c>
      <c r="H1190" t="e">
        <f t="shared" ca="1" si="18"/>
        <v>#NAME?</v>
      </c>
      <c r="I1190" t="e">
        <f ca="1">INDEX(CBIC_Late_Fee_Relief_Windows_1!$B$100:$B$1190,MATCH(G1190,CBIC_Late_Fee_Relief_Windows_1!$I$100:$I$1190,0))</f>
        <v>#NAME?</v>
      </c>
    </row>
    <row r="1191" spans="1:9" x14ac:dyDescent="0.55000000000000004">
      <c r="A1191" t="str">
        <f>TEST_DATA!A1191</f>
        <v>27AAAAA1191Z5</v>
      </c>
      <c r="B1191" t="str">
        <f>TEST_DATA!B1191</f>
        <v>Dec-2022</v>
      </c>
      <c r="C1191">
        <f>TEST_DATA!C1191</f>
        <v>43970</v>
      </c>
      <c r="D1191" t="str">
        <f>TEST_DATA!D1191</f>
        <v>NON-NIL</v>
      </c>
      <c r="E1191">
        <f>TEST_DATA!E1191</f>
        <v>1873</v>
      </c>
      <c r="F1191">
        <f>MIN(E1191*119100,10000)</f>
        <v>10000</v>
      </c>
      <c r="G1191" t="e">
        <f ca="1">_xludf.MINIFS(CBIC_Late_Fee_Relief_Windows_1!$I$100:$I$1191,CBIC_Late_Fee_Relief_Windows_1!$D$100:$D$1191,"&lt;="&amp;B1191,CBIC_Late_Fee_Relief_Windows_1!$E$100:$E$1191,"&gt;="&amp;B1191,CBIC_Late_Fee_Relief_Windows_1!$F$100:$F$1191,"&lt;="&amp;C1191,CBIC_Late_Fee_Relief_Windows_1!$G$100:$G$1191,"&gt;="&amp;C1191,CBIC_Late_Fee_Relief_Windows_1!$H$100:$H$1191,D1191)</f>
        <v>#NAME?</v>
      </c>
      <c r="H1191" t="e">
        <f t="shared" ca="1" si="18"/>
        <v>#NAME?</v>
      </c>
      <c r="I1191" t="e">
        <f ca="1">INDEX(CBIC_Late_Fee_Relief_Windows_1!$B$100:$B$1191,MATCH(G1191,CBIC_Late_Fee_Relief_Windows_1!$I$100:$I$1191,0))</f>
        <v>#NAME?</v>
      </c>
    </row>
    <row r="1192" spans="1:9" x14ac:dyDescent="0.55000000000000004">
      <c r="A1192" t="str">
        <f>TEST_DATA!A1192</f>
        <v>27AAAAA1192Z5</v>
      </c>
      <c r="B1192" t="str">
        <f>TEST_DATA!B1192</f>
        <v>Jun-2020</v>
      </c>
      <c r="C1192">
        <f>TEST_DATA!C1192</f>
        <v>44863</v>
      </c>
      <c r="D1192" t="str">
        <f>TEST_DATA!D1192</f>
        <v>NIL</v>
      </c>
      <c r="E1192">
        <f>TEST_DATA!E1192</f>
        <v>2043</v>
      </c>
      <c r="F1192">
        <f>MIN(E1192*119200,10000)</f>
        <v>10000</v>
      </c>
      <c r="G1192" t="e">
        <f ca="1">_xludf.MINIFS(CBIC_Late_Fee_Relief_Windows_1!$I$100:$I$1192,CBIC_Late_Fee_Relief_Windows_1!$D$100:$D$1192,"&lt;="&amp;B1192,CBIC_Late_Fee_Relief_Windows_1!$E$100:$E$1192,"&gt;="&amp;B1192,CBIC_Late_Fee_Relief_Windows_1!$F$100:$F$1192,"&lt;="&amp;C1192,CBIC_Late_Fee_Relief_Windows_1!$G$100:$G$1192,"&gt;="&amp;C1192,CBIC_Late_Fee_Relief_Windows_1!$H$100:$H$1192,D1192)</f>
        <v>#NAME?</v>
      </c>
      <c r="H1192" t="e">
        <f t="shared" ca="1" si="18"/>
        <v>#NAME?</v>
      </c>
      <c r="I1192" t="e">
        <f ca="1">INDEX(CBIC_Late_Fee_Relief_Windows_1!$B$100:$B$1192,MATCH(G1192,CBIC_Late_Fee_Relief_Windows_1!$I$100:$I$1192,0))</f>
        <v>#NAME?</v>
      </c>
    </row>
    <row r="1193" spans="1:9" x14ac:dyDescent="0.55000000000000004">
      <c r="A1193" t="str">
        <f>TEST_DATA!A1193</f>
        <v>27AAAAA1193Z5</v>
      </c>
      <c r="B1193" t="str">
        <f>TEST_DATA!B1193</f>
        <v>Jul-2017</v>
      </c>
      <c r="C1193">
        <f>TEST_DATA!C1193</f>
        <v>44003</v>
      </c>
      <c r="D1193" t="str">
        <f>TEST_DATA!D1193</f>
        <v>NIL</v>
      </c>
      <c r="E1193">
        <f>TEST_DATA!E1193</f>
        <v>2266</v>
      </c>
      <c r="F1193">
        <f>MIN(E1193*119300,10000)</f>
        <v>10000</v>
      </c>
      <c r="G1193" t="e">
        <f ca="1">_xludf.MINIFS(CBIC_Late_Fee_Relief_Windows_1!$I$100:$I$1193,CBIC_Late_Fee_Relief_Windows_1!$D$100:$D$1193,"&lt;="&amp;B1193,CBIC_Late_Fee_Relief_Windows_1!$E$100:$E$1193,"&gt;="&amp;B1193,CBIC_Late_Fee_Relief_Windows_1!$F$100:$F$1193,"&lt;="&amp;C1193,CBIC_Late_Fee_Relief_Windows_1!$G$100:$G$1193,"&gt;="&amp;C1193,CBIC_Late_Fee_Relief_Windows_1!$H$100:$H$1193,D1193)</f>
        <v>#NAME?</v>
      </c>
      <c r="H1193" t="e">
        <f t="shared" ca="1" si="18"/>
        <v>#NAME?</v>
      </c>
      <c r="I1193" t="e">
        <f ca="1">INDEX(CBIC_Late_Fee_Relief_Windows_1!$B$100:$B$1193,MATCH(G1193,CBIC_Late_Fee_Relief_Windows_1!$I$100:$I$1193,0))</f>
        <v>#NAME?</v>
      </c>
    </row>
    <row r="1194" spans="1:9" x14ac:dyDescent="0.55000000000000004">
      <c r="A1194" t="str">
        <f>TEST_DATA!A1194</f>
        <v>27AAAAA1194Z5</v>
      </c>
      <c r="B1194" t="str">
        <f>TEST_DATA!B1194</f>
        <v>Aug-2018</v>
      </c>
      <c r="C1194">
        <f>TEST_DATA!C1194</f>
        <v>44115</v>
      </c>
      <c r="D1194" t="str">
        <f>TEST_DATA!D1194</f>
        <v>NON-NIL</v>
      </c>
      <c r="E1194">
        <f>TEST_DATA!E1194</f>
        <v>2082</v>
      </c>
      <c r="F1194">
        <f>MIN(E1194*119400,10000)</f>
        <v>10000</v>
      </c>
      <c r="G1194" t="e">
        <f ca="1">_xludf.MINIFS(CBIC_Late_Fee_Relief_Windows_1!$I$100:$I$1194,CBIC_Late_Fee_Relief_Windows_1!$D$100:$D$1194,"&lt;="&amp;B1194,CBIC_Late_Fee_Relief_Windows_1!$E$100:$E$1194,"&gt;="&amp;B1194,CBIC_Late_Fee_Relief_Windows_1!$F$100:$F$1194,"&lt;="&amp;C1194,CBIC_Late_Fee_Relief_Windows_1!$G$100:$G$1194,"&gt;="&amp;C1194,CBIC_Late_Fee_Relief_Windows_1!$H$100:$H$1194,D1194)</f>
        <v>#NAME?</v>
      </c>
      <c r="H1194" t="e">
        <f t="shared" ca="1" si="18"/>
        <v>#NAME?</v>
      </c>
      <c r="I1194" t="e">
        <f ca="1">INDEX(CBIC_Late_Fee_Relief_Windows_1!$B$100:$B$1194,MATCH(G1194,CBIC_Late_Fee_Relief_Windows_1!$I$100:$I$1194,0))</f>
        <v>#NAME?</v>
      </c>
    </row>
    <row r="1195" spans="1:9" x14ac:dyDescent="0.55000000000000004">
      <c r="A1195" t="str">
        <f>TEST_DATA!A1195</f>
        <v>27AAAAA1195Z5</v>
      </c>
      <c r="B1195" t="str">
        <f>TEST_DATA!B1195</f>
        <v>Mar-2021</v>
      </c>
      <c r="C1195">
        <f>TEST_DATA!C1195</f>
        <v>44191</v>
      </c>
      <c r="D1195" t="str">
        <f>TEST_DATA!D1195</f>
        <v>NIL</v>
      </c>
      <c r="E1195">
        <f>TEST_DATA!E1195</f>
        <v>2992</v>
      </c>
      <c r="F1195">
        <f>MIN(E1195*119500,10000)</f>
        <v>10000</v>
      </c>
      <c r="G1195" t="e">
        <f ca="1">_xludf.MINIFS(CBIC_Late_Fee_Relief_Windows_1!$I$100:$I$1195,CBIC_Late_Fee_Relief_Windows_1!$D$100:$D$1195,"&lt;="&amp;B1195,CBIC_Late_Fee_Relief_Windows_1!$E$100:$E$1195,"&gt;="&amp;B1195,CBIC_Late_Fee_Relief_Windows_1!$F$100:$F$1195,"&lt;="&amp;C1195,CBIC_Late_Fee_Relief_Windows_1!$G$100:$G$1195,"&gt;="&amp;C1195,CBIC_Late_Fee_Relief_Windows_1!$H$100:$H$1195,D1195)</f>
        <v>#NAME?</v>
      </c>
      <c r="H1195" t="e">
        <f t="shared" ca="1" si="18"/>
        <v>#NAME?</v>
      </c>
      <c r="I1195" t="e">
        <f ca="1">INDEX(CBIC_Late_Fee_Relief_Windows_1!$B$100:$B$1195,MATCH(G1195,CBIC_Late_Fee_Relief_Windows_1!$I$100:$I$1195,0))</f>
        <v>#NAME?</v>
      </c>
    </row>
    <row r="1196" spans="1:9" x14ac:dyDescent="0.55000000000000004">
      <c r="A1196" t="str">
        <f>TEST_DATA!A1196</f>
        <v>27AAAAA1196Z5</v>
      </c>
      <c r="B1196" t="str">
        <f>TEST_DATA!B1196</f>
        <v>Dec-2022</v>
      </c>
      <c r="C1196">
        <f>TEST_DATA!C1196</f>
        <v>43991</v>
      </c>
      <c r="D1196" t="str">
        <f>TEST_DATA!D1196</f>
        <v>NIL</v>
      </c>
      <c r="E1196">
        <f>TEST_DATA!E1196</f>
        <v>1586</v>
      </c>
      <c r="F1196">
        <f>MIN(E1196*119600,10000)</f>
        <v>10000</v>
      </c>
      <c r="G1196" t="e">
        <f ca="1">_xludf.MINIFS(CBIC_Late_Fee_Relief_Windows_1!$I$100:$I$1196,CBIC_Late_Fee_Relief_Windows_1!$D$100:$D$1196,"&lt;="&amp;B1196,CBIC_Late_Fee_Relief_Windows_1!$E$100:$E$1196,"&gt;="&amp;B1196,CBIC_Late_Fee_Relief_Windows_1!$F$100:$F$1196,"&lt;="&amp;C1196,CBIC_Late_Fee_Relief_Windows_1!$G$100:$G$1196,"&gt;="&amp;C1196,CBIC_Late_Fee_Relief_Windows_1!$H$100:$H$1196,D1196)</f>
        <v>#NAME?</v>
      </c>
      <c r="H1196" t="e">
        <f t="shared" ca="1" si="18"/>
        <v>#NAME?</v>
      </c>
      <c r="I1196" t="e">
        <f ca="1">INDEX(CBIC_Late_Fee_Relief_Windows_1!$B$100:$B$1196,MATCH(G1196,CBIC_Late_Fee_Relief_Windows_1!$I$100:$I$1196,0))</f>
        <v>#NAME?</v>
      </c>
    </row>
    <row r="1197" spans="1:9" x14ac:dyDescent="0.55000000000000004">
      <c r="A1197" t="str">
        <f>TEST_DATA!A1197</f>
        <v>27AAAAA1197Z5</v>
      </c>
      <c r="B1197" t="str">
        <f>TEST_DATA!B1197</f>
        <v>Jun-2020</v>
      </c>
      <c r="C1197">
        <f>TEST_DATA!C1197</f>
        <v>44490</v>
      </c>
      <c r="D1197" t="str">
        <f>TEST_DATA!D1197</f>
        <v>NON-NIL</v>
      </c>
      <c r="E1197">
        <f>TEST_DATA!E1197</f>
        <v>1714</v>
      </c>
      <c r="F1197">
        <f>MIN(E1197*119700,10000)</f>
        <v>10000</v>
      </c>
      <c r="G1197" t="e">
        <f ca="1">_xludf.MINIFS(CBIC_Late_Fee_Relief_Windows_1!$I$100:$I$1197,CBIC_Late_Fee_Relief_Windows_1!$D$100:$D$1197,"&lt;="&amp;B1197,CBIC_Late_Fee_Relief_Windows_1!$E$100:$E$1197,"&gt;="&amp;B1197,CBIC_Late_Fee_Relief_Windows_1!$F$100:$F$1197,"&lt;="&amp;C1197,CBIC_Late_Fee_Relief_Windows_1!$G$100:$G$1197,"&gt;="&amp;C1197,CBIC_Late_Fee_Relief_Windows_1!$H$100:$H$1197,D1197)</f>
        <v>#NAME?</v>
      </c>
      <c r="H1197" t="e">
        <f t="shared" ca="1" si="18"/>
        <v>#NAME?</v>
      </c>
      <c r="I1197" t="e">
        <f ca="1">INDEX(CBIC_Late_Fee_Relief_Windows_1!$B$100:$B$1197,MATCH(G1197,CBIC_Late_Fee_Relief_Windows_1!$I$100:$I$1197,0))</f>
        <v>#NAME?</v>
      </c>
    </row>
    <row r="1198" spans="1:9" x14ac:dyDescent="0.55000000000000004">
      <c r="A1198" t="str">
        <f>TEST_DATA!A1198</f>
        <v>27AAAAA1198Z5</v>
      </c>
      <c r="B1198" t="str">
        <f>TEST_DATA!B1198</f>
        <v>Apr-2020</v>
      </c>
      <c r="C1198">
        <f>TEST_DATA!C1198</f>
        <v>44339</v>
      </c>
      <c r="D1198" t="str">
        <f>TEST_DATA!D1198</f>
        <v>NON-NIL</v>
      </c>
      <c r="E1198">
        <f>TEST_DATA!E1198</f>
        <v>1629</v>
      </c>
      <c r="F1198">
        <f>MIN(E1198*119800,10000)</f>
        <v>10000</v>
      </c>
      <c r="G1198" t="e">
        <f ca="1">_xludf.MINIFS(CBIC_Late_Fee_Relief_Windows_1!$I$100:$I$1198,CBIC_Late_Fee_Relief_Windows_1!$D$100:$D$1198,"&lt;="&amp;B1198,CBIC_Late_Fee_Relief_Windows_1!$E$100:$E$1198,"&gt;="&amp;B1198,CBIC_Late_Fee_Relief_Windows_1!$F$100:$F$1198,"&lt;="&amp;C1198,CBIC_Late_Fee_Relief_Windows_1!$G$100:$G$1198,"&gt;="&amp;C1198,CBIC_Late_Fee_Relief_Windows_1!$H$100:$H$1198,D1198)</f>
        <v>#NAME?</v>
      </c>
      <c r="H1198" t="e">
        <f t="shared" ca="1" si="18"/>
        <v>#NAME?</v>
      </c>
      <c r="I1198" t="e">
        <f ca="1">INDEX(CBIC_Late_Fee_Relief_Windows_1!$B$100:$B$1198,MATCH(G1198,CBIC_Late_Fee_Relief_Windows_1!$I$100:$I$1198,0))</f>
        <v>#NAME?</v>
      </c>
    </row>
    <row r="1199" spans="1:9" x14ac:dyDescent="0.55000000000000004">
      <c r="A1199" t="str">
        <f>TEST_DATA!A1199</f>
        <v>27AAAAA1199Z5</v>
      </c>
      <c r="B1199" t="str">
        <f>TEST_DATA!B1199</f>
        <v>May-2018</v>
      </c>
      <c r="C1199">
        <f>TEST_DATA!C1199</f>
        <v>43519</v>
      </c>
      <c r="D1199" t="str">
        <f>TEST_DATA!D1199</f>
        <v>NON-NIL</v>
      </c>
      <c r="E1199">
        <f>TEST_DATA!E1199</f>
        <v>546</v>
      </c>
      <c r="F1199">
        <f>MIN(E1199*119900,10000)</f>
        <v>10000</v>
      </c>
      <c r="G1199" t="e">
        <f ca="1">_xludf.MINIFS(CBIC_Late_Fee_Relief_Windows_1!$I$100:$I$1199,CBIC_Late_Fee_Relief_Windows_1!$D$100:$D$1199,"&lt;="&amp;B1199,CBIC_Late_Fee_Relief_Windows_1!$E$100:$E$1199,"&gt;="&amp;B1199,CBIC_Late_Fee_Relief_Windows_1!$F$100:$F$1199,"&lt;="&amp;C1199,CBIC_Late_Fee_Relief_Windows_1!$G$100:$G$1199,"&gt;="&amp;C1199,CBIC_Late_Fee_Relief_Windows_1!$H$100:$H$1199,D1199)</f>
        <v>#NAME?</v>
      </c>
      <c r="H1199" t="e">
        <f t="shared" ca="1" si="18"/>
        <v>#NAME?</v>
      </c>
      <c r="I1199" t="e">
        <f ca="1">INDEX(CBIC_Late_Fee_Relief_Windows_1!$B$100:$B$1199,MATCH(G1199,CBIC_Late_Fee_Relief_Windows_1!$I$100:$I$1199,0))</f>
        <v>#NAME?</v>
      </c>
    </row>
    <row r="1200" spans="1:9" x14ac:dyDescent="0.55000000000000004">
      <c r="A1200" t="str">
        <f>TEST_DATA!A1200</f>
        <v>27AAAAA1200Z5</v>
      </c>
      <c r="B1200" t="str">
        <f>TEST_DATA!B1200</f>
        <v>Nov-2017</v>
      </c>
      <c r="C1200">
        <f>TEST_DATA!C1200</f>
        <v>43762</v>
      </c>
      <c r="D1200" t="str">
        <f>TEST_DATA!D1200</f>
        <v>NON-NIL</v>
      </c>
      <c r="E1200">
        <f>TEST_DATA!E1200</f>
        <v>2873</v>
      </c>
      <c r="F1200">
        <f>MIN(E1200*120000,10000)</f>
        <v>10000</v>
      </c>
      <c r="G1200" t="e">
        <f ca="1">_xludf.MINIFS(CBIC_Late_Fee_Relief_Windows_1!$I$100:$I$1200,CBIC_Late_Fee_Relief_Windows_1!$D$100:$D$1200,"&lt;="&amp;B1200,CBIC_Late_Fee_Relief_Windows_1!$E$100:$E$1200,"&gt;="&amp;B1200,CBIC_Late_Fee_Relief_Windows_1!$F$100:$F$1200,"&lt;="&amp;C1200,CBIC_Late_Fee_Relief_Windows_1!$G$100:$G$1200,"&gt;="&amp;C1200,CBIC_Late_Fee_Relief_Windows_1!$H$100:$H$1200,D1200)</f>
        <v>#NAME?</v>
      </c>
      <c r="H1200" t="e">
        <f t="shared" ca="1" si="18"/>
        <v>#NAME?</v>
      </c>
      <c r="I1200" t="e">
        <f ca="1">INDEX(CBIC_Late_Fee_Relief_Windows_1!$B$100:$B$1200,MATCH(G1200,CBIC_Late_Fee_Relief_Windows_1!$I$100:$I$1200,0))</f>
        <v>#NAME?</v>
      </c>
    </row>
    <row r="1201" spans="1:9" x14ac:dyDescent="0.55000000000000004">
      <c r="A1201" t="str">
        <f>TEST_DATA!A1201</f>
        <v>27AAAAA1201Z5</v>
      </c>
      <c r="B1201" t="str">
        <f>TEST_DATA!B1201</f>
        <v>Dec-2019</v>
      </c>
      <c r="C1201">
        <f>TEST_DATA!C1201</f>
        <v>44751</v>
      </c>
      <c r="D1201" t="str">
        <f>TEST_DATA!D1201</f>
        <v>NIL</v>
      </c>
      <c r="E1201">
        <f>TEST_DATA!E1201</f>
        <v>822</v>
      </c>
      <c r="F1201">
        <f>MIN(E1201*120100,10000)</f>
        <v>10000</v>
      </c>
      <c r="G1201" t="e">
        <f ca="1">_xludf.MINIFS(CBIC_Late_Fee_Relief_Windows_1!$I$100:$I$1201,CBIC_Late_Fee_Relief_Windows_1!$D$100:$D$1201,"&lt;="&amp;B1201,CBIC_Late_Fee_Relief_Windows_1!$E$100:$E$1201,"&gt;="&amp;B1201,CBIC_Late_Fee_Relief_Windows_1!$F$100:$F$1201,"&lt;="&amp;C1201,CBIC_Late_Fee_Relief_Windows_1!$G$100:$G$1201,"&gt;="&amp;C1201,CBIC_Late_Fee_Relief_Windows_1!$H$100:$H$1201,D1201)</f>
        <v>#NAME?</v>
      </c>
      <c r="H1201" t="e">
        <f t="shared" ca="1" si="18"/>
        <v>#NAME?</v>
      </c>
      <c r="I1201" t="e">
        <f ca="1">INDEX(CBIC_Late_Fee_Relief_Windows_1!$B$100:$B$1201,MATCH(G1201,CBIC_Late_Fee_Relief_Windows_1!$I$100:$I$1201,0))</f>
        <v>#NAME?</v>
      </c>
    </row>
    <row r="1202" spans="1:9" x14ac:dyDescent="0.55000000000000004">
      <c r="A1202" t="str">
        <f>TEST_DATA!A1202</f>
        <v>27AAAAA1202Z5</v>
      </c>
      <c r="B1202" t="str">
        <f>TEST_DATA!B1202</f>
        <v>Jan-2018</v>
      </c>
      <c r="C1202">
        <f>TEST_DATA!C1202</f>
        <v>44195</v>
      </c>
      <c r="D1202" t="str">
        <f>TEST_DATA!D1202</f>
        <v>NON-NIL</v>
      </c>
      <c r="E1202">
        <f>TEST_DATA!E1202</f>
        <v>2812</v>
      </c>
      <c r="F1202">
        <f>MIN(E1202*120200,10000)</f>
        <v>10000</v>
      </c>
      <c r="G1202" t="e">
        <f ca="1">_xludf.MINIFS(CBIC_Late_Fee_Relief_Windows_1!$I$100:$I$1202,CBIC_Late_Fee_Relief_Windows_1!$D$100:$D$1202,"&lt;="&amp;B1202,CBIC_Late_Fee_Relief_Windows_1!$E$100:$E$1202,"&gt;="&amp;B1202,CBIC_Late_Fee_Relief_Windows_1!$F$100:$F$1202,"&lt;="&amp;C1202,CBIC_Late_Fee_Relief_Windows_1!$G$100:$G$1202,"&gt;="&amp;C1202,CBIC_Late_Fee_Relief_Windows_1!$H$100:$H$1202,D1202)</f>
        <v>#NAME?</v>
      </c>
      <c r="H1202" t="e">
        <f t="shared" ca="1" si="18"/>
        <v>#NAME?</v>
      </c>
      <c r="I1202" t="e">
        <f ca="1">INDEX(CBIC_Late_Fee_Relief_Windows_1!$B$100:$B$1202,MATCH(G1202,CBIC_Late_Fee_Relief_Windows_1!$I$100:$I$1202,0))</f>
        <v>#NAME?</v>
      </c>
    </row>
    <row r="1203" spans="1:9" x14ac:dyDescent="0.55000000000000004">
      <c r="A1203" t="str">
        <f>TEST_DATA!A1203</f>
        <v>27AAAAA1203Z5</v>
      </c>
      <c r="B1203" t="str">
        <f>TEST_DATA!B1203</f>
        <v>Jun-2018</v>
      </c>
      <c r="C1203">
        <f>TEST_DATA!C1203</f>
        <v>44294</v>
      </c>
      <c r="D1203" t="str">
        <f>TEST_DATA!D1203</f>
        <v>NIL</v>
      </c>
      <c r="E1203">
        <f>TEST_DATA!E1203</f>
        <v>2909</v>
      </c>
      <c r="F1203">
        <f>MIN(E1203*120300,10000)</f>
        <v>10000</v>
      </c>
      <c r="G1203" t="e">
        <f ca="1">_xludf.MINIFS(CBIC_Late_Fee_Relief_Windows_1!$I$100:$I$1203,CBIC_Late_Fee_Relief_Windows_1!$D$100:$D$1203,"&lt;="&amp;B1203,CBIC_Late_Fee_Relief_Windows_1!$E$100:$E$1203,"&gt;="&amp;B1203,CBIC_Late_Fee_Relief_Windows_1!$F$100:$F$1203,"&lt;="&amp;C1203,CBIC_Late_Fee_Relief_Windows_1!$G$100:$G$1203,"&gt;="&amp;C1203,CBIC_Late_Fee_Relief_Windows_1!$H$100:$H$1203,D1203)</f>
        <v>#NAME?</v>
      </c>
      <c r="H1203" t="e">
        <f t="shared" ca="1" si="18"/>
        <v>#NAME?</v>
      </c>
      <c r="I1203" t="e">
        <f ca="1">INDEX(CBIC_Late_Fee_Relief_Windows_1!$B$100:$B$1203,MATCH(G1203,CBIC_Late_Fee_Relief_Windows_1!$I$100:$I$1203,0))</f>
        <v>#NAME?</v>
      </c>
    </row>
    <row r="1204" spans="1:9" x14ac:dyDescent="0.55000000000000004">
      <c r="A1204" t="str">
        <f>TEST_DATA!A1204</f>
        <v>27AAAAA1204Z5</v>
      </c>
      <c r="B1204" t="str">
        <f>TEST_DATA!B1204</f>
        <v>May-2020</v>
      </c>
      <c r="C1204">
        <f>TEST_DATA!C1204</f>
        <v>44195</v>
      </c>
      <c r="D1204" t="str">
        <f>TEST_DATA!D1204</f>
        <v>NON-NIL</v>
      </c>
      <c r="E1204">
        <f>TEST_DATA!E1204</f>
        <v>2909</v>
      </c>
      <c r="F1204">
        <f>MIN(E1204*120400,10000)</f>
        <v>10000</v>
      </c>
      <c r="G1204" t="e">
        <f ca="1">_xludf.MINIFS(CBIC_Late_Fee_Relief_Windows_1!$I$100:$I$1204,CBIC_Late_Fee_Relief_Windows_1!$D$100:$D$1204,"&lt;="&amp;B1204,CBIC_Late_Fee_Relief_Windows_1!$E$100:$E$1204,"&gt;="&amp;B1204,CBIC_Late_Fee_Relief_Windows_1!$F$100:$F$1204,"&lt;="&amp;C1204,CBIC_Late_Fee_Relief_Windows_1!$G$100:$G$1204,"&gt;="&amp;C1204,CBIC_Late_Fee_Relief_Windows_1!$H$100:$H$1204,D1204)</f>
        <v>#NAME?</v>
      </c>
      <c r="H1204" t="e">
        <f t="shared" ca="1" si="18"/>
        <v>#NAME?</v>
      </c>
      <c r="I1204" t="e">
        <f ca="1">INDEX(CBIC_Late_Fee_Relief_Windows_1!$B$100:$B$1204,MATCH(G1204,CBIC_Late_Fee_Relief_Windows_1!$I$100:$I$1204,0))</f>
        <v>#NAME?</v>
      </c>
    </row>
    <row r="1205" spans="1:9" x14ac:dyDescent="0.55000000000000004">
      <c r="A1205" t="str">
        <f>TEST_DATA!A1205</f>
        <v>27AAAAA1205Z5</v>
      </c>
      <c r="B1205" t="str">
        <f>TEST_DATA!B1205</f>
        <v>Oct-2017</v>
      </c>
      <c r="C1205">
        <f>TEST_DATA!C1205</f>
        <v>44475</v>
      </c>
      <c r="D1205" t="str">
        <f>TEST_DATA!D1205</f>
        <v>NON-NIL</v>
      </c>
      <c r="E1205">
        <f>TEST_DATA!E1205</f>
        <v>2303</v>
      </c>
      <c r="F1205">
        <f>MIN(E1205*120500,10000)</f>
        <v>10000</v>
      </c>
      <c r="G1205" t="e">
        <f ca="1">_xludf.MINIFS(CBIC_Late_Fee_Relief_Windows_1!$I$100:$I$1205,CBIC_Late_Fee_Relief_Windows_1!$D$100:$D$1205,"&lt;="&amp;B1205,CBIC_Late_Fee_Relief_Windows_1!$E$100:$E$1205,"&gt;="&amp;B1205,CBIC_Late_Fee_Relief_Windows_1!$F$100:$F$1205,"&lt;="&amp;C1205,CBIC_Late_Fee_Relief_Windows_1!$G$100:$G$1205,"&gt;="&amp;C1205,CBIC_Late_Fee_Relief_Windows_1!$H$100:$H$1205,D1205)</f>
        <v>#NAME?</v>
      </c>
      <c r="H1205" t="e">
        <f t="shared" ca="1" si="18"/>
        <v>#NAME?</v>
      </c>
      <c r="I1205" t="e">
        <f ca="1">INDEX(CBIC_Late_Fee_Relief_Windows_1!$B$100:$B$1205,MATCH(G1205,CBIC_Late_Fee_Relief_Windows_1!$I$100:$I$1205,0))</f>
        <v>#NAME?</v>
      </c>
    </row>
    <row r="1206" spans="1:9" x14ac:dyDescent="0.55000000000000004">
      <c r="A1206" t="str">
        <f>TEST_DATA!A1206</f>
        <v>27AAAAA1206Z5</v>
      </c>
      <c r="B1206" t="str">
        <f>TEST_DATA!B1206</f>
        <v>Jan-2019</v>
      </c>
      <c r="C1206">
        <f>TEST_DATA!C1206</f>
        <v>45803</v>
      </c>
      <c r="D1206" t="str">
        <f>TEST_DATA!D1206</f>
        <v>NON-NIL</v>
      </c>
      <c r="E1206">
        <f>TEST_DATA!E1206</f>
        <v>2761</v>
      </c>
      <c r="F1206">
        <f>MIN(E1206*120600,10000)</f>
        <v>10000</v>
      </c>
      <c r="G1206" t="e">
        <f ca="1">_xludf.MINIFS(CBIC_Late_Fee_Relief_Windows_1!$I$100:$I$1206,CBIC_Late_Fee_Relief_Windows_1!$D$100:$D$1206,"&lt;="&amp;B1206,CBIC_Late_Fee_Relief_Windows_1!$E$100:$E$1206,"&gt;="&amp;B1206,CBIC_Late_Fee_Relief_Windows_1!$F$100:$F$1206,"&lt;="&amp;C1206,CBIC_Late_Fee_Relief_Windows_1!$G$100:$G$1206,"&gt;="&amp;C1206,CBIC_Late_Fee_Relief_Windows_1!$H$100:$H$1206,D1206)</f>
        <v>#NAME?</v>
      </c>
      <c r="H1206" t="e">
        <f t="shared" ca="1" si="18"/>
        <v>#NAME?</v>
      </c>
      <c r="I1206" t="e">
        <f ca="1">INDEX(CBIC_Late_Fee_Relief_Windows_1!$B$100:$B$1206,MATCH(G1206,CBIC_Late_Fee_Relief_Windows_1!$I$100:$I$1206,0))</f>
        <v>#NAME?</v>
      </c>
    </row>
    <row r="1207" spans="1:9" x14ac:dyDescent="0.55000000000000004">
      <c r="A1207" t="str">
        <f>TEST_DATA!A1207</f>
        <v>27AAAAA1207Z5</v>
      </c>
      <c r="B1207" t="str">
        <f>TEST_DATA!B1207</f>
        <v>Jan-2021</v>
      </c>
      <c r="C1207">
        <f>TEST_DATA!C1207</f>
        <v>45652</v>
      </c>
      <c r="D1207" t="str">
        <f>TEST_DATA!D1207</f>
        <v>NON-NIL</v>
      </c>
      <c r="E1207">
        <f>TEST_DATA!E1207</f>
        <v>1730</v>
      </c>
      <c r="F1207">
        <f>MIN(E1207*120700,10000)</f>
        <v>10000</v>
      </c>
      <c r="G1207" t="e">
        <f ca="1">_xludf.MINIFS(CBIC_Late_Fee_Relief_Windows_1!$I$100:$I$1207,CBIC_Late_Fee_Relief_Windows_1!$D$100:$D$1207,"&lt;="&amp;B1207,CBIC_Late_Fee_Relief_Windows_1!$E$100:$E$1207,"&gt;="&amp;B1207,CBIC_Late_Fee_Relief_Windows_1!$F$100:$F$1207,"&lt;="&amp;C1207,CBIC_Late_Fee_Relief_Windows_1!$G$100:$G$1207,"&gt;="&amp;C1207,CBIC_Late_Fee_Relief_Windows_1!$H$100:$H$1207,D1207)</f>
        <v>#NAME?</v>
      </c>
      <c r="H1207" t="e">
        <f t="shared" ca="1" si="18"/>
        <v>#NAME?</v>
      </c>
      <c r="I1207" t="e">
        <f ca="1">INDEX(CBIC_Late_Fee_Relief_Windows_1!$B$100:$B$1207,MATCH(G1207,CBIC_Late_Fee_Relief_Windows_1!$I$100:$I$1207,0))</f>
        <v>#NAME?</v>
      </c>
    </row>
    <row r="1208" spans="1:9" x14ac:dyDescent="0.55000000000000004">
      <c r="A1208" t="str">
        <f>TEST_DATA!A1208</f>
        <v>27AAAAA1208Z5</v>
      </c>
      <c r="B1208" t="str">
        <f>TEST_DATA!B1208</f>
        <v>Apr-2021</v>
      </c>
      <c r="C1208">
        <f>TEST_DATA!C1208</f>
        <v>43518</v>
      </c>
      <c r="D1208" t="str">
        <f>TEST_DATA!D1208</f>
        <v>NIL</v>
      </c>
      <c r="E1208">
        <f>TEST_DATA!E1208</f>
        <v>103</v>
      </c>
      <c r="F1208">
        <f>MIN(E1208*120800,10000)</f>
        <v>10000</v>
      </c>
      <c r="G1208" t="e">
        <f ca="1">_xludf.MINIFS(CBIC_Late_Fee_Relief_Windows_1!$I$100:$I$1208,CBIC_Late_Fee_Relief_Windows_1!$D$100:$D$1208,"&lt;="&amp;B1208,CBIC_Late_Fee_Relief_Windows_1!$E$100:$E$1208,"&gt;="&amp;B1208,CBIC_Late_Fee_Relief_Windows_1!$F$100:$F$1208,"&lt;="&amp;C1208,CBIC_Late_Fee_Relief_Windows_1!$G$100:$G$1208,"&gt;="&amp;C1208,CBIC_Late_Fee_Relief_Windows_1!$H$100:$H$1208,D1208)</f>
        <v>#NAME?</v>
      </c>
      <c r="H1208" t="e">
        <f t="shared" ca="1" si="18"/>
        <v>#NAME?</v>
      </c>
      <c r="I1208" t="e">
        <f ca="1">INDEX(CBIC_Late_Fee_Relief_Windows_1!$B$100:$B$1208,MATCH(G1208,CBIC_Late_Fee_Relief_Windows_1!$I$100:$I$1208,0))</f>
        <v>#NAME?</v>
      </c>
    </row>
    <row r="1209" spans="1:9" x14ac:dyDescent="0.55000000000000004">
      <c r="A1209" t="str">
        <f>TEST_DATA!A1209</f>
        <v>27AAAAA1209Z5</v>
      </c>
      <c r="B1209" t="str">
        <f>TEST_DATA!B1209</f>
        <v>Jul-2018</v>
      </c>
      <c r="C1209">
        <f>TEST_DATA!C1209</f>
        <v>43214</v>
      </c>
      <c r="D1209" t="str">
        <f>TEST_DATA!D1209</f>
        <v>NIL</v>
      </c>
      <c r="E1209">
        <f>TEST_DATA!E1209</f>
        <v>2745</v>
      </c>
      <c r="F1209">
        <f>MIN(E1209*120900,10000)</f>
        <v>10000</v>
      </c>
      <c r="G1209" t="e">
        <f ca="1">_xludf.MINIFS(CBIC_Late_Fee_Relief_Windows_1!$I$100:$I$1209,CBIC_Late_Fee_Relief_Windows_1!$D$100:$D$1209,"&lt;="&amp;B1209,CBIC_Late_Fee_Relief_Windows_1!$E$100:$E$1209,"&gt;="&amp;B1209,CBIC_Late_Fee_Relief_Windows_1!$F$100:$F$1209,"&lt;="&amp;C1209,CBIC_Late_Fee_Relief_Windows_1!$G$100:$G$1209,"&gt;="&amp;C1209,CBIC_Late_Fee_Relief_Windows_1!$H$100:$H$1209,D1209)</f>
        <v>#NAME?</v>
      </c>
      <c r="H1209" t="e">
        <f t="shared" ca="1" si="18"/>
        <v>#NAME?</v>
      </c>
      <c r="I1209" t="e">
        <f ca="1">INDEX(CBIC_Late_Fee_Relief_Windows_1!$B$100:$B$1209,MATCH(G1209,CBIC_Late_Fee_Relief_Windows_1!$I$100:$I$1209,0))</f>
        <v>#NAME?</v>
      </c>
    </row>
    <row r="1210" spans="1:9" x14ac:dyDescent="0.55000000000000004">
      <c r="A1210" t="str">
        <f>TEST_DATA!A1210</f>
        <v>27AAAAA1210Z5</v>
      </c>
      <c r="B1210" t="str">
        <f>TEST_DATA!B1210</f>
        <v>Aug-2017</v>
      </c>
      <c r="C1210">
        <f>TEST_DATA!C1210</f>
        <v>43326</v>
      </c>
      <c r="D1210" t="str">
        <f>TEST_DATA!D1210</f>
        <v>NON-NIL</v>
      </c>
      <c r="E1210">
        <f>TEST_DATA!E1210</f>
        <v>659</v>
      </c>
      <c r="F1210">
        <f>MIN(E1210*121000,10000)</f>
        <v>10000</v>
      </c>
      <c r="G1210" t="e">
        <f ca="1">_xludf.MINIFS(CBIC_Late_Fee_Relief_Windows_1!$I$100:$I$1210,CBIC_Late_Fee_Relief_Windows_1!$D$100:$D$1210,"&lt;="&amp;B1210,CBIC_Late_Fee_Relief_Windows_1!$E$100:$E$1210,"&gt;="&amp;B1210,CBIC_Late_Fee_Relief_Windows_1!$F$100:$F$1210,"&lt;="&amp;C1210,CBIC_Late_Fee_Relief_Windows_1!$G$100:$G$1210,"&gt;="&amp;C1210,CBIC_Late_Fee_Relief_Windows_1!$H$100:$H$1210,D1210)</f>
        <v>#NAME?</v>
      </c>
      <c r="H1210" t="e">
        <f t="shared" ca="1" si="18"/>
        <v>#NAME?</v>
      </c>
      <c r="I1210" t="e">
        <f ca="1">INDEX(CBIC_Late_Fee_Relief_Windows_1!$B$100:$B$1210,MATCH(G1210,CBIC_Late_Fee_Relief_Windows_1!$I$100:$I$1210,0))</f>
        <v>#NAME?</v>
      </c>
    </row>
    <row r="1211" spans="1:9" x14ac:dyDescent="0.55000000000000004">
      <c r="A1211" t="str">
        <f>TEST_DATA!A1211</f>
        <v>27AAAAA1211Z5</v>
      </c>
      <c r="B1211" t="str">
        <f>TEST_DATA!B1211</f>
        <v>Apr-2018</v>
      </c>
      <c r="C1211">
        <f>TEST_DATA!C1211</f>
        <v>44316</v>
      </c>
      <c r="D1211" t="str">
        <f>TEST_DATA!D1211</f>
        <v>NON-NIL</v>
      </c>
      <c r="E1211">
        <f>TEST_DATA!E1211</f>
        <v>599</v>
      </c>
      <c r="F1211">
        <f>MIN(E1211*121100,10000)</f>
        <v>10000</v>
      </c>
      <c r="G1211" t="e">
        <f ca="1">_xludf.MINIFS(CBIC_Late_Fee_Relief_Windows_1!$I$100:$I$1211,CBIC_Late_Fee_Relief_Windows_1!$D$100:$D$1211,"&lt;="&amp;B1211,CBIC_Late_Fee_Relief_Windows_1!$E$100:$E$1211,"&gt;="&amp;B1211,CBIC_Late_Fee_Relief_Windows_1!$F$100:$F$1211,"&lt;="&amp;C1211,CBIC_Late_Fee_Relief_Windows_1!$G$100:$G$1211,"&gt;="&amp;C1211,CBIC_Late_Fee_Relief_Windows_1!$H$100:$H$1211,D1211)</f>
        <v>#NAME?</v>
      </c>
      <c r="H1211" t="e">
        <f t="shared" ca="1" si="18"/>
        <v>#NAME?</v>
      </c>
      <c r="I1211" t="e">
        <f ca="1">INDEX(CBIC_Late_Fee_Relief_Windows_1!$B$100:$B$1211,MATCH(G1211,CBIC_Late_Fee_Relief_Windows_1!$I$100:$I$1211,0))</f>
        <v>#NAME?</v>
      </c>
    </row>
    <row r="1212" spans="1:9" x14ac:dyDescent="0.55000000000000004">
      <c r="A1212" t="str">
        <f>TEST_DATA!A1212</f>
        <v>27AAAAA1212Z5</v>
      </c>
      <c r="B1212" t="str">
        <f>TEST_DATA!B1212</f>
        <v>Dec-2022</v>
      </c>
      <c r="C1212">
        <f>TEST_DATA!C1212</f>
        <v>43720</v>
      </c>
      <c r="D1212" t="str">
        <f>TEST_DATA!D1212</f>
        <v>NON-NIL</v>
      </c>
      <c r="E1212">
        <f>TEST_DATA!E1212</f>
        <v>835</v>
      </c>
      <c r="F1212">
        <f>MIN(E1212*121200,10000)</f>
        <v>10000</v>
      </c>
      <c r="G1212" t="e">
        <f ca="1">_xludf.MINIFS(CBIC_Late_Fee_Relief_Windows_1!$I$100:$I$1212,CBIC_Late_Fee_Relief_Windows_1!$D$100:$D$1212,"&lt;="&amp;B1212,CBIC_Late_Fee_Relief_Windows_1!$E$100:$E$1212,"&gt;="&amp;B1212,CBIC_Late_Fee_Relief_Windows_1!$F$100:$F$1212,"&lt;="&amp;C1212,CBIC_Late_Fee_Relief_Windows_1!$G$100:$G$1212,"&gt;="&amp;C1212,CBIC_Late_Fee_Relief_Windows_1!$H$100:$H$1212,D1212)</f>
        <v>#NAME?</v>
      </c>
      <c r="H1212" t="e">
        <f t="shared" ca="1" si="18"/>
        <v>#NAME?</v>
      </c>
      <c r="I1212" t="e">
        <f ca="1">INDEX(CBIC_Late_Fee_Relief_Windows_1!$B$100:$B$1212,MATCH(G1212,CBIC_Late_Fee_Relief_Windows_1!$I$100:$I$1212,0))</f>
        <v>#NAME?</v>
      </c>
    </row>
    <row r="1213" spans="1:9" x14ac:dyDescent="0.55000000000000004">
      <c r="A1213" t="str">
        <f>TEST_DATA!A1213</f>
        <v>27AAAAA1213Z5</v>
      </c>
      <c r="B1213" t="str">
        <f>TEST_DATA!B1213</f>
        <v>Mar-2021</v>
      </c>
      <c r="C1213">
        <f>TEST_DATA!C1213</f>
        <v>45682</v>
      </c>
      <c r="D1213" t="str">
        <f>TEST_DATA!D1213</f>
        <v>NIL</v>
      </c>
      <c r="E1213">
        <f>TEST_DATA!E1213</f>
        <v>1469</v>
      </c>
      <c r="F1213">
        <f>MIN(E1213*121300,10000)</f>
        <v>10000</v>
      </c>
      <c r="G1213" t="e">
        <f ca="1">_xludf.MINIFS(CBIC_Late_Fee_Relief_Windows_1!$I$100:$I$1213,CBIC_Late_Fee_Relief_Windows_1!$D$100:$D$1213,"&lt;="&amp;B1213,CBIC_Late_Fee_Relief_Windows_1!$E$100:$E$1213,"&gt;="&amp;B1213,CBIC_Late_Fee_Relief_Windows_1!$F$100:$F$1213,"&lt;="&amp;C1213,CBIC_Late_Fee_Relief_Windows_1!$G$100:$G$1213,"&gt;="&amp;C1213,CBIC_Late_Fee_Relief_Windows_1!$H$100:$H$1213,D1213)</f>
        <v>#NAME?</v>
      </c>
      <c r="H1213" t="e">
        <f t="shared" ca="1" si="18"/>
        <v>#NAME?</v>
      </c>
      <c r="I1213" t="e">
        <f ca="1">INDEX(CBIC_Late_Fee_Relief_Windows_1!$B$100:$B$1213,MATCH(G1213,CBIC_Late_Fee_Relief_Windows_1!$I$100:$I$1213,0))</f>
        <v>#NAME?</v>
      </c>
    </row>
    <row r="1214" spans="1:9" x14ac:dyDescent="0.55000000000000004">
      <c r="A1214" t="str">
        <f>TEST_DATA!A1214</f>
        <v>27AAAAA1214Z5</v>
      </c>
      <c r="B1214" t="str">
        <f>TEST_DATA!B1214</f>
        <v>Dec-2022</v>
      </c>
      <c r="C1214">
        <f>TEST_DATA!C1214</f>
        <v>45319</v>
      </c>
      <c r="D1214" t="str">
        <f>TEST_DATA!D1214</f>
        <v>NIL</v>
      </c>
      <c r="E1214">
        <f>TEST_DATA!E1214</f>
        <v>2523</v>
      </c>
      <c r="F1214">
        <f>MIN(E1214*121400,10000)</f>
        <v>10000</v>
      </c>
      <c r="G1214" t="e">
        <f ca="1">_xludf.MINIFS(CBIC_Late_Fee_Relief_Windows_1!$I$100:$I$1214,CBIC_Late_Fee_Relief_Windows_1!$D$100:$D$1214,"&lt;="&amp;B1214,CBIC_Late_Fee_Relief_Windows_1!$E$100:$E$1214,"&gt;="&amp;B1214,CBIC_Late_Fee_Relief_Windows_1!$F$100:$F$1214,"&lt;="&amp;C1214,CBIC_Late_Fee_Relief_Windows_1!$G$100:$G$1214,"&gt;="&amp;C1214,CBIC_Late_Fee_Relief_Windows_1!$H$100:$H$1214,D1214)</f>
        <v>#NAME?</v>
      </c>
      <c r="H1214" t="e">
        <f t="shared" ca="1" si="18"/>
        <v>#NAME?</v>
      </c>
      <c r="I1214" t="e">
        <f ca="1">INDEX(CBIC_Late_Fee_Relief_Windows_1!$B$100:$B$1214,MATCH(G1214,CBIC_Late_Fee_Relief_Windows_1!$I$100:$I$1214,0))</f>
        <v>#NAME?</v>
      </c>
    </row>
    <row r="1215" spans="1:9" x14ac:dyDescent="0.55000000000000004">
      <c r="A1215" t="str">
        <f>TEST_DATA!A1215</f>
        <v>27AAAAA1215Z5</v>
      </c>
      <c r="B1215" t="str">
        <f>TEST_DATA!B1215</f>
        <v>Mar-2023</v>
      </c>
      <c r="C1215">
        <f>TEST_DATA!C1215</f>
        <v>45767</v>
      </c>
      <c r="D1215" t="str">
        <f>TEST_DATA!D1215</f>
        <v>NIL</v>
      </c>
      <c r="E1215">
        <f>TEST_DATA!E1215</f>
        <v>2650</v>
      </c>
      <c r="F1215">
        <f>MIN(E1215*121500,10000)</f>
        <v>10000</v>
      </c>
      <c r="G1215" t="e">
        <f ca="1">_xludf.MINIFS(CBIC_Late_Fee_Relief_Windows_1!$I$100:$I$1215,CBIC_Late_Fee_Relief_Windows_1!$D$100:$D$1215,"&lt;="&amp;B1215,CBIC_Late_Fee_Relief_Windows_1!$E$100:$E$1215,"&gt;="&amp;B1215,CBIC_Late_Fee_Relief_Windows_1!$F$100:$F$1215,"&lt;="&amp;C1215,CBIC_Late_Fee_Relief_Windows_1!$G$100:$G$1215,"&gt;="&amp;C1215,CBIC_Late_Fee_Relief_Windows_1!$H$100:$H$1215,D1215)</f>
        <v>#NAME?</v>
      </c>
      <c r="H1215" t="e">
        <f t="shared" ca="1" si="18"/>
        <v>#NAME?</v>
      </c>
      <c r="I1215" t="e">
        <f ca="1">INDEX(CBIC_Late_Fee_Relief_Windows_1!$B$100:$B$1215,MATCH(G1215,CBIC_Late_Fee_Relief_Windows_1!$I$100:$I$1215,0))</f>
        <v>#NAME?</v>
      </c>
    </row>
    <row r="1216" spans="1:9" x14ac:dyDescent="0.55000000000000004">
      <c r="A1216" t="str">
        <f>TEST_DATA!A1216</f>
        <v>27AAAAA1216Z5</v>
      </c>
      <c r="B1216" t="str">
        <f>TEST_DATA!B1216</f>
        <v>Dec-2019</v>
      </c>
      <c r="C1216">
        <f>TEST_DATA!C1216</f>
        <v>45058</v>
      </c>
      <c r="D1216" t="str">
        <f>TEST_DATA!D1216</f>
        <v>NIL</v>
      </c>
      <c r="E1216">
        <f>TEST_DATA!E1216</f>
        <v>2092</v>
      </c>
      <c r="F1216">
        <f>MIN(E1216*121600,10000)</f>
        <v>10000</v>
      </c>
      <c r="G1216" t="e">
        <f ca="1">_xludf.MINIFS(CBIC_Late_Fee_Relief_Windows_1!$I$100:$I$1216,CBIC_Late_Fee_Relief_Windows_1!$D$100:$D$1216,"&lt;="&amp;B1216,CBIC_Late_Fee_Relief_Windows_1!$E$100:$E$1216,"&gt;="&amp;B1216,CBIC_Late_Fee_Relief_Windows_1!$F$100:$F$1216,"&lt;="&amp;C1216,CBIC_Late_Fee_Relief_Windows_1!$G$100:$G$1216,"&gt;="&amp;C1216,CBIC_Late_Fee_Relief_Windows_1!$H$100:$H$1216,D1216)</f>
        <v>#NAME?</v>
      </c>
      <c r="H1216" t="e">
        <f t="shared" ca="1" si="18"/>
        <v>#NAME?</v>
      </c>
      <c r="I1216" t="e">
        <f ca="1">INDEX(CBIC_Late_Fee_Relief_Windows_1!$B$100:$B$1216,MATCH(G1216,CBIC_Late_Fee_Relief_Windows_1!$I$100:$I$1216,0))</f>
        <v>#NAME?</v>
      </c>
    </row>
    <row r="1217" spans="1:9" x14ac:dyDescent="0.55000000000000004">
      <c r="A1217" t="str">
        <f>TEST_DATA!A1217</f>
        <v>27AAAAA1217Z5</v>
      </c>
      <c r="B1217" t="str">
        <f>TEST_DATA!B1217</f>
        <v>Apr-2021</v>
      </c>
      <c r="C1217">
        <f>TEST_DATA!C1217</f>
        <v>44644</v>
      </c>
      <c r="D1217" t="str">
        <f>TEST_DATA!D1217</f>
        <v>NIL</v>
      </c>
      <c r="E1217">
        <f>TEST_DATA!E1217</f>
        <v>1562</v>
      </c>
      <c r="F1217">
        <f>MIN(E1217*121700,10000)</f>
        <v>10000</v>
      </c>
      <c r="G1217" t="e">
        <f ca="1">_xludf.MINIFS(CBIC_Late_Fee_Relief_Windows_1!$I$100:$I$1217,CBIC_Late_Fee_Relief_Windows_1!$D$100:$D$1217,"&lt;="&amp;B1217,CBIC_Late_Fee_Relief_Windows_1!$E$100:$E$1217,"&gt;="&amp;B1217,CBIC_Late_Fee_Relief_Windows_1!$F$100:$F$1217,"&lt;="&amp;C1217,CBIC_Late_Fee_Relief_Windows_1!$G$100:$G$1217,"&gt;="&amp;C1217,CBIC_Late_Fee_Relief_Windows_1!$H$100:$H$1217,D1217)</f>
        <v>#NAME?</v>
      </c>
      <c r="H1217" t="e">
        <f t="shared" ca="1" si="18"/>
        <v>#NAME?</v>
      </c>
      <c r="I1217" t="e">
        <f ca="1">INDEX(CBIC_Late_Fee_Relief_Windows_1!$B$100:$B$1217,MATCH(G1217,CBIC_Late_Fee_Relief_Windows_1!$I$100:$I$1217,0))</f>
        <v>#NAME?</v>
      </c>
    </row>
    <row r="1218" spans="1:9" x14ac:dyDescent="0.55000000000000004">
      <c r="A1218" t="str">
        <f>TEST_DATA!A1218</f>
        <v>27AAAAA1218Z5</v>
      </c>
      <c r="B1218" t="str">
        <f>TEST_DATA!B1218</f>
        <v>Jul-2018</v>
      </c>
      <c r="C1218">
        <f>TEST_DATA!C1218</f>
        <v>43770</v>
      </c>
      <c r="D1218" t="str">
        <f>TEST_DATA!D1218</f>
        <v>NON-NIL</v>
      </c>
      <c r="E1218">
        <f>TEST_DATA!E1218</f>
        <v>2261</v>
      </c>
      <c r="F1218">
        <f>MIN(E1218*121800,10000)</f>
        <v>10000</v>
      </c>
      <c r="G1218" t="e">
        <f ca="1">_xludf.MINIFS(CBIC_Late_Fee_Relief_Windows_1!$I$100:$I$1218,CBIC_Late_Fee_Relief_Windows_1!$D$100:$D$1218,"&lt;="&amp;B1218,CBIC_Late_Fee_Relief_Windows_1!$E$100:$E$1218,"&gt;="&amp;B1218,CBIC_Late_Fee_Relief_Windows_1!$F$100:$F$1218,"&lt;="&amp;C1218,CBIC_Late_Fee_Relief_Windows_1!$G$100:$G$1218,"&gt;="&amp;C1218,CBIC_Late_Fee_Relief_Windows_1!$H$100:$H$1218,D1218)</f>
        <v>#NAME?</v>
      </c>
      <c r="H1218" t="e">
        <f t="shared" ref="H1218:H1281" ca="1" si="19">MIN(F1218,G1218)</f>
        <v>#NAME?</v>
      </c>
      <c r="I1218" t="e">
        <f ca="1">INDEX(CBIC_Late_Fee_Relief_Windows_1!$B$100:$B$1218,MATCH(G1218,CBIC_Late_Fee_Relief_Windows_1!$I$100:$I$1218,0))</f>
        <v>#NAME?</v>
      </c>
    </row>
    <row r="1219" spans="1:9" x14ac:dyDescent="0.55000000000000004">
      <c r="A1219" t="str">
        <f>TEST_DATA!A1219</f>
        <v>27AAAAA1219Z5</v>
      </c>
      <c r="B1219" t="str">
        <f>TEST_DATA!B1219</f>
        <v>Aug-2017</v>
      </c>
      <c r="C1219">
        <f>TEST_DATA!C1219</f>
        <v>42943</v>
      </c>
      <c r="D1219" t="str">
        <f>TEST_DATA!D1219</f>
        <v>NON-NIL</v>
      </c>
      <c r="E1219">
        <f>TEST_DATA!E1219</f>
        <v>831</v>
      </c>
      <c r="F1219">
        <f>MIN(E1219*121900,10000)</f>
        <v>10000</v>
      </c>
      <c r="G1219" t="e">
        <f ca="1">_xludf.MINIFS(CBIC_Late_Fee_Relief_Windows_1!$I$100:$I$1219,CBIC_Late_Fee_Relief_Windows_1!$D$100:$D$1219,"&lt;="&amp;B1219,CBIC_Late_Fee_Relief_Windows_1!$E$100:$E$1219,"&gt;="&amp;B1219,CBIC_Late_Fee_Relief_Windows_1!$F$100:$F$1219,"&lt;="&amp;C1219,CBIC_Late_Fee_Relief_Windows_1!$G$100:$G$1219,"&gt;="&amp;C1219,CBIC_Late_Fee_Relief_Windows_1!$H$100:$H$1219,D1219)</f>
        <v>#NAME?</v>
      </c>
      <c r="H1219" t="e">
        <f t="shared" ca="1" si="19"/>
        <v>#NAME?</v>
      </c>
      <c r="I1219" t="e">
        <f ca="1">INDEX(CBIC_Late_Fee_Relief_Windows_1!$B$100:$B$1219,MATCH(G1219,CBIC_Late_Fee_Relief_Windows_1!$I$100:$I$1219,0))</f>
        <v>#NAME?</v>
      </c>
    </row>
    <row r="1220" spans="1:9" x14ac:dyDescent="0.55000000000000004">
      <c r="A1220" t="str">
        <f>TEST_DATA!A1220</f>
        <v>27AAAAA1220Z5</v>
      </c>
      <c r="B1220" t="str">
        <f>TEST_DATA!B1220</f>
        <v>Apr-2020</v>
      </c>
      <c r="C1220">
        <f>TEST_DATA!C1220</f>
        <v>44738</v>
      </c>
      <c r="D1220" t="str">
        <f>TEST_DATA!D1220</f>
        <v>NIL</v>
      </c>
      <c r="E1220">
        <f>TEST_DATA!E1220</f>
        <v>2595</v>
      </c>
      <c r="F1220">
        <f>MIN(E1220*122000,10000)</f>
        <v>10000</v>
      </c>
      <c r="G1220" t="e">
        <f ca="1">_xludf.MINIFS(CBIC_Late_Fee_Relief_Windows_1!$I$100:$I$1220,CBIC_Late_Fee_Relief_Windows_1!$D$100:$D$1220,"&lt;="&amp;B1220,CBIC_Late_Fee_Relief_Windows_1!$E$100:$E$1220,"&gt;="&amp;B1220,CBIC_Late_Fee_Relief_Windows_1!$F$100:$F$1220,"&lt;="&amp;C1220,CBIC_Late_Fee_Relief_Windows_1!$G$100:$G$1220,"&gt;="&amp;C1220,CBIC_Late_Fee_Relief_Windows_1!$H$100:$H$1220,D1220)</f>
        <v>#NAME?</v>
      </c>
      <c r="H1220" t="e">
        <f t="shared" ca="1" si="19"/>
        <v>#NAME?</v>
      </c>
      <c r="I1220" t="e">
        <f ca="1">INDEX(CBIC_Late_Fee_Relief_Windows_1!$B$100:$B$1220,MATCH(G1220,CBIC_Late_Fee_Relief_Windows_1!$I$100:$I$1220,0))</f>
        <v>#NAME?</v>
      </c>
    </row>
    <row r="1221" spans="1:9" x14ac:dyDescent="0.55000000000000004">
      <c r="A1221" t="str">
        <f>TEST_DATA!A1221</f>
        <v>27AAAAA1221Z5</v>
      </c>
      <c r="B1221" t="str">
        <f>TEST_DATA!B1221</f>
        <v>Jul-2020</v>
      </c>
      <c r="C1221">
        <f>TEST_DATA!C1221</f>
        <v>44584</v>
      </c>
      <c r="D1221" t="str">
        <f>TEST_DATA!D1221</f>
        <v>NIL</v>
      </c>
      <c r="E1221">
        <f>TEST_DATA!E1221</f>
        <v>2969</v>
      </c>
      <c r="F1221">
        <f>MIN(E1221*122100,10000)</f>
        <v>10000</v>
      </c>
      <c r="G1221" t="e">
        <f ca="1">_xludf.MINIFS(CBIC_Late_Fee_Relief_Windows_1!$I$100:$I$1221,CBIC_Late_Fee_Relief_Windows_1!$D$100:$D$1221,"&lt;="&amp;B1221,CBIC_Late_Fee_Relief_Windows_1!$E$100:$E$1221,"&gt;="&amp;B1221,CBIC_Late_Fee_Relief_Windows_1!$F$100:$F$1221,"&lt;="&amp;C1221,CBIC_Late_Fee_Relief_Windows_1!$G$100:$G$1221,"&gt;="&amp;C1221,CBIC_Late_Fee_Relief_Windows_1!$H$100:$H$1221,D1221)</f>
        <v>#NAME?</v>
      </c>
      <c r="H1221" t="e">
        <f t="shared" ca="1" si="19"/>
        <v>#NAME?</v>
      </c>
      <c r="I1221" t="e">
        <f ca="1">INDEX(CBIC_Late_Fee_Relief_Windows_1!$B$100:$B$1221,MATCH(G1221,CBIC_Late_Fee_Relief_Windows_1!$I$100:$I$1221,0))</f>
        <v>#NAME?</v>
      </c>
    </row>
    <row r="1222" spans="1:9" x14ac:dyDescent="0.55000000000000004">
      <c r="A1222" t="str">
        <f>TEST_DATA!A1222</f>
        <v>27AAAAA1222Z5</v>
      </c>
      <c r="B1222" t="str">
        <f>TEST_DATA!B1222</f>
        <v>Jan-2018</v>
      </c>
      <c r="C1222">
        <f>TEST_DATA!C1222</f>
        <v>43519</v>
      </c>
      <c r="D1222" t="str">
        <f>TEST_DATA!D1222</f>
        <v>NON-NIL</v>
      </c>
      <c r="E1222">
        <f>TEST_DATA!E1222</f>
        <v>726</v>
      </c>
      <c r="F1222">
        <f>MIN(E1222*122200,10000)</f>
        <v>10000</v>
      </c>
      <c r="G1222" t="e">
        <f ca="1">_xludf.MINIFS(CBIC_Late_Fee_Relief_Windows_1!$I$100:$I$1222,CBIC_Late_Fee_Relief_Windows_1!$D$100:$D$1222,"&lt;="&amp;B1222,CBIC_Late_Fee_Relief_Windows_1!$E$100:$E$1222,"&gt;="&amp;B1222,CBIC_Late_Fee_Relief_Windows_1!$F$100:$F$1222,"&lt;="&amp;C1222,CBIC_Late_Fee_Relief_Windows_1!$G$100:$G$1222,"&gt;="&amp;C1222,CBIC_Late_Fee_Relief_Windows_1!$H$100:$H$1222,D1222)</f>
        <v>#NAME?</v>
      </c>
      <c r="H1222" t="e">
        <f t="shared" ca="1" si="19"/>
        <v>#NAME?</v>
      </c>
      <c r="I1222" t="e">
        <f ca="1">INDEX(CBIC_Late_Fee_Relief_Windows_1!$B$100:$B$1222,MATCH(G1222,CBIC_Late_Fee_Relief_Windows_1!$I$100:$I$1222,0))</f>
        <v>#NAME?</v>
      </c>
    </row>
    <row r="1223" spans="1:9" x14ac:dyDescent="0.55000000000000004">
      <c r="A1223" t="str">
        <f>TEST_DATA!A1223</f>
        <v>27AAAAA1223Z5</v>
      </c>
      <c r="B1223" t="str">
        <f>TEST_DATA!B1223</f>
        <v>Jun-2020</v>
      </c>
      <c r="C1223">
        <f>TEST_DATA!C1223</f>
        <v>43983</v>
      </c>
      <c r="D1223" t="str">
        <f>TEST_DATA!D1223</f>
        <v>NIL</v>
      </c>
      <c r="E1223">
        <f>TEST_DATA!E1223</f>
        <v>711</v>
      </c>
      <c r="F1223">
        <f>MIN(E1223*122300,10000)</f>
        <v>10000</v>
      </c>
      <c r="G1223" t="e">
        <f ca="1">_xludf.MINIFS(CBIC_Late_Fee_Relief_Windows_1!$I$100:$I$1223,CBIC_Late_Fee_Relief_Windows_1!$D$100:$D$1223,"&lt;="&amp;B1223,CBIC_Late_Fee_Relief_Windows_1!$E$100:$E$1223,"&gt;="&amp;B1223,CBIC_Late_Fee_Relief_Windows_1!$F$100:$F$1223,"&lt;="&amp;C1223,CBIC_Late_Fee_Relief_Windows_1!$G$100:$G$1223,"&gt;="&amp;C1223,CBIC_Late_Fee_Relief_Windows_1!$H$100:$H$1223,D1223)</f>
        <v>#NAME?</v>
      </c>
      <c r="H1223" t="e">
        <f t="shared" ca="1" si="19"/>
        <v>#NAME?</v>
      </c>
      <c r="I1223" t="e">
        <f ca="1">INDEX(CBIC_Late_Fee_Relief_Windows_1!$B$100:$B$1223,MATCH(G1223,CBIC_Late_Fee_Relief_Windows_1!$I$100:$I$1223,0))</f>
        <v>#NAME?</v>
      </c>
    </row>
    <row r="1224" spans="1:9" x14ac:dyDescent="0.55000000000000004">
      <c r="A1224" t="str">
        <f>TEST_DATA!A1224</f>
        <v>27AAAAA1224Z5</v>
      </c>
      <c r="B1224" t="str">
        <f>TEST_DATA!B1224</f>
        <v>Jan-2021</v>
      </c>
      <c r="C1224">
        <f>TEST_DATA!C1224</f>
        <v>45570</v>
      </c>
      <c r="D1224" t="str">
        <f>TEST_DATA!D1224</f>
        <v>NIL</v>
      </c>
      <c r="E1224">
        <f>TEST_DATA!E1224</f>
        <v>1545</v>
      </c>
      <c r="F1224">
        <f>MIN(E1224*122400,10000)</f>
        <v>10000</v>
      </c>
      <c r="G1224" t="e">
        <f ca="1">_xludf.MINIFS(CBIC_Late_Fee_Relief_Windows_1!$I$100:$I$1224,CBIC_Late_Fee_Relief_Windows_1!$D$100:$D$1224,"&lt;="&amp;B1224,CBIC_Late_Fee_Relief_Windows_1!$E$100:$E$1224,"&gt;="&amp;B1224,CBIC_Late_Fee_Relief_Windows_1!$F$100:$F$1224,"&lt;="&amp;C1224,CBIC_Late_Fee_Relief_Windows_1!$G$100:$G$1224,"&gt;="&amp;C1224,CBIC_Late_Fee_Relief_Windows_1!$H$100:$H$1224,D1224)</f>
        <v>#NAME?</v>
      </c>
      <c r="H1224" t="e">
        <f t="shared" ca="1" si="19"/>
        <v>#NAME?</v>
      </c>
      <c r="I1224" t="e">
        <f ca="1">INDEX(CBIC_Late_Fee_Relief_Windows_1!$B$100:$B$1224,MATCH(G1224,CBIC_Late_Fee_Relief_Windows_1!$I$100:$I$1224,0))</f>
        <v>#NAME?</v>
      </c>
    </row>
    <row r="1225" spans="1:9" x14ac:dyDescent="0.55000000000000004">
      <c r="A1225" t="str">
        <f>TEST_DATA!A1225</f>
        <v>27AAAAA1225Z5</v>
      </c>
      <c r="B1225" t="str">
        <f>TEST_DATA!B1225</f>
        <v>Aug-2017</v>
      </c>
      <c r="C1225">
        <f>TEST_DATA!C1225</f>
        <v>43794</v>
      </c>
      <c r="D1225" t="str">
        <f>TEST_DATA!D1225</f>
        <v>NON-NIL</v>
      </c>
      <c r="E1225">
        <f>TEST_DATA!E1225</f>
        <v>2279</v>
      </c>
      <c r="F1225">
        <f>MIN(E1225*122500,10000)</f>
        <v>10000</v>
      </c>
      <c r="G1225" t="e">
        <f ca="1">_xludf.MINIFS(CBIC_Late_Fee_Relief_Windows_1!$I$100:$I$1225,CBIC_Late_Fee_Relief_Windows_1!$D$100:$D$1225,"&lt;="&amp;B1225,CBIC_Late_Fee_Relief_Windows_1!$E$100:$E$1225,"&gt;="&amp;B1225,CBIC_Late_Fee_Relief_Windows_1!$F$100:$F$1225,"&lt;="&amp;C1225,CBIC_Late_Fee_Relief_Windows_1!$G$100:$G$1225,"&gt;="&amp;C1225,CBIC_Late_Fee_Relief_Windows_1!$H$100:$H$1225,D1225)</f>
        <v>#NAME?</v>
      </c>
      <c r="H1225" t="e">
        <f t="shared" ca="1" si="19"/>
        <v>#NAME?</v>
      </c>
      <c r="I1225" t="e">
        <f ca="1">INDEX(CBIC_Late_Fee_Relief_Windows_1!$B$100:$B$1225,MATCH(G1225,CBIC_Late_Fee_Relief_Windows_1!$I$100:$I$1225,0))</f>
        <v>#NAME?</v>
      </c>
    </row>
    <row r="1226" spans="1:9" x14ac:dyDescent="0.55000000000000004">
      <c r="A1226" t="str">
        <f>TEST_DATA!A1226</f>
        <v>27AAAAA1226Z5</v>
      </c>
      <c r="B1226" t="str">
        <f>TEST_DATA!B1226</f>
        <v>Mar-2018</v>
      </c>
      <c r="C1226">
        <f>TEST_DATA!C1226</f>
        <v>43183</v>
      </c>
      <c r="D1226" t="str">
        <f>TEST_DATA!D1226</f>
        <v>NIL</v>
      </c>
      <c r="E1226">
        <f>TEST_DATA!E1226</f>
        <v>2392</v>
      </c>
      <c r="F1226">
        <f>MIN(E1226*122600,10000)</f>
        <v>10000</v>
      </c>
      <c r="G1226" t="e">
        <f ca="1">_xludf.MINIFS(CBIC_Late_Fee_Relief_Windows_1!$I$100:$I$1226,CBIC_Late_Fee_Relief_Windows_1!$D$100:$D$1226,"&lt;="&amp;B1226,CBIC_Late_Fee_Relief_Windows_1!$E$100:$E$1226,"&gt;="&amp;B1226,CBIC_Late_Fee_Relief_Windows_1!$F$100:$F$1226,"&lt;="&amp;C1226,CBIC_Late_Fee_Relief_Windows_1!$G$100:$G$1226,"&gt;="&amp;C1226,CBIC_Late_Fee_Relief_Windows_1!$H$100:$H$1226,D1226)</f>
        <v>#NAME?</v>
      </c>
      <c r="H1226" t="e">
        <f t="shared" ca="1" si="19"/>
        <v>#NAME?</v>
      </c>
      <c r="I1226" t="e">
        <f ca="1">INDEX(CBIC_Late_Fee_Relief_Windows_1!$B$100:$B$1226,MATCH(G1226,CBIC_Late_Fee_Relief_Windows_1!$I$100:$I$1226,0))</f>
        <v>#NAME?</v>
      </c>
    </row>
    <row r="1227" spans="1:9" x14ac:dyDescent="0.55000000000000004">
      <c r="A1227" t="str">
        <f>TEST_DATA!A1227</f>
        <v>27AAAAA1227Z5</v>
      </c>
      <c r="B1227" t="str">
        <f>TEST_DATA!B1227</f>
        <v>Mar-2023</v>
      </c>
      <c r="C1227">
        <f>TEST_DATA!C1227</f>
        <v>44510</v>
      </c>
      <c r="D1227" t="str">
        <f>TEST_DATA!D1227</f>
        <v>NIL</v>
      </c>
      <c r="E1227">
        <f>TEST_DATA!E1227</f>
        <v>1353</v>
      </c>
      <c r="F1227">
        <f>MIN(E1227*122700,10000)</f>
        <v>10000</v>
      </c>
      <c r="G1227" t="e">
        <f ca="1">_xludf.MINIFS(CBIC_Late_Fee_Relief_Windows_1!$I$100:$I$1227,CBIC_Late_Fee_Relief_Windows_1!$D$100:$D$1227,"&lt;="&amp;B1227,CBIC_Late_Fee_Relief_Windows_1!$E$100:$E$1227,"&gt;="&amp;B1227,CBIC_Late_Fee_Relief_Windows_1!$F$100:$F$1227,"&lt;="&amp;C1227,CBIC_Late_Fee_Relief_Windows_1!$G$100:$G$1227,"&gt;="&amp;C1227,CBIC_Late_Fee_Relief_Windows_1!$H$100:$H$1227,D1227)</f>
        <v>#NAME?</v>
      </c>
      <c r="H1227" t="e">
        <f t="shared" ca="1" si="19"/>
        <v>#NAME?</v>
      </c>
      <c r="I1227" t="e">
        <f ca="1">INDEX(CBIC_Late_Fee_Relief_Windows_1!$B$100:$B$1227,MATCH(G1227,CBIC_Late_Fee_Relief_Windows_1!$I$100:$I$1227,0))</f>
        <v>#NAME?</v>
      </c>
    </row>
    <row r="1228" spans="1:9" x14ac:dyDescent="0.55000000000000004">
      <c r="A1228" t="str">
        <f>TEST_DATA!A1228</f>
        <v>27AAAAA1228Z5</v>
      </c>
      <c r="B1228" t="str">
        <f>TEST_DATA!B1228</f>
        <v>Sep-2018</v>
      </c>
      <c r="C1228">
        <f>TEST_DATA!C1228</f>
        <v>44370</v>
      </c>
      <c r="D1228" t="str">
        <f>TEST_DATA!D1228</f>
        <v>NIL</v>
      </c>
      <c r="E1228">
        <f>TEST_DATA!E1228</f>
        <v>163</v>
      </c>
      <c r="F1228">
        <f>MIN(E1228*122800,10000)</f>
        <v>10000</v>
      </c>
      <c r="G1228" t="e">
        <f ca="1">_xludf.MINIFS(CBIC_Late_Fee_Relief_Windows_1!$I$100:$I$1228,CBIC_Late_Fee_Relief_Windows_1!$D$100:$D$1228,"&lt;="&amp;B1228,CBIC_Late_Fee_Relief_Windows_1!$E$100:$E$1228,"&gt;="&amp;B1228,CBIC_Late_Fee_Relief_Windows_1!$F$100:$F$1228,"&lt;="&amp;C1228,CBIC_Late_Fee_Relief_Windows_1!$G$100:$G$1228,"&gt;="&amp;C1228,CBIC_Late_Fee_Relief_Windows_1!$H$100:$H$1228,D1228)</f>
        <v>#NAME?</v>
      </c>
      <c r="H1228" t="e">
        <f t="shared" ca="1" si="19"/>
        <v>#NAME?</v>
      </c>
      <c r="I1228" t="e">
        <f ca="1">INDEX(CBIC_Late_Fee_Relief_Windows_1!$B$100:$B$1228,MATCH(G1228,CBIC_Late_Fee_Relief_Windows_1!$I$100:$I$1228,0))</f>
        <v>#NAME?</v>
      </c>
    </row>
    <row r="1229" spans="1:9" x14ac:dyDescent="0.55000000000000004">
      <c r="A1229" t="str">
        <f>TEST_DATA!A1229</f>
        <v>27AAAAA1229Z5</v>
      </c>
      <c r="B1229" t="str">
        <f>TEST_DATA!B1229</f>
        <v>Nov-2017</v>
      </c>
      <c r="C1229">
        <f>TEST_DATA!C1229</f>
        <v>43577</v>
      </c>
      <c r="D1229" t="str">
        <f>TEST_DATA!D1229</f>
        <v>NIL</v>
      </c>
      <c r="E1229">
        <f>TEST_DATA!E1229</f>
        <v>2561</v>
      </c>
      <c r="F1229">
        <f>MIN(E1229*122900,10000)</f>
        <v>10000</v>
      </c>
      <c r="G1229" t="e">
        <f ca="1">_xludf.MINIFS(CBIC_Late_Fee_Relief_Windows_1!$I$100:$I$1229,CBIC_Late_Fee_Relief_Windows_1!$D$100:$D$1229,"&lt;="&amp;B1229,CBIC_Late_Fee_Relief_Windows_1!$E$100:$E$1229,"&gt;="&amp;B1229,CBIC_Late_Fee_Relief_Windows_1!$F$100:$F$1229,"&lt;="&amp;C1229,CBIC_Late_Fee_Relief_Windows_1!$G$100:$G$1229,"&gt;="&amp;C1229,CBIC_Late_Fee_Relief_Windows_1!$H$100:$H$1229,D1229)</f>
        <v>#NAME?</v>
      </c>
      <c r="H1229" t="e">
        <f t="shared" ca="1" si="19"/>
        <v>#NAME?</v>
      </c>
      <c r="I1229" t="e">
        <f ca="1">INDEX(CBIC_Late_Fee_Relief_Windows_1!$B$100:$B$1229,MATCH(G1229,CBIC_Late_Fee_Relief_Windows_1!$I$100:$I$1229,0))</f>
        <v>#NAME?</v>
      </c>
    </row>
    <row r="1230" spans="1:9" x14ac:dyDescent="0.55000000000000004">
      <c r="A1230" t="str">
        <f>TEST_DATA!A1230</f>
        <v>27AAAAA1230Z5</v>
      </c>
      <c r="B1230" t="str">
        <f>TEST_DATA!B1230</f>
        <v>Apr-2020</v>
      </c>
      <c r="C1230">
        <f>TEST_DATA!C1230</f>
        <v>44447</v>
      </c>
      <c r="D1230" t="str">
        <f>TEST_DATA!D1230</f>
        <v>NON-NIL</v>
      </c>
      <c r="E1230">
        <f>TEST_DATA!E1230</f>
        <v>2345</v>
      </c>
      <c r="F1230">
        <f>MIN(E1230*123000,10000)</f>
        <v>10000</v>
      </c>
      <c r="G1230" t="e">
        <f ca="1">_xludf.MINIFS(CBIC_Late_Fee_Relief_Windows_1!$I$100:$I$1230,CBIC_Late_Fee_Relief_Windows_1!$D$100:$D$1230,"&lt;="&amp;B1230,CBIC_Late_Fee_Relief_Windows_1!$E$100:$E$1230,"&gt;="&amp;B1230,CBIC_Late_Fee_Relief_Windows_1!$F$100:$F$1230,"&lt;="&amp;C1230,CBIC_Late_Fee_Relief_Windows_1!$G$100:$G$1230,"&gt;="&amp;C1230,CBIC_Late_Fee_Relief_Windows_1!$H$100:$H$1230,D1230)</f>
        <v>#NAME?</v>
      </c>
      <c r="H1230" t="e">
        <f t="shared" ca="1" si="19"/>
        <v>#NAME?</v>
      </c>
      <c r="I1230" t="e">
        <f ca="1">INDEX(CBIC_Late_Fee_Relief_Windows_1!$B$100:$B$1230,MATCH(G1230,CBIC_Late_Fee_Relief_Windows_1!$I$100:$I$1230,0))</f>
        <v>#NAME?</v>
      </c>
    </row>
    <row r="1231" spans="1:9" x14ac:dyDescent="0.55000000000000004">
      <c r="A1231" t="str">
        <f>TEST_DATA!A1231</f>
        <v>27AAAAA1231Z5</v>
      </c>
      <c r="B1231" t="str">
        <f>TEST_DATA!B1231</f>
        <v>Dec-2019</v>
      </c>
      <c r="C1231">
        <f>TEST_DATA!C1231</f>
        <v>44932</v>
      </c>
      <c r="D1231" t="str">
        <f>TEST_DATA!D1231</f>
        <v>NIL</v>
      </c>
      <c r="E1231">
        <f>TEST_DATA!E1231</f>
        <v>2898</v>
      </c>
      <c r="F1231">
        <f>MIN(E1231*123100,10000)</f>
        <v>10000</v>
      </c>
      <c r="G1231" t="e">
        <f ca="1">_xludf.MINIFS(CBIC_Late_Fee_Relief_Windows_1!$I$100:$I$1231,CBIC_Late_Fee_Relief_Windows_1!$D$100:$D$1231,"&lt;="&amp;B1231,CBIC_Late_Fee_Relief_Windows_1!$E$100:$E$1231,"&gt;="&amp;B1231,CBIC_Late_Fee_Relief_Windows_1!$F$100:$F$1231,"&lt;="&amp;C1231,CBIC_Late_Fee_Relief_Windows_1!$G$100:$G$1231,"&gt;="&amp;C1231,CBIC_Late_Fee_Relief_Windows_1!$H$100:$H$1231,D1231)</f>
        <v>#NAME?</v>
      </c>
      <c r="H1231" t="e">
        <f t="shared" ca="1" si="19"/>
        <v>#NAME?</v>
      </c>
      <c r="I1231" t="e">
        <f ca="1">INDEX(CBIC_Late_Fee_Relief_Windows_1!$B$100:$B$1231,MATCH(G1231,CBIC_Late_Fee_Relief_Windows_1!$I$100:$I$1231,0))</f>
        <v>#NAME?</v>
      </c>
    </row>
    <row r="1232" spans="1:9" x14ac:dyDescent="0.55000000000000004">
      <c r="A1232" t="str">
        <f>TEST_DATA!A1232</f>
        <v>27AAAAA1232Z5</v>
      </c>
      <c r="B1232" t="str">
        <f>TEST_DATA!B1232</f>
        <v>May-2018</v>
      </c>
      <c r="C1232">
        <f>TEST_DATA!C1232</f>
        <v>43993</v>
      </c>
      <c r="D1232" t="str">
        <f>TEST_DATA!D1232</f>
        <v>NIL</v>
      </c>
      <c r="E1232">
        <f>TEST_DATA!E1232</f>
        <v>753</v>
      </c>
      <c r="F1232">
        <f>MIN(E1232*123200,10000)</f>
        <v>10000</v>
      </c>
      <c r="G1232" t="e">
        <f ca="1">_xludf.MINIFS(CBIC_Late_Fee_Relief_Windows_1!$I$100:$I$1232,CBIC_Late_Fee_Relief_Windows_1!$D$100:$D$1232,"&lt;="&amp;B1232,CBIC_Late_Fee_Relief_Windows_1!$E$100:$E$1232,"&gt;="&amp;B1232,CBIC_Late_Fee_Relief_Windows_1!$F$100:$F$1232,"&lt;="&amp;C1232,CBIC_Late_Fee_Relief_Windows_1!$G$100:$G$1232,"&gt;="&amp;C1232,CBIC_Late_Fee_Relief_Windows_1!$H$100:$H$1232,D1232)</f>
        <v>#NAME?</v>
      </c>
      <c r="H1232" t="e">
        <f t="shared" ca="1" si="19"/>
        <v>#NAME?</v>
      </c>
      <c r="I1232" t="e">
        <f ca="1">INDEX(CBIC_Late_Fee_Relief_Windows_1!$B$100:$B$1232,MATCH(G1232,CBIC_Late_Fee_Relief_Windows_1!$I$100:$I$1232,0))</f>
        <v>#NAME?</v>
      </c>
    </row>
    <row r="1233" spans="1:9" x14ac:dyDescent="0.55000000000000004">
      <c r="A1233" t="str">
        <f>TEST_DATA!A1233</f>
        <v>27AAAAA1233Z5</v>
      </c>
      <c r="B1233" t="str">
        <f>TEST_DATA!B1233</f>
        <v>Jun-2019</v>
      </c>
      <c r="C1233">
        <f>TEST_DATA!C1233</f>
        <v>43745</v>
      </c>
      <c r="D1233" t="str">
        <f>TEST_DATA!D1233</f>
        <v>NIL</v>
      </c>
      <c r="E1233">
        <f>TEST_DATA!E1233</f>
        <v>1703</v>
      </c>
      <c r="F1233">
        <f>MIN(E1233*123300,10000)</f>
        <v>10000</v>
      </c>
      <c r="G1233" t="e">
        <f ca="1">_xludf.MINIFS(CBIC_Late_Fee_Relief_Windows_1!$I$100:$I$1233,CBIC_Late_Fee_Relief_Windows_1!$D$100:$D$1233,"&lt;="&amp;B1233,CBIC_Late_Fee_Relief_Windows_1!$E$100:$E$1233,"&gt;="&amp;B1233,CBIC_Late_Fee_Relief_Windows_1!$F$100:$F$1233,"&lt;="&amp;C1233,CBIC_Late_Fee_Relief_Windows_1!$G$100:$G$1233,"&gt;="&amp;C1233,CBIC_Late_Fee_Relief_Windows_1!$H$100:$H$1233,D1233)</f>
        <v>#NAME?</v>
      </c>
      <c r="H1233" t="e">
        <f t="shared" ca="1" si="19"/>
        <v>#NAME?</v>
      </c>
      <c r="I1233" t="e">
        <f ca="1">INDEX(CBIC_Late_Fee_Relief_Windows_1!$B$100:$B$1233,MATCH(G1233,CBIC_Late_Fee_Relief_Windows_1!$I$100:$I$1233,0))</f>
        <v>#NAME?</v>
      </c>
    </row>
    <row r="1234" spans="1:9" x14ac:dyDescent="0.55000000000000004">
      <c r="A1234" t="str">
        <f>TEST_DATA!A1234</f>
        <v>27AAAAA1234Z5</v>
      </c>
      <c r="B1234" t="str">
        <f>TEST_DATA!B1234</f>
        <v>Dec-2019</v>
      </c>
      <c r="C1234">
        <f>TEST_DATA!C1234</f>
        <v>45665</v>
      </c>
      <c r="D1234" t="str">
        <f>TEST_DATA!D1234</f>
        <v>NON-NIL</v>
      </c>
      <c r="E1234">
        <f>TEST_DATA!E1234</f>
        <v>376</v>
      </c>
      <c r="F1234">
        <f>MIN(E1234*123400,10000)</f>
        <v>10000</v>
      </c>
      <c r="G1234" t="e">
        <f ca="1">_xludf.MINIFS(CBIC_Late_Fee_Relief_Windows_1!$I$100:$I$1234,CBIC_Late_Fee_Relief_Windows_1!$D$100:$D$1234,"&lt;="&amp;B1234,CBIC_Late_Fee_Relief_Windows_1!$E$100:$E$1234,"&gt;="&amp;B1234,CBIC_Late_Fee_Relief_Windows_1!$F$100:$F$1234,"&lt;="&amp;C1234,CBIC_Late_Fee_Relief_Windows_1!$G$100:$G$1234,"&gt;="&amp;C1234,CBIC_Late_Fee_Relief_Windows_1!$H$100:$H$1234,D1234)</f>
        <v>#NAME?</v>
      </c>
      <c r="H1234" t="e">
        <f t="shared" ca="1" si="19"/>
        <v>#NAME?</v>
      </c>
      <c r="I1234" t="e">
        <f ca="1">INDEX(CBIC_Late_Fee_Relief_Windows_1!$B$100:$B$1234,MATCH(G1234,CBIC_Late_Fee_Relief_Windows_1!$I$100:$I$1234,0))</f>
        <v>#NAME?</v>
      </c>
    </row>
    <row r="1235" spans="1:9" x14ac:dyDescent="0.55000000000000004">
      <c r="A1235" t="str">
        <f>TEST_DATA!A1235</f>
        <v>27AAAAA1235Z5</v>
      </c>
      <c r="B1235" t="str">
        <f>TEST_DATA!B1235</f>
        <v>Jun-2018</v>
      </c>
      <c r="C1235">
        <f>TEST_DATA!C1235</f>
        <v>43370</v>
      </c>
      <c r="D1235" t="str">
        <f>TEST_DATA!D1235</f>
        <v>NIL</v>
      </c>
      <c r="E1235">
        <f>TEST_DATA!E1235</f>
        <v>2717</v>
      </c>
      <c r="F1235">
        <f>MIN(E1235*123500,10000)</f>
        <v>10000</v>
      </c>
      <c r="G1235" t="e">
        <f ca="1">_xludf.MINIFS(CBIC_Late_Fee_Relief_Windows_1!$I$100:$I$1235,CBIC_Late_Fee_Relief_Windows_1!$D$100:$D$1235,"&lt;="&amp;B1235,CBIC_Late_Fee_Relief_Windows_1!$E$100:$E$1235,"&gt;="&amp;B1235,CBIC_Late_Fee_Relief_Windows_1!$F$100:$F$1235,"&lt;="&amp;C1235,CBIC_Late_Fee_Relief_Windows_1!$G$100:$G$1235,"&gt;="&amp;C1235,CBIC_Late_Fee_Relief_Windows_1!$H$100:$H$1235,D1235)</f>
        <v>#NAME?</v>
      </c>
      <c r="H1235" t="e">
        <f t="shared" ca="1" si="19"/>
        <v>#NAME?</v>
      </c>
      <c r="I1235" t="e">
        <f ca="1">INDEX(CBIC_Late_Fee_Relief_Windows_1!$B$100:$B$1235,MATCH(G1235,CBIC_Late_Fee_Relief_Windows_1!$I$100:$I$1235,0))</f>
        <v>#NAME?</v>
      </c>
    </row>
    <row r="1236" spans="1:9" x14ac:dyDescent="0.55000000000000004">
      <c r="A1236" t="str">
        <f>TEST_DATA!A1236</f>
        <v>27AAAAA1236Z5</v>
      </c>
      <c r="B1236" t="str">
        <f>TEST_DATA!B1236</f>
        <v>May-2018</v>
      </c>
      <c r="C1236">
        <f>TEST_DATA!C1236</f>
        <v>43595</v>
      </c>
      <c r="D1236" t="str">
        <f>TEST_DATA!D1236</f>
        <v>NON-NIL</v>
      </c>
      <c r="E1236">
        <f>TEST_DATA!E1236</f>
        <v>1202</v>
      </c>
      <c r="F1236">
        <f>MIN(E1236*123600,10000)</f>
        <v>10000</v>
      </c>
      <c r="G1236" t="e">
        <f ca="1">_xludf.MINIFS(CBIC_Late_Fee_Relief_Windows_1!$I$100:$I$1236,CBIC_Late_Fee_Relief_Windows_1!$D$100:$D$1236,"&lt;="&amp;B1236,CBIC_Late_Fee_Relief_Windows_1!$E$100:$E$1236,"&gt;="&amp;B1236,CBIC_Late_Fee_Relief_Windows_1!$F$100:$F$1236,"&lt;="&amp;C1236,CBIC_Late_Fee_Relief_Windows_1!$G$100:$G$1236,"&gt;="&amp;C1236,CBIC_Late_Fee_Relief_Windows_1!$H$100:$H$1236,D1236)</f>
        <v>#NAME?</v>
      </c>
      <c r="H1236" t="e">
        <f t="shared" ca="1" si="19"/>
        <v>#NAME?</v>
      </c>
      <c r="I1236" t="e">
        <f ca="1">INDEX(CBIC_Late_Fee_Relief_Windows_1!$B$100:$B$1236,MATCH(G1236,CBIC_Late_Fee_Relief_Windows_1!$I$100:$I$1236,0))</f>
        <v>#NAME?</v>
      </c>
    </row>
    <row r="1237" spans="1:9" x14ac:dyDescent="0.55000000000000004">
      <c r="A1237" t="str">
        <f>TEST_DATA!A1237</f>
        <v>27AAAAA1237Z5</v>
      </c>
      <c r="B1237" t="str">
        <f>TEST_DATA!B1237</f>
        <v>Jan-2018</v>
      </c>
      <c r="C1237">
        <f>TEST_DATA!C1237</f>
        <v>44458</v>
      </c>
      <c r="D1237" t="str">
        <f>TEST_DATA!D1237</f>
        <v>NON-NIL</v>
      </c>
      <c r="E1237">
        <f>TEST_DATA!E1237</f>
        <v>2299</v>
      </c>
      <c r="F1237">
        <f>MIN(E1237*123700,10000)</f>
        <v>10000</v>
      </c>
      <c r="G1237" t="e">
        <f ca="1">_xludf.MINIFS(CBIC_Late_Fee_Relief_Windows_1!$I$100:$I$1237,CBIC_Late_Fee_Relief_Windows_1!$D$100:$D$1237,"&lt;="&amp;B1237,CBIC_Late_Fee_Relief_Windows_1!$E$100:$E$1237,"&gt;="&amp;B1237,CBIC_Late_Fee_Relief_Windows_1!$F$100:$F$1237,"&lt;="&amp;C1237,CBIC_Late_Fee_Relief_Windows_1!$G$100:$G$1237,"&gt;="&amp;C1237,CBIC_Late_Fee_Relief_Windows_1!$H$100:$H$1237,D1237)</f>
        <v>#NAME?</v>
      </c>
      <c r="H1237" t="e">
        <f t="shared" ca="1" si="19"/>
        <v>#NAME?</v>
      </c>
      <c r="I1237" t="e">
        <f ca="1">INDEX(CBIC_Late_Fee_Relief_Windows_1!$B$100:$B$1237,MATCH(G1237,CBIC_Late_Fee_Relief_Windows_1!$I$100:$I$1237,0))</f>
        <v>#NAME?</v>
      </c>
    </row>
    <row r="1238" spans="1:9" x14ac:dyDescent="0.55000000000000004">
      <c r="A1238" t="str">
        <f>TEST_DATA!A1238</f>
        <v>27AAAAA1238Z5</v>
      </c>
      <c r="B1238" t="str">
        <f>TEST_DATA!B1238</f>
        <v>Dec-2022</v>
      </c>
      <c r="C1238">
        <f>TEST_DATA!C1238</f>
        <v>43502</v>
      </c>
      <c r="D1238" t="str">
        <f>TEST_DATA!D1238</f>
        <v>NIL</v>
      </c>
      <c r="E1238">
        <f>TEST_DATA!E1238</f>
        <v>2739</v>
      </c>
      <c r="F1238">
        <f>MIN(E1238*123800,10000)</f>
        <v>10000</v>
      </c>
      <c r="G1238" t="e">
        <f ca="1">_xludf.MINIFS(CBIC_Late_Fee_Relief_Windows_1!$I$100:$I$1238,CBIC_Late_Fee_Relief_Windows_1!$D$100:$D$1238,"&lt;="&amp;B1238,CBIC_Late_Fee_Relief_Windows_1!$E$100:$E$1238,"&gt;="&amp;B1238,CBIC_Late_Fee_Relief_Windows_1!$F$100:$F$1238,"&lt;="&amp;C1238,CBIC_Late_Fee_Relief_Windows_1!$G$100:$G$1238,"&gt;="&amp;C1238,CBIC_Late_Fee_Relief_Windows_1!$H$100:$H$1238,D1238)</f>
        <v>#NAME?</v>
      </c>
      <c r="H1238" t="e">
        <f t="shared" ca="1" si="19"/>
        <v>#NAME?</v>
      </c>
      <c r="I1238" t="e">
        <f ca="1">INDEX(CBIC_Late_Fee_Relief_Windows_1!$B$100:$B$1238,MATCH(G1238,CBIC_Late_Fee_Relief_Windows_1!$I$100:$I$1238,0))</f>
        <v>#NAME?</v>
      </c>
    </row>
    <row r="1239" spans="1:9" x14ac:dyDescent="0.55000000000000004">
      <c r="A1239" t="str">
        <f>TEST_DATA!A1239</f>
        <v>27AAAAA1239Z5</v>
      </c>
      <c r="B1239" t="str">
        <f>TEST_DATA!B1239</f>
        <v>Jun-2018</v>
      </c>
      <c r="C1239">
        <f>TEST_DATA!C1239</f>
        <v>43829</v>
      </c>
      <c r="D1239" t="str">
        <f>TEST_DATA!D1239</f>
        <v>NIL</v>
      </c>
      <c r="E1239">
        <f>TEST_DATA!E1239</f>
        <v>2630</v>
      </c>
      <c r="F1239">
        <f>MIN(E1239*123900,10000)</f>
        <v>10000</v>
      </c>
      <c r="G1239" t="e">
        <f ca="1">_xludf.MINIFS(CBIC_Late_Fee_Relief_Windows_1!$I$100:$I$1239,CBIC_Late_Fee_Relief_Windows_1!$D$100:$D$1239,"&lt;="&amp;B1239,CBIC_Late_Fee_Relief_Windows_1!$E$100:$E$1239,"&gt;="&amp;B1239,CBIC_Late_Fee_Relief_Windows_1!$F$100:$F$1239,"&lt;="&amp;C1239,CBIC_Late_Fee_Relief_Windows_1!$G$100:$G$1239,"&gt;="&amp;C1239,CBIC_Late_Fee_Relief_Windows_1!$H$100:$H$1239,D1239)</f>
        <v>#NAME?</v>
      </c>
      <c r="H1239" t="e">
        <f t="shared" ca="1" si="19"/>
        <v>#NAME?</v>
      </c>
      <c r="I1239" t="e">
        <f ca="1">INDEX(CBIC_Late_Fee_Relief_Windows_1!$B$100:$B$1239,MATCH(G1239,CBIC_Late_Fee_Relief_Windows_1!$I$100:$I$1239,0))</f>
        <v>#NAME?</v>
      </c>
    </row>
    <row r="1240" spans="1:9" x14ac:dyDescent="0.55000000000000004">
      <c r="A1240" t="str">
        <f>TEST_DATA!A1240</f>
        <v>27AAAAA1240Z5</v>
      </c>
      <c r="B1240" t="str">
        <f>TEST_DATA!B1240</f>
        <v>Apr-2020</v>
      </c>
      <c r="C1240">
        <f>TEST_DATA!C1240</f>
        <v>44330</v>
      </c>
      <c r="D1240" t="str">
        <f>TEST_DATA!D1240</f>
        <v>NIL</v>
      </c>
      <c r="E1240">
        <f>TEST_DATA!E1240</f>
        <v>2795</v>
      </c>
      <c r="F1240">
        <f>MIN(E1240*124000,10000)</f>
        <v>10000</v>
      </c>
      <c r="G1240" t="e">
        <f ca="1">_xludf.MINIFS(CBIC_Late_Fee_Relief_Windows_1!$I$100:$I$1240,CBIC_Late_Fee_Relief_Windows_1!$D$100:$D$1240,"&lt;="&amp;B1240,CBIC_Late_Fee_Relief_Windows_1!$E$100:$E$1240,"&gt;="&amp;B1240,CBIC_Late_Fee_Relief_Windows_1!$F$100:$F$1240,"&lt;="&amp;C1240,CBIC_Late_Fee_Relief_Windows_1!$G$100:$G$1240,"&gt;="&amp;C1240,CBIC_Late_Fee_Relief_Windows_1!$H$100:$H$1240,D1240)</f>
        <v>#NAME?</v>
      </c>
      <c r="H1240" t="e">
        <f t="shared" ca="1" si="19"/>
        <v>#NAME?</v>
      </c>
      <c r="I1240" t="e">
        <f ca="1">INDEX(CBIC_Late_Fee_Relief_Windows_1!$B$100:$B$1240,MATCH(G1240,CBIC_Late_Fee_Relief_Windows_1!$I$100:$I$1240,0))</f>
        <v>#NAME?</v>
      </c>
    </row>
    <row r="1241" spans="1:9" x14ac:dyDescent="0.55000000000000004">
      <c r="A1241" t="str">
        <f>TEST_DATA!A1241</f>
        <v>27AAAAA1241Z5</v>
      </c>
      <c r="B1241" t="str">
        <f>TEST_DATA!B1241</f>
        <v>Dec-2024</v>
      </c>
      <c r="C1241">
        <f>TEST_DATA!C1241</f>
        <v>44780</v>
      </c>
      <c r="D1241" t="str">
        <f>TEST_DATA!D1241</f>
        <v>NON-NIL</v>
      </c>
      <c r="E1241">
        <f>TEST_DATA!E1241</f>
        <v>464</v>
      </c>
      <c r="F1241">
        <f>MIN(E1241*124100,10000)</f>
        <v>10000</v>
      </c>
      <c r="G1241" t="e">
        <f ca="1">_xludf.MINIFS(CBIC_Late_Fee_Relief_Windows_1!$I$100:$I$1241,CBIC_Late_Fee_Relief_Windows_1!$D$100:$D$1241,"&lt;="&amp;B1241,CBIC_Late_Fee_Relief_Windows_1!$E$100:$E$1241,"&gt;="&amp;B1241,CBIC_Late_Fee_Relief_Windows_1!$F$100:$F$1241,"&lt;="&amp;C1241,CBIC_Late_Fee_Relief_Windows_1!$G$100:$G$1241,"&gt;="&amp;C1241,CBIC_Late_Fee_Relief_Windows_1!$H$100:$H$1241,D1241)</f>
        <v>#NAME?</v>
      </c>
      <c r="H1241" t="e">
        <f t="shared" ca="1" si="19"/>
        <v>#NAME?</v>
      </c>
      <c r="I1241" t="e">
        <f ca="1">INDEX(CBIC_Late_Fee_Relief_Windows_1!$B$100:$B$1241,MATCH(G1241,CBIC_Late_Fee_Relief_Windows_1!$I$100:$I$1241,0))</f>
        <v>#NAME?</v>
      </c>
    </row>
    <row r="1242" spans="1:9" x14ac:dyDescent="0.55000000000000004">
      <c r="A1242" t="str">
        <f>TEST_DATA!A1242</f>
        <v>27AAAAA1242Z5</v>
      </c>
      <c r="B1242" t="str">
        <f>TEST_DATA!B1242</f>
        <v>Jul-2018</v>
      </c>
      <c r="C1242">
        <f>TEST_DATA!C1242</f>
        <v>43442</v>
      </c>
      <c r="D1242" t="str">
        <f>TEST_DATA!D1242</f>
        <v>NON-NIL</v>
      </c>
      <c r="E1242">
        <f>TEST_DATA!E1242</f>
        <v>101</v>
      </c>
      <c r="F1242">
        <f>MIN(E1242*124200,10000)</f>
        <v>10000</v>
      </c>
      <c r="G1242" t="e">
        <f ca="1">_xludf.MINIFS(CBIC_Late_Fee_Relief_Windows_1!$I$100:$I$1242,CBIC_Late_Fee_Relief_Windows_1!$D$100:$D$1242,"&lt;="&amp;B1242,CBIC_Late_Fee_Relief_Windows_1!$E$100:$E$1242,"&gt;="&amp;B1242,CBIC_Late_Fee_Relief_Windows_1!$F$100:$F$1242,"&lt;="&amp;C1242,CBIC_Late_Fee_Relief_Windows_1!$G$100:$G$1242,"&gt;="&amp;C1242,CBIC_Late_Fee_Relief_Windows_1!$H$100:$H$1242,D1242)</f>
        <v>#NAME?</v>
      </c>
      <c r="H1242" t="e">
        <f t="shared" ca="1" si="19"/>
        <v>#NAME?</v>
      </c>
      <c r="I1242" t="e">
        <f ca="1">INDEX(CBIC_Late_Fee_Relief_Windows_1!$B$100:$B$1242,MATCH(G1242,CBIC_Late_Fee_Relief_Windows_1!$I$100:$I$1242,0))</f>
        <v>#NAME?</v>
      </c>
    </row>
    <row r="1243" spans="1:9" x14ac:dyDescent="0.55000000000000004">
      <c r="A1243" t="str">
        <f>TEST_DATA!A1243</f>
        <v>27AAAAA1243Z5</v>
      </c>
      <c r="B1243" t="str">
        <f>TEST_DATA!B1243</f>
        <v>Jun-2019</v>
      </c>
      <c r="C1243">
        <f>TEST_DATA!C1243</f>
        <v>45001</v>
      </c>
      <c r="D1243" t="str">
        <f>TEST_DATA!D1243</f>
        <v>NON-NIL</v>
      </c>
      <c r="E1243">
        <f>TEST_DATA!E1243</f>
        <v>1993</v>
      </c>
      <c r="F1243">
        <f>MIN(E1243*124300,10000)</f>
        <v>10000</v>
      </c>
      <c r="G1243" t="e">
        <f ca="1">_xludf.MINIFS(CBIC_Late_Fee_Relief_Windows_1!$I$100:$I$1243,CBIC_Late_Fee_Relief_Windows_1!$D$100:$D$1243,"&lt;="&amp;B1243,CBIC_Late_Fee_Relief_Windows_1!$E$100:$E$1243,"&gt;="&amp;B1243,CBIC_Late_Fee_Relief_Windows_1!$F$100:$F$1243,"&lt;="&amp;C1243,CBIC_Late_Fee_Relief_Windows_1!$G$100:$G$1243,"&gt;="&amp;C1243,CBIC_Late_Fee_Relief_Windows_1!$H$100:$H$1243,D1243)</f>
        <v>#NAME?</v>
      </c>
      <c r="H1243" t="e">
        <f t="shared" ca="1" si="19"/>
        <v>#NAME?</v>
      </c>
      <c r="I1243" t="e">
        <f ca="1">INDEX(CBIC_Late_Fee_Relief_Windows_1!$B$100:$B$1243,MATCH(G1243,CBIC_Late_Fee_Relief_Windows_1!$I$100:$I$1243,0))</f>
        <v>#NAME?</v>
      </c>
    </row>
    <row r="1244" spans="1:9" x14ac:dyDescent="0.55000000000000004">
      <c r="A1244" t="str">
        <f>TEST_DATA!A1244</f>
        <v>27AAAAA1244Z5</v>
      </c>
      <c r="B1244" t="str">
        <f>TEST_DATA!B1244</f>
        <v>Aug-2017</v>
      </c>
      <c r="C1244">
        <f>TEST_DATA!C1244</f>
        <v>43524</v>
      </c>
      <c r="D1244" t="str">
        <f>TEST_DATA!D1244</f>
        <v>NIL</v>
      </c>
      <c r="E1244">
        <f>TEST_DATA!E1244</f>
        <v>1312</v>
      </c>
      <c r="F1244">
        <f>MIN(E1244*124400,10000)</f>
        <v>10000</v>
      </c>
      <c r="G1244" t="e">
        <f ca="1">_xludf.MINIFS(CBIC_Late_Fee_Relief_Windows_1!$I$100:$I$1244,CBIC_Late_Fee_Relief_Windows_1!$D$100:$D$1244,"&lt;="&amp;B1244,CBIC_Late_Fee_Relief_Windows_1!$E$100:$E$1244,"&gt;="&amp;B1244,CBIC_Late_Fee_Relief_Windows_1!$F$100:$F$1244,"&lt;="&amp;C1244,CBIC_Late_Fee_Relief_Windows_1!$G$100:$G$1244,"&gt;="&amp;C1244,CBIC_Late_Fee_Relief_Windows_1!$H$100:$H$1244,D1244)</f>
        <v>#NAME?</v>
      </c>
      <c r="H1244" t="e">
        <f t="shared" ca="1" si="19"/>
        <v>#NAME?</v>
      </c>
      <c r="I1244" t="e">
        <f ca="1">INDEX(CBIC_Late_Fee_Relief_Windows_1!$B$100:$B$1244,MATCH(G1244,CBIC_Late_Fee_Relief_Windows_1!$I$100:$I$1244,0))</f>
        <v>#NAME?</v>
      </c>
    </row>
    <row r="1245" spans="1:9" x14ac:dyDescent="0.55000000000000004">
      <c r="A1245" t="str">
        <f>TEST_DATA!A1245</f>
        <v>27AAAAA1245Z5</v>
      </c>
      <c r="B1245" t="str">
        <f>TEST_DATA!B1245</f>
        <v>Jun-2019</v>
      </c>
      <c r="C1245">
        <f>TEST_DATA!C1245</f>
        <v>43803</v>
      </c>
      <c r="D1245" t="str">
        <f>TEST_DATA!D1245</f>
        <v>NIL</v>
      </c>
      <c r="E1245">
        <f>TEST_DATA!E1245</f>
        <v>685</v>
      </c>
      <c r="F1245">
        <f>MIN(E1245*124500,10000)</f>
        <v>10000</v>
      </c>
      <c r="G1245" t="e">
        <f ca="1">_xludf.MINIFS(CBIC_Late_Fee_Relief_Windows_1!$I$100:$I$1245,CBIC_Late_Fee_Relief_Windows_1!$D$100:$D$1245,"&lt;="&amp;B1245,CBIC_Late_Fee_Relief_Windows_1!$E$100:$E$1245,"&gt;="&amp;B1245,CBIC_Late_Fee_Relief_Windows_1!$F$100:$F$1245,"&lt;="&amp;C1245,CBIC_Late_Fee_Relief_Windows_1!$G$100:$G$1245,"&gt;="&amp;C1245,CBIC_Late_Fee_Relief_Windows_1!$H$100:$H$1245,D1245)</f>
        <v>#NAME?</v>
      </c>
      <c r="H1245" t="e">
        <f t="shared" ca="1" si="19"/>
        <v>#NAME?</v>
      </c>
      <c r="I1245" t="e">
        <f ca="1">INDEX(CBIC_Late_Fee_Relief_Windows_1!$B$100:$B$1245,MATCH(G1245,CBIC_Late_Fee_Relief_Windows_1!$I$100:$I$1245,0))</f>
        <v>#NAME?</v>
      </c>
    </row>
    <row r="1246" spans="1:9" x14ac:dyDescent="0.55000000000000004">
      <c r="A1246" t="str">
        <f>TEST_DATA!A1246</f>
        <v>27AAAAA1246Z5</v>
      </c>
      <c r="B1246" t="str">
        <f>TEST_DATA!B1246</f>
        <v>Mar-2021</v>
      </c>
      <c r="C1246">
        <f>TEST_DATA!C1246</f>
        <v>45669</v>
      </c>
      <c r="D1246" t="str">
        <f>TEST_DATA!D1246</f>
        <v>NIL</v>
      </c>
      <c r="E1246">
        <f>TEST_DATA!E1246</f>
        <v>2567</v>
      </c>
      <c r="F1246">
        <f>MIN(E1246*124600,10000)</f>
        <v>10000</v>
      </c>
      <c r="G1246" t="e">
        <f ca="1">_xludf.MINIFS(CBIC_Late_Fee_Relief_Windows_1!$I$100:$I$1246,CBIC_Late_Fee_Relief_Windows_1!$D$100:$D$1246,"&lt;="&amp;B1246,CBIC_Late_Fee_Relief_Windows_1!$E$100:$E$1246,"&gt;="&amp;B1246,CBIC_Late_Fee_Relief_Windows_1!$F$100:$F$1246,"&lt;="&amp;C1246,CBIC_Late_Fee_Relief_Windows_1!$G$100:$G$1246,"&gt;="&amp;C1246,CBIC_Late_Fee_Relief_Windows_1!$H$100:$H$1246,D1246)</f>
        <v>#NAME?</v>
      </c>
      <c r="H1246" t="e">
        <f t="shared" ca="1" si="19"/>
        <v>#NAME?</v>
      </c>
      <c r="I1246" t="e">
        <f ca="1">INDEX(CBIC_Late_Fee_Relief_Windows_1!$B$100:$B$1246,MATCH(G1246,CBIC_Late_Fee_Relief_Windows_1!$I$100:$I$1246,0))</f>
        <v>#NAME?</v>
      </c>
    </row>
    <row r="1247" spans="1:9" x14ac:dyDescent="0.55000000000000004">
      <c r="A1247" t="str">
        <f>TEST_DATA!A1247</f>
        <v>27AAAAA1247Z5</v>
      </c>
      <c r="B1247" t="str">
        <f>TEST_DATA!B1247</f>
        <v>Sep-2017</v>
      </c>
      <c r="C1247">
        <f>TEST_DATA!C1247</f>
        <v>43348</v>
      </c>
      <c r="D1247" t="str">
        <f>TEST_DATA!D1247</f>
        <v>NIL</v>
      </c>
      <c r="E1247">
        <f>TEST_DATA!E1247</f>
        <v>2807</v>
      </c>
      <c r="F1247">
        <f>MIN(E1247*124700,10000)</f>
        <v>10000</v>
      </c>
      <c r="G1247" t="e">
        <f ca="1">_xludf.MINIFS(CBIC_Late_Fee_Relief_Windows_1!$I$100:$I$1247,CBIC_Late_Fee_Relief_Windows_1!$D$100:$D$1247,"&lt;="&amp;B1247,CBIC_Late_Fee_Relief_Windows_1!$E$100:$E$1247,"&gt;="&amp;B1247,CBIC_Late_Fee_Relief_Windows_1!$F$100:$F$1247,"&lt;="&amp;C1247,CBIC_Late_Fee_Relief_Windows_1!$G$100:$G$1247,"&gt;="&amp;C1247,CBIC_Late_Fee_Relief_Windows_1!$H$100:$H$1247,D1247)</f>
        <v>#NAME?</v>
      </c>
      <c r="H1247" t="e">
        <f t="shared" ca="1" si="19"/>
        <v>#NAME?</v>
      </c>
      <c r="I1247" t="e">
        <f ca="1">INDEX(CBIC_Late_Fee_Relief_Windows_1!$B$100:$B$1247,MATCH(G1247,CBIC_Late_Fee_Relief_Windows_1!$I$100:$I$1247,0))</f>
        <v>#NAME?</v>
      </c>
    </row>
    <row r="1248" spans="1:9" x14ac:dyDescent="0.55000000000000004">
      <c r="A1248" t="str">
        <f>TEST_DATA!A1248</f>
        <v>27AAAAA1248Z5</v>
      </c>
      <c r="B1248" t="str">
        <f>TEST_DATA!B1248</f>
        <v>Aug-2018</v>
      </c>
      <c r="C1248">
        <f>TEST_DATA!C1248</f>
        <v>43129</v>
      </c>
      <c r="D1248" t="str">
        <f>TEST_DATA!D1248</f>
        <v>NIL</v>
      </c>
      <c r="E1248">
        <f>TEST_DATA!E1248</f>
        <v>2202</v>
      </c>
      <c r="F1248">
        <f>MIN(E1248*124800,10000)</f>
        <v>10000</v>
      </c>
      <c r="G1248" t="e">
        <f ca="1">_xludf.MINIFS(CBIC_Late_Fee_Relief_Windows_1!$I$100:$I$1248,CBIC_Late_Fee_Relief_Windows_1!$D$100:$D$1248,"&lt;="&amp;B1248,CBIC_Late_Fee_Relief_Windows_1!$E$100:$E$1248,"&gt;="&amp;B1248,CBIC_Late_Fee_Relief_Windows_1!$F$100:$F$1248,"&lt;="&amp;C1248,CBIC_Late_Fee_Relief_Windows_1!$G$100:$G$1248,"&gt;="&amp;C1248,CBIC_Late_Fee_Relief_Windows_1!$H$100:$H$1248,D1248)</f>
        <v>#NAME?</v>
      </c>
      <c r="H1248" t="e">
        <f t="shared" ca="1" si="19"/>
        <v>#NAME?</v>
      </c>
      <c r="I1248" t="e">
        <f ca="1">INDEX(CBIC_Late_Fee_Relief_Windows_1!$B$100:$B$1248,MATCH(G1248,CBIC_Late_Fee_Relief_Windows_1!$I$100:$I$1248,0))</f>
        <v>#NAME?</v>
      </c>
    </row>
    <row r="1249" spans="1:9" x14ac:dyDescent="0.55000000000000004">
      <c r="A1249" t="str">
        <f>TEST_DATA!A1249</f>
        <v>27AAAAA1249Z5</v>
      </c>
      <c r="B1249" t="str">
        <f>TEST_DATA!B1249</f>
        <v>Dec-2022</v>
      </c>
      <c r="C1249">
        <f>TEST_DATA!C1249</f>
        <v>45248</v>
      </c>
      <c r="D1249" t="str">
        <f>TEST_DATA!D1249</f>
        <v>NIL</v>
      </c>
      <c r="E1249">
        <f>TEST_DATA!E1249</f>
        <v>2810</v>
      </c>
      <c r="F1249">
        <f>MIN(E1249*124900,10000)</f>
        <v>10000</v>
      </c>
      <c r="G1249" t="e">
        <f ca="1">_xludf.MINIFS(CBIC_Late_Fee_Relief_Windows_1!$I$100:$I$1249,CBIC_Late_Fee_Relief_Windows_1!$D$100:$D$1249,"&lt;="&amp;B1249,CBIC_Late_Fee_Relief_Windows_1!$E$100:$E$1249,"&gt;="&amp;B1249,CBIC_Late_Fee_Relief_Windows_1!$F$100:$F$1249,"&lt;="&amp;C1249,CBIC_Late_Fee_Relief_Windows_1!$G$100:$G$1249,"&gt;="&amp;C1249,CBIC_Late_Fee_Relief_Windows_1!$H$100:$H$1249,D1249)</f>
        <v>#NAME?</v>
      </c>
      <c r="H1249" t="e">
        <f t="shared" ca="1" si="19"/>
        <v>#NAME?</v>
      </c>
      <c r="I1249" t="e">
        <f ca="1">INDEX(CBIC_Late_Fee_Relief_Windows_1!$B$100:$B$1249,MATCH(G1249,CBIC_Late_Fee_Relief_Windows_1!$I$100:$I$1249,0))</f>
        <v>#NAME?</v>
      </c>
    </row>
    <row r="1250" spans="1:9" x14ac:dyDescent="0.55000000000000004">
      <c r="A1250" t="str">
        <f>TEST_DATA!A1250</f>
        <v>27AAAAA1250Z5</v>
      </c>
      <c r="B1250" t="str">
        <f>TEST_DATA!B1250</f>
        <v>Nov-2017</v>
      </c>
      <c r="C1250">
        <f>TEST_DATA!C1250</f>
        <v>42965</v>
      </c>
      <c r="D1250" t="str">
        <f>TEST_DATA!D1250</f>
        <v>NON-NIL</v>
      </c>
      <c r="E1250">
        <f>TEST_DATA!E1250</f>
        <v>2936</v>
      </c>
      <c r="F1250">
        <f>MIN(E1250*125000,10000)</f>
        <v>10000</v>
      </c>
      <c r="G1250" t="e">
        <f ca="1">_xludf.MINIFS(CBIC_Late_Fee_Relief_Windows_1!$I$100:$I$1250,CBIC_Late_Fee_Relief_Windows_1!$D$100:$D$1250,"&lt;="&amp;B1250,CBIC_Late_Fee_Relief_Windows_1!$E$100:$E$1250,"&gt;="&amp;B1250,CBIC_Late_Fee_Relief_Windows_1!$F$100:$F$1250,"&lt;="&amp;C1250,CBIC_Late_Fee_Relief_Windows_1!$G$100:$G$1250,"&gt;="&amp;C1250,CBIC_Late_Fee_Relief_Windows_1!$H$100:$H$1250,D1250)</f>
        <v>#NAME?</v>
      </c>
      <c r="H1250" t="e">
        <f t="shared" ca="1" si="19"/>
        <v>#NAME?</v>
      </c>
      <c r="I1250" t="e">
        <f ca="1">INDEX(CBIC_Late_Fee_Relief_Windows_1!$B$100:$B$1250,MATCH(G1250,CBIC_Late_Fee_Relief_Windows_1!$I$100:$I$1250,0))</f>
        <v>#NAME?</v>
      </c>
    </row>
    <row r="1251" spans="1:9" x14ac:dyDescent="0.55000000000000004">
      <c r="A1251" t="str">
        <f>TEST_DATA!A1251</f>
        <v>27AAAAA1251Z5</v>
      </c>
      <c r="B1251" t="str">
        <f>TEST_DATA!B1251</f>
        <v>May-2018</v>
      </c>
      <c r="C1251">
        <f>TEST_DATA!C1251</f>
        <v>42994</v>
      </c>
      <c r="D1251" t="str">
        <f>TEST_DATA!D1251</f>
        <v>NIL</v>
      </c>
      <c r="E1251">
        <f>TEST_DATA!E1251</f>
        <v>300</v>
      </c>
      <c r="F1251">
        <f>MIN(E1251*125100,10000)</f>
        <v>10000</v>
      </c>
      <c r="G1251" t="e">
        <f ca="1">_xludf.MINIFS(CBIC_Late_Fee_Relief_Windows_1!$I$100:$I$1251,CBIC_Late_Fee_Relief_Windows_1!$D$100:$D$1251,"&lt;="&amp;B1251,CBIC_Late_Fee_Relief_Windows_1!$E$100:$E$1251,"&gt;="&amp;B1251,CBIC_Late_Fee_Relief_Windows_1!$F$100:$F$1251,"&lt;="&amp;C1251,CBIC_Late_Fee_Relief_Windows_1!$G$100:$G$1251,"&gt;="&amp;C1251,CBIC_Late_Fee_Relief_Windows_1!$H$100:$H$1251,D1251)</f>
        <v>#NAME?</v>
      </c>
      <c r="H1251" t="e">
        <f t="shared" ca="1" si="19"/>
        <v>#NAME?</v>
      </c>
      <c r="I1251" t="e">
        <f ca="1">INDEX(CBIC_Late_Fee_Relief_Windows_1!$B$100:$B$1251,MATCH(G1251,CBIC_Late_Fee_Relief_Windows_1!$I$100:$I$1251,0))</f>
        <v>#NAME?</v>
      </c>
    </row>
    <row r="1252" spans="1:9" x14ac:dyDescent="0.55000000000000004">
      <c r="A1252" t="str">
        <f>TEST_DATA!A1252</f>
        <v>27AAAAA1252Z5</v>
      </c>
      <c r="B1252" t="str">
        <f>TEST_DATA!B1252</f>
        <v>Aug-2017</v>
      </c>
      <c r="C1252">
        <f>TEST_DATA!C1252</f>
        <v>43281</v>
      </c>
      <c r="D1252" t="str">
        <f>TEST_DATA!D1252</f>
        <v>NON-NIL</v>
      </c>
      <c r="E1252">
        <f>TEST_DATA!E1252</f>
        <v>2285</v>
      </c>
      <c r="F1252">
        <f>MIN(E1252*125200,10000)</f>
        <v>10000</v>
      </c>
      <c r="G1252" t="e">
        <f ca="1">_xludf.MINIFS(CBIC_Late_Fee_Relief_Windows_1!$I$100:$I$1252,CBIC_Late_Fee_Relief_Windows_1!$D$100:$D$1252,"&lt;="&amp;B1252,CBIC_Late_Fee_Relief_Windows_1!$E$100:$E$1252,"&gt;="&amp;B1252,CBIC_Late_Fee_Relief_Windows_1!$F$100:$F$1252,"&lt;="&amp;C1252,CBIC_Late_Fee_Relief_Windows_1!$G$100:$G$1252,"&gt;="&amp;C1252,CBIC_Late_Fee_Relief_Windows_1!$H$100:$H$1252,D1252)</f>
        <v>#NAME?</v>
      </c>
      <c r="H1252" t="e">
        <f t="shared" ca="1" si="19"/>
        <v>#NAME?</v>
      </c>
      <c r="I1252" t="e">
        <f ca="1">INDEX(CBIC_Late_Fee_Relief_Windows_1!$B$100:$B$1252,MATCH(G1252,CBIC_Late_Fee_Relief_Windows_1!$I$100:$I$1252,0))</f>
        <v>#NAME?</v>
      </c>
    </row>
    <row r="1253" spans="1:9" x14ac:dyDescent="0.55000000000000004">
      <c r="A1253" t="str">
        <f>TEST_DATA!A1253</f>
        <v>27AAAAA1253Z5</v>
      </c>
      <c r="B1253" t="str">
        <f>TEST_DATA!B1253</f>
        <v>Sep-2017</v>
      </c>
      <c r="C1253">
        <f>TEST_DATA!C1253</f>
        <v>44094</v>
      </c>
      <c r="D1253" t="str">
        <f>TEST_DATA!D1253</f>
        <v>NIL</v>
      </c>
      <c r="E1253">
        <f>TEST_DATA!E1253</f>
        <v>1059</v>
      </c>
      <c r="F1253">
        <f>MIN(E1253*125300,10000)</f>
        <v>10000</v>
      </c>
      <c r="G1253" t="e">
        <f ca="1">_xludf.MINIFS(CBIC_Late_Fee_Relief_Windows_1!$I$100:$I$1253,CBIC_Late_Fee_Relief_Windows_1!$D$100:$D$1253,"&lt;="&amp;B1253,CBIC_Late_Fee_Relief_Windows_1!$E$100:$E$1253,"&gt;="&amp;B1253,CBIC_Late_Fee_Relief_Windows_1!$F$100:$F$1253,"&lt;="&amp;C1253,CBIC_Late_Fee_Relief_Windows_1!$G$100:$G$1253,"&gt;="&amp;C1253,CBIC_Late_Fee_Relief_Windows_1!$H$100:$H$1253,D1253)</f>
        <v>#NAME?</v>
      </c>
      <c r="H1253" t="e">
        <f t="shared" ca="1" si="19"/>
        <v>#NAME?</v>
      </c>
      <c r="I1253" t="e">
        <f ca="1">INDEX(CBIC_Late_Fee_Relief_Windows_1!$B$100:$B$1253,MATCH(G1253,CBIC_Late_Fee_Relief_Windows_1!$I$100:$I$1253,0))</f>
        <v>#NAME?</v>
      </c>
    </row>
    <row r="1254" spans="1:9" x14ac:dyDescent="0.55000000000000004">
      <c r="A1254" t="str">
        <f>TEST_DATA!A1254</f>
        <v>27AAAAA1254Z5</v>
      </c>
      <c r="B1254" t="str">
        <f>TEST_DATA!B1254</f>
        <v>Aug-2018</v>
      </c>
      <c r="C1254">
        <f>TEST_DATA!C1254</f>
        <v>43711</v>
      </c>
      <c r="D1254" t="str">
        <f>TEST_DATA!D1254</f>
        <v>NON-NIL</v>
      </c>
      <c r="E1254">
        <f>TEST_DATA!E1254</f>
        <v>2581</v>
      </c>
      <c r="F1254">
        <f>MIN(E1254*125400,10000)</f>
        <v>10000</v>
      </c>
      <c r="G1254" t="e">
        <f ca="1">_xludf.MINIFS(CBIC_Late_Fee_Relief_Windows_1!$I$100:$I$1254,CBIC_Late_Fee_Relief_Windows_1!$D$100:$D$1254,"&lt;="&amp;B1254,CBIC_Late_Fee_Relief_Windows_1!$E$100:$E$1254,"&gt;="&amp;B1254,CBIC_Late_Fee_Relief_Windows_1!$F$100:$F$1254,"&lt;="&amp;C1254,CBIC_Late_Fee_Relief_Windows_1!$G$100:$G$1254,"&gt;="&amp;C1254,CBIC_Late_Fee_Relief_Windows_1!$H$100:$H$1254,D1254)</f>
        <v>#NAME?</v>
      </c>
      <c r="H1254" t="e">
        <f t="shared" ca="1" si="19"/>
        <v>#NAME?</v>
      </c>
      <c r="I1254" t="e">
        <f ca="1">INDEX(CBIC_Late_Fee_Relief_Windows_1!$B$100:$B$1254,MATCH(G1254,CBIC_Late_Fee_Relief_Windows_1!$I$100:$I$1254,0))</f>
        <v>#NAME?</v>
      </c>
    </row>
    <row r="1255" spans="1:9" x14ac:dyDescent="0.55000000000000004">
      <c r="A1255" t="str">
        <f>TEST_DATA!A1255</f>
        <v>27AAAAA1255Z5</v>
      </c>
      <c r="B1255" t="str">
        <f>TEST_DATA!B1255</f>
        <v>Jul-2018</v>
      </c>
      <c r="C1255">
        <f>TEST_DATA!C1255</f>
        <v>43803</v>
      </c>
      <c r="D1255" t="str">
        <f>TEST_DATA!D1255</f>
        <v>NON-NIL</v>
      </c>
      <c r="E1255">
        <f>TEST_DATA!E1255</f>
        <v>69</v>
      </c>
      <c r="F1255">
        <f>MIN(E1255*125500,10000)</f>
        <v>10000</v>
      </c>
      <c r="G1255" t="e">
        <f ca="1">_xludf.MINIFS(CBIC_Late_Fee_Relief_Windows_1!$I$100:$I$1255,CBIC_Late_Fee_Relief_Windows_1!$D$100:$D$1255,"&lt;="&amp;B1255,CBIC_Late_Fee_Relief_Windows_1!$E$100:$E$1255,"&gt;="&amp;B1255,CBIC_Late_Fee_Relief_Windows_1!$F$100:$F$1255,"&lt;="&amp;C1255,CBIC_Late_Fee_Relief_Windows_1!$G$100:$G$1255,"&gt;="&amp;C1255,CBIC_Late_Fee_Relief_Windows_1!$H$100:$H$1255,D1255)</f>
        <v>#NAME?</v>
      </c>
      <c r="H1255" t="e">
        <f t="shared" ca="1" si="19"/>
        <v>#NAME?</v>
      </c>
      <c r="I1255" t="e">
        <f ca="1">INDEX(CBIC_Late_Fee_Relief_Windows_1!$B$100:$B$1255,MATCH(G1255,CBIC_Late_Fee_Relief_Windows_1!$I$100:$I$1255,0))</f>
        <v>#NAME?</v>
      </c>
    </row>
    <row r="1256" spans="1:9" x14ac:dyDescent="0.55000000000000004">
      <c r="A1256" t="str">
        <f>TEST_DATA!A1256</f>
        <v>27AAAAA1256Z5</v>
      </c>
      <c r="B1256" t="str">
        <f>TEST_DATA!B1256</f>
        <v>Jul-2018</v>
      </c>
      <c r="C1256">
        <f>TEST_DATA!C1256</f>
        <v>44295</v>
      </c>
      <c r="D1256" t="str">
        <f>TEST_DATA!D1256</f>
        <v>NIL</v>
      </c>
      <c r="E1256">
        <f>TEST_DATA!E1256</f>
        <v>2190</v>
      </c>
      <c r="F1256">
        <f>MIN(E1256*125600,10000)</f>
        <v>10000</v>
      </c>
      <c r="G1256" t="e">
        <f ca="1">_xludf.MINIFS(CBIC_Late_Fee_Relief_Windows_1!$I$100:$I$1256,CBIC_Late_Fee_Relief_Windows_1!$D$100:$D$1256,"&lt;="&amp;B1256,CBIC_Late_Fee_Relief_Windows_1!$E$100:$E$1256,"&gt;="&amp;B1256,CBIC_Late_Fee_Relief_Windows_1!$F$100:$F$1256,"&lt;="&amp;C1256,CBIC_Late_Fee_Relief_Windows_1!$G$100:$G$1256,"&gt;="&amp;C1256,CBIC_Late_Fee_Relief_Windows_1!$H$100:$H$1256,D1256)</f>
        <v>#NAME?</v>
      </c>
      <c r="H1256" t="e">
        <f t="shared" ca="1" si="19"/>
        <v>#NAME?</v>
      </c>
      <c r="I1256" t="e">
        <f ca="1">INDEX(CBIC_Late_Fee_Relief_Windows_1!$B$100:$B$1256,MATCH(G1256,CBIC_Late_Fee_Relief_Windows_1!$I$100:$I$1256,0))</f>
        <v>#NAME?</v>
      </c>
    </row>
    <row r="1257" spans="1:9" x14ac:dyDescent="0.55000000000000004">
      <c r="A1257" t="str">
        <f>TEST_DATA!A1257</f>
        <v>27AAAAA1257Z5</v>
      </c>
      <c r="B1257" t="str">
        <f>TEST_DATA!B1257</f>
        <v>Jul-2017</v>
      </c>
      <c r="C1257">
        <f>TEST_DATA!C1257</f>
        <v>44230</v>
      </c>
      <c r="D1257" t="str">
        <f>TEST_DATA!D1257</f>
        <v>NIL</v>
      </c>
      <c r="E1257">
        <f>TEST_DATA!E1257</f>
        <v>2398</v>
      </c>
      <c r="F1257">
        <f>MIN(E1257*125700,10000)</f>
        <v>10000</v>
      </c>
      <c r="G1257" t="e">
        <f ca="1">_xludf.MINIFS(CBIC_Late_Fee_Relief_Windows_1!$I$100:$I$1257,CBIC_Late_Fee_Relief_Windows_1!$D$100:$D$1257,"&lt;="&amp;B1257,CBIC_Late_Fee_Relief_Windows_1!$E$100:$E$1257,"&gt;="&amp;B1257,CBIC_Late_Fee_Relief_Windows_1!$F$100:$F$1257,"&lt;="&amp;C1257,CBIC_Late_Fee_Relief_Windows_1!$G$100:$G$1257,"&gt;="&amp;C1257,CBIC_Late_Fee_Relief_Windows_1!$H$100:$H$1257,D1257)</f>
        <v>#NAME?</v>
      </c>
      <c r="H1257" t="e">
        <f t="shared" ca="1" si="19"/>
        <v>#NAME?</v>
      </c>
      <c r="I1257" t="e">
        <f ca="1">INDEX(CBIC_Late_Fee_Relief_Windows_1!$B$100:$B$1257,MATCH(G1257,CBIC_Late_Fee_Relief_Windows_1!$I$100:$I$1257,0))</f>
        <v>#NAME?</v>
      </c>
    </row>
    <row r="1258" spans="1:9" x14ac:dyDescent="0.55000000000000004">
      <c r="A1258" t="str">
        <f>TEST_DATA!A1258</f>
        <v>27AAAAA1258Z5</v>
      </c>
      <c r="B1258" t="str">
        <f>TEST_DATA!B1258</f>
        <v>Aug-2017</v>
      </c>
      <c r="C1258">
        <f>TEST_DATA!C1258</f>
        <v>44352</v>
      </c>
      <c r="D1258" t="str">
        <f>TEST_DATA!D1258</f>
        <v>NIL</v>
      </c>
      <c r="E1258">
        <f>TEST_DATA!E1258</f>
        <v>1465</v>
      </c>
      <c r="F1258">
        <f>MIN(E1258*125800,10000)</f>
        <v>10000</v>
      </c>
      <c r="G1258" t="e">
        <f ca="1">_xludf.MINIFS(CBIC_Late_Fee_Relief_Windows_1!$I$100:$I$1258,CBIC_Late_Fee_Relief_Windows_1!$D$100:$D$1258,"&lt;="&amp;B1258,CBIC_Late_Fee_Relief_Windows_1!$E$100:$E$1258,"&gt;="&amp;B1258,CBIC_Late_Fee_Relief_Windows_1!$F$100:$F$1258,"&lt;="&amp;C1258,CBIC_Late_Fee_Relief_Windows_1!$G$100:$G$1258,"&gt;="&amp;C1258,CBIC_Late_Fee_Relief_Windows_1!$H$100:$H$1258,D1258)</f>
        <v>#NAME?</v>
      </c>
      <c r="H1258" t="e">
        <f t="shared" ca="1" si="19"/>
        <v>#NAME?</v>
      </c>
      <c r="I1258" t="e">
        <f ca="1">INDEX(CBIC_Late_Fee_Relief_Windows_1!$B$100:$B$1258,MATCH(G1258,CBIC_Late_Fee_Relief_Windows_1!$I$100:$I$1258,0))</f>
        <v>#NAME?</v>
      </c>
    </row>
    <row r="1259" spans="1:9" x14ac:dyDescent="0.55000000000000004">
      <c r="A1259" t="str">
        <f>TEST_DATA!A1259</f>
        <v>27AAAAA1259Z5</v>
      </c>
      <c r="B1259" t="str">
        <f>TEST_DATA!B1259</f>
        <v>Jun-2019</v>
      </c>
      <c r="C1259">
        <f>TEST_DATA!C1259</f>
        <v>43900</v>
      </c>
      <c r="D1259" t="str">
        <f>TEST_DATA!D1259</f>
        <v>NON-NIL</v>
      </c>
      <c r="E1259">
        <f>TEST_DATA!E1259</f>
        <v>2809</v>
      </c>
      <c r="F1259">
        <f>MIN(E1259*125900,10000)</f>
        <v>10000</v>
      </c>
      <c r="G1259" t="e">
        <f ca="1">_xludf.MINIFS(CBIC_Late_Fee_Relief_Windows_1!$I$100:$I$1259,CBIC_Late_Fee_Relief_Windows_1!$D$100:$D$1259,"&lt;="&amp;B1259,CBIC_Late_Fee_Relief_Windows_1!$E$100:$E$1259,"&gt;="&amp;B1259,CBIC_Late_Fee_Relief_Windows_1!$F$100:$F$1259,"&lt;="&amp;C1259,CBIC_Late_Fee_Relief_Windows_1!$G$100:$G$1259,"&gt;="&amp;C1259,CBIC_Late_Fee_Relief_Windows_1!$H$100:$H$1259,D1259)</f>
        <v>#NAME?</v>
      </c>
      <c r="H1259" t="e">
        <f t="shared" ca="1" si="19"/>
        <v>#NAME?</v>
      </c>
      <c r="I1259" t="e">
        <f ca="1">INDEX(CBIC_Late_Fee_Relief_Windows_1!$B$100:$B$1259,MATCH(G1259,CBIC_Late_Fee_Relief_Windows_1!$I$100:$I$1259,0))</f>
        <v>#NAME?</v>
      </c>
    </row>
    <row r="1260" spans="1:9" x14ac:dyDescent="0.55000000000000004">
      <c r="A1260" t="str">
        <f>TEST_DATA!A1260</f>
        <v>27AAAAA1260Z5</v>
      </c>
      <c r="B1260" t="str">
        <f>TEST_DATA!B1260</f>
        <v>Apr-2018</v>
      </c>
      <c r="C1260">
        <f>TEST_DATA!C1260</f>
        <v>44159</v>
      </c>
      <c r="D1260" t="str">
        <f>TEST_DATA!D1260</f>
        <v>NIL</v>
      </c>
      <c r="E1260">
        <f>TEST_DATA!E1260</f>
        <v>1153</v>
      </c>
      <c r="F1260">
        <f>MIN(E1260*126000,10000)</f>
        <v>10000</v>
      </c>
      <c r="G1260" t="e">
        <f ca="1">_xludf.MINIFS(CBIC_Late_Fee_Relief_Windows_1!$I$100:$I$1260,CBIC_Late_Fee_Relief_Windows_1!$D$100:$D$1260,"&lt;="&amp;B1260,CBIC_Late_Fee_Relief_Windows_1!$E$100:$E$1260,"&gt;="&amp;B1260,CBIC_Late_Fee_Relief_Windows_1!$F$100:$F$1260,"&lt;="&amp;C1260,CBIC_Late_Fee_Relief_Windows_1!$G$100:$G$1260,"&gt;="&amp;C1260,CBIC_Late_Fee_Relief_Windows_1!$H$100:$H$1260,D1260)</f>
        <v>#NAME?</v>
      </c>
      <c r="H1260" t="e">
        <f t="shared" ca="1" si="19"/>
        <v>#NAME?</v>
      </c>
      <c r="I1260" t="e">
        <f ca="1">INDEX(CBIC_Late_Fee_Relief_Windows_1!$B$100:$B$1260,MATCH(G1260,CBIC_Late_Fee_Relief_Windows_1!$I$100:$I$1260,0))</f>
        <v>#NAME?</v>
      </c>
    </row>
    <row r="1261" spans="1:9" x14ac:dyDescent="0.55000000000000004">
      <c r="A1261" t="str">
        <f>TEST_DATA!A1261</f>
        <v>27AAAAA1261Z5</v>
      </c>
      <c r="B1261" t="str">
        <f>TEST_DATA!B1261</f>
        <v>Mar-2021</v>
      </c>
      <c r="C1261">
        <f>TEST_DATA!C1261</f>
        <v>45258</v>
      </c>
      <c r="D1261" t="str">
        <f>TEST_DATA!D1261</f>
        <v>NON-NIL</v>
      </c>
      <c r="E1261">
        <f>TEST_DATA!E1261</f>
        <v>1618</v>
      </c>
      <c r="F1261">
        <f>MIN(E1261*126100,10000)</f>
        <v>10000</v>
      </c>
      <c r="G1261" t="e">
        <f ca="1">_xludf.MINIFS(CBIC_Late_Fee_Relief_Windows_1!$I$100:$I$1261,CBIC_Late_Fee_Relief_Windows_1!$D$100:$D$1261,"&lt;="&amp;B1261,CBIC_Late_Fee_Relief_Windows_1!$E$100:$E$1261,"&gt;="&amp;B1261,CBIC_Late_Fee_Relief_Windows_1!$F$100:$F$1261,"&lt;="&amp;C1261,CBIC_Late_Fee_Relief_Windows_1!$G$100:$G$1261,"&gt;="&amp;C1261,CBIC_Late_Fee_Relief_Windows_1!$H$100:$H$1261,D1261)</f>
        <v>#NAME?</v>
      </c>
      <c r="H1261" t="e">
        <f t="shared" ca="1" si="19"/>
        <v>#NAME?</v>
      </c>
      <c r="I1261" t="e">
        <f ca="1">INDEX(CBIC_Late_Fee_Relief_Windows_1!$B$100:$B$1261,MATCH(G1261,CBIC_Late_Fee_Relief_Windows_1!$I$100:$I$1261,0))</f>
        <v>#NAME?</v>
      </c>
    </row>
    <row r="1262" spans="1:9" x14ac:dyDescent="0.55000000000000004">
      <c r="A1262" t="str">
        <f>TEST_DATA!A1262</f>
        <v>27AAAAA1262Z5</v>
      </c>
      <c r="B1262" t="str">
        <f>TEST_DATA!B1262</f>
        <v>Dec-2022</v>
      </c>
      <c r="C1262">
        <f>TEST_DATA!C1262</f>
        <v>43592</v>
      </c>
      <c r="D1262" t="str">
        <f>TEST_DATA!D1262</f>
        <v>NON-NIL</v>
      </c>
      <c r="E1262">
        <f>TEST_DATA!E1262</f>
        <v>640</v>
      </c>
      <c r="F1262">
        <f>MIN(E1262*126200,10000)</f>
        <v>10000</v>
      </c>
      <c r="G1262" t="e">
        <f ca="1">_xludf.MINIFS(CBIC_Late_Fee_Relief_Windows_1!$I$100:$I$1262,CBIC_Late_Fee_Relief_Windows_1!$D$100:$D$1262,"&lt;="&amp;B1262,CBIC_Late_Fee_Relief_Windows_1!$E$100:$E$1262,"&gt;="&amp;B1262,CBIC_Late_Fee_Relief_Windows_1!$F$100:$F$1262,"&lt;="&amp;C1262,CBIC_Late_Fee_Relief_Windows_1!$G$100:$G$1262,"&gt;="&amp;C1262,CBIC_Late_Fee_Relief_Windows_1!$H$100:$H$1262,D1262)</f>
        <v>#NAME?</v>
      </c>
      <c r="H1262" t="e">
        <f t="shared" ca="1" si="19"/>
        <v>#NAME?</v>
      </c>
      <c r="I1262" t="e">
        <f ca="1">INDEX(CBIC_Late_Fee_Relief_Windows_1!$B$100:$B$1262,MATCH(G1262,CBIC_Late_Fee_Relief_Windows_1!$I$100:$I$1262,0))</f>
        <v>#NAME?</v>
      </c>
    </row>
    <row r="1263" spans="1:9" x14ac:dyDescent="0.55000000000000004">
      <c r="A1263" t="str">
        <f>TEST_DATA!A1263</f>
        <v>27AAAAA1263Z5</v>
      </c>
      <c r="B1263" t="str">
        <f>TEST_DATA!B1263</f>
        <v>Dec-2019</v>
      </c>
      <c r="C1263">
        <f>TEST_DATA!C1263</f>
        <v>44366</v>
      </c>
      <c r="D1263" t="str">
        <f>TEST_DATA!D1263</f>
        <v>NIL</v>
      </c>
      <c r="E1263">
        <f>TEST_DATA!E1263</f>
        <v>1601</v>
      </c>
      <c r="F1263">
        <f>MIN(E1263*126300,10000)</f>
        <v>10000</v>
      </c>
      <c r="G1263" t="e">
        <f ca="1">_xludf.MINIFS(CBIC_Late_Fee_Relief_Windows_1!$I$100:$I$1263,CBIC_Late_Fee_Relief_Windows_1!$D$100:$D$1263,"&lt;="&amp;B1263,CBIC_Late_Fee_Relief_Windows_1!$E$100:$E$1263,"&gt;="&amp;B1263,CBIC_Late_Fee_Relief_Windows_1!$F$100:$F$1263,"&lt;="&amp;C1263,CBIC_Late_Fee_Relief_Windows_1!$G$100:$G$1263,"&gt;="&amp;C1263,CBIC_Late_Fee_Relief_Windows_1!$H$100:$H$1263,D1263)</f>
        <v>#NAME?</v>
      </c>
      <c r="H1263" t="e">
        <f t="shared" ca="1" si="19"/>
        <v>#NAME?</v>
      </c>
      <c r="I1263" t="e">
        <f ca="1">INDEX(CBIC_Late_Fee_Relief_Windows_1!$B$100:$B$1263,MATCH(G1263,CBIC_Late_Fee_Relief_Windows_1!$I$100:$I$1263,0))</f>
        <v>#NAME?</v>
      </c>
    </row>
    <row r="1264" spans="1:9" x14ac:dyDescent="0.55000000000000004">
      <c r="A1264" t="str">
        <f>TEST_DATA!A1264</f>
        <v>27AAAAA1264Z5</v>
      </c>
      <c r="B1264" t="str">
        <f>TEST_DATA!B1264</f>
        <v>Apr-2021</v>
      </c>
      <c r="C1264">
        <f>TEST_DATA!C1264</f>
        <v>45701</v>
      </c>
      <c r="D1264" t="str">
        <f>TEST_DATA!D1264</f>
        <v>NON-NIL</v>
      </c>
      <c r="E1264">
        <f>TEST_DATA!E1264</f>
        <v>2597</v>
      </c>
      <c r="F1264">
        <f>MIN(E1264*126400,10000)</f>
        <v>10000</v>
      </c>
      <c r="G1264" t="e">
        <f ca="1">_xludf.MINIFS(CBIC_Late_Fee_Relief_Windows_1!$I$100:$I$1264,CBIC_Late_Fee_Relief_Windows_1!$D$100:$D$1264,"&lt;="&amp;B1264,CBIC_Late_Fee_Relief_Windows_1!$E$100:$E$1264,"&gt;="&amp;B1264,CBIC_Late_Fee_Relief_Windows_1!$F$100:$F$1264,"&lt;="&amp;C1264,CBIC_Late_Fee_Relief_Windows_1!$G$100:$G$1264,"&gt;="&amp;C1264,CBIC_Late_Fee_Relief_Windows_1!$H$100:$H$1264,D1264)</f>
        <v>#NAME?</v>
      </c>
      <c r="H1264" t="e">
        <f t="shared" ca="1" si="19"/>
        <v>#NAME?</v>
      </c>
      <c r="I1264" t="e">
        <f ca="1">INDEX(CBIC_Late_Fee_Relief_Windows_1!$B$100:$B$1264,MATCH(G1264,CBIC_Late_Fee_Relief_Windows_1!$I$100:$I$1264,0))</f>
        <v>#NAME?</v>
      </c>
    </row>
    <row r="1265" spans="1:9" x14ac:dyDescent="0.55000000000000004">
      <c r="A1265" t="str">
        <f>TEST_DATA!A1265</f>
        <v>27AAAAA1265Z5</v>
      </c>
      <c r="B1265" t="str">
        <f>TEST_DATA!B1265</f>
        <v>Nov-2017</v>
      </c>
      <c r="C1265">
        <f>TEST_DATA!C1265</f>
        <v>43527</v>
      </c>
      <c r="D1265" t="str">
        <f>TEST_DATA!D1265</f>
        <v>NON-NIL</v>
      </c>
      <c r="E1265">
        <f>TEST_DATA!E1265</f>
        <v>45</v>
      </c>
      <c r="F1265">
        <f>MIN(E1265*126500,10000)</f>
        <v>10000</v>
      </c>
      <c r="G1265" t="e">
        <f ca="1">_xludf.MINIFS(CBIC_Late_Fee_Relief_Windows_1!$I$100:$I$1265,CBIC_Late_Fee_Relief_Windows_1!$D$100:$D$1265,"&lt;="&amp;B1265,CBIC_Late_Fee_Relief_Windows_1!$E$100:$E$1265,"&gt;="&amp;B1265,CBIC_Late_Fee_Relief_Windows_1!$F$100:$F$1265,"&lt;="&amp;C1265,CBIC_Late_Fee_Relief_Windows_1!$G$100:$G$1265,"&gt;="&amp;C1265,CBIC_Late_Fee_Relief_Windows_1!$H$100:$H$1265,D1265)</f>
        <v>#NAME?</v>
      </c>
      <c r="H1265" t="e">
        <f t="shared" ca="1" si="19"/>
        <v>#NAME?</v>
      </c>
      <c r="I1265" t="e">
        <f ca="1">INDEX(CBIC_Late_Fee_Relief_Windows_1!$B$100:$B$1265,MATCH(G1265,CBIC_Late_Fee_Relief_Windows_1!$I$100:$I$1265,0))</f>
        <v>#NAME?</v>
      </c>
    </row>
    <row r="1266" spans="1:9" x14ac:dyDescent="0.55000000000000004">
      <c r="A1266" t="str">
        <f>TEST_DATA!A1266</f>
        <v>27AAAAA1266Z5</v>
      </c>
      <c r="B1266" t="str">
        <f>TEST_DATA!B1266</f>
        <v>Dec-2019</v>
      </c>
      <c r="C1266">
        <f>TEST_DATA!C1266</f>
        <v>45739</v>
      </c>
      <c r="D1266" t="str">
        <f>TEST_DATA!D1266</f>
        <v>NIL</v>
      </c>
      <c r="E1266">
        <f>TEST_DATA!E1266</f>
        <v>504</v>
      </c>
      <c r="F1266">
        <f>MIN(E1266*126600,10000)</f>
        <v>10000</v>
      </c>
      <c r="G1266" t="e">
        <f ca="1">_xludf.MINIFS(CBIC_Late_Fee_Relief_Windows_1!$I$100:$I$1266,CBIC_Late_Fee_Relief_Windows_1!$D$100:$D$1266,"&lt;="&amp;B1266,CBIC_Late_Fee_Relief_Windows_1!$E$100:$E$1266,"&gt;="&amp;B1266,CBIC_Late_Fee_Relief_Windows_1!$F$100:$F$1266,"&lt;="&amp;C1266,CBIC_Late_Fee_Relief_Windows_1!$G$100:$G$1266,"&gt;="&amp;C1266,CBIC_Late_Fee_Relief_Windows_1!$H$100:$H$1266,D1266)</f>
        <v>#NAME?</v>
      </c>
      <c r="H1266" t="e">
        <f t="shared" ca="1" si="19"/>
        <v>#NAME?</v>
      </c>
      <c r="I1266" t="e">
        <f ca="1">INDEX(CBIC_Late_Fee_Relief_Windows_1!$B$100:$B$1266,MATCH(G1266,CBIC_Late_Fee_Relief_Windows_1!$I$100:$I$1266,0))</f>
        <v>#NAME?</v>
      </c>
    </row>
    <row r="1267" spans="1:9" x14ac:dyDescent="0.55000000000000004">
      <c r="A1267" t="str">
        <f>TEST_DATA!A1267</f>
        <v>27AAAAA1267Z5</v>
      </c>
      <c r="B1267" t="str">
        <f>TEST_DATA!B1267</f>
        <v>Aug-2017</v>
      </c>
      <c r="C1267">
        <f>TEST_DATA!C1267</f>
        <v>42927</v>
      </c>
      <c r="D1267" t="str">
        <f>TEST_DATA!D1267</f>
        <v>NON-NIL</v>
      </c>
      <c r="E1267">
        <f>TEST_DATA!E1267</f>
        <v>2200</v>
      </c>
      <c r="F1267">
        <f>MIN(E1267*126700,10000)</f>
        <v>10000</v>
      </c>
      <c r="G1267" t="e">
        <f ca="1">_xludf.MINIFS(CBIC_Late_Fee_Relief_Windows_1!$I$100:$I$1267,CBIC_Late_Fee_Relief_Windows_1!$D$100:$D$1267,"&lt;="&amp;B1267,CBIC_Late_Fee_Relief_Windows_1!$E$100:$E$1267,"&gt;="&amp;B1267,CBIC_Late_Fee_Relief_Windows_1!$F$100:$F$1267,"&lt;="&amp;C1267,CBIC_Late_Fee_Relief_Windows_1!$G$100:$G$1267,"&gt;="&amp;C1267,CBIC_Late_Fee_Relief_Windows_1!$H$100:$H$1267,D1267)</f>
        <v>#NAME?</v>
      </c>
      <c r="H1267" t="e">
        <f t="shared" ca="1" si="19"/>
        <v>#NAME?</v>
      </c>
      <c r="I1267" t="e">
        <f ca="1">INDEX(CBIC_Late_Fee_Relief_Windows_1!$B$100:$B$1267,MATCH(G1267,CBIC_Late_Fee_Relief_Windows_1!$I$100:$I$1267,0))</f>
        <v>#NAME?</v>
      </c>
    </row>
    <row r="1268" spans="1:9" x14ac:dyDescent="0.55000000000000004">
      <c r="A1268" t="str">
        <f>TEST_DATA!A1268</f>
        <v>27AAAAA1268Z5</v>
      </c>
      <c r="B1268" t="str">
        <f>TEST_DATA!B1268</f>
        <v>Dec-2019</v>
      </c>
      <c r="C1268">
        <f>TEST_DATA!C1268</f>
        <v>43814</v>
      </c>
      <c r="D1268" t="str">
        <f>TEST_DATA!D1268</f>
        <v>NON-NIL</v>
      </c>
      <c r="E1268">
        <f>TEST_DATA!E1268</f>
        <v>860</v>
      </c>
      <c r="F1268">
        <f>MIN(E1268*126800,10000)</f>
        <v>10000</v>
      </c>
      <c r="G1268" t="e">
        <f ca="1">_xludf.MINIFS(CBIC_Late_Fee_Relief_Windows_1!$I$100:$I$1268,CBIC_Late_Fee_Relief_Windows_1!$D$100:$D$1268,"&lt;="&amp;B1268,CBIC_Late_Fee_Relief_Windows_1!$E$100:$E$1268,"&gt;="&amp;B1268,CBIC_Late_Fee_Relief_Windows_1!$F$100:$F$1268,"&lt;="&amp;C1268,CBIC_Late_Fee_Relief_Windows_1!$G$100:$G$1268,"&gt;="&amp;C1268,CBIC_Late_Fee_Relief_Windows_1!$H$100:$H$1268,D1268)</f>
        <v>#NAME?</v>
      </c>
      <c r="H1268" t="e">
        <f t="shared" ca="1" si="19"/>
        <v>#NAME?</v>
      </c>
      <c r="I1268" t="e">
        <f ca="1">INDEX(CBIC_Late_Fee_Relief_Windows_1!$B$100:$B$1268,MATCH(G1268,CBIC_Late_Fee_Relief_Windows_1!$I$100:$I$1268,0))</f>
        <v>#NAME?</v>
      </c>
    </row>
    <row r="1269" spans="1:9" x14ac:dyDescent="0.55000000000000004">
      <c r="A1269" t="str">
        <f>TEST_DATA!A1269</f>
        <v>27AAAAA1269Z5</v>
      </c>
      <c r="B1269" t="str">
        <f>TEST_DATA!B1269</f>
        <v>Jan-2021</v>
      </c>
      <c r="C1269">
        <f>TEST_DATA!C1269</f>
        <v>44874</v>
      </c>
      <c r="D1269" t="str">
        <f>TEST_DATA!D1269</f>
        <v>NIL</v>
      </c>
      <c r="E1269">
        <f>TEST_DATA!E1269</f>
        <v>1690</v>
      </c>
      <c r="F1269">
        <f>MIN(E1269*126900,10000)</f>
        <v>10000</v>
      </c>
      <c r="G1269" t="e">
        <f ca="1">_xludf.MINIFS(CBIC_Late_Fee_Relief_Windows_1!$I$100:$I$1269,CBIC_Late_Fee_Relief_Windows_1!$D$100:$D$1269,"&lt;="&amp;B1269,CBIC_Late_Fee_Relief_Windows_1!$E$100:$E$1269,"&gt;="&amp;B1269,CBIC_Late_Fee_Relief_Windows_1!$F$100:$F$1269,"&lt;="&amp;C1269,CBIC_Late_Fee_Relief_Windows_1!$G$100:$G$1269,"&gt;="&amp;C1269,CBIC_Late_Fee_Relief_Windows_1!$H$100:$H$1269,D1269)</f>
        <v>#NAME?</v>
      </c>
      <c r="H1269" t="e">
        <f t="shared" ca="1" si="19"/>
        <v>#NAME?</v>
      </c>
      <c r="I1269" t="e">
        <f ca="1">INDEX(CBIC_Late_Fee_Relief_Windows_1!$B$100:$B$1269,MATCH(G1269,CBIC_Late_Fee_Relief_Windows_1!$I$100:$I$1269,0))</f>
        <v>#NAME?</v>
      </c>
    </row>
    <row r="1270" spans="1:9" x14ac:dyDescent="0.55000000000000004">
      <c r="A1270" t="str">
        <f>TEST_DATA!A1270</f>
        <v>27AAAAA1270Z5</v>
      </c>
      <c r="B1270" t="str">
        <f>TEST_DATA!B1270</f>
        <v>Dec-2024</v>
      </c>
      <c r="C1270">
        <f>TEST_DATA!C1270</f>
        <v>45565</v>
      </c>
      <c r="D1270" t="str">
        <f>TEST_DATA!D1270</f>
        <v>NIL</v>
      </c>
      <c r="E1270">
        <f>TEST_DATA!E1270</f>
        <v>659</v>
      </c>
      <c r="F1270">
        <f>MIN(E1270*127000,10000)</f>
        <v>10000</v>
      </c>
      <c r="G1270" t="e">
        <f ca="1">_xludf.MINIFS(CBIC_Late_Fee_Relief_Windows_1!$I$100:$I$1270,CBIC_Late_Fee_Relief_Windows_1!$D$100:$D$1270,"&lt;="&amp;B1270,CBIC_Late_Fee_Relief_Windows_1!$E$100:$E$1270,"&gt;="&amp;B1270,CBIC_Late_Fee_Relief_Windows_1!$F$100:$F$1270,"&lt;="&amp;C1270,CBIC_Late_Fee_Relief_Windows_1!$G$100:$G$1270,"&gt;="&amp;C1270,CBIC_Late_Fee_Relief_Windows_1!$H$100:$H$1270,D1270)</f>
        <v>#NAME?</v>
      </c>
      <c r="H1270" t="e">
        <f t="shared" ca="1" si="19"/>
        <v>#NAME?</v>
      </c>
      <c r="I1270" t="e">
        <f ca="1">INDEX(CBIC_Late_Fee_Relief_Windows_1!$B$100:$B$1270,MATCH(G1270,CBIC_Late_Fee_Relief_Windows_1!$I$100:$I$1270,0))</f>
        <v>#NAME?</v>
      </c>
    </row>
    <row r="1271" spans="1:9" x14ac:dyDescent="0.55000000000000004">
      <c r="A1271" t="str">
        <f>TEST_DATA!A1271</f>
        <v>27AAAAA1271Z5</v>
      </c>
      <c r="B1271" t="str">
        <f>TEST_DATA!B1271</f>
        <v>Dec-2017</v>
      </c>
      <c r="C1271">
        <f>TEST_DATA!C1271</f>
        <v>43369</v>
      </c>
      <c r="D1271" t="str">
        <f>TEST_DATA!D1271</f>
        <v>NON-NIL</v>
      </c>
      <c r="E1271">
        <f>TEST_DATA!E1271</f>
        <v>795</v>
      </c>
      <c r="F1271">
        <f>MIN(E1271*127100,10000)</f>
        <v>10000</v>
      </c>
      <c r="G1271" t="e">
        <f ca="1">_xludf.MINIFS(CBIC_Late_Fee_Relief_Windows_1!$I$100:$I$1271,CBIC_Late_Fee_Relief_Windows_1!$D$100:$D$1271,"&lt;="&amp;B1271,CBIC_Late_Fee_Relief_Windows_1!$E$100:$E$1271,"&gt;="&amp;B1271,CBIC_Late_Fee_Relief_Windows_1!$F$100:$F$1271,"&lt;="&amp;C1271,CBIC_Late_Fee_Relief_Windows_1!$G$100:$G$1271,"&gt;="&amp;C1271,CBIC_Late_Fee_Relief_Windows_1!$H$100:$H$1271,D1271)</f>
        <v>#NAME?</v>
      </c>
      <c r="H1271" t="e">
        <f t="shared" ca="1" si="19"/>
        <v>#NAME?</v>
      </c>
      <c r="I1271" t="e">
        <f ca="1">INDEX(CBIC_Late_Fee_Relief_Windows_1!$B$100:$B$1271,MATCH(G1271,CBIC_Late_Fee_Relief_Windows_1!$I$100:$I$1271,0))</f>
        <v>#NAME?</v>
      </c>
    </row>
    <row r="1272" spans="1:9" x14ac:dyDescent="0.55000000000000004">
      <c r="A1272" t="str">
        <f>TEST_DATA!A1272</f>
        <v>27AAAAA1272Z5</v>
      </c>
      <c r="B1272" t="str">
        <f>TEST_DATA!B1272</f>
        <v>Oct-2017</v>
      </c>
      <c r="C1272">
        <f>TEST_DATA!C1272</f>
        <v>43288</v>
      </c>
      <c r="D1272" t="str">
        <f>TEST_DATA!D1272</f>
        <v>NIL</v>
      </c>
      <c r="E1272">
        <f>TEST_DATA!E1272</f>
        <v>2248</v>
      </c>
      <c r="F1272">
        <f>MIN(E1272*127200,10000)</f>
        <v>10000</v>
      </c>
      <c r="G1272" t="e">
        <f ca="1">_xludf.MINIFS(CBIC_Late_Fee_Relief_Windows_1!$I$100:$I$1272,CBIC_Late_Fee_Relief_Windows_1!$D$100:$D$1272,"&lt;="&amp;B1272,CBIC_Late_Fee_Relief_Windows_1!$E$100:$E$1272,"&gt;="&amp;B1272,CBIC_Late_Fee_Relief_Windows_1!$F$100:$F$1272,"&lt;="&amp;C1272,CBIC_Late_Fee_Relief_Windows_1!$G$100:$G$1272,"&gt;="&amp;C1272,CBIC_Late_Fee_Relief_Windows_1!$H$100:$H$1272,D1272)</f>
        <v>#NAME?</v>
      </c>
      <c r="H1272" t="e">
        <f t="shared" ca="1" si="19"/>
        <v>#NAME?</v>
      </c>
      <c r="I1272" t="e">
        <f ca="1">INDEX(CBIC_Late_Fee_Relief_Windows_1!$B$100:$B$1272,MATCH(G1272,CBIC_Late_Fee_Relief_Windows_1!$I$100:$I$1272,0))</f>
        <v>#NAME?</v>
      </c>
    </row>
    <row r="1273" spans="1:9" x14ac:dyDescent="0.55000000000000004">
      <c r="A1273" t="str">
        <f>TEST_DATA!A1273</f>
        <v>27AAAAA1273Z5</v>
      </c>
      <c r="B1273" t="str">
        <f>TEST_DATA!B1273</f>
        <v>Sep-2018</v>
      </c>
      <c r="C1273">
        <f>TEST_DATA!C1273</f>
        <v>44237</v>
      </c>
      <c r="D1273" t="str">
        <f>TEST_DATA!D1273</f>
        <v>NIL</v>
      </c>
      <c r="E1273">
        <f>TEST_DATA!E1273</f>
        <v>1190</v>
      </c>
      <c r="F1273">
        <f>MIN(E1273*127300,10000)</f>
        <v>10000</v>
      </c>
      <c r="G1273" t="e">
        <f ca="1">_xludf.MINIFS(CBIC_Late_Fee_Relief_Windows_1!$I$100:$I$1273,CBIC_Late_Fee_Relief_Windows_1!$D$100:$D$1273,"&lt;="&amp;B1273,CBIC_Late_Fee_Relief_Windows_1!$E$100:$E$1273,"&gt;="&amp;B1273,CBIC_Late_Fee_Relief_Windows_1!$F$100:$F$1273,"&lt;="&amp;C1273,CBIC_Late_Fee_Relief_Windows_1!$G$100:$G$1273,"&gt;="&amp;C1273,CBIC_Late_Fee_Relief_Windows_1!$H$100:$H$1273,D1273)</f>
        <v>#NAME?</v>
      </c>
      <c r="H1273" t="e">
        <f t="shared" ca="1" si="19"/>
        <v>#NAME?</v>
      </c>
      <c r="I1273" t="e">
        <f ca="1">INDEX(CBIC_Late_Fee_Relief_Windows_1!$B$100:$B$1273,MATCH(G1273,CBIC_Late_Fee_Relief_Windows_1!$I$100:$I$1273,0))</f>
        <v>#NAME?</v>
      </c>
    </row>
    <row r="1274" spans="1:9" x14ac:dyDescent="0.55000000000000004">
      <c r="A1274" t="str">
        <f>TEST_DATA!A1274</f>
        <v>27AAAAA1274Z5</v>
      </c>
      <c r="B1274" t="str">
        <f>TEST_DATA!B1274</f>
        <v>Jun-2020</v>
      </c>
      <c r="C1274">
        <f>TEST_DATA!C1274</f>
        <v>43968</v>
      </c>
      <c r="D1274" t="str">
        <f>TEST_DATA!D1274</f>
        <v>NON-NIL</v>
      </c>
      <c r="E1274">
        <f>TEST_DATA!E1274</f>
        <v>402</v>
      </c>
      <c r="F1274">
        <f>MIN(E1274*127400,10000)</f>
        <v>10000</v>
      </c>
      <c r="G1274" t="e">
        <f ca="1">_xludf.MINIFS(CBIC_Late_Fee_Relief_Windows_1!$I$100:$I$1274,CBIC_Late_Fee_Relief_Windows_1!$D$100:$D$1274,"&lt;="&amp;B1274,CBIC_Late_Fee_Relief_Windows_1!$E$100:$E$1274,"&gt;="&amp;B1274,CBIC_Late_Fee_Relief_Windows_1!$F$100:$F$1274,"&lt;="&amp;C1274,CBIC_Late_Fee_Relief_Windows_1!$G$100:$G$1274,"&gt;="&amp;C1274,CBIC_Late_Fee_Relief_Windows_1!$H$100:$H$1274,D1274)</f>
        <v>#NAME?</v>
      </c>
      <c r="H1274" t="e">
        <f t="shared" ca="1" si="19"/>
        <v>#NAME?</v>
      </c>
      <c r="I1274" t="e">
        <f ca="1">INDEX(CBIC_Late_Fee_Relief_Windows_1!$B$100:$B$1274,MATCH(G1274,CBIC_Late_Fee_Relief_Windows_1!$I$100:$I$1274,0))</f>
        <v>#NAME?</v>
      </c>
    </row>
    <row r="1275" spans="1:9" x14ac:dyDescent="0.55000000000000004">
      <c r="A1275" t="str">
        <f>TEST_DATA!A1275</f>
        <v>27AAAAA1275Z5</v>
      </c>
      <c r="B1275" t="str">
        <f>TEST_DATA!B1275</f>
        <v>Jan-2018</v>
      </c>
      <c r="C1275">
        <f>TEST_DATA!C1275</f>
        <v>44403</v>
      </c>
      <c r="D1275" t="str">
        <f>TEST_DATA!D1275</f>
        <v>NON-NIL</v>
      </c>
      <c r="E1275">
        <f>TEST_DATA!E1275</f>
        <v>1355</v>
      </c>
      <c r="F1275">
        <f>MIN(E1275*127500,10000)</f>
        <v>10000</v>
      </c>
      <c r="G1275" t="e">
        <f ca="1">_xludf.MINIFS(CBIC_Late_Fee_Relief_Windows_1!$I$100:$I$1275,CBIC_Late_Fee_Relief_Windows_1!$D$100:$D$1275,"&lt;="&amp;B1275,CBIC_Late_Fee_Relief_Windows_1!$E$100:$E$1275,"&gt;="&amp;B1275,CBIC_Late_Fee_Relief_Windows_1!$F$100:$F$1275,"&lt;="&amp;C1275,CBIC_Late_Fee_Relief_Windows_1!$G$100:$G$1275,"&gt;="&amp;C1275,CBIC_Late_Fee_Relief_Windows_1!$H$100:$H$1275,D1275)</f>
        <v>#NAME?</v>
      </c>
      <c r="H1275" t="e">
        <f t="shared" ca="1" si="19"/>
        <v>#NAME?</v>
      </c>
      <c r="I1275" t="e">
        <f ca="1">INDEX(CBIC_Late_Fee_Relief_Windows_1!$B$100:$B$1275,MATCH(G1275,CBIC_Late_Fee_Relief_Windows_1!$I$100:$I$1275,0))</f>
        <v>#NAME?</v>
      </c>
    </row>
    <row r="1276" spans="1:9" x14ac:dyDescent="0.55000000000000004">
      <c r="A1276" t="str">
        <f>TEST_DATA!A1276</f>
        <v>27AAAAA1276Z5</v>
      </c>
      <c r="B1276" t="str">
        <f>TEST_DATA!B1276</f>
        <v>Jun-2018</v>
      </c>
      <c r="C1276">
        <f>TEST_DATA!C1276</f>
        <v>43179</v>
      </c>
      <c r="D1276" t="str">
        <f>TEST_DATA!D1276</f>
        <v>NIL</v>
      </c>
      <c r="E1276">
        <f>TEST_DATA!E1276</f>
        <v>409</v>
      </c>
      <c r="F1276">
        <f>MIN(E1276*127600,10000)</f>
        <v>10000</v>
      </c>
      <c r="G1276" t="e">
        <f ca="1">_xludf.MINIFS(CBIC_Late_Fee_Relief_Windows_1!$I$100:$I$1276,CBIC_Late_Fee_Relief_Windows_1!$D$100:$D$1276,"&lt;="&amp;B1276,CBIC_Late_Fee_Relief_Windows_1!$E$100:$E$1276,"&gt;="&amp;B1276,CBIC_Late_Fee_Relief_Windows_1!$F$100:$F$1276,"&lt;="&amp;C1276,CBIC_Late_Fee_Relief_Windows_1!$G$100:$G$1276,"&gt;="&amp;C1276,CBIC_Late_Fee_Relief_Windows_1!$H$100:$H$1276,D1276)</f>
        <v>#NAME?</v>
      </c>
      <c r="H1276" t="e">
        <f t="shared" ca="1" si="19"/>
        <v>#NAME?</v>
      </c>
      <c r="I1276" t="e">
        <f ca="1">INDEX(CBIC_Late_Fee_Relief_Windows_1!$B$100:$B$1276,MATCH(G1276,CBIC_Late_Fee_Relief_Windows_1!$I$100:$I$1276,0))</f>
        <v>#NAME?</v>
      </c>
    </row>
    <row r="1277" spans="1:9" x14ac:dyDescent="0.55000000000000004">
      <c r="A1277" t="str">
        <f>TEST_DATA!A1277</f>
        <v>27AAAAA1277Z5</v>
      </c>
      <c r="B1277" t="str">
        <f>TEST_DATA!B1277</f>
        <v>Apr-2018</v>
      </c>
      <c r="C1277">
        <f>TEST_DATA!C1277</f>
        <v>44185</v>
      </c>
      <c r="D1277" t="str">
        <f>TEST_DATA!D1277</f>
        <v>NIL</v>
      </c>
      <c r="E1277">
        <f>TEST_DATA!E1277</f>
        <v>792</v>
      </c>
      <c r="F1277">
        <f>MIN(E1277*127700,10000)</f>
        <v>10000</v>
      </c>
      <c r="G1277" t="e">
        <f ca="1">_xludf.MINIFS(CBIC_Late_Fee_Relief_Windows_1!$I$100:$I$1277,CBIC_Late_Fee_Relief_Windows_1!$D$100:$D$1277,"&lt;="&amp;B1277,CBIC_Late_Fee_Relief_Windows_1!$E$100:$E$1277,"&gt;="&amp;B1277,CBIC_Late_Fee_Relief_Windows_1!$F$100:$F$1277,"&lt;="&amp;C1277,CBIC_Late_Fee_Relief_Windows_1!$G$100:$G$1277,"&gt;="&amp;C1277,CBIC_Late_Fee_Relief_Windows_1!$H$100:$H$1277,D1277)</f>
        <v>#NAME?</v>
      </c>
      <c r="H1277" t="e">
        <f t="shared" ca="1" si="19"/>
        <v>#NAME?</v>
      </c>
      <c r="I1277" t="e">
        <f ca="1">INDEX(CBIC_Late_Fee_Relief_Windows_1!$B$100:$B$1277,MATCH(G1277,CBIC_Late_Fee_Relief_Windows_1!$I$100:$I$1277,0))</f>
        <v>#NAME?</v>
      </c>
    </row>
    <row r="1278" spans="1:9" x14ac:dyDescent="0.55000000000000004">
      <c r="A1278" t="str">
        <f>TEST_DATA!A1278</f>
        <v>27AAAAA1278Z5</v>
      </c>
      <c r="B1278" t="str">
        <f>TEST_DATA!B1278</f>
        <v>May-2018</v>
      </c>
      <c r="C1278">
        <f>TEST_DATA!C1278</f>
        <v>43912</v>
      </c>
      <c r="D1278" t="str">
        <f>TEST_DATA!D1278</f>
        <v>NON-NIL</v>
      </c>
      <c r="E1278">
        <f>TEST_DATA!E1278</f>
        <v>1344</v>
      </c>
      <c r="F1278">
        <f>MIN(E1278*127800,10000)</f>
        <v>10000</v>
      </c>
      <c r="G1278" t="e">
        <f ca="1">_xludf.MINIFS(CBIC_Late_Fee_Relief_Windows_1!$I$100:$I$1278,CBIC_Late_Fee_Relief_Windows_1!$D$100:$D$1278,"&lt;="&amp;B1278,CBIC_Late_Fee_Relief_Windows_1!$E$100:$E$1278,"&gt;="&amp;B1278,CBIC_Late_Fee_Relief_Windows_1!$F$100:$F$1278,"&lt;="&amp;C1278,CBIC_Late_Fee_Relief_Windows_1!$G$100:$G$1278,"&gt;="&amp;C1278,CBIC_Late_Fee_Relief_Windows_1!$H$100:$H$1278,D1278)</f>
        <v>#NAME?</v>
      </c>
      <c r="H1278" t="e">
        <f t="shared" ca="1" si="19"/>
        <v>#NAME?</v>
      </c>
      <c r="I1278" t="e">
        <f ca="1">INDEX(CBIC_Late_Fee_Relief_Windows_1!$B$100:$B$1278,MATCH(G1278,CBIC_Late_Fee_Relief_Windows_1!$I$100:$I$1278,0))</f>
        <v>#NAME?</v>
      </c>
    </row>
    <row r="1279" spans="1:9" x14ac:dyDescent="0.55000000000000004">
      <c r="A1279" t="str">
        <f>TEST_DATA!A1279</f>
        <v>27AAAAA1279Z5</v>
      </c>
      <c r="B1279" t="str">
        <f>TEST_DATA!B1279</f>
        <v>Apr-2020</v>
      </c>
      <c r="C1279">
        <f>TEST_DATA!C1279</f>
        <v>44457</v>
      </c>
      <c r="D1279" t="str">
        <f>TEST_DATA!D1279</f>
        <v>NIL</v>
      </c>
      <c r="E1279">
        <f>TEST_DATA!E1279</f>
        <v>2316</v>
      </c>
      <c r="F1279">
        <f>MIN(E1279*127900,10000)</f>
        <v>10000</v>
      </c>
      <c r="G1279" t="e">
        <f ca="1">_xludf.MINIFS(CBIC_Late_Fee_Relief_Windows_1!$I$100:$I$1279,CBIC_Late_Fee_Relief_Windows_1!$D$100:$D$1279,"&lt;="&amp;B1279,CBIC_Late_Fee_Relief_Windows_1!$E$100:$E$1279,"&gt;="&amp;B1279,CBIC_Late_Fee_Relief_Windows_1!$F$100:$F$1279,"&lt;="&amp;C1279,CBIC_Late_Fee_Relief_Windows_1!$G$100:$G$1279,"&gt;="&amp;C1279,CBIC_Late_Fee_Relief_Windows_1!$H$100:$H$1279,D1279)</f>
        <v>#NAME?</v>
      </c>
      <c r="H1279" t="e">
        <f t="shared" ca="1" si="19"/>
        <v>#NAME?</v>
      </c>
      <c r="I1279" t="e">
        <f ca="1">INDEX(CBIC_Late_Fee_Relief_Windows_1!$B$100:$B$1279,MATCH(G1279,CBIC_Late_Fee_Relief_Windows_1!$I$100:$I$1279,0))</f>
        <v>#NAME?</v>
      </c>
    </row>
    <row r="1280" spans="1:9" x14ac:dyDescent="0.55000000000000004">
      <c r="A1280" t="str">
        <f>TEST_DATA!A1280</f>
        <v>27AAAAA1280Z5</v>
      </c>
      <c r="B1280" t="str">
        <f>TEST_DATA!B1280</f>
        <v>Mar-2020</v>
      </c>
      <c r="C1280">
        <f>TEST_DATA!C1280</f>
        <v>44577</v>
      </c>
      <c r="D1280" t="str">
        <f>TEST_DATA!D1280</f>
        <v>NON-NIL</v>
      </c>
      <c r="E1280">
        <f>TEST_DATA!E1280</f>
        <v>1754</v>
      </c>
      <c r="F1280">
        <f>MIN(E1280*128000,10000)</f>
        <v>10000</v>
      </c>
      <c r="G1280" t="e">
        <f ca="1">_xludf.MINIFS(CBIC_Late_Fee_Relief_Windows_1!$I$100:$I$1280,CBIC_Late_Fee_Relief_Windows_1!$D$100:$D$1280,"&lt;="&amp;B1280,CBIC_Late_Fee_Relief_Windows_1!$E$100:$E$1280,"&gt;="&amp;B1280,CBIC_Late_Fee_Relief_Windows_1!$F$100:$F$1280,"&lt;="&amp;C1280,CBIC_Late_Fee_Relief_Windows_1!$G$100:$G$1280,"&gt;="&amp;C1280,CBIC_Late_Fee_Relief_Windows_1!$H$100:$H$1280,D1280)</f>
        <v>#NAME?</v>
      </c>
      <c r="H1280" t="e">
        <f t="shared" ca="1" si="19"/>
        <v>#NAME?</v>
      </c>
      <c r="I1280" t="e">
        <f ca="1">INDEX(CBIC_Late_Fee_Relief_Windows_1!$B$100:$B$1280,MATCH(G1280,CBIC_Late_Fee_Relief_Windows_1!$I$100:$I$1280,0))</f>
        <v>#NAME?</v>
      </c>
    </row>
    <row r="1281" spans="1:9" x14ac:dyDescent="0.55000000000000004">
      <c r="A1281" t="str">
        <f>TEST_DATA!A1281</f>
        <v>27AAAAA1281Z5</v>
      </c>
      <c r="B1281" t="str">
        <f>TEST_DATA!B1281</f>
        <v>Dec-2017</v>
      </c>
      <c r="C1281">
        <f>TEST_DATA!C1281</f>
        <v>42926</v>
      </c>
      <c r="D1281" t="str">
        <f>TEST_DATA!D1281</f>
        <v>NON-NIL</v>
      </c>
      <c r="E1281">
        <f>TEST_DATA!E1281</f>
        <v>1008</v>
      </c>
      <c r="F1281">
        <f>MIN(E1281*128100,10000)</f>
        <v>10000</v>
      </c>
      <c r="G1281" t="e">
        <f ca="1">_xludf.MINIFS(CBIC_Late_Fee_Relief_Windows_1!$I$100:$I$1281,CBIC_Late_Fee_Relief_Windows_1!$D$100:$D$1281,"&lt;="&amp;B1281,CBIC_Late_Fee_Relief_Windows_1!$E$100:$E$1281,"&gt;="&amp;B1281,CBIC_Late_Fee_Relief_Windows_1!$F$100:$F$1281,"&lt;="&amp;C1281,CBIC_Late_Fee_Relief_Windows_1!$G$100:$G$1281,"&gt;="&amp;C1281,CBIC_Late_Fee_Relief_Windows_1!$H$100:$H$1281,D1281)</f>
        <v>#NAME?</v>
      </c>
      <c r="H1281" t="e">
        <f t="shared" ca="1" si="19"/>
        <v>#NAME?</v>
      </c>
      <c r="I1281" t="e">
        <f ca="1">INDEX(CBIC_Late_Fee_Relief_Windows_1!$B$100:$B$1281,MATCH(G1281,CBIC_Late_Fee_Relief_Windows_1!$I$100:$I$1281,0))</f>
        <v>#NAME?</v>
      </c>
    </row>
    <row r="1282" spans="1:9" x14ac:dyDescent="0.55000000000000004">
      <c r="A1282" t="str">
        <f>TEST_DATA!A1282</f>
        <v>27AAAAA1282Z5</v>
      </c>
      <c r="B1282" t="str">
        <f>TEST_DATA!B1282</f>
        <v>Apr-2021</v>
      </c>
      <c r="C1282">
        <f>TEST_DATA!C1282</f>
        <v>44373</v>
      </c>
      <c r="D1282" t="str">
        <f>TEST_DATA!D1282</f>
        <v>NON-NIL</v>
      </c>
      <c r="E1282">
        <f>TEST_DATA!E1282</f>
        <v>1133</v>
      </c>
      <c r="F1282">
        <f>MIN(E1282*128200,10000)</f>
        <v>10000</v>
      </c>
      <c r="G1282" t="e">
        <f ca="1">_xludf.MINIFS(CBIC_Late_Fee_Relief_Windows_1!$I$100:$I$1282,CBIC_Late_Fee_Relief_Windows_1!$D$100:$D$1282,"&lt;="&amp;B1282,CBIC_Late_Fee_Relief_Windows_1!$E$100:$E$1282,"&gt;="&amp;B1282,CBIC_Late_Fee_Relief_Windows_1!$F$100:$F$1282,"&lt;="&amp;C1282,CBIC_Late_Fee_Relief_Windows_1!$G$100:$G$1282,"&gt;="&amp;C1282,CBIC_Late_Fee_Relief_Windows_1!$H$100:$H$1282,D1282)</f>
        <v>#NAME?</v>
      </c>
      <c r="H1282" t="e">
        <f t="shared" ref="H1282:H1345" ca="1" si="20">MIN(F1282,G1282)</f>
        <v>#NAME?</v>
      </c>
      <c r="I1282" t="e">
        <f ca="1">INDEX(CBIC_Late_Fee_Relief_Windows_1!$B$100:$B$1282,MATCH(G1282,CBIC_Late_Fee_Relief_Windows_1!$I$100:$I$1282,0))</f>
        <v>#NAME?</v>
      </c>
    </row>
    <row r="1283" spans="1:9" x14ac:dyDescent="0.55000000000000004">
      <c r="A1283" t="str">
        <f>TEST_DATA!A1283</f>
        <v>27AAAAA1283Z5</v>
      </c>
      <c r="B1283" t="str">
        <f>TEST_DATA!B1283</f>
        <v>Dec-2022</v>
      </c>
      <c r="C1283">
        <f>TEST_DATA!C1283</f>
        <v>44938</v>
      </c>
      <c r="D1283" t="str">
        <f>TEST_DATA!D1283</f>
        <v>NIL</v>
      </c>
      <c r="E1283">
        <f>TEST_DATA!E1283</f>
        <v>2783</v>
      </c>
      <c r="F1283">
        <f>MIN(E1283*128300,10000)</f>
        <v>10000</v>
      </c>
      <c r="G1283" t="e">
        <f ca="1">_xludf.MINIFS(CBIC_Late_Fee_Relief_Windows_1!$I$100:$I$1283,CBIC_Late_Fee_Relief_Windows_1!$D$100:$D$1283,"&lt;="&amp;B1283,CBIC_Late_Fee_Relief_Windows_1!$E$100:$E$1283,"&gt;="&amp;B1283,CBIC_Late_Fee_Relief_Windows_1!$F$100:$F$1283,"&lt;="&amp;C1283,CBIC_Late_Fee_Relief_Windows_1!$G$100:$G$1283,"&gt;="&amp;C1283,CBIC_Late_Fee_Relief_Windows_1!$H$100:$H$1283,D1283)</f>
        <v>#NAME?</v>
      </c>
      <c r="H1283" t="e">
        <f t="shared" ca="1" si="20"/>
        <v>#NAME?</v>
      </c>
      <c r="I1283" t="e">
        <f ca="1">INDEX(CBIC_Late_Fee_Relief_Windows_1!$B$100:$B$1283,MATCH(G1283,CBIC_Late_Fee_Relief_Windows_1!$I$100:$I$1283,0))</f>
        <v>#NAME?</v>
      </c>
    </row>
    <row r="1284" spans="1:9" x14ac:dyDescent="0.55000000000000004">
      <c r="A1284" t="str">
        <f>TEST_DATA!A1284</f>
        <v>27AAAAA1284Z5</v>
      </c>
      <c r="B1284" t="str">
        <f>TEST_DATA!B1284</f>
        <v>Jan-2021</v>
      </c>
      <c r="C1284">
        <f>TEST_DATA!C1284</f>
        <v>44824</v>
      </c>
      <c r="D1284" t="str">
        <f>TEST_DATA!D1284</f>
        <v>NON-NIL</v>
      </c>
      <c r="E1284">
        <f>TEST_DATA!E1284</f>
        <v>1895</v>
      </c>
      <c r="F1284">
        <f>MIN(E1284*128400,10000)</f>
        <v>10000</v>
      </c>
      <c r="G1284" t="e">
        <f ca="1">_xludf.MINIFS(CBIC_Late_Fee_Relief_Windows_1!$I$100:$I$1284,CBIC_Late_Fee_Relief_Windows_1!$D$100:$D$1284,"&lt;="&amp;B1284,CBIC_Late_Fee_Relief_Windows_1!$E$100:$E$1284,"&gt;="&amp;B1284,CBIC_Late_Fee_Relief_Windows_1!$F$100:$F$1284,"&lt;="&amp;C1284,CBIC_Late_Fee_Relief_Windows_1!$G$100:$G$1284,"&gt;="&amp;C1284,CBIC_Late_Fee_Relief_Windows_1!$H$100:$H$1284,D1284)</f>
        <v>#NAME?</v>
      </c>
      <c r="H1284" t="e">
        <f t="shared" ca="1" si="20"/>
        <v>#NAME?</v>
      </c>
      <c r="I1284" t="e">
        <f ca="1">INDEX(CBIC_Late_Fee_Relief_Windows_1!$B$100:$B$1284,MATCH(G1284,CBIC_Late_Fee_Relief_Windows_1!$I$100:$I$1284,0))</f>
        <v>#NAME?</v>
      </c>
    </row>
    <row r="1285" spans="1:9" x14ac:dyDescent="0.55000000000000004">
      <c r="A1285" t="str">
        <f>TEST_DATA!A1285</f>
        <v>27AAAAA1285Z5</v>
      </c>
      <c r="B1285" t="str">
        <f>TEST_DATA!B1285</f>
        <v>Sep-2018</v>
      </c>
      <c r="C1285">
        <f>TEST_DATA!C1285</f>
        <v>43651</v>
      </c>
      <c r="D1285" t="str">
        <f>TEST_DATA!D1285</f>
        <v>NON-NIL</v>
      </c>
      <c r="E1285">
        <f>TEST_DATA!E1285</f>
        <v>1994</v>
      </c>
      <c r="F1285">
        <f>MIN(E1285*128500,10000)</f>
        <v>10000</v>
      </c>
      <c r="G1285" t="e">
        <f ca="1">_xludf.MINIFS(CBIC_Late_Fee_Relief_Windows_1!$I$100:$I$1285,CBIC_Late_Fee_Relief_Windows_1!$D$100:$D$1285,"&lt;="&amp;B1285,CBIC_Late_Fee_Relief_Windows_1!$E$100:$E$1285,"&gt;="&amp;B1285,CBIC_Late_Fee_Relief_Windows_1!$F$100:$F$1285,"&lt;="&amp;C1285,CBIC_Late_Fee_Relief_Windows_1!$G$100:$G$1285,"&gt;="&amp;C1285,CBIC_Late_Fee_Relief_Windows_1!$H$100:$H$1285,D1285)</f>
        <v>#NAME?</v>
      </c>
      <c r="H1285" t="e">
        <f t="shared" ca="1" si="20"/>
        <v>#NAME?</v>
      </c>
      <c r="I1285" t="e">
        <f ca="1">INDEX(CBIC_Late_Fee_Relief_Windows_1!$B$100:$B$1285,MATCH(G1285,CBIC_Late_Fee_Relief_Windows_1!$I$100:$I$1285,0))</f>
        <v>#NAME?</v>
      </c>
    </row>
    <row r="1286" spans="1:9" x14ac:dyDescent="0.55000000000000004">
      <c r="A1286" t="str">
        <f>TEST_DATA!A1286</f>
        <v>27AAAAA1286Z5</v>
      </c>
      <c r="B1286" t="str">
        <f>TEST_DATA!B1286</f>
        <v>Dec-2019</v>
      </c>
      <c r="C1286">
        <f>TEST_DATA!C1286</f>
        <v>43911</v>
      </c>
      <c r="D1286" t="str">
        <f>TEST_DATA!D1286</f>
        <v>NIL</v>
      </c>
      <c r="E1286">
        <f>TEST_DATA!E1286</f>
        <v>2644</v>
      </c>
      <c r="F1286">
        <f>MIN(E1286*128600,10000)</f>
        <v>10000</v>
      </c>
      <c r="G1286" t="e">
        <f ca="1">_xludf.MINIFS(CBIC_Late_Fee_Relief_Windows_1!$I$100:$I$1286,CBIC_Late_Fee_Relief_Windows_1!$D$100:$D$1286,"&lt;="&amp;B1286,CBIC_Late_Fee_Relief_Windows_1!$E$100:$E$1286,"&gt;="&amp;B1286,CBIC_Late_Fee_Relief_Windows_1!$F$100:$F$1286,"&lt;="&amp;C1286,CBIC_Late_Fee_Relief_Windows_1!$G$100:$G$1286,"&gt;="&amp;C1286,CBIC_Late_Fee_Relief_Windows_1!$H$100:$H$1286,D1286)</f>
        <v>#NAME?</v>
      </c>
      <c r="H1286" t="e">
        <f t="shared" ca="1" si="20"/>
        <v>#NAME?</v>
      </c>
      <c r="I1286" t="e">
        <f ca="1">INDEX(CBIC_Late_Fee_Relief_Windows_1!$B$100:$B$1286,MATCH(G1286,CBIC_Late_Fee_Relief_Windows_1!$I$100:$I$1286,0))</f>
        <v>#NAME?</v>
      </c>
    </row>
    <row r="1287" spans="1:9" x14ac:dyDescent="0.55000000000000004">
      <c r="A1287" t="str">
        <f>TEST_DATA!A1287</f>
        <v>27AAAAA1287Z5</v>
      </c>
      <c r="B1287" t="str">
        <f>TEST_DATA!B1287</f>
        <v>Apr-2020</v>
      </c>
      <c r="C1287">
        <f>TEST_DATA!C1287</f>
        <v>43998</v>
      </c>
      <c r="D1287" t="str">
        <f>TEST_DATA!D1287</f>
        <v>NON-NIL</v>
      </c>
      <c r="E1287">
        <f>TEST_DATA!E1287</f>
        <v>573</v>
      </c>
      <c r="F1287">
        <f>MIN(E1287*128700,10000)</f>
        <v>10000</v>
      </c>
      <c r="G1287" t="e">
        <f ca="1">_xludf.MINIFS(CBIC_Late_Fee_Relief_Windows_1!$I$100:$I$1287,CBIC_Late_Fee_Relief_Windows_1!$D$100:$D$1287,"&lt;="&amp;B1287,CBIC_Late_Fee_Relief_Windows_1!$E$100:$E$1287,"&gt;="&amp;B1287,CBIC_Late_Fee_Relief_Windows_1!$F$100:$F$1287,"&lt;="&amp;C1287,CBIC_Late_Fee_Relief_Windows_1!$G$100:$G$1287,"&gt;="&amp;C1287,CBIC_Late_Fee_Relief_Windows_1!$H$100:$H$1287,D1287)</f>
        <v>#NAME?</v>
      </c>
      <c r="H1287" t="e">
        <f t="shared" ca="1" si="20"/>
        <v>#NAME?</v>
      </c>
      <c r="I1287" t="e">
        <f ca="1">INDEX(CBIC_Late_Fee_Relief_Windows_1!$B$100:$B$1287,MATCH(G1287,CBIC_Late_Fee_Relief_Windows_1!$I$100:$I$1287,0))</f>
        <v>#NAME?</v>
      </c>
    </row>
    <row r="1288" spans="1:9" x14ac:dyDescent="0.55000000000000004">
      <c r="A1288" t="str">
        <f>TEST_DATA!A1288</f>
        <v>27AAAAA1288Z5</v>
      </c>
      <c r="B1288" t="str">
        <f>TEST_DATA!B1288</f>
        <v>Dec-2024</v>
      </c>
      <c r="C1288">
        <f>TEST_DATA!C1288</f>
        <v>45672</v>
      </c>
      <c r="D1288" t="str">
        <f>TEST_DATA!D1288</f>
        <v>NIL</v>
      </c>
      <c r="E1288">
        <f>TEST_DATA!E1288</f>
        <v>1078</v>
      </c>
      <c r="F1288">
        <f>MIN(E1288*128800,10000)</f>
        <v>10000</v>
      </c>
      <c r="G1288" t="e">
        <f ca="1">_xludf.MINIFS(CBIC_Late_Fee_Relief_Windows_1!$I$100:$I$1288,CBIC_Late_Fee_Relief_Windows_1!$D$100:$D$1288,"&lt;="&amp;B1288,CBIC_Late_Fee_Relief_Windows_1!$E$100:$E$1288,"&gt;="&amp;B1288,CBIC_Late_Fee_Relief_Windows_1!$F$100:$F$1288,"&lt;="&amp;C1288,CBIC_Late_Fee_Relief_Windows_1!$G$100:$G$1288,"&gt;="&amp;C1288,CBIC_Late_Fee_Relief_Windows_1!$H$100:$H$1288,D1288)</f>
        <v>#NAME?</v>
      </c>
      <c r="H1288" t="e">
        <f t="shared" ca="1" si="20"/>
        <v>#NAME?</v>
      </c>
      <c r="I1288" t="e">
        <f ca="1">INDEX(CBIC_Late_Fee_Relief_Windows_1!$B$100:$B$1288,MATCH(G1288,CBIC_Late_Fee_Relief_Windows_1!$I$100:$I$1288,0))</f>
        <v>#NAME?</v>
      </c>
    </row>
    <row r="1289" spans="1:9" x14ac:dyDescent="0.55000000000000004">
      <c r="A1289" t="str">
        <f>TEST_DATA!A1289</f>
        <v>27AAAAA1289Z5</v>
      </c>
      <c r="B1289" t="str">
        <f>TEST_DATA!B1289</f>
        <v>Jan-2021</v>
      </c>
      <c r="C1289">
        <f>TEST_DATA!C1289</f>
        <v>43779</v>
      </c>
      <c r="D1289" t="str">
        <f>TEST_DATA!D1289</f>
        <v>NIL</v>
      </c>
      <c r="E1289">
        <f>TEST_DATA!E1289</f>
        <v>76</v>
      </c>
      <c r="F1289">
        <f>MIN(E1289*128900,10000)</f>
        <v>10000</v>
      </c>
      <c r="G1289" t="e">
        <f ca="1">_xludf.MINIFS(CBIC_Late_Fee_Relief_Windows_1!$I$100:$I$1289,CBIC_Late_Fee_Relief_Windows_1!$D$100:$D$1289,"&lt;="&amp;B1289,CBIC_Late_Fee_Relief_Windows_1!$E$100:$E$1289,"&gt;="&amp;B1289,CBIC_Late_Fee_Relief_Windows_1!$F$100:$F$1289,"&lt;="&amp;C1289,CBIC_Late_Fee_Relief_Windows_1!$G$100:$G$1289,"&gt;="&amp;C1289,CBIC_Late_Fee_Relief_Windows_1!$H$100:$H$1289,D1289)</f>
        <v>#NAME?</v>
      </c>
      <c r="H1289" t="e">
        <f t="shared" ca="1" si="20"/>
        <v>#NAME?</v>
      </c>
      <c r="I1289" t="e">
        <f ca="1">INDEX(CBIC_Late_Fee_Relief_Windows_1!$B$100:$B$1289,MATCH(G1289,CBIC_Late_Fee_Relief_Windows_1!$I$100:$I$1289,0))</f>
        <v>#NAME?</v>
      </c>
    </row>
    <row r="1290" spans="1:9" x14ac:dyDescent="0.55000000000000004">
      <c r="A1290" t="str">
        <f>TEST_DATA!A1290</f>
        <v>27AAAAA1290Z5</v>
      </c>
      <c r="B1290" t="str">
        <f>TEST_DATA!B1290</f>
        <v>Mar-2023</v>
      </c>
      <c r="C1290">
        <f>TEST_DATA!C1290</f>
        <v>45543</v>
      </c>
      <c r="D1290" t="str">
        <f>TEST_DATA!D1290</f>
        <v>NIL</v>
      </c>
      <c r="E1290">
        <f>TEST_DATA!E1290</f>
        <v>2383</v>
      </c>
      <c r="F1290">
        <f>MIN(E1290*129000,10000)</f>
        <v>10000</v>
      </c>
      <c r="G1290" t="e">
        <f ca="1">_xludf.MINIFS(CBIC_Late_Fee_Relief_Windows_1!$I$100:$I$1290,CBIC_Late_Fee_Relief_Windows_1!$D$100:$D$1290,"&lt;="&amp;B1290,CBIC_Late_Fee_Relief_Windows_1!$E$100:$E$1290,"&gt;="&amp;B1290,CBIC_Late_Fee_Relief_Windows_1!$F$100:$F$1290,"&lt;="&amp;C1290,CBIC_Late_Fee_Relief_Windows_1!$G$100:$G$1290,"&gt;="&amp;C1290,CBIC_Late_Fee_Relief_Windows_1!$H$100:$H$1290,D1290)</f>
        <v>#NAME?</v>
      </c>
      <c r="H1290" t="e">
        <f t="shared" ca="1" si="20"/>
        <v>#NAME?</v>
      </c>
      <c r="I1290" t="e">
        <f ca="1">INDEX(CBIC_Late_Fee_Relief_Windows_1!$B$100:$B$1290,MATCH(G1290,CBIC_Late_Fee_Relief_Windows_1!$I$100:$I$1290,0))</f>
        <v>#NAME?</v>
      </c>
    </row>
    <row r="1291" spans="1:9" x14ac:dyDescent="0.55000000000000004">
      <c r="A1291" t="str">
        <f>TEST_DATA!A1291</f>
        <v>27AAAAA1291Z5</v>
      </c>
      <c r="B1291" t="str">
        <f>TEST_DATA!B1291</f>
        <v>Mar-2020</v>
      </c>
      <c r="C1291">
        <f>TEST_DATA!C1291</f>
        <v>44660</v>
      </c>
      <c r="D1291" t="str">
        <f>TEST_DATA!D1291</f>
        <v>NIL</v>
      </c>
      <c r="E1291">
        <f>TEST_DATA!E1291</f>
        <v>150</v>
      </c>
      <c r="F1291">
        <f>MIN(E1291*129100,10000)</f>
        <v>10000</v>
      </c>
      <c r="G1291" t="e">
        <f ca="1">_xludf.MINIFS(CBIC_Late_Fee_Relief_Windows_1!$I$100:$I$1291,CBIC_Late_Fee_Relief_Windows_1!$D$100:$D$1291,"&lt;="&amp;B1291,CBIC_Late_Fee_Relief_Windows_1!$E$100:$E$1291,"&gt;="&amp;B1291,CBIC_Late_Fee_Relief_Windows_1!$F$100:$F$1291,"&lt;="&amp;C1291,CBIC_Late_Fee_Relief_Windows_1!$G$100:$G$1291,"&gt;="&amp;C1291,CBIC_Late_Fee_Relief_Windows_1!$H$100:$H$1291,D1291)</f>
        <v>#NAME?</v>
      </c>
      <c r="H1291" t="e">
        <f t="shared" ca="1" si="20"/>
        <v>#NAME?</v>
      </c>
      <c r="I1291" t="e">
        <f ca="1">INDEX(CBIC_Late_Fee_Relief_Windows_1!$B$100:$B$1291,MATCH(G1291,CBIC_Late_Fee_Relief_Windows_1!$I$100:$I$1291,0))</f>
        <v>#NAME?</v>
      </c>
    </row>
    <row r="1292" spans="1:9" x14ac:dyDescent="0.55000000000000004">
      <c r="A1292" t="str">
        <f>TEST_DATA!A1292</f>
        <v>27AAAAA1292Z5</v>
      </c>
      <c r="B1292" t="str">
        <f>TEST_DATA!B1292</f>
        <v>Dec-2019</v>
      </c>
      <c r="C1292">
        <f>TEST_DATA!C1292</f>
        <v>44533</v>
      </c>
      <c r="D1292" t="str">
        <f>TEST_DATA!D1292</f>
        <v>NON-NIL</v>
      </c>
      <c r="E1292">
        <f>TEST_DATA!E1292</f>
        <v>2678</v>
      </c>
      <c r="F1292">
        <f>MIN(E1292*129200,10000)</f>
        <v>10000</v>
      </c>
      <c r="G1292" t="e">
        <f ca="1">_xludf.MINIFS(CBIC_Late_Fee_Relief_Windows_1!$I$100:$I$1292,CBIC_Late_Fee_Relief_Windows_1!$D$100:$D$1292,"&lt;="&amp;B1292,CBIC_Late_Fee_Relief_Windows_1!$E$100:$E$1292,"&gt;="&amp;B1292,CBIC_Late_Fee_Relief_Windows_1!$F$100:$F$1292,"&lt;="&amp;C1292,CBIC_Late_Fee_Relief_Windows_1!$G$100:$G$1292,"&gt;="&amp;C1292,CBIC_Late_Fee_Relief_Windows_1!$H$100:$H$1292,D1292)</f>
        <v>#NAME?</v>
      </c>
      <c r="H1292" t="e">
        <f t="shared" ca="1" si="20"/>
        <v>#NAME?</v>
      </c>
      <c r="I1292" t="e">
        <f ca="1">INDEX(CBIC_Late_Fee_Relief_Windows_1!$B$100:$B$1292,MATCH(G1292,CBIC_Late_Fee_Relief_Windows_1!$I$100:$I$1292,0))</f>
        <v>#NAME?</v>
      </c>
    </row>
    <row r="1293" spans="1:9" x14ac:dyDescent="0.55000000000000004">
      <c r="A1293" t="str">
        <f>TEST_DATA!A1293</f>
        <v>27AAAAA1293Z5</v>
      </c>
      <c r="B1293" t="str">
        <f>TEST_DATA!B1293</f>
        <v>Mar-2021</v>
      </c>
      <c r="C1293">
        <f>TEST_DATA!C1293</f>
        <v>44074</v>
      </c>
      <c r="D1293" t="str">
        <f>TEST_DATA!D1293</f>
        <v>NON-NIL</v>
      </c>
      <c r="E1293">
        <f>TEST_DATA!E1293</f>
        <v>1607</v>
      </c>
      <c r="F1293">
        <f>MIN(E1293*129300,10000)</f>
        <v>10000</v>
      </c>
      <c r="G1293" t="e">
        <f ca="1">_xludf.MINIFS(CBIC_Late_Fee_Relief_Windows_1!$I$100:$I$1293,CBIC_Late_Fee_Relief_Windows_1!$D$100:$D$1293,"&lt;="&amp;B1293,CBIC_Late_Fee_Relief_Windows_1!$E$100:$E$1293,"&gt;="&amp;B1293,CBIC_Late_Fee_Relief_Windows_1!$F$100:$F$1293,"&lt;="&amp;C1293,CBIC_Late_Fee_Relief_Windows_1!$G$100:$G$1293,"&gt;="&amp;C1293,CBIC_Late_Fee_Relief_Windows_1!$H$100:$H$1293,D1293)</f>
        <v>#NAME?</v>
      </c>
      <c r="H1293" t="e">
        <f t="shared" ca="1" si="20"/>
        <v>#NAME?</v>
      </c>
      <c r="I1293" t="e">
        <f ca="1">INDEX(CBIC_Late_Fee_Relief_Windows_1!$B$100:$B$1293,MATCH(G1293,CBIC_Late_Fee_Relief_Windows_1!$I$100:$I$1293,0))</f>
        <v>#NAME?</v>
      </c>
    </row>
    <row r="1294" spans="1:9" x14ac:dyDescent="0.55000000000000004">
      <c r="A1294" t="str">
        <f>TEST_DATA!A1294</f>
        <v>27AAAAA1294Z5</v>
      </c>
      <c r="B1294" t="str">
        <f>TEST_DATA!B1294</f>
        <v>Feb-2018</v>
      </c>
      <c r="C1294">
        <f>TEST_DATA!C1294</f>
        <v>44498</v>
      </c>
      <c r="D1294" t="str">
        <f>TEST_DATA!D1294</f>
        <v>NON-NIL</v>
      </c>
      <c r="E1294">
        <f>TEST_DATA!E1294</f>
        <v>548</v>
      </c>
      <c r="F1294">
        <f>MIN(E1294*129400,10000)</f>
        <v>10000</v>
      </c>
      <c r="G1294" t="e">
        <f ca="1">_xludf.MINIFS(CBIC_Late_Fee_Relief_Windows_1!$I$100:$I$1294,CBIC_Late_Fee_Relief_Windows_1!$D$100:$D$1294,"&lt;="&amp;B1294,CBIC_Late_Fee_Relief_Windows_1!$E$100:$E$1294,"&gt;="&amp;B1294,CBIC_Late_Fee_Relief_Windows_1!$F$100:$F$1294,"&lt;="&amp;C1294,CBIC_Late_Fee_Relief_Windows_1!$G$100:$G$1294,"&gt;="&amp;C1294,CBIC_Late_Fee_Relief_Windows_1!$H$100:$H$1294,D1294)</f>
        <v>#NAME?</v>
      </c>
      <c r="H1294" t="e">
        <f t="shared" ca="1" si="20"/>
        <v>#NAME?</v>
      </c>
      <c r="I1294" t="e">
        <f ca="1">INDEX(CBIC_Late_Fee_Relief_Windows_1!$B$100:$B$1294,MATCH(G1294,CBIC_Late_Fee_Relief_Windows_1!$I$100:$I$1294,0))</f>
        <v>#NAME?</v>
      </c>
    </row>
    <row r="1295" spans="1:9" x14ac:dyDescent="0.55000000000000004">
      <c r="A1295" t="str">
        <f>TEST_DATA!A1295</f>
        <v>27AAAAA1295Z5</v>
      </c>
      <c r="B1295" t="str">
        <f>TEST_DATA!B1295</f>
        <v>Sep-2018</v>
      </c>
      <c r="C1295">
        <f>TEST_DATA!C1295</f>
        <v>43943</v>
      </c>
      <c r="D1295" t="str">
        <f>TEST_DATA!D1295</f>
        <v>NIL</v>
      </c>
      <c r="E1295">
        <f>TEST_DATA!E1295</f>
        <v>1625</v>
      </c>
      <c r="F1295">
        <f>MIN(E1295*129500,10000)</f>
        <v>10000</v>
      </c>
      <c r="G1295" t="e">
        <f ca="1">_xludf.MINIFS(CBIC_Late_Fee_Relief_Windows_1!$I$100:$I$1295,CBIC_Late_Fee_Relief_Windows_1!$D$100:$D$1295,"&lt;="&amp;B1295,CBIC_Late_Fee_Relief_Windows_1!$E$100:$E$1295,"&gt;="&amp;B1295,CBIC_Late_Fee_Relief_Windows_1!$F$100:$F$1295,"&lt;="&amp;C1295,CBIC_Late_Fee_Relief_Windows_1!$G$100:$G$1295,"&gt;="&amp;C1295,CBIC_Late_Fee_Relief_Windows_1!$H$100:$H$1295,D1295)</f>
        <v>#NAME?</v>
      </c>
      <c r="H1295" t="e">
        <f t="shared" ca="1" si="20"/>
        <v>#NAME?</v>
      </c>
      <c r="I1295" t="e">
        <f ca="1">INDEX(CBIC_Late_Fee_Relief_Windows_1!$B$100:$B$1295,MATCH(G1295,CBIC_Late_Fee_Relief_Windows_1!$I$100:$I$1295,0))</f>
        <v>#NAME?</v>
      </c>
    </row>
    <row r="1296" spans="1:9" x14ac:dyDescent="0.55000000000000004">
      <c r="A1296" t="str">
        <f>TEST_DATA!A1296</f>
        <v>27AAAAA1296Z5</v>
      </c>
      <c r="B1296" t="str">
        <f>TEST_DATA!B1296</f>
        <v>Jun-2018</v>
      </c>
      <c r="C1296">
        <f>TEST_DATA!C1296</f>
        <v>43945</v>
      </c>
      <c r="D1296" t="str">
        <f>TEST_DATA!D1296</f>
        <v>NIL</v>
      </c>
      <c r="E1296">
        <f>TEST_DATA!E1296</f>
        <v>2714</v>
      </c>
      <c r="F1296">
        <f>MIN(E1296*129600,10000)</f>
        <v>10000</v>
      </c>
      <c r="G1296" t="e">
        <f ca="1">_xludf.MINIFS(CBIC_Late_Fee_Relief_Windows_1!$I$100:$I$1296,CBIC_Late_Fee_Relief_Windows_1!$D$100:$D$1296,"&lt;="&amp;B1296,CBIC_Late_Fee_Relief_Windows_1!$E$100:$E$1296,"&gt;="&amp;B1296,CBIC_Late_Fee_Relief_Windows_1!$F$100:$F$1296,"&lt;="&amp;C1296,CBIC_Late_Fee_Relief_Windows_1!$G$100:$G$1296,"&gt;="&amp;C1296,CBIC_Late_Fee_Relief_Windows_1!$H$100:$H$1296,D1296)</f>
        <v>#NAME?</v>
      </c>
      <c r="H1296" t="e">
        <f t="shared" ca="1" si="20"/>
        <v>#NAME?</v>
      </c>
      <c r="I1296" t="e">
        <f ca="1">INDEX(CBIC_Late_Fee_Relief_Windows_1!$B$100:$B$1296,MATCH(G1296,CBIC_Late_Fee_Relief_Windows_1!$I$100:$I$1296,0))</f>
        <v>#NAME?</v>
      </c>
    </row>
    <row r="1297" spans="1:9" x14ac:dyDescent="0.55000000000000004">
      <c r="A1297" t="str">
        <f>TEST_DATA!A1297</f>
        <v>27AAAAA1297Z5</v>
      </c>
      <c r="B1297" t="str">
        <f>TEST_DATA!B1297</f>
        <v>Feb-2018</v>
      </c>
      <c r="C1297">
        <f>TEST_DATA!C1297</f>
        <v>44174</v>
      </c>
      <c r="D1297" t="str">
        <f>TEST_DATA!D1297</f>
        <v>NIL</v>
      </c>
      <c r="E1297">
        <f>TEST_DATA!E1297</f>
        <v>2105</v>
      </c>
      <c r="F1297">
        <f>MIN(E1297*129700,10000)</f>
        <v>10000</v>
      </c>
      <c r="G1297" t="e">
        <f ca="1">_xludf.MINIFS(CBIC_Late_Fee_Relief_Windows_1!$I$100:$I$1297,CBIC_Late_Fee_Relief_Windows_1!$D$100:$D$1297,"&lt;="&amp;B1297,CBIC_Late_Fee_Relief_Windows_1!$E$100:$E$1297,"&gt;="&amp;B1297,CBIC_Late_Fee_Relief_Windows_1!$F$100:$F$1297,"&lt;="&amp;C1297,CBIC_Late_Fee_Relief_Windows_1!$G$100:$G$1297,"&gt;="&amp;C1297,CBIC_Late_Fee_Relief_Windows_1!$H$100:$H$1297,D1297)</f>
        <v>#NAME?</v>
      </c>
      <c r="H1297" t="e">
        <f t="shared" ca="1" si="20"/>
        <v>#NAME?</v>
      </c>
      <c r="I1297" t="e">
        <f ca="1">INDEX(CBIC_Late_Fee_Relief_Windows_1!$B$100:$B$1297,MATCH(G1297,CBIC_Late_Fee_Relief_Windows_1!$I$100:$I$1297,0))</f>
        <v>#NAME?</v>
      </c>
    </row>
    <row r="1298" spans="1:9" x14ac:dyDescent="0.55000000000000004">
      <c r="A1298" t="str">
        <f>TEST_DATA!A1298</f>
        <v>27AAAAA1298Z5</v>
      </c>
      <c r="B1298" t="str">
        <f>TEST_DATA!B1298</f>
        <v>Nov-2017</v>
      </c>
      <c r="C1298">
        <f>TEST_DATA!C1298</f>
        <v>43830</v>
      </c>
      <c r="D1298" t="str">
        <f>TEST_DATA!D1298</f>
        <v>NIL</v>
      </c>
      <c r="E1298">
        <f>TEST_DATA!E1298</f>
        <v>733</v>
      </c>
      <c r="F1298">
        <f>MIN(E1298*129800,10000)</f>
        <v>10000</v>
      </c>
      <c r="G1298" t="e">
        <f ca="1">_xludf.MINIFS(CBIC_Late_Fee_Relief_Windows_1!$I$100:$I$1298,CBIC_Late_Fee_Relief_Windows_1!$D$100:$D$1298,"&lt;="&amp;B1298,CBIC_Late_Fee_Relief_Windows_1!$E$100:$E$1298,"&gt;="&amp;B1298,CBIC_Late_Fee_Relief_Windows_1!$F$100:$F$1298,"&lt;="&amp;C1298,CBIC_Late_Fee_Relief_Windows_1!$G$100:$G$1298,"&gt;="&amp;C1298,CBIC_Late_Fee_Relief_Windows_1!$H$100:$H$1298,D1298)</f>
        <v>#NAME?</v>
      </c>
      <c r="H1298" t="e">
        <f t="shared" ca="1" si="20"/>
        <v>#NAME?</v>
      </c>
      <c r="I1298" t="e">
        <f ca="1">INDEX(CBIC_Late_Fee_Relief_Windows_1!$B$100:$B$1298,MATCH(G1298,CBIC_Late_Fee_Relief_Windows_1!$I$100:$I$1298,0))</f>
        <v>#NAME?</v>
      </c>
    </row>
    <row r="1299" spans="1:9" x14ac:dyDescent="0.55000000000000004">
      <c r="A1299" t="str">
        <f>TEST_DATA!A1299</f>
        <v>27AAAAA1299Z5</v>
      </c>
      <c r="B1299" t="str">
        <f>TEST_DATA!B1299</f>
        <v>Mar-2020</v>
      </c>
      <c r="C1299">
        <f>TEST_DATA!C1299</f>
        <v>44130</v>
      </c>
      <c r="D1299" t="str">
        <f>TEST_DATA!D1299</f>
        <v>NON-NIL</v>
      </c>
      <c r="E1299">
        <f>TEST_DATA!E1299</f>
        <v>1469</v>
      </c>
      <c r="F1299">
        <f>MIN(E1299*129900,10000)</f>
        <v>10000</v>
      </c>
      <c r="G1299" t="e">
        <f ca="1">_xludf.MINIFS(CBIC_Late_Fee_Relief_Windows_1!$I$100:$I$1299,CBIC_Late_Fee_Relief_Windows_1!$D$100:$D$1299,"&lt;="&amp;B1299,CBIC_Late_Fee_Relief_Windows_1!$E$100:$E$1299,"&gt;="&amp;B1299,CBIC_Late_Fee_Relief_Windows_1!$F$100:$F$1299,"&lt;="&amp;C1299,CBIC_Late_Fee_Relief_Windows_1!$G$100:$G$1299,"&gt;="&amp;C1299,CBIC_Late_Fee_Relief_Windows_1!$H$100:$H$1299,D1299)</f>
        <v>#NAME?</v>
      </c>
      <c r="H1299" t="e">
        <f t="shared" ca="1" si="20"/>
        <v>#NAME?</v>
      </c>
      <c r="I1299" t="e">
        <f ca="1">INDEX(CBIC_Late_Fee_Relief_Windows_1!$B$100:$B$1299,MATCH(G1299,CBIC_Late_Fee_Relief_Windows_1!$I$100:$I$1299,0))</f>
        <v>#NAME?</v>
      </c>
    </row>
    <row r="1300" spans="1:9" x14ac:dyDescent="0.55000000000000004">
      <c r="A1300" t="str">
        <f>TEST_DATA!A1300</f>
        <v>27AAAAA1300Z5</v>
      </c>
      <c r="B1300" t="str">
        <f>TEST_DATA!B1300</f>
        <v>Aug-2017</v>
      </c>
      <c r="C1300">
        <f>TEST_DATA!C1300</f>
        <v>43365</v>
      </c>
      <c r="D1300" t="str">
        <f>TEST_DATA!D1300</f>
        <v>NON-NIL</v>
      </c>
      <c r="E1300">
        <f>TEST_DATA!E1300</f>
        <v>949</v>
      </c>
      <c r="F1300">
        <f>MIN(E1300*130000,10000)</f>
        <v>10000</v>
      </c>
      <c r="G1300" t="e">
        <f ca="1">_xludf.MINIFS(CBIC_Late_Fee_Relief_Windows_1!$I$100:$I$1300,CBIC_Late_Fee_Relief_Windows_1!$D$100:$D$1300,"&lt;="&amp;B1300,CBIC_Late_Fee_Relief_Windows_1!$E$100:$E$1300,"&gt;="&amp;B1300,CBIC_Late_Fee_Relief_Windows_1!$F$100:$F$1300,"&lt;="&amp;C1300,CBIC_Late_Fee_Relief_Windows_1!$G$100:$G$1300,"&gt;="&amp;C1300,CBIC_Late_Fee_Relief_Windows_1!$H$100:$H$1300,D1300)</f>
        <v>#NAME?</v>
      </c>
      <c r="H1300" t="e">
        <f t="shared" ca="1" si="20"/>
        <v>#NAME?</v>
      </c>
      <c r="I1300" t="e">
        <f ca="1">INDEX(CBIC_Late_Fee_Relief_Windows_1!$B$100:$B$1300,MATCH(G1300,CBIC_Late_Fee_Relief_Windows_1!$I$100:$I$1300,0))</f>
        <v>#NAME?</v>
      </c>
    </row>
    <row r="1301" spans="1:9" x14ac:dyDescent="0.55000000000000004">
      <c r="A1301" t="str">
        <f>TEST_DATA!A1301</f>
        <v>27AAAAA1301Z5</v>
      </c>
      <c r="B1301" t="str">
        <f>TEST_DATA!B1301</f>
        <v>Sep-2017</v>
      </c>
      <c r="C1301">
        <f>TEST_DATA!C1301</f>
        <v>43458</v>
      </c>
      <c r="D1301" t="str">
        <f>TEST_DATA!D1301</f>
        <v>NON-NIL</v>
      </c>
      <c r="E1301">
        <f>TEST_DATA!E1301</f>
        <v>958</v>
      </c>
      <c r="F1301">
        <f>MIN(E1301*130100,10000)</f>
        <v>10000</v>
      </c>
      <c r="G1301" t="e">
        <f ca="1">_xludf.MINIFS(CBIC_Late_Fee_Relief_Windows_1!$I$100:$I$1301,CBIC_Late_Fee_Relief_Windows_1!$D$100:$D$1301,"&lt;="&amp;B1301,CBIC_Late_Fee_Relief_Windows_1!$E$100:$E$1301,"&gt;="&amp;B1301,CBIC_Late_Fee_Relief_Windows_1!$F$100:$F$1301,"&lt;="&amp;C1301,CBIC_Late_Fee_Relief_Windows_1!$G$100:$G$1301,"&gt;="&amp;C1301,CBIC_Late_Fee_Relief_Windows_1!$H$100:$H$1301,D1301)</f>
        <v>#NAME?</v>
      </c>
      <c r="H1301" t="e">
        <f t="shared" ca="1" si="20"/>
        <v>#NAME?</v>
      </c>
      <c r="I1301" t="e">
        <f ca="1">INDEX(CBIC_Late_Fee_Relief_Windows_1!$B$100:$B$1301,MATCH(G1301,CBIC_Late_Fee_Relief_Windows_1!$I$100:$I$1301,0))</f>
        <v>#NAME?</v>
      </c>
    </row>
    <row r="1302" spans="1:9" x14ac:dyDescent="0.55000000000000004">
      <c r="A1302" t="str">
        <f>TEST_DATA!A1302</f>
        <v>27AAAAA1302Z5</v>
      </c>
      <c r="B1302" t="str">
        <f>TEST_DATA!B1302</f>
        <v>Aug-2017</v>
      </c>
      <c r="C1302">
        <f>TEST_DATA!C1302</f>
        <v>44286</v>
      </c>
      <c r="D1302" t="str">
        <f>TEST_DATA!D1302</f>
        <v>NIL</v>
      </c>
      <c r="E1302">
        <f>TEST_DATA!E1302</f>
        <v>2121</v>
      </c>
      <c r="F1302">
        <f>MIN(E1302*130200,10000)</f>
        <v>10000</v>
      </c>
      <c r="G1302" t="e">
        <f ca="1">_xludf.MINIFS(CBIC_Late_Fee_Relief_Windows_1!$I$100:$I$1302,CBIC_Late_Fee_Relief_Windows_1!$D$100:$D$1302,"&lt;="&amp;B1302,CBIC_Late_Fee_Relief_Windows_1!$E$100:$E$1302,"&gt;="&amp;B1302,CBIC_Late_Fee_Relief_Windows_1!$F$100:$F$1302,"&lt;="&amp;C1302,CBIC_Late_Fee_Relief_Windows_1!$G$100:$G$1302,"&gt;="&amp;C1302,CBIC_Late_Fee_Relief_Windows_1!$H$100:$H$1302,D1302)</f>
        <v>#NAME?</v>
      </c>
      <c r="H1302" t="e">
        <f t="shared" ca="1" si="20"/>
        <v>#NAME?</v>
      </c>
      <c r="I1302" t="e">
        <f ca="1">INDEX(CBIC_Late_Fee_Relief_Windows_1!$B$100:$B$1302,MATCH(G1302,CBIC_Late_Fee_Relief_Windows_1!$I$100:$I$1302,0))</f>
        <v>#NAME?</v>
      </c>
    </row>
    <row r="1303" spans="1:9" x14ac:dyDescent="0.55000000000000004">
      <c r="A1303" t="str">
        <f>TEST_DATA!A1303</f>
        <v>27AAAAA1303Z5</v>
      </c>
      <c r="B1303" t="str">
        <f>TEST_DATA!B1303</f>
        <v>Apr-2021</v>
      </c>
      <c r="C1303">
        <f>TEST_DATA!C1303</f>
        <v>44945</v>
      </c>
      <c r="D1303" t="str">
        <f>TEST_DATA!D1303</f>
        <v>NON-NIL</v>
      </c>
      <c r="E1303">
        <f>TEST_DATA!E1303</f>
        <v>1923</v>
      </c>
      <c r="F1303">
        <f>MIN(E1303*130300,10000)</f>
        <v>10000</v>
      </c>
      <c r="G1303" t="e">
        <f ca="1">_xludf.MINIFS(CBIC_Late_Fee_Relief_Windows_1!$I$100:$I$1303,CBIC_Late_Fee_Relief_Windows_1!$D$100:$D$1303,"&lt;="&amp;B1303,CBIC_Late_Fee_Relief_Windows_1!$E$100:$E$1303,"&gt;="&amp;B1303,CBIC_Late_Fee_Relief_Windows_1!$F$100:$F$1303,"&lt;="&amp;C1303,CBIC_Late_Fee_Relief_Windows_1!$G$100:$G$1303,"&gt;="&amp;C1303,CBIC_Late_Fee_Relief_Windows_1!$H$100:$H$1303,D1303)</f>
        <v>#NAME?</v>
      </c>
      <c r="H1303" t="e">
        <f t="shared" ca="1" si="20"/>
        <v>#NAME?</v>
      </c>
      <c r="I1303" t="e">
        <f ca="1">INDEX(CBIC_Late_Fee_Relief_Windows_1!$B$100:$B$1303,MATCH(G1303,CBIC_Late_Fee_Relief_Windows_1!$I$100:$I$1303,0))</f>
        <v>#NAME?</v>
      </c>
    </row>
    <row r="1304" spans="1:9" x14ac:dyDescent="0.55000000000000004">
      <c r="A1304" t="str">
        <f>TEST_DATA!A1304</f>
        <v>27AAAAA1304Z5</v>
      </c>
      <c r="B1304" t="str">
        <f>TEST_DATA!B1304</f>
        <v>Sep-2018</v>
      </c>
      <c r="C1304">
        <f>TEST_DATA!C1304</f>
        <v>43012</v>
      </c>
      <c r="D1304" t="str">
        <f>TEST_DATA!D1304</f>
        <v>NIL</v>
      </c>
      <c r="E1304">
        <f>TEST_DATA!E1304</f>
        <v>2656</v>
      </c>
      <c r="F1304">
        <f>MIN(E1304*130400,10000)</f>
        <v>10000</v>
      </c>
      <c r="G1304" t="e">
        <f ca="1">_xludf.MINIFS(CBIC_Late_Fee_Relief_Windows_1!$I$100:$I$1304,CBIC_Late_Fee_Relief_Windows_1!$D$100:$D$1304,"&lt;="&amp;B1304,CBIC_Late_Fee_Relief_Windows_1!$E$100:$E$1304,"&gt;="&amp;B1304,CBIC_Late_Fee_Relief_Windows_1!$F$100:$F$1304,"&lt;="&amp;C1304,CBIC_Late_Fee_Relief_Windows_1!$G$100:$G$1304,"&gt;="&amp;C1304,CBIC_Late_Fee_Relief_Windows_1!$H$100:$H$1304,D1304)</f>
        <v>#NAME?</v>
      </c>
      <c r="H1304" t="e">
        <f t="shared" ca="1" si="20"/>
        <v>#NAME?</v>
      </c>
      <c r="I1304" t="e">
        <f ca="1">INDEX(CBIC_Late_Fee_Relief_Windows_1!$B$100:$B$1304,MATCH(G1304,CBIC_Late_Fee_Relief_Windows_1!$I$100:$I$1304,0))</f>
        <v>#NAME?</v>
      </c>
    </row>
    <row r="1305" spans="1:9" x14ac:dyDescent="0.55000000000000004">
      <c r="A1305" t="str">
        <f>TEST_DATA!A1305</f>
        <v>27AAAAA1305Z5</v>
      </c>
      <c r="B1305" t="str">
        <f>TEST_DATA!B1305</f>
        <v>May-2018</v>
      </c>
      <c r="C1305">
        <f>TEST_DATA!C1305</f>
        <v>43128</v>
      </c>
      <c r="D1305" t="str">
        <f>TEST_DATA!D1305</f>
        <v>NON-NIL</v>
      </c>
      <c r="E1305">
        <f>TEST_DATA!E1305</f>
        <v>1078</v>
      </c>
      <c r="F1305">
        <f>MIN(E1305*130500,10000)</f>
        <v>10000</v>
      </c>
      <c r="G1305" t="e">
        <f ca="1">_xludf.MINIFS(CBIC_Late_Fee_Relief_Windows_1!$I$100:$I$1305,CBIC_Late_Fee_Relief_Windows_1!$D$100:$D$1305,"&lt;="&amp;B1305,CBIC_Late_Fee_Relief_Windows_1!$E$100:$E$1305,"&gt;="&amp;B1305,CBIC_Late_Fee_Relief_Windows_1!$F$100:$F$1305,"&lt;="&amp;C1305,CBIC_Late_Fee_Relief_Windows_1!$G$100:$G$1305,"&gt;="&amp;C1305,CBIC_Late_Fee_Relief_Windows_1!$H$100:$H$1305,D1305)</f>
        <v>#NAME?</v>
      </c>
      <c r="H1305" t="e">
        <f t="shared" ca="1" si="20"/>
        <v>#NAME?</v>
      </c>
      <c r="I1305" t="e">
        <f ca="1">INDEX(CBIC_Late_Fee_Relief_Windows_1!$B$100:$B$1305,MATCH(G1305,CBIC_Late_Fee_Relief_Windows_1!$I$100:$I$1305,0))</f>
        <v>#NAME?</v>
      </c>
    </row>
    <row r="1306" spans="1:9" x14ac:dyDescent="0.55000000000000004">
      <c r="A1306" t="str">
        <f>TEST_DATA!A1306</f>
        <v>27AAAAA1306Z5</v>
      </c>
      <c r="B1306" t="str">
        <f>TEST_DATA!B1306</f>
        <v>Mar-2020</v>
      </c>
      <c r="C1306">
        <f>TEST_DATA!C1306</f>
        <v>44187</v>
      </c>
      <c r="D1306" t="str">
        <f>TEST_DATA!D1306</f>
        <v>NON-NIL</v>
      </c>
      <c r="E1306">
        <f>TEST_DATA!E1306</f>
        <v>2677</v>
      </c>
      <c r="F1306">
        <f>MIN(E1306*130600,10000)</f>
        <v>10000</v>
      </c>
      <c r="G1306" t="e">
        <f ca="1">_xludf.MINIFS(CBIC_Late_Fee_Relief_Windows_1!$I$100:$I$1306,CBIC_Late_Fee_Relief_Windows_1!$D$100:$D$1306,"&lt;="&amp;B1306,CBIC_Late_Fee_Relief_Windows_1!$E$100:$E$1306,"&gt;="&amp;B1306,CBIC_Late_Fee_Relief_Windows_1!$F$100:$F$1306,"&lt;="&amp;C1306,CBIC_Late_Fee_Relief_Windows_1!$G$100:$G$1306,"&gt;="&amp;C1306,CBIC_Late_Fee_Relief_Windows_1!$H$100:$H$1306,D1306)</f>
        <v>#NAME?</v>
      </c>
      <c r="H1306" t="e">
        <f t="shared" ca="1" si="20"/>
        <v>#NAME?</v>
      </c>
      <c r="I1306" t="e">
        <f ca="1">INDEX(CBIC_Late_Fee_Relief_Windows_1!$B$100:$B$1306,MATCH(G1306,CBIC_Late_Fee_Relief_Windows_1!$I$100:$I$1306,0))</f>
        <v>#NAME?</v>
      </c>
    </row>
    <row r="1307" spans="1:9" x14ac:dyDescent="0.55000000000000004">
      <c r="A1307" t="str">
        <f>TEST_DATA!A1307</f>
        <v>27AAAAA1307Z5</v>
      </c>
      <c r="B1307" t="str">
        <f>TEST_DATA!B1307</f>
        <v>Jul-2018</v>
      </c>
      <c r="C1307">
        <f>TEST_DATA!C1307</f>
        <v>43665</v>
      </c>
      <c r="D1307" t="str">
        <f>TEST_DATA!D1307</f>
        <v>NIL</v>
      </c>
      <c r="E1307">
        <f>TEST_DATA!E1307</f>
        <v>2116</v>
      </c>
      <c r="F1307">
        <f>MIN(E1307*130700,10000)</f>
        <v>10000</v>
      </c>
      <c r="G1307" t="e">
        <f ca="1">_xludf.MINIFS(CBIC_Late_Fee_Relief_Windows_1!$I$100:$I$1307,CBIC_Late_Fee_Relief_Windows_1!$D$100:$D$1307,"&lt;="&amp;B1307,CBIC_Late_Fee_Relief_Windows_1!$E$100:$E$1307,"&gt;="&amp;B1307,CBIC_Late_Fee_Relief_Windows_1!$F$100:$F$1307,"&lt;="&amp;C1307,CBIC_Late_Fee_Relief_Windows_1!$G$100:$G$1307,"&gt;="&amp;C1307,CBIC_Late_Fee_Relief_Windows_1!$H$100:$H$1307,D1307)</f>
        <v>#NAME?</v>
      </c>
      <c r="H1307" t="e">
        <f t="shared" ca="1" si="20"/>
        <v>#NAME?</v>
      </c>
      <c r="I1307" t="e">
        <f ca="1">INDEX(CBIC_Late_Fee_Relief_Windows_1!$B$100:$B$1307,MATCH(G1307,CBIC_Late_Fee_Relief_Windows_1!$I$100:$I$1307,0))</f>
        <v>#NAME?</v>
      </c>
    </row>
    <row r="1308" spans="1:9" x14ac:dyDescent="0.55000000000000004">
      <c r="A1308" t="str">
        <f>TEST_DATA!A1308</f>
        <v>27AAAAA1308Z5</v>
      </c>
      <c r="B1308" t="str">
        <f>TEST_DATA!B1308</f>
        <v>Mar-2018</v>
      </c>
      <c r="C1308">
        <f>TEST_DATA!C1308</f>
        <v>43687</v>
      </c>
      <c r="D1308" t="str">
        <f>TEST_DATA!D1308</f>
        <v>NIL</v>
      </c>
      <c r="E1308">
        <f>TEST_DATA!E1308</f>
        <v>2115</v>
      </c>
      <c r="F1308">
        <f>MIN(E1308*130800,10000)</f>
        <v>10000</v>
      </c>
      <c r="G1308" t="e">
        <f ca="1">_xludf.MINIFS(CBIC_Late_Fee_Relief_Windows_1!$I$100:$I$1308,CBIC_Late_Fee_Relief_Windows_1!$D$100:$D$1308,"&lt;="&amp;B1308,CBIC_Late_Fee_Relief_Windows_1!$E$100:$E$1308,"&gt;="&amp;B1308,CBIC_Late_Fee_Relief_Windows_1!$F$100:$F$1308,"&lt;="&amp;C1308,CBIC_Late_Fee_Relief_Windows_1!$G$100:$G$1308,"&gt;="&amp;C1308,CBIC_Late_Fee_Relief_Windows_1!$H$100:$H$1308,D1308)</f>
        <v>#NAME?</v>
      </c>
      <c r="H1308" t="e">
        <f t="shared" ca="1" si="20"/>
        <v>#NAME?</v>
      </c>
      <c r="I1308" t="e">
        <f ca="1">INDEX(CBIC_Late_Fee_Relief_Windows_1!$B$100:$B$1308,MATCH(G1308,CBIC_Late_Fee_Relief_Windows_1!$I$100:$I$1308,0))</f>
        <v>#NAME?</v>
      </c>
    </row>
    <row r="1309" spans="1:9" x14ac:dyDescent="0.55000000000000004">
      <c r="A1309" t="str">
        <f>TEST_DATA!A1309</f>
        <v>27AAAAA1309Z5</v>
      </c>
      <c r="B1309" t="str">
        <f>TEST_DATA!B1309</f>
        <v>Jul-2018</v>
      </c>
      <c r="C1309">
        <f>TEST_DATA!C1309</f>
        <v>43639</v>
      </c>
      <c r="D1309" t="str">
        <f>TEST_DATA!D1309</f>
        <v>NON-NIL</v>
      </c>
      <c r="E1309">
        <f>TEST_DATA!E1309</f>
        <v>1994</v>
      </c>
      <c r="F1309">
        <f>MIN(E1309*130900,10000)</f>
        <v>10000</v>
      </c>
      <c r="G1309" t="e">
        <f ca="1">_xludf.MINIFS(CBIC_Late_Fee_Relief_Windows_1!$I$100:$I$1309,CBIC_Late_Fee_Relief_Windows_1!$D$100:$D$1309,"&lt;="&amp;B1309,CBIC_Late_Fee_Relief_Windows_1!$E$100:$E$1309,"&gt;="&amp;B1309,CBIC_Late_Fee_Relief_Windows_1!$F$100:$F$1309,"&lt;="&amp;C1309,CBIC_Late_Fee_Relief_Windows_1!$G$100:$G$1309,"&gt;="&amp;C1309,CBIC_Late_Fee_Relief_Windows_1!$H$100:$H$1309,D1309)</f>
        <v>#NAME?</v>
      </c>
      <c r="H1309" t="e">
        <f t="shared" ca="1" si="20"/>
        <v>#NAME?</v>
      </c>
      <c r="I1309" t="e">
        <f ca="1">INDEX(CBIC_Late_Fee_Relief_Windows_1!$B$100:$B$1309,MATCH(G1309,CBIC_Late_Fee_Relief_Windows_1!$I$100:$I$1309,0))</f>
        <v>#NAME?</v>
      </c>
    </row>
    <row r="1310" spans="1:9" x14ac:dyDescent="0.55000000000000004">
      <c r="A1310" t="str">
        <f>TEST_DATA!A1310</f>
        <v>27AAAAA1310Z5</v>
      </c>
      <c r="B1310" t="str">
        <f>TEST_DATA!B1310</f>
        <v>Apr-2021</v>
      </c>
      <c r="C1310">
        <f>TEST_DATA!C1310</f>
        <v>45440</v>
      </c>
      <c r="D1310" t="str">
        <f>TEST_DATA!D1310</f>
        <v>NIL</v>
      </c>
      <c r="E1310">
        <f>TEST_DATA!E1310</f>
        <v>2055</v>
      </c>
      <c r="F1310">
        <f>MIN(E1310*131000,10000)</f>
        <v>10000</v>
      </c>
      <c r="G1310" t="e">
        <f ca="1">_xludf.MINIFS(CBIC_Late_Fee_Relief_Windows_1!$I$100:$I$1310,CBIC_Late_Fee_Relief_Windows_1!$D$100:$D$1310,"&lt;="&amp;B1310,CBIC_Late_Fee_Relief_Windows_1!$E$100:$E$1310,"&gt;="&amp;B1310,CBIC_Late_Fee_Relief_Windows_1!$F$100:$F$1310,"&lt;="&amp;C1310,CBIC_Late_Fee_Relief_Windows_1!$G$100:$G$1310,"&gt;="&amp;C1310,CBIC_Late_Fee_Relief_Windows_1!$H$100:$H$1310,D1310)</f>
        <v>#NAME?</v>
      </c>
      <c r="H1310" t="e">
        <f t="shared" ca="1" si="20"/>
        <v>#NAME?</v>
      </c>
      <c r="I1310" t="e">
        <f ca="1">INDEX(CBIC_Late_Fee_Relief_Windows_1!$B$100:$B$1310,MATCH(G1310,CBIC_Late_Fee_Relief_Windows_1!$I$100:$I$1310,0))</f>
        <v>#NAME?</v>
      </c>
    </row>
    <row r="1311" spans="1:9" x14ac:dyDescent="0.55000000000000004">
      <c r="A1311" t="str">
        <f>TEST_DATA!A1311</f>
        <v>27AAAAA1311Z5</v>
      </c>
      <c r="B1311" t="str">
        <f>TEST_DATA!B1311</f>
        <v>Dec-2024</v>
      </c>
      <c r="C1311">
        <f>TEST_DATA!C1311</f>
        <v>44035</v>
      </c>
      <c r="D1311" t="str">
        <f>TEST_DATA!D1311</f>
        <v>NON-NIL</v>
      </c>
      <c r="E1311">
        <f>TEST_DATA!E1311</f>
        <v>678</v>
      </c>
      <c r="F1311">
        <f>MIN(E1311*131100,10000)</f>
        <v>10000</v>
      </c>
      <c r="G1311" t="e">
        <f ca="1">_xludf.MINIFS(CBIC_Late_Fee_Relief_Windows_1!$I$100:$I$1311,CBIC_Late_Fee_Relief_Windows_1!$D$100:$D$1311,"&lt;="&amp;B1311,CBIC_Late_Fee_Relief_Windows_1!$E$100:$E$1311,"&gt;="&amp;B1311,CBIC_Late_Fee_Relief_Windows_1!$F$100:$F$1311,"&lt;="&amp;C1311,CBIC_Late_Fee_Relief_Windows_1!$G$100:$G$1311,"&gt;="&amp;C1311,CBIC_Late_Fee_Relief_Windows_1!$H$100:$H$1311,D1311)</f>
        <v>#NAME?</v>
      </c>
      <c r="H1311" t="e">
        <f t="shared" ca="1" si="20"/>
        <v>#NAME?</v>
      </c>
      <c r="I1311" t="e">
        <f ca="1">INDEX(CBIC_Late_Fee_Relief_Windows_1!$B$100:$B$1311,MATCH(G1311,CBIC_Late_Fee_Relief_Windows_1!$I$100:$I$1311,0))</f>
        <v>#NAME?</v>
      </c>
    </row>
    <row r="1312" spans="1:9" x14ac:dyDescent="0.55000000000000004">
      <c r="A1312" t="str">
        <f>TEST_DATA!A1312</f>
        <v>27AAAAA1312Z5</v>
      </c>
      <c r="B1312" t="str">
        <f>TEST_DATA!B1312</f>
        <v>Feb-2018</v>
      </c>
      <c r="C1312">
        <f>TEST_DATA!C1312</f>
        <v>43074</v>
      </c>
      <c r="D1312" t="str">
        <f>TEST_DATA!D1312</f>
        <v>NON-NIL</v>
      </c>
      <c r="E1312">
        <f>TEST_DATA!E1312</f>
        <v>866</v>
      </c>
      <c r="F1312">
        <f>MIN(E1312*131200,10000)</f>
        <v>10000</v>
      </c>
      <c r="G1312" t="e">
        <f ca="1">_xludf.MINIFS(CBIC_Late_Fee_Relief_Windows_1!$I$100:$I$1312,CBIC_Late_Fee_Relief_Windows_1!$D$100:$D$1312,"&lt;="&amp;B1312,CBIC_Late_Fee_Relief_Windows_1!$E$100:$E$1312,"&gt;="&amp;B1312,CBIC_Late_Fee_Relief_Windows_1!$F$100:$F$1312,"&lt;="&amp;C1312,CBIC_Late_Fee_Relief_Windows_1!$G$100:$G$1312,"&gt;="&amp;C1312,CBIC_Late_Fee_Relief_Windows_1!$H$100:$H$1312,D1312)</f>
        <v>#NAME?</v>
      </c>
      <c r="H1312" t="e">
        <f t="shared" ca="1" si="20"/>
        <v>#NAME?</v>
      </c>
      <c r="I1312" t="e">
        <f ca="1">INDEX(CBIC_Late_Fee_Relief_Windows_1!$B$100:$B$1312,MATCH(G1312,CBIC_Late_Fee_Relief_Windows_1!$I$100:$I$1312,0))</f>
        <v>#NAME?</v>
      </c>
    </row>
    <row r="1313" spans="1:9" x14ac:dyDescent="0.55000000000000004">
      <c r="A1313" t="str">
        <f>TEST_DATA!A1313</f>
        <v>27AAAAA1313Z5</v>
      </c>
      <c r="B1313" t="str">
        <f>TEST_DATA!B1313</f>
        <v>Nov-2017</v>
      </c>
      <c r="C1313">
        <f>TEST_DATA!C1313</f>
        <v>43299</v>
      </c>
      <c r="D1313" t="str">
        <f>TEST_DATA!D1313</f>
        <v>NIL</v>
      </c>
      <c r="E1313">
        <f>TEST_DATA!E1313</f>
        <v>1483</v>
      </c>
      <c r="F1313">
        <f>MIN(E1313*131300,10000)</f>
        <v>10000</v>
      </c>
      <c r="G1313" t="e">
        <f ca="1">_xludf.MINIFS(CBIC_Late_Fee_Relief_Windows_1!$I$100:$I$1313,CBIC_Late_Fee_Relief_Windows_1!$D$100:$D$1313,"&lt;="&amp;B1313,CBIC_Late_Fee_Relief_Windows_1!$E$100:$E$1313,"&gt;="&amp;B1313,CBIC_Late_Fee_Relief_Windows_1!$F$100:$F$1313,"&lt;="&amp;C1313,CBIC_Late_Fee_Relief_Windows_1!$G$100:$G$1313,"&gt;="&amp;C1313,CBIC_Late_Fee_Relief_Windows_1!$H$100:$H$1313,D1313)</f>
        <v>#NAME?</v>
      </c>
      <c r="H1313" t="e">
        <f t="shared" ca="1" si="20"/>
        <v>#NAME?</v>
      </c>
      <c r="I1313" t="e">
        <f ca="1">INDEX(CBIC_Late_Fee_Relief_Windows_1!$B$100:$B$1313,MATCH(G1313,CBIC_Late_Fee_Relief_Windows_1!$I$100:$I$1313,0))</f>
        <v>#NAME?</v>
      </c>
    </row>
    <row r="1314" spans="1:9" x14ac:dyDescent="0.55000000000000004">
      <c r="A1314" t="str">
        <f>TEST_DATA!A1314</f>
        <v>27AAAAA1314Z5</v>
      </c>
      <c r="B1314" t="str">
        <f>TEST_DATA!B1314</f>
        <v>Apr-2020</v>
      </c>
      <c r="C1314">
        <f>TEST_DATA!C1314</f>
        <v>44073</v>
      </c>
      <c r="D1314" t="str">
        <f>TEST_DATA!D1314</f>
        <v>NIL</v>
      </c>
      <c r="E1314">
        <f>TEST_DATA!E1314</f>
        <v>1698</v>
      </c>
      <c r="F1314">
        <f>MIN(E1314*131400,10000)</f>
        <v>10000</v>
      </c>
      <c r="G1314" t="e">
        <f ca="1">_xludf.MINIFS(CBIC_Late_Fee_Relief_Windows_1!$I$100:$I$1314,CBIC_Late_Fee_Relief_Windows_1!$D$100:$D$1314,"&lt;="&amp;B1314,CBIC_Late_Fee_Relief_Windows_1!$E$100:$E$1314,"&gt;="&amp;B1314,CBIC_Late_Fee_Relief_Windows_1!$F$100:$F$1314,"&lt;="&amp;C1314,CBIC_Late_Fee_Relief_Windows_1!$G$100:$G$1314,"&gt;="&amp;C1314,CBIC_Late_Fee_Relief_Windows_1!$H$100:$H$1314,D1314)</f>
        <v>#NAME?</v>
      </c>
      <c r="H1314" t="e">
        <f t="shared" ca="1" si="20"/>
        <v>#NAME?</v>
      </c>
      <c r="I1314" t="e">
        <f ca="1">INDEX(CBIC_Late_Fee_Relief_Windows_1!$B$100:$B$1314,MATCH(G1314,CBIC_Late_Fee_Relief_Windows_1!$I$100:$I$1314,0))</f>
        <v>#NAME?</v>
      </c>
    </row>
    <row r="1315" spans="1:9" x14ac:dyDescent="0.55000000000000004">
      <c r="A1315" t="str">
        <f>TEST_DATA!A1315</f>
        <v>27AAAAA1315Z5</v>
      </c>
      <c r="B1315" t="str">
        <f>TEST_DATA!B1315</f>
        <v>Apr-2021</v>
      </c>
      <c r="C1315">
        <f>TEST_DATA!C1315</f>
        <v>44818</v>
      </c>
      <c r="D1315" t="str">
        <f>TEST_DATA!D1315</f>
        <v>NIL</v>
      </c>
      <c r="E1315">
        <f>TEST_DATA!E1315</f>
        <v>1972</v>
      </c>
      <c r="F1315">
        <f>MIN(E1315*131500,10000)</f>
        <v>10000</v>
      </c>
      <c r="G1315" t="e">
        <f ca="1">_xludf.MINIFS(CBIC_Late_Fee_Relief_Windows_1!$I$100:$I$1315,CBIC_Late_Fee_Relief_Windows_1!$D$100:$D$1315,"&lt;="&amp;B1315,CBIC_Late_Fee_Relief_Windows_1!$E$100:$E$1315,"&gt;="&amp;B1315,CBIC_Late_Fee_Relief_Windows_1!$F$100:$F$1315,"&lt;="&amp;C1315,CBIC_Late_Fee_Relief_Windows_1!$G$100:$G$1315,"&gt;="&amp;C1315,CBIC_Late_Fee_Relief_Windows_1!$H$100:$H$1315,D1315)</f>
        <v>#NAME?</v>
      </c>
      <c r="H1315" t="e">
        <f t="shared" ca="1" si="20"/>
        <v>#NAME?</v>
      </c>
      <c r="I1315" t="e">
        <f ca="1">INDEX(CBIC_Late_Fee_Relief_Windows_1!$B$100:$B$1315,MATCH(G1315,CBIC_Late_Fee_Relief_Windows_1!$I$100:$I$1315,0))</f>
        <v>#NAME?</v>
      </c>
    </row>
    <row r="1316" spans="1:9" x14ac:dyDescent="0.55000000000000004">
      <c r="A1316" t="str">
        <f>TEST_DATA!A1316</f>
        <v>27AAAAA1316Z5</v>
      </c>
      <c r="B1316" t="str">
        <f>TEST_DATA!B1316</f>
        <v>Jun-2020</v>
      </c>
      <c r="C1316">
        <f>TEST_DATA!C1316</f>
        <v>44811</v>
      </c>
      <c r="D1316" t="str">
        <f>TEST_DATA!D1316</f>
        <v>NON-NIL</v>
      </c>
      <c r="E1316">
        <f>TEST_DATA!E1316</f>
        <v>863</v>
      </c>
      <c r="F1316">
        <f>MIN(E1316*131600,10000)</f>
        <v>10000</v>
      </c>
      <c r="G1316" t="e">
        <f ca="1">_xludf.MINIFS(CBIC_Late_Fee_Relief_Windows_1!$I$100:$I$1316,CBIC_Late_Fee_Relief_Windows_1!$D$100:$D$1316,"&lt;="&amp;B1316,CBIC_Late_Fee_Relief_Windows_1!$E$100:$E$1316,"&gt;="&amp;B1316,CBIC_Late_Fee_Relief_Windows_1!$F$100:$F$1316,"&lt;="&amp;C1316,CBIC_Late_Fee_Relief_Windows_1!$G$100:$G$1316,"&gt;="&amp;C1316,CBIC_Late_Fee_Relief_Windows_1!$H$100:$H$1316,D1316)</f>
        <v>#NAME?</v>
      </c>
      <c r="H1316" t="e">
        <f t="shared" ca="1" si="20"/>
        <v>#NAME?</v>
      </c>
      <c r="I1316" t="e">
        <f ca="1">INDEX(CBIC_Late_Fee_Relief_Windows_1!$B$100:$B$1316,MATCH(G1316,CBIC_Late_Fee_Relief_Windows_1!$I$100:$I$1316,0))</f>
        <v>#NAME?</v>
      </c>
    </row>
    <row r="1317" spans="1:9" x14ac:dyDescent="0.55000000000000004">
      <c r="A1317" t="str">
        <f>TEST_DATA!A1317</f>
        <v>27AAAAA1317Z5</v>
      </c>
      <c r="B1317" t="str">
        <f>TEST_DATA!B1317</f>
        <v>Mar-2020</v>
      </c>
      <c r="C1317">
        <f>TEST_DATA!C1317</f>
        <v>44161</v>
      </c>
      <c r="D1317" t="str">
        <f>TEST_DATA!D1317</f>
        <v>NON-NIL</v>
      </c>
      <c r="E1317">
        <f>TEST_DATA!E1317</f>
        <v>91</v>
      </c>
      <c r="F1317">
        <f>MIN(E1317*131700,10000)</f>
        <v>10000</v>
      </c>
      <c r="G1317" t="e">
        <f ca="1">_xludf.MINIFS(CBIC_Late_Fee_Relief_Windows_1!$I$100:$I$1317,CBIC_Late_Fee_Relief_Windows_1!$D$100:$D$1317,"&lt;="&amp;B1317,CBIC_Late_Fee_Relief_Windows_1!$E$100:$E$1317,"&gt;="&amp;B1317,CBIC_Late_Fee_Relief_Windows_1!$F$100:$F$1317,"&lt;="&amp;C1317,CBIC_Late_Fee_Relief_Windows_1!$G$100:$G$1317,"&gt;="&amp;C1317,CBIC_Late_Fee_Relief_Windows_1!$H$100:$H$1317,D1317)</f>
        <v>#NAME?</v>
      </c>
      <c r="H1317" t="e">
        <f t="shared" ca="1" si="20"/>
        <v>#NAME?</v>
      </c>
      <c r="I1317" t="e">
        <f ca="1">INDEX(CBIC_Late_Fee_Relief_Windows_1!$B$100:$B$1317,MATCH(G1317,CBIC_Late_Fee_Relief_Windows_1!$I$100:$I$1317,0))</f>
        <v>#NAME?</v>
      </c>
    </row>
    <row r="1318" spans="1:9" x14ac:dyDescent="0.55000000000000004">
      <c r="A1318" t="str">
        <f>TEST_DATA!A1318</f>
        <v>27AAAAA1318Z5</v>
      </c>
      <c r="B1318" t="str">
        <f>TEST_DATA!B1318</f>
        <v>Feb-2018</v>
      </c>
      <c r="C1318">
        <f>TEST_DATA!C1318</f>
        <v>43005</v>
      </c>
      <c r="D1318" t="str">
        <f>TEST_DATA!D1318</f>
        <v>NIL</v>
      </c>
      <c r="E1318">
        <f>TEST_DATA!E1318</f>
        <v>2349</v>
      </c>
      <c r="F1318">
        <f>MIN(E1318*131800,10000)</f>
        <v>10000</v>
      </c>
      <c r="G1318" t="e">
        <f ca="1">_xludf.MINIFS(CBIC_Late_Fee_Relief_Windows_1!$I$100:$I$1318,CBIC_Late_Fee_Relief_Windows_1!$D$100:$D$1318,"&lt;="&amp;B1318,CBIC_Late_Fee_Relief_Windows_1!$E$100:$E$1318,"&gt;="&amp;B1318,CBIC_Late_Fee_Relief_Windows_1!$F$100:$F$1318,"&lt;="&amp;C1318,CBIC_Late_Fee_Relief_Windows_1!$G$100:$G$1318,"&gt;="&amp;C1318,CBIC_Late_Fee_Relief_Windows_1!$H$100:$H$1318,D1318)</f>
        <v>#NAME?</v>
      </c>
      <c r="H1318" t="e">
        <f t="shared" ca="1" si="20"/>
        <v>#NAME?</v>
      </c>
      <c r="I1318" t="e">
        <f ca="1">INDEX(CBIC_Late_Fee_Relief_Windows_1!$B$100:$B$1318,MATCH(G1318,CBIC_Late_Fee_Relief_Windows_1!$I$100:$I$1318,0))</f>
        <v>#NAME?</v>
      </c>
    </row>
    <row r="1319" spans="1:9" x14ac:dyDescent="0.55000000000000004">
      <c r="A1319" t="str">
        <f>TEST_DATA!A1319</f>
        <v>27AAAAA1319Z5</v>
      </c>
      <c r="B1319" t="str">
        <f>TEST_DATA!B1319</f>
        <v>Mar-2020</v>
      </c>
      <c r="C1319">
        <f>TEST_DATA!C1319</f>
        <v>44160</v>
      </c>
      <c r="D1319" t="str">
        <f>TEST_DATA!D1319</f>
        <v>NIL</v>
      </c>
      <c r="E1319">
        <f>TEST_DATA!E1319</f>
        <v>2578</v>
      </c>
      <c r="F1319">
        <f>MIN(E1319*131900,10000)</f>
        <v>10000</v>
      </c>
      <c r="G1319" t="e">
        <f ca="1">_xludf.MINIFS(CBIC_Late_Fee_Relief_Windows_1!$I$100:$I$1319,CBIC_Late_Fee_Relief_Windows_1!$D$100:$D$1319,"&lt;="&amp;B1319,CBIC_Late_Fee_Relief_Windows_1!$E$100:$E$1319,"&gt;="&amp;B1319,CBIC_Late_Fee_Relief_Windows_1!$F$100:$F$1319,"&lt;="&amp;C1319,CBIC_Late_Fee_Relief_Windows_1!$G$100:$G$1319,"&gt;="&amp;C1319,CBIC_Late_Fee_Relief_Windows_1!$H$100:$H$1319,D1319)</f>
        <v>#NAME?</v>
      </c>
      <c r="H1319" t="e">
        <f t="shared" ca="1" si="20"/>
        <v>#NAME?</v>
      </c>
      <c r="I1319" t="e">
        <f ca="1">INDEX(CBIC_Late_Fee_Relief_Windows_1!$B$100:$B$1319,MATCH(G1319,CBIC_Late_Fee_Relief_Windows_1!$I$100:$I$1319,0))</f>
        <v>#NAME?</v>
      </c>
    </row>
    <row r="1320" spans="1:9" x14ac:dyDescent="0.55000000000000004">
      <c r="A1320" t="str">
        <f>TEST_DATA!A1320</f>
        <v>27AAAAA1320Z5</v>
      </c>
      <c r="B1320" t="str">
        <f>TEST_DATA!B1320</f>
        <v>Jun-2019</v>
      </c>
      <c r="C1320">
        <f>TEST_DATA!C1320</f>
        <v>43626</v>
      </c>
      <c r="D1320" t="str">
        <f>TEST_DATA!D1320</f>
        <v>NIL</v>
      </c>
      <c r="E1320">
        <f>TEST_DATA!E1320</f>
        <v>229</v>
      </c>
      <c r="F1320">
        <f>MIN(E1320*132000,10000)</f>
        <v>10000</v>
      </c>
      <c r="G1320" t="e">
        <f ca="1">_xludf.MINIFS(CBIC_Late_Fee_Relief_Windows_1!$I$100:$I$1320,CBIC_Late_Fee_Relief_Windows_1!$D$100:$D$1320,"&lt;="&amp;B1320,CBIC_Late_Fee_Relief_Windows_1!$E$100:$E$1320,"&gt;="&amp;B1320,CBIC_Late_Fee_Relief_Windows_1!$F$100:$F$1320,"&lt;="&amp;C1320,CBIC_Late_Fee_Relief_Windows_1!$G$100:$G$1320,"&gt;="&amp;C1320,CBIC_Late_Fee_Relief_Windows_1!$H$100:$H$1320,D1320)</f>
        <v>#NAME?</v>
      </c>
      <c r="H1320" t="e">
        <f t="shared" ca="1" si="20"/>
        <v>#NAME?</v>
      </c>
      <c r="I1320" t="e">
        <f ca="1">INDEX(CBIC_Late_Fee_Relief_Windows_1!$B$100:$B$1320,MATCH(G1320,CBIC_Late_Fee_Relief_Windows_1!$I$100:$I$1320,0))</f>
        <v>#NAME?</v>
      </c>
    </row>
    <row r="1321" spans="1:9" x14ac:dyDescent="0.55000000000000004">
      <c r="A1321" t="str">
        <f>TEST_DATA!A1321</f>
        <v>27AAAAA1321Z5</v>
      </c>
      <c r="B1321" t="str">
        <f>TEST_DATA!B1321</f>
        <v>Dec-2017</v>
      </c>
      <c r="C1321">
        <f>TEST_DATA!C1321</f>
        <v>43445</v>
      </c>
      <c r="D1321" t="str">
        <f>TEST_DATA!D1321</f>
        <v>NIL</v>
      </c>
      <c r="E1321">
        <f>TEST_DATA!E1321</f>
        <v>2116</v>
      </c>
      <c r="F1321">
        <f>MIN(E1321*132100,10000)</f>
        <v>10000</v>
      </c>
      <c r="G1321" t="e">
        <f ca="1">_xludf.MINIFS(CBIC_Late_Fee_Relief_Windows_1!$I$100:$I$1321,CBIC_Late_Fee_Relief_Windows_1!$D$100:$D$1321,"&lt;="&amp;B1321,CBIC_Late_Fee_Relief_Windows_1!$E$100:$E$1321,"&gt;="&amp;B1321,CBIC_Late_Fee_Relief_Windows_1!$F$100:$F$1321,"&lt;="&amp;C1321,CBIC_Late_Fee_Relief_Windows_1!$G$100:$G$1321,"&gt;="&amp;C1321,CBIC_Late_Fee_Relief_Windows_1!$H$100:$H$1321,D1321)</f>
        <v>#NAME?</v>
      </c>
      <c r="H1321" t="e">
        <f t="shared" ca="1" si="20"/>
        <v>#NAME?</v>
      </c>
      <c r="I1321" t="e">
        <f ca="1">INDEX(CBIC_Late_Fee_Relief_Windows_1!$B$100:$B$1321,MATCH(G1321,CBIC_Late_Fee_Relief_Windows_1!$I$100:$I$1321,0))</f>
        <v>#NAME?</v>
      </c>
    </row>
    <row r="1322" spans="1:9" x14ac:dyDescent="0.55000000000000004">
      <c r="A1322" t="str">
        <f>TEST_DATA!A1322</f>
        <v>27AAAAA1322Z5</v>
      </c>
      <c r="B1322" t="str">
        <f>TEST_DATA!B1322</f>
        <v>Jul-2018</v>
      </c>
      <c r="C1322">
        <f>TEST_DATA!C1322</f>
        <v>44144</v>
      </c>
      <c r="D1322" t="str">
        <f>TEST_DATA!D1322</f>
        <v>NIL</v>
      </c>
      <c r="E1322">
        <f>TEST_DATA!E1322</f>
        <v>2947</v>
      </c>
      <c r="F1322">
        <f>MIN(E1322*132200,10000)</f>
        <v>10000</v>
      </c>
      <c r="G1322" t="e">
        <f ca="1">_xludf.MINIFS(CBIC_Late_Fee_Relief_Windows_1!$I$100:$I$1322,CBIC_Late_Fee_Relief_Windows_1!$D$100:$D$1322,"&lt;="&amp;B1322,CBIC_Late_Fee_Relief_Windows_1!$E$100:$E$1322,"&gt;="&amp;B1322,CBIC_Late_Fee_Relief_Windows_1!$F$100:$F$1322,"&lt;="&amp;C1322,CBIC_Late_Fee_Relief_Windows_1!$G$100:$G$1322,"&gt;="&amp;C1322,CBIC_Late_Fee_Relief_Windows_1!$H$100:$H$1322,D1322)</f>
        <v>#NAME?</v>
      </c>
      <c r="H1322" t="e">
        <f t="shared" ca="1" si="20"/>
        <v>#NAME?</v>
      </c>
      <c r="I1322" t="e">
        <f ca="1">INDEX(CBIC_Late_Fee_Relief_Windows_1!$B$100:$B$1322,MATCH(G1322,CBIC_Late_Fee_Relief_Windows_1!$I$100:$I$1322,0))</f>
        <v>#NAME?</v>
      </c>
    </row>
    <row r="1323" spans="1:9" x14ac:dyDescent="0.55000000000000004">
      <c r="A1323" t="str">
        <f>TEST_DATA!A1323</f>
        <v>27AAAAA1323Z5</v>
      </c>
      <c r="B1323" t="str">
        <f>TEST_DATA!B1323</f>
        <v>Jan-2021</v>
      </c>
      <c r="C1323">
        <f>TEST_DATA!C1323</f>
        <v>44627</v>
      </c>
      <c r="D1323" t="str">
        <f>TEST_DATA!D1323</f>
        <v>NIL</v>
      </c>
      <c r="E1323">
        <f>TEST_DATA!E1323</f>
        <v>887</v>
      </c>
      <c r="F1323">
        <f>MIN(E1323*132300,10000)</f>
        <v>10000</v>
      </c>
      <c r="G1323" t="e">
        <f ca="1">_xludf.MINIFS(CBIC_Late_Fee_Relief_Windows_1!$I$100:$I$1323,CBIC_Late_Fee_Relief_Windows_1!$D$100:$D$1323,"&lt;="&amp;B1323,CBIC_Late_Fee_Relief_Windows_1!$E$100:$E$1323,"&gt;="&amp;B1323,CBIC_Late_Fee_Relief_Windows_1!$F$100:$F$1323,"&lt;="&amp;C1323,CBIC_Late_Fee_Relief_Windows_1!$G$100:$G$1323,"&gt;="&amp;C1323,CBIC_Late_Fee_Relief_Windows_1!$H$100:$H$1323,D1323)</f>
        <v>#NAME?</v>
      </c>
      <c r="H1323" t="e">
        <f t="shared" ca="1" si="20"/>
        <v>#NAME?</v>
      </c>
      <c r="I1323" t="e">
        <f ca="1">INDEX(CBIC_Late_Fee_Relief_Windows_1!$B$100:$B$1323,MATCH(G1323,CBIC_Late_Fee_Relief_Windows_1!$I$100:$I$1323,0))</f>
        <v>#NAME?</v>
      </c>
    </row>
    <row r="1324" spans="1:9" x14ac:dyDescent="0.55000000000000004">
      <c r="A1324" t="str">
        <f>TEST_DATA!A1324</f>
        <v>27AAAAA1324Z5</v>
      </c>
      <c r="B1324" t="str">
        <f>TEST_DATA!B1324</f>
        <v>Sep-2018</v>
      </c>
      <c r="C1324">
        <f>TEST_DATA!C1324</f>
        <v>44159</v>
      </c>
      <c r="D1324" t="str">
        <f>TEST_DATA!D1324</f>
        <v>NON-NIL</v>
      </c>
      <c r="E1324">
        <f>TEST_DATA!E1324</f>
        <v>1972</v>
      </c>
      <c r="F1324">
        <f>MIN(E1324*132400,10000)</f>
        <v>10000</v>
      </c>
      <c r="G1324" t="e">
        <f ca="1">_xludf.MINIFS(CBIC_Late_Fee_Relief_Windows_1!$I$100:$I$1324,CBIC_Late_Fee_Relief_Windows_1!$D$100:$D$1324,"&lt;="&amp;B1324,CBIC_Late_Fee_Relief_Windows_1!$E$100:$E$1324,"&gt;="&amp;B1324,CBIC_Late_Fee_Relief_Windows_1!$F$100:$F$1324,"&lt;="&amp;C1324,CBIC_Late_Fee_Relief_Windows_1!$G$100:$G$1324,"&gt;="&amp;C1324,CBIC_Late_Fee_Relief_Windows_1!$H$100:$H$1324,D1324)</f>
        <v>#NAME?</v>
      </c>
      <c r="H1324" t="e">
        <f t="shared" ca="1" si="20"/>
        <v>#NAME?</v>
      </c>
      <c r="I1324" t="e">
        <f ca="1">INDEX(CBIC_Late_Fee_Relief_Windows_1!$B$100:$B$1324,MATCH(G1324,CBIC_Late_Fee_Relief_Windows_1!$I$100:$I$1324,0))</f>
        <v>#NAME?</v>
      </c>
    </row>
    <row r="1325" spans="1:9" x14ac:dyDescent="0.55000000000000004">
      <c r="A1325" t="str">
        <f>TEST_DATA!A1325</f>
        <v>27AAAAA1325Z5</v>
      </c>
      <c r="B1325" t="str">
        <f>TEST_DATA!B1325</f>
        <v>Dec-2017</v>
      </c>
      <c r="C1325">
        <f>TEST_DATA!C1325</f>
        <v>43366</v>
      </c>
      <c r="D1325" t="str">
        <f>TEST_DATA!D1325</f>
        <v>NON-NIL</v>
      </c>
      <c r="E1325">
        <f>TEST_DATA!E1325</f>
        <v>2461</v>
      </c>
      <c r="F1325">
        <f>MIN(E1325*132500,10000)</f>
        <v>10000</v>
      </c>
      <c r="G1325" t="e">
        <f ca="1">_xludf.MINIFS(CBIC_Late_Fee_Relief_Windows_1!$I$100:$I$1325,CBIC_Late_Fee_Relief_Windows_1!$D$100:$D$1325,"&lt;="&amp;B1325,CBIC_Late_Fee_Relief_Windows_1!$E$100:$E$1325,"&gt;="&amp;B1325,CBIC_Late_Fee_Relief_Windows_1!$F$100:$F$1325,"&lt;="&amp;C1325,CBIC_Late_Fee_Relief_Windows_1!$G$100:$G$1325,"&gt;="&amp;C1325,CBIC_Late_Fee_Relief_Windows_1!$H$100:$H$1325,D1325)</f>
        <v>#NAME?</v>
      </c>
      <c r="H1325" t="e">
        <f t="shared" ca="1" si="20"/>
        <v>#NAME?</v>
      </c>
      <c r="I1325" t="e">
        <f ca="1">INDEX(CBIC_Late_Fee_Relief_Windows_1!$B$100:$B$1325,MATCH(G1325,CBIC_Late_Fee_Relief_Windows_1!$I$100:$I$1325,0))</f>
        <v>#NAME?</v>
      </c>
    </row>
    <row r="1326" spans="1:9" x14ac:dyDescent="0.55000000000000004">
      <c r="A1326" t="str">
        <f>TEST_DATA!A1326</f>
        <v>27AAAAA1326Z5</v>
      </c>
      <c r="B1326" t="str">
        <f>TEST_DATA!B1326</f>
        <v>Nov-2017</v>
      </c>
      <c r="C1326">
        <f>TEST_DATA!C1326</f>
        <v>44544</v>
      </c>
      <c r="D1326" t="str">
        <f>TEST_DATA!D1326</f>
        <v>NIL</v>
      </c>
      <c r="E1326">
        <f>TEST_DATA!E1326</f>
        <v>2552</v>
      </c>
      <c r="F1326">
        <f>MIN(E1326*132600,10000)</f>
        <v>10000</v>
      </c>
      <c r="G1326" t="e">
        <f ca="1">_xludf.MINIFS(CBIC_Late_Fee_Relief_Windows_1!$I$100:$I$1326,CBIC_Late_Fee_Relief_Windows_1!$D$100:$D$1326,"&lt;="&amp;B1326,CBIC_Late_Fee_Relief_Windows_1!$E$100:$E$1326,"&gt;="&amp;B1326,CBIC_Late_Fee_Relief_Windows_1!$F$100:$F$1326,"&lt;="&amp;C1326,CBIC_Late_Fee_Relief_Windows_1!$G$100:$G$1326,"&gt;="&amp;C1326,CBIC_Late_Fee_Relief_Windows_1!$H$100:$H$1326,D1326)</f>
        <v>#NAME?</v>
      </c>
      <c r="H1326" t="e">
        <f t="shared" ca="1" si="20"/>
        <v>#NAME?</v>
      </c>
      <c r="I1326" t="e">
        <f ca="1">INDEX(CBIC_Late_Fee_Relief_Windows_1!$B$100:$B$1326,MATCH(G1326,CBIC_Late_Fee_Relief_Windows_1!$I$100:$I$1326,0))</f>
        <v>#NAME?</v>
      </c>
    </row>
    <row r="1327" spans="1:9" x14ac:dyDescent="0.55000000000000004">
      <c r="A1327" t="str">
        <f>TEST_DATA!A1327</f>
        <v>27AAAAA1327Z5</v>
      </c>
      <c r="B1327" t="str">
        <f>TEST_DATA!B1327</f>
        <v>Jun-2020</v>
      </c>
      <c r="C1327">
        <f>TEST_DATA!C1327</f>
        <v>44877</v>
      </c>
      <c r="D1327" t="str">
        <f>TEST_DATA!D1327</f>
        <v>NON-NIL</v>
      </c>
      <c r="E1327">
        <f>TEST_DATA!E1327</f>
        <v>686</v>
      </c>
      <c r="F1327">
        <f>MIN(E1327*132700,10000)</f>
        <v>10000</v>
      </c>
      <c r="G1327" t="e">
        <f ca="1">_xludf.MINIFS(CBIC_Late_Fee_Relief_Windows_1!$I$100:$I$1327,CBIC_Late_Fee_Relief_Windows_1!$D$100:$D$1327,"&lt;="&amp;B1327,CBIC_Late_Fee_Relief_Windows_1!$E$100:$E$1327,"&gt;="&amp;B1327,CBIC_Late_Fee_Relief_Windows_1!$F$100:$F$1327,"&lt;="&amp;C1327,CBIC_Late_Fee_Relief_Windows_1!$G$100:$G$1327,"&gt;="&amp;C1327,CBIC_Late_Fee_Relief_Windows_1!$H$100:$H$1327,D1327)</f>
        <v>#NAME?</v>
      </c>
      <c r="H1327" t="e">
        <f t="shared" ca="1" si="20"/>
        <v>#NAME?</v>
      </c>
      <c r="I1327" t="e">
        <f ca="1">INDEX(CBIC_Late_Fee_Relief_Windows_1!$B$100:$B$1327,MATCH(G1327,CBIC_Late_Fee_Relief_Windows_1!$I$100:$I$1327,0))</f>
        <v>#NAME?</v>
      </c>
    </row>
    <row r="1328" spans="1:9" x14ac:dyDescent="0.55000000000000004">
      <c r="A1328" t="str">
        <f>TEST_DATA!A1328</f>
        <v>27AAAAA1328Z5</v>
      </c>
      <c r="B1328" t="str">
        <f>TEST_DATA!B1328</f>
        <v>Jan-2021</v>
      </c>
      <c r="C1328">
        <f>TEST_DATA!C1328</f>
        <v>44869</v>
      </c>
      <c r="D1328" t="str">
        <f>TEST_DATA!D1328</f>
        <v>NON-NIL</v>
      </c>
      <c r="E1328">
        <f>TEST_DATA!E1328</f>
        <v>2443</v>
      </c>
      <c r="F1328">
        <f>MIN(E1328*132800,10000)</f>
        <v>10000</v>
      </c>
      <c r="G1328" t="e">
        <f ca="1">_xludf.MINIFS(CBIC_Late_Fee_Relief_Windows_1!$I$100:$I$1328,CBIC_Late_Fee_Relief_Windows_1!$D$100:$D$1328,"&lt;="&amp;B1328,CBIC_Late_Fee_Relief_Windows_1!$E$100:$E$1328,"&gt;="&amp;B1328,CBIC_Late_Fee_Relief_Windows_1!$F$100:$F$1328,"&lt;="&amp;C1328,CBIC_Late_Fee_Relief_Windows_1!$G$100:$G$1328,"&gt;="&amp;C1328,CBIC_Late_Fee_Relief_Windows_1!$H$100:$H$1328,D1328)</f>
        <v>#NAME?</v>
      </c>
      <c r="H1328" t="e">
        <f t="shared" ca="1" si="20"/>
        <v>#NAME?</v>
      </c>
      <c r="I1328" t="e">
        <f ca="1">INDEX(CBIC_Late_Fee_Relief_Windows_1!$B$100:$B$1328,MATCH(G1328,CBIC_Late_Fee_Relief_Windows_1!$I$100:$I$1328,0))</f>
        <v>#NAME?</v>
      </c>
    </row>
    <row r="1329" spans="1:9" x14ac:dyDescent="0.55000000000000004">
      <c r="A1329" t="str">
        <f>TEST_DATA!A1329</f>
        <v>27AAAAA1329Z5</v>
      </c>
      <c r="B1329" t="str">
        <f>TEST_DATA!B1329</f>
        <v>Mar-2020</v>
      </c>
      <c r="C1329">
        <f>TEST_DATA!C1329</f>
        <v>43971</v>
      </c>
      <c r="D1329" t="str">
        <f>TEST_DATA!D1329</f>
        <v>NIL</v>
      </c>
      <c r="E1329">
        <f>TEST_DATA!E1329</f>
        <v>1549</v>
      </c>
      <c r="F1329">
        <f>MIN(E1329*132900,10000)</f>
        <v>10000</v>
      </c>
      <c r="G1329" t="e">
        <f ca="1">_xludf.MINIFS(CBIC_Late_Fee_Relief_Windows_1!$I$100:$I$1329,CBIC_Late_Fee_Relief_Windows_1!$D$100:$D$1329,"&lt;="&amp;B1329,CBIC_Late_Fee_Relief_Windows_1!$E$100:$E$1329,"&gt;="&amp;B1329,CBIC_Late_Fee_Relief_Windows_1!$F$100:$F$1329,"&lt;="&amp;C1329,CBIC_Late_Fee_Relief_Windows_1!$G$100:$G$1329,"&gt;="&amp;C1329,CBIC_Late_Fee_Relief_Windows_1!$H$100:$H$1329,D1329)</f>
        <v>#NAME?</v>
      </c>
      <c r="H1329" t="e">
        <f t="shared" ca="1" si="20"/>
        <v>#NAME?</v>
      </c>
      <c r="I1329" t="e">
        <f ca="1">INDEX(CBIC_Late_Fee_Relief_Windows_1!$B$100:$B$1329,MATCH(G1329,CBIC_Late_Fee_Relief_Windows_1!$I$100:$I$1329,0))</f>
        <v>#NAME?</v>
      </c>
    </row>
    <row r="1330" spans="1:9" x14ac:dyDescent="0.55000000000000004">
      <c r="A1330" t="str">
        <f>TEST_DATA!A1330</f>
        <v>27AAAAA1330Z5</v>
      </c>
      <c r="B1330" t="str">
        <f>TEST_DATA!B1330</f>
        <v>Jul-2018</v>
      </c>
      <c r="C1330">
        <f>TEST_DATA!C1330</f>
        <v>43187</v>
      </c>
      <c r="D1330" t="str">
        <f>TEST_DATA!D1330</f>
        <v>NIL</v>
      </c>
      <c r="E1330">
        <f>TEST_DATA!E1330</f>
        <v>67</v>
      </c>
      <c r="F1330">
        <f>MIN(E1330*133000,10000)</f>
        <v>10000</v>
      </c>
      <c r="G1330" t="e">
        <f ca="1">_xludf.MINIFS(CBIC_Late_Fee_Relief_Windows_1!$I$100:$I$1330,CBIC_Late_Fee_Relief_Windows_1!$D$100:$D$1330,"&lt;="&amp;B1330,CBIC_Late_Fee_Relief_Windows_1!$E$100:$E$1330,"&gt;="&amp;B1330,CBIC_Late_Fee_Relief_Windows_1!$F$100:$F$1330,"&lt;="&amp;C1330,CBIC_Late_Fee_Relief_Windows_1!$G$100:$G$1330,"&gt;="&amp;C1330,CBIC_Late_Fee_Relief_Windows_1!$H$100:$H$1330,D1330)</f>
        <v>#NAME?</v>
      </c>
      <c r="H1330" t="e">
        <f t="shared" ca="1" si="20"/>
        <v>#NAME?</v>
      </c>
      <c r="I1330" t="e">
        <f ca="1">INDEX(CBIC_Late_Fee_Relief_Windows_1!$B$100:$B$1330,MATCH(G1330,CBIC_Late_Fee_Relief_Windows_1!$I$100:$I$1330,0))</f>
        <v>#NAME?</v>
      </c>
    </row>
    <row r="1331" spans="1:9" x14ac:dyDescent="0.55000000000000004">
      <c r="A1331" t="str">
        <f>TEST_DATA!A1331</f>
        <v>27AAAAA1331Z5</v>
      </c>
      <c r="B1331" t="str">
        <f>TEST_DATA!B1331</f>
        <v>Jan-2018</v>
      </c>
      <c r="C1331">
        <f>TEST_DATA!C1331</f>
        <v>43987</v>
      </c>
      <c r="D1331" t="str">
        <f>TEST_DATA!D1331</f>
        <v>NON-NIL</v>
      </c>
      <c r="E1331">
        <f>TEST_DATA!E1331</f>
        <v>612</v>
      </c>
      <c r="F1331">
        <f>MIN(E1331*133100,10000)</f>
        <v>10000</v>
      </c>
      <c r="G1331" t="e">
        <f ca="1">_xludf.MINIFS(CBIC_Late_Fee_Relief_Windows_1!$I$100:$I$1331,CBIC_Late_Fee_Relief_Windows_1!$D$100:$D$1331,"&lt;="&amp;B1331,CBIC_Late_Fee_Relief_Windows_1!$E$100:$E$1331,"&gt;="&amp;B1331,CBIC_Late_Fee_Relief_Windows_1!$F$100:$F$1331,"&lt;="&amp;C1331,CBIC_Late_Fee_Relief_Windows_1!$G$100:$G$1331,"&gt;="&amp;C1331,CBIC_Late_Fee_Relief_Windows_1!$H$100:$H$1331,D1331)</f>
        <v>#NAME?</v>
      </c>
      <c r="H1331" t="e">
        <f t="shared" ca="1" si="20"/>
        <v>#NAME?</v>
      </c>
      <c r="I1331" t="e">
        <f ca="1">INDEX(CBIC_Late_Fee_Relief_Windows_1!$B$100:$B$1331,MATCH(G1331,CBIC_Late_Fee_Relief_Windows_1!$I$100:$I$1331,0))</f>
        <v>#NAME?</v>
      </c>
    </row>
    <row r="1332" spans="1:9" x14ac:dyDescent="0.55000000000000004">
      <c r="A1332" t="str">
        <f>TEST_DATA!A1332</f>
        <v>27AAAAA1332Z5</v>
      </c>
      <c r="B1332" t="str">
        <f>TEST_DATA!B1332</f>
        <v>Apr-2020</v>
      </c>
      <c r="C1332">
        <f>TEST_DATA!C1332</f>
        <v>44028</v>
      </c>
      <c r="D1332" t="str">
        <f>TEST_DATA!D1332</f>
        <v>NIL</v>
      </c>
      <c r="E1332">
        <f>TEST_DATA!E1332</f>
        <v>1949</v>
      </c>
      <c r="F1332">
        <f>MIN(E1332*133200,10000)</f>
        <v>10000</v>
      </c>
      <c r="G1332" t="e">
        <f ca="1">_xludf.MINIFS(CBIC_Late_Fee_Relief_Windows_1!$I$100:$I$1332,CBIC_Late_Fee_Relief_Windows_1!$D$100:$D$1332,"&lt;="&amp;B1332,CBIC_Late_Fee_Relief_Windows_1!$E$100:$E$1332,"&gt;="&amp;B1332,CBIC_Late_Fee_Relief_Windows_1!$F$100:$F$1332,"&lt;="&amp;C1332,CBIC_Late_Fee_Relief_Windows_1!$G$100:$G$1332,"&gt;="&amp;C1332,CBIC_Late_Fee_Relief_Windows_1!$H$100:$H$1332,D1332)</f>
        <v>#NAME?</v>
      </c>
      <c r="H1332" t="e">
        <f t="shared" ca="1" si="20"/>
        <v>#NAME?</v>
      </c>
      <c r="I1332" t="e">
        <f ca="1">INDEX(CBIC_Late_Fee_Relief_Windows_1!$B$100:$B$1332,MATCH(G1332,CBIC_Late_Fee_Relief_Windows_1!$I$100:$I$1332,0))</f>
        <v>#NAME?</v>
      </c>
    </row>
    <row r="1333" spans="1:9" x14ac:dyDescent="0.55000000000000004">
      <c r="A1333" t="str">
        <f>TEST_DATA!A1333</f>
        <v>27AAAAA1333Z5</v>
      </c>
      <c r="B1333" t="str">
        <f>TEST_DATA!B1333</f>
        <v>Dec-2024</v>
      </c>
      <c r="C1333">
        <f>TEST_DATA!C1333</f>
        <v>43625</v>
      </c>
      <c r="D1333" t="str">
        <f>TEST_DATA!D1333</f>
        <v>NIL</v>
      </c>
      <c r="E1333">
        <f>TEST_DATA!E1333</f>
        <v>381</v>
      </c>
      <c r="F1333">
        <f>MIN(E1333*133300,10000)</f>
        <v>10000</v>
      </c>
      <c r="G1333" t="e">
        <f ca="1">_xludf.MINIFS(CBIC_Late_Fee_Relief_Windows_1!$I$100:$I$1333,CBIC_Late_Fee_Relief_Windows_1!$D$100:$D$1333,"&lt;="&amp;B1333,CBIC_Late_Fee_Relief_Windows_1!$E$100:$E$1333,"&gt;="&amp;B1333,CBIC_Late_Fee_Relief_Windows_1!$F$100:$F$1333,"&lt;="&amp;C1333,CBIC_Late_Fee_Relief_Windows_1!$G$100:$G$1333,"&gt;="&amp;C1333,CBIC_Late_Fee_Relief_Windows_1!$H$100:$H$1333,D1333)</f>
        <v>#NAME?</v>
      </c>
      <c r="H1333" t="e">
        <f t="shared" ca="1" si="20"/>
        <v>#NAME?</v>
      </c>
      <c r="I1333" t="e">
        <f ca="1">INDEX(CBIC_Late_Fee_Relief_Windows_1!$B$100:$B$1333,MATCH(G1333,CBIC_Late_Fee_Relief_Windows_1!$I$100:$I$1333,0))</f>
        <v>#NAME?</v>
      </c>
    </row>
    <row r="1334" spans="1:9" x14ac:dyDescent="0.55000000000000004">
      <c r="A1334" t="str">
        <f>TEST_DATA!A1334</f>
        <v>27AAAAA1334Z5</v>
      </c>
      <c r="B1334" t="str">
        <f>TEST_DATA!B1334</f>
        <v>Jan-2019</v>
      </c>
      <c r="C1334">
        <f>TEST_DATA!C1334</f>
        <v>43999</v>
      </c>
      <c r="D1334" t="str">
        <f>TEST_DATA!D1334</f>
        <v>NIL</v>
      </c>
      <c r="E1334">
        <f>TEST_DATA!E1334</f>
        <v>2779</v>
      </c>
      <c r="F1334">
        <f>MIN(E1334*133400,10000)</f>
        <v>10000</v>
      </c>
      <c r="G1334" t="e">
        <f ca="1">_xludf.MINIFS(CBIC_Late_Fee_Relief_Windows_1!$I$100:$I$1334,CBIC_Late_Fee_Relief_Windows_1!$D$100:$D$1334,"&lt;="&amp;B1334,CBIC_Late_Fee_Relief_Windows_1!$E$100:$E$1334,"&gt;="&amp;B1334,CBIC_Late_Fee_Relief_Windows_1!$F$100:$F$1334,"&lt;="&amp;C1334,CBIC_Late_Fee_Relief_Windows_1!$G$100:$G$1334,"&gt;="&amp;C1334,CBIC_Late_Fee_Relief_Windows_1!$H$100:$H$1334,D1334)</f>
        <v>#NAME?</v>
      </c>
      <c r="H1334" t="e">
        <f t="shared" ca="1" si="20"/>
        <v>#NAME?</v>
      </c>
      <c r="I1334" t="e">
        <f ca="1">INDEX(CBIC_Late_Fee_Relief_Windows_1!$B$100:$B$1334,MATCH(G1334,CBIC_Late_Fee_Relief_Windows_1!$I$100:$I$1334,0))</f>
        <v>#NAME?</v>
      </c>
    </row>
    <row r="1335" spans="1:9" x14ac:dyDescent="0.55000000000000004">
      <c r="A1335" t="str">
        <f>TEST_DATA!A1335</f>
        <v>27AAAAA1335Z5</v>
      </c>
      <c r="B1335" t="str">
        <f>TEST_DATA!B1335</f>
        <v>May-2020</v>
      </c>
      <c r="C1335">
        <f>TEST_DATA!C1335</f>
        <v>44714</v>
      </c>
      <c r="D1335" t="str">
        <f>TEST_DATA!D1335</f>
        <v>NON-NIL</v>
      </c>
      <c r="E1335">
        <f>TEST_DATA!E1335</f>
        <v>1517</v>
      </c>
      <c r="F1335">
        <f>MIN(E1335*133500,10000)</f>
        <v>10000</v>
      </c>
      <c r="G1335" t="e">
        <f ca="1">_xludf.MINIFS(CBIC_Late_Fee_Relief_Windows_1!$I$100:$I$1335,CBIC_Late_Fee_Relief_Windows_1!$D$100:$D$1335,"&lt;="&amp;B1335,CBIC_Late_Fee_Relief_Windows_1!$E$100:$E$1335,"&gt;="&amp;B1335,CBIC_Late_Fee_Relief_Windows_1!$F$100:$F$1335,"&lt;="&amp;C1335,CBIC_Late_Fee_Relief_Windows_1!$G$100:$G$1335,"&gt;="&amp;C1335,CBIC_Late_Fee_Relief_Windows_1!$H$100:$H$1335,D1335)</f>
        <v>#NAME?</v>
      </c>
      <c r="H1335" t="e">
        <f t="shared" ca="1" si="20"/>
        <v>#NAME?</v>
      </c>
      <c r="I1335" t="e">
        <f ca="1">INDEX(CBIC_Late_Fee_Relief_Windows_1!$B$100:$B$1335,MATCH(G1335,CBIC_Late_Fee_Relief_Windows_1!$I$100:$I$1335,0))</f>
        <v>#NAME?</v>
      </c>
    </row>
    <row r="1336" spans="1:9" x14ac:dyDescent="0.55000000000000004">
      <c r="A1336" t="str">
        <f>TEST_DATA!A1336</f>
        <v>27AAAAA1336Z5</v>
      </c>
      <c r="B1336" t="str">
        <f>TEST_DATA!B1336</f>
        <v>Mar-2023</v>
      </c>
      <c r="C1336">
        <f>TEST_DATA!C1336</f>
        <v>43643</v>
      </c>
      <c r="D1336" t="str">
        <f>TEST_DATA!D1336</f>
        <v>NON-NIL</v>
      </c>
      <c r="E1336">
        <f>TEST_DATA!E1336</f>
        <v>939</v>
      </c>
      <c r="F1336">
        <f>MIN(E1336*133600,10000)</f>
        <v>10000</v>
      </c>
      <c r="G1336" t="e">
        <f ca="1">_xludf.MINIFS(CBIC_Late_Fee_Relief_Windows_1!$I$100:$I$1336,CBIC_Late_Fee_Relief_Windows_1!$D$100:$D$1336,"&lt;="&amp;B1336,CBIC_Late_Fee_Relief_Windows_1!$E$100:$E$1336,"&gt;="&amp;B1336,CBIC_Late_Fee_Relief_Windows_1!$F$100:$F$1336,"&lt;="&amp;C1336,CBIC_Late_Fee_Relief_Windows_1!$G$100:$G$1336,"&gt;="&amp;C1336,CBIC_Late_Fee_Relief_Windows_1!$H$100:$H$1336,D1336)</f>
        <v>#NAME?</v>
      </c>
      <c r="H1336" t="e">
        <f t="shared" ca="1" si="20"/>
        <v>#NAME?</v>
      </c>
      <c r="I1336" t="e">
        <f ca="1">INDEX(CBIC_Late_Fee_Relief_Windows_1!$B$100:$B$1336,MATCH(G1336,CBIC_Late_Fee_Relief_Windows_1!$I$100:$I$1336,0))</f>
        <v>#NAME?</v>
      </c>
    </row>
    <row r="1337" spans="1:9" x14ac:dyDescent="0.55000000000000004">
      <c r="A1337" t="str">
        <f>TEST_DATA!A1337</f>
        <v>27AAAAA1337Z5</v>
      </c>
      <c r="B1337" t="str">
        <f>TEST_DATA!B1337</f>
        <v>Apr-2021</v>
      </c>
      <c r="C1337">
        <f>TEST_DATA!C1337</f>
        <v>45440</v>
      </c>
      <c r="D1337" t="str">
        <f>TEST_DATA!D1337</f>
        <v>NON-NIL</v>
      </c>
      <c r="E1337">
        <f>TEST_DATA!E1337</f>
        <v>1435</v>
      </c>
      <c r="F1337">
        <f>MIN(E1337*133700,10000)</f>
        <v>10000</v>
      </c>
      <c r="G1337" t="e">
        <f ca="1">_xludf.MINIFS(CBIC_Late_Fee_Relief_Windows_1!$I$100:$I$1337,CBIC_Late_Fee_Relief_Windows_1!$D$100:$D$1337,"&lt;="&amp;B1337,CBIC_Late_Fee_Relief_Windows_1!$E$100:$E$1337,"&gt;="&amp;B1337,CBIC_Late_Fee_Relief_Windows_1!$F$100:$F$1337,"&lt;="&amp;C1337,CBIC_Late_Fee_Relief_Windows_1!$G$100:$G$1337,"&gt;="&amp;C1337,CBIC_Late_Fee_Relief_Windows_1!$H$100:$H$1337,D1337)</f>
        <v>#NAME?</v>
      </c>
      <c r="H1337" t="e">
        <f t="shared" ca="1" si="20"/>
        <v>#NAME?</v>
      </c>
      <c r="I1337" t="e">
        <f ca="1">INDEX(CBIC_Late_Fee_Relief_Windows_1!$B$100:$B$1337,MATCH(G1337,CBIC_Late_Fee_Relief_Windows_1!$I$100:$I$1337,0))</f>
        <v>#NAME?</v>
      </c>
    </row>
    <row r="1338" spans="1:9" x14ac:dyDescent="0.55000000000000004">
      <c r="A1338" t="str">
        <f>TEST_DATA!A1338</f>
        <v>27AAAAA1338Z5</v>
      </c>
      <c r="B1338" t="str">
        <f>TEST_DATA!B1338</f>
        <v>Mar-2020</v>
      </c>
      <c r="C1338">
        <f>TEST_DATA!C1338</f>
        <v>44031</v>
      </c>
      <c r="D1338" t="str">
        <f>TEST_DATA!D1338</f>
        <v>NON-NIL</v>
      </c>
      <c r="E1338">
        <f>TEST_DATA!E1338</f>
        <v>548</v>
      </c>
      <c r="F1338">
        <f>MIN(E1338*133800,10000)</f>
        <v>10000</v>
      </c>
      <c r="G1338" t="e">
        <f ca="1">_xludf.MINIFS(CBIC_Late_Fee_Relief_Windows_1!$I$100:$I$1338,CBIC_Late_Fee_Relief_Windows_1!$D$100:$D$1338,"&lt;="&amp;B1338,CBIC_Late_Fee_Relief_Windows_1!$E$100:$E$1338,"&gt;="&amp;B1338,CBIC_Late_Fee_Relief_Windows_1!$F$100:$F$1338,"&lt;="&amp;C1338,CBIC_Late_Fee_Relief_Windows_1!$G$100:$G$1338,"&gt;="&amp;C1338,CBIC_Late_Fee_Relief_Windows_1!$H$100:$H$1338,D1338)</f>
        <v>#NAME?</v>
      </c>
      <c r="H1338" t="e">
        <f t="shared" ca="1" si="20"/>
        <v>#NAME?</v>
      </c>
      <c r="I1338" t="e">
        <f ca="1">INDEX(CBIC_Late_Fee_Relief_Windows_1!$B$100:$B$1338,MATCH(G1338,CBIC_Late_Fee_Relief_Windows_1!$I$100:$I$1338,0))</f>
        <v>#NAME?</v>
      </c>
    </row>
    <row r="1339" spans="1:9" x14ac:dyDescent="0.55000000000000004">
      <c r="A1339" t="str">
        <f>TEST_DATA!A1339</f>
        <v>27AAAAA1339Z5</v>
      </c>
      <c r="B1339" t="str">
        <f>TEST_DATA!B1339</f>
        <v>Mar-2018</v>
      </c>
      <c r="C1339">
        <f>TEST_DATA!C1339</f>
        <v>43894</v>
      </c>
      <c r="D1339" t="str">
        <f>TEST_DATA!D1339</f>
        <v>NIL</v>
      </c>
      <c r="E1339">
        <f>TEST_DATA!E1339</f>
        <v>343</v>
      </c>
      <c r="F1339">
        <f>MIN(E1339*133900,10000)</f>
        <v>10000</v>
      </c>
      <c r="G1339" t="e">
        <f ca="1">_xludf.MINIFS(CBIC_Late_Fee_Relief_Windows_1!$I$100:$I$1339,CBIC_Late_Fee_Relief_Windows_1!$D$100:$D$1339,"&lt;="&amp;B1339,CBIC_Late_Fee_Relief_Windows_1!$E$100:$E$1339,"&gt;="&amp;B1339,CBIC_Late_Fee_Relief_Windows_1!$F$100:$F$1339,"&lt;="&amp;C1339,CBIC_Late_Fee_Relief_Windows_1!$G$100:$G$1339,"&gt;="&amp;C1339,CBIC_Late_Fee_Relief_Windows_1!$H$100:$H$1339,D1339)</f>
        <v>#NAME?</v>
      </c>
      <c r="H1339" t="e">
        <f t="shared" ca="1" si="20"/>
        <v>#NAME?</v>
      </c>
      <c r="I1339" t="e">
        <f ca="1">INDEX(CBIC_Late_Fee_Relief_Windows_1!$B$100:$B$1339,MATCH(G1339,CBIC_Late_Fee_Relief_Windows_1!$I$100:$I$1339,0))</f>
        <v>#NAME?</v>
      </c>
    </row>
    <row r="1340" spans="1:9" x14ac:dyDescent="0.55000000000000004">
      <c r="A1340" t="str">
        <f>TEST_DATA!A1340</f>
        <v>27AAAAA1340Z5</v>
      </c>
      <c r="B1340" t="str">
        <f>TEST_DATA!B1340</f>
        <v>Apr-2018</v>
      </c>
      <c r="C1340">
        <f>TEST_DATA!C1340</f>
        <v>44142</v>
      </c>
      <c r="D1340" t="str">
        <f>TEST_DATA!D1340</f>
        <v>NON-NIL</v>
      </c>
      <c r="E1340">
        <f>TEST_DATA!E1340</f>
        <v>1055</v>
      </c>
      <c r="F1340">
        <f>MIN(E1340*134000,10000)</f>
        <v>10000</v>
      </c>
      <c r="G1340" t="e">
        <f ca="1">_xludf.MINIFS(CBIC_Late_Fee_Relief_Windows_1!$I$100:$I$1340,CBIC_Late_Fee_Relief_Windows_1!$D$100:$D$1340,"&lt;="&amp;B1340,CBIC_Late_Fee_Relief_Windows_1!$E$100:$E$1340,"&gt;="&amp;B1340,CBIC_Late_Fee_Relief_Windows_1!$F$100:$F$1340,"&lt;="&amp;C1340,CBIC_Late_Fee_Relief_Windows_1!$G$100:$G$1340,"&gt;="&amp;C1340,CBIC_Late_Fee_Relief_Windows_1!$H$100:$H$1340,D1340)</f>
        <v>#NAME?</v>
      </c>
      <c r="H1340" t="e">
        <f t="shared" ca="1" si="20"/>
        <v>#NAME?</v>
      </c>
      <c r="I1340" t="e">
        <f ca="1">INDEX(CBIC_Late_Fee_Relief_Windows_1!$B$100:$B$1340,MATCH(G1340,CBIC_Late_Fee_Relief_Windows_1!$I$100:$I$1340,0))</f>
        <v>#NAME?</v>
      </c>
    </row>
    <row r="1341" spans="1:9" x14ac:dyDescent="0.55000000000000004">
      <c r="A1341" t="str">
        <f>TEST_DATA!A1341</f>
        <v>27AAAAA1341Z5</v>
      </c>
      <c r="B1341" t="str">
        <f>TEST_DATA!B1341</f>
        <v>Jan-2018</v>
      </c>
      <c r="C1341">
        <f>TEST_DATA!C1341</f>
        <v>42928</v>
      </c>
      <c r="D1341" t="str">
        <f>TEST_DATA!D1341</f>
        <v>NIL</v>
      </c>
      <c r="E1341">
        <f>TEST_DATA!E1341</f>
        <v>2367</v>
      </c>
      <c r="F1341">
        <f>MIN(E1341*134100,10000)</f>
        <v>10000</v>
      </c>
      <c r="G1341" t="e">
        <f ca="1">_xludf.MINIFS(CBIC_Late_Fee_Relief_Windows_1!$I$100:$I$1341,CBIC_Late_Fee_Relief_Windows_1!$D$100:$D$1341,"&lt;="&amp;B1341,CBIC_Late_Fee_Relief_Windows_1!$E$100:$E$1341,"&gt;="&amp;B1341,CBIC_Late_Fee_Relief_Windows_1!$F$100:$F$1341,"&lt;="&amp;C1341,CBIC_Late_Fee_Relief_Windows_1!$G$100:$G$1341,"&gt;="&amp;C1341,CBIC_Late_Fee_Relief_Windows_1!$H$100:$H$1341,D1341)</f>
        <v>#NAME?</v>
      </c>
      <c r="H1341" t="e">
        <f t="shared" ca="1" si="20"/>
        <v>#NAME?</v>
      </c>
      <c r="I1341" t="e">
        <f ca="1">INDEX(CBIC_Late_Fee_Relief_Windows_1!$B$100:$B$1341,MATCH(G1341,CBIC_Late_Fee_Relief_Windows_1!$I$100:$I$1341,0))</f>
        <v>#NAME?</v>
      </c>
    </row>
    <row r="1342" spans="1:9" x14ac:dyDescent="0.55000000000000004">
      <c r="A1342" t="str">
        <f>TEST_DATA!A1342</f>
        <v>27AAAAA1342Z5</v>
      </c>
      <c r="B1342" t="str">
        <f>TEST_DATA!B1342</f>
        <v>Jun-2019</v>
      </c>
      <c r="C1342">
        <f>TEST_DATA!C1342</f>
        <v>43948</v>
      </c>
      <c r="D1342" t="str">
        <f>TEST_DATA!D1342</f>
        <v>NIL</v>
      </c>
      <c r="E1342">
        <f>TEST_DATA!E1342</f>
        <v>1536</v>
      </c>
      <c r="F1342">
        <f>MIN(E1342*134200,10000)</f>
        <v>10000</v>
      </c>
      <c r="G1342" t="e">
        <f ca="1">_xludf.MINIFS(CBIC_Late_Fee_Relief_Windows_1!$I$100:$I$1342,CBIC_Late_Fee_Relief_Windows_1!$D$100:$D$1342,"&lt;="&amp;B1342,CBIC_Late_Fee_Relief_Windows_1!$E$100:$E$1342,"&gt;="&amp;B1342,CBIC_Late_Fee_Relief_Windows_1!$F$100:$F$1342,"&lt;="&amp;C1342,CBIC_Late_Fee_Relief_Windows_1!$G$100:$G$1342,"&gt;="&amp;C1342,CBIC_Late_Fee_Relief_Windows_1!$H$100:$H$1342,D1342)</f>
        <v>#NAME?</v>
      </c>
      <c r="H1342" t="e">
        <f t="shared" ca="1" si="20"/>
        <v>#NAME?</v>
      </c>
      <c r="I1342" t="e">
        <f ca="1">INDEX(CBIC_Late_Fee_Relief_Windows_1!$B$100:$B$1342,MATCH(G1342,CBIC_Late_Fee_Relief_Windows_1!$I$100:$I$1342,0))</f>
        <v>#NAME?</v>
      </c>
    </row>
    <row r="1343" spans="1:9" x14ac:dyDescent="0.55000000000000004">
      <c r="A1343" t="str">
        <f>TEST_DATA!A1343</f>
        <v>27AAAAA1343Z5</v>
      </c>
      <c r="B1343" t="str">
        <f>TEST_DATA!B1343</f>
        <v>May-2020</v>
      </c>
      <c r="C1343">
        <f>TEST_DATA!C1343</f>
        <v>44251</v>
      </c>
      <c r="D1343" t="str">
        <f>TEST_DATA!D1343</f>
        <v>NON-NIL</v>
      </c>
      <c r="E1343">
        <f>TEST_DATA!E1343</f>
        <v>1674</v>
      </c>
      <c r="F1343">
        <f>MIN(E1343*134300,10000)</f>
        <v>10000</v>
      </c>
      <c r="G1343" t="e">
        <f ca="1">_xludf.MINIFS(CBIC_Late_Fee_Relief_Windows_1!$I$100:$I$1343,CBIC_Late_Fee_Relief_Windows_1!$D$100:$D$1343,"&lt;="&amp;B1343,CBIC_Late_Fee_Relief_Windows_1!$E$100:$E$1343,"&gt;="&amp;B1343,CBIC_Late_Fee_Relief_Windows_1!$F$100:$F$1343,"&lt;="&amp;C1343,CBIC_Late_Fee_Relief_Windows_1!$G$100:$G$1343,"&gt;="&amp;C1343,CBIC_Late_Fee_Relief_Windows_1!$H$100:$H$1343,D1343)</f>
        <v>#NAME?</v>
      </c>
      <c r="H1343" t="e">
        <f t="shared" ca="1" si="20"/>
        <v>#NAME?</v>
      </c>
      <c r="I1343" t="e">
        <f ca="1">INDEX(CBIC_Late_Fee_Relief_Windows_1!$B$100:$B$1343,MATCH(G1343,CBIC_Late_Fee_Relief_Windows_1!$I$100:$I$1343,0))</f>
        <v>#NAME?</v>
      </c>
    </row>
    <row r="1344" spans="1:9" x14ac:dyDescent="0.55000000000000004">
      <c r="A1344" t="str">
        <f>TEST_DATA!A1344</f>
        <v>27AAAAA1344Z5</v>
      </c>
      <c r="B1344" t="str">
        <f>TEST_DATA!B1344</f>
        <v>Jun-2018</v>
      </c>
      <c r="C1344">
        <f>TEST_DATA!C1344</f>
        <v>43135</v>
      </c>
      <c r="D1344" t="str">
        <f>TEST_DATA!D1344</f>
        <v>NIL</v>
      </c>
      <c r="E1344">
        <f>TEST_DATA!E1344</f>
        <v>1745</v>
      </c>
      <c r="F1344">
        <f>MIN(E1344*134400,10000)</f>
        <v>10000</v>
      </c>
      <c r="G1344" t="e">
        <f ca="1">_xludf.MINIFS(CBIC_Late_Fee_Relief_Windows_1!$I$100:$I$1344,CBIC_Late_Fee_Relief_Windows_1!$D$100:$D$1344,"&lt;="&amp;B1344,CBIC_Late_Fee_Relief_Windows_1!$E$100:$E$1344,"&gt;="&amp;B1344,CBIC_Late_Fee_Relief_Windows_1!$F$100:$F$1344,"&lt;="&amp;C1344,CBIC_Late_Fee_Relief_Windows_1!$G$100:$G$1344,"&gt;="&amp;C1344,CBIC_Late_Fee_Relief_Windows_1!$H$100:$H$1344,D1344)</f>
        <v>#NAME?</v>
      </c>
      <c r="H1344" t="e">
        <f t="shared" ca="1" si="20"/>
        <v>#NAME?</v>
      </c>
      <c r="I1344" t="e">
        <f ca="1">INDEX(CBIC_Late_Fee_Relief_Windows_1!$B$100:$B$1344,MATCH(G1344,CBIC_Late_Fee_Relief_Windows_1!$I$100:$I$1344,0))</f>
        <v>#NAME?</v>
      </c>
    </row>
    <row r="1345" spans="1:9" x14ac:dyDescent="0.55000000000000004">
      <c r="A1345" t="str">
        <f>TEST_DATA!A1345</f>
        <v>27AAAAA1345Z5</v>
      </c>
      <c r="B1345" t="str">
        <f>TEST_DATA!B1345</f>
        <v>May-2020</v>
      </c>
      <c r="C1345">
        <f>TEST_DATA!C1345</f>
        <v>44350</v>
      </c>
      <c r="D1345" t="str">
        <f>TEST_DATA!D1345</f>
        <v>NON-NIL</v>
      </c>
      <c r="E1345">
        <f>TEST_DATA!E1345</f>
        <v>2195</v>
      </c>
      <c r="F1345">
        <f>MIN(E1345*134500,10000)</f>
        <v>10000</v>
      </c>
      <c r="G1345" t="e">
        <f ca="1">_xludf.MINIFS(CBIC_Late_Fee_Relief_Windows_1!$I$100:$I$1345,CBIC_Late_Fee_Relief_Windows_1!$D$100:$D$1345,"&lt;="&amp;B1345,CBIC_Late_Fee_Relief_Windows_1!$E$100:$E$1345,"&gt;="&amp;B1345,CBIC_Late_Fee_Relief_Windows_1!$F$100:$F$1345,"&lt;="&amp;C1345,CBIC_Late_Fee_Relief_Windows_1!$G$100:$G$1345,"&gt;="&amp;C1345,CBIC_Late_Fee_Relief_Windows_1!$H$100:$H$1345,D1345)</f>
        <v>#NAME?</v>
      </c>
      <c r="H1345" t="e">
        <f t="shared" ca="1" si="20"/>
        <v>#NAME?</v>
      </c>
      <c r="I1345" t="e">
        <f ca="1">INDEX(CBIC_Late_Fee_Relief_Windows_1!$B$100:$B$1345,MATCH(G1345,CBIC_Late_Fee_Relief_Windows_1!$I$100:$I$1345,0))</f>
        <v>#NAME?</v>
      </c>
    </row>
    <row r="1346" spans="1:9" x14ac:dyDescent="0.55000000000000004">
      <c r="A1346" t="str">
        <f>TEST_DATA!A1346</f>
        <v>27AAAAA1346Z5</v>
      </c>
      <c r="B1346" t="str">
        <f>TEST_DATA!B1346</f>
        <v>Aug-2018</v>
      </c>
      <c r="C1346">
        <f>TEST_DATA!C1346</f>
        <v>44073</v>
      </c>
      <c r="D1346" t="str">
        <f>TEST_DATA!D1346</f>
        <v>NON-NIL</v>
      </c>
      <c r="E1346">
        <f>TEST_DATA!E1346</f>
        <v>2506</v>
      </c>
      <c r="F1346">
        <f>MIN(E1346*134600,10000)</f>
        <v>10000</v>
      </c>
      <c r="G1346" t="e">
        <f ca="1">_xludf.MINIFS(CBIC_Late_Fee_Relief_Windows_1!$I$100:$I$1346,CBIC_Late_Fee_Relief_Windows_1!$D$100:$D$1346,"&lt;="&amp;B1346,CBIC_Late_Fee_Relief_Windows_1!$E$100:$E$1346,"&gt;="&amp;B1346,CBIC_Late_Fee_Relief_Windows_1!$F$100:$F$1346,"&lt;="&amp;C1346,CBIC_Late_Fee_Relief_Windows_1!$G$100:$G$1346,"&gt;="&amp;C1346,CBIC_Late_Fee_Relief_Windows_1!$H$100:$H$1346,D1346)</f>
        <v>#NAME?</v>
      </c>
      <c r="H1346" t="e">
        <f t="shared" ref="H1346:H1409" ca="1" si="21">MIN(F1346,G1346)</f>
        <v>#NAME?</v>
      </c>
      <c r="I1346" t="e">
        <f ca="1">INDEX(CBIC_Late_Fee_Relief_Windows_1!$B$100:$B$1346,MATCH(G1346,CBIC_Late_Fee_Relief_Windows_1!$I$100:$I$1346,0))</f>
        <v>#NAME?</v>
      </c>
    </row>
    <row r="1347" spans="1:9" x14ac:dyDescent="0.55000000000000004">
      <c r="A1347" t="str">
        <f>TEST_DATA!A1347</f>
        <v>27AAAAA1347Z5</v>
      </c>
      <c r="B1347" t="str">
        <f>TEST_DATA!B1347</f>
        <v>Mar-2018</v>
      </c>
      <c r="C1347">
        <f>TEST_DATA!C1347</f>
        <v>44310</v>
      </c>
      <c r="D1347" t="str">
        <f>TEST_DATA!D1347</f>
        <v>NON-NIL</v>
      </c>
      <c r="E1347">
        <f>TEST_DATA!E1347</f>
        <v>834</v>
      </c>
      <c r="F1347">
        <f>MIN(E1347*134700,10000)</f>
        <v>10000</v>
      </c>
      <c r="G1347" t="e">
        <f ca="1">_xludf.MINIFS(CBIC_Late_Fee_Relief_Windows_1!$I$100:$I$1347,CBIC_Late_Fee_Relief_Windows_1!$D$100:$D$1347,"&lt;="&amp;B1347,CBIC_Late_Fee_Relief_Windows_1!$E$100:$E$1347,"&gt;="&amp;B1347,CBIC_Late_Fee_Relief_Windows_1!$F$100:$F$1347,"&lt;="&amp;C1347,CBIC_Late_Fee_Relief_Windows_1!$G$100:$G$1347,"&gt;="&amp;C1347,CBIC_Late_Fee_Relief_Windows_1!$H$100:$H$1347,D1347)</f>
        <v>#NAME?</v>
      </c>
      <c r="H1347" t="e">
        <f t="shared" ca="1" si="21"/>
        <v>#NAME?</v>
      </c>
      <c r="I1347" t="e">
        <f ca="1">INDEX(CBIC_Late_Fee_Relief_Windows_1!$B$100:$B$1347,MATCH(G1347,CBIC_Late_Fee_Relief_Windows_1!$I$100:$I$1347,0))</f>
        <v>#NAME?</v>
      </c>
    </row>
    <row r="1348" spans="1:9" x14ac:dyDescent="0.55000000000000004">
      <c r="A1348" t="str">
        <f>TEST_DATA!A1348</f>
        <v>27AAAAA1348Z5</v>
      </c>
      <c r="B1348" t="str">
        <f>TEST_DATA!B1348</f>
        <v>Aug-2018</v>
      </c>
      <c r="C1348">
        <f>TEST_DATA!C1348</f>
        <v>44047</v>
      </c>
      <c r="D1348" t="str">
        <f>TEST_DATA!D1348</f>
        <v>NON-NIL</v>
      </c>
      <c r="E1348">
        <f>TEST_DATA!E1348</f>
        <v>732</v>
      </c>
      <c r="F1348">
        <f>MIN(E1348*134800,10000)</f>
        <v>10000</v>
      </c>
      <c r="G1348" t="e">
        <f ca="1">_xludf.MINIFS(CBIC_Late_Fee_Relief_Windows_1!$I$100:$I$1348,CBIC_Late_Fee_Relief_Windows_1!$D$100:$D$1348,"&lt;="&amp;B1348,CBIC_Late_Fee_Relief_Windows_1!$E$100:$E$1348,"&gt;="&amp;B1348,CBIC_Late_Fee_Relief_Windows_1!$F$100:$F$1348,"&lt;="&amp;C1348,CBIC_Late_Fee_Relief_Windows_1!$G$100:$G$1348,"&gt;="&amp;C1348,CBIC_Late_Fee_Relief_Windows_1!$H$100:$H$1348,D1348)</f>
        <v>#NAME?</v>
      </c>
      <c r="H1348" t="e">
        <f t="shared" ca="1" si="21"/>
        <v>#NAME?</v>
      </c>
      <c r="I1348" t="e">
        <f ca="1">INDEX(CBIC_Late_Fee_Relief_Windows_1!$B$100:$B$1348,MATCH(G1348,CBIC_Late_Fee_Relief_Windows_1!$I$100:$I$1348,0))</f>
        <v>#NAME?</v>
      </c>
    </row>
    <row r="1349" spans="1:9" x14ac:dyDescent="0.55000000000000004">
      <c r="A1349" t="str">
        <f>TEST_DATA!A1349</f>
        <v>27AAAAA1349Z5</v>
      </c>
      <c r="B1349" t="str">
        <f>TEST_DATA!B1349</f>
        <v>Jun-2018</v>
      </c>
      <c r="C1349">
        <f>TEST_DATA!C1349</f>
        <v>44062</v>
      </c>
      <c r="D1349" t="str">
        <f>TEST_DATA!D1349</f>
        <v>NON-NIL</v>
      </c>
      <c r="E1349">
        <f>TEST_DATA!E1349</f>
        <v>1039</v>
      </c>
      <c r="F1349">
        <f>MIN(E1349*134900,10000)</f>
        <v>10000</v>
      </c>
      <c r="G1349" t="e">
        <f ca="1">_xludf.MINIFS(CBIC_Late_Fee_Relief_Windows_1!$I$100:$I$1349,CBIC_Late_Fee_Relief_Windows_1!$D$100:$D$1349,"&lt;="&amp;B1349,CBIC_Late_Fee_Relief_Windows_1!$E$100:$E$1349,"&gt;="&amp;B1349,CBIC_Late_Fee_Relief_Windows_1!$F$100:$F$1349,"&lt;="&amp;C1349,CBIC_Late_Fee_Relief_Windows_1!$G$100:$G$1349,"&gt;="&amp;C1349,CBIC_Late_Fee_Relief_Windows_1!$H$100:$H$1349,D1349)</f>
        <v>#NAME?</v>
      </c>
      <c r="H1349" t="e">
        <f t="shared" ca="1" si="21"/>
        <v>#NAME?</v>
      </c>
      <c r="I1349" t="e">
        <f ca="1">INDEX(CBIC_Late_Fee_Relief_Windows_1!$B$100:$B$1349,MATCH(G1349,CBIC_Late_Fee_Relief_Windows_1!$I$100:$I$1349,0))</f>
        <v>#NAME?</v>
      </c>
    </row>
    <row r="1350" spans="1:9" x14ac:dyDescent="0.55000000000000004">
      <c r="A1350" t="str">
        <f>TEST_DATA!A1350</f>
        <v>27AAAAA1350Z5</v>
      </c>
      <c r="B1350" t="str">
        <f>TEST_DATA!B1350</f>
        <v>Apr-2018</v>
      </c>
      <c r="C1350">
        <f>TEST_DATA!C1350</f>
        <v>44100</v>
      </c>
      <c r="D1350" t="str">
        <f>TEST_DATA!D1350</f>
        <v>NON-NIL</v>
      </c>
      <c r="E1350">
        <f>TEST_DATA!E1350</f>
        <v>2889</v>
      </c>
      <c r="F1350">
        <f>MIN(E1350*135000,10000)</f>
        <v>10000</v>
      </c>
      <c r="G1350" t="e">
        <f ca="1">_xludf.MINIFS(CBIC_Late_Fee_Relief_Windows_1!$I$100:$I$1350,CBIC_Late_Fee_Relief_Windows_1!$D$100:$D$1350,"&lt;="&amp;B1350,CBIC_Late_Fee_Relief_Windows_1!$E$100:$E$1350,"&gt;="&amp;B1350,CBIC_Late_Fee_Relief_Windows_1!$F$100:$F$1350,"&lt;="&amp;C1350,CBIC_Late_Fee_Relief_Windows_1!$G$100:$G$1350,"&gt;="&amp;C1350,CBIC_Late_Fee_Relief_Windows_1!$H$100:$H$1350,D1350)</f>
        <v>#NAME?</v>
      </c>
      <c r="H1350" t="e">
        <f t="shared" ca="1" si="21"/>
        <v>#NAME?</v>
      </c>
      <c r="I1350" t="e">
        <f ca="1">INDEX(CBIC_Late_Fee_Relief_Windows_1!$B$100:$B$1350,MATCH(G1350,CBIC_Late_Fee_Relief_Windows_1!$I$100:$I$1350,0))</f>
        <v>#NAME?</v>
      </c>
    </row>
    <row r="1351" spans="1:9" x14ac:dyDescent="0.55000000000000004">
      <c r="A1351" t="str">
        <f>TEST_DATA!A1351</f>
        <v>27AAAAA1351Z5</v>
      </c>
      <c r="B1351" t="str">
        <f>TEST_DATA!B1351</f>
        <v>Jul-2018</v>
      </c>
      <c r="C1351">
        <f>TEST_DATA!C1351</f>
        <v>44423</v>
      </c>
      <c r="D1351" t="str">
        <f>TEST_DATA!D1351</f>
        <v>NIL</v>
      </c>
      <c r="E1351">
        <f>TEST_DATA!E1351</f>
        <v>2700</v>
      </c>
      <c r="F1351">
        <f>MIN(E1351*135100,10000)</f>
        <v>10000</v>
      </c>
      <c r="G1351" t="e">
        <f ca="1">_xludf.MINIFS(CBIC_Late_Fee_Relief_Windows_1!$I$100:$I$1351,CBIC_Late_Fee_Relief_Windows_1!$D$100:$D$1351,"&lt;="&amp;B1351,CBIC_Late_Fee_Relief_Windows_1!$E$100:$E$1351,"&gt;="&amp;B1351,CBIC_Late_Fee_Relief_Windows_1!$F$100:$F$1351,"&lt;="&amp;C1351,CBIC_Late_Fee_Relief_Windows_1!$G$100:$G$1351,"&gt;="&amp;C1351,CBIC_Late_Fee_Relief_Windows_1!$H$100:$H$1351,D1351)</f>
        <v>#NAME?</v>
      </c>
      <c r="H1351" t="e">
        <f t="shared" ca="1" si="21"/>
        <v>#NAME?</v>
      </c>
      <c r="I1351" t="e">
        <f ca="1">INDEX(CBIC_Late_Fee_Relief_Windows_1!$B$100:$B$1351,MATCH(G1351,CBIC_Late_Fee_Relief_Windows_1!$I$100:$I$1351,0))</f>
        <v>#NAME?</v>
      </c>
    </row>
    <row r="1352" spans="1:9" x14ac:dyDescent="0.55000000000000004">
      <c r="A1352" t="str">
        <f>TEST_DATA!A1352</f>
        <v>27AAAAA1352Z5</v>
      </c>
      <c r="B1352" t="str">
        <f>TEST_DATA!B1352</f>
        <v>Oct-2017</v>
      </c>
      <c r="C1352">
        <f>TEST_DATA!C1352</f>
        <v>44448</v>
      </c>
      <c r="D1352" t="str">
        <f>TEST_DATA!D1352</f>
        <v>NIL</v>
      </c>
      <c r="E1352">
        <f>TEST_DATA!E1352</f>
        <v>1829</v>
      </c>
      <c r="F1352">
        <f>MIN(E1352*135200,10000)</f>
        <v>10000</v>
      </c>
      <c r="G1352" t="e">
        <f ca="1">_xludf.MINIFS(CBIC_Late_Fee_Relief_Windows_1!$I$100:$I$1352,CBIC_Late_Fee_Relief_Windows_1!$D$100:$D$1352,"&lt;="&amp;B1352,CBIC_Late_Fee_Relief_Windows_1!$E$100:$E$1352,"&gt;="&amp;B1352,CBIC_Late_Fee_Relief_Windows_1!$F$100:$F$1352,"&lt;="&amp;C1352,CBIC_Late_Fee_Relief_Windows_1!$G$100:$G$1352,"&gt;="&amp;C1352,CBIC_Late_Fee_Relief_Windows_1!$H$100:$H$1352,D1352)</f>
        <v>#NAME?</v>
      </c>
      <c r="H1352" t="e">
        <f t="shared" ca="1" si="21"/>
        <v>#NAME?</v>
      </c>
      <c r="I1352" t="e">
        <f ca="1">INDEX(CBIC_Late_Fee_Relief_Windows_1!$B$100:$B$1352,MATCH(G1352,CBIC_Late_Fee_Relief_Windows_1!$I$100:$I$1352,0))</f>
        <v>#NAME?</v>
      </c>
    </row>
    <row r="1353" spans="1:9" x14ac:dyDescent="0.55000000000000004">
      <c r="A1353" t="str">
        <f>TEST_DATA!A1353</f>
        <v>27AAAAA1353Z5</v>
      </c>
      <c r="B1353" t="str">
        <f>TEST_DATA!B1353</f>
        <v>Apr-2021</v>
      </c>
      <c r="C1353">
        <f>TEST_DATA!C1353</f>
        <v>44128</v>
      </c>
      <c r="D1353" t="str">
        <f>TEST_DATA!D1353</f>
        <v>NIL</v>
      </c>
      <c r="E1353">
        <f>TEST_DATA!E1353</f>
        <v>878</v>
      </c>
      <c r="F1353">
        <f>MIN(E1353*135300,10000)</f>
        <v>10000</v>
      </c>
      <c r="G1353" t="e">
        <f ca="1">_xludf.MINIFS(CBIC_Late_Fee_Relief_Windows_1!$I$100:$I$1353,CBIC_Late_Fee_Relief_Windows_1!$D$100:$D$1353,"&lt;="&amp;B1353,CBIC_Late_Fee_Relief_Windows_1!$E$100:$E$1353,"&gt;="&amp;B1353,CBIC_Late_Fee_Relief_Windows_1!$F$100:$F$1353,"&lt;="&amp;C1353,CBIC_Late_Fee_Relief_Windows_1!$G$100:$G$1353,"&gt;="&amp;C1353,CBIC_Late_Fee_Relief_Windows_1!$H$100:$H$1353,D1353)</f>
        <v>#NAME?</v>
      </c>
      <c r="H1353" t="e">
        <f t="shared" ca="1" si="21"/>
        <v>#NAME?</v>
      </c>
      <c r="I1353" t="e">
        <f ca="1">INDEX(CBIC_Late_Fee_Relief_Windows_1!$B$100:$B$1353,MATCH(G1353,CBIC_Late_Fee_Relief_Windows_1!$I$100:$I$1353,0))</f>
        <v>#NAME?</v>
      </c>
    </row>
    <row r="1354" spans="1:9" x14ac:dyDescent="0.55000000000000004">
      <c r="A1354" t="str">
        <f>TEST_DATA!A1354</f>
        <v>27AAAAA1354Z5</v>
      </c>
      <c r="B1354" t="str">
        <f>TEST_DATA!B1354</f>
        <v>Jun-2019</v>
      </c>
      <c r="C1354">
        <f>TEST_DATA!C1354</f>
        <v>45106</v>
      </c>
      <c r="D1354" t="str">
        <f>TEST_DATA!D1354</f>
        <v>NON-NIL</v>
      </c>
      <c r="E1354">
        <f>TEST_DATA!E1354</f>
        <v>2255</v>
      </c>
      <c r="F1354">
        <f>MIN(E1354*135400,10000)</f>
        <v>10000</v>
      </c>
      <c r="G1354" t="e">
        <f ca="1">_xludf.MINIFS(CBIC_Late_Fee_Relief_Windows_1!$I$100:$I$1354,CBIC_Late_Fee_Relief_Windows_1!$D$100:$D$1354,"&lt;="&amp;B1354,CBIC_Late_Fee_Relief_Windows_1!$E$100:$E$1354,"&gt;="&amp;B1354,CBIC_Late_Fee_Relief_Windows_1!$F$100:$F$1354,"&lt;="&amp;C1354,CBIC_Late_Fee_Relief_Windows_1!$G$100:$G$1354,"&gt;="&amp;C1354,CBIC_Late_Fee_Relief_Windows_1!$H$100:$H$1354,D1354)</f>
        <v>#NAME?</v>
      </c>
      <c r="H1354" t="e">
        <f t="shared" ca="1" si="21"/>
        <v>#NAME?</v>
      </c>
      <c r="I1354" t="e">
        <f ca="1">INDEX(CBIC_Late_Fee_Relief_Windows_1!$B$100:$B$1354,MATCH(G1354,CBIC_Late_Fee_Relief_Windows_1!$I$100:$I$1354,0))</f>
        <v>#NAME?</v>
      </c>
    </row>
    <row r="1355" spans="1:9" x14ac:dyDescent="0.55000000000000004">
      <c r="A1355" t="str">
        <f>TEST_DATA!A1355</f>
        <v>27AAAAA1355Z5</v>
      </c>
      <c r="B1355" t="str">
        <f>TEST_DATA!B1355</f>
        <v>Apr-2020</v>
      </c>
      <c r="C1355">
        <f>TEST_DATA!C1355</f>
        <v>43937</v>
      </c>
      <c r="D1355" t="str">
        <f>TEST_DATA!D1355</f>
        <v>NIL</v>
      </c>
      <c r="E1355">
        <f>TEST_DATA!E1355</f>
        <v>1593</v>
      </c>
      <c r="F1355">
        <f>MIN(E1355*135500,10000)</f>
        <v>10000</v>
      </c>
      <c r="G1355" t="e">
        <f ca="1">_xludf.MINIFS(CBIC_Late_Fee_Relief_Windows_1!$I$100:$I$1355,CBIC_Late_Fee_Relief_Windows_1!$D$100:$D$1355,"&lt;="&amp;B1355,CBIC_Late_Fee_Relief_Windows_1!$E$100:$E$1355,"&gt;="&amp;B1355,CBIC_Late_Fee_Relief_Windows_1!$F$100:$F$1355,"&lt;="&amp;C1355,CBIC_Late_Fee_Relief_Windows_1!$G$100:$G$1355,"&gt;="&amp;C1355,CBIC_Late_Fee_Relief_Windows_1!$H$100:$H$1355,D1355)</f>
        <v>#NAME?</v>
      </c>
      <c r="H1355" t="e">
        <f t="shared" ca="1" si="21"/>
        <v>#NAME?</v>
      </c>
      <c r="I1355" t="e">
        <f ca="1">INDEX(CBIC_Late_Fee_Relief_Windows_1!$B$100:$B$1355,MATCH(G1355,CBIC_Late_Fee_Relief_Windows_1!$I$100:$I$1355,0))</f>
        <v>#NAME?</v>
      </c>
    </row>
    <row r="1356" spans="1:9" x14ac:dyDescent="0.55000000000000004">
      <c r="A1356" t="str">
        <f>TEST_DATA!A1356</f>
        <v>27AAAAA1356Z5</v>
      </c>
      <c r="B1356" t="str">
        <f>TEST_DATA!B1356</f>
        <v>May-2020</v>
      </c>
      <c r="C1356">
        <f>TEST_DATA!C1356</f>
        <v>43841</v>
      </c>
      <c r="D1356" t="str">
        <f>TEST_DATA!D1356</f>
        <v>NIL</v>
      </c>
      <c r="E1356">
        <f>TEST_DATA!E1356</f>
        <v>595</v>
      </c>
      <c r="F1356">
        <f>MIN(E1356*135600,10000)</f>
        <v>10000</v>
      </c>
      <c r="G1356" t="e">
        <f ca="1">_xludf.MINIFS(CBIC_Late_Fee_Relief_Windows_1!$I$100:$I$1356,CBIC_Late_Fee_Relief_Windows_1!$D$100:$D$1356,"&lt;="&amp;B1356,CBIC_Late_Fee_Relief_Windows_1!$E$100:$E$1356,"&gt;="&amp;B1356,CBIC_Late_Fee_Relief_Windows_1!$F$100:$F$1356,"&lt;="&amp;C1356,CBIC_Late_Fee_Relief_Windows_1!$G$100:$G$1356,"&gt;="&amp;C1356,CBIC_Late_Fee_Relief_Windows_1!$H$100:$H$1356,D1356)</f>
        <v>#NAME?</v>
      </c>
      <c r="H1356" t="e">
        <f t="shared" ca="1" si="21"/>
        <v>#NAME?</v>
      </c>
      <c r="I1356" t="e">
        <f ca="1">INDEX(CBIC_Late_Fee_Relief_Windows_1!$B$100:$B$1356,MATCH(G1356,CBIC_Late_Fee_Relief_Windows_1!$I$100:$I$1356,0))</f>
        <v>#NAME?</v>
      </c>
    </row>
    <row r="1357" spans="1:9" x14ac:dyDescent="0.55000000000000004">
      <c r="A1357" t="str">
        <f>TEST_DATA!A1357</f>
        <v>27AAAAA1357Z5</v>
      </c>
      <c r="B1357" t="str">
        <f>TEST_DATA!B1357</f>
        <v>Jan-2019</v>
      </c>
      <c r="C1357">
        <f>TEST_DATA!C1357</f>
        <v>45249</v>
      </c>
      <c r="D1357" t="str">
        <f>TEST_DATA!D1357</f>
        <v>NIL</v>
      </c>
      <c r="E1357">
        <f>TEST_DATA!E1357</f>
        <v>262</v>
      </c>
      <c r="F1357">
        <f>MIN(E1357*135700,10000)</f>
        <v>10000</v>
      </c>
      <c r="G1357" t="e">
        <f ca="1">_xludf.MINIFS(CBIC_Late_Fee_Relief_Windows_1!$I$100:$I$1357,CBIC_Late_Fee_Relief_Windows_1!$D$100:$D$1357,"&lt;="&amp;B1357,CBIC_Late_Fee_Relief_Windows_1!$E$100:$E$1357,"&gt;="&amp;B1357,CBIC_Late_Fee_Relief_Windows_1!$F$100:$F$1357,"&lt;="&amp;C1357,CBIC_Late_Fee_Relief_Windows_1!$G$100:$G$1357,"&gt;="&amp;C1357,CBIC_Late_Fee_Relief_Windows_1!$H$100:$H$1357,D1357)</f>
        <v>#NAME?</v>
      </c>
      <c r="H1357" t="e">
        <f t="shared" ca="1" si="21"/>
        <v>#NAME?</v>
      </c>
      <c r="I1357" t="e">
        <f ca="1">INDEX(CBIC_Late_Fee_Relief_Windows_1!$B$100:$B$1357,MATCH(G1357,CBIC_Late_Fee_Relief_Windows_1!$I$100:$I$1357,0))</f>
        <v>#NAME?</v>
      </c>
    </row>
    <row r="1358" spans="1:9" x14ac:dyDescent="0.55000000000000004">
      <c r="A1358" t="str">
        <f>TEST_DATA!A1358</f>
        <v>27AAAAA1358Z5</v>
      </c>
      <c r="B1358" t="str">
        <f>TEST_DATA!B1358</f>
        <v>Mar-2018</v>
      </c>
      <c r="C1358">
        <f>TEST_DATA!C1358</f>
        <v>43371</v>
      </c>
      <c r="D1358" t="str">
        <f>TEST_DATA!D1358</f>
        <v>NON-NIL</v>
      </c>
      <c r="E1358">
        <f>TEST_DATA!E1358</f>
        <v>327</v>
      </c>
      <c r="F1358">
        <f>MIN(E1358*135800,10000)</f>
        <v>10000</v>
      </c>
      <c r="G1358" t="e">
        <f ca="1">_xludf.MINIFS(CBIC_Late_Fee_Relief_Windows_1!$I$100:$I$1358,CBIC_Late_Fee_Relief_Windows_1!$D$100:$D$1358,"&lt;="&amp;B1358,CBIC_Late_Fee_Relief_Windows_1!$E$100:$E$1358,"&gt;="&amp;B1358,CBIC_Late_Fee_Relief_Windows_1!$F$100:$F$1358,"&lt;="&amp;C1358,CBIC_Late_Fee_Relief_Windows_1!$G$100:$G$1358,"&gt;="&amp;C1358,CBIC_Late_Fee_Relief_Windows_1!$H$100:$H$1358,D1358)</f>
        <v>#NAME?</v>
      </c>
      <c r="H1358" t="e">
        <f t="shared" ca="1" si="21"/>
        <v>#NAME?</v>
      </c>
      <c r="I1358" t="e">
        <f ca="1">INDEX(CBIC_Late_Fee_Relief_Windows_1!$B$100:$B$1358,MATCH(G1358,CBIC_Late_Fee_Relief_Windows_1!$I$100:$I$1358,0))</f>
        <v>#NAME?</v>
      </c>
    </row>
    <row r="1359" spans="1:9" x14ac:dyDescent="0.55000000000000004">
      <c r="A1359" t="str">
        <f>TEST_DATA!A1359</f>
        <v>27AAAAA1359Z5</v>
      </c>
      <c r="B1359" t="str">
        <f>TEST_DATA!B1359</f>
        <v>Apr-2020</v>
      </c>
      <c r="C1359">
        <f>TEST_DATA!C1359</f>
        <v>43908</v>
      </c>
      <c r="D1359" t="str">
        <f>TEST_DATA!D1359</f>
        <v>NON-NIL</v>
      </c>
      <c r="E1359">
        <f>TEST_DATA!E1359</f>
        <v>1641</v>
      </c>
      <c r="F1359">
        <f>MIN(E1359*135900,10000)</f>
        <v>10000</v>
      </c>
      <c r="G1359" t="e">
        <f ca="1">_xludf.MINIFS(CBIC_Late_Fee_Relief_Windows_1!$I$100:$I$1359,CBIC_Late_Fee_Relief_Windows_1!$D$100:$D$1359,"&lt;="&amp;B1359,CBIC_Late_Fee_Relief_Windows_1!$E$100:$E$1359,"&gt;="&amp;B1359,CBIC_Late_Fee_Relief_Windows_1!$F$100:$F$1359,"&lt;="&amp;C1359,CBIC_Late_Fee_Relief_Windows_1!$G$100:$G$1359,"&gt;="&amp;C1359,CBIC_Late_Fee_Relief_Windows_1!$H$100:$H$1359,D1359)</f>
        <v>#NAME?</v>
      </c>
      <c r="H1359" t="e">
        <f t="shared" ca="1" si="21"/>
        <v>#NAME?</v>
      </c>
      <c r="I1359" t="e">
        <f ca="1">INDEX(CBIC_Late_Fee_Relief_Windows_1!$B$100:$B$1359,MATCH(G1359,CBIC_Late_Fee_Relief_Windows_1!$I$100:$I$1359,0))</f>
        <v>#NAME?</v>
      </c>
    </row>
    <row r="1360" spans="1:9" x14ac:dyDescent="0.55000000000000004">
      <c r="A1360" t="str">
        <f>TEST_DATA!A1360</f>
        <v>27AAAAA1360Z5</v>
      </c>
      <c r="B1360" t="str">
        <f>TEST_DATA!B1360</f>
        <v>Apr-2020</v>
      </c>
      <c r="C1360">
        <f>TEST_DATA!C1360</f>
        <v>44898</v>
      </c>
      <c r="D1360" t="str">
        <f>TEST_DATA!D1360</f>
        <v>NON-NIL</v>
      </c>
      <c r="E1360">
        <f>TEST_DATA!E1360</f>
        <v>2914</v>
      </c>
      <c r="F1360">
        <f>MIN(E1360*136000,10000)</f>
        <v>10000</v>
      </c>
      <c r="G1360" t="e">
        <f ca="1">_xludf.MINIFS(CBIC_Late_Fee_Relief_Windows_1!$I$100:$I$1360,CBIC_Late_Fee_Relief_Windows_1!$D$100:$D$1360,"&lt;="&amp;B1360,CBIC_Late_Fee_Relief_Windows_1!$E$100:$E$1360,"&gt;="&amp;B1360,CBIC_Late_Fee_Relief_Windows_1!$F$100:$F$1360,"&lt;="&amp;C1360,CBIC_Late_Fee_Relief_Windows_1!$G$100:$G$1360,"&gt;="&amp;C1360,CBIC_Late_Fee_Relief_Windows_1!$H$100:$H$1360,D1360)</f>
        <v>#NAME?</v>
      </c>
      <c r="H1360" t="e">
        <f t="shared" ca="1" si="21"/>
        <v>#NAME?</v>
      </c>
      <c r="I1360" t="e">
        <f ca="1">INDEX(CBIC_Late_Fee_Relief_Windows_1!$B$100:$B$1360,MATCH(G1360,CBIC_Late_Fee_Relief_Windows_1!$I$100:$I$1360,0))</f>
        <v>#NAME?</v>
      </c>
    </row>
    <row r="1361" spans="1:9" x14ac:dyDescent="0.55000000000000004">
      <c r="A1361" t="str">
        <f>TEST_DATA!A1361</f>
        <v>27AAAAA1361Z5</v>
      </c>
      <c r="B1361" t="str">
        <f>TEST_DATA!B1361</f>
        <v>Apr-2020</v>
      </c>
      <c r="C1361">
        <f>TEST_DATA!C1361</f>
        <v>43948</v>
      </c>
      <c r="D1361" t="str">
        <f>TEST_DATA!D1361</f>
        <v>NIL</v>
      </c>
      <c r="E1361">
        <f>TEST_DATA!E1361</f>
        <v>2622</v>
      </c>
      <c r="F1361">
        <f>MIN(E1361*136100,10000)</f>
        <v>10000</v>
      </c>
      <c r="G1361" t="e">
        <f ca="1">_xludf.MINIFS(CBIC_Late_Fee_Relief_Windows_1!$I$100:$I$1361,CBIC_Late_Fee_Relief_Windows_1!$D$100:$D$1361,"&lt;="&amp;B1361,CBIC_Late_Fee_Relief_Windows_1!$E$100:$E$1361,"&gt;="&amp;B1361,CBIC_Late_Fee_Relief_Windows_1!$F$100:$F$1361,"&lt;="&amp;C1361,CBIC_Late_Fee_Relief_Windows_1!$G$100:$G$1361,"&gt;="&amp;C1361,CBIC_Late_Fee_Relief_Windows_1!$H$100:$H$1361,D1361)</f>
        <v>#NAME?</v>
      </c>
      <c r="H1361" t="e">
        <f t="shared" ca="1" si="21"/>
        <v>#NAME?</v>
      </c>
      <c r="I1361" t="e">
        <f ca="1">INDEX(CBIC_Late_Fee_Relief_Windows_1!$B$100:$B$1361,MATCH(G1361,CBIC_Late_Fee_Relief_Windows_1!$I$100:$I$1361,0))</f>
        <v>#NAME?</v>
      </c>
    </row>
    <row r="1362" spans="1:9" x14ac:dyDescent="0.55000000000000004">
      <c r="A1362" t="str">
        <f>TEST_DATA!A1362</f>
        <v>27AAAAA1362Z5</v>
      </c>
      <c r="B1362" t="str">
        <f>TEST_DATA!B1362</f>
        <v>Jan-2019</v>
      </c>
      <c r="C1362">
        <f>TEST_DATA!C1362</f>
        <v>45264</v>
      </c>
      <c r="D1362" t="str">
        <f>TEST_DATA!D1362</f>
        <v>NIL</v>
      </c>
      <c r="E1362">
        <f>TEST_DATA!E1362</f>
        <v>826</v>
      </c>
      <c r="F1362">
        <f>MIN(E1362*136200,10000)</f>
        <v>10000</v>
      </c>
      <c r="G1362" t="e">
        <f ca="1">_xludf.MINIFS(CBIC_Late_Fee_Relief_Windows_1!$I$100:$I$1362,CBIC_Late_Fee_Relief_Windows_1!$D$100:$D$1362,"&lt;="&amp;B1362,CBIC_Late_Fee_Relief_Windows_1!$E$100:$E$1362,"&gt;="&amp;B1362,CBIC_Late_Fee_Relief_Windows_1!$F$100:$F$1362,"&lt;="&amp;C1362,CBIC_Late_Fee_Relief_Windows_1!$G$100:$G$1362,"&gt;="&amp;C1362,CBIC_Late_Fee_Relief_Windows_1!$H$100:$H$1362,D1362)</f>
        <v>#NAME?</v>
      </c>
      <c r="H1362" t="e">
        <f t="shared" ca="1" si="21"/>
        <v>#NAME?</v>
      </c>
      <c r="I1362" t="e">
        <f ca="1">INDEX(CBIC_Late_Fee_Relief_Windows_1!$B$100:$B$1362,MATCH(G1362,CBIC_Late_Fee_Relief_Windows_1!$I$100:$I$1362,0))</f>
        <v>#NAME?</v>
      </c>
    </row>
    <row r="1363" spans="1:9" x14ac:dyDescent="0.55000000000000004">
      <c r="A1363" t="str">
        <f>TEST_DATA!A1363</f>
        <v>27AAAAA1363Z5</v>
      </c>
      <c r="B1363" t="str">
        <f>TEST_DATA!B1363</f>
        <v>Mar-2023</v>
      </c>
      <c r="C1363">
        <f>TEST_DATA!C1363</f>
        <v>45588</v>
      </c>
      <c r="D1363" t="str">
        <f>TEST_DATA!D1363</f>
        <v>NON-NIL</v>
      </c>
      <c r="E1363">
        <f>TEST_DATA!E1363</f>
        <v>797</v>
      </c>
      <c r="F1363">
        <f>MIN(E1363*136300,10000)</f>
        <v>10000</v>
      </c>
      <c r="G1363" t="e">
        <f ca="1">_xludf.MINIFS(CBIC_Late_Fee_Relief_Windows_1!$I$100:$I$1363,CBIC_Late_Fee_Relief_Windows_1!$D$100:$D$1363,"&lt;="&amp;B1363,CBIC_Late_Fee_Relief_Windows_1!$E$100:$E$1363,"&gt;="&amp;B1363,CBIC_Late_Fee_Relief_Windows_1!$F$100:$F$1363,"&lt;="&amp;C1363,CBIC_Late_Fee_Relief_Windows_1!$G$100:$G$1363,"&gt;="&amp;C1363,CBIC_Late_Fee_Relief_Windows_1!$H$100:$H$1363,D1363)</f>
        <v>#NAME?</v>
      </c>
      <c r="H1363" t="e">
        <f t="shared" ca="1" si="21"/>
        <v>#NAME?</v>
      </c>
      <c r="I1363" t="e">
        <f ca="1">INDEX(CBIC_Late_Fee_Relief_Windows_1!$B$100:$B$1363,MATCH(G1363,CBIC_Late_Fee_Relief_Windows_1!$I$100:$I$1363,0))</f>
        <v>#NAME?</v>
      </c>
    </row>
    <row r="1364" spans="1:9" x14ac:dyDescent="0.55000000000000004">
      <c r="A1364" t="str">
        <f>TEST_DATA!A1364</f>
        <v>27AAAAA1364Z5</v>
      </c>
      <c r="B1364" t="str">
        <f>TEST_DATA!B1364</f>
        <v>Aug-2017</v>
      </c>
      <c r="C1364">
        <f>TEST_DATA!C1364</f>
        <v>44522</v>
      </c>
      <c r="D1364" t="str">
        <f>TEST_DATA!D1364</f>
        <v>NIL</v>
      </c>
      <c r="E1364">
        <f>TEST_DATA!E1364</f>
        <v>2519</v>
      </c>
      <c r="F1364">
        <f>MIN(E1364*136400,10000)</f>
        <v>10000</v>
      </c>
      <c r="G1364" t="e">
        <f ca="1">_xludf.MINIFS(CBIC_Late_Fee_Relief_Windows_1!$I$100:$I$1364,CBIC_Late_Fee_Relief_Windows_1!$D$100:$D$1364,"&lt;="&amp;B1364,CBIC_Late_Fee_Relief_Windows_1!$E$100:$E$1364,"&gt;="&amp;B1364,CBIC_Late_Fee_Relief_Windows_1!$F$100:$F$1364,"&lt;="&amp;C1364,CBIC_Late_Fee_Relief_Windows_1!$G$100:$G$1364,"&gt;="&amp;C1364,CBIC_Late_Fee_Relief_Windows_1!$H$100:$H$1364,D1364)</f>
        <v>#NAME?</v>
      </c>
      <c r="H1364" t="e">
        <f t="shared" ca="1" si="21"/>
        <v>#NAME?</v>
      </c>
      <c r="I1364" t="e">
        <f ca="1">INDEX(CBIC_Late_Fee_Relief_Windows_1!$B$100:$B$1364,MATCH(G1364,CBIC_Late_Fee_Relief_Windows_1!$I$100:$I$1364,0))</f>
        <v>#NAME?</v>
      </c>
    </row>
    <row r="1365" spans="1:9" x14ac:dyDescent="0.55000000000000004">
      <c r="A1365" t="str">
        <f>TEST_DATA!A1365</f>
        <v>27AAAAA1365Z5</v>
      </c>
      <c r="B1365" t="str">
        <f>TEST_DATA!B1365</f>
        <v>Dec-2017</v>
      </c>
      <c r="C1365">
        <f>TEST_DATA!C1365</f>
        <v>44297</v>
      </c>
      <c r="D1365" t="str">
        <f>TEST_DATA!D1365</f>
        <v>NIL</v>
      </c>
      <c r="E1365">
        <f>TEST_DATA!E1365</f>
        <v>1473</v>
      </c>
      <c r="F1365">
        <f>MIN(E1365*136500,10000)</f>
        <v>10000</v>
      </c>
      <c r="G1365" t="e">
        <f ca="1">_xludf.MINIFS(CBIC_Late_Fee_Relief_Windows_1!$I$100:$I$1365,CBIC_Late_Fee_Relief_Windows_1!$D$100:$D$1365,"&lt;="&amp;B1365,CBIC_Late_Fee_Relief_Windows_1!$E$100:$E$1365,"&gt;="&amp;B1365,CBIC_Late_Fee_Relief_Windows_1!$F$100:$F$1365,"&lt;="&amp;C1365,CBIC_Late_Fee_Relief_Windows_1!$G$100:$G$1365,"&gt;="&amp;C1365,CBIC_Late_Fee_Relief_Windows_1!$H$100:$H$1365,D1365)</f>
        <v>#NAME?</v>
      </c>
      <c r="H1365" t="e">
        <f t="shared" ca="1" si="21"/>
        <v>#NAME?</v>
      </c>
      <c r="I1365" t="e">
        <f ca="1">INDEX(CBIC_Late_Fee_Relief_Windows_1!$B$100:$B$1365,MATCH(G1365,CBIC_Late_Fee_Relief_Windows_1!$I$100:$I$1365,0))</f>
        <v>#NAME?</v>
      </c>
    </row>
    <row r="1366" spans="1:9" x14ac:dyDescent="0.55000000000000004">
      <c r="A1366" t="str">
        <f>TEST_DATA!A1366</f>
        <v>27AAAAA1366Z5</v>
      </c>
      <c r="B1366" t="str">
        <f>TEST_DATA!B1366</f>
        <v>Feb-2018</v>
      </c>
      <c r="C1366">
        <f>TEST_DATA!C1366</f>
        <v>44258</v>
      </c>
      <c r="D1366" t="str">
        <f>TEST_DATA!D1366</f>
        <v>NIL</v>
      </c>
      <c r="E1366">
        <f>TEST_DATA!E1366</f>
        <v>644</v>
      </c>
      <c r="F1366">
        <f>MIN(E1366*136600,10000)</f>
        <v>10000</v>
      </c>
      <c r="G1366" t="e">
        <f ca="1">_xludf.MINIFS(CBIC_Late_Fee_Relief_Windows_1!$I$100:$I$1366,CBIC_Late_Fee_Relief_Windows_1!$D$100:$D$1366,"&lt;="&amp;B1366,CBIC_Late_Fee_Relief_Windows_1!$E$100:$E$1366,"&gt;="&amp;B1366,CBIC_Late_Fee_Relief_Windows_1!$F$100:$F$1366,"&lt;="&amp;C1366,CBIC_Late_Fee_Relief_Windows_1!$G$100:$G$1366,"&gt;="&amp;C1366,CBIC_Late_Fee_Relief_Windows_1!$H$100:$H$1366,D1366)</f>
        <v>#NAME?</v>
      </c>
      <c r="H1366" t="e">
        <f t="shared" ca="1" si="21"/>
        <v>#NAME?</v>
      </c>
      <c r="I1366" t="e">
        <f ca="1">INDEX(CBIC_Late_Fee_Relief_Windows_1!$B$100:$B$1366,MATCH(G1366,CBIC_Late_Fee_Relief_Windows_1!$I$100:$I$1366,0))</f>
        <v>#NAME?</v>
      </c>
    </row>
    <row r="1367" spans="1:9" x14ac:dyDescent="0.55000000000000004">
      <c r="A1367" t="str">
        <f>TEST_DATA!A1367</f>
        <v>27AAAAA1367Z5</v>
      </c>
      <c r="B1367" t="str">
        <f>TEST_DATA!B1367</f>
        <v>Sep-2017</v>
      </c>
      <c r="C1367">
        <f>TEST_DATA!C1367</f>
        <v>43482</v>
      </c>
      <c r="D1367" t="str">
        <f>TEST_DATA!D1367</f>
        <v>NON-NIL</v>
      </c>
      <c r="E1367">
        <f>TEST_DATA!E1367</f>
        <v>1446</v>
      </c>
      <c r="F1367">
        <f>MIN(E1367*136700,10000)</f>
        <v>10000</v>
      </c>
      <c r="G1367" t="e">
        <f ca="1">_xludf.MINIFS(CBIC_Late_Fee_Relief_Windows_1!$I$100:$I$1367,CBIC_Late_Fee_Relief_Windows_1!$D$100:$D$1367,"&lt;="&amp;B1367,CBIC_Late_Fee_Relief_Windows_1!$E$100:$E$1367,"&gt;="&amp;B1367,CBIC_Late_Fee_Relief_Windows_1!$F$100:$F$1367,"&lt;="&amp;C1367,CBIC_Late_Fee_Relief_Windows_1!$G$100:$G$1367,"&gt;="&amp;C1367,CBIC_Late_Fee_Relief_Windows_1!$H$100:$H$1367,D1367)</f>
        <v>#NAME?</v>
      </c>
      <c r="H1367" t="e">
        <f t="shared" ca="1" si="21"/>
        <v>#NAME?</v>
      </c>
      <c r="I1367" t="e">
        <f ca="1">INDEX(CBIC_Late_Fee_Relief_Windows_1!$B$100:$B$1367,MATCH(G1367,CBIC_Late_Fee_Relief_Windows_1!$I$100:$I$1367,0))</f>
        <v>#NAME?</v>
      </c>
    </row>
    <row r="1368" spans="1:9" x14ac:dyDescent="0.55000000000000004">
      <c r="A1368" t="str">
        <f>TEST_DATA!A1368</f>
        <v>27AAAAA1368Z5</v>
      </c>
      <c r="B1368" t="str">
        <f>TEST_DATA!B1368</f>
        <v>Jun-2020</v>
      </c>
      <c r="C1368">
        <f>TEST_DATA!C1368</f>
        <v>44640</v>
      </c>
      <c r="D1368" t="str">
        <f>TEST_DATA!D1368</f>
        <v>NON-NIL</v>
      </c>
      <c r="E1368">
        <f>TEST_DATA!E1368</f>
        <v>2400</v>
      </c>
      <c r="F1368">
        <f>MIN(E1368*136800,10000)</f>
        <v>10000</v>
      </c>
      <c r="G1368" t="e">
        <f ca="1">_xludf.MINIFS(CBIC_Late_Fee_Relief_Windows_1!$I$100:$I$1368,CBIC_Late_Fee_Relief_Windows_1!$D$100:$D$1368,"&lt;="&amp;B1368,CBIC_Late_Fee_Relief_Windows_1!$E$100:$E$1368,"&gt;="&amp;B1368,CBIC_Late_Fee_Relief_Windows_1!$F$100:$F$1368,"&lt;="&amp;C1368,CBIC_Late_Fee_Relief_Windows_1!$G$100:$G$1368,"&gt;="&amp;C1368,CBIC_Late_Fee_Relief_Windows_1!$H$100:$H$1368,D1368)</f>
        <v>#NAME?</v>
      </c>
      <c r="H1368" t="e">
        <f t="shared" ca="1" si="21"/>
        <v>#NAME?</v>
      </c>
      <c r="I1368" t="e">
        <f ca="1">INDEX(CBIC_Late_Fee_Relief_Windows_1!$B$100:$B$1368,MATCH(G1368,CBIC_Late_Fee_Relief_Windows_1!$I$100:$I$1368,0))</f>
        <v>#NAME?</v>
      </c>
    </row>
    <row r="1369" spans="1:9" x14ac:dyDescent="0.55000000000000004">
      <c r="A1369" t="str">
        <f>TEST_DATA!A1369</f>
        <v>27AAAAA1369Z5</v>
      </c>
      <c r="B1369" t="str">
        <f>TEST_DATA!B1369</f>
        <v>Jan-2018</v>
      </c>
      <c r="C1369">
        <f>TEST_DATA!C1369</f>
        <v>43977</v>
      </c>
      <c r="D1369" t="str">
        <f>TEST_DATA!D1369</f>
        <v>NIL</v>
      </c>
      <c r="E1369">
        <f>TEST_DATA!E1369</f>
        <v>2882</v>
      </c>
      <c r="F1369">
        <f>MIN(E1369*136900,10000)</f>
        <v>10000</v>
      </c>
      <c r="G1369" t="e">
        <f ca="1">_xludf.MINIFS(CBIC_Late_Fee_Relief_Windows_1!$I$100:$I$1369,CBIC_Late_Fee_Relief_Windows_1!$D$100:$D$1369,"&lt;="&amp;B1369,CBIC_Late_Fee_Relief_Windows_1!$E$100:$E$1369,"&gt;="&amp;B1369,CBIC_Late_Fee_Relief_Windows_1!$F$100:$F$1369,"&lt;="&amp;C1369,CBIC_Late_Fee_Relief_Windows_1!$G$100:$G$1369,"&gt;="&amp;C1369,CBIC_Late_Fee_Relief_Windows_1!$H$100:$H$1369,D1369)</f>
        <v>#NAME?</v>
      </c>
      <c r="H1369" t="e">
        <f t="shared" ca="1" si="21"/>
        <v>#NAME?</v>
      </c>
      <c r="I1369" t="e">
        <f ca="1">INDEX(CBIC_Late_Fee_Relief_Windows_1!$B$100:$B$1369,MATCH(G1369,CBIC_Late_Fee_Relief_Windows_1!$I$100:$I$1369,0))</f>
        <v>#NAME?</v>
      </c>
    </row>
    <row r="1370" spans="1:9" x14ac:dyDescent="0.55000000000000004">
      <c r="A1370" t="str">
        <f>TEST_DATA!A1370</f>
        <v>27AAAAA1370Z5</v>
      </c>
      <c r="B1370" t="str">
        <f>TEST_DATA!B1370</f>
        <v>Sep-2017</v>
      </c>
      <c r="C1370">
        <f>TEST_DATA!C1370</f>
        <v>43101</v>
      </c>
      <c r="D1370" t="str">
        <f>TEST_DATA!D1370</f>
        <v>NON-NIL</v>
      </c>
      <c r="E1370">
        <f>TEST_DATA!E1370</f>
        <v>2974</v>
      </c>
      <c r="F1370">
        <f>MIN(E1370*137000,10000)</f>
        <v>10000</v>
      </c>
      <c r="G1370" t="e">
        <f ca="1">_xludf.MINIFS(CBIC_Late_Fee_Relief_Windows_1!$I$100:$I$1370,CBIC_Late_Fee_Relief_Windows_1!$D$100:$D$1370,"&lt;="&amp;B1370,CBIC_Late_Fee_Relief_Windows_1!$E$100:$E$1370,"&gt;="&amp;B1370,CBIC_Late_Fee_Relief_Windows_1!$F$100:$F$1370,"&lt;="&amp;C1370,CBIC_Late_Fee_Relief_Windows_1!$G$100:$G$1370,"&gt;="&amp;C1370,CBIC_Late_Fee_Relief_Windows_1!$H$100:$H$1370,D1370)</f>
        <v>#NAME?</v>
      </c>
      <c r="H1370" t="e">
        <f t="shared" ca="1" si="21"/>
        <v>#NAME?</v>
      </c>
      <c r="I1370" t="e">
        <f ca="1">INDEX(CBIC_Late_Fee_Relief_Windows_1!$B$100:$B$1370,MATCH(G1370,CBIC_Late_Fee_Relief_Windows_1!$I$100:$I$1370,0))</f>
        <v>#NAME?</v>
      </c>
    </row>
    <row r="1371" spans="1:9" x14ac:dyDescent="0.55000000000000004">
      <c r="A1371" t="str">
        <f>TEST_DATA!A1371</f>
        <v>27AAAAA1371Z5</v>
      </c>
      <c r="B1371" t="str">
        <f>TEST_DATA!B1371</f>
        <v>Dec-2022</v>
      </c>
      <c r="C1371">
        <f>TEST_DATA!C1371</f>
        <v>45756</v>
      </c>
      <c r="D1371" t="str">
        <f>TEST_DATA!D1371</f>
        <v>NON-NIL</v>
      </c>
      <c r="E1371">
        <f>TEST_DATA!E1371</f>
        <v>1423</v>
      </c>
      <c r="F1371">
        <f>MIN(E1371*137100,10000)</f>
        <v>10000</v>
      </c>
      <c r="G1371" t="e">
        <f ca="1">_xludf.MINIFS(CBIC_Late_Fee_Relief_Windows_1!$I$100:$I$1371,CBIC_Late_Fee_Relief_Windows_1!$D$100:$D$1371,"&lt;="&amp;B1371,CBIC_Late_Fee_Relief_Windows_1!$E$100:$E$1371,"&gt;="&amp;B1371,CBIC_Late_Fee_Relief_Windows_1!$F$100:$F$1371,"&lt;="&amp;C1371,CBIC_Late_Fee_Relief_Windows_1!$G$100:$G$1371,"&gt;="&amp;C1371,CBIC_Late_Fee_Relief_Windows_1!$H$100:$H$1371,D1371)</f>
        <v>#NAME?</v>
      </c>
      <c r="H1371" t="e">
        <f t="shared" ca="1" si="21"/>
        <v>#NAME?</v>
      </c>
      <c r="I1371" t="e">
        <f ca="1">INDEX(CBIC_Late_Fee_Relief_Windows_1!$B$100:$B$1371,MATCH(G1371,CBIC_Late_Fee_Relief_Windows_1!$I$100:$I$1371,0))</f>
        <v>#NAME?</v>
      </c>
    </row>
    <row r="1372" spans="1:9" x14ac:dyDescent="0.55000000000000004">
      <c r="A1372" t="str">
        <f>TEST_DATA!A1372</f>
        <v>27AAAAA1372Z5</v>
      </c>
      <c r="B1372" t="str">
        <f>TEST_DATA!B1372</f>
        <v>Dec-2022</v>
      </c>
      <c r="C1372">
        <f>TEST_DATA!C1372</f>
        <v>44598</v>
      </c>
      <c r="D1372" t="str">
        <f>TEST_DATA!D1372</f>
        <v>NIL</v>
      </c>
      <c r="E1372">
        <f>TEST_DATA!E1372</f>
        <v>2483</v>
      </c>
      <c r="F1372">
        <f>MIN(E1372*137200,10000)</f>
        <v>10000</v>
      </c>
      <c r="G1372" t="e">
        <f ca="1">_xludf.MINIFS(CBIC_Late_Fee_Relief_Windows_1!$I$100:$I$1372,CBIC_Late_Fee_Relief_Windows_1!$D$100:$D$1372,"&lt;="&amp;B1372,CBIC_Late_Fee_Relief_Windows_1!$E$100:$E$1372,"&gt;="&amp;B1372,CBIC_Late_Fee_Relief_Windows_1!$F$100:$F$1372,"&lt;="&amp;C1372,CBIC_Late_Fee_Relief_Windows_1!$G$100:$G$1372,"&gt;="&amp;C1372,CBIC_Late_Fee_Relief_Windows_1!$H$100:$H$1372,D1372)</f>
        <v>#NAME?</v>
      </c>
      <c r="H1372" t="e">
        <f t="shared" ca="1" si="21"/>
        <v>#NAME?</v>
      </c>
      <c r="I1372" t="e">
        <f ca="1">INDEX(CBIC_Late_Fee_Relief_Windows_1!$B$100:$B$1372,MATCH(G1372,CBIC_Late_Fee_Relief_Windows_1!$I$100:$I$1372,0))</f>
        <v>#NAME?</v>
      </c>
    </row>
    <row r="1373" spans="1:9" x14ac:dyDescent="0.55000000000000004">
      <c r="A1373" t="str">
        <f>TEST_DATA!A1373</f>
        <v>27AAAAA1373Z5</v>
      </c>
      <c r="B1373" t="str">
        <f>TEST_DATA!B1373</f>
        <v>Jan-2018</v>
      </c>
      <c r="C1373">
        <f>TEST_DATA!C1373</f>
        <v>43848</v>
      </c>
      <c r="D1373" t="str">
        <f>TEST_DATA!D1373</f>
        <v>NON-NIL</v>
      </c>
      <c r="E1373">
        <f>TEST_DATA!E1373</f>
        <v>2354</v>
      </c>
      <c r="F1373">
        <f>MIN(E1373*137300,10000)</f>
        <v>10000</v>
      </c>
      <c r="G1373" t="e">
        <f ca="1">_xludf.MINIFS(CBIC_Late_Fee_Relief_Windows_1!$I$100:$I$1373,CBIC_Late_Fee_Relief_Windows_1!$D$100:$D$1373,"&lt;="&amp;B1373,CBIC_Late_Fee_Relief_Windows_1!$E$100:$E$1373,"&gt;="&amp;B1373,CBIC_Late_Fee_Relief_Windows_1!$F$100:$F$1373,"&lt;="&amp;C1373,CBIC_Late_Fee_Relief_Windows_1!$G$100:$G$1373,"&gt;="&amp;C1373,CBIC_Late_Fee_Relief_Windows_1!$H$100:$H$1373,D1373)</f>
        <v>#NAME?</v>
      </c>
      <c r="H1373" t="e">
        <f t="shared" ca="1" si="21"/>
        <v>#NAME?</v>
      </c>
      <c r="I1373" t="e">
        <f ca="1">INDEX(CBIC_Late_Fee_Relief_Windows_1!$B$100:$B$1373,MATCH(G1373,CBIC_Late_Fee_Relief_Windows_1!$I$100:$I$1373,0))</f>
        <v>#NAME?</v>
      </c>
    </row>
    <row r="1374" spans="1:9" x14ac:dyDescent="0.55000000000000004">
      <c r="A1374" t="str">
        <f>TEST_DATA!A1374</f>
        <v>27AAAAA1374Z5</v>
      </c>
      <c r="B1374" t="str">
        <f>TEST_DATA!B1374</f>
        <v>Jul-2017</v>
      </c>
      <c r="C1374">
        <f>TEST_DATA!C1374</f>
        <v>43451</v>
      </c>
      <c r="D1374" t="str">
        <f>TEST_DATA!D1374</f>
        <v>NIL</v>
      </c>
      <c r="E1374">
        <f>TEST_DATA!E1374</f>
        <v>1667</v>
      </c>
      <c r="F1374">
        <f>MIN(E1374*137400,10000)</f>
        <v>10000</v>
      </c>
      <c r="G1374" t="e">
        <f ca="1">_xludf.MINIFS(CBIC_Late_Fee_Relief_Windows_1!$I$100:$I$1374,CBIC_Late_Fee_Relief_Windows_1!$D$100:$D$1374,"&lt;="&amp;B1374,CBIC_Late_Fee_Relief_Windows_1!$E$100:$E$1374,"&gt;="&amp;B1374,CBIC_Late_Fee_Relief_Windows_1!$F$100:$F$1374,"&lt;="&amp;C1374,CBIC_Late_Fee_Relief_Windows_1!$G$100:$G$1374,"&gt;="&amp;C1374,CBIC_Late_Fee_Relief_Windows_1!$H$100:$H$1374,D1374)</f>
        <v>#NAME?</v>
      </c>
      <c r="H1374" t="e">
        <f t="shared" ca="1" si="21"/>
        <v>#NAME?</v>
      </c>
      <c r="I1374" t="e">
        <f ca="1">INDEX(CBIC_Late_Fee_Relief_Windows_1!$B$100:$B$1374,MATCH(G1374,CBIC_Late_Fee_Relief_Windows_1!$I$100:$I$1374,0))</f>
        <v>#NAME?</v>
      </c>
    </row>
    <row r="1375" spans="1:9" x14ac:dyDescent="0.55000000000000004">
      <c r="A1375" t="str">
        <f>TEST_DATA!A1375</f>
        <v>27AAAAA1375Z5</v>
      </c>
      <c r="B1375" t="str">
        <f>TEST_DATA!B1375</f>
        <v>Jun-2019</v>
      </c>
      <c r="C1375">
        <f>TEST_DATA!C1375</f>
        <v>43902</v>
      </c>
      <c r="D1375" t="str">
        <f>TEST_DATA!D1375</f>
        <v>NIL</v>
      </c>
      <c r="E1375">
        <f>TEST_DATA!E1375</f>
        <v>2060</v>
      </c>
      <c r="F1375">
        <f>MIN(E1375*137500,10000)</f>
        <v>10000</v>
      </c>
      <c r="G1375" t="e">
        <f ca="1">_xludf.MINIFS(CBIC_Late_Fee_Relief_Windows_1!$I$100:$I$1375,CBIC_Late_Fee_Relief_Windows_1!$D$100:$D$1375,"&lt;="&amp;B1375,CBIC_Late_Fee_Relief_Windows_1!$E$100:$E$1375,"&gt;="&amp;B1375,CBIC_Late_Fee_Relief_Windows_1!$F$100:$F$1375,"&lt;="&amp;C1375,CBIC_Late_Fee_Relief_Windows_1!$G$100:$G$1375,"&gt;="&amp;C1375,CBIC_Late_Fee_Relief_Windows_1!$H$100:$H$1375,D1375)</f>
        <v>#NAME?</v>
      </c>
      <c r="H1375" t="e">
        <f t="shared" ca="1" si="21"/>
        <v>#NAME?</v>
      </c>
      <c r="I1375" t="e">
        <f ca="1">INDEX(CBIC_Late_Fee_Relief_Windows_1!$B$100:$B$1375,MATCH(G1375,CBIC_Late_Fee_Relief_Windows_1!$I$100:$I$1375,0))</f>
        <v>#NAME?</v>
      </c>
    </row>
    <row r="1376" spans="1:9" x14ac:dyDescent="0.55000000000000004">
      <c r="A1376" t="str">
        <f>TEST_DATA!A1376</f>
        <v>27AAAAA1376Z5</v>
      </c>
      <c r="B1376" t="str">
        <f>TEST_DATA!B1376</f>
        <v>Apr-2018</v>
      </c>
      <c r="C1376">
        <f>TEST_DATA!C1376</f>
        <v>43613</v>
      </c>
      <c r="D1376" t="str">
        <f>TEST_DATA!D1376</f>
        <v>NIL</v>
      </c>
      <c r="E1376">
        <f>TEST_DATA!E1376</f>
        <v>2102</v>
      </c>
      <c r="F1376">
        <f>MIN(E1376*137600,10000)</f>
        <v>10000</v>
      </c>
      <c r="G1376" t="e">
        <f ca="1">_xludf.MINIFS(CBIC_Late_Fee_Relief_Windows_1!$I$100:$I$1376,CBIC_Late_Fee_Relief_Windows_1!$D$100:$D$1376,"&lt;="&amp;B1376,CBIC_Late_Fee_Relief_Windows_1!$E$100:$E$1376,"&gt;="&amp;B1376,CBIC_Late_Fee_Relief_Windows_1!$F$100:$F$1376,"&lt;="&amp;C1376,CBIC_Late_Fee_Relief_Windows_1!$G$100:$G$1376,"&gt;="&amp;C1376,CBIC_Late_Fee_Relief_Windows_1!$H$100:$H$1376,D1376)</f>
        <v>#NAME?</v>
      </c>
      <c r="H1376" t="e">
        <f t="shared" ca="1" si="21"/>
        <v>#NAME?</v>
      </c>
      <c r="I1376" t="e">
        <f ca="1">INDEX(CBIC_Late_Fee_Relief_Windows_1!$B$100:$B$1376,MATCH(G1376,CBIC_Late_Fee_Relief_Windows_1!$I$100:$I$1376,0))</f>
        <v>#NAME?</v>
      </c>
    </row>
    <row r="1377" spans="1:9" x14ac:dyDescent="0.55000000000000004">
      <c r="A1377" t="str">
        <f>TEST_DATA!A1377</f>
        <v>27AAAAA1377Z5</v>
      </c>
      <c r="B1377" t="str">
        <f>TEST_DATA!B1377</f>
        <v>Mar-2018</v>
      </c>
      <c r="C1377">
        <f>TEST_DATA!C1377</f>
        <v>44018</v>
      </c>
      <c r="D1377" t="str">
        <f>TEST_DATA!D1377</f>
        <v>NON-NIL</v>
      </c>
      <c r="E1377">
        <f>TEST_DATA!E1377</f>
        <v>2843</v>
      </c>
      <c r="F1377">
        <f>MIN(E1377*137700,10000)</f>
        <v>10000</v>
      </c>
      <c r="G1377" t="e">
        <f ca="1">_xludf.MINIFS(CBIC_Late_Fee_Relief_Windows_1!$I$100:$I$1377,CBIC_Late_Fee_Relief_Windows_1!$D$100:$D$1377,"&lt;="&amp;B1377,CBIC_Late_Fee_Relief_Windows_1!$E$100:$E$1377,"&gt;="&amp;B1377,CBIC_Late_Fee_Relief_Windows_1!$F$100:$F$1377,"&lt;="&amp;C1377,CBIC_Late_Fee_Relief_Windows_1!$G$100:$G$1377,"&gt;="&amp;C1377,CBIC_Late_Fee_Relief_Windows_1!$H$100:$H$1377,D1377)</f>
        <v>#NAME?</v>
      </c>
      <c r="H1377" t="e">
        <f t="shared" ca="1" si="21"/>
        <v>#NAME?</v>
      </c>
      <c r="I1377" t="e">
        <f ca="1">INDEX(CBIC_Late_Fee_Relief_Windows_1!$B$100:$B$1377,MATCH(G1377,CBIC_Late_Fee_Relief_Windows_1!$I$100:$I$1377,0))</f>
        <v>#NAME?</v>
      </c>
    </row>
    <row r="1378" spans="1:9" x14ac:dyDescent="0.55000000000000004">
      <c r="A1378" t="str">
        <f>TEST_DATA!A1378</f>
        <v>27AAAAA1378Z5</v>
      </c>
      <c r="B1378" t="str">
        <f>TEST_DATA!B1378</f>
        <v>Sep-2018</v>
      </c>
      <c r="C1378">
        <f>TEST_DATA!C1378</f>
        <v>43689</v>
      </c>
      <c r="D1378" t="str">
        <f>TEST_DATA!D1378</f>
        <v>NON-NIL</v>
      </c>
      <c r="E1378">
        <f>TEST_DATA!E1378</f>
        <v>996</v>
      </c>
      <c r="F1378">
        <f>MIN(E1378*137800,10000)</f>
        <v>10000</v>
      </c>
      <c r="G1378" t="e">
        <f ca="1">_xludf.MINIFS(CBIC_Late_Fee_Relief_Windows_1!$I$100:$I$1378,CBIC_Late_Fee_Relief_Windows_1!$D$100:$D$1378,"&lt;="&amp;B1378,CBIC_Late_Fee_Relief_Windows_1!$E$100:$E$1378,"&gt;="&amp;B1378,CBIC_Late_Fee_Relief_Windows_1!$F$100:$F$1378,"&lt;="&amp;C1378,CBIC_Late_Fee_Relief_Windows_1!$G$100:$G$1378,"&gt;="&amp;C1378,CBIC_Late_Fee_Relief_Windows_1!$H$100:$H$1378,D1378)</f>
        <v>#NAME?</v>
      </c>
      <c r="H1378" t="e">
        <f t="shared" ca="1" si="21"/>
        <v>#NAME?</v>
      </c>
      <c r="I1378" t="e">
        <f ca="1">INDEX(CBIC_Late_Fee_Relief_Windows_1!$B$100:$B$1378,MATCH(G1378,CBIC_Late_Fee_Relief_Windows_1!$I$100:$I$1378,0))</f>
        <v>#NAME?</v>
      </c>
    </row>
    <row r="1379" spans="1:9" x14ac:dyDescent="0.55000000000000004">
      <c r="A1379" t="str">
        <f>TEST_DATA!A1379</f>
        <v>27AAAAA1379Z5</v>
      </c>
      <c r="B1379" t="str">
        <f>TEST_DATA!B1379</f>
        <v>Mar-2021</v>
      </c>
      <c r="C1379">
        <f>TEST_DATA!C1379</f>
        <v>44857</v>
      </c>
      <c r="D1379" t="str">
        <f>TEST_DATA!D1379</f>
        <v>NON-NIL</v>
      </c>
      <c r="E1379">
        <f>TEST_DATA!E1379</f>
        <v>2791</v>
      </c>
      <c r="F1379">
        <f>MIN(E1379*137900,10000)</f>
        <v>10000</v>
      </c>
      <c r="G1379" t="e">
        <f ca="1">_xludf.MINIFS(CBIC_Late_Fee_Relief_Windows_1!$I$100:$I$1379,CBIC_Late_Fee_Relief_Windows_1!$D$100:$D$1379,"&lt;="&amp;B1379,CBIC_Late_Fee_Relief_Windows_1!$E$100:$E$1379,"&gt;="&amp;B1379,CBIC_Late_Fee_Relief_Windows_1!$F$100:$F$1379,"&lt;="&amp;C1379,CBIC_Late_Fee_Relief_Windows_1!$G$100:$G$1379,"&gt;="&amp;C1379,CBIC_Late_Fee_Relief_Windows_1!$H$100:$H$1379,D1379)</f>
        <v>#NAME?</v>
      </c>
      <c r="H1379" t="e">
        <f t="shared" ca="1" si="21"/>
        <v>#NAME?</v>
      </c>
      <c r="I1379" t="e">
        <f ca="1">INDEX(CBIC_Late_Fee_Relief_Windows_1!$B$100:$B$1379,MATCH(G1379,CBIC_Late_Fee_Relief_Windows_1!$I$100:$I$1379,0))</f>
        <v>#NAME?</v>
      </c>
    </row>
    <row r="1380" spans="1:9" x14ac:dyDescent="0.55000000000000004">
      <c r="A1380" t="str">
        <f>TEST_DATA!A1380</f>
        <v>27AAAAA1380Z5</v>
      </c>
      <c r="B1380" t="str">
        <f>TEST_DATA!B1380</f>
        <v>Sep-2018</v>
      </c>
      <c r="C1380">
        <f>TEST_DATA!C1380</f>
        <v>44118</v>
      </c>
      <c r="D1380" t="str">
        <f>TEST_DATA!D1380</f>
        <v>NIL</v>
      </c>
      <c r="E1380">
        <f>TEST_DATA!E1380</f>
        <v>1974</v>
      </c>
      <c r="F1380">
        <f>MIN(E1380*138000,10000)</f>
        <v>10000</v>
      </c>
      <c r="G1380" t="e">
        <f ca="1">_xludf.MINIFS(CBIC_Late_Fee_Relief_Windows_1!$I$100:$I$1380,CBIC_Late_Fee_Relief_Windows_1!$D$100:$D$1380,"&lt;="&amp;B1380,CBIC_Late_Fee_Relief_Windows_1!$E$100:$E$1380,"&gt;="&amp;B1380,CBIC_Late_Fee_Relief_Windows_1!$F$100:$F$1380,"&lt;="&amp;C1380,CBIC_Late_Fee_Relief_Windows_1!$G$100:$G$1380,"&gt;="&amp;C1380,CBIC_Late_Fee_Relief_Windows_1!$H$100:$H$1380,D1380)</f>
        <v>#NAME?</v>
      </c>
      <c r="H1380" t="e">
        <f t="shared" ca="1" si="21"/>
        <v>#NAME?</v>
      </c>
      <c r="I1380" t="e">
        <f ca="1">INDEX(CBIC_Late_Fee_Relief_Windows_1!$B$100:$B$1380,MATCH(G1380,CBIC_Late_Fee_Relief_Windows_1!$I$100:$I$1380,0))</f>
        <v>#NAME?</v>
      </c>
    </row>
    <row r="1381" spans="1:9" x14ac:dyDescent="0.55000000000000004">
      <c r="A1381" t="str">
        <f>TEST_DATA!A1381</f>
        <v>27AAAAA1381Z5</v>
      </c>
      <c r="B1381" t="str">
        <f>TEST_DATA!B1381</f>
        <v>Oct-2017</v>
      </c>
      <c r="C1381">
        <f>TEST_DATA!C1381</f>
        <v>43445</v>
      </c>
      <c r="D1381" t="str">
        <f>TEST_DATA!D1381</f>
        <v>NIL</v>
      </c>
      <c r="E1381">
        <f>TEST_DATA!E1381</f>
        <v>1567</v>
      </c>
      <c r="F1381">
        <f>MIN(E1381*138100,10000)</f>
        <v>10000</v>
      </c>
      <c r="G1381" t="e">
        <f ca="1">_xludf.MINIFS(CBIC_Late_Fee_Relief_Windows_1!$I$100:$I$1381,CBIC_Late_Fee_Relief_Windows_1!$D$100:$D$1381,"&lt;="&amp;B1381,CBIC_Late_Fee_Relief_Windows_1!$E$100:$E$1381,"&gt;="&amp;B1381,CBIC_Late_Fee_Relief_Windows_1!$F$100:$F$1381,"&lt;="&amp;C1381,CBIC_Late_Fee_Relief_Windows_1!$G$100:$G$1381,"&gt;="&amp;C1381,CBIC_Late_Fee_Relief_Windows_1!$H$100:$H$1381,D1381)</f>
        <v>#NAME?</v>
      </c>
      <c r="H1381" t="e">
        <f t="shared" ca="1" si="21"/>
        <v>#NAME?</v>
      </c>
      <c r="I1381" t="e">
        <f ca="1">INDEX(CBIC_Late_Fee_Relief_Windows_1!$B$100:$B$1381,MATCH(G1381,CBIC_Late_Fee_Relief_Windows_1!$I$100:$I$1381,0))</f>
        <v>#NAME?</v>
      </c>
    </row>
    <row r="1382" spans="1:9" x14ac:dyDescent="0.55000000000000004">
      <c r="A1382" t="str">
        <f>TEST_DATA!A1382</f>
        <v>27AAAAA1382Z5</v>
      </c>
      <c r="B1382" t="str">
        <f>TEST_DATA!B1382</f>
        <v>May-2020</v>
      </c>
      <c r="C1382">
        <f>TEST_DATA!C1382</f>
        <v>44282</v>
      </c>
      <c r="D1382" t="str">
        <f>TEST_DATA!D1382</f>
        <v>NIL</v>
      </c>
      <c r="E1382">
        <f>TEST_DATA!E1382</f>
        <v>1293</v>
      </c>
      <c r="F1382">
        <f>MIN(E1382*138200,10000)</f>
        <v>10000</v>
      </c>
      <c r="G1382" t="e">
        <f ca="1">_xludf.MINIFS(CBIC_Late_Fee_Relief_Windows_1!$I$100:$I$1382,CBIC_Late_Fee_Relief_Windows_1!$D$100:$D$1382,"&lt;="&amp;B1382,CBIC_Late_Fee_Relief_Windows_1!$E$100:$E$1382,"&gt;="&amp;B1382,CBIC_Late_Fee_Relief_Windows_1!$F$100:$F$1382,"&lt;="&amp;C1382,CBIC_Late_Fee_Relief_Windows_1!$G$100:$G$1382,"&gt;="&amp;C1382,CBIC_Late_Fee_Relief_Windows_1!$H$100:$H$1382,D1382)</f>
        <v>#NAME?</v>
      </c>
      <c r="H1382" t="e">
        <f t="shared" ca="1" si="21"/>
        <v>#NAME?</v>
      </c>
      <c r="I1382" t="e">
        <f ca="1">INDEX(CBIC_Late_Fee_Relief_Windows_1!$B$100:$B$1382,MATCH(G1382,CBIC_Late_Fee_Relief_Windows_1!$I$100:$I$1382,0))</f>
        <v>#NAME?</v>
      </c>
    </row>
    <row r="1383" spans="1:9" x14ac:dyDescent="0.55000000000000004">
      <c r="A1383" t="str">
        <f>TEST_DATA!A1383</f>
        <v>27AAAAA1383Z5</v>
      </c>
      <c r="B1383" t="str">
        <f>TEST_DATA!B1383</f>
        <v>Aug-2018</v>
      </c>
      <c r="C1383">
        <f>TEST_DATA!C1383</f>
        <v>43640</v>
      </c>
      <c r="D1383" t="str">
        <f>TEST_DATA!D1383</f>
        <v>NIL</v>
      </c>
      <c r="E1383">
        <f>TEST_DATA!E1383</f>
        <v>2870</v>
      </c>
      <c r="F1383">
        <f>MIN(E1383*138300,10000)</f>
        <v>10000</v>
      </c>
      <c r="G1383" t="e">
        <f ca="1">_xludf.MINIFS(CBIC_Late_Fee_Relief_Windows_1!$I$100:$I$1383,CBIC_Late_Fee_Relief_Windows_1!$D$100:$D$1383,"&lt;="&amp;B1383,CBIC_Late_Fee_Relief_Windows_1!$E$100:$E$1383,"&gt;="&amp;B1383,CBIC_Late_Fee_Relief_Windows_1!$F$100:$F$1383,"&lt;="&amp;C1383,CBIC_Late_Fee_Relief_Windows_1!$G$100:$G$1383,"&gt;="&amp;C1383,CBIC_Late_Fee_Relief_Windows_1!$H$100:$H$1383,D1383)</f>
        <v>#NAME?</v>
      </c>
      <c r="H1383" t="e">
        <f t="shared" ca="1" si="21"/>
        <v>#NAME?</v>
      </c>
      <c r="I1383" t="e">
        <f ca="1">INDEX(CBIC_Late_Fee_Relief_Windows_1!$B$100:$B$1383,MATCH(G1383,CBIC_Late_Fee_Relief_Windows_1!$I$100:$I$1383,0))</f>
        <v>#NAME?</v>
      </c>
    </row>
    <row r="1384" spans="1:9" x14ac:dyDescent="0.55000000000000004">
      <c r="A1384" t="str">
        <f>TEST_DATA!A1384</f>
        <v>27AAAAA1384Z5</v>
      </c>
      <c r="B1384" t="str">
        <f>TEST_DATA!B1384</f>
        <v>Dec-2022</v>
      </c>
      <c r="C1384">
        <f>TEST_DATA!C1384</f>
        <v>44544</v>
      </c>
      <c r="D1384" t="str">
        <f>TEST_DATA!D1384</f>
        <v>NIL</v>
      </c>
      <c r="E1384">
        <f>TEST_DATA!E1384</f>
        <v>1176</v>
      </c>
      <c r="F1384">
        <f>MIN(E1384*138400,10000)</f>
        <v>10000</v>
      </c>
      <c r="G1384" t="e">
        <f ca="1">_xludf.MINIFS(CBIC_Late_Fee_Relief_Windows_1!$I$100:$I$1384,CBIC_Late_Fee_Relief_Windows_1!$D$100:$D$1384,"&lt;="&amp;B1384,CBIC_Late_Fee_Relief_Windows_1!$E$100:$E$1384,"&gt;="&amp;B1384,CBIC_Late_Fee_Relief_Windows_1!$F$100:$F$1384,"&lt;="&amp;C1384,CBIC_Late_Fee_Relief_Windows_1!$G$100:$G$1384,"&gt;="&amp;C1384,CBIC_Late_Fee_Relief_Windows_1!$H$100:$H$1384,D1384)</f>
        <v>#NAME?</v>
      </c>
      <c r="H1384" t="e">
        <f t="shared" ca="1" si="21"/>
        <v>#NAME?</v>
      </c>
      <c r="I1384" t="e">
        <f ca="1">INDEX(CBIC_Late_Fee_Relief_Windows_1!$B$100:$B$1384,MATCH(G1384,CBIC_Late_Fee_Relief_Windows_1!$I$100:$I$1384,0))</f>
        <v>#NAME?</v>
      </c>
    </row>
    <row r="1385" spans="1:9" x14ac:dyDescent="0.55000000000000004">
      <c r="A1385" t="str">
        <f>TEST_DATA!A1385</f>
        <v>27AAAAA1385Z5</v>
      </c>
      <c r="B1385" t="str">
        <f>TEST_DATA!B1385</f>
        <v>Sep-2017</v>
      </c>
      <c r="C1385">
        <f>TEST_DATA!C1385</f>
        <v>43734</v>
      </c>
      <c r="D1385" t="str">
        <f>TEST_DATA!D1385</f>
        <v>NON-NIL</v>
      </c>
      <c r="E1385">
        <f>TEST_DATA!E1385</f>
        <v>311</v>
      </c>
      <c r="F1385">
        <f>MIN(E1385*138500,10000)</f>
        <v>10000</v>
      </c>
      <c r="G1385" t="e">
        <f ca="1">_xludf.MINIFS(CBIC_Late_Fee_Relief_Windows_1!$I$100:$I$1385,CBIC_Late_Fee_Relief_Windows_1!$D$100:$D$1385,"&lt;="&amp;B1385,CBIC_Late_Fee_Relief_Windows_1!$E$100:$E$1385,"&gt;="&amp;B1385,CBIC_Late_Fee_Relief_Windows_1!$F$100:$F$1385,"&lt;="&amp;C1385,CBIC_Late_Fee_Relief_Windows_1!$G$100:$G$1385,"&gt;="&amp;C1385,CBIC_Late_Fee_Relief_Windows_1!$H$100:$H$1385,D1385)</f>
        <v>#NAME?</v>
      </c>
      <c r="H1385" t="e">
        <f t="shared" ca="1" si="21"/>
        <v>#NAME?</v>
      </c>
      <c r="I1385" t="e">
        <f ca="1">INDEX(CBIC_Late_Fee_Relief_Windows_1!$B$100:$B$1385,MATCH(G1385,CBIC_Late_Fee_Relief_Windows_1!$I$100:$I$1385,0))</f>
        <v>#NAME?</v>
      </c>
    </row>
    <row r="1386" spans="1:9" x14ac:dyDescent="0.55000000000000004">
      <c r="A1386" t="str">
        <f>TEST_DATA!A1386</f>
        <v>27AAAAA1386Z5</v>
      </c>
      <c r="B1386" t="str">
        <f>TEST_DATA!B1386</f>
        <v>Dec-2019</v>
      </c>
      <c r="C1386">
        <f>TEST_DATA!C1386</f>
        <v>44197</v>
      </c>
      <c r="D1386" t="str">
        <f>TEST_DATA!D1386</f>
        <v>NON-NIL</v>
      </c>
      <c r="E1386">
        <f>TEST_DATA!E1386</f>
        <v>1285</v>
      </c>
      <c r="F1386">
        <f>MIN(E1386*138600,10000)</f>
        <v>10000</v>
      </c>
      <c r="G1386" t="e">
        <f ca="1">_xludf.MINIFS(CBIC_Late_Fee_Relief_Windows_1!$I$100:$I$1386,CBIC_Late_Fee_Relief_Windows_1!$D$100:$D$1386,"&lt;="&amp;B1386,CBIC_Late_Fee_Relief_Windows_1!$E$100:$E$1386,"&gt;="&amp;B1386,CBIC_Late_Fee_Relief_Windows_1!$F$100:$F$1386,"&lt;="&amp;C1386,CBIC_Late_Fee_Relief_Windows_1!$G$100:$G$1386,"&gt;="&amp;C1386,CBIC_Late_Fee_Relief_Windows_1!$H$100:$H$1386,D1386)</f>
        <v>#NAME?</v>
      </c>
      <c r="H1386" t="e">
        <f t="shared" ca="1" si="21"/>
        <v>#NAME?</v>
      </c>
      <c r="I1386" t="e">
        <f ca="1">INDEX(CBIC_Late_Fee_Relief_Windows_1!$B$100:$B$1386,MATCH(G1386,CBIC_Late_Fee_Relief_Windows_1!$I$100:$I$1386,0))</f>
        <v>#NAME?</v>
      </c>
    </row>
    <row r="1387" spans="1:9" x14ac:dyDescent="0.55000000000000004">
      <c r="A1387" t="str">
        <f>TEST_DATA!A1387</f>
        <v>27AAAAA1387Z5</v>
      </c>
      <c r="B1387" t="str">
        <f>TEST_DATA!B1387</f>
        <v>Jun-2018</v>
      </c>
      <c r="C1387">
        <f>TEST_DATA!C1387</f>
        <v>43364</v>
      </c>
      <c r="D1387" t="str">
        <f>TEST_DATA!D1387</f>
        <v>NON-NIL</v>
      </c>
      <c r="E1387">
        <f>TEST_DATA!E1387</f>
        <v>748</v>
      </c>
      <c r="F1387">
        <f>MIN(E1387*138700,10000)</f>
        <v>10000</v>
      </c>
      <c r="G1387" t="e">
        <f ca="1">_xludf.MINIFS(CBIC_Late_Fee_Relief_Windows_1!$I$100:$I$1387,CBIC_Late_Fee_Relief_Windows_1!$D$100:$D$1387,"&lt;="&amp;B1387,CBIC_Late_Fee_Relief_Windows_1!$E$100:$E$1387,"&gt;="&amp;B1387,CBIC_Late_Fee_Relief_Windows_1!$F$100:$F$1387,"&lt;="&amp;C1387,CBIC_Late_Fee_Relief_Windows_1!$G$100:$G$1387,"&gt;="&amp;C1387,CBIC_Late_Fee_Relief_Windows_1!$H$100:$H$1387,D1387)</f>
        <v>#NAME?</v>
      </c>
      <c r="H1387" t="e">
        <f t="shared" ca="1" si="21"/>
        <v>#NAME?</v>
      </c>
      <c r="I1387" t="e">
        <f ca="1">INDEX(CBIC_Late_Fee_Relief_Windows_1!$B$100:$B$1387,MATCH(G1387,CBIC_Late_Fee_Relief_Windows_1!$I$100:$I$1387,0))</f>
        <v>#NAME?</v>
      </c>
    </row>
    <row r="1388" spans="1:9" x14ac:dyDescent="0.55000000000000004">
      <c r="A1388" t="str">
        <f>TEST_DATA!A1388</f>
        <v>27AAAAA1388Z5</v>
      </c>
      <c r="B1388" t="str">
        <f>TEST_DATA!B1388</f>
        <v>Jan-2021</v>
      </c>
      <c r="C1388">
        <f>TEST_DATA!C1388</f>
        <v>44244</v>
      </c>
      <c r="D1388" t="str">
        <f>TEST_DATA!D1388</f>
        <v>NON-NIL</v>
      </c>
      <c r="E1388">
        <f>TEST_DATA!E1388</f>
        <v>817</v>
      </c>
      <c r="F1388">
        <f>MIN(E1388*138800,10000)</f>
        <v>10000</v>
      </c>
      <c r="G1388" t="e">
        <f ca="1">_xludf.MINIFS(CBIC_Late_Fee_Relief_Windows_1!$I$100:$I$1388,CBIC_Late_Fee_Relief_Windows_1!$D$100:$D$1388,"&lt;="&amp;B1388,CBIC_Late_Fee_Relief_Windows_1!$E$100:$E$1388,"&gt;="&amp;B1388,CBIC_Late_Fee_Relief_Windows_1!$F$100:$F$1388,"&lt;="&amp;C1388,CBIC_Late_Fee_Relief_Windows_1!$G$100:$G$1388,"&gt;="&amp;C1388,CBIC_Late_Fee_Relief_Windows_1!$H$100:$H$1388,D1388)</f>
        <v>#NAME?</v>
      </c>
      <c r="H1388" t="e">
        <f t="shared" ca="1" si="21"/>
        <v>#NAME?</v>
      </c>
      <c r="I1388" t="e">
        <f ca="1">INDEX(CBIC_Late_Fee_Relief_Windows_1!$B$100:$B$1388,MATCH(G1388,CBIC_Late_Fee_Relief_Windows_1!$I$100:$I$1388,0))</f>
        <v>#NAME?</v>
      </c>
    </row>
    <row r="1389" spans="1:9" x14ac:dyDescent="0.55000000000000004">
      <c r="A1389" t="str">
        <f>TEST_DATA!A1389</f>
        <v>27AAAAA1389Z5</v>
      </c>
      <c r="B1389" t="str">
        <f>TEST_DATA!B1389</f>
        <v>Feb-2018</v>
      </c>
      <c r="C1389">
        <f>TEST_DATA!C1389</f>
        <v>44423</v>
      </c>
      <c r="D1389" t="str">
        <f>TEST_DATA!D1389</f>
        <v>NIL</v>
      </c>
      <c r="E1389">
        <f>TEST_DATA!E1389</f>
        <v>1087</v>
      </c>
      <c r="F1389">
        <f>MIN(E1389*138900,10000)</f>
        <v>10000</v>
      </c>
      <c r="G1389" t="e">
        <f ca="1">_xludf.MINIFS(CBIC_Late_Fee_Relief_Windows_1!$I$100:$I$1389,CBIC_Late_Fee_Relief_Windows_1!$D$100:$D$1389,"&lt;="&amp;B1389,CBIC_Late_Fee_Relief_Windows_1!$E$100:$E$1389,"&gt;="&amp;B1389,CBIC_Late_Fee_Relief_Windows_1!$F$100:$F$1389,"&lt;="&amp;C1389,CBIC_Late_Fee_Relief_Windows_1!$G$100:$G$1389,"&gt;="&amp;C1389,CBIC_Late_Fee_Relief_Windows_1!$H$100:$H$1389,D1389)</f>
        <v>#NAME?</v>
      </c>
      <c r="H1389" t="e">
        <f t="shared" ca="1" si="21"/>
        <v>#NAME?</v>
      </c>
      <c r="I1389" t="e">
        <f ca="1">INDEX(CBIC_Late_Fee_Relief_Windows_1!$B$100:$B$1389,MATCH(G1389,CBIC_Late_Fee_Relief_Windows_1!$I$100:$I$1389,0))</f>
        <v>#NAME?</v>
      </c>
    </row>
    <row r="1390" spans="1:9" x14ac:dyDescent="0.55000000000000004">
      <c r="A1390" t="str">
        <f>TEST_DATA!A1390</f>
        <v>27AAAAA1390Z5</v>
      </c>
      <c r="B1390" t="str">
        <f>TEST_DATA!B1390</f>
        <v>Jan-2018</v>
      </c>
      <c r="C1390">
        <f>TEST_DATA!C1390</f>
        <v>43386</v>
      </c>
      <c r="D1390" t="str">
        <f>TEST_DATA!D1390</f>
        <v>NIL</v>
      </c>
      <c r="E1390">
        <f>TEST_DATA!E1390</f>
        <v>1022</v>
      </c>
      <c r="F1390">
        <f>MIN(E1390*139000,10000)</f>
        <v>10000</v>
      </c>
      <c r="G1390" t="e">
        <f ca="1">_xludf.MINIFS(CBIC_Late_Fee_Relief_Windows_1!$I$100:$I$1390,CBIC_Late_Fee_Relief_Windows_1!$D$100:$D$1390,"&lt;="&amp;B1390,CBIC_Late_Fee_Relief_Windows_1!$E$100:$E$1390,"&gt;="&amp;B1390,CBIC_Late_Fee_Relief_Windows_1!$F$100:$F$1390,"&lt;="&amp;C1390,CBIC_Late_Fee_Relief_Windows_1!$G$100:$G$1390,"&gt;="&amp;C1390,CBIC_Late_Fee_Relief_Windows_1!$H$100:$H$1390,D1390)</f>
        <v>#NAME?</v>
      </c>
      <c r="H1390" t="e">
        <f t="shared" ca="1" si="21"/>
        <v>#NAME?</v>
      </c>
      <c r="I1390" t="e">
        <f ca="1">INDEX(CBIC_Late_Fee_Relief_Windows_1!$B$100:$B$1390,MATCH(G1390,CBIC_Late_Fee_Relief_Windows_1!$I$100:$I$1390,0))</f>
        <v>#NAME?</v>
      </c>
    </row>
    <row r="1391" spans="1:9" x14ac:dyDescent="0.55000000000000004">
      <c r="A1391" t="str">
        <f>TEST_DATA!A1391</f>
        <v>27AAAAA1391Z5</v>
      </c>
      <c r="B1391" t="str">
        <f>TEST_DATA!B1391</f>
        <v>Dec-2022</v>
      </c>
      <c r="C1391">
        <f>TEST_DATA!C1391</f>
        <v>44924</v>
      </c>
      <c r="D1391" t="str">
        <f>TEST_DATA!D1391</f>
        <v>NIL</v>
      </c>
      <c r="E1391">
        <f>TEST_DATA!E1391</f>
        <v>436</v>
      </c>
      <c r="F1391">
        <f>MIN(E1391*139100,10000)</f>
        <v>10000</v>
      </c>
      <c r="G1391" t="e">
        <f ca="1">_xludf.MINIFS(CBIC_Late_Fee_Relief_Windows_1!$I$100:$I$1391,CBIC_Late_Fee_Relief_Windows_1!$D$100:$D$1391,"&lt;="&amp;B1391,CBIC_Late_Fee_Relief_Windows_1!$E$100:$E$1391,"&gt;="&amp;B1391,CBIC_Late_Fee_Relief_Windows_1!$F$100:$F$1391,"&lt;="&amp;C1391,CBIC_Late_Fee_Relief_Windows_1!$G$100:$G$1391,"&gt;="&amp;C1391,CBIC_Late_Fee_Relief_Windows_1!$H$100:$H$1391,D1391)</f>
        <v>#NAME?</v>
      </c>
      <c r="H1391" t="e">
        <f t="shared" ca="1" si="21"/>
        <v>#NAME?</v>
      </c>
      <c r="I1391" t="e">
        <f ca="1">INDEX(CBIC_Late_Fee_Relief_Windows_1!$B$100:$B$1391,MATCH(G1391,CBIC_Late_Fee_Relief_Windows_1!$I$100:$I$1391,0))</f>
        <v>#NAME?</v>
      </c>
    </row>
    <row r="1392" spans="1:9" x14ac:dyDescent="0.55000000000000004">
      <c r="A1392" t="str">
        <f>TEST_DATA!A1392</f>
        <v>27AAAAA1392Z5</v>
      </c>
      <c r="B1392" t="str">
        <f>TEST_DATA!B1392</f>
        <v>Oct-2017</v>
      </c>
      <c r="C1392">
        <f>TEST_DATA!C1392</f>
        <v>43077</v>
      </c>
      <c r="D1392" t="str">
        <f>TEST_DATA!D1392</f>
        <v>NON-NIL</v>
      </c>
      <c r="E1392">
        <f>TEST_DATA!E1392</f>
        <v>2514</v>
      </c>
      <c r="F1392">
        <f>MIN(E1392*139200,10000)</f>
        <v>10000</v>
      </c>
      <c r="G1392" t="e">
        <f ca="1">_xludf.MINIFS(CBIC_Late_Fee_Relief_Windows_1!$I$100:$I$1392,CBIC_Late_Fee_Relief_Windows_1!$D$100:$D$1392,"&lt;="&amp;B1392,CBIC_Late_Fee_Relief_Windows_1!$E$100:$E$1392,"&gt;="&amp;B1392,CBIC_Late_Fee_Relief_Windows_1!$F$100:$F$1392,"&lt;="&amp;C1392,CBIC_Late_Fee_Relief_Windows_1!$G$100:$G$1392,"&gt;="&amp;C1392,CBIC_Late_Fee_Relief_Windows_1!$H$100:$H$1392,D1392)</f>
        <v>#NAME?</v>
      </c>
      <c r="H1392" t="e">
        <f t="shared" ca="1" si="21"/>
        <v>#NAME?</v>
      </c>
      <c r="I1392" t="e">
        <f ca="1">INDEX(CBIC_Late_Fee_Relief_Windows_1!$B$100:$B$1392,MATCH(G1392,CBIC_Late_Fee_Relief_Windows_1!$I$100:$I$1392,0))</f>
        <v>#NAME?</v>
      </c>
    </row>
    <row r="1393" spans="1:9" x14ac:dyDescent="0.55000000000000004">
      <c r="A1393" t="str">
        <f>TEST_DATA!A1393</f>
        <v>27AAAAA1393Z5</v>
      </c>
      <c r="B1393" t="str">
        <f>TEST_DATA!B1393</f>
        <v>Jul-2017</v>
      </c>
      <c r="C1393">
        <f>TEST_DATA!C1393</f>
        <v>44482</v>
      </c>
      <c r="D1393" t="str">
        <f>TEST_DATA!D1393</f>
        <v>NIL</v>
      </c>
      <c r="E1393">
        <f>TEST_DATA!E1393</f>
        <v>1975</v>
      </c>
      <c r="F1393">
        <f>MIN(E1393*139300,10000)</f>
        <v>10000</v>
      </c>
      <c r="G1393" t="e">
        <f ca="1">_xludf.MINIFS(CBIC_Late_Fee_Relief_Windows_1!$I$100:$I$1393,CBIC_Late_Fee_Relief_Windows_1!$D$100:$D$1393,"&lt;="&amp;B1393,CBIC_Late_Fee_Relief_Windows_1!$E$100:$E$1393,"&gt;="&amp;B1393,CBIC_Late_Fee_Relief_Windows_1!$F$100:$F$1393,"&lt;="&amp;C1393,CBIC_Late_Fee_Relief_Windows_1!$G$100:$G$1393,"&gt;="&amp;C1393,CBIC_Late_Fee_Relief_Windows_1!$H$100:$H$1393,D1393)</f>
        <v>#NAME?</v>
      </c>
      <c r="H1393" t="e">
        <f t="shared" ca="1" si="21"/>
        <v>#NAME?</v>
      </c>
      <c r="I1393" t="e">
        <f ca="1">INDEX(CBIC_Late_Fee_Relief_Windows_1!$B$100:$B$1393,MATCH(G1393,CBIC_Late_Fee_Relief_Windows_1!$I$100:$I$1393,0))</f>
        <v>#NAME?</v>
      </c>
    </row>
    <row r="1394" spans="1:9" x14ac:dyDescent="0.55000000000000004">
      <c r="A1394" t="str">
        <f>TEST_DATA!A1394</f>
        <v>27AAAAA1394Z5</v>
      </c>
      <c r="B1394" t="str">
        <f>TEST_DATA!B1394</f>
        <v>Jun-2018</v>
      </c>
      <c r="C1394">
        <f>TEST_DATA!C1394</f>
        <v>44188</v>
      </c>
      <c r="D1394" t="str">
        <f>TEST_DATA!D1394</f>
        <v>NON-NIL</v>
      </c>
      <c r="E1394">
        <f>TEST_DATA!E1394</f>
        <v>2016</v>
      </c>
      <c r="F1394">
        <f>MIN(E1394*139400,10000)</f>
        <v>10000</v>
      </c>
      <c r="G1394" t="e">
        <f ca="1">_xludf.MINIFS(CBIC_Late_Fee_Relief_Windows_1!$I$100:$I$1394,CBIC_Late_Fee_Relief_Windows_1!$D$100:$D$1394,"&lt;="&amp;B1394,CBIC_Late_Fee_Relief_Windows_1!$E$100:$E$1394,"&gt;="&amp;B1394,CBIC_Late_Fee_Relief_Windows_1!$F$100:$F$1394,"&lt;="&amp;C1394,CBIC_Late_Fee_Relief_Windows_1!$G$100:$G$1394,"&gt;="&amp;C1394,CBIC_Late_Fee_Relief_Windows_1!$H$100:$H$1394,D1394)</f>
        <v>#NAME?</v>
      </c>
      <c r="H1394" t="e">
        <f t="shared" ca="1" si="21"/>
        <v>#NAME?</v>
      </c>
      <c r="I1394" t="e">
        <f ca="1">INDEX(CBIC_Late_Fee_Relief_Windows_1!$B$100:$B$1394,MATCH(G1394,CBIC_Late_Fee_Relief_Windows_1!$I$100:$I$1394,0))</f>
        <v>#NAME?</v>
      </c>
    </row>
    <row r="1395" spans="1:9" x14ac:dyDescent="0.55000000000000004">
      <c r="A1395" t="str">
        <f>TEST_DATA!A1395</f>
        <v>27AAAAA1395Z5</v>
      </c>
      <c r="B1395" t="str">
        <f>TEST_DATA!B1395</f>
        <v>Dec-2024</v>
      </c>
      <c r="C1395">
        <f>TEST_DATA!C1395</f>
        <v>45819</v>
      </c>
      <c r="D1395" t="str">
        <f>TEST_DATA!D1395</f>
        <v>NON-NIL</v>
      </c>
      <c r="E1395">
        <f>TEST_DATA!E1395</f>
        <v>2010</v>
      </c>
      <c r="F1395">
        <f>MIN(E1395*139500,10000)</f>
        <v>10000</v>
      </c>
      <c r="G1395" t="e">
        <f ca="1">_xludf.MINIFS(CBIC_Late_Fee_Relief_Windows_1!$I$100:$I$1395,CBIC_Late_Fee_Relief_Windows_1!$D$100:$D$1395,"&lt;="&amp;B1395,CBIC_Late_Fee_Relief_Windows_1!$E$100:$E$1395,"&gt;="&amp;B1395,CBIC_Late_Fee_Relief_Windows_1!$F$100:$F$1395,"&lt;="&amp;C1395,CBIC_Late_Fee_Relief_Windows_1!$G$100:$G$1395,"&gt;="&amp;C1395,CBIC_Late_Fee_Relief_Windows_1!$H$100:$H$1395,D1395)</f>
        <v>#NAME?</v>
      </c>
      <c r="H1395" t="e">
        <f t="shared" ca="1" si="21"/>
        <v>#NAME?</v>
      </c>
      <c r="I1395" t="e">
        <f ca="1">INDEX(CBIC_Late_Fee_Relief_Windows_1!$B$100:$B$1395,MATCH(G1395,CBIC_Late_Fee_Relief_Windows_1!$I$100:$I$1395,0))</f>
        <v>#NAME?</v>
      </c>
    </row>
    <row r="1396" spans="1:9" x14ac:dyDescent="0.55000000000000004">
      <c r="A1396" t="str">
        <f>TEST_DATA!A1396</f>
        <v>27AAAAA1396Z5</v>
      </c>
      <c r="B1396" t="str">
        <f>TEST_DATA!B1396</f>
        <v>Dec-2017</v>
      </c>
      <c r="C1396">
        <f>TEST_DATA!C1396</f>
        <v>44482</v>
      </c>
      <c r="D1396" t="str">
        <f>TEST_DATA!D1396</f>
        <v>NON-NIL</v>
      </c>
      <c r="E1396">
        <f>TEST_DATA!E1396</f>
        <v>1629</v>
      </c>
      <c r="F1396">
        <f>MIN(E1396*139600,10000)</f>
        <v>10000</v>
      </c>
      <c r="G1396" t="e">
        <f ca="1">_xludf.MINIFS(CBIC_Late_Fee_Relief_Windows_1!$I$100:$I$1396,CBIC_Late_Fee_Relief_Windows_1!$D$100:$D$1396,"&lt;="&amp;B1396,CBIC_Late_Fee_Relief_Windows_1!$E$100:$E$1396,"&gt;="&amp;B1396,CBIC_Late_Fee_Relief_Windows_1!$F$100:$F$1396,"&lt;="&amp;C1396,CBIC_Late_Fee_Relief_Windows_1!$G$100:$G$1396,"&gt;="&amp;C1396,CBIC_Late_Fee_Relief_Windows_1!$H$100:$H$1396,D1396)</f>
        <v>#NAME?</v>
      </c>
      <c r="H1396" t="e">
        <f t="shared" ca="1" si="21"/>
        <v>#NAME?</v>
      </c>
      <c r="I1396" t="e">
        <f ca="1">INDEX(CBIC_Late_Fee_Relief_Windows_1!$B$100:$B$1396,MATCH(G1396,CBIC_Late_Fee_Relief_Windows_1!$I$100:$I$1396,0))</f>
        <v>#NAME?</v>
      </c>
    </row>
    <row r="1397" spans="1:9" x14ac:dyDescent="0.55000000000000004">
      <c r="A1397" t="str">
        <f>TEST_DATA!A1397</f>
        <v>27AAAAA1397Z5</v>
      </c>
      <c r="B1397" t="str">
        <f>TEST_DATA!B1397</f>
        <v>Feb-2018</v>
      </c>
      <c r="C1397">
        <f>TEST_DATA!C1397</f>
        <v>44453</v>
      </c>
      <c r="D1397" t="str">
        <f>TEST_DATA!D1397</f>
        <v>NIL</v>
      </c>
      <c r="E1397">
        <f>TEST_DATA!E1397</f>
        <v>221</v>
      </c>
      <c r="F1397">
        <f>MIN(E1397*139700,10000)</f>
        <v>10000</v>
      </c>
      <c r="G1397" t="e">
        <f ca="1">_xludf.MINIFS(CBIC_Late_Fee_Relief_Windows_1!$I$100:$I$1397,CBIC_Late_Fee_Relief_Windows_1!$D$100:$D$1397,"&lt;="&amp;B1397,CBIC_Late_Fee_Relief_Windows_1!$E$100:$E$1397,"&gt;="&amp;B1397,CBIC_Late_Fee_Relief_Windows_1!$F$100:$F$1397,"&lt;="&amp;C1397,CBIC_Late_Fee_Relief_Windows_1!$G$100:$G$1397,"&gt;="&amp;C1397,CBIC_Late_Fee_Relief_Windows_1!$H$100:$H$1397,D1397)</f>
        <v>#NAME?</v>
      </c>
      <c r="H1397" t="e">
        <f t="shared" ca="1" si="21"/>
        <v>#NAME?</v>
      </c>
      <c r="I1397" t="e">
        <f ca="1">INDEX(CBIC_Late_Fee_Relief_Windows_1!$B$100:$B$1397,MATCH(G1397,CBIC_Late_Fee_Relief_Windows_1!$I$100:$I$1397,0))</f>
        <v>#NAME?</v>
      </c>
    </row>
    <row r="1398" spans="1:9" x14ac:dyDescent="0.55000000000000004">
      <c r="A1398" t="str">
        <f>TEST_DATA!A1398</f>
        <v>27AAAAA1398Z5</v>
      </c>
      <c r="B1398" t="str">
        <f>TEST_DATA!B1398</f>
        <v>Jun-2019</v>
      </c>
      <c r="C1398">
        <f>TEST_DATA!C1398</f>
        <v>45199</v>
      </c>
      <c r="D1398" t="str">
        <f>TEST_DATA!D1398</f>
        <v>NON-NIL</v>
      </c>
      <c r="E1398">
        <f>TEST_DATA!E1398</f>
        <v>2214</v>
      </c>
      <c r="F1398">
        <f>MIN(E1398*139800,10000)</f>
        <v>10000</v>
      </c>
      <c r="G1398" t="e">
        <f ca="1">_xludf.MINIFS(CBIC_Late_Fee_Relief_Windows_1!$I$100:$I$1398,CBIC_Late_Fee_Relief_Windows_1!$D$100:$D$1398,"&lt;="&amp;B1398,CBIC_Late_Fee_Relief_Windows_1!$E$100:$E$1398,"&gt;="&amp;B1398,CBIC_Late_Fee_Relief_Windows_1!$F$100:$F$1398,"&lt;="&amp;C1398,CBIC_Late_Fee_Relief_Windows_1!$G$100:$G$1398,"&gt;="&amp;C1398,CBIC_Late_Fee_Relief_Windows_1!$H$100:$H$1398,D1398)</f>
        <v>#NAME?</v>
      </c>
      <c r="H1398" t="e">
        <f t="shared" ca="1" si="21"/>
        <v>#NAME?</v>
      </c>
      <c r="I1398" t="e">
        <f ca="1">INDEX(CBIC_Late_Fee_Relief_Windows_1!$B$100:$B$1398,MATCH(G1398,CBIC_Late_Fee_Relief_Windows_1!$I$100:$I$1398,0))</f>
        <v>#NAME?</v>
      </c>
    </row>
    <row r="1399" spans="1:9" x14ac:dyDescent="0.55000000000000004">
      <c r="A1399" t="str">
        <f>TEST_DATA!A1399</f>
        <v>27AAAAA1399Z5</v>
      </c>
      <c r="B1399" t="str">
        <f>TEST_DATA!B1399</f>
        <v>Aug-2017</v>
      </c>
      <c r="C1399">
        <f>TEST_DATA!C1399</f>
        <v>43946</v>
      </c>
      <c r="D1399" t="str">
        <f>TEST_DATA!D1399</f>
        <v>NON-NIL</v>
      </c>
      <c r="E1399">
        <f>TEST_DATA!E1399</f>
        <v>1612</v>
      </c>
      <c r="F1399">
        <f>MIN(E1399*139900,10000)</f>
        <v>10000</v>
      </c>
      <c r="G1399" t="e">
        <f ca="1">_xludf.MINIFS(CBIC_Late_Fee_Relief_Windows_1!$I$100:$I$1399,CBIC_Late_Fee_Relief_Windows_1!$D$100:$D$1399,"&lt;="&amp;B1399,CBIC_Late_Fee_Relief_Windows_1!$E$100:$E$1399,"&gt;="&amp;B1399,CBIC_Late_Fee_Relief_Windows_1!$F$100:$F$1399,"&lt;="&amp;C1399,CBIC_Late_Fee_Relief_Windows_1!$G$100:$G$1399,"&gt;="&amp;C1399,CBIC_Late_Fee_Relief_Windows_1!$H$100:$H$1399,D1399)</f>
        <v>#NAME?</v>
      </c>
      <c r="H1399" t="e">
        <f t="shared" ca="1" si="21"/>
        <v>#NAME?</v>
      </c>
      <c r="I1399" t="e">
        <f ca="1">INDEX(CBIC_Late_Fee_Relief_Windows_1!$B$100:$B$1399,MATCH(G1399,CBIC_Late_Fee_Relief_Windows_1!$I$100:$I$1399,0))</f>
        <v>#NAME?</v>
      </c>
    </row>
    <row r="1400" spans="1:9" x14ac:dyDescent="0.55000000000000004">
      <c r="A1400" t="str">
        <f>TEST_DATA!A1400</f>
        <v>27AAAAA1400Z5</v>
      </c>
      <c r="B1400" t="str">
        <f>TEST_DATA!B1400</f>
        <v>Mar-2023</v>
      </c>
      <c r="C1400">
        <f>TEST_DATA!C1400</f>
        <v>44181</v>
      </c>
      <c r="D1400" t="str">
        <f>TEST_DATA!D1400</f>
        <v>NON-NIL</v>
      </c>
      <c r="E1400">
        <f>TEST_DATA!E1400</f>
        <v>493</v>
      </c>
      <c r="F1400">
        <f>MIN(E1400*140000,10000)</f>
        <v>10000</v>
      </c>
      <c r="G1400" t="e">
        <f ca="1">_xludf.MINIFS(CBIC_Late_Fee_Relief_Windows_1!$I$100:$I$1400,CBIC_Late_Fee_Relief_Windows_1!$D$100:$D$1400,"&lt;="&amp;B1400,CBIC_Late_Fee_Relief_Windows_1!$E$100:$E$1400,"&gt;="&amp;B1400,CBIC_Late_Fee_Relief_Windows_1!$F$100:$F$1400,"&lt;="&amp;C1400,CBIC_Late_Fee_Relief_Windows_1!$G$100:$G$1400,"&gt;="&amp;C1400,CBIC_Late_Fee_Relief_Windows_1!$H$100:$H$1400,D1400)</f>
        <v>#NAME?</v>
      </c>
      <c r="H1400" t="e">
        <f t="shared" ca="1" si="21"/>
        <v>#NAME?</v>
      </c>
      <c r="I1400" t="e">
        <f ca="1">INDEX(CBIC_Late_Fee_Relief_Windows_1!$B$100:$B$1400,MATCH(G1400,CBIC_Late_Fee_Relief_Windows_1!$I$100:$I$1400,0))</f>
        <v>#NAME?</v>
      </c>
    </row>
    <row r="1401" spans="1:9" x14ac:dyDescent="0.55000000000000004">
      <c r="A1401" t="str">
        <f>TEST_DATA!A1401</f>
        <v>27AAAAA1401Z5</v>
      </c>
      <c r="B1401" t="str">
        <f>TEST_DATA!B1401</f>
        <v>Jul-2020</v>
      </c>
      <c r="C1401">
        <f>TEST_DATA!C1401</f>
        <v>44892</v>
      </c>
      <c r="D1401" t="str">
        <f>TEST_DATA!D1401</f>
        <v>NON-NIL</v>
      </c>
      <c r="E1401">
        <f>TEST_DATA!E1401</f>
        <v>1292</v>
      </c>
      <c r="F1401">
        <f>MIN(E1401*140100,10000)</f>
        <v>10000</v>
      </c>
      <c r="G1401" t="e">
        <f ca="1">_xludf.MINIFS(CBIC_Late_Fee_Relief_Windows_1!$I$100:$I$1401,CBIC_Late_Fee_Relief_Windows_1!$D$100:$D$1401,"&lt;="&amp;B1401,CBIC_Late_Fee_Relief_Windows_1!$E$100:$E$1401,"&gt;="&amp;B1401,CBIC_Late_Fee_Relief_Windows_1!$F$100:$F$1401,"&lt;="&amp;C1401,CBIC_Late_Fee_Relief_Windows_1!$G$100:$G$1401,"&gt;="&amp;C1401,CBIC_Late_Fee_Relief_Windows_1!$H$100:$H$1401,D1401)</f>
        <v>#NAME?</v>
      </c>
      <c r="H1401" t="e">
        <f t="shared" ca="1" si="21"/>
        <v>#NAME?</v>
      </c>
      <c r="I1401" t="e">
        <f ca="1">INDEX(CBIC_Late_Fee_Relief_Windows_1!$B$100:$B$1401,MATCH(G1401,CBIC_Late_Fee_Relief_Windows_1!$I$100:$I$1401,0))</f>
        <v>#NAME?</v>
      </c>
    </row>
    <row r="1402" spans="1:9" x14ac:dyDescent="0.55000000000000004">
      <c r="A1402" t="str">
        <f>TEST_DATA!A1402</f>
        <v>27AAAAA1402Z5</v>
      </c>
      <c r="B1402" t="str">
        <f>TEST_DATA!B1402</f>
        <v>Jul-2020</v>
      </c>
      <c r="C1402">
        <f>TEST_DATA!C1402</f>
        <v>43848</v>
      </c>
      <c r="D1402" t="str">
        <f>TEST_DATA!D1402</f>
        <v>NIL</v>
      </c>
      <c r="E1402">
        <f>TEST_DATA!E1402</f>
        <v>2761</v>
      </c>
      <c r="F1402">
        <f>MIN(E1402*140200,10000)</f>
        <v>10000</v>
      </c>
      <c r="G1402" t="e">
        <f ca="1">_xludf.MINIFS(CBIC_Late_Fee_Relief_Windows_1!$I$100:$I$1402,CBIC_Late_Fee_Relief_Windows_1!$D$100:$D$1402,"&lt;="&amp;B1402,CBIC_Late_Fee_Relief_Windows_1!$E$100:$E$1402,"&gt;="&amp;B1402,CBIC_Late_Fee_Relief_Windows_1!$F$100:$F$1402,"&lt;="&amp;C1402,CBIC_Late_Fee_Relief_Windows_1!$G$100:$G$1402,"&gt;="&amp;C1402,CBIC_Late_Fee_Relief_Windows_1!$H$100:$H$1402,D1402)</f>
        <v>#NAME?</v>
      </c>
      <c r="H1402" t="e">
        <f t="shared" ca="1" si="21"/>
        <v>#NAME?</v>
      </c>
      <c r="I1402" t="e">
        <f ca="1">INDEX(CBIC_Late_Fee_Relief_Windows_1!$B$100:$B$1402,MATCH(G1402,CBIC_Late_Fee_Relief_Windows_1!$I$100:$I$1402,0))</f>
        <v>#NAME?</v>
      </c>
    </row>
    <row r="1403" spans="1:9" x14ac:dyDescent="0.55000000000000004">
      <c r="A1403" t="str">
        <f>TEST_DATA!A1403</f>
        <v>27AAAAA1403Z5</v>
      </c>
      <c r="B1403" t="str">
        <f>TEST_DATA!B1403</f>
        <v>Jan-2018</v>
      </c>
      <c r="C1403">
        <f>TEST_DATA!C1403</f>
        <v>43694</v>
      </c>
      <c r="D1403" t="str">
        <f>TEST_DATA!D1403</f>
        <v>NIL</v>
      </c>
      <c r="E1403">
        <f>TEST_DATA!E1403</f>
        <v>1332</v>
      </c>
      <c r="F1403">
        <f>MIN(E1403*140300,10000)</f>
        <v>10000</v>
      </c>
      <c r="G1403" t="e">
        <f ca="1">_xludf.MINIFS(CBIC_Late_Fee_Relief_Windows_1!$I$100:$I$1403,CBIC_Late_Fee_Relief_Windows_1!$D$100:$D$1403,"&lt;="&amp;B1403,CBIC_Late_Fee_Relief_Windows_1!$E$100:$E$1403,"&gt;="&amp;B1403,CBIC_Late_Fee_Relief_Windows_1!$F$100:$F$1403,"&lt;="&amp;C1403,CBIC_Late_Fee_Relief_Windows_1!$G$100:$G$1403,"&gt;="&amp;C1403,CBIC_Late_Fee_Relief_Windows_1!$H$100:$H$1403,D1403)</f>
        <v>#NAME?</v>
      </c>
      <c r="H1403" t="e">
        <f t="shared" ca="1" si="21"/>
        <v>#NAME?</v>
      </c>
      <c r="I1403" t="e">
        <f ca="1">INDEX(CBIC_Late_Fee_Relief_Windows_1!$B$100:$B$1403,MATCH(G1403,CBIC_Late_Fee_Relief_Windows_1!$I$100:$I$1403,0))</f>
        <v>#NAME?</v>
      </c>
    </row>
    <row r="1404" spans="1:9" x14ac:dyDescent="0.55000000000000004">
      <c r="A1404" t="str">
        <f>TEST_DATA!A1404</f>
        <v>27AAAAA1404Z5</v>
      </c>
      <c r="B1404" t="str">
        <f>TEST_DATA!B1404</f>
        <v>Jun-2018</v>
      </c>
      <c r="C1404">
        <f>TEST_DATA!C1404</f>
        <v>44171</v>
      </c>
      <c r="D1404" t="str">
        <f>TEST_DATA!D1404</f>
        <v>NON-NIL</v>
      </c>
      <c r="E1404">
        <f>TEST_DATA!E1404</f>
        <v>766</v>
      </c>
      <c r="F1404">
        <f>MIN(E1404*140400,10000)</f>
        <v>10000</v>
      </c>
      <c r="G1404" t="e">
        <f ca="1">_xludf.MINIFS(CBIC_Late_Fee_Relief_Windows_1!$I$100:$I$1404,CBIC_Late_Fee_Relief_Windows_1!$D$100:$D$1404,"&lt;="&amp;B1404,CBIC_Late_Fee_Relief_Windows_1!$E$100:$E$1404,"&gt;="&amp;B1404,CBIC_Late_Fee_Relief_Windows_1!$F$100:$F$1404,"&lt;="&amp;C1404,CBIC_Late_Fee_Relief_Windows_1!$G$100:$G$1404,"&gt;="&amp;C1404,CBIC_Late_Fee_Relief_Windows_1!$H$100:$H$1404,D1404)</f>
        <v>#NAME?</v>
      </c>
      <c r="H1404" t="e">
        <f t="shared" ca="1" si="21"/>
        <v>#NAME?</v>
      </c>
      <c r="I1404" t="e">
        <f ca="1">INDEX(CBIC_Late_Fee_Relief_Windows_1!$B$100:$B$1404,MATCH(G1404,CBIC_Late_Fee_Relief_Windows_1!$I$100:$I$1404,0))</f>
        <v>#NAME?</v>
      </c>
    </row>
    <row r="1405" spans="1:9" x14ac:dyDescent="0.55000000000000004">
      <c r="A1405" t="str">
        <f>TEST_DATA!A1405</f>
        <v>27AAAAA1405Z5</v>
      </c>
      <c r="B1405" t="str">
        <f>TEST_DATA!B1405</f>
        <v>Dec-2019</v>
      </c>
      <c r="C1405">
        <f>TEST_DATA!C1405</f>
        <v>44542</v>
      </c>
      <c r="D1405" t="str">
        <f>TEST_DATA!D1405</f>
        <v>NIL</v>
      </c>
      <c r="E1405">
        <f>TEST_DATA!E1405</f>
        <v>1103</v>
      </c>
      <c r="F1405">
        <f>MIN(E1405*140500,10000)</f>
        <v>10000</v>
      </c>
      <c r="G1405" t="e">
        <f ca="1">_xludf.MINIFS(CBIC_Late_Fee_Relief_Windows_1!$I$100:$I$1405,CBIC_Late_Fee_Relief_Windows_1!$D$100:$D$1405,"&lt;="&amp;B1405,CBIC_Late_Fee_Relief_Windows_1!$E$100:$E$1405,"&gt;="&amp;B1405,CBIC_Late_Fee_Relief_Windows_1!$F$100:$F$1405,"&lt;="&amp;C1405,CBIC_Late_Fee_Relief_Windows_1!$G$100:$G$1405,"&gt;="&amp;C1405,CBIC_Late_Fee_Relief_Windows_1!$H$100:$H$1405,D1405)</f>
        <v>#NAME?</v>
      </c>
      <c r="H1405" t="e">
        <f t="shared" ca="1" si="21"/>
        <v>#NAME?</v>
      </c>
      <c r="I1405" t="e">
        <f ca="1">INDEX(CBIC_Late_Fee_Relief_Windows_1!$B$100:$B$1405,MATCH(G1405,CBIC_Late_Fee_Relief_Windows_1!$I$100:$I$1405,0))</f>
        <v>#NAME?</v>
      </c>
    </row>
    <row r="1406" spans="1:9" x14ac:dyDescent="0.55000000000000004">
      <c r="A1406" t="str">
        <f>TEST_DATA!A1406</f>
        <v>27AAAAA1406Z5</v>
      </c>
      <c r="B1406" t="str">
        <f>TEST_DATA!B1406</f>
        <v>Jan-2019</v>
      </c>
      <c r="C1406">
        <f>TEST_DATA!C1406</f>
        <v>44871</v>
      </c>
      <c r="D1406" t="str">
        <f>TEST_DATA!D1406</f>
        <v>NON-NIL</v>
      </c>
      <c r="E1406">
        <f>TEST_DATA!E1406</f>
        <v>753</v>
      </c>
      <c r="F1406">
        <f>MIN(E1406*140600,10000)</f>
        <v>10000</v>
      </c>
      <c r="G1406" t="e">
        <f ca="1">_xludf.MINIFS(CBIC_Late_Fee_Relief_Windows_1!$I$100:$I$1406,CBIC_Late_Fee_Relief_Windows_1!$D$100:$D$1406,"&lt;="&amp;B1406,CBIC_Late_Fee_Relief_Windows_1!$E$100:$E$1406,"&gt;="&amp;B1406,CBIC_Late_Fee_Relief_Windows_1!$F$100:$F$1406,"&lt;="&amp;C1406,CBIC_Late_Fee_Relief_Windows_1!$G$100:$G$1406,"&gt;="&amp;C1406,CBIC_Late_Fee_Relief_Windows_1!$H$100:$H$1406,D1406)</f>
        <v>#NAME?</v>
      </c>
      <c r="H1406" t="e">
        <f t="shared" ca="1" si="21"/>
        <v>#NAME?</v>
      </c>
      <c r="I1406" t="e">
        <f ca="1">INDEX(CBIC_Late_Fee_Relief_Windows_1!$B$100:$B$1406,MATCH(G1406,CBIC_Late_Fee_Relief_Windows_1!$I$100:$I$1406,0))</f>
        <v>#NAME?</v>
      </c>
    </row>
    <row r="1407" spans="1:9" x14ac:dyDescent="0.55000000000000004">
      <c r="A1407" t="str">
        <f>TEST_DATA!A1407</f>
        <v>27AAAAA1407Z5</v>
      </c>
      <c r="B1407" t="str">
        <f>TEST_DATA!B1407</f>
        <v>Jan-2019</v>
      </c>
      <c r="C1407">
        <f>TEST_DATA!C1407</f>
        <v>45202</v>
      </c>
      <c r="D1407" t="str">
        <f>TEST_DATA!D1407</f>
        <v>NIL</v>
      </c>
      <c r="E1407">
        <f>TEST_DATA!E1407</f>
        <v>1716</v>
      </c>
      <c r="F1407">
        <f>MIN(E1407*140700,10000)</f>
        <v>10000</v>
      </c>
      <c r="G1407" t="e">
        <f ca="1">_xludf.MINIFS(CBIC_Late_Fee_Relief_Windows_1!$I$100:$I$1407,CBIC_Late_Fee_Relief_Windows_1!$D$100:$D$1407,"&lt;="&amp;B1407,CBIC_Late_Fee_Relief_Windows_1!$E$100:$E$1407,"&gt;="&amp;B1407,CBIC_Late_Fee_Relief_Windows_1!$F$100:$F$1407,"&lt;="&amp;C1407,CBIC_Late_Fee_Relief_Windows_1!$G$100:$G$1407,"&gt;="&amp;C1407,CBIC_Late_Fee_Relief_Windows_1!$H$100:$H$1407,D1407)</f>
        <v>#NAME?</v>
      </c>
      <c r="H1407" t="e">
        <f t="shared" ca="1" si="21"/>
        <v>#NAME?</v>
      </c>
      <c r="I1407" t="e">
        <f ca="1">INDEX(CBIC_Late_Fee_Relief_Windows_1!$B$100:$B$1407,MATCH(G1407,CBIC_Late_Fee_Relief_Windows_1!$I$100:$I$1407,0))</f>
        <v>#NAME?</v>
      </c>
    </row>
    <row r="1408" spans="1:9" x14ac:dyDescent="0.55000000000000004">
      <c r="A1408" t="str">
        <f>TEST_DATA!A1408</f>
        <v>27AAAAA1408Z5</v>
      </c>
      <c r="B1408" t="str">
        <f>TEST_DATA!B1408</f>
        <v>Jul-2020</v>
      </c>
      <c r="C1408">
        <f>TEST_DATA!C1408</f>
        <v>44593</v>
      </c>
      <c r="D1408" t="str">
        <f>TEST_DATA!D1408</f>
        <v>NON-NIL</v>
      </c>
      <c r="E1408">
        <f>TEST_DATA!E1408</f>
        <v>1640</v>
      </c>
      <c r="F1408">
        <f>MIN(E1408*140800,10000)</f>
        <v>10000</v>
      </c>
      <c r="G1408" t="e">
        <f ca="1">_xludf.MINIFS(CBIC_Late_Fee_Relief_Windows_1!$I$100:$I$1408,CBIC_Late_Fee_Relief_Windows_1!$D$100:$D$1408,"&lt;="&amp;B1408,CBIC_Late_Fee_Relief_Windows_1!$E$100:$E$1408,"&gt;="&amp;B1408,CBIC_Late_Fee_Relief_Windows_1!$F$100:$F$1408,"&lt;="&amp;C1408,CBIC_Late_Fee_Relief_Windows_1!$G$100:$G$1408,"&gt;="&amp;C1408,CBIC_Late_Fee_Relief_Windows_1!$H$100:$H$1408,D1408)</f>
        <v>#NAME?</v>
      </c>
      <c r="H1408" t="e">
        <f t="shared" ca="1" si="21"/>
        <v>#NAME?</v>
      </c>
      <c r="I1408" t="e">
        <f ca="1">INDEX(CBIC_Late_Fee_Relief_Windows_1!$B$100:$B$1408,MATCH(G1408,CBIC_Late_Fee_Relief_Windows_1!$I$100:$I$1408,0))</f>
        <v>#NAME?</v>
      </c>
    </row>
    <row r="1409" spans="1:9" x14ac:dyDescent="0.55000000000000004">
      <c r="A1409" t="str">
        <f>TEST_DATA!A1409</f>
        <v>27AAAAA1409Z5</v>
      </c>
      <c r="B1409" t="str">
        <f>TEST_DATA!B1409</f>
        <v>Mar-2018</v>
      </c>
      <c r="C1409">
        <f>TEST_DATA!C1409</f>
        <v>43840</v>
      </c>
      <c r="D1409" t="str">
        <f>TEST_DATA!D1409</f>
        <v>NIL</v>
      </c>
      <c r="E1409">
        <f>TEST_DATA!E1409</f>
        <v>2340</v>
      </c>
      <c r="F1409">
        <f>MIN(E1409*140900,10000)</f>
        <v>10000</v>
      </c>
      <c r="G1409" t="e">
        <f ca="1">_xludf.MINIFS(CBIC_Late_Fee_Relief_Windows_1!$I$100:$I$1409,CBIC_Late_Fee_Relief_Windows_1!$D$100:$D$1409,"&lt;="&amp;B1409,CBIC_Late_Fee_Relief_Windows_1!$E$100:$E$1409,"&gt;="&amp;B1409,CBIC_Late_Fee_Relief_Windows_1!$F$100:$F$1409,"&lt;="&amp;C1409,CBIC_Late_Fee_Relief_Windows_1!$G$100:$G$1409,"&gt;="&amp;C1409,CBIC_Late_Fee_Relief_Windows_1!$H$100:$H$1409,D1409)</f>
        <v>#NAME?</v>
      </c>
      <c r="H1409" t="e">
        <f t="shared" ca="1" si="21"/>
        <v>#NAME?</v>
      </c>
      <c r="I1409" t="e">
        <f ca="1">INDEX(CBIC_Late_Fee_Relief_Windows_1!$B$100:$B$1409,MATCH(G1409,CBIC_Late_Fee_Relief_Windows_1!$I$100:$I$1409,0))</f>
        <v>#NAME?</v>
      </c>
    </row>
    <row r="1410" spans="1:9" x14ac:dyDescent="0.55000000000000004">
      <c r="A1410" t="str">
        <f>TEST_DATA!A1410</f>
        <v>27AAAAA1410Z5</v>
      </c>
      <c r="B1410" t="str">
        <f>TEST_DATA!B1410</f>
        <v>Nov-2017</v>
      </c>
      <c r="C1410">
        <f>TEST_DATA!C1410</f>
        <v>44096</v>
      </c>
      <c r="D1410" t="str">
        <f>TEST_DATA!D1410</f>
        <v>NIL</v>
      </c>
      <c r="E1410">
        <f>TEST_DATA!E1410</f>
        <v>409</v>
      </c>
      <c r="F1410">
        <f>MIN(E1410*141000,10000)</f>
        <v>10000</v>
      </c>
      <c r="G1410" t="e">
        <f ca="1">_xludf.MINIFS(CBIC_Late_Fee_Relief_Windows_1!$I$100:$I$1410,CBIC_Late_Fee_Relief_Windows_1!$D$100:$D$1410,"&lt;="&amp;B1410,CBIC_Late_Fee_Relief_Windows_1!$E$100:$E$1410,"&gt;="&amp;B1410,CBIC_Late_Fee_Relief_Windows_1!$F$100:$F$1410,"&lt;="&amp;C1410,CBIC_Late_Fee_Relief_Windows_1!$G$100:$G$1410,"&gt;="&amp;C1410,CBIC_Late_Fee_Relief_Windows_1!$H$100:$H$1410,D1410)</f>
        <v>#NAME?</v>
      </c>
      <c r="H1410" t="e">
        <f t="shared" ref="H1410:H1473" ca="1" si="22">MIN(F1410,G1410)</f>
        <v>#NAME?</v>
      </c>
      <c r="I1410" t="e">
        <f ca="1">INDEX(CBIC_Late_Fee_Relief_Windows_1!$B$100:$B$1410,MATCH(G1410,CBIC_Late_Fee_Relief_Windows_1!$I$100:$I$1410,0))</f>
        <v>#NAME?</v>
      </c>
    </row>
    <row r="1411" spans="1:9" x14ac:dyDescent="0.55000000000000004">
      <c r="A1411" t="str">
        <f>TEST_DATA!A1411</f>
        <v>27AAAAA1411Z5</v>
      </c>
      <c r="B1411" t="str">
        <f>TEST_DATA!B1411</f>
        <v>Jan-2021</v>
      </c>
      <c r="C1411">
        <f>TEST_DATA!C1411</f>
        <v>44571</v>
      </c>
      <c r="D1411" t="str">
        <f>TEST_DATA!D1411</f>
        <v>NIL</v>
      </c>
      <c r="E1411">
        <f>TEST_DATA!E1411</f>
        <v>2274</v>
      </c>
      <c r="F1411">
        <f>MIN(E1411*141100,10000)</f>
        <v>10000</v>
      </c>
      <c r="G1411" t="e">
        <f ca="1">_xludf.MINIFS(CBIC_Late_Fee_Relief_Windows_1!$I$100:$I$1411,CBIC_Late_Fee_Relief_Windows_1!$D$100:$D$1411,"&lt;="&amp;B1411,CBIC_Late_Fee_Relief_Windows_1!$E$100:$E$1411,"&gt;="&amp;B1411,CBIC_Late_Fee_Relief_Windows_1!$F$100:$F$1411,"&lt;="&amp;C1411,CBIC_Late_Fee_Relief_Windows_1!$G$100:$G$1411,"&gt;="&amp;C1411,CBIC_Late_Fee_Relief_Windows_1!$H$100:$H$1411,D1411)</f>
        <v>#NAME?</v>
      </c>
      <c r="H1411" t="e">
        <f t="shared" ca="1" si="22"/>
        <v>#NAME?</v>
      </c>
      <c r="I1411" t="e">
        <f ca="1">INDEX(CBIC_Late_Fee_Relief_Windows_1!$B$100:$B$1411,MATCH(G1411,CBIC_Late_Fee_Relief_Windows_1!$I$100:$I$1411,0))</f>
        <v>#NAME?</v>
      </c>
    </row>
    <row r="1412" spans="1:9" x14ac:dyDescent="0.55000000000000004">
      <c r="A1412" t="str">
        <f>TEST_DATA!A1412</f>
        <v>27AAAAA1412Z5</v>
      </c>
      <c r="B1412" t="str">
        <f>TEST_DATA!B1412</f>
        <v>Aug-2018</v>
      </c>
      <c r="C1412">
        <f>TEST_DATA!C1412</f>
        <v>43697</v>
      </c>
      <c r="D1412" t="str">
        <f>TEST_DATA!D1412</f>
        <v>NIL</v>
      </c>
      <c r="E1412">
        <f>TEST_DATA!E1412</f>
        <v>597</v>
      </c>
      <c r="F1412">
        <f>MIN(E1412*141200,10000)</f>
        <v>10000</v>
      </c>
      <c r="G1412" t="e">
        <f ca="1">_xludf.MINIFS(CBIC_Late_Fee_Relief_Windows_1!$I$100:$I$1412,CBIC_Late_Fee_Relief_Windows_1!$D$100:$D$1412,"&lt;="&amp;B1412,CBIC_Late_Fee_Relief_Windows_1!$E$100:$E$1412,"&gt;="&amp;B1412,CBIC_Late_Fee_Relief_Windows_1!$F$100:$F$1412,"&lt;="&amp;C1412,CBIC_Late_Fee_Relief_Windows_1!$G$100:$G$1412,"&gt;="&amp;C1412,CBIC_Late_Fee_Relief_Windows_1!$H$100:$H$1412,D1412)</f>
        <v>#NAME?</v>
      </c>
      <c r="H1412" t="e">
        <f t="shared" ca="1" si="22"/>
        <v>#NAME?</v>
      </c>
      <c r="I1412" t="e">
        <f ca="1">INDEX(CBIC_Late_Fee_Relief_Windows_1!$B$100:$B$1412,MATCH(G1412,CBIC_Late_Fee_Relief_Windows_1!$I$100:$I$1412,0))</f>
        <v>#NAME?</v>
      </c>
    </row>
    <row r="1413" spans="1:9" x14ac:dyDescent="0.55000000000000004">
      <c r="A1413" t="str">
        <f>TEST_DATA!A1413</f>
        <v>27AAAAA1413Z5</v>
      </c>
      <c r="B1413" t="str">
        <f>TEST_DATA!B1413</f>
        <v>Apr-2021</v>
      </c>
      <c r="C1413">
        <f>TEST_DATA!C1413</f>
        <v>44078</v>
      </c>
      <c r="D1413" t="str">
        <f>TEST_DATA!D1413</f>
        <v>NON-NIL</v>
      </c>
      <c r="E1413">
        <f>TEST_DATA!E1413</f>
        <v>39</v>
      </c>
      <c r="F1413">
        <f>MIN(E1413*141300,10000)</f>
        <v>10000</v>
      </c>
      <c r="G1413" t="e">
        <f ca="1">_xludf.MINIFS(CBIC_Late_Fee_Relief_Windows_1!$I$100:$I$1413,CBIC_Late_Fee_Relief_Windows_1!$D$100:$D$1413,"&lt;="&amp;B1413,CBIC_Late_Fee_Relief_Windows_1!$E$100:$E$1413,"&gt;="&amp;B1413,CBIC_Late_Fee_Relief_Windows_1!$F$100:$F$1413,"&lt;="&amp;C1413,CBIC_Late_Fee_Relief_Windows_1!$G$100:$G$1413,"&gt;="&amp;C1413,CBIC_Late_Fee_Relief_Windows_1!$H$100:$H$1413,D1413)</f>
        <v>#NAME?</v>
      </c>
      <c r="H1413" t="e">
        <f t="shared" ca="1" si="22"/>
        <v>#NAME?</v>
      </c>
      <c r="I1413" t="e">
        <f ca="1">INDEX(CBIC_Late_Fee_Relief_Windows_1!$B$100:$B$1413,MATCH(G1413,CBIC_Late_Fee_Relief_Windows_1!$I$100:$I$1413,0))</f>
        <v>#NAME?</v>
      </c>
    </row>
    <row r="1414" spans="1:9" x14ac:dyDescent="0.55000000000000004">
      <c r="A1414" t="str">
        <f>TEST_DATA!A1414</f>
        <v>27AAAAA1414Z5</v>
      </c>
      <c r="B1414" t="str">
        <f>TEST_DATA!B1414</f>
        <v>Dec-2017</v>
      </c>
      <c r="C1414">
        <f>TEST_DATA!C1414</f>
        <v>43780</v>
      </c>
      <c r="D1414" t="str">
        <f>TEST_DATA!D1414</f>
        <v>NON-NIL</v>
      </c>
      <c r="E1414">
        <f>TEST_DATA!E1414</f>
        <v>550</v>
      </c>
      <c r="F1414">
        <f>MIN(E1414*141400,10000)</f>
        <v>10000</v>
      </c>
      <c r="G1414" t="e">
        <f ca="1">_xludf.MINIFS(CBIC_Late_Fee_Relief_Windows_1!$I$100:$I$1414,CBIC_Late_Fee_Relief_Windows_1!$D$100:$D$1414,"&lt;="&amp;B1414,CBIC_Late_Fee_Relief_Windows_1!$E$100:$E$1414,"&gt;="&amp;B1414,CBIC_Late_Fee_Relief_Windows_1!$F$100:$F$1414,"&lt;="&amp;C1414,CBIC_Late_Fee_Relief_Windows_1!$G$100:$G$1414,"&gt;="&amp;C1414,CBIC_Late_Fee_Relief_Windows_1!$H$100:$H$1414,D1414)</f>
        <v>#NAME?</v>
      </c>
      <c r="H1414" t="e">
        <f t="shared" ca="1" si="22"/>
        <v>#NAME?</v>
      </c>
      <c r="I1414" t="e">
        <f ca="1">INDEX(CBIC_Late_Fee_Relief_Windows_1!$B$100:$B$1414,MATCH(G1414,CBIC_Late_Fee_Relief_Windows_1!$I$100:$I$1414,0))</f>
        <v>#NAME?</v>
      </c>
    </row>
    <row r="1415" spans="1:9" x14ac:dyDescent="0.55000000000000004">
      <c r="A1415" t="str">
        <f>TEST_DATA!A1415</f>
        <v>27AAAAA1415Z5</v>
      </c>
      <c r="B1415" t="str">
        <f>TEST_DATA!B1415</f>
        <v>Dec-2024</v>
      </c>
      <c r="C1415">
        <f>TEST_DATA!C1415</f>
        <v>45583</v>
      </c>
      <c r="D1415" t="str">
        <f>TEST_DATA!D1415</f>
        <v>NON-NIL</v>
      </c>
      <c r="E1415">
        <f>TEST_DATA!E1415</f>
        <v>1993</v>
      </c>
      <c r="F1415">
        <f>MIN(E1415*141500,10000)</f>
        <v>10000</v>
      </c>
      <c r="G1415" t="e">
        <f ca="1">_xludf.MINIFS(CBIC_Late_Fee_Relief_Windows_1!$I$100:$I$1415,CBIC_Late_Fee_Relief_Windows_1!$D$100:$D$1415,"&lt;="&amp;B1415,CBIC_Late_Fee_Relief_Windows_1!$E$100:$E$1415,"&gt;="&amp;B1415,CBIC_Late_Fee_Relief_Windows_1!$F$100:$F$1415,"&lt;="&amp;C1415,CBIC_Late_Fee_Relief_Windows_1!$G$100:$G$1415,"&gt;="&amp;C1415,CBIC_Late_Fee_Relief_Windows_1!$H$100:$H$1415,D1415)</f>
        <v>#NAME?</v>
      </c>
      <c r="H1415" t="e">
        <f t="shared" ca="1" si="22"/>
        <v>#NAME?</v>
      </c>
      <c r="I1415" t="e">
        <f ca="1">INDEX(CBIC_Late_Fee_Relief_Windows_1!$B$100:$B$1415,MATCH(G1415,CBIC_Late_Fee_Relief_Windows_1!$I$100:$I$1415,0))</f>
        <v>#NAME?</v>
      </c>
    </row>
    <row r="1416" spans="1:9" x14ac:dyDescent="0.55000000000000004">
      <c r="A1416" t="str">
        <f>TEST_DATA!A1416</f>
        <v>27AAAAA1416Z5</v>
      </c>
      <c r="B1416" t="str">
        <f>TEST_DATA!B1416</f>
        <v>Apr-2018</v>
      </c>
      <c r="C1416">
        <f>TEST_DATA!C1416</f>
        <v>43430</v>
      </c>
      <c r="D1416" t="str">
        <f>TEST_DATA!D1416</f>
        <v>NIL</v>
      </c>
      <c r="E1416">
        <f>TEST_DATA!E1416</f>
        <v>1631</v>
      </c>
      <c r="F1416">
        <f>MIN(E1416*141600,10000)</f>
        <v>10000</v>
      </c>
      <c r="G1416" t="e">
        <f ca="1">_xludf.MINIFS(CBIC_Late_Fee_Relief_Windows_1!$I$100:$I$1416,CBIC_Late_Fee_Relief_Windows_1!$D$100:$D$1416,"&lt;="&amp;B1416,CBIC_Late_Fee_Relief_Windows_1!$E$100:$E$1416,"&gt;="&amp;B1416,CBIC_Late_Fee_Relief_Windows_1!$F$100:$F$1416,"&lt;="&amp;C1416,CBIC_Late_Fee_Relief_Windows_1!$G$100:$G$1416,"&gt;="&amp;C1416,CBIC_Late_Fee_Relief_Windows_1!$H$100:$H$1416,D1416)</f>
        <v>#NAME?</v>
      </c>
      <c r="H1416" t="e">
        <f t="shared" ca="1" si="22"/>
        <v>#NAME?</v>
      </c>
      <c r="I1416" t="e">
        <f ca="1">INDEX(CBIC_Late_Fee_Relief_Windows_1!$B$100:$B$1416,MATCH(G1416,CBIC_Late_Fee_Relief_Windows_1!$I$100:$I$1416,0))</f>
        <v>#NAME?</v>
      </c>
    </row>
    <row r="1417" spans="1:9" x14ac:dyDescent="0.55000000000000004">
      <c r="A1417" t="str">
        <f>TEST_DATA!A1417</f>
        <v>27AAAAA1417Z5</v>
      </c>
      <c r="B1417" t="str">
        <f>TEST_DATA!B1417</f>
        <v>Oct-2017</v>
      </c>
      <c r="C1417">
        <f>TEST_DATA!C1417</f>
        <v>44331</v>
      </c>
      <c r="D1417" t="str">
        <f>TEST_DATA!D1417</f>
        <v>NIL</v>
      </c>
      <c r="E1417">
        <f>TEST_DATA!E1417</f>
        <v>245</v>
      </c>
      <c r="F1417">
        <f>MIN(E1417*141700,10000)</f>
        <v>10000</v>
      </c>
      <c r="G1417" t="e">
        <f ca="1">_xludf.MINIFS(CBIC_Late_Fee_Relief_Windows_1!$I$100:$I$1417,CBIC_Late_Fee_Relief_Windows_1!$D$100:$D$1417,"&lt;="&amp;B1417,CBIC_Late_Fee_Relief_Windows_1!$E$100:$E$1417,"&gt;="&amp;B1417,CBIC_Late_Fee_Relief_Windows_1!$F$100:$F$1417,"&lt;="&amp;C1417,CBIC_Late_Fee_Relief_Windows_1!$G$100:$G$1417,"&gt;="&amp;C1417,CBIC_Late_Fee_Relief_Windows_1!$H$100:$H$1417,D1417)</f>
        <v>#NAME?</v>
      </c>
      <c r="H1417" t="e">
        <f t="shared" ca="1" si="22"/>
        <v>#NAME?</v>
      </c>
      <c r="I1417" t="e">
        <f ca="1">INDEX(CBIC_Late_Fee_Relief_Windows_1!$B$100:$B$1417,MATCH(G1417,CBIC_Late_Fee_Relief_Windows_1!$I$100:$I$1417,0))</f>
        <v>#NAME?</v>
      </c>
    </row>
    <row r="1418" spans="1:9" x14ac:dyDescent="0.55000000000000004">
      <c r="A1418" t="str">
        <f>TEST_DATA!A1418</f>
        <v>27AAAAA1418Z5</v>
      </c>
      <c r="B1418" t="str">
        <f>TEST_DATA!B1418</f>
        <v>Jan-2018</v>
      </c>
      <c r="C1418">
        <f>TEST_DATA!C1418</f>
        <v>43437</v>
      </c>
      <c r="D1418" t="str">
        <f>TEST_DATA!D1418</f>
        <v>NON-NIL</v>
      </c>
      <c r="E1418">
        <f>TEST_DATA!E1418</f>
        <v>2579</v>
      </c>
      <c r="F1418">
        <f>MIN(E1418*141800,10000)</f>
        <v>10000</v>
      </c>
      <c r="G1418" t="e">
        <f ca="1">_xludf.MINIFS(CBIC_Late_Fee_Relief_Windows_1!$I$100:$I$1418,CBIC_Late_Fee_Relief_Windows_1!$D$100:$D$1418,"&lt;="&amp;B1418,CBIC_Late_Fee_Relief_Windows_1!$E$100:$E$1418,"&gt;="&amp;B1418,CBIC_Late_Fee_Relief_Windows_1!$F$100:$F$1418,"&lt;="&amp;C1418,CBIC_Late_Fee_Relief_Windows_1!$G$100:$G$1418,"&gt;="&amp;C1418,CBIC_Late_Fee_Relief_Windows_1!$H$100:$H$1418,D1418)</f>
        <v>#NAME?</v>
      </c>
      <c r="H1418" t="e">
        <f t="shared" ca="1" si="22"/>
        <v>#NAME?</v>
      </c>
      <c r="I1418" t="e">
        <f ca="1">INDEX(CBIC_Late_Fee_Relief_Windows_1!$B$100:$B$1418,MATCH(G1418,CBIC_Late_Fee_Relief_Windows_1!$I$100:$I$1418,0))</f>
        <v>#NAME?</v>
      </c>
    </row>
    <row r="1419" spans="1:9" x14ac:dyDescent="0.55000000000000004">
      <c r="A1419" t="str">
        <f>TEST_DATA!A1419</f>
        <v>27AAAAA1419Z5</v>
      </c>
      <c r="B1419" t="str">
        <f>TEST_DATA!B1419</f>
        <v>Oct-2017</v>
      </c>
      <c r="C1419">
        <f>TEST_DATA!C1419</f>
        <v>43838</v>
      </c>
      <c r="D1419" t="str">
        <f>TEST_DATA!D1419</f>
        <v>NON-NIL</v>
      </c>
      <c r="E1419">
        <f>TEST_DATA!E1419</f>
        <v>1064</v>
      </c>
      <c r="F1419">
        <f>MIN(E1419*141900,10000)</f>
        <v>10000</v>
      </c>
      <c r="G1419" t="e">
        <f ca="1">_xludf.MINIFS(CBIC_Late_Fee_Relief_Windows_1!$I$100:$I$1419,CBIC_Late_Fee_Relief_Windows_1!$D$100:$D$1419,"&lt;="&amp;B1419,CBIC_Late_Fee_Relief_Windows_1!$E$100:$E$1419,"&gt;="&amp;B1419,CBIC_Late_Fee_Relief_Windows_1!$F$100:$F$1419,"&lt;="&amp;C1419,CBIC_Late_Fee_Relief_Windows_1!$G$100:$G$1419,"&gt;="&amp;C1419,CBIC_Late_Fee_Relief_Windows_1!$H$100:$H$1419,D1419)</f>
        <v>#NAME?</v>
      </c>
      <c r="H1419" t="e">
        <f t="shared" ca="1" si="22"/>
        <v>#NAME?</v>
      </c>
      <c r="I1419" t="e">
        <f ca="1">INDEX(CBIC_Late_Fee_Relief_Windows_1!$B$100:$B$1419,MATCH(G1419,CBIC_Late_Fee_Relief_Windows_1!$I$100:$I$1419,0))</f>
        <v>#NAME?</v>
      </c>
    </row>
    <row r="1420" spans="1:9" x14ac:dyDescent="0.55000000000000004">
      <c r="A1420" t="str">
        <f>TEST_DATA!A1420</f>
        <v>27AAAAA1420Z5</v>
      </c>
      <c r="B1420" t="str">
        <f>TEST_DATA!B1420</f>
        <v>Jun-2018</v>
      </c>
      <c r="C1420">
        <f>TEST_DATA!C1420</f>
        <v>43654</v>
      </c>
      <c r="D1420" t="str">
        <f>TEST_DATA!D1420</f>
        <v>NON-NIL</v>
      </c>
      <c r="E1420">
        <f>TEST_DATA!E1420</f>
        <v>1409</v>
      </c>
      <c r="F1420">
        <f>MIN(E1420*142000,10000)</f>
        <v>10000</v>
      </c>
      <c r="G1420" t="e">
        <f ca="1">_xludf.MINIFS(CBIC_Late_Fee_Relief_Windows_1!$I$100:$I$1420,CBIC_Late_Fee_Relief_Windows_1!$D$100:$D$1420,"&lt;="&amp;B1420,CBIC_Late_Fee_Relief_Windows_1!$E$100:$E$1420,"&gt;="&amp;B1420,CBIC_Late_Fee_Relief_Windows_1!$F$100:$F$1420,"&lt;="&amp;C1420,CBIC_Late_Fee_Relief_Windows_1!$G$100:$G$1420,"&gt;="&amp;C1420,CBIC_Late_Fee_Relief_Windows_1!$H$100:$H$1420,D1420)</f>
        <v>#NAME?</v>
      </c>
      <c r="H1420" t="e">
        <f t="shared" ca="1" si="22"/>
        <v>#NAME?</v>
      </c>
      <c r="I1420" t="e">
        <f ca="1">INDEX(CBIC_Late_Fee_Relief_Windows_1!$B$100:$B$1420,MATCH(G1420,CBIC_Late_Fee_Relief_Windows_1!$I$100:$I$1420,0))</f>
        <v>#NAME?</v>
      </c>
    </row>
    <row r="1421" spans="1:9" x14ac:dyDescent="0.55000000000000004">
      <c r="A1421" t="str">
        <f>TEST_DATA!A1421</f>
        <v>27AAAAA1421Z5</v>
      </c>
      <c r="B1421" t="str">
        <f>TEST_DATA!B1421</f>
        <v>Jul-2017</v>
      </c>
      <c r="C1421">
        <f>TEST_DATA!C1421</f>
        <v>43760</v>
      </c>
      <c r="D1421" t="str">
        <f>TEST_DATA!D1421</f>
        <v>NIL</v>
      </c>
      <c r="E1421">
        <f>TEST_DATA!E1421</f>
        <v>1438</v>
      </c>
      <c r="F1421">
        <f>MIN(E1421*142100,10000)</f>
        <v>10000</v>
      </c>
      <c r="G1421" t="e">
        <f ca="1">_xludf.MINIFS(CBIC_Late_Fee_Relief_Windows_1!$I$100:$I$1421,CBIC_Late_Fee_Relief_Windows_1!$D$100:$D$1421,"&lt;="&amp;B1421,CBIC_Late_Fee_Relief_Windows_1!$E$100:$E$1421,"&gt;="&amp;B1421,CBIC_Late_Fee_Relief_Windows_1!$F$100:$F$1421,"&lt;="&amp;C1421,CBIC_Late_Fee_Relief_Windows_1!$G$100:$G$1421,"&gt;="&amp;C1421,CBIC_Late_Fee_Relief_Windows_1!$H$100:$H$1421,D1421)</f>
        <v>#NAME?</v>
      </c>
      <c r="H1421" t="e">
        <f t="shared" ca="1" si="22"/>
        <v>#NAME?</v>
      </c>
      <c r="I1421" t="e">
        <f ca="1">INDEX(CBIC_Late_Fee_Relief_Windows_1!$B$100:$B$1421,MATCH(G1421,CBIC_Late_Fee_Relief_Windows_1!$I$100:$I$1421,0))</f>
        <v>#NAME?</v>
      </c>
    </row>
    <row r="1422" spans="1:9" x14ac:dyDescent="0.55000000000000004">
      <c r="A1422" t="str">
        <f>TEST_DATA!A1422</f>
        <v>27AAAAA1422Z5</v>
      </c>
      <c r="B1422" t="str">
        <f>TEST_DATA!B1422</f>
        <v>Mar-2023</v>
      </c>
      <c r="C1422">
        <f>TEST_DATA!C1422</f>
        <v>44280</v>
      </c>
      <c r="D1422" t="str">
        <f>TEST_DATA!D1422</f>
        <v>NIL</v>
      </c>
      <c r="E1422">
        <f>TEST_DATA!E1422</f>
        <v>1165</v>
      </c>
      <c r="F1422">
        <f>MIN(E1422*142200,10000)</f>
        <v>10000</v>
      </c>
      <c r="G1422" t="e">
        <f ca="1">_xludf.MINIFS(CBIC_Late_Fee_Relief_Windows_1!$I$100:$I$1422,CBIC_Late_Fee_Relief_Windows_1!$D$100:$D$1422,"&lt;="&amp;B1422,CBIC_Late_Fee_Relief_Windows_1!$E$100:$E$1422,"&gt;="&amp;B1422,CBIC_Late_Fee_Relief_Windows_1!$F$100:$F$1422,"&lt;="&amp;C1422,CBIC_Late_Fee_Relief_Windows_1!$G$100:$G$1422,"&gt;="&amp;C1422,CBIC_Late_Fee_Relief_Windows_1!$H$100:$H$1422,D1422)</f>
        <v>#NAME?</v>
      </c>
      <c r="H1422" t="e">
        <f t="shared" ca="1" si="22"/>
        <v>#NAME?</v>
      </c>
      <c r="I1422" t="e">
        <f ca="1">INDEX(CBIC_Late_Fee_Relief_Windows_1!$B$100:$B$1422,MATCH(G1422,CBIC_Late_Fee_Relief_Windows_1!$I$100:$I$1422,0))</f>
        <v>#NAME?</v>
      </c>
    </row>
    <row r="1423" spans="1:9" x14ac:dyDescent="0.55000000000000004">
      <c r="A1423" t="str">
        <f>TEST_DATA!A1423</f>
        <v>27AAAAA1423Z5</v>
      </c>
      <c r="B1423" t="str">
        <f>TEST_DATA!B1423</f>
        <v>Jun-2018</v>
      </c>
      <c r="C1423">
        <f>TEST_DATA!C1423</f>
        <v>43582</v>
      </c>
      <c r="D1423" t="str">
        <f>TEST_DATA!D1423</f>
        <v>NON-NIL</v>
      </c>
      <c r="E1423">
        <f>TEST_DATA!E1423</f>
        <v>1830</v>
      </c>
      <c r="F1423">
        <f>MIN(E1423*142300,10000)</f>
        <v>10000</v>
      </c>
      <c r="G1423" t="e">
        <f ca="1">_xludf.MINIFS(CBIC_Late_Fee_Relief_Windows_1!$I$100:$I$1423,CBIC_Late_Fee_Relief_Windows_1!$D$100:$D$1423,"&lt;="&amp;B1423,CBIC_Late_Fee_Relief_Windows_1!$E$100:$E$1423,"&gt;="&amp;B1423,CBIC_Late_Fee_Relief_Windows_1!$F$100:$F$1423,"&lt;="&amp;C1423,CBIC_Late_Fee_Relief_Windows_1!$G$100:$G$1423,"&gt;="&amp;C1423,CBIC_Late_Fee_Relief_Windows_1!$H$100:$H$1423,D1423)</f>
        <v>#NAME?</v>
      </c>
      <c r="H1423" t="e">
        <f t="shared" ca="1" si="22"/>
        <v>#NAME?</v>
      </c>
      <c r="I1423" t="e">
        <f ca="1">INDEX(CBIC_Late_Fee_Relief_Windows_1!$B$100:$B$1423,MATCH(G1423,CBIC_Late_Fee_Relief_Windows_1!$I$100:$I$1423,0))</f>
        <v>#NAME?</v>
      </c>
    </row>
    <row r="1424" spans="1:9" x14ac:dyDescent="0.55000000000000004">
      <c r="A1424" t="str">
        <f>TEST_DATA!A1424</f>
        <v>27AAAAA1424Z5</v>
      </c>
      <c r="B1424" t="str">
        <f>TEST_DATA!B1424</f>
        <v>Dec-2024</v>
      </c>
      <c r="C1424">
        <f>TEST_DATA!C1424</f>
        <v>43787</v>
      </c>
      <c r="D1424" t="str">
        <f>TEST_DATA!D1424</f>
        <v>NON-NIL</v>
      </c>
      <c r="E1424">
        <f>TEST_DATA!E1424</f>
        <v>2513</v>
      </c>
      <c r="F1424">
        <f>MIN(E1424*142400,10000)</f>
        <v>10000</v>
      </c>
      <c r="G1424" t="e">
        <f ca="1">_xludf.MINIFS(CBIC_Late_Fee_Relief_Windows_1!$I$100:$I$1424,CBIC_Late_Fee_Relief_Windows_1!$D$100:$D$1424,"&lt;="&amp;B1424,CBIC_Late_Fee_Relief_Windows_1!$E$100:$E$1424,"&gt;="&amp;B1424,CBIC_Late_Fee_Relief_Windows_1!$F$100:$F$1424,"&lt;="&amp;C1424,CBIC_Late_Fee_Relief_Windows_1!$G$100:$G$1424,"&gt;="&amp;C1424,CBIC_Late_Fee_Relief_Windows_1!$H$100:$H$1424,D1424)</f>
        <v>#NAME?</v>
      </c>
      <c r="H1424" t="e">
        <f t="shared" ca="1" si="22"/>
        <v>#NAME?</v>
      </c>
      <c r="I1424" t="e">
        <f ca="1">INDEX(CBIC_Late_Fee_Relief_Windows_1!$B$100:$B$1424,MATCH(G1424,CBIC_Late_Fee_Relief_Windows_1!$I$100:$I$1424,0))</f>
        <v>#NAME?</v>
      </c>
    </row>
    <row r="1425" spans="1:9" x14ac:dyDescent="0.55000000000000004">
      <c r="A1425" t="str">
        <f>TEST_DATA!A1425</f>
        <v>27AAAAA1425Z5</v>
      </c>
      <c r="B1425" t="str">
        <f>TEST_DATA!B1425</f>
        <v>Apr-2018</v>
      </c>
      <c r="C1425">
        <f>TEST_DATA!C1425</f>
        <v>43866</v>
      </c>
      <c r="D1425" t="str">
        <f>TEST_DATA!D1425</f>
        <v>NIL</v>
      </c>
      <c r="E1425">
        <f>TEST_DATA!E1425</f>
        <v>686</v>
      </c>
      <c r="F1425">
        <f>MIN(E1425*142500,10000)</f>
        <v>10000</v>
      </c>
      <c r="G1425" t="e">
        <f ca="1">_xludf.MINIFS(CBIC_Late_Fee_Relief_Windows_1!$I$100:$I$1425,CBIC_Late_Fee_Relief_Windows_1!$D$100:$D$1425,"&lt;="&amp;B1425,CBIC_Late_Fee_Relief_Windows_1!$E$100:$E$1425,"&gt;="&amp;B1425,CBIC_Late_Fee_Relief_Windows_1!$F$100:$F$1425,"&lt;="&amp;C1425,CBIC_Late_Fee_Relief_Windows_1!$G$100:$G$1425,"&gt;="&amp;C1425,CBIC_Late_Fee_Relief_Windows_1!$H$100:$H$1425,D1425)</f>
        <v>#NAME?</v>
      </c>
      <c r="H1425" t="e">
        <f t="shared" ca="1" si="22"/>
        <v>#NAME?</v>
      </c>
      <c r="I1425" t="e">
        <f ca="1">INDEX(CBIC_Late_Fee_Relief_Windows_1!$B$100:$B$1425,MATCH(G1425,CBIC_Late_Fee_Relief_Windows_1!$I$100:$I$1425,0))</f>
        <v>#NAME?</v>
      </c>
    </row>
    <row r="1426" spans="1:9" x14ac:dyDescent="0.55000000000000004">
      <c r="A1426" t="str">
        <f>TEST_DATA!A1426</f>
        <v>27AAAAA1426Z5</v>
      </c>
      <c r="B1426" t="str">
        <f>TEST_DATA!B1426</f>
        <v>May-2020</v>
      </c>
      <c r="C1426">
        <f>TEST_DATA!C1426</f>
        <v>44521</v>
      </c>
      <c r="D1426" t="str">
        <f>TEST_DATA!D1426</f>
        <v>NON-NIL</v>
      </c>
      <c r="E1426">
        <f>TEST_DATA!E1426</f>
        <v>2585</v>
      </c>
      <c r="F1426">
        <f>MIN(E1426*142600,10000)</f>
        <v>10000</v>
      </c>
      <c r="G1426" t="e">
        <f ca="1">_xludf.MINIFS(CBIC_Late_Fee_Relief_Windows_1!$I$100:$I$1426,CBIC_Late_Fee_Relief_Windows_1!$D$100:$D$1426,"&lt;="&amp;B1426,CBIC_Late_Fee_Relief_Windows_1!$E$100:$E$1426,"&gt;="&amp;B1426,CBIC_Late_Fee_Relief_Windows_1!$F$100:$F$1426,"&lt;="&amp;C1426,CBIC_Late_Fee_Relief_Windows_1!$G$100:$G$1426,"&gt;="&amp;C1426,CBIC_Late_Fee_Relief_Windows_1!$H$100:$H$1426,D1426)</f>
        <v>#NAME?</v>
      </c>
      <c r="H1426" t="e">
        <f t="shared" ca="1" si="22"/>
        <v>#NAME?</v>
      </c>
      <c r="I1426" t="e">
        <f ca="1">INDEX(CBIC_Late_Fee_Relief_Windows_1!$B$100:$B$1426,MATCH(G1426,CBIC_Late_Fee_Relief_Windows_1!$I$100:$I$1426,0))</f>
        <v>#NAME?</v>
      </c>
    </row>
    <row r="1427" spans="1:9" x14ac:dyDescent="0.55000000000000004">
      <c r="A1427" t="str">
        <f>TEST_DATA!A1427</f>
        <v>27AAAAA1427Z5</v>
      </c>
      <c r="B1427" t="str">
        <f>TEST_DATA!B1427</f>
        <v>Apr-2020</v>
      </c>
      <c r="C1427">
        <f>TEST_DATA!C1427</f>
        <v>44659</v>
      </c>
      <c r="D1427" t="str">
        <f>TEST_DATA!D1427</f>
        <v>NIL</v>
      </c>
      <c r="E1427">
        <f>TEST_DATA!E1427</f>
        <v>324</v>
      </c>
      <c r="F1427">
        <f>MIN(E1427*142700,10000)</f>
        <v>10000</v>
      </c>
      <c r="G1427" t="e">
        <f ca="1">_xludf.MINIFS(CBIC_Late_Fee_Relief_Windows_1!$I$100:$I$1427,CBIC_Late_Fee_Relief_Windows_1!$D$100:$D$1427,"&lt;="&amp;B1427,CBIC_Late_Fee_Relief_Windows_1!$E$100:$E$1427,"&gt;="&amp;B1427,CBIC_Late_Fee_Relief_Windows_1!$F$100:$F$1427,"&lt;="&amp;C1427,CBIC_Late_Fee_Relief_Windows_1!$G$100:$G$1427,"&gt;="&amp;C1427,CBIC_Late_Fee_Relief_Windows_1!$H$100:$H$1427,D1427)</f>
        <v>#NAME?</v>
      </c>
      <c r="H1427" t="e">
        <f t="shared" ca="1" si="22"/>
        <v>#NAME?</v>
      </c>
      <c r="I1427" t="e">
        <f ca="1">INDEX(CBIC_Late_Fee_Relief_Windows_1!$B$100:$B$1427,MATCH(G1427,CBIC_Late_Fee_Relief_Windows_1!$I$100:$I$1427,0))</f>
        <v>#NAME?</v>
      </c>
    </row>
    <row r="1428" spans="1:9" x14ac:dyDescent="0.55000000000000004">
      <c r="A1428" t="str">
        <f>TEST_DATA!A1428</f>
        <v>27AAAAA1428Z5</v>
      </c>
      <c r="B1428" t="str">
        <f>TEST_DATA!B1428</f>
        <v>Dec-2017</v>
      </c>
      <c r="C1428">
        <f>TEST_DATA!C1428</f>
        <v>43620</v>
      </c>
      <c r="D1428" t="str">
        <f>TEST_DATA!D1428</f>
        <v>NIL</v>
      </c>
      <c r="E1428">
        <f>TEST_DATA!E1428</f>
        <v>1284</v>
      </c>
      <c r="F1428">
        <f>MIN(E1428*142800,10000)</f>
        <v>10000</v>
      </c>
      <c r="G1428" t="e">
        <f ca="1">_xludf.MINIFS(CBIC_Late_Fee_Relief_Windows_1!$I$100:$I$1428,CBIC_Late_Fee_Relief_Windows_1!$D$100:$D$1428,"&lt;="&amp;B1428,CBIC_Late_Fee_Relief_Windows_1!$E$100:$E$1428,"&gt;="&amp;B1428,CBIC_Late_Fee_Relief_Windows_1!$F$100:$F$1428,"&lt;="&amp;C1428,CBIC_Late_Fee_Relief_Windows_1!$G$100:$G$1428,"&gt;="&amp;C1428,CBIC_Late_Fee_Relief_Windows_1!$H$100:$H$1428,D1428)</f>
        <v>#NAME?</v>
      </c>
      <c r="H1428" t="e">
        <f t="shared" ca="1" si="22"/>
        <v>#NAME?</v>
      </c>
      <c r="I1428" t="e">
        <f ca="1">INDEX(CBIC_Late_Fee_Relief_Windows_1!$B$100:$B$1428,MATCH(G1428,CBIC_Late_Fee_Relief_Windows_1!$I$100:$I$1428,0))</f>
        <v>#NAME?</v>
      </c>
    </row>
    <row r="1429" spans="1:9" x14ac:dyDescent="0.55000000000000004">
      <c r="A1429" t="str">
        <f>TEST_DATA!A1429</f>
        <v>27AAAAA1429Z5</v>
      </c>
      <c r="B1429" t="str">
        <f>TEST_DATA!B1429</f>
        <v>May-2018</v>
      </c>
      <c r="C1429">
        <f>TEST_DATA!C1429</f>
        <v>44254</v>
      </c>
      <c r="D1429" t="str">
        <f>TEST_DATA!D1429</f>
        <v>NON-NIL</v>
      </c>
      <c r="E1429">
        <f>TEST_DATA!E1429</f>
        <v>2909</v>
      </c>
      <c r="F1429">
        <f>MIN(E1429*142900,10000)</f>
        <v>10000</v>
      </c>
      <c r="G1429" t="e">
        <f ca="1">_xludf.MINIFS(CBIC_Late_Fee_Relief_Windows_1!$I$100:$I$1429,CBIC_Late_Fee_Relief_Windows_1!$D$100:$D$1429,"&lt;="&amp;B1429,CBIC_Late_Fee_Relief_Windows_1!$E$100:$E$1429,"&gt;="&amp;B1429,CBIC_Late_Fee_Relief_Windows_1!$F$100:$F$1429,"&lt;="&amp;C1429,CBIC_Late_Fee_Relief_Windows_1!$G$100:$G$1429,"&gt;="&amp;C1429,CBIC_Late_Fee_Relief_Windows_1!$H$100:$H$1429,D1429)</f>
        <v>#NAME?</v>
      </c>
      <c r="H1429" t="e">
        <f t="shared" ca="1" si="22"/>
        <v>#NAME?</v>
      </c>
      <c r="I1429" t="e">
        <f ca="1">INDEX(CBIC_Late_Fee_Relief_Windows_1!$B$100:$B$1429,MATCH(G1429,CBIC_Late_Fee_Relief_Windows_1!$I$100:$I$1429,0))</f>
        <v>#NAME?</v>
      </c>
    </row>
    <row r="1430" spans="1:9" x14ac:dyDescent="0.55000000000000004">
      <c r="A1430" t="str">
        <f>TEST_DATA!A1430</f>
        <v>27AAAAA1430Z5</v>
      </c>
      <c r="B1430" t="str">
        <f>TEST_DATA!B1430</f>
        <v>Mar-2018</v>
      </c>
      <c r="C1430">
        <f>TEST_DATA!C1430</f>
        <v>44156</v>
      </c>
      <c r="D1430" t="str">
        <f>TEST_DATA!D1430</f>
        <v>NON-NIL</v>
      </c>
      <c r="E1430">
        <f>TEST_DATA!E1430</f>
        <v>1111</v>
      </c>
      <c r="F1430">
        <f>MIN(E1430*143000,10000)</f>
        <v>10000</v>
      </c>
      <c r="G1430" t="e">
        <f ca="1">_xludf.MINIFS(CBIC_Late_Fee_Relief_Windows_1!$I$100:$I$1430,CBIC_Late_Fee_Relief_Windows_1!$D$100:$D$1430,"&lt;="&amp;B1430,CBIC_Late_Fee_Relief_Windows_1!$E$100:$E$1430,"&gt;="&amp;B1430,CBIC_Late_Fee_Relief_Windows_1!$F$100:$F$1430,"&lt;="&amp;C1430,CBIC_Late_Fee_Relief_Windows_1!$G$100:$G$1430,"&gt;="&amp;C1430,CBIC_Late_Fee_Relief_Windows_1!$H$100:$H$1430,D1430)</f>
        <v>#NAME?</v>
      </c>
      <c r="H1430" t="e">
        <f t="shared" ca="1" si="22"/>
        <v>#NAME?</v>
      </c>
      <c r="I1430" t="e">
        <f ca="1">INDEX(CBIC_Late_Fee_Relief_Windows_1!$B$100:$B$1430,MATCH(G1430,CBIC_Late_Fee_Relief_Windows_1!$I$100:$I$1430,0))</f>
        <v>#NAME?</v>
      </c>
    </row>
    <row r="1431" spans="1:9" x14ac:dyDescent="0.55000000000000004">
      <c r="A1431" t="str">
        <f>TEST_DATA!A1431</f>
        <v>27AAAAA1431Z5</v>
      </c>
      <c r="B1431" t="str">
        <f>TEST_DATA!B1431</f>
        <v>Dec-2024</v>
      </c>
      <c r="C1431">
        <f>TEST_DATA!C1431</f>
        <v>45288</v>
      </c>
      <c r="D1431" t="str">
        <f>TEST_DATA!D1431</f>
        <v>NON-NIL</v>
      </c>
      <c r="E1431">
        <f>TEST_DATA!E1431</f>
        <v>2404</v>
      </c>
      <c r="F1431">
        <f>MIN(E1431*143100,10000)</f>
        <v>10000</v>
      </c>
      <c r="G1431" t="e">
        <f ca="1">_xludf.MINIFS(CBIC_Late_Fee_Relief_Windows_1!$I$100:$I$1431,CBIC_Late_Fee_Relief_Windows_1!$D$100:$D$1431,"&lt;="&amp;B1431,CBIC_Late_Fee_Relief_Windows_1!$E$100:$E$1431,"&gt;="&amp;B1431,CBIC_Late_Fee_Relief_Windows_1!$F$100:$F$1431,"&lt;="&amp;C1431,CBIC_Late_Fee_Relief_Windows_1!$G$100:$G$1431,"&gt;="&amp;C1431,CBIC_Late_Fee_Relief_Windows_1!$H$100:$H$1431,D1431)</f>
        <v>#NAME?</v>
      </c>
      <c r="H1431" t="e">
        <f t="shared" ca="1" si="22"/>
        <v>#NAME?</v>
      </c>
      <c r="I1431" t="e">
        <f ca="1">INDEX(CBIC_Late_Fee_Relief_Windows_1!$B$100:$B$1431,MATCH(G1431,CBIC_Late_Fee_Relief_Windows_1!$I$100:$I$1431,0))</f>
        <v>#NAME?</v>
      </c>
    </row>
    <row r="1432" spans="1:9" x14ac:dyDescent="0.55000000000000004">
      <c r="A1432" t="str">
        <f>TEST_DATA!A1432</f>
        <v>27AAAAA1432Z5</v>
      </c>
      <c r="B1432" t="str">
        <f>TEST_DATA!B1432</f>
        <v>Jun-2019</v>
      </c>
      <c r="C1432">
        <f>TEST_DATA!C1432</f>
        <v>45310</v>
      </c>
      <c r="D1432" t="str">
        <f>TEST_DATA!D1432</f>
        <v>NON-NIL</v>
      </c>
      <c r="E1432">
        <f>TEST_DATA!E1432</f>
        <v>685</v>
      </c>
      <c r="F1432">
        <f>MIN(E1432*143200,10000)</f>
        <v>10000</v>
      </c>
      <c r="G1432" t="e">
        <f ca="1">_xludf.MINIFS(CBIC_Late_Fee_Relief_Windows_1!$I$100:$I$1432,CBIC_Late_Fee_Relief_Windows_1!$D$100:$D$1432,"&lt;="&amp;B1432,CBIC_Late_Fee_Relief_Windows_1!$E$100:$E$1432,"&gt;="&amp;B1432,CBIC_Late_Fee_Relief_Windows_1!$F$100:$F$1432,"&lt;="&amp;C1432,CBIC_Late_Fee_Relief_Windows_1!$G$100:$G$1432,"&gt;="&amp;C1432,CBIC_Late_Fee_Relief_Windows_1!$H$100:$H$1432,D1432)</f>
        <v>#NAME?</v>
      </c>
      <c r="H1432" t="e">
        <f t="shared" ca="1" si="22"/>
        <v>#NAME?</v>
      </c>
      <c r="I1432" t="e">
        <f ca="1">INDEX(CBIC_Late_Fee_Relief_Windows_1!$B$100:$B$1432,MATCH(G1432,CBIC_Late_Fee_Relief_Windows_1!$I$100:$I$1432,0))</f>
        <v>#NAME?</v>
      </c>
    </row>
    <row r="1433" spans="1:9" x14ac:dyDescent="0.55000000000000004">
      <c r="A1433" t="str">
        <f>TEST_DATA!A1433</f>
        <v>27AAAAA1433Z5</v>
      </c>
      <c r="B1433" t="str">
        <f>TEST_DATA!B1433</f>
        <v>Dec-2017</v>
      </c>
      <c r="C1433">
        <f>TEST_DATA!C1433</f>
        <v>42964</v>
      </c>
      <c r="D1433" t="str">
        <f>TEST_DATA!D1433</f>
        <v>NIL</v>
      </c>
      <c r="E1433">
        <f>TEST_DATA!E1433</f>
        <v>2980</v>
      </c>
      <c r="F1433">
        <f>MIN(E1433*143300,10000)</f>
        <v>10000</v>
      </c>
      <c r="G1433" t="e">
        <f ca="1">_xludf.MINIFS(CBIC_Late_Fee_Relief_Windows_1!$I$100:$I$1433,CBIC_Late_Fee_Relief_Windows_1!$D$100:$D$1433,"&lt;="&amp;B1433,CBIC_Late_Fee_Relief_Windows_1!$E$100:$E$1433,"&gt;="&amp;B1433,CBIC_Late_Fee_Relief_Windows_1!$F$100:$F$1433,"&lt;="&amp;C1433,CBIC_Late_Fee_Relief_Windows_1!$G$100:$G$1433,"&gt;="&amp;C1433,CBIC_Late_Fee_Relief_Windows_1!$H$100:$H$1433,D1433)</f>
        <v>#NAME?</v>
      </c>
      <c r="H1433" t="e">
        <f t="shared" ca="1" si="22"/>
        <v>#NAME?</v>
      </c>
      <c r="I1433" t="e">
        <f ca="1">INDEX(CBIC_Late_Fee_Relief_Windows_1!$B$100:$B$1433,MATCH(G1433,CBIC_Late_Fee_Relief_Windows_1!$I$100:$I$1433,0))</f>
        <v>#NAME?</v>
      </c>
    </row>
    <row r="1434" spans="1:9" x14ac:dyDescent="0.55000000000000004">
      <c r="A1434" t="str">
        <f>TEST_DATA!A1434</f>
        <v>27AAAAA1434Z5</v>
      </c>
      <c r="B1434" t="str">
        <f>TEST_DATA!B1434</f>
        <v>Feb-2018</v>
      </c>
      <c r="C1434">
        <f>TEST_DATA!C1434</f>
        <v>44272</v>
      </c>
      <c r="D1434" t="str">
        <f>TEST_DATA!D1434</f>
        <v>NON-NIL</v>
      </c>
      <c r="E1434">
        <f>TEST_DATA!E1434</f>
        <v>2870</v>
      </c>
      <c r="F1434">
        <f>MIN(E1434*143400,10000)</f>
        <v>10000</v>
      </c>
      <c r="G1434" t="e">
        <f ca="1">_xludf.MINIFS(CBIC_Late_Fee_Relief_Windows_1!$I$100:$I$1434,CBIC_Late_Fee_Relief_Windows_1!$D$100:$D$1434,"&lt;="&amp;B1434,CBIC_Late_Fee_Relief_Windows_1!$E$100:$E$1434,"&gt;="&amp;B1434,CBIC_Late_Fee_Relief_Windows_1!$F$100:$F$1434,"&lt;="&amp;C1434,CBIC_Late_Fee_Relief_Windows_1!$G$100:$G$1434,"&gt;="&amp;C1434,CBIC_Late_Fee_Relief_Windows_1!$H$100:$H$1434,D1434)</f>
        <v>#NAME?</v>
      </c>
      <c r="H1434" t="e">
        <f t="shared" ca="1" si="22"/>
        <v>#NAME?</v>
      </c>
      <c r="I1434" t="e">
        <f ca="1">INDEX(CBIC_Late_Fee_Relief_Windows_1!$B$100:$B$1434,MATCH(G1434,CBIC_Late_Fee_Relief_Windows_1!$I$100:$I$1434,0))</f>
        <v>#NAME?</v>
      </c>
    </row>
    <row r="1435" spans="1:9" x14ac:dyDescent="0.55000000000000004">
      <c r="A1435" t="str">
        <f>TEST_DATA!A1435</f>
        <v>27AAAAA1435Z5</v>
      </c>
      <c r="B1435" t="str">
        <f>TEST_DATA!B1435</f>
        <v>Jan-2021</v>
      </c>
      <c r="C1435">
        <f>TEST_DATA!C1435</f>
        <v>43793</v>
      </c>
      <c r="D1435" t="str">
        <f>TEST_DATA!D1435</f>
        <v>NIL</v>
      </c>
      <c r="E1435">
        <f>TEST_DATA!E1435</f>
        <v>683</v>
      </c>
      <c r="F1435">
        <f>MIN(E1435*143500,10000)</f>
        <v>10000</v>
      </c>
      <c r="G1435" t="e">
        <f ca="1">_xludf.MINIFS(CBIC_Late_Fee_Relief_Windows_1!$I$100:$I$1435,CBIC_Late_Fee_Relief_Windows_1!$D$100:$D$1435,"&lt;="&amp;B1435,CBIC_Late_Fee_Relief_Windows_1!$E$100:$E$1435,"&gt;="&amp;B1435,CBIC_Late_Fee_Relief_Windows_1!$F$100:$F$1435,"&lt;="&amp;C1435,CBIC_Late_Fee_Relief_Windows_1!$G$100:$G$1435,"&gt;="&amp;C1435,CBIC_Late_Fee_Relief_Windows_1!$H$100:$H$1435,D1435)</f>
        <v>#NAME?</v>
      </c>
      <c r="H1435" t="e">
        <f t="shared" ca="1" si="22"/>
        <v>#NAME?</v>
      </c>
      <c r="I1435" t="e">
        <f ca="1">INDEX(CBIC_Late_Fee_Relief_Windows_1!$B$100:$B$1435,MATCH(G1435,CBIC_Late_Fee_Relief_Windows_1!$I$100:$I$1435,0))</f>
        <v>#NAME?</v>
      </c>
    </row>
    <row r="1436" spans="1:9" x14ac:dyDescent="0.55000000000000004">
      <c r="A1436" t="str">
        <f>TEST_DATA!A1436</f>
        <v>27AAAAA1436Z5</v>
      </c>
      <c r="B1436" t="str">
        <f>TEST_DATA!B1436</f>
        <v>Jul-2018</v>
      </c>
      <c r="C1436">
        <f>TEST_DATA!C1436</f>
        <v>43127</v>
      </c>
      <c r="D1436" t="str">
        <f>TEST_DATA!D1436</f>
        <v>NIL</v>
      </c>
      <c r="E1436">
        <f>TEST_DATA!E1436</f>
        <v>261</v>
      </c>
      <c r="F1436">
        <f>MIN(E1436*143600,10000)</f>
        <v>10000</v>
      </c>
      <c r="G1436" t="e">
        <f ca="1">_xludf.MINIFS(CBIC_Late_Fee_Relief_Windows_1!$I$100:$I$1436,CBIC_Late_Fee_Relief_Windows_1!$D$100:$D$1436,"&lt;="&amp;B1436,CBIC_Late_Fee_Relief_Windows_1!$E$100:$E$1436,"&gt;="&amp;B1436,CBIC_Late_Fee_Relief_Windows_1!$F$100:$F$1436,"&lt;="&amp;C1436,CBIC_Late_Fee_Relief_Windows_1!$G$100:$G$1436,"&gt;="&amp;C1436,CBIC_Late_Fee_Relief_Windows_1!$H$100:$H$1436,D1436)</f>
        <v>#NAME?</v>
      </c>
      <c r="H1436" t="e">
        <f t="shared" ca="1" si="22"/>
        <v>#NAME?</v>
      </c>
      <c r="I1436" t="e">
        <f ca="1">INDEX(CBIC_Late_Fee_Relief_Windows_1!$B$100:$B$1436,MATCH(G1436,CBIC_Late_Fee_Relief_Windows_1!$I$100:$I$1436,0))</f>
        <v>#NAME?</v>
      </c>
    </row>
    <row r="1437" spans="1:9" x14ac:dyDescent="0.55000000000000004">
      <c r="A1437" t="str">
        <f>TEST_DATA!A1437</f>
        <v>27AAAAA1437Z5</v>
      </c>
      <c r="B1437" t="str">
        <f>TEST_DATA!B1437</f>
        <v>Dec-2024</v>
      </c>
      <c r="C1437">
        <f>TEST_DATA!C1437</f>
        <v>45404</v>
      </c>
      <c r="D1437" t="str">
        <f>TEST_DATA!D1437</f>
        <v>NIL</v>
      </c>
      <c r="E1437">
        <f>TEST_DATA!E1437</f>
        <v>107</v>
      </c>
      <c r="F1437">
        <f>MIN(E1437*143700,10000)</f>
        <v>10000</v>
      </c>
      <c r="G1437" t="e">
        <f ca="1">_xludf.MINIFS(CBIC_Late_Fee_Relief_Windows_1!$I$100:$I$1437,CBIC_Late_Fee_Relief_Windows_1!$D$100:$D$1437,"&lt;="&amp;B1437,CBIC_Late_Fee_Relief_Windows_1!$E$100:$E$1437,"&gt;="&amp;B1437,CBIC_Late_Fee_Relief_Windows_1!$F$100:$F$1437,"&lt;="&amp;C1437,CBIC_Late_Fee_Relief_Windows_1!$G$100:$G$1437,"&gt;="&amp;C1437,CBIC_Late_Fee_Relief_Windows_1!$H$100:$H$1437,D1437)</f>
        <v>#NAME?</v>
      </c>
      <c r="H1437" t="e">
        <f t="shared" ca="1" si="22"/>
        <v>#NAME?</v>
      </c>
      <c r="I1437" t="e">
        <f ca="1">INDEX(CBIC_Late_Fee_Relief_Windows_1!$B$100:$B$1437,MATCH(G1437,CBIC_Late_Fee_Relief_Windows_1!$I$100:$I$1437,0))</f>
        <v>#NAME?</v>
      </c>
    </row>
    <row r="1438" spans="1:9" x14ac:dyDescent="0.55000000000000004">
      <c r="A1438" t="str">
        <f>TEST_DATA!A1438</f>
        <v>27AAAAA1438Z5</v>
      </c>
      <c r="B1438" t="str">
        <f>TEST_DATA!B1438</f>
        <v>Mar-2021</v>
      </c>
      <c r="C1438">
        <f>TEST_DATA!C1438</f>
        <v>45092</v>
      </c>
      <c r="D1438" t="str">
        <f>TEST_DATA!D1438</f>
        <v>NIL</v>
      </c>
      <c r="E1438">
        <f>TEST_DATA!E1438</f>
        <v>425</v>
      </c>
      <c r="F1438">
        <f>MIN(E1438*143800,10000)</f>
        <v>10000</v>
      </c>
      <c r="G1438" t="e">
        <f ca="1">_xludf.MINIFS(CBIC_Late_Fee_Relief_Windows_1!$I$100:$I$1438,CBIC_Late_Fee_Relief_Windows_1!$D$100:$D$1438,"&lt;="&amp;B1438,CBIC_Late_Fee_Relief_Windows_1!$E$100:$E$1438,"&gt;="&amp;B1438,CBIC_Late_Fee_Relief_Windows_1!$F$100:$F$1438,"&lt;="&amp;C1438,CBIC_Late_Fee_Relief_Windows_1!$G$100:$G$1438,"&gt;="&amp;C1438,CBIC_Late_Fee_Relief_Windows_1!$H$100:$H$1438,D1438)</f>
        <v>#NAME?</v>
      </c>
      <c r="H1438" t="e">
        <f t="shared" ca="1" si="22"/>
        <v>#NAME?</v>
      </c>
      <c r="I1438" t="e">
        <f ca="1">INDEX(CBIC_Late_Fee_Relief_Windows_1!$B$100:$B$1438,MATCH(G1438,CBIC_Late_Fee_Relief_Windows_1!$I$100:$I$1438,0))</f>
        <v>#NAME?</v>
      </c>
    </row>
    <row r="1439" spans="1:9" x14ac:dyDescent="0.55000000000000004">
      <c r="A1439" t="str">
        <f>TEST_DATA!A1439</f>
        <v>27AAAAA1439Z5</v>
      </c>
      <c r="B1439" t="str">
        <f>TEST_DATA!B1439</f>
        <v>Mar-2018</v>
      </c>
      <c r="C1439">
        <f>TEST_DATA!C1439</f>
        <v>44182</v>
      </c>
      <c r="D1439" t="str">
        <f>TEST_DATA!D1439</f>
        <v>NIL</v>
      </c>
      <c r="E1439">
        <f>TEST_DATA!E1439</f>
        <v>345</v>
      </c>
      <c r="F1439">
        <f>MIN(E1439*143900,10000)</f>
        <v>10000</v>
      </c>
      <c r="G1439" t="e">
        <f ca="1">_xludf.MINIFS(CBIC_Late_Fee_Relief_Windows_1!$I$100:$I$1439,CBIC_Late_Fee_Relief_Windows_1!$D$100:$D$1439,"&lt;="&amp;B1439,CBIC_Late_Fee_Relief_Windows_1!$E$100:$E$1439,"&gt;="&amp;B1439,CBIC_Late_Fee_Relief_Windows_1!$F$100:$F$1439,"&lt;="&amp;C1439,CBIC_Late_Fee_Relief_Windows_1!$G$100:$G$1439,"&gt;="&amp;C1439,CBIC_Late_Fee_Relief_Windows_1!$H$100:$H$1439,D1439)</f>
        <v>#NAME?</v>
      </c>
      <c r="H1439" t="e">
        <f t="shared" ca="1" si="22"/>
        <v>#NAME?</v>
      </c>
      <c r="I1439" t="e">
        <f ca="1">INDEX(CBIC_Late_Fee_Relief_Windows_1!$B$100:$B$1439,MATCH(G1439,CBIC_Late_Fee_Relief_Windows_1!$I$100:$I$1439,0))</f>
        <v>#NAME?</v>
      </c>
    </row>
    <row r="1440" spans="1:9" x14ac:dyDescent="0.55000000000000004">
      <c r="A1440" t="str">
        <f>TEST_DATA!A1440</f>
        <v>27AAAAA1440Z5</v>
      </c>
      <c r="B1440" t="str">
        <f>TEST_DATA!B1440</f>
        <v>May-2020</v>
      </c>
      <c r="C1440">
        <f>TEST_DATA!C1440</f>
        <v>44629</v>
      </c>
      <c r="D1440" t="str">
        <f>TEST_DATA!D1440</f>
        <v>NON-NIL</v>
      </c>
      <c r="E1440">
        <f>TEST_DATA!E1440</f>
        <v>939</v>
      </c>
      <c r="F1440">
        <f>MIN(E1440*144000,10000)</f>
        <v>10000</v>
      </c>
      <c r="G1440" t="e">
        <f ca="1">_xludf.MINIFS(CBIC_Late_Fee_Relief_Windows_1!$I$100:$I$1440,CBIC_Late_Fee_Relief_Windows_1!$D$100:$D$1440,"&lt;="&amp;B1440,CBIC_Late_Fee_Relief_Windows_1!$E$100:$E$1440,"&gt;="&amp;B1440,CBIC_Late_Fee_Relief_Windows_1!$F$100:$F$1440,"&lt;="&amp;C1440,CBIC_Late_Fee_Relief_Windows_1!$G$100:$G$1440,"&gt;="&amp;C1440,CBIC_Late_Fee_Relief_Windows_1!$H$100:$H$1440,D1440)</f>
        <v>#NAME?</v>
      </c>
      <c r="H1440" t="e">
        <f t="shared" ca="1" si="22"/>
        <v>#NAME?</v>
      </c>
      <c r="I1440" t="e">
        <f ca="1">INDEX(CBIC_Late_Fee_Relief_Windows_1!$B$100:$B$1440,MATCH(G1440,CBIC_Late_Fee_Relief_Windows_1!$I$100:$I$1440,0))</f>
        <v>#NAME?</v>
      </c>
    </row>
    <row r="1441" spans="1:9" x14ac:dyDescent="0.55000000000000004">
      <c r="A1441" t="str">
        <f>TEST_DATA!A1441</f>
        <v>27AAAAA1441Z5</v>
      </c>
      <c r="B1441" t="str">
        <f>TEST_DATA!B1441</f>
        <v>Feb-2018</v>
      </c>
      <c r="C1441">
        <f>TEST_DATA!C1441</f>
        <v>44427</v>
      </c>
      <c r="D1441" t="str">
        <f>TEST_DATA!D1441</f>
        <v>NON-NIL</v>
      </c>
      <c r="E1441">
        <f>TEST_DATA!E1441</f>
        <v>1815</v>
      </c>
      <c r="F1441">
        <f>MIN(E1441*144100,10000)</f>
        <v>10000</v>
      </c>
      <c r="G1441" t="e">
        <f ca="1">_xludf.MINIFS(CBIC_Late_Fee_Relief_Windows_1!$I$100:$I$1441,CBIC_Late_Fee_Relief_Windows_1!$D$100:$D$1441,"&lt;="&amp;B1441,CBIC_Late_Fee_Relief_Windows_1!$E$100:$E$1441,"&gt;="&amp;B1441,CBIC_Late_Fee_Relief_Windows_1!$F$100:$F$1441,"&lt;="&amp;C1441,CBIC_Late_Fee_Relief_Windows_1!$G$100:$G$1441,"&gt;="&amp;C1441,CBIC_Late_Fee_Relief_Windows_1!$H$100:$H$1441,D1441)</f>
        <v>#NAME?</v>
      </c>
      <c r="H1441" t="e">
        <f t="shared" ca="1" si="22"/>
        <v>#NAME?</v>
      </c>
      <c r="I1441" t="e">
        <f ca="1">INDEX(CBIC_Late_Fee_Relief_Windows_1!$B$100:$B$1441,MATCH(G1441,CBIC_Late_Fee_Relief_Windows_1!$I$100:$I$1441,0))</f>
        <v>#NAME?</v>
      </c>
    </row>
    <row r="1442" spans="1:9" x14ac:dyDescent="0.55000000000000004">
      <c r="A1442" t="str">
        <f>TEST_DATA!A1442</f>
        <v>27AAAAA1442Z5</v>
      </c>
      <c r="B1442" t="str">
        <f>TEST_DATA!B1442</f>
        <v>May-2020</v>
      </c>
      <c r="C1442">
        <f>TEST_DATA!C1442</f>
        <v>44089</v>
      </c>
      <c r="D1442" t="str">
        <f>TEST_DATA!D1442</f>
        <v>NIL</v>
      </c>
      <c r="E1442">
        <f>TEST_DATA!E1442</f>
        <v>2157</v>
      </c>
      <c r="F1442">
        <f>MIN(E1442*144200,10000)</f>
        <v>10000</v>
      </c>
      <c r="G1442" t="e">
        <f ca="1">_xludf.MINIFS(CBIC_Late_Fee_Relief_Windows_1!$I$100:$I$1442,CBIC_Late_Fee_Relief_Windows_1!$D$100:$D$1442,"&lt;="&amp;B1442,CBIC_Late_Fee_Relief_Windows_1!$E$100:$E$1442,"&gt;="&amp;B1442,CBIC_Late_Fee_Relief_Windows_1!$F$100:$F$1442,"&lt;="&amp;C1442,CBIC_Late_Fee_Relief_Windows_1!$G$100:$G$1442,"&gt;="&amp;C1442,CBIC_Late_Fee_Relief_Windows_1!$H$100:$H$1442,D1442)</f>
        <v>#NAME?</v>
      </c>
      <c r="H1442" t="e">
        <f t="shared" ca="1" si="22"/>
        <v>#NAME?</v>
      </c>
      <c r="I1442" t="e">
        <f ca="1">INDEX(CBIC_Late_Fee_Relief_Windows_1!$B$100:$B$1442,MATCH(G1442,CBIC_Late_Fee_Relief_Windows_1!$I$100:$I$1442,0))</f>
        <v>#NAME?</v>
      </c>
    </row>
    <row r="1443" spans="1:9" x14ac:dyDescent="0.55000000000000004">
      <c r="A1443" t="str">
        <f>TEST_DATA!A1443</f>
        <v>27AAAAA1443Z5</v>
      </c>
      <c r="B1443" t="str">
        <f>TEST_DATA!B1443</f>
        <v>Dec-2022</v>
      </c>
      <c r="C1443">
        <f>TEST_DATA!C1443</f>
        <v>44164</v>
      </c>
      <c r="D1443" t="str">
        <f>TEST_DATA!D1443</f>
        <v>NIL</v>
      </c>
      <c r="E1443">
        <f>TEST_DATA!E1443</f>
        <v>143</v>
      </c>
      <c r="F1443">
        <f>MIN(E1443*144300,10000)</f>
        <v>10000</v>
      </c>
      <c r="G1443" t="e">
        <f ca="1">_xludf.MINIFS(CBIC_Late_Fee_Relief_Windows_1!$I$100:$I$1443,CBIC_Late_Fee_Relief_Windows_1!$D$100:$D$1443,"&lt;="&amp;B1443,CBIC_Late_Fee_Relief_Windows_1!$E$100:$E$1443,"&gt;="&amp;B1443,CBIC_Late_Fee_Relief_Windows_1!$F$100:$F$1443,"&lt;="&amp;C1443,CBIC_Late_Fee_Relief_Windows_1!$G$100:$G$1443,"&gt;="&amp;C1443,CBIC_Late_Fee_Relief_Windows_1!$H$100:$H$1443,D1443)</f>
        <v>#NAME?</v>
      </c>
      <c r="H1443" t="e">
        <f t="shared" ca="1" si="22"/>
        <v>#NAME?</v>
      </c>
      <c r="I1443" t="e">
        <f ca="1">INDEX(CBIC_Late_Fee_Relief_Windows_1!$B$100:$B$1443,MATCH(G1443,CBIC_Late_Fee_Relief_Windows_1!$I$100:$I$1443,0))</f>
        <v>#NAME?</v>
      </c>
    </row>
    <row r="1444" spans="1:9" x14ac:dyDescent="0.55000000000000004">
      <c r="A1444" t="str">
        <f>TEST_DATA!A1444</f>
        <v>27AAAAA1444Z5</v>
      </c>
      <c r="B1444" t="str">
        <f>TEST_DATA!B1444</f>
        <v>Jun-2020</v>
      </c>
      <c r="C1444">
        <f>TEST_DATA!C1444</f>
        <v>44561</v>
      </c>
      <c r="D1444" t="str">
        <f>TEST_DATA!D1444</f>
        <v>NON-NIL</v>
      </c>
      <c r="E1444">
        <f>TEST_DATA!E1444</f>
        <v>1950</v>
      </c>
      <c r="F1444">
        <f>MIN(E1444*144400,10000)</f>
        <v>10000</v>
      </c>
      <c r="G1444" t="e">
        <f ca="1">_xludf.MINIFS(CBIC_Late_Fee_Relief_Windows_1!$I$100:$I$1444,CBIC_Late_Fee_Relief_Windows_1!$D$100:$D$1444,"&lt;="&amp;B1444,CBIC_Late_Fee_Relief_Windows_1!$E$100:$E$1444,"&gt;="&amp;B1444,CBIC_Late_Fee_Relief_Windows_1!$F$100:$F$1444,"&lt;="&amp;C1444,CBIC_Late_Fee_Relief_Windows_1!$G$100:$G$1444,"&gt;="&amp;C1444,CBIC_Late_Fee_Relief_Windows_1!$H$100:$H$1444,D1444)</f>
        <v>#NAME?</v>
      </c>
      <c r="H1444" t="e">
        <f t="shared" ca="1" si="22"/>
        <v>#NAME?</v>
      </c>
      <c r="I1444" t="e">
        <f ca="1">INDEX(CBIC_Late_Fee_Relief_Windows_1!$B$100:$B$1444,MATCH(G1444,CBIC_Late_Fee_Relief_Windows_1!$I$100:$I$1444,0))</f>
        <v>#NAME?</v>
      </c>
    </row>
    <row r="1445" spans="1:9" x14ac:dyDescent="0.55000000000000004">
      <c r="A1445" t="str">
        <f>TEST_DATA!A1445</f>
        <v>27AAAAA1445Z5</v>
      </c>
      <c r="B1445" t="str">
        <f>TEST_DATA!B1445</f>
        <v>Sep-2018</v>
      </c>
      <c r="C1445">
        <f>TEST_DATA!C1445</f>
        <v>44024</v>
      </c>
      <c r="D1445" t="str">
        <f>TEST_DATA!D1445</f>
        <v>NON-NIL</v>
      </c>
      <c r="E1445">
        <f>TEST_DATA!E1445</f>
        <v>2246</v>
      </c>
      <c r="F1445">
        <f>MIN(E1445*144500,10000)</f>
        <v>10000</v>
      </c>
      <c r="G1445" t="e">
        <f ca="1">_xludf.MINIFS(CBIC_Late_Fee_Relief_Windows_1!$I$100:$I$1445,CBIC_Late_Fee_Relief_Windows_1!$D$100:$D$1445,"&lt;="&amp;B1445,CBIC_Late_Fee_Relief_Windows_1!$E$100:$E$1445,"&gt;="&amp;B1445,CBIC_Late_Fee_Relief_Windows_1!$F$100:$F$1445,"&lt;="&amp;C1445,CBIC_Late_Fee_Relief_Windows_1!$G$100:$G$1445,"&gt;="&amp;C1445,CBIC_Late_Fee_Relief_Windows_1!$H$100:$H$1445,D1445)</f>
        <v>#NAME?</v>
      </c>
      <c r="H1445" t="e">
        <f t="shared" ca="1" si="22"/>
        <v>#NAME?</v>
      </c>
      <c r="I1445" t="e">
        <f ca="1">INDEX(CBIC_Late_Fee_Relief_Windows_1!$B$100:$B$1445,MATCH(G1445,CBIC_Late_Fee_Relief_Windows_1!$I$100:$I$1445,0))</f>
        <v>#NAME?</v>
      </c>
    </row>
    <row r="1446" spans="1:9" x14ac:dyDescent="0.55000000000000004">
      <c r="A1446" t="str">
        <f>TEST_DATA!A1446</f>
        <v>27AAAAA1446Z5</v>
      </c>
      <c r="B1446" t="str">
        <f>TEST_DATA!B1446</f>
        <v>Sep-2018</v>
      </c>
      <c r="C1446">
        <f>TEST_DATA!C1446</f>
        <v>43193</v>
      </c>
      <c r="D1446" t="str">
        <f>TEST_DATA!D1446</f>
        <v>NIL</v>
      </c>
      <c r="E1446">
        <f>TEST_DATA!E1446</f>
        <v>2420</v>
      </c>
      <c r="F1446">
        <f>MIN(E1446*144600,10000)</f>
        <v>10000</v>
      </c>
      <c r="G1446" t="e">
        <f ca="1">_xludf.MINIFS(CBIC_Late_Fee_Relief_Windows_1!$I$100:$I$1446,CBIC_Late_Fee_Relief_Windows_1!$D$100:$D$1446,"&lt;="&amp;B1446,CBIC_Late_Fee_Relief_Windows_1!$E$100:$E$1446,"&gt;="&amp;B1446,CBIC_Late_Fee_Relief_Windows_1!$F$100:$F$1446,"&lt;="&amp;C1446,CBIC_Late_Fee_Relief_Windows_1!$G$100:$G$1446,"&gt;="&amp;C1446,CBIC_Late_Fee_Relief_Windows_1!$H$100:$H$1446,D1446)</f>
        <v>#NAME?</v>
      </c>
      <c r="H1446" t="e">
        <f t="shared" ca="1" si="22"/>
        <v>#NAME?</v>
      </c>
      <c r="I1446" t="e">
        <f ca="1">INDEX(CBIC_Late_Fee_Relief_Windows_1!$B$100:$B$1446,MATCH(G1446,CBIC_Late_Fee_Relief_Windows_1!$I$100:$I$1446,0))</f>
        <v>#NAME?</v>
      </c>
    </row>
    <row r="1447" spans="1:9" x14ac:dyDescent="0.55000000000000004">
      <c r="A1447" t="str">
        <f>TEST_DATA!A1447</f>
        <v>27AAAAA1447Z5</v>
      </c>
      <c r="B1447" t="str">
        <f>TEST_DATA!B1447</f>
        <v>Apr-2020</v>
      </c>
      <c r="C1447">
        <f>TEST_DATA!C1447</f>
        <v>44766</v>
      </c>
      <c r="D1447" t="str">
        <f>TEST_DATA!D1447</f>
        <v>NON-NIL</v>
      </c>
      <c r="E1447">
        <f>TEST_DATA!E1447</f>
        <v>2144</v>
      </c>
      <c r="F1447">
        <f>MIN(E1447*144700,10000)</f>
        <v>10000</v>
      </c>
      <c r="G1447" t="e">
        <f ca="1">_xludf.MINIFS(CBIC_Late_Fee_Relief_Windows_1!$I$100:$I$1447,CBIC_Late_Fee_Relief_Windows_1!$D$100:$D$1447,"&lt;="&amp;B1447,CBIC_Late_Fee_Relief_Windows_1!$E$100:$E$1447,"&gt;="&amp;B1447,CBIC_Late_Fee_Relief_Windows_1!$F$100:$F$1447,"&lt;="&amp;C1447,CBIC_Late_Fee_Relief_Windows_1!$G$100:$G$1447,"&gt;="&amp;C1447,CBIC_Late_Fee_Relief_Windows_1!$H$100:$H$1447,D1447)</f>
        <v>#NAME?</v>
      </c>
      <c r="H1447" t="e">
        <f t="shared" ca="1" si="22"/>
        <v>#NAME?</v>
      </c>
      <c r="I1447" t="e">
        <f ca="1">INDEX(CBIC_Late_Fee_Relief_Windows_1!$B$100:$B$1447,MATCH(G1447,CBIC_Late_Fee_Relief_Windows_1!$I$100:$I$1447,0))</f>
        <v>#NAME?</v>
      </c>
    </row>
    <row r="1448" spans="1:9" x14ac:dyDescent="0.55000000000000004">
      <c r="A1448" t="str">
        <f>TEST_DATA!A1448</f>
        <v>27AAAAA1448Z5</v>
      </c>
      <c r="B1448" t="str">
        <f>TEST_DATA!B1448</f>
        <v>May-2020</v>
      </c>
      <c r="C1448">
        <f>TEST_DATA!C1448</f>
        <v>44924</v>
      </c>
      <c r="D1448" t="str">
        <f>TEST_DATA!D1448</f>
        <v>NON-NIL</v>
      </c>
      <c r="E1448">
        <f>TEST_DATA!E1448</f>
        <v>1422</v>
      </c>
      <c r="F1448">
        <f>MIN(E1448*144800,10000)</f>
        <v>10000</v>
      </c>
      <c r="G1448" t="e">
        <f ca="1">_xludf.MINIFS(CBIC_Late_Fee_Relief_Windows_1!$I$100:$I$1448,CBIC_Late_Fee_Relief_Windows_1!$D$100:$D$1448,"&lt;="&amp;B1448,CBIC_Late_Fee_Relief_Windows_1!$E$100:$E$1448,"&gt;="&amp;B1448,CBIC_Late_Fee_Relief_Windows_1!$F$100:$F$1448,"&lt;="&amp;C1448,CBIC_Late_Fee_Relief_Windows_1!$G$100:$G$1448,"&gt;="&amp;C1448,CBIC_Late_Fee_Relief_Windows_1!$H$100:$H$1448,D1448)</f>
        <v>#NAME?</v>
      </c>
      <c r="H1448" t="e">
        <f t="shared" ca="1" si="22"/>
        <v>#NAME?</v>
      </c>
      <c r="I1448" t="e">
        <f ca="1">INDEX(CBIC_Late_Fee_Relief_Windows_1!$B$100:$B$1448,MATCH(G1448,CBIC_Late_Fee_Relief_Windows_1!$I$100:$I$1448,0))</f>
        <v>#NAME?</v>
      </c>
    </row>
    <row r="1449" spans="1:9" x14ac:dyDescent="0.55000000000000004">
      <c r="A1449" t="str">
        <f>TEST_DATA!A1449</f>
        <v>27AAAAA1449Z5</v>
      </c>
      <c r="B1449" t="str">
        <f>TEST_DATA!B1449</f>
        <v>Jan-2019</v>
      </c>
      <c r="C1449">
        <f>TEST_DATA!C1449</f>
        <v>45676</v>
      </c>
      <c r="D1449" t="str">
        <f>TEST_DATA!D1449</f>
        <v>NIL</v>
      </c>
      <c r="E1449">
        <f>TEST_DATA!E1449</f>
        <v>366</v>
      </c>
      <c r="F1449">
        <f>MIN(E1449*144900,10000)</f>
        <v>10000</v>
      </c>
      <c r="G1449" t="e">
        <f ca="1">_xludf.MINIFS(CBIC_Late_Fee_Relief_Windows_1!$I$100:$I$1449,CBIC_Late_Fee_Relief_Windows_1!$D$100:$D$1449,"&lt;="&amp;B1449,CBIC_Late_Fee_Relief_Windows_1!$E$100:$E$1449,"&gt;="&amp;B1449,CBIC_Late_Fee_Relief_Windows_1!$F$100:$F$1449,"&lt;="&amp;C1449,CBIC_Late_Fee_Relief_Windows_1!$G$100:$G$1449,"&gt;="&amp;C1449,CBIC_Late_Fee_Relief_Windows_1!$H$100:$H$1449,D1449)</f>
        <v>#NAME?</v>
      </c>
      <c r="H1449" t="e">
        <f t="shared" ca="1" si="22"/>
        <v>#NAME?</v>
      </c>
      <c r="I1449" t="e">
        <f ca="1">INDEX(CBIC_Late_Fee_Relief_Windows_1!$B$100:$B$1449,MATCH(G1449,CBIC_Late_Fee_Relief_Windows_1!$I$100:$I$1449,0))</f>
        <v>#NAME?</v>
      </c>
    </row>
    <row r="1450" spans="1:9" x14ac:dyDescent="0.55000000000000004">
      <c r="A1450" t="str">
        <f>TEST_DATA!A1450</f>
        <v>27AAAAA1450Z5</v>
      </c>
      <c r="B1450" t="str">
        <f>TEST_DATA!B1450</f>
        <v>Sep-2018</v>
      </c>
      <c r="C1450">
        <f>TEST_DATA!C1450</f>
        <v>43547</v>
      </c>
      <c r="D1450" t="str">
        <f>TEST_DATA!D1450</f>
        <v>NON-NIL</v>
      </c>
      <c r="E1450">
        <f>TEST_DATA!E1450</f>
        <v>1688</v>
      </c>
      <c r="F1450">
        <f>MIN(E1450*145000,10000)</f>
        <v>10000</v>
      </c>
      <c r="G1450" t="e">
        <f ca="1">_xludf.MINIFS(CBIC_Late_Fee_Relief_Windows_1!$I$100:$I$1450,CBIC_Late_Fee_Relief_Windows_1!$D$100:$D$1450,"&lt;="&amp;B1450,CBIC_Late_Fee_Relief_Windows_1!$E$100:$E$1450,"&gt;="&amp;B1450,CBIC_Late_Fee_Relief_Windows_1!$F$100:$F$1450,"&lt;="&amp;C1450,CBIC_Late_Fee_Relief_Windows_1!$G$100:$G$1450,"&gt;="&amp;C1450,CBIC_Late_Fee_Relief_Windows_1!$H$100:$H$1450,D1450)</f>
        <v>#NAME?</v>
      </c>
      <c r="H1450" t="e">
        <f t="shared" ca="1" si="22"/>
        <v>#NAME?</v>
      </c>
      <c r="I1450" t="e">
        <f ca="1">INDEX(CBIC_Late_Fee_Relief_Windows_1!$B$100:$B$1450,MATCH(G1450,CBIC_Late_Fee_Relief_Windows_1!$I$100:$I$1450,0))</f>
        <v>#NAME?</v>
      </c>
    </row>
    <row r="1451" spans="1:9" x14ac:dyDescent="0.55000000000000004">
      <c r="A1451" t="str">
        <f>TEST_DATA!A1451</f>
        <v>27AAAAA1451Z5</v>
      </c>
      <c r="B1451" t="str">
        <f>TEST_DATA!B1451</f>
        <v>Mar-2018</v>
      </c>
      <c r="C1451">
        <f>TEST_DATA!C1451</f>
        <v>43235</v>
      </c>
      <c r="D1451" t="str">
        <f>TEST_DATA!D1451</f>
        <v>NON-NIL</v>
      </c>
      <c r="E1451">
        <f>TEST_DATA!E1451</f>
        <v>43</v>
      </c>
      <c r="F1451">
        <f>MIN(E1451*145100,10000)</f>
        <v>10000</v>
      </c>
      <c r="G1451" t="e">
        <f ca="1">_xludf.MINIFS(CBIC_Late_Fee_Relief_Windows_1!$I$100:$I$1451,CBIC_Late_Fee_Relief_Windows_1!$D$100:$D$1451,"&lt;="&amp;B1451,CBIC_Late_Fee_Relief_Windows_1!$E$100:$E$1451,"&gt;="&amp;B1451,CBIC_Late_Fee_Relief_Windows_1!$F$100:$F$1451,"&lt;="&amp;C1451,CBIC_Late_Fee_Relief_Windows_1!$G$100:$G$1451,"&gt;="&amp;C1451,CBIC_Late_Fee_Relief_Windows_1!$H$100:$H$1451,D1451)</f>
        <v>#NAME?</v>
      </c>
      <c r="H1451" t="e">
        <f t="shared" ca="1" si="22"/>
        <v>#NAME?</v>
      </c>
      <c r="I1451" t="e">
        <f ca="1">INDEX(CBIC_Late_Fee_Relief_Windows_1!$B$100:$B$1451,MATCH(G1451,CBIC_Late_Fee_Relief_Windows_1!$I$100:$I$1451,0))</f>
        <v>#NAME?</v>
      </c>
    </row>
    <row r="1452" spans="1:9" x14ac:dyDescent="0.55000000000000004">
      <c r="A1452" t="str">
        <f>TEST_DATA!A1452</f>
        <v>27AAAAA1452Z5</v>
      </c>
      <c r="B1452" t="str">
        <f>TEST_DATA!B1452</f>
        <v>Jul-2017</v>
      </c>
      <c r="C1452">
        <f>TEST_DATA!C1452</f>
        <v>43988</v>
      </c>
      <c r="D1452" t="str">
        <f>TEST_DATA!D1452</f>
        <v>NIL</v>
      </c>
      <c r="E1452">
        <f>TEST_DATA!E1452</f>
        <v>1408</v>
      </c>
      <c r="F1452">
        <f>MIN(E1452*145200,10000)</f>
        <v>10000</v>
      </c>
      <c r="G1452" t="e">
        <f ca="1">_xludf.MINIFS(CBIC_Late_Fee_Relief_Windows_1!$I$100:$I$1452,CBIC_Late_Fee_Relief_Windows_1!$D$100:$D$1452,"&lt;="&amp;B1452,CBIC_Late_Fee_Relief_Windows_1!$E$100:$E$1452,"&gt;="&amp;B1452,CBIC_Late_Fee_Relief_Windows_1!$F$100:$F$1452,"&lt;="&amp;C1452,CBIC_Late_Fee_Relief_Windows_1!$G$100:$G$1452,"&gt;="&amp;C1452,CBIC_Late_Fee_Relief_Windows_1!$H$100:$H$1452,D1452)</f>
        <v>#NAME?</v>
      </c>
      <c r="H1452" t="e">
        <f t="shared" ca="1" si="22"/>
        <v>#NAME?</v>
      </c>
      <c r="I1452" t="e">
        <f ca="1">INDEX(CBIC_Late_Fee_Relief_Windows_1!$B$100:$B$1452,MATCH(G1452,CBIC_Late_Fee_Relief_Windows_1!$I$100:$I$1452,0))</f>
        <v>#NAME?</v>
      </c>
    </row>
    <row r="1453" spans="1:9" x14ac:dyDescent="0.55000000000000004">
      <c r="A1453" t="str">
        <f>TEST_DATA!A1453</f>
        <v>27AAAAA1453Z5</v>
      </c>
      <c r="B1453" t="str">
        <f>TEST_DATA!B1453</f>
        <v>Apr-2018</v>
      </c>
      <c r="C1453">
        <f>TEST_DATA!C1453</f>
        <v>43877</v>
      </c>
      <c r="D1453" t="str">
        <f>TEST_DATA!D1453</f>
        <v>NIL</v>
      </c>
      <c r="E1453">
        <f>TEST_DATA!E1453</f>
        <v>2817</v>
      </c>
      <c r="F1453">
        <f>MIN(E1453*145300,10000)</f>
        <v>10000</v>
      </c>
      <c r="G1453" t="e">
        <f ca="1">_xludf.MINIFS(CBIC_Late_Fee_Relief_Windows_1!$I$100:$I$1453,CBIC_Late_Fee_Relief_Windows_1!$D$100:$D$1453,"&lt;="&amp;B1453,CBIC_Late_Fee_Relief_Windows_1!$E$100:$E$1453,"&gt;="&amp;B1453,CBIC_Late_Fee_Relief_Windows_1!$F$100:$F$1453,"&lt;="&amp;C1453,CBIC_Late_Fee_Relief_Windows_1!$G$100:$G$1453,"&gt;="&amp;C1453,CBIC_Late_Fee_Relief_Windows_1!$H$100:$H$1453,D1453)</f>
        <v>#NAME?</v>
      </c>
      <c r="H1453" t="e">
        <f t="shared" ca="1" si="22"/>
        <v>#NAME?</v>
      </c>
      <c r="I1453" t="e">
        <f ca="1">INDEX(CBIC_Late_Fee_Relief_Windows_1!$B$100:$B$1453,MATCH(G1453,CBIC_Late_Fee_Relief_Windows_1!$I$100:$I$1453,0))</f>
        <v>#NAME?</v>
      </c>
    </row>
    <row r="1454" spans="1:9" x14ac:dyDescent="0.55000000000000004">
      <c r="A1454" t="str">
        <f>TEST_DATA!A1454</f>
        <v>27AAAAA1454Z5</v>
      </c>
      <c r="B1454" t="str">
        <f>TEST_DATA!B1454</f>
        <v>Jan-2019</v>
      </c>
      <c r="C1454">
        <f>TEST_DATA!C1454</f>
        <v>45420</v>
      </c>
      <c r="D1454" t="str">
        <f>TEST_DATA!D1454</f>
        <v>NON-NIL</v>
      </c>
      <c r="E1454">
        <f>TEST_DATA!E1454</f>
        <v>37</v>
      </c>
      <c r="F1454">
        <f>MIN(E1454*145400,10000)</f>
        <v>10000</v>
      </c>
      <c r="G1454" t="e">
        <f ca="1">_xludf.MINIFS(CBIC_Late_Fee_Relief_Windows_1!$I$100:$I$1454,CBIC_Late_Fee_Relief_Windows_1!$D$100:$D$1454,"&lt;="&amp;B1454,CBIC_Late_Fee_Relief_Windows_1!$E$100:$E$1454,"&gt;="&amp;B1454,CBIC_Late_Fee_Relief_Windows_1!$F$100:$F$1454,"&lt;="&amp;C1454,CBIC_Late_Fee_Relief_Windows_1!$G$100:$G$1454,"&gt;="&amp;C1454,CBIC_Late_Fee_Relief_Windows_1!$H$100:$H$1454,D1454)</f>
        <v>#NAME?</v>
      </c>
      <c r="H1454" t="e">
        <f t="shared" ca="1" si="22"/>
        <v>#NAME?</v>
      </c>
      <c r="I1454" t="e">
        <f ca="1">INDEX(CBIC_Late_Fee_Relief_Windows_1!$B$100:$B$1454,MATCH(G1454,CBIC_Late_Fee_Relief_Windows_1!$I$100:$I$1454,0))</f>
        <v>#NAME?</v>
      </c>
    </row>
    <row r="1455" spans="1:9" x14ac:dyDescent="0.55000000000000004">
      <c r="A1455" t="str">
        <f>TEST_DATA!A1455</f>
        <v>27AAAAA1455Z5</v>
      </c>
      <c r="B1455" t="str">
        <f>TEST_DATA!B1455</f>
        <v>Mar-2021</v>
      </c>
      <c r="C1455">
        <f>TEST_DATA!C1455</f>
        <v>45229</v>
      </c>
      <c r="D1455" t="str">
        <f>TEST_DATA!D1455</f>
        <v>NON-NIL</v>
      </c>
      <c r="E1455">
        <f>TEST_DATA!E1455</f>
        <v>2445</v>
      </c>
      <c r="F1455">
        <f>MIN(E1455*145500,10000)</f>
        <v>10000</v>
      </c>
      <c r="G1455" t="e">
        <f ca="1">_xludf.MINIFS(CBIC_Late_Fee_Relief_Windows_1!$I$100:$I$1455,CBIC_Late_Fee_Relief_Windows_1!$D$100:$D$1455,"&lt;="&amp;B1455,CBIC_Late_Fee_Relief_Windows_1!$E$100:$E$1455,"&gt;="&amp;B1455,CBIC_Late_Fee_Relief_Windows_1!$F$100:$F$1455,"&lt;="&amp;C1455,CBIC_Late_Fee_Relief_Windows_1!$G$100:$G$1455,"&gt;="&amp;C1455,CBIC_Late_Fee_Relief_Windows_1!$H$100:$H$1455,D1455)</f>
        <v>#NAME?</v>
      </c>
      <c r="H1455" t="e">
        <f t="shared" ca="1" si="22"/>
        <v>#NAME?</v>
      </c>
      <c r="I1455" t="e">
        <f ca="1">INDEX(CBIC_Late_Fee_Relief_Windows_1!$B$100:$B$1455,MATCH(G1455,CBIC_Late_Fee_Relief_Windows_1!$I$100:$I$1455,0))</f>
        <v>#NAME?</v>
      </c>
    </row>
    <row r="1456" spans="1:9" x14ac:dyDescent="0.55000000000000004">
      <c r="A1456" t="str">
        <f>TEST_DATA!A1456</f>
        <v>27AAAAA1456Z5</v>
      </c>
      <c r="B1456" t="str">
        <f>TEST_DATA!B1456</f>
        <v>Feb-2018</v>
      </c>
      <c r="C1456">
        <f>TEST_DATA!C1456</f>
        <v>44548</v>
      </c>
      <c r="D1456" t="str">
        <f>TEST_DATA!D1456</f>
        <v>NIL</v>
      </c>
      <c r="E1456">
        <f>TEST_DATA!E1456</f>
        <v>2245</v>
      </c>
      <c r="F1456">
        <f>MIN(E1456*145600,10000)</f>
        <v>10000</v>
      </c>
      <c r="G1456" t="e">
        <f ca="1">_xludf.MINIFS(CBIC_Late_Fee_Relief_Windows_1!$I$100:$I$1456,CBIC_Late_Fee_Relief_Windows_1!$D$100:$D$1456,"&lt;="&amp;B1456,CBIC_Late_Fee_Relief_Windows_1!$E$100:$E$1456,"&gt;="&amp;B1456,CBIC_Late_Fee_Relief_Windows_1!$F$100:$F$1456,"&lt;="&amp;C1456,CBIC_Late_Fee_Relief_Windows_1!$G$100:$G$1456,"&gt;="&amp;C1456,CBIC_Late_Fee_Relief_Windows_1!$H$100:$H$1456,D1456)</f>
        <v>#NAME?</v>
      </c>
      <c r="H1456" t="e">
        <f t="shared" ca="1" si="22"/>
        <v>#NAME?</v>
      </c>
      <c r="I1456" t="e">
        <f ca="1">INDEX(CBIC_Late_Fee_Relief_Windows_1!$B$100:$B$1456,MATCH(G1456,CBIC_Late_Fee_Relief_Windows_1!$I$100:$I$1456,0))</f>
        <v>#NAME?</v>
      </c>
    </row>
    <row r="1457" spans="1:9" x14ac:dyDescent="0.55000000000000004">
      <c r="A1457" t="str">
        <f>TEST_DATA!A1457</f>
        <v>27AAAAA1457Z5</v>
      </c>
      <c r="B1457" t="str">
        <f>TEST_DATA!B1457</f>
        <v>Jun-2018</v>
      </c>
      <c r="C1457">
        <f>TEST_DATA!C1457</f>
        <v>43303</v>
      </c>
      <c r="D1457" t="str">
        <f>TEST_DATA!D1457</f>
        <v>NON-NIL</v>
      </c>
      <c r="E1457">
        <f>TEST_DATA!E1457</f>
        <v>2296</v>
      </c>
      <c r="F1457">
        <f>MIN(E1457*145700,10000)</f>
        <v>10000</v>
      </c>
      <c r="G1457" t="e">
        <f ca="1">_xludf.MINIFS(CBIC_Late_Fee_Relief_Windows_1!$I$100:$I$1457,CBIC_Late_Fee_Relief_Windows_1!$D$100:$D$1457,"&lt;="&amp;B1457,CBIC_Late_Fee_Relief_Windows_1!$E$100:$E$1457,"&gt;="&amp;B1457,CBIC_Late_Fee_Relief_Windows_1!$F$100:$F$1457,"&lt;="&amp;C1457,CBIC_Late_Fee_Relief_Windows_1!$G$100:$G$1457,"&gt;="&amp;C1457,CBIC_Late_Fee_Relief_Windows_1!$H$100:$H$1457,D1457)</f>
        <v>#NAME?</v>
      </c>
      <c r="H1457" t="e">
        <f t="shared" ca="1" si="22"/>
        <v>#NAME?</v>
      </c>
      <c r="I1457" t="e">
        <f ca="1">INDEX(CBIC_Late_Fee_Relief_Windows_1!$B$100:$B$1457,MATCH(G1457,CBIC_Late_Fee_Relief_Windows_1!$I$100:$I$1457,0))</f>
        <v>#NAME?</v>
      </c>
    </row>
    <row r="1458" spans="1:9" x14ac:dyDescent="0.55000000000000004">
      <c r="A1458" t="str">
        <f>TEST_DATA!A1458</f>
        <v>27AAAAA1458Z5</v>
      </c>
      <c r="B1458" t="str">
        <f>TEST_DATA!B1458</f>
        <v>Aug-2018</v>
      </c>
      <c r="C1458">
        <f>TEST_DATA!C1458</f>
        <v>43725</v>
      </c>
      <c r="D1458" t="str">
        <f>TEST_DATA!D1458</f>
        <v>NIL</v>
      </c>
      <c r="E1458">
        <f>TEST_DATA!E1458</f>
        <v>668</v>
      </c>
      <c r="F1458">
        <f>MIN(E1458*145800,10000)</f>
        <v>10000</v>
      </c>
      <c r="G1458" t="e">
        <f ca="1">_xludf.MINIFS(CBIC_Late_Fee_Relief_Windows_1!$I$100:$I$1458,CBIC_Late_Fee_Relief_Windows_1!$D$100:$D$1458,"&lt;="&amp;B1458,CBIC_Late_Fee_Relief_Windows_1!$E$100:$E$1458,"&gt;="&amp;B1458,CBIC_Late_Fee_Relief_Windows_1!$F$100:$F$1458,"&lt;="&amp;C1458,CBIC_Late_Fee_Relief_Windows_1!$G$100:$G$1458,"&gt;="&amp;C1458,CBIC_Late_Fee_Relief_Windows_1!$H$100:$H$1458,D1458)</f>
        <v>#NAME?</v>
      </c>
      <c r="H1458" t="e">
        <f t="shared" ca="1" si="22"/>
        <v>#NAME?</v>
      </c>
      <c r="I1458" t="e">
        <f ca="1">INDEX(CBIC_Late_Fee_Relief_Windows_1!$B$100:$B$1458,MATCH(G1458,CBIC_Late_Fee_Relief_Windows_1!$I$100:$I$1458,0))</f>
        <v>#NAME?</v>
      </c>
    </row>
    <row r="1459" spans="1:9" x14ac:dyDescent="0.55000000000000004">
      <c r="A1459" t="str">
        <f>TEST_DATA!A1459</f>
        <v>27AAAAA1459Z5</v>
      </c>
      <c r="B1459" t="str">
        <f>TEST_DATA!B1459</f>
        <v>Jul-2020</v>
      </c>
      <c r="C1459">
        <f>TEST_DATA!C1459</f>
        <v>44629</v>
      </c>
      <c r="D1459" t="str">
        <f>TEST_DATA!D1459</f>
        <v>NON-NIL</v>
      </c>
      <c r="E1459">
        <f>TEST_DATA!E1459</f>
        <v>903</v>
      </c>
      <c r="F1459">
        <f>MIN(E1459*145900,10000)</f>
        <v>10000</v>
      </c>
      <c r="G1459" t="e">
        <f ca="1">_xludf.MINIFS(CBIC_Late_Fee_Relief_Windows_1!$I$100:$I$1459,CBIC_Late_Fee_Relief_Windows_1!$D$100:$D$1459,"&lt;="&amp;B1459,CBIC_Late_Fee_Relief_Windows_1!$E$100:$E$1459,"&gt;="&amp;B1459,CBIC_Late_Fee_Relief_Windows_1!$F$100:$F$1459,"&lt;="&amp;C1459,CBIC_Late_Fee_Relief_Windows_1!$G$100:$G$1459,"&gt;="&amp;C1459,CBIC_Late_Fee_Relief_Windows_1!$H$100:$H$1459,D1459)</f>
        <v>#NAME?</v>
      </c>
      <c r="H1459" t="e">
        <f t="shared" ca="1" si="22"/>
        <v>#NAME?</v>
      </c>
      <c r="I1459" t="e">
        <f ca="1">INDEX(CBIC_Late_Fee_Relief_Windows_1!$B$100:$B$1459,MATCH(G1459,CBIC_Late_Fee_Relief_Windows_1!$I$100:$I$1459,0))</f>
        <v>#NAME?</v>
      </c>
    </row>
    <row r="1460" spans="1:9" x14ac:dyDescent="0.55000000000000004">
      <c r="A1460" t="str">
        <f>TEST_DATA!A1460</f>
        <v>27AAAAA1460Z5</v>
      </c>
      <c r="B1460" t="str">
        <f>TEST_DATA!B1460</f>
        <v>Mar-2018</v>
      </c>
      <c r="C1460">
        <f>TEST_DATA!C1460</f>
        <v>43079</v>
      </c>
      <c r="D1460" t="str">
        <f>TEST_DATA!D1460</f>
        <v>NON-NIL</v>
      </c>
      <c r="E1460">
        <f>TEST_DATA!E1460</f>
        <v>2561</v>
      </c>
      <c r="F1460">
        <f>MIN(E1460*146000,10000)</f>
        <v>10000</v>
      </c>
      <c r="G1460" t="e">
        <f ca="1">_xludf.MINIFS(CBIC_Late_Fee_Relief_Windows_1!$I$100:$I$1460,CBIC_Late_Fee_Relief_Windows_1!$D$100:$D$1460,"&lt;="&amp;B1460,CBIC_Late_Fee_Relief_Windows_1!$E$100:$E$1460,"&gt;="&amp;B1460,CBIC_Late_Fee_Relief_Windows_1!$F$100:$F$1460,"&lt;="&amp;C1460,CBIC_Late_Fee_Relief_Windows_1!$G$100:$G$1460,"&gt;="&amp;C1460,CBIC_Late_Fee_Relief_Windows_1!$H$100:$H$1460,D1460)</f>
        <v>#NAME?</v>
      </c>
      <c r="H1460" t="e">
        <f t="shared" ca="1" si="22"/>
        <v>#NAME?</v>
      </c>
      <c r="I1460" t="e">
        <f ca="1">INDEX(CBIC_Late_Fee_Relief_Windows_1!$B$100:$B$1460,MATCH(G1460,CBIC_Late_Fee_Relief_Windows_1!$I$100:$I$1460,0))</f>
        <v>#NAME?</v>
      </c>
    </row>
    <row r="1461" spans="1:9" x14ac:dyDescent="0.55000000000000004">
      <c r="A1461" t="str">
        <f>TEST_DATA!A1461</f>
        <v>27AAAAA1461Z5</v>
      </c>
      <c r="B1461" t="str">
        <f>TEST_DATA!B1461</f>
        <v>Feb-2018</v>
      </c>
      <c r="C1461">
        <f>TEST_DATA!C1461</f>
        <v>43975</v>
      </c>
      <c r="D1461" t="str">
        <f>TEST_DATA!D1461</f>
        <v>NON-NIL</v>
      </c>
      <c r="E1461">
        <f>TEST_DATA!E1461</f>
        <v>1166</v>
      </c>
      <c r="F1461">
        <f>MIN(E1461*146100,10000)</f>
        <v>10000</v>
      </c>
      <c r="G1461" t="e">
        <f ca="1">_xludf.MINIFS(CBIC_Late_Fee_Relief_Windows_1!$I$100:$I$1461,CBIC_Late_Fee_Relief_Windows_1!$D$100:$D$1461,"&lt;="&amp;B1461,CBIC_Late_Fee_Relief_Windows_1!$E$100:$E$1461,"&gt;="&amp;B1461,CBIC_Late_Fee_Relief_Windows_1!$F$100:$F$1461,"&lt;="&amp;C1461,CBIC_Late_Fee_Relief_Windows_1!$G$100:$G$1461,"&gt;="&amp;C1461,CBIC_Late_Fee_Relief_Windows_1!$H$100:$H$1461,D1461)</f>
        <v>#NAME?</v>
      </c>
      <c r="H1461" t="e">
        <f t="shared" ca="1" si="22"/>
        <v>#NAME?</v>
      </c>
      <c r="I1461" t="e">
        <f ca="1">INDEX(CBIC_Late_Fee_Relief_Windows_1!$B$100:$B$1461,MATCH(G1461,CBIC_Late_Fee_Relief_Windows_1!$I$100:$I$1461,0))</f>
        <v>#NAME?</v>
      </c>
    </row>
    <row r="1462" spans="1:9" x14ac:dyDescent="0.55000000000000004">
      <c r="A1462" t="str">
        <f>TEST_DATA!A1462</f>
        <v>27AAAAA1462Z5</v>
      </c>
      <c r="B1462" t="str">
        <f>TEST_DATA!B1462</f>
        <v>May-2020</v>
      </c>
      <c r="C1462">
        <f>TEST_DATA!C1462</f>
        <v>44920</v>
      </c>
      <c r="D1462" t="str">
        <f>TEST_DATA!D1462</f>
        <v>NON-NIL</v>
      </c>
      <c r="E1462">
        <f>TEST_DATA!E1462</f>
        <v>1691</v>
      </c>
      <c r="F1462">
        <f>MIN(E1462*146200,10000)</f>
        <v>10000</v>
      </c>
      <c r="G1462" t="e">
        <f ca="1">_xludf.MINIFS(CBIC_Late_Fee_Relief_Windows_1!$I$100:$I$1462,CBIC_Late_Fee_Relief_Windows_1!$D$100:$D$1462,"&lt;="&amp;B1462,CBIC_Late_Fee_Relief_Windows_1!$E$100:$E$1462,"&gt;="&amp;B1462,CBIC_Late_Fee_Relief_Windows_1!$F$100:$F$1462,"&lt;="&amp;C1462,CBIC_Late_Fee_Relief_Windows_1!$G$100:$G$1462,"&gt;="&amp;C1462,CBIC_Late_Fee_Relief_Windows_1!$H$100:$H$1462,D1462)</f>
        <v>#NAME?</v>
      </c>
      <c r="H1462" t="e">
        <f t="shared" ca="1" si="22"/>
        <v>#NAME?</v>
      </c>
      <c r="I1462" t="e">
        <f ca="1">INDEX(CBIC_Late_Fee_Relief_Windows_1!$B$100:$B$1462,MATCH(G1462,CBIC_Late_Fee_Relief_Windows_1!$I$100:$I$1462,0))</f>
        <v>#NAME?</v>
      </c>
    </row>
    <row r="1463" spans="1:9" x14ac:dyDescent="0.55000000000000004">
      <c r="A1463" t="str">
        <f>TEST_DATA!A1463</f>
        <v>27AAAAA1463Z5</v>
      </c>
      <c r="B1463" t="str">
        <f>TEST_DATA!B1463</f>
        <v>Jan-2018</v>
      </c>
      <c r="C1463">
        <f>TEST_DATA!C1463</f>
        <v>43057</v>
      </c>
      <c r="D1463" t="str">
        <f>TEST_DATA!D1463</f>
        <v>NIL</v>
      </c>
      <c r="E1463">
        <f>TEST_DATA!E1463</f>
        <v>559</v>
      </c>
      <c r="F1463">
        <f>MIN(E1463*146300,10000)</f>
        <v>10000</v>
      </c>
      <c r="G1463" t="e">
        <f ca="1">_xludf.MINIFS(CBIC_Late_Fee_Relief_Windows_1!$I$100:$I$1463,CBIC_Late_Fee_Relief_Windows_1!$D$100:$D$1463,"&lt;="&amp;B1463,CBIC_Late_Fee_Relief_Windows_1!$E$100:$E$1463,"&gt;="&amp;B1463,CBIC_Late_Fee_Relief_Windows_1!$F$100:$F$1463,"&lt;="&amp;C1463,CBIC_Late_Fee_Relief_Windows_1!$G$100:$G$1463,"&gt;="&amp;C1463,CBIC_Late_Fee_Relief_Windows_1!$H$100:$H$1463,D1463)</f>
        <v>#NAME?</v>
      </c>
      <c r="H1463" t="e">
        <f t="shared" ca="1" si="22"/>
        <v>#NAME?</v>
      </c>
      <c r="I1463" t="e">
        <f ca="1">INDEX(CBIC_Late_Fee_Relief_Windows_1!$B$100:$B$1463,MATCH(G1463,CBIC_Late_Fee_Relief_Windows_1!$I$100:$I$1463,0))</f>
        <v>#NAME?</v>
      </c>
    </row>
    <row r="1464" spans="1:9" x14ac:dyDescent="0.55000000000000004">
      <c r="A1464" t="str">
        <f>TEST_DATA!A1464</f>
        <v>27AAAAA1464Z5</v>
      </c>
      <c r="B1464" t="str">
        <f>TEST_DATA!B1464</f>
        <v>Apr-2018</v>
      </c>
      <c r="C1464">
        <f>TEST_DATA!C1464</f>
        <v>43143</v>
      </c>
      <c r="D1464" t="str">
        <f>TEST_DATA!D1464</f>
        <v>NON-NIL</v>
      </c>
      <c r="E1464">
        <f>TEST_DATA!E1464</f>
        <v>2530</v>
      </c>
      <c r="F1464">
        <f>MIN(E1464*146400,10000)</f>
        <v>10000</v>
      </c>
      <c r="G1464" t="e">
        <f ca="1">_xludf.MINIFS(CBIC_Late_Fee_Relief_Windows_1!$I$100:$I$1464,CBIC_Late_Fee_Relief_Windows_1!$D$100:$D$1464,"&lt;="&amp;B1464,CBIC_Late_Fee_Relief_Windows_1!$E$100:$E$1464,"&gt;="&amp;B1464,CBIC_Late_Fee_Relief_Windows_1!$F$100:$F$1464,"&lt;="&amp;C1464,CBIC_Late_Fee_Relief_Windows_1!$G$100:$G$1464,"&gt;="&amp;C1464,CBIC_Late_Fee_Relief_Windows_1!$H$100:$H$1464,D1464)</f>
        <v>#NAME?</v>
      </c>
      <c r="H1464" t="e">
        <f t="shared" ca="1" si="22"/>
        <v>#NAME?</v>
      </c>
      <c r="I1464" t="e">
        <f ca="1">INDEX(CBIC_Late_Fee_Relief_Windows_1!$B$100:$B$1464,MATCH(G1464,CBIC_Late_Fee_Relief_Windows_1!$I$100:$I$1464,0))</f>
        <v>#NAME?</v>
      </c>
    </row>
    <row r="1465" spans="1:9" x14ac:dyDescent="0.55000000000000004">
      <c r="A1465" t="str">
        <f>TEST_DATA!A1465</f>
        <v>27AAAAA1465Z5</v>
      </c>
      <c r="B1465" t="str">
        <f>TEST_DATA!B1465</f>
        <v>Sep-2018</v>
      </c>
      <c r="C1465">
        <f>TEST_DATA!C1465</f>
        <v>43474</v>
      </c>
      <c r="D1465" t="str">
        <f>TEST_DATA!D1465</f>
        <v>NON-NIL</v>
      </c>
      <c r="E1465">
        <f>TEST_DATA!E1465</f>
        <v>769</v>
      </c>
      <c r="F1465">
        <f>MIN(E1465*146500,10000)</f>
        <v>10000</v>
      </c>
      <c r="G1465" t="e">
        <f ca="1">_xludf.MINIFS(CBIC_Late_Fee_Relief_Windows_1!$I$100:$I$1465,CBIC_Late_Fee_Relief_Windows_1!$D$100:$D$1465,"&lt;="&amp;B1465,CBIC_Late_Fee_Relief_Windows_1!$E$100:$E$1465,"&gt;="&amp;B1465,CBIC_Late_Fee_Relief_Windows_1!$F$100:$F$1465,"&lt;="&amp;C1465,CBIC_Late_Fee_Relief_Windows_1!$G$100:$G$1465,"&gt;="&amp;C1465,CBIC_Late_Fee_Relief_Windows_1!$H$100:$H$1465,D1465)</f>
        <v>#NAME?</v>
      </c>
      <c r="H1465" t="e">
        <f t="shared" ca="1" si="22"/>
        <v>#NAME?</v>
      </c>
      <c r="I1465" t="e">
        <f ca="1">INDEX(CBIC_Late_Fee_Relief_Windows_1!$B$100:$B$1465,MATCH(G1465,CBIC_Late_Fee_Relief_Windows_1!$I$100:$I$1465,0))</f>
        <v>#NAME?</v>
      </c>
    </row>
    <row r="1466" spans="1:9" x14ac:dyDescent="0.55000000000000004">
      <c r="A1466" t="str">
        <f>TEST_DATA!A1466</f>
        <v>27AAAAA1466Z5</v>
      </c>
      <c r="B1466" t="str">
        <f>TEST_DATA!B1466</f>
        <v>May-2018</v>
      </c>
      <c r="C1466">
        <f>TEST_DATA!C1466</f>
        <v>42956</v>
      </c>
      <c r="D1466" t="str">
        <f>TEST_DATA!D1466</f>
        <v>NIL</v>
      </c>
      <c r="E1466">
        <f>TEST_DATA!E1466</f>
        <v>203</v>
      </c>
      <c r="F1466">
        <f>MIN(E1466*146600,10000)</f>
        <v>10000</v>
      </c>
      <c r="G1466" t="e">
        <f ca="1">_xludf.MINIFS(CBIC_Late_Fee_Relief_Windows_1!$I$100:$I$1466,CBIC_Late_Fee_Relief_Windows_1!$D$100:$D$1466,"&lt;="&amp;B1466,CBIC_Late_Fee_Relief_Windows_1!$E$100:$E$1466,"&gt;="&amp;B1466,CBIC_Late_Fee_Relief_Windows_1!$F$100:$F$1466,"&lt;="&amp;C1466,CBIC_Late_Fee_Relief_Windows_1!$G$100:$G$1466,"&gt;="&amp;C1466,CBIC_Late_Fee_Relief_Windows_1!$H$100:$H$1466,D1466)</f>
        <v>#NAME?</v>
      </c>
      <c r="H1466" t="e">
        <f t="shared" ca="1" si="22"/>
        <v>#NAME?</v>
      </c>
      <c r="I1466" t="e">
        <f ca="1">INDEX(CBIC_Late_Fee_Relief_Windows_1!$B$100:$B$1466,MATCH(G1466,CBIC_Late_Fee_Relief_Windows_1!$I$100:$I$1466,0))</f>
        <v>#NAME?</v>
      </c>
    </row>
    <row r="1467" spans="1:9" x14ac:dyDescent="0.55000000000000004">
      <c r="A1467" t="str">
        <f>TEST_DATA!A1467</f>
        <v>27AAAAA1467Z5</v>
      </c>
      <c r="B1467" t="str">
        <f>TEST_DATA!B1467</f>
        <v>Dec-2019</v>
      </c>
      <c r="C1467">
        <f>TEST_DATA!C1467</f>
        <v>43556</v>
      </c>
      <c r="D1467" t="str">
        <f>TEST_DATA!D1467</f>
        <v>NIL</v>
      </c>
      <c r="E1467">
        <f>TEST_DATA!E1467</f>
        <v>418</v>
      </c>
      <c r="F1467">
        <f>MIN(E1467*146700,10000)</f>
        <v>10000</v>
      </c>
      <c r="G1467" t="e">
        <f ca="1">_xludf.MINIFS(CBIC_Late_Fee_Relief_Windows_1!$I$100:$I$1467,CBIC_Late_Fee_Relief_Windows_1!$D$100:$D$1467,"&lt;="&amp;B1467,CBIC_Late_Fee_Relief_Windows_1!$E$100:$E$1467,"&gt;="&amp;B1467,CBIC_Late_Fee_Relief_Windows_1!$F$100:$F$1467,"&lt;="&amp;C1467,CBIC_Late_Fee_Relief_Windows_1!$G$100:$G$1467,"&gt;="&amp;C1467,CBIC_Late_Fee_Relief_Windows_1!$H$100:$H$1467,D1467)</f>
        <v>#NAME?</v>
      </c>
      <c r="H1467" t="e">
        <f t="shared" ca="1" si="22"/>
        <v>#NAME?</v>
      </c>
      <c r="I1467" t="e">
        <f ca="1">INDEX(CBIC_Late_Fee_Relief_Windows_1!$B$100:$B$1467,MATCH(G1467,CBIC_Late_Fee_Relief_Windows_1!$I$100:$I$1467,0))</f>
        <v>#NAME?</v>
      </c>
    </row>
    <row r="1468" spans="1:9" x14ac:dyDescent="0.55000000000000004">
      <c r="A1468" t="str">
        <f>TEST_DATA!A1468</f>
        <v>27AAAAA1468Z5</v>
      </c>
      <c r="B1468" t="str">
        <f>TEST_DATA!B1468</f>
        <v>Apr-2018</v>
      </c>
      <c r="C1468">
        <f>TEST_DATA!C1468</f>
        <v>43468</v>
      </c>
      <c r="D1468" t="str">
        <f>TEST_DATA!D1468</f>
        <v>NIL</v>
      </c>
      <c r="E1468">
        <f>TEST_DATA!E1468</f>
        <v>2929</v>
      </c>
      <c r="F1468">
        <f>MIN(E1468*146800,10000)</f>
        <v>10000</v>
      </c>
      <c r="G1468" t="e">
        <f ca="1">_xludf.MINIFS(CBIC_Late_Fee_Relief_Windows_1!$I$100:$I$1468,CBIC_Late_Fee_Relief_Windows_1!$D$100:$D$1468,"&lt;="&amp;B1468,CBIC_Late_Fee_Relief_Windows_1!$E$100:$E$1468,"&gt;="&amp;B1468,CBIC_Late_Fee_Relief_Windows_1!$F$100:$F$1468,"&lt;="&amp;C1468,CBIC_Late_Fee_Relief_Windows_1!$G$100:$G$1468,"&gt;="&amp;C1468,CBIC_Late_Fee_Relief_Windows_1!$H$100:$H$1468,D1468)</f>
        <v>#NAME?</v>
      </c>
      <c r="H1468" t="e">
        <f t="shared" ca="1" si="22"/>
        <v>#NAME?</v>
      </c>
      <c r="I1468" t="e">
        <f ca="1">INDEX(CBIC_Late_Fee_Relief_Windows_1!$B$100:$B$1468,MATCH(G1468,CBIC_Late_Fee_Relief_Windows_1!$I$100:$I$1468,0))</f>
        <v>#NAME?</v>
      </c>
    </row>
    <row r="1469" spans="1:9" x14ac:dyDescent="0.55000000000000004">
      <c r="A1469" t="str">
        <f>TEST_DATA!A1469</f>
        <v>27AAAAA1469Z5</v>
      </c>
      <c r="B1469" t="str">
        <f>TEST_DATA!B1469</f>
        <v>Sep-2018</v>
      </c>
      <c r="C1469">
        <f>TEST_DATA!C1469</f>
        <v>44406</v>
      </c>
      <c r="D1469" t="str">
        <f>TEST_DATA!D1469</f>
        <v>NIL</v>
      </c>
      <c r="E1469">
        <f>TEST_DATA!E1469</f>
        <v>953</v>
      </c>
      <c r="F1469">
        <f>MIN(E1469*146900,10000)</f>
        <v>10000</v>
      </c>
      <c r="G1469" t="e">
        <f ca="1">_xludf.MINIFS(CBIC_Late_Fee_Relief_Windows_1!$I$100:$I$1469,CBIC_Late_Fee_Relief_Windows_1!$D$100:$D$1469,"&lt;="&amp;B1469,CBIC_Late_Fee_Relief_Windows_1!$E$100:$E$1469,"&gt;="&amp;B1469,CBIC_Late_Fee_Relief_Windows_1!$F$100:$F$1469,"&lt;="&amp;C1469,CBIC_Late_Fee_Relief_Windows_1!$G$100:$G$1469,"&gt;="&amp;C1469,CBIC_Late_Fee_Relief_Windows_1!$H$100:$H$1469,D1469)</f>
        <v>#NAME?</v>
      </c>
      <c r="H1469" t="e">
        <f t="shared" ca="1" si="22"/>
        <v>#NAME?</v>
      </c>
      <c r="I1469" t="e">
        <f ca="1">INDEX(CBIC_Late_Fee_Relief_Windows_1!$B$100:$B$1469,MATCH(G1469,CBIC_Late_Fee_Relief_Windows_1!$I$100:$I$1469,0))</f>
        <v>#NAME?</v>
      </c>
    </row>
    <row r="1470" spans="1:9" x14ac:dyDescent="0.55000000000000004">
      <c r="A1470" t="str">
        <f>TEST_DATA!A1470</f>
        <v>27AAAAA1470Z5</v>
      </c>
      <c r="B1470" t="str">
        <f>TEST_DATA!B1470</f>
        <v>Sep-2017</v>
      </c>
      <c r="C1470">
        <f>TEST_DATA!C1470</f>
        <v>43225</v>
      </c>
      <c r="D1470" t="str">
        <f>TEST_DATA!D1470</f>
        <v>NIL</v>
      </c>
      <c r="E1470">
        <f>TEST_DATA!E1470</f>
        <v>2021</v>
      </c>
      <c r="F1470">
        <f>MIN(E1470*147000,10000)</f>
        <v>10000</v>
      </c>
      <c r="G1470" t="e">
        <f ca="1">_xludf.MINIFS(CBIC_Late_Fee_Relief_Windows_1!$I$100:$I$1470,CBIC_Late_Fee_Relief_Windows_1!$D$100:$D$1470,"&lt;="&amp;B1470,CBIC_Late_Fee_Relief_Windows_1!$E$100:$E$1470,"&gt;="&amp;B1470,CBIC_Late_Fee_Relief_Windows_1!$F$100:$F$1470,"&lt;="&amp;C1470,CBIC_Late_Fee_Relief_Windows_1!$G$100:$G$1470,"&gt;="&amp;C1470,CBIC_Late_Fee_Relief_Windows_1!$H$100:$H$1470,D1470)</f>
        <v>#NAME?</v>
      </c>
      <c r="H1470" t="e">
        <f t="shared" ca="1" si="22"/>
        <v>#NAME?</v>
      </c>
      <c r="I1470" t="e">
        <f ca="1">INDEX(CBIC_Late_Fee_Relief_Windows_1!$B$100:$B$1470,MATCH(G1470,CBIC_Late_Fee_Relief_Windows_1!$I$100:$I$1470,0))</f>
        <v>#NAME?</v>
      </c>
    </row>
    <row r="1471" spans="1:9" x14ac:dyDescent="0.55000000000000004">
      <c r="A1471" t="str">
        <f>TEST_DATA!A1471</f>
        <v>27AAAAA1471Z5</v>
      </c>
      <c r="B1471" t="str">
        <f>TEST_DATA!B1471</f>
        <v>Jan-2018</v>
      </c>
      <c r="C1471">
        <f>TEST_DATA!C1471</f>
        <v>43617</v>
      </c>
      <c r="D1471" t="str">
        <f>TEST_DATA!D1471</f>
        <v>NON-NIL</v>
      </c>
      <c r="E1471">
        <f>TEST_DATA!E1471</f>
        <v>1276</v>
      </c>
      <c r="F1471">
        <f>MIN(E1471*147100,10000)</f>
        <v>10000</v>
      </c>
      <c r="G1471" t="e">
        <f ca="1">_xludf.MINIFS(CBIC_Late_Fee_Relief_Windows_1!$I$100:$I$1471,CBIC_Late_Fee_Relief_Windows_1!$D$100:$D$1471,"&lt;="&amp;B1471,CBIC_Late_Fee_Relief_Windows_1!$E$100:$E$1471,"&gt;="&amp;B1471,CBIC_Late_Fee_Relief_Windows_1!$F$100:$F$1471,"&lt;="&amp;C1471,CBIC_Late_Fee_Relief_Windows_1!$G$100:$G$1471,"&gt;="&amp;C1471,CBIC_Late_Fee_Relief_Windows_1!$H$100:$H$1471,D1471)</f>
        <v>#NAME?</v>
      </c>
      <c r="H1471" t="e">
        <f t="shared" ca="1" si="22"/>
        <v>#NAME?</v>
      </c>
      <c r="I1471" t="e">
        <f ca="1">INDEX(CBIC_Late_Fee_Relief_Windows_1!$B$100:$B$1471,MATCH(G1471,CBIC_Late_Fee_Relief_Windows_1!$I$100:$I$1471,0))</f>
        <v>#NAME?</v>
      </c>
    </row>
    <row r="1472" spans="1:9" x14ac:dyDescent="0.55000000000000004">
      <c r="A1472" t="str">
        <f>TEST_DATA!A1472</f>
        <v>27AAAAA1472Z5</v>
      </c>
      <c r="B1472" t="str">
        <f>TEST_DATA!B1472</f>
        <v>Apr-2021</v>
      </c>
      <c r="C1472">
        <f>TEST_DATA!C1472</f>
        <v>45507</v>
      </c>
      <c r="D1472" t="str">
        <f>TEST_DATA!D1472</f>
        <v>NON-NIL</v>
      </c>
      <c r="E1472">
        <f>TEST_DATA!E1472</f>
        <v>1899</v>
      </c>
      <c r="F1472">
        <f>MIN(E1472*147200,10000)</f>
        <v>10000</v>
      </c>
      <c r="G1472" t="e">
        <f ca="1">_xludf.MINIFS(CBIC_Late_Fee_Relief_Windows_1!$I$100:$I$1472,CBIC_Late_Fee_Relief_Windows_1!$D$100:$D$1472,"&lt;="&amp;B1472,CBIC_Late_Fee_Relief_Windows_1!$E$100:$E$1472,"&gt;="&amp;B1472,CBIC_Late_Fee_Relief_Windows_1!$F$100:$F$1472,"&lt;="&amp;C1472,CBIC_Late_Fee_Relief_Windows_1!$G$100:$G$1472,"&gt;="&amp;C1472,CBIC_Late_Fee_Relief_Windows_1!$H$100:$H$1472,D1472)</f>
        <v>#NAME?</v>
      </c>
      <c r="H1472" t="e">
        <f t="shared" ca="1" si="22"/>
        <v>#NAME?</v>
      </c>
      <c r="I1472" t="e">
        <f ca="1">INDEX(CBIC_Late_Fee_Relief_Windows_1!$B$100:$B$1472,MATCH(G1472,CBIC_Late_Fee_Relief_Windows_1!$I$100:$I$1472,0))</f>
        <v>#NAME?</v>
      </c>
    </row>
    <row r="1473" spans="1:9" x14ac:dyDescent="0.55000000000000004">
      <c r="A1473" t="str">
        <f>TEST_DATA!A1473</f>
        <v>27AAAAA1473Z5</v>
      </c>
      <c r="B1473" t="str">
        <f>TEST_DATA!B1473</f>
        <v>Jul-2020</v>
      </c>
      <c r="C1473">
        <f>TEST_DATA!C1473</f>
        <v>43895</v>
      </c>
      <c r="D1473" t="str">
        <f>TEST_DATA!D1473</f>
        <v>NON-NIL</v>
      </c>
      <c r="E1473">
        <f>TEST_DATA!E1473</f>
        <v>328</v>
      </c>
      <c r="F1473">
        <f>MIN(E1473*147300,10000)</f>
        <v>10000</v>
      </c>
      <c r="G1473" t="e">
        <f ca="1">_xludf.MINIFS(CBIC_Late_Fee_Relief_Windows_1!$I$100:$I$1473,CBIC_Late_Fee_Relief_Windows_1!$D$100:$D$1473,"&lt;="&amp;B1473,CBIC_Late_Fee_Relief_Windows_1!$E$100:$E$1473,"&gt;="&amp;B1473,CBIC_Late_Fee_Relief_Windows_1!$F$100:$F$1473,"&lt;="&amp;C1473,CBIC_Late_Fee_Relief_Windows_1!$G$100:$G$1473,"&gt;="&amp;C1473,CBIC_Late_Fee_Relief_Windows_1!$H$100:$H$1473,D1473)</f>
        <v>#NAME?</v>
      </c>
      <c r="H1473" t="e">
        <f t="shared" ca="1" si="22"/>
        <v>#NAME?</v>
      </c>
      <c r="I1473" t="e">
        <f ca="1">INDEX(CBIC_Late_Fee_Relief_Windows_1!$B$100:$B$1473,MATCH(G1473,CBIC_Late_Fee_Relief_Windows_1!$I$100:$I$1473,0))</f>
        <v>#NAME?</v>
      </c>
    </row>
    <row r="1474" spans="1:9" x14ac:dyDescent="0.55000000000000004">
      <c r="A1474" t="str">
        <f>TEST_DATA!A1474</f>
        <v>27AAAAA1474Z5</v>
      </c>
      <c r="B1474" t="str">
        <f>TEST_DATA!B1474</f>
        <v>Dec-2022</v>
      </c>
      <c r="C1474">
        <f>TEST_DATA!C1474</f>
        <v>44064</v>
      </c>
      <c r="D1474" t="str">
        <f>TEST_DATA!D1474</f>
        <v>NIL</v>
      </c>
      <c r="E1474">
        <f>TEST_DATA!E1474</f>
        <v>1091</v>
      </c>
      <c r="F1474">
        <f>MIN(E1474*147400,10000)</f>
        <v>10000</v>
      </c>
      <c r="G1474" t="e">
        <f ca="1">_xludf.MINIFS(CBIC_Late_Fee_Relief_Windows_1!$I$100:$I$1474,CBIC_Late_Fee_Relief_Windows_1!$D$100:$D$1474,"&lt;="&amp;B1474,CBIC_Late_Fee_Relief_Windows_1!$E$100:$E$1474,"&gt;="&amp;B1474,CBIC_Late_Fee_Relief_Windows_1!$F$100:$F$1474,"&lt;="&amp;C1474,CBIC_Late_Fee_Relief_Windows_1!$G$100:$G$1474,"&gt;="&amp;C1474,CBIC_Late_Fee_Relief_Windows_1!$H$100:$H$1474,D1474)</f>
        <v>#NAME?</v>
      </c>
      <c r="H1474" t="e">
        <f t="shared" ref="H1474:H1537" ca="1" si="23">MIN(F1474,G1474)</f>
        <v>#NAME?</v>
      </c>
      <c r="I1474" t="e">
        <f ca="1">INDEX(CBIC_Late_Fee_Relief_Windows_1!$B$100:$B$1474,MATCH(G1474,CBIC_Late_Fee_Relief_Windows_1!$I$100:$I$1474,0))</f>
        <v>#NAME?</v>
      </c>
    </row>
    <row r="1475" spans="1:9" x14ac:dyDescent="0.55000000000000004">
      <c r="A1475" t="str">
        <f>TEST_DATA!A1475</f>
        <v>27AAAAA1475Z5</v>
      </c>
      <c r="B1475" t="str">
        <f>TEST_DATA!B1475</f>
        <v>Mar-2021</v>
      </c>
      <c r="C1475">
        <f>TEST_DATA!C1475</f>
        <v>45073</v>
      </c>
      <c r="D1475" t="str">
        <f>TEST_DATA!D1475</f>
        <v>NIL</v>
      </c>
      <c r="E1475">
        <f>TEST_DATA!E1475</f>
        <v>2224</v>
      </c>
      <c r="F1475">
        <f>MIN(E1475*147500,10000)</f>
        <v>10000</v>
      </c>
      <c r="G1475" t="e">
        <f ca="1">_xludf.MINIFS(CBIC_Late_Fee_Relief_Windows_1!$I$100:$I$1475,CBIC_Late_Fee_Relief_Windows_1!$D$100:$D$1475,"&lt;="&amp;B1475,CBIC_Late_Fee_Relief_Windows_1!$E$100:$E$1475,"&gt;="&amp;B1475,CBIC_Late_Fee_Relief_Windows_1!$F$100:$F$1475,"&lt;="&amp;C1475,CBIC_Late_Fee_Relief_Windows_1!$G$100:$G$1475,"&gt;="&amp;C1475,CBIC_Late_Fee_Relief_Windows_1!$H$100:$H$1475,D1475)</f>
        <v>#NAME?</v>
      </c>
      <c r="H1475" t="e">
        <f t="shared" ca="1" si="23"/>
        <v>#NAME?</v>
      </c>
      <c r="I1475" t="e">
        <f ca="1">INDEX(CBIC_Late_Fee_Relief_Windows_1!$B$100:$B$1475,MATCH(G1475,CBIC_Late_Fee_Relief_Windows_1!$I$100:$I$1475,0))</f>
        <v>#NAME?</v>
      </c>
    </row>
    <row r="1476" spans="1:9" x14ac:dyDescent="0.55000000000000004">
      <c r="A1476" t="str">
        <f>TEST_DATA!A1476</f>
        <v>27AAAAA1476Z5</v>
      </c>
      <c r="B1476" t="str">
        <f>TEST_DATA!B1476</f>
        <v>Jan-2019</v>
      </c>
      <c r="C1476">
        <f>TEST_DATA!C1476</f>
        <v>44209</v>
      </c>
      <c r="D1476" t="str">
        <f>TEST_DATA!D1476</f>
        <v>NIL</v>
      </c>
      <c r="E1476">
        <f>TEST_DATA!E1476</f>
        <v>1024</v>
      </c>
      <c r="F1476">
        <f>MIN(E1476*147600,10000)</f>
        <v>10000</v>
      </c>
      <c r="G1476" t="e">
        <f ca="1">_xludf.MINIFS(CBIC_Late_Fee_Relief_Windows_1!$I$100:$I$1476,CBIC_Late_Fee_Relief_Windows_1!$D$100:$D$1476,"&lt;="&amp;B1476,CBIC_Late_Fee_Relief_Windows_1!$E$100:$E$1476,"&gt;="&amp;B1476,CBIC_Late_Fee_Relief_Windows_1!$F$100:$F$1476,"&lt;="&amp;C1476,CBIC_Late_Fee_Relief_Windows_1!$G$100:$G$1476,"&gt;="&amp;C1476,CBIC_Late_Fee_Relief_Windows_1!$H$100:$H$1476,D1476)</f>
        <v>#NAME?</v>
      </c>
      <c r="H1476" t="e">
        <f t="shared" ca="1" si="23"/>
        <v>#NAME?</v>
      </c>
      <c r="I1476" t="e">
        <f ca="1">INDEX(CBIC_Late_Fee_Relief_Windows_1!$B$100:$B$1476,MATCH(G1476,CBIC_Late_Fee_Relief_Windows_1!$I$100:$I$1476,0))</f>
        <v>#NAME?</v>
      </c>
    </row>
    <row r="1477" spans="1:9" x14ac:dyDescent="0.55000000000000004">
      <c r="A1477" t="str">
        <f>TEST_DATA!A1477</f>
        <v>27AAAAA1477Z5</v>
      </c>
      <c r="B1477" t="str">
        <f>TEST_DATA!B1477</f>
        <v>Dec-2022</v>
      </c>
      <c r="C1477">
        <f>TEST_DATA!C1477</f>
        <v>45028</v>
      </c>
      <c r="D1477" t="str">
        <f>TEST_DATA!D1477</f>
        <v>NIL</v>
      </c>
      <c r="E1477">
        <f>TEST_DATA!E1477</f>
        <v>499</v>
      </c>
      <c r="F1477">
        <f>MIN(E1477*147700,10000)</f>
        <v>10000</v>
      </c>
      <c r="G1477" t="e">
        <f ca="1">_xludf.MINIFS(CBIC_Late_Fee_Relief_Windows_1!$I$100:$I$1477,CBIC_Late_Fee_Relief_Windows_1!$D$100:$D$1477,"&lt;="&amp;B1477,CBIC_Late_Fee_Relief_Windows_1!$E$100:$E$1477,"&gt;="&amp;B1477,CBIC_Late_Fee_Relief_Windows_1!$F$100:$F$1477,"&lt;="&amp;C1477,CBIC_Late_Fee_Relief_Windows_1!$G$100:$G$1477,"&gt;="&amp;C1477,CBIC_Late_Fee_Relief_Windows_1!$H$100:$H$1477,D1477)</f>
        <v>#NAME?</v>
      </c>
      <c r="H1477" t="e">
        <f t="shared" ca="1" si="23"/>
        <v>#NAME?</v>
      </c>
      <c r="I1477" t="e">
        <f ca="1">INDEX(CBIC_Late_Fee_Relief_Windows_1!$B$100:$B$1477,MATCH(G1477,CBIC_Late_Fee_Relief_Windows_1!$I$100:$I$1477,0))</f>
        <v>#NAME?</v>
      </c>
    </row>
    <row r="1478" spans="1:9" x14ac:dyDescent="0.55000000000000004">
      <c r="A1478" t="str">
        <f>TEST_DATA!A1478</f>
        <v>27AAAAA1478Z5</v>
      </c>
      <c r="B1478" t="str">
        <f>TEST_DATA!B1478</f>
        <v>Mar-2021</v>
      </c>
      <c r="C1478">
        <f>TEST_DATA!C1478</f>
        <v>44485</v>
      </c>
      <c r="D1478" t="str">
        <f>TEST_DATA!D1478</f>
        <v>NON-NIL</v>
      </c>
      <c r="E1478">
        <f>TEST_DATA!E1478</f>
        <v>1814</v>
      </c>
      <c r="F1478">
        <f>MIN(E1478*147800,10000)</f>
        <v>10000</v>
      </c>
      <c r="G1478" t="e">
        <f ca="1">_xludf.MINIFS(CBIC_Late_Fee_Relief_Windows_1!$I$100:$I$1478,CBIC_Late_Fee_Relief_Windows_1!$D$100:$D$1478,"&lt;="&amp;B1478,CBIC_Late_Fee_Relief_Windows_1!$E$100:$E$1478,"&gt;="&amp;B1478,CBIC_Late_Fee_Relief_Windows_1!$F$100:$F$1478,"&lt;="&amp;C1478,CBIC_Late_Fee_Relief_Windows_1!$G$100:$G$1478,"&gt;="&amp;C1478,CBIC_Late_Fee_Relief_Windows_1!$H$100:$H$1478,D1478)</f>
        <v>#NAME?</v>
      </c>
      <c r="H1478" t="e">
        <f t="shared" ca="1" si="23"/>
        <v>#NAME?</v>
      </c>
      <c r="I1478" t="e">
        <f ca="1">INDEX(CBIC_Late_Fee_Relief_Windows_1!$B$100:$B$1478,MATCH(G1478,CBIC_Late_Fee_Relief_Windows_1!$I$100:$I$1478,0))</f>
        <v>#NAME?</v>
      </c>
    </row>
    <row r="1479" spans="1:9" x14ac:dyDescent="0.55000000000000004">
      <c r="A1479" t="str">
        <f>TEST_DATA!A1479</f>
        <v>27AAAAA1479Z5</v>
      </c>
      <c r="B1479" t="str">
        <f>TEST_DATA!B1479</f>
        <v>Feb-2018</v>
      </c>
      <c r="C1479">
        <f>TEST_DATA!C1479</f>
        <v>44427</v>
      </c>
      <c r="D1479" t="str">
        <f>TEST_DATA!D1479</f>
        <v>NIL</v>
      </c>
      <c r="E1479">
        <f>TEST_DATA!E1479</f>
        <v>815</v>
      </c>
      <c r="F1479">
        <f>MIN(E1479*147900,10000)</f>
        <v>10000</v>
      </c>
      <c r="G1479" t="e">
        <f ca="1">_xludf.MINIFS(CBIC_Late_Fee_Relief_Windows_1!$I$100:$I$1479,CBIC_Late_Fee_Relief_Windows_1!$D$100:$D$1479,"&lt;="&amp;B1479,CBIC_Late_Fee_Relief_Windows_1!$E$100:$E$1479,"&gt;="&amp;B1479,CBIC_Late_Fee_Relief_Windows_1!$F$100:$F$1479,"&lt;="&amp;C1479,CBIC_Late_Fee_Relief_Windows_1!$G$100:$G$1479,"&gt;="&amp;C1479,CBIC_Late_Fee_Relief_Windows_1!$H$100:$H$1479,D1479)</f>
        <v>#NAME?</v>
      </c>
      <c r="H1479" t="e">
        <f t="shared" ca="1" si="23"/>
        <v>#NAME?</v>
      </c>
      <c r="I1479" t="e">
        <f ca="1">INDEX(CBIC_Late_Fee_Relief_Windows_1!$B$100:$B$1479,MATCH(G1479,CBIC_Late_Fee_Relief_Windows_1!$I$100:$I$1479,0))</f>
        <v>#NAME?</v>
      </c>
    </row>
    <row r="1480" spans="1:9" x14ac:dyDescent="0.55000000000000004">
      <c r="A1480" t="str">
        <f>TEST_DATA!A1480</f>
        <v>27AAAAA1480Z5</v>
      </c>
      <c r="B1480" t="str">
        <f>TEST_DATA!B1480</f>
        <v>Sep-2018</v>
      </c>
      <c r="C1480">
        <f>TEST_DATA!C1480</f>
        <v>44422</v>
      </c>
      <c r="D1480" t="str">
        <f>TEST_DATA!D1480</f>
        <v>NIL</v>
      </c>
      <c r="E1480">
        <f>TEST_DATA!E1480</f>
        <v>2134</v>
      </c>
      <c r="F1480">
        <f>MIN(E1480*148000,10000)</f>
        <v>10000</v>
      </c>
      <c r="G1480" t="e">
        <f ca="1">_xludf.MINIFS(CBIC_Late_Fee_Relief_Windows_1!$I$100:$I$1480,CBIC_Late_Fee_Relief_Windows_1!$D$100:$D$1480,"&lt;="&amp;B1480,CBIC_Late_Fee_Relief_Windows_1!$E$100:$E$1480,"&gt;="&amp;B1480,CBIC_Late_Fee_Relief_Windows_1!$F$100:$F$1480,"&lt;="&amp;C1480,CBIC_Late_Fee_Relief_Windows_1!$G$100:$G$1480,"&gt;="&amp;C1480,CBIC_Late_Fee_Relief_Windows_1!$H$100:$H$1480,D1480)</f>
        <v>#NAME?</v>
      </c>
      <c r="H1480" t="e">
        <f t="shared" ca="1" si="23"/>
        <v>#NAME?</v>
      </c>
      <c r="I1480" t="e">
        <f ca="1">INDEX(CBIC_Late_Fee_Relief_Windows_1!$B$100:$B$1480,MATCH(G1480,CBIC_Late_Fee_Relief_Windows_1!$I$100:$I$1480,0))</f>
        <v>#NAME?</v>
      </c>
    </row>
    <row r="1481" spans="1:9" x14ac:dyDescent="0.55000000000000004">
      <c r="A1481" t="str">
        <f>TEST_DATA!A1481</f>
        <v>27AAAAA1481Z5</v>
      </c>
      <c r="B1481" t="str">
        <f>TEST_DATA!B1481</f>
        <v>Jun-2020</v>
      </c>
      <c r="C1481">
        <f>TEST_DATA!C1481</f>
        <v>44257</v>
      </c>
      <c r="D1481" t="str">
        <f>TEST_DATA!D1481</f>
        <v>NON-NIL</v>
      </c>
      <c r="E1481">
        <f>TEST_DATA!E1481</f>
        <v>1593</v>
      </c>
      <c r="F1481">
        <f>MIN(E1481*148100,10000)</f>
        <v>10000</v>
      </c>
      <c r="G1481" t="e">
        <f ca="1">_xludf.MINIFS(CBIC_Late_Fee_Relief_Windows_1!$I$100:$I$1481,CBIC_Late_Fee_Relief_Windows_1!$D$100:$D$1481,"&lt;="&amp;B1481,CBIC_Late_Fee_Relief_Windows_1!$E$100:$E$1481,"&gt;="&amp;B1481,CBIC_Late_Fee_Relief_Windows_1!$F$100:$F$1481,"&lt;="&amp;C1481,CBIC_Late_Fee_Relief_Windows_1!$G$100:$G$1481,"&gt;="&amp;C1481,CBIC_Late_Fee_Relief_Windows_1!$H$100:$H$1481,D1481)</f>
        <v>#NAME?</v>
      </c>
      <c r="H1481" t="e">
        <f t="shared" ca="1" si="23"/>
        <v>#NAME?</v>
      </c>
      <c r="I1481" t="e">
        <f ca="1">INDEX(CBIC_Late_Fee_Relief_Windows_1!$B$100:$B$1481,MATCH(G1481,CBIC_Late_Fee_Relief_Windows_1!$I$100:$I$1481,0))</f>
        <v>#NAME?</v>
      </c>
    </row>
    <row r="1482" spans="1:9" x14ac:dyDescent="0.55000000000000004">
      <c r="A1482" t="str">
        <f>TEST_DATA!A1482</f>
        <v>27AAAAA1482Z5</v>
      </c>
      <c r="B1482" t="str">
        <f>TEST_DATA!B1482</f>
        <v>Jun-2020</v>
      </c>
      <c r="C1482">
        <f>TEST_DATA!C1482</f>
        <v>44470</v>
      </c>
      <c r="D1482" t="str">
        <f>TEST_DATA!D1482</f>
        <v>NON-NIL</v>
      </c>
      <c r="E1482">
        <f>TEST_DATA!E1482</f>
        <v>649</v>
      </c>
      <c r="F1482">
        <f>MIN(E1482*148200,10000)</f>
        <v>10000</v>
      </c>
      <c r="G1482" t="e">
        <f ca="1">_xludf.MINIFS(CBIC_Late_Fee_Relief_Windows_1!$I$100:$I$1482,CBIC_Late_Fee_Relief_Windows_1!$D$100:$D$1482,"&lt;="&amp;B1482,CBIC_Late_Fee_Relief_Windows_1!$E$100:$E$1482,"&gt;="&amp;B1482,CBIC_Late_Fee_Relief_Windows_1!$F$100:$F$1482,"&lt;="&amp;C1482,CBIC_Late_Fee_Relief_Windows_1!$G$100:$G$1482,"&gt;="&amp;C1482,CBIC_Late_Fee_Relief_Windows_1!$H$100:$H$1482,D1482)</f>
        <v>#NAME?</v>
      </c>
      <c r="H1482" t="e">
        <f t="shared" ca="1" si="23"/>
        <v>#NAME?</v>
      </c>
      <c r="I1482" t="e">
        <f ca="1">INDEX(CBIC_Late_Fee_Relief_Windows_1!$B$100:$B$1482,MATCH(G1482,CBIC_Late_Fee_Relief_Windows_1!$I$100:$I$1482,0))</f>
        <v>#NAME?</v>
      </c>
    </row>
    <row r="1483" spans="1:9" x14ac:dyDescent="0.55000000000000004">
      <c r="A1483" t="str">
        <f>TEST_DATA!A1483</f>
        <v>27AAAAA1483Z5</v>
      </c>
      <c r="B1483" t="str">
        <f>TEST_DATA!B1483</f>
        <v>May-2020</v>
      </c>
      <c r="C1483">
        <f>TEST_DATA!C1483</f>
        <v>43917</v>
      </c>
      <c r="D1483" t="str">
        <f>TEST_DATA!D1483</f>
        <v>NIL</v>
      </c>
      <c r="E1483">
        <f>TEST_DATA!E1483</f>
        <v>1037</v>
      </c>
      <c r="F1483">
        <f>MIN(E1483*148300,10000)</f>
        <v>10000</v>
      </c>
      <c r="G1483" t="e">
        <f ca="1">_xludf.MINIFS(CBIC_Late_Fee_Relief_Windows_1!$I$100:$I$1483,CBIC_Late_Fee_Relief_Windows_1!$D$100:$D$1483,"&lt;="&amp;B1483,CBIC_Late_Fee_Relief_Windows_1!$E$100:$E$1483,"&gt;="&amp;B1483,CBIC_Late_Fee_Relief_Windows_1!$F$100:$F$1483,"&lt;="&amp;C1483,CBIC_Late_Fee_Relief_Windows_1!$G$100:$G$1483,"&gt;="&amp;C1483,CBIC_Late_Fee_Relief_Windows_1!$H$100:$H$1483,D1483)</f>
        <v>#NAME?</v>
      </c>
      <c r="H1483" t="e">
        <f t="shared" ca="1" si="23"/>
        <v>#NAME?</v>
      </c>
      <c r="I1483" t="e">
        <f ca="1">INDEX(CBIC_Late_Fee_Relief_Windows_1!$B$100:$B$1483,MATCH(G1483,CBIC_Late_Fee_Relief_Windows_1!$I$100:$I$1483,0))</f>
        <v>#NAME?</v>
      </c>
    </row>
    <row r="1484" spans="1:9" x14ac:dyDescent="0.55000000000000004">
      <c r="A1484" t="str">
        <f>TEST_DATA!A1484</f>
        <v>27AAAAA1484Z5</v>
      </c>
      <c r="B1484" t="str">
        <f>TEST_DATA!B1484</f>
        <v>Jan-2019</v>
      </c>
      <c r="C1484">
        <f>TEST_DATA!C1484</f>
        <v>44689</v>
      </c>
      <c r="D1484" t="str">
        <f>TEST_DATA!D1484</f>
        <v>NIL</v>
      </c>
      <c r="E1484">
        <f>TEST_DATA!E1484</f>
        <v>1476</v>
      </c>
      <c r="F1484">
        <f>MIN(E1484*148400,10000)</f>
        <v>10000</v>
      </c>
      <c r="G1484" t="e">
        <f ca="1">_xludf.MINIFS(CBIC_Late_Fee_Relief_Windows_1!$I$100:$I$1484,CBIC_Late_Fee_Relief_Windows_1!$D$100:$D$1484,"&lt;="&amp;B1484,CBIC_Late_Fee_Relief_Windows_1!$E$100:$E$1484,"&gt;="&amp;B1484,CBIC_Late_Fee_Relief_Windows_1!$F$100:$F$1484,"&lt;="&amp;C1484,CBIC_Late_Fee_Relief_Windows_1!$G$100:$G$1484,"&gt;="&amp;C1484,CBIC_Late_Fee_Relief_Windows_1!$H$100:$H$1484,D1484)</f>
        <v>#NAME?</v>
      </c>
      <c r="H1484" t="e">
        <f t="shared" ca="1" si="23"/>
        <v>#NAME?</v>
      </c>
      <c r="I1484" t="e">
        <f ca="1">INDEX(CBIC_Late_Fee_Relief_Windows_1!$B$100:$B$1484,MATCH(G1484,CBIC_Late_Fee_Relief_Windows_1!$I$100:$I$1484,0))</f>
        <v>#NAME?</v>
      </c>
    </row>
    <row r="1485" spans="1:9" x14ac:dyDescent="0.55000000000000004">
      <c r="A1485" t="str">
        <f>TEST_DATA!A1485</f>
        <v>27AAAAA1485Z5</v>
      </c>
      <c r="B1485" t="str">
        <f>TEST_DATA!B1485</f>
        <v>Dec-2024</v>
      </c>
      <c r="C1485">
        <f>TEST_DATA!C1485</f>
        <v>43679</v>
      </c>
      <c r="D1485" t="str">
        <f>TEST_DATA!D1485</f>
        <v>NIL</v>
      </c>
      <c r="E1485">
        <f>TEST_DATA!E1485</f>
        <v>462</v>
      </c>
      <c r="F1485">
        <f>MIN(E1485*148500,10000)</f>
        <v>10000</v>
      </c>
      <c r="G1485" t="e">
        <f ca="1">_xludf.MINIFS(CBIC_Late_Fee_Relief_Windows_1!$I$100:$I$1485,CBIC_Late_Fee_Relief_Windows_1!$D$100:$D$1485,"&lt;="&amp;B1485,CBIC_Late_Fee_Relief_Windows_1!$E$100:$E$1485,"&gt;="&amp;B1485,CBIC_Late_Fee_Relief_Windows_1!$F$100:$F$1485,"&lt;="&amp;C1485,CBIC_Late_Fee_Relief_Windows_1!$G$100:$G$1485,"&gt;="&amp;C1485,CBIC_Late_Fee_Relief_Windows_1!$H$100:$H$1485,D1485)</f>
        <v>#NAME?</v>
      </c>
      <c r="H1485" t="e">
        <f t="shared" ca="1" si="23"/>
        <v>#NAME?</v>
      </c>
      <c r="I1485" t="e">
        <f ca="1">INDEX(CBIC_Late_Fee_Relief_Windows_1!$B$100:$B$1485,MATCH(G1485,CBIC_Late_Fee_Relief_Windows_1!$I$100:$I$1485,0))</f>
        <v>#NAME?</v>
      </c>
    </row>
    <row r="1486" spans="1:9" x14ac:dyDescent="0.55000000000000004">
      <c r="A1486" t="str">
        <f>TEST_DATA!A1486</f>
        <v>27AAAAA1486Z5</v>
      </c>
      <c r="B1486" t="str">
        <f>TEST_DATA!B1486</f>
        <v>Feb-2018</v>
      </c>
      <c r="C1486">
        <f>TEST_DATA!C1486</f>
        <v>44213</v>
      </c>
      <c r="D1486" t="str">
        <f>TEST_DATA!D1486</f>
        <v>NON-NIL</v>
      </c>
      <c r="E1486">
        <f>TEST_DATA!E1486</f>
        <v>1329</v>
      </c>
      <c r="F1486">
        <f>MIN(E1486*148600,10000)</f>
        <v>10000</v>
      </c>
      <c r="G1486" t="e">
        <f ca="1">_xludf.MINIFS(CBIC_Late_Fee_Relief_Windows_1!$I$100:$I$1486,CBIC_Late_Fee_Relief_Windows_1!$D$100:$D$1486,"&lt;="&amp;B1486,CBIC_Late_Fee_Relief_Windows_1!$E$100:$E$1486,"&gt;="&amp;B1486,CBIC_Late_Fee_Relief_Windows_1!$F$100:$F$1486,"&lt;="&amp;C1486,CBIC_Late_Fee_Relief_Windows_1!$G$100:$G$1486,"&gt;="&amp;C1486,CBIC_Late_Fee_Relief_Windows_1!$H$100:$H$1486,D1486)</f>
        <v>#NAME?</v>
      </c>
      <c r="H1486" t="e">
        <f t="shared" ca="1" si="23"/>
        <v>#NAME?</v>
      </c>
      <c r="I1486" t="e">
        <f ca="1">INDEX(CBIC_Late_Fee_Relief_Windows_1!$B$100:$B$1486,MATCH(G1486,CBIC_Late_Fee_Relief_Windows_1!$I$100:$I$1486,0))</f>
        <v>#NAME?</v>
      </c>
    </row>
    <row r="1487" spans="1:9" x14ac:dyDescent="0.55000000000000004">
      <c r="A1487" t="str">
        <f>TEST_DATA!A1487</f>
        <v>27AAAAA1487Z5</v>
      </c>
      <c r="B1487" t="str">
        <f>TEST_DATA!B1487</f>
        <v>Jul-2017</v>
      </c>
      <c r="C1487">
        <f>TEST_DATA!C1487</f>
        <v>43259</v>
      </c>
      <c r="D1487" t="str">
        <f>TEST_DATA!D1487</f>
        <v>NON-NIL</v>
      </c>
      <c r="E1487">
        <f>TEST_DATA!E1487</f>
        <v>2394</v>
      </c>
      <c r="F1487">
        <f>MIN(E1487*148700,10000)</f>
        <v>10000</v>
      </c>
      <c r="G1487" t="e">
        <f ca="1">_xludf.MINIFS(CBIC_Late_Fee_Relief_Windows_1!$I$100:$I$1487,CBIC_Late_Fee_Relief_Windows_1!$D$100:$D$1487,"&lt;="&amp;B1487,CBIC_Late_Fee_Relief_Windows_1!$E$100:$E$1487,"&gt;="&amp;B1487,CBIC_Late_Fee_Relief_Windows_1!$F$100:$F$1487,"&lt;="&amp;C1487,CBIC_Late_Fee_Relief_Windows_1!$G$100:$G$1487,"&gt;="&amp;C1487,CBIC_Late_Fee_Relief_Windows_1!$H$100:$H$1487,D1487)</f>
        <v>#NAME?</v>
      </c>
      <c r="H1487" t="e">
        <f t="shared" ca="1" si="23"/>
        <v>#NAME?</v>
      </c>
      <c r="I1487" t="e">
        <f ca="1">INDEX(CBIC_Late_Fee_Relief_Windows_1!$B$100:$B$1487,MATCH(G1487,CBIC_Late_Fee_Relief_Windows_1!$I$100:$I$1487,0))</f>
        <v>#NAME?</v>
      </c>
    </row>
    <row r="1488" spans="1:9" x14ac:dyDescent="0.55000000000000004">
      <c r="A1488" t="str">
        <f>TEST_DATA!A1488</f>
        <v>27AAAAA1488Z5</v>
      </c>
      <c r="B1488" t="str">
        <f>TEST_DATA!B1488</f>
        <v>Oct-2017</v>
      </c>
      <c r="C1488">
        <f>TEST_DATA!C1488</f>
        <v>43727</v>
      </c>
      <c r="D1488" t="str">
        <f>TEST_DATA!D1488</f>
        <v>NIL</v>
      </c>
      <c r="E1488">
        <f>TEST_DATA!E1488</f>
        <v>36</v>
      </c>
      <c r="F1488">
        <f>MIN(E1488*148800,10000)</f>
        <v>10000</v>
      </c>
      <c r="G1488" t="e">
        <f ca="1">_xludf.MINIFS(CBIC_Late_Fee_Relief_Windows_1!$I$100:$I$1488,CBIC_Late_Fee_Relief_Windows_1!$D$100:$D$1488,"&lt;="&amp;B1488,CBIC_Late_Fee_Relief_Windows_1!$E$100:$E$1488,"&gt;="&amp;B1488,CBIC_Late_Fee_Relief_Windows_1!$F$100:$F$1488,"&lt;="&amp;C1488,CBIC_Late_Fee_Relief_Windows_1!$G$100:$G$1488,"&gt;="&amp;C1488,CBIC_Late_Fee_Relief_Windows_1!$H$100:$H$1488,D1488)</f>
        <v>#NAME?</v>
      </c>
      <c r="H1488" t="e">
        <f t="shared" ca="1" si="23"/>
        <v>#NAME?</v>
      </c>
      <c r="I1488" t="e">
        <f ca="1">INDEX(CBIC_Late_Fee_Relief_Windows_1!$B$100:$B$1488,MATCH(G1488,CBIC_Late_Fee_Relief_Windows_1!$I$100:$I$1488,0))</f>
        <v>#NAME?</v>
      </c>
    </row>
    <row r="1489" spans="1:9" x14ac:dyDescent="0.55000000000000004">
      <c r="A1489" t="str">
        <f>TEST_DATA!A1489</f>
        <v>27AAAAA1489Z5</v>
      </c>
      <c r="B1489" t="str">
        <f>TEST_DATA!B1489</f>
        <v>Aug-2017</v>
      </c>
      <c r="C1489">
        <f>TEST_DATA!C1489</f>
        <v>44107</v>
      </c>
      <c r="D1489" t="str">
        <f>TEST_DATA!D1489</f>
        <v>NON-NIL</v>
      </c>
      <c r="E1489">
        <f>TEST_DATA!E1489</f>
        <v>2819</v>
      </c>
      <c r="F1489">
        <f>MIN(E1489*148900,10000)</f>
        <v>10000</v>
      </c>
      <c r="G1489" t="e">
        <f ca="1">_xludf.MINIFS(CBIC_Late_Fee_Relief_Windows_1!$I$100:$I$1489,CBIC_Late_Fee_Relief_Windows_1!$D$100:$D$1489,"&lt;="&amp;B1489,CBIC_Late_Fee_Relief_Windows_1!$E$100:$E$1489,"&gt;="&amp;B1489,CBIC_Late_Fee_Relief_Windows_1!$F$100:$F$1489,"&lt;="&amp;C1489,CBIC_Late_Fee_Relief_Windows_1!$G$100:$G$1489,"&gt;="&amp;C1489,CBIC_Late_Fee_Relief_Windows_1!$H$100:$H$1489,D1489)</f>
        <v>#NAME?</v>
      </c>
      <c r="H1489" t="e">
        <f t="shared" ca="1" si="23"/>
        <v>#NAME?</v>
      </c>
      <c r="I1489" t="e">
        <f ca="1">INDEX(CBIC_Late_Fee_Relief_Windows_1!$B$100:$B$1489,MATCH(G1489,CBIC_Late_Fee_Relief_Windows_1!$I$100:$I$1489,0))</f>
        <v>#NAME?</v>
      </c>
    </row>
    <row r="1490" spans="1:9" x14ac:dyDescent="0.55000000000000004">
      <c r="A1490" t="str">
        <f>TEST_DATA!A1490</f>
        <v>27AAAAA1490Z5</v>
      </c>
      <c r="B1490" t="str">
        <f>TEST_DATA!B1490</f>
        <v>Apr-2020</v>
      </c>
      <c r="C1490">
        <f>TEST_DATA!C1490</f>
        <v>44148</v>
      </c>
      <c r="D1490" t="str">
        <f>TEST_DATA!D1490</f>
        <v>NON-NIL</v>
      </c>
      <c r="E1490">
        <f>TEST_DATA!E1490</f>
        <v>366</v>
      </c>
      <c r="F1490">
        <f>MIN(E1490*149000,10000)</f>
        <v>10000</v>
      </c>
      <c r="G1490" t="e">
        <f ca="1">_xludf.MINIFS(CBIC_Late_Fee_Relief_Windows_1!$I$100:$I$1490,CBIC_Late_Fee_Relief_Windows_1!$D$100:$D$1490,"&lt;="&amp;B1490,CBIC_Late_Fee_Relief_Windows_1!$E$100:$E$1490,"&gt;="&amp;B1490,CBIC_Late_Fee_Relief_Windows_1!$F$100:$F$1490,"&lt;="&amp;C1490,CBIC_Late_Fee_Relief_Windows_1!$G$100:$G$1490,"&gt;="&amp;C1490,CBIC_Late_Fee_Relief_Windows_1!$H$100:$H$1490,D1490)</f>
        <v>#NAME?</v>
      </c>
      <c r="H1490" t="e">
        <f t="shared" ca="1" si="23"/>
        <v>#NAME?</v>
      </c>
      <c r="I1490" t="e">
        <f ca="1">INDEX(CBIC_Late_Fee_Relief_Windows_1!$B$100:$B$1490,MATCH(G1490,CBIC_Late_Fee_Relief_Windows_1!$I$100:$I$1490,0))</f>
        <v>#NAME?</v>
      </c>
    </row>
    <row r="1491" spans="1:9" x14ac:dyDescent="0.55000000000000004">
      <c r="A1491" t="str">
        <f>TEST_DATA!A1491</f>
        <v>27AAAAA1491Z5</v>
      </c>
      <c r="B1491" t="str">
        <f>TEST_DATA!B1491</f>
        <v>Feb-2018</v>
      </c>
      <c r="C1491">
        <f>TEST_DATA!C1491</f>
        <v>43239</v>
      </c>
      <c r="D1491" t="str">
        <f>TEST_DATA!D1491</f>
        <v>NON-NIL</v>
      </c>
      <c r="E1491">
        <f>TEST_DATA!E1491</f>
        <v>374</v>
      </c>
      <c r="F1491">
        <f>MIN(E1491*149100,10000)</f>
        <v>10000</v>
      </c>
      <c r="G1491" t="e">
        <f ca="1">_xludf.MINIFS(CBIC_Late_Fee_Relief_Windows_1!$I$100:$I$1491,CBIC_Late_Fee_Relief_Windows_1!$D$100:$D$1491,"&lt;="&amp;B1491,CBIC_Late_Fee_Relief_Windows_1!$E$100:$E$1491,"&gt;="&amp;B1491,CBIC_Late_Fee_Relief_Windows_1!$F$100:$F$1491,"&lt;="&amp;C1491,CBIC_Late_Fee_Relief_Windows_1!$G$100:$G$1491,"&gt;="&amp;C1491,CBIC_Late_Fee_Relief_Windows_1!$H$100:$H$1491,D1491)</f>
        <v>#NAME?</v>
      </c>
      <c r="H1491" t="e">
        <f t="shared" ca="1" si="23"/>
        <v>#NAME?</v>
      </c>
      <c r="I1491" t="e">
        <f ca="1">INDEX(CBIC_Late_Fee_Relief_Windows_1!$B$100:$B$1491,MATCH(G1491,CBIC_Late_Fee_Relief_Windows_1!$I$100:$I$1491,0))</f>
        <v>#NAME?</v>
      </c>
    </row>
    <row r="1492" spans="1:9" x14ac:dyDescent="0.55000000000000004">
      <c r="A1492" t="str">
        <f>TEST_DATA!A1492</f>
        <v>27AAAAA1492Z5</v>
      </c>
      <c r="B1492" t="str">
        <f>TEST_DATA!B1492</f>
        <v>Jun-2020</v>
      </c>
      <c r="C1492">
        <f>TEST_DATA!C1492</f>
        <v>44524</v>
      </c>
      <c r="D1492" t="str">
        <f>TEST_DATA!D1492</f>
        <v>NIL</v>
      </c>
      <c r="E1492">
        <f>TEST_DATA!E1492</f>
        <v>244</v>
      </c>
      <c r="F1492">
        <f>MIN(E1492*149200,10000)</f>
        <v>10000</v>
      </c>
      <c r="G1492" t="e">
        <f ca="1">_xludf.MINIFS(CBIC_Late_Fee_Relief_Windows_1!$I$100:$I$1492,CBIC_Late_Fee_Relief_Windows_1!$D$100:$D$1492,"&lt;="&amp;B1492,CBIC_Late_Fee_Relief_Windows_1!$E$100:$E$1492,"&gt;="&amp;B1492,CBIC_Late_Fee_Relief_Windows_1!$F$100:$F$1492,"&lt;="&amp;C1492,CBIC_Late_Fee_Relief_Windows_1!$G$100:$G$1492,"&gt;="&amp;C1492,CBIC_Late_Fee_Relief_Windows_1!$H$100:$H$1492,D1492)</f>
        <v>#NAME?</v>
      </c>
      <c r="H1492" t="e">
        <f t="shared" ca="1" si="23"/>
        <v>#NAME?</v>
      </c>
      <c r="I1492" t="e">
        <f ca="1">INDEX(CBIC_Late_Fee_Relief_Windows_1!$B$100:$B$1492,MATCH(G1492,CBIC_Late_Fee_Relief_Windows_1!$I$100:$I$1492,0))</f>
        <v>#NAME?</v>
      </c>
    </row>
    <row r="1493" spans="1:9" x14ac:dyDescent="0.55000000000000004">
      <c r="A1493" t="str">
        <f>TEST_DATA!A1493</f>
        <v>27AAAAA1493Z5</v>
      </c>
      <c r="B1493" t="str">
        <f>TEST_DATA!B1493</f>
        <v>Jun-2018</v>
      </c>
      <c r="C1493">
        <f>TEST_DATA!C1493</f>
        <v>44237</v>
      </c>
      <c r="D1493" t="str">
        <f>TEST_DATA!D1493</f>
        <v>NIL</v>
      </c>
      <c r="E1493">
        <f>TEST_DATA!E1493</f>
        <v>2872</v>
      </c>
      <c r="F1493">
        <f>MIN(E1493*149300,10000)</f>
        <v>10000</v>
      </c>
      <c r="G1493" t="e">
        <f ca="1">_xludf.MINIFS(CBIC_Late_Fee_Relief_Windows_1!$I$100:$I$1493,CBIC_Late_Fee_Relief_Windows_1!$D$100:$D$1493,"&lt;="&amp;B1493,CBIC_Late_Fee_Relief_Windows_1!$E$100:$E$1493,"&gt;="&amp;B1493,CBIC_Late_Fee_Relief_Windows_1!$F$100:$F$1493,"&lt;="&amp;C1493,CBIC_Late_Fee_Relief_Windows_1!$G$100:$G$1493,"&gt;="&amp;C1493,CBIC_Late_Fee_Relief_Windows_1!$H$100:$H$1493,D1493)</f>
        <v>#NAME?</v>
      </c>
      <c r="H1493" t="e">
        <f t="shared" ca="1" si="23"/>
        <v>#NAME?</v>
      </c>
      <c r="I1493" t="e">
        <f ca="1">INDEX(CBIC_Late_Fee_Relief_Windows_1!$B$100:$B$1493,MATCH(G1493,CBIC_Late_Fee_Relief_Windows_1!$I$100:$I$1493,0))</f>
        <v>#NAME?</v>
      </c>
    </row>
    <row r="1494" spans="1:9" x14ac:dyDescent="0.55000000000000004">
      <c r="A1494" t="str">
        <f>TEST_DATA!A1494</f>
        <v>27AAAAA1494Z5</v>
      </c>
      <c r="B1494" t="str">
        <f>TEST_DATA!B1494</f>
        <v>Dec-2019</v>
      </c>
      <c r="C1494">
        <f>TEST_DATA!C1494</f>
        <v>43905</v>
      </c>
      <c r="D1494" t="str">
        <f>TEST_DATA!D1494</f>
        <v>NIL</v>
      </c>
      <c r="E1494">
        <f>TEST_DATA!E1494</f>
        <v>1998</v>
      </c>
      <c r="F1494">
        <f>MIN(E1494*149400,10000)</f>
        <v>10000</v>
      </c>
      <c r="G1494" t="e">
        <f ca="1">_xludf.MINIFS(CBIC_Late_Fee_Relief_Windows_1!$I$100:$I$1494,CBIC_Late_Fee_Relief_Windows_1!$D$100:$D$1494,"&lt;="&amp;B1494,CBIC_Late_Fee_Relief_Windows_1!$E$100:$E$1494,"&gt;="&amp;B1494,CBIC_Late_Fee_Relief_Windows_1!$F$100:$F$1494,"&lt;="&amp;C1494,CBIC_Late_Fee_Relief_Windows_1!$G$100:$G$1494,"&gt;="&amp;C1494,CBIC_Late_Fee_Relief_Windows_1!$H$100:$H$1494,D1494)</f>
        <v>#NAME?</v>
      </c>
      <c r="H1494" t="e">
        <f t="shared" ca="1" si="23"/>
        <v>#NAME?</v>
      </c>
      <c r="I1494" t="e">
        <f ca="1">INDEX(CBIC_Late_Fee_Relief_Windows_1!$B$100:$B$1494,MATCH(G1494,CBIC_Late_Fee_Relief_Windows_1!$I$100:$I$1494,0))</f>
        <v>#NAME?</v>
      </c>
    </row>
    <row r="1495" spans="1:9" x14ac:dyDescent="0.55000000000000004">
      <c r="A1495" t="str">
        <f>TEST_DATA!A1495</f>
        <v>27AAAAA1495Z5</v>
      </c>
      <c r="B1495" t="str">
        <f>TEST_DATA!B1495</f>
        <v>Feb-2018</v>
      </c>
      <c r="C1495">
        <f>TEST_DATA!C1495</f>
        <v>43565</v>
      </c>
      <c r="D1495" t="str">
        <f>TEST_DATA!D1495</f>
        <v>NON-NIL</v>
      </c>
      <c r="E1495">
        <f>TEST_DATA!E1495</f>
        <v>1796</v>
      </c>
      <c r="F1495">
        <f>MIN(E1495*149500,10000)</f>
        <v>10000</v>
      </c>
      <c r="G1495" t="e">
        <f ca="1">_xludf.MINIFS(CBIC_Late_Fee_Relief_Windows_1!$I$100:$I$1495,CBIC_Late_Fee_Relief_Windows_1!$D$100:$D$1495,"&lt;="&amp;B1495,CBIC_Late_Fee_Relief_Windows_1!$E$100:$E$1495,"&gt;="&amp;B1495,CBIC_Late_Fee_Relief_Windows_1!$F$100:$F$1495,"&lt;="&amp;C1495,CBIC_Late_Fee_Relief_Windows_1!$G$100:$G$1495,"&gt;="&amp;C1495,CBIC_Late_Fee_Relief_Windows_1!$H$100:$H$1495,D1495)</f>
        <v>#NAME?</v>
      </c>
      <c r="H1495" t="e">
        <f t="shared" ca="1" si="23"/>
        <v>#NAME?</v>
      </c>
      <c r="I1495" t="e">
        <f ca="1">INDEX(CBIC_Late_Fee_Relief_Windows_1!$B$100:$B$1495,MATCH(G1495,CBIC_Late_Fee_Relief_Windows_1!$I$100:$I$1495,0))</f>
        <v>#NAME?</v>
      </c>
    </row>
    <row r="1496" spans="1:9" x14ac:dyDescent="0.55000000000000004">
      <c r="A1496" t="str">
        <f>TEST_DATA!A1496</f>
        <v>27AAAAA1496Z5</v>
      </c>
      <c r="B1496" t="str">
        <f>TEST_DATA!B1496</f>
        <v>Jan-2021</v>
      </c>
      <c r="C1496">
        <f>TEST_DATA!C1496</f>
        <v>44256</v>
      </c>
      <c r="D1496" t="str">
        <f>TEST_DATA!D1496</f>
        <v>NIL</v>
      </c>
      <c r="E1496">
        <f>TEST_DATA!E1496</f>
        <v>2823</v>
      </c>
      <c r="F1496">
        <f>MIN(E1496*149600,10000)</f>
        <v>10000</v>
      </c>
      <c r="G1496" t="e">
        <f ca="1">_xludf.MINIFS(CBIC_Late_Fee_Relief_Windows_1!$I$100:$I$1496,CBIC_Late_Fee_Relief_Windows_1!$D$100:$D$1496,"&lt;="&amp;B1496,CBIC_Late_Fee_Relief_Windows_1!$E$100:$E$1496,"&gt;="&amp;B1496,CBIC_Late_Fee_Relief_Windows_1!$F$100:$F$1496,"&lt;="&amp;C1496,CBIC_Late_Fee_Relief_Windows_1!$G$100:$G$1496,"&gt;="&amp;C1496,CBIC_Late_Fee_Relief_Windows_1!$H$100:$H$1496,D1496)</f>
        <v>#NAME?</v>
      </c>
      <c r="H1496" t="e">
        <f t="shared" ca="1" si="23"/>
        <v>#NAME?</v>
      </c>
      <c r="I1496" t="e">
        <f ca="1">INDEX(CBIC_Late_Fee_Relief_Windows_1!$B$100:$B$1496,MATCH(G1496,CBIC_Late_Fee_Relief_Windows_1!$I$100:$I$1496,0))</f>
        <v>#NAME?</v>
      </c>
    </row>
    <row r="1497" spans="1:9" x14ac:dyDescent="0.55000000000000004">
      <c r="A1497" t="str">
        <f>TEST_DATA!A1497</f>
        <v>27AAAAA1497Z5</v>
      </c>
      <c r="B1497" t="str">
        <f>TEST_DATA!B1497</f>
        <v>Jul-2018</v>
      </c>
      <c r="C1497">
        <f>TEST_DATA!C1497</f>
        <v>43650</v>
      </c>
      <c r="D1497" t="str">
        <f>TEST_DATA!D1497</f>
        <v>NIL</v>
      </c>
      <c r="E1497">
        <f>TEST_DATA!E1497</f>
        <v>1026</v>
      </c>
      <c r="F1497">
        <f>MIN(E1497*149700,10000)</f>
        <v>10000</v>
      </c>
      <c r="G1497" t="e">
        <f ca="1">_xludf.MINIFS(CBIC_Late_Fee_Relief_Windows_1!$I$100:$I$1497,CBIC_Late_Fee_Relief_Windows_1!$D$100:$D$1497,"&lt;="&amp;B1497,CBIC_Late_Fee_Relief_Windows_1!$E$100:$E$1497,"&gt;="&amp;B1497,CBIC_Late_Fee_Relief_Windows_1!$F$100:$F$1497,"&lt;="&amp;C1497,CBIC_Late_Fee_Relief_Windows_1!$G$100:$G$1497,"&gt;="&amp;C1497,CBIC_Late_Fee_Relief_Windows_1!$H$100:$H$1497,D1497)</f>
        <v>#NAME?</v>
      </c>
      <c r="H1497" t="e">
        <f t="shared" ca="1" si="23"/>
        <v>#NAME?</v>
      </c>
      <c r="I1497" t="e">
        <f ca="1">INDEX(CBIC_Late_Fee_Relief_Windows_1!$B$100:$B$1497,MATCH(G1497,CBIC_Late_Fee_Relief_Windows_1!$I$100:$I$1497,0))</f>
        <v>#NAME?</v>
      </c>
    </row>
    <row r="1498" spans="1:9" x14ac:dyDescent="0.55000000000000004">
      <c r="A1498" t="str">
        <f>TEST_DATA!A1498</f>
        <v>27AAAAA1498Z5</v>
      </c>
      <c r="B1498" t="str">
        <f>TEST_DATA!B1498</f>
        <v>Dec-2024</v>
      </c>
      <c r="C1498">
        <f>TEST_DATA!C1498</f>
        <v>43627</v>
      </c>
      <c r="D1498" t="str">
        <f>TEST_DATA!D1498</f>
        <v>NON-NIL</v>
      </c>
      <c r="E1498">
        <f>TEST_DATA!E1498</f>
        <v>2894</v>
      </c>
      <c r="F1498">
        <f>MIN(E1498*149800,10000)</f>
        <v>10000</v>
      </c>
      <c r="G1498" t="e">
        <f ca="1">_xludf.MINIFS(CBIC_Late_Fee_Relief_Windows_1!$I$100:$I$1498,CBIC_Late_Fee_Relief_Windows_1!$D$100:$D$1498,"&lt;="&amp;B1498,CBIC_Late_Fee_Relief_Windows_1!$E$100:$E$1498,"&gt;="&amp;B1498,CBIC_Late_Fee_Relief_Windows_1!$F$100:$F$1498,"&lt;="&amp;C1498,CBIC_Late_Fee_Relief_Windows_1!$G$100:$G$1498,"&gt;="&amp;C1498,CBIC_Late_Fee_Relief_Windows_1!$H$100:$H$1498,D1498)</f>
        <v>#NAME?</v>
      </c>
      <c r="H1498" t="e">
        <f t="shared" ca="1" si="23"/>
        <v>#NAME?</v>
      </c>
      <c r="I1498" t="e">
        <f ca="1">INDEX(CBIC_Late_Fee_Relief_Windows_1!$B$100:$B$1498,MATCH(G1498,CBIC_Late_Fee_Relief_Windows_1!$I$100:$I$1498,0))</f>
        <v>#NAME?</v>
      </c>
    </row>
    <row r="1499" spans="1:9" x14ac:dyDescent="0.55000000000000004">
      <c r="A1499" t="str">
        <f>TEST_DATA!A1499</f>
        <v>27AAAAA1499Z5</v>
      </c>
      <c r="B1499" t="str">
        <f>TEST_DATA!B1499</f>
        <v>Sep-2018</v>
      </c>
      <c r="C1499">
        <f>TEST_DATA!C1499</f>
        <v>44061</v>
      </c>
      <c r="D1499" t="str">
        <f>TEST_DATA!D1499</f>
        <v>NON-NIL</v>
      </c>
      <c r="E1499">
        <f>TEST_DATA!E1499</f>
        <v>2223</v>
      </c>
      <c r="F1499">
        <f>MIN(E1499*149900,10000)</f>
        <v>10000</v>
      </c>
      <c r="G1499" t="e">
        <f ca="1">_xludf.MINIFS(CBIC_Late_Fee_Relief_Windows_1!$I$100:$I$1499,CBIC_Late_Fee_Relief_Windows_1!$D$100:$D$1499,"&lt;="&amp;B1499,CBIC_Late_Fee_Relief_Windows_1!$E$100:$E$1499,"&gt;="&amp;B1499,CBIC_Late_Fee_Relief_Windows_1!$F$100:$F$1499,"&lt;="&amp;C1499,CBIC_Late_Fee_Relief_Windows_1!$G$100:$G$1499,"&gt;="&amp;C1499,CBIC_Late_Fee_Relief_Windows_1!$H$100:$H$1499,D1499)</f>
        <v>#NAME?</v>
      </c>
      <c r="H1499" t="e">
        <f t="shared" ca="1" si="23"/>
        <v>#NAME?</v>
      </c>
      <c r="I1499" t="e">
        <f ca="1">INDEX(CBIC_Late_Fee_Relief_Windows_1!$B$100:$B$1499,MATCH(G1499,CBIC_Late_Fee_Relief_Windows_1!$I$100:$I$1499,0))</f>
        <v>#NAME?</v>
      </c>
    </row>
    <row r="1500" spans="1:9" x14ac:dyDescent="0.55000000000000004">
      <c r="A1500" t="str">
        <f>TEST_DATA!A1500</f>
        <v>27AAAAA1500Z5</v>
      </c>
      <c r="B1500" t="str">
        <f>TEST_DATA!B1500</f>
        <v>Jul-2020</v>
      </c>
      <c r="C1500">
        <f>TEST_DATA!C1500</f>
        <v>44834</v>
      </c>
      <c r="D1500" t="str">
        <f>TEST_DATA!D1500</f>
        <v>NIL</v>
      </c>
      <c r="E1500">
        <f>TEST_DATA!E1500</f>
        <v>2321</v>
      </c>
      <c r="F1500">
        <f>MIN(E1500*150000,10000)</f>
        <v>10000</v>
      </c>
      <c r="G1500" t="e">
        <f ca="1">_xludf.MINIFS(CBIC_Late_Fee_Relief_Windows_1!$I$100:$I$1500,CBIC_Late_Fee_Relief_Windows_1!$D$100:$D$1500,"&lt;="&amp;B1500,CBIC_Late_Fee_Relief_Windows_1!$E$100:$E$1500,"&gt;="&amp;B1500,CBIC_Late_Fee_Relief_Windows_1!$F$100:$F$1500,"&lt;="&amp;C1500,CBIC_Late_Fee_Relief_Windows_1!$G$100:$G$1500,"&gt;="&amp;C1500,CBIC_Late_Fee_Relief_Windows_1!$H$100:$H$1500,D1500)</f>
        <v>#NAME?</v>
      </c>
      <c r="H1500" t="e">
        <f t="shared" ca="1" si="23"/>
        <v>#NAME?</v>
      </c>
      <c r="I1500" t="e">
        <f ca="1">INDEX(CBIC_Late_Fee_Relief_Windows_1!$B$100:$B$1500,MATCH(G1500,CBIC_Late_Fee_Relief_Windows_1!$I$100:$I$1500,0))</f>
        <v>#NAME?</v>
      </c>
    </row>
    <row r="1501" spans="1:9" x14ac:dyDescent="0.55000000000000004">
      <c r="A1501" t="str">
        <f>TEST_DATA!A1501</f>
        <v>27AAAAA1501Z5</v>
      </c>
      <c r="B1501" t="str">
        <f>TEST_DATA!B1501</f>
        <v>Dec-2017</v>
      </c>
      <c r="C1501">
        <f>TEST_DATA!C1501</f>
        <v>44030</v>
      </c>
      <c r="D1501" t="str">
        <f>TEST_DATA!D1501</f>
        <v>NON-NIL</v>
      </c>
      <c r="E1501">
        <f>TEST_DATA!E1501</f>
        <v>1325</v>
      </c>
      <c r="F1501">
        <f>MIN(E1501*150100,10000)</f>
        <v>10000</v>
      </c>
      <c r="G1501" t="e">
        <f ca="1">_xludf.MINIFS(CBIC_Late_Fee_Relief_Windows_1!$I$100:$I$1501,CBIC_Late_Fee_Relief_Windows_1!$D$100:$D$1501,"&lt;="&amp;B1501,CBIC_Late_Fee_Relief_Windows_1!$E$100:$E$1501,"&gt;="&amp;B1501,CBIC_Late_Fee_Relief_Windows_1!$F$100:$F$1501,"&lt;="&amp;C1501,CBIC_Late_Fee_Relief_Windows_1!$G$100:$G$1501,"&gt;="&amp;C1501,CBIC_Late_Fee_Relief_Windows_1!$H$100:$H$1501,D1501)</f>
        <v>#NAME?</v>
      </c>
      <c r="H1501" t="e">
        <f t="shared" ca="1" si="23"/>
        <v>#NAME?</v>
      </c>
      <c r="I1501" t="e">
        <f ca="1">INDEX(CBIC_Late_Fee_Relief_Windows_1!$B$100:$B$1501,MATCH(G1501,CBIC_Late_Fee_Relief_Windows_1!$I$100:$I$1501,0))</f>
        <v>#NAME?</v>
      </c>
    </row>
    <row r="1502" spans="1:9" x14ac:dyDescent="0.55000000000000004">
      <c r="A1502" t="str">
        <f>TEST_DATA!A1502</f>
        <v>27AAAAA1502Z5</v>
      </c>
      <c r="B1502" t="str">
        <f>TEST_DATA!B1502</f>
        <v>Jan-2021</v>
      </c>
      <c r="C1502">
        <f>TEST_DATA!C1502</f>
        <v>45384</v>
      </c>
      <c r="D1502" t="str">
        <f>TEST_DATA!D1502</f>
        <v>NON-NIL</v>
      </c>
      <c r="E1502">
        <f>TEST_DATA!E1502</f>
        <v>2452</v>
      </c>
      <c r="F1502">
        <f>MIN(E1502*150200,10000)</f>
        <v>10000</v>
      </c>
      <c r="G1502" t="e">
        <f ca="1">_xludf.MINIFS(CBIC_Late_Fee_Relief_Windows_1!$I$100:$I$1502,CBIC_Late_Fee_Relief_Windows_1!$D$100:$D$1502,"&lt;="&amp;B1502,CBIC_Late_Fee_Relief_Windows_1!$E$100:$E$1502,"&gt;="&amp;B1502,CBIC_Late_Fee_Relief_Windows_1!$F$100:$F$1502,"&lt;="&amp;C1502,CBIC_Late_Fee_Relief_Windows_1!$G$100:$G$1502,"&gt;="&amp;C1502,CBIC_Late_Fee_Relief_Windows_1!$H$100:$H$1502,D1502)</f>
        <v>#NAME?</v>
      </c>
      <c r="H1502" t="e">
        <f t="shared" ca="1" si="23"/>
        <v>#NAME?</v>
      </c>
      <c r="I1502" t="e">
        <f ca="1">INDEX(CBIC_Late_Fee_Relief_Windows_1!$B$100:$B$1502,MATCH(G1502,CBIC_Late_Fee_Relief_Windows_1!$I$100:$I$1502,0))</f>
        <v>#NAME?</v>
      </c>
    </row>
    <row r="1503" spans="1:9" x14ac:dyDescent="0.55000000000000004">
      <c r="A1503" t="str">
        <f>TEST_DATA!A1503</f>
        <v>27AAAAA1503Z5</v>
      </c>
      <c r="B1503" t="str">
        <f>TEST_DATA!B1503</f>
        <v>Mar-2023</v>
      </c>
      <c r="C1503">
        <f>TEST_DATA!C1503</f>
        <v>45737</v>
      </c>
      <c r="D1503" t="str">
        <f>TEST_DATA!D1503</f>
        <v>NIL</v>
      </c>
      <c r="E1503">
        <f>TEST_DATA!E1503</f>
        <v>282</v>
      </c>
      <c r="F1503">
        <f>MIN(E1503*150300,10000)</f>
        <v>10000</v>
      </c>
      <c r="G1503" t="e">
        <f ca="1">_xludf.MINIFS(CBIC_Late_Fee_Relief_Windows_1!$I$100:$I$1503,CBIC_Late_Fee_Relief_Windows_1!$D$100:$D$1503,"&lt;="&amp;B1503,CBIC_Late_Fee_Relief_Windows_1!$E$100:$E$1503,"&gt;="&amp;B1503,CBIC_Late_Fee_Relief_Windows_1!$F$100:$F$1503,"&lt;="&amp;C1503,CBIC_Late_Fee_Relief_Windows_1!$G$100:$G$1503,"&gt;="&amp;C1503,CBIC_Late_Fee_Relief_Windows_1!$H$100:$H$1503,D1503)</f>
        <v>#NAME?</v>
      </c>
      <c r="H1503" t="e">
        <f t="shared" ca="1" si="23"/>
        <v>#NAME?</v>
      </c>
      <c r="I1503" t="e">
        <f ca="1">INDEX(CBIC_Late_Fee_Relief_Windows_1!$B$100:$B$1503,MATCH(G1503,CBIC_Late_Fee_Relief_Windows_1!$I$100:$I$1503,0))</f>
        <v>#NAME?</v>
      </c>
    </row>
    <row r="1504" spans="1:9" x14ac:dyDescent="0.55000000000000004">
      <c r="A1504" t="str">
        <f>TEST_DATA!A1504</f>
        <v>27AAAAA1504Z5</v>
      </c>
      <c r="B1504" t="str">
        <f>TEST_DATA!B1504</f>
        <v>Jun-2019</v>
      </c>
      <c r="C1504">
        <f>TEST_DATA!C1504</f>
        <v>44100</v>
      </c>
      <c r="D1504" t="str">
        <f>TEST_DATA!D1504</f>
        <v>NON-NIL</v>
      </c>
      <c r="E1504">
        <f>TEST_DATA!E1504</f>
        <v>1211</v>
      </c>
      <c r="F1504">
        <f>MIN(E1504*150400,10000)</f>
        <v>10000</v>
      </c>
      <c r="G1504" t="e">
        <f ca="1">_xludf.MINIFS(CBIC_Late_Fee_Relief_Windows_1!$I$100:$I$1504,CBIC_Late_Fee_Relief_Windows_1!$D$100:$D$1504,"&lt;="&amp;B1504,CBIC_Late_Fee_Relief_Windows_1!$E$100:$E$1504,"&gt;="&amp;B1504,CBIC_Late_Fee_Relief_Windows_1!$F$100:$F$1504,"&lt;="&amp;C1504,CBIC_Late_Fee_Relief_Windows_1!$G$100:$G$1504,"&gt;="&amp;C1504,CBIC_Late_Fee_Relief_Windows_1!$H$100:$H$1504,D1504)</f>
        <v>#NAME?</v>
      </c>
      <c r="H1504" t="e">
        <f t="shared" ca="1" si="23"/>
        <v>#NAME?</v>
      </c>
      <c r="I1504" t="e">
        <f ca="1">INDEX(CBIC_Late_Fee_Relief_Windows_1!$B$100:$B$1504,MATCH(G1504,CBIC_Late_Fee_Relief_Windows_1!$I$100:$I$1504,0))</f>
        <v>#NAME?</v>
      </c>
    </row>
    <row r="1505" spans="1:9" x14ac:dyDescent="0.55000000000000004">
      <c r="A1505" t="str">
        <f>TEST_DATA!A1505</f>
        <v>27AAAAA1505Z5</v>
      </c>
      <c r="B1505" t="str">
        <f>TEST_DATA!B1505</f>
        <v>Dec-2022</v>
      </c>
      <c r="C1505">
        <f>TEST_DATA!C1505</f>
        <v>44544</v>
      </c>
      <c r="D1505" t="str">
        <f>TEST_DATA!D1505</f>
        <v>NON-NIL</v>
      </c>
      <c r="E1505">
        <f>TEST_DATA!E1505</f>
        <v>1859</v>
      </c>
      <c r="F1505">
        <f>MIN(E1505*150500,10000)</f>
        <v>10000</v>
      </c>
      <c r="G1505" t="e">
        <f ca="1">_xludf.MINIFS(CBIC_Late_Fee_Relief_Windows_1!$I$100:$I$1505,CBIC_Late_Fee_Relief_Windows_1!$D$100:$D$1505,"&lt;="&amp;B1505,CBIC_Late_Fee_Relief_Windows_1!$E$100:$E$1505,"&gt;="&amp;B1505,CBIC_Late_Fee_Relief_Windows_1!$F$100:$F$1505,"&lt;="&amp;C1505,CBIC_Late_Fee_Relief_Windows_1!$G$100:$G$1505,"&gt;="&amp;C1505,CBIC_Late_Fee_Relief_Windows_1!$H$100:$H$1505,D1505)</f>
        <v>#NAME?</v>
      </c>
      <c r="H1505" t="e">
        <f t="shared" ca="1" si="23"/>
        <v>#NAME?</v>
      </c>
      <c r="I1505" t="e">
        <f ca="1">INDEX(CBIC_Late_Fee_Relief_Windows_1!$B$100:$B$1505,MATCH(G1505,CBIC_Late_Fee_Relief_Windows_1!$I$100:$I$1505,0))</f>
        <v>#NAME?</v>
      </c>
    </row>
    <row r="1506" spans="1:9" x14ac:dyDescent="0.55000000000000004">
      <c r="A1506" t="str">
        <f>TEST_DATA!A1506</f>
        <v>27AAAAA1506Z5</v>
      </c>
      <c r="B1506" t="str">
        <f>TEST_DATA!B1506</f>
        <v>Jul-2017</v>
      </c>
      <c r="C1506">
        <f>TEST_DATA!C1506</f>
        <v>44506</v>
      </c>
      <c r="D1506" t="str">
        <f>TEST_DATA!D1506</f>
        <v>NON-NIL</v>
      </c>
      <c r="E1506">
        <f>TEST_DATA!E1506</f>
        <v>759</v>
      </c>
      <c r="F1506">
        <f>MIN(E1506*150600,10000)</f>
        <v>10000</v>
      </c>
      <c r="G1506" t="e">
        <f ca="1">_xludf.MINIFS(CBIC_Late_Fee_Relief_Windows_1!$I$100:$I$1506,CBIC_Late_Fee_Relief_Windows_1!$D$100:$D$1506,"&lt;="&amp;B1506,CBIC_Late_Fee_Relief_Windows_1!$E$100:$E$1506,"&gt;="&amp;B1506,CBIC_Late_Fee_Relief_Windows_1!$F$100:$F$1506,"&lt;="&amp;C1506,CBIC_Late_Fee_Relief_Windows_1!$G$100:$G$1506,"&gt;="&amp;C1506,CBIC_Late_Fee_Relief_Windows_1!$H$100:$H$1506,D1506)</f>
        <v>#NAME?</v>
      </c>
      <c r="H1506" t="e">
        <f t="shared" ca="1" si="23"/>
        <v>#NAME?</v>
      </c>
      <c r="I1506" t="e">
        <f ca="1">INDEX(CBIC_Late_Fee_Relief_Windows_1!$B$100:$B$1506,MATCH(G1506,CBIC_Late_Fee_Relief_Windows_1!$I$100:$I$1506,0))</f>
        <v>#NAME?</v>
      </c>
    </row>
    <row r="1507" spans="1:9" x14ac:dyDescent="0.55000000000000004">
      <c r="A1507" t="str">
        <f>TEST_DATA!A1507</f>
        <v>27AAAAA1507Z5</v>
      </c>
      <c r="B1507" t="str">
        <f>TEST_DATA!B1507</f>
        <v>Dec-2024</v>
      </c>
      <c r="C1507">
        <f>TEST_DATA!C1507</f>
        <v>43542</v>
      </c>
      <c r="D1507" t="str">
        <f>TEST_DATA!D1507</f>
        <v>NON-NIL</v>
      </c>
      <c r="E1507">
        <f>TEST_DATA!E1507</f>
        <v>2540</v>
      </c>
      <c r="F1507">
        <f>MIN(E1507*150700,10000)</f>
        <v>10000</v>
      </c>
      <c r="G1507" t="e">
        <f ca="1">_xludf.MINIFS(CBIC_Late_Fee_Relief_Windows_1!$I$100:$I$1507,CBIC_Late_Fee_Relief_Windows_1!$D$100:$D$1507,"&lt;="&amp;B1507,CBIC_Late_Fee_Relief_Windows_1!$E$100:$E$1507,"&gt;="&amp;B1507,CBIC_Late_Fee_Relief_Windows_1!$F$100:$F$1507,"&lt;="&amp;C1507,CBIC_Late_Fee_Relief_Windows_1!$G$100:$G$1507,"&gt;="&amp;C1507,CBIC_Late_Fee_Relief_Windows_1!$H$100:$H$1507,D1507)</f>
        <v>#NAME?</v>
      </c>
      <c r="H1507" t="e">
        <f t="shared" ca="1" si="23"/>
        <v>#NAME?</v>
      </c>
      <c r="I1507" t="e">
        <f ca="1">INDEX(CBIC_Late_Fee_Relief_Windows_1!$B$100:$B$1507,MATCH(G1507,CBIC_Late_Fee_Relief_Windows_1!$I$100:$I$1507,0))</f>
        <v>#NAME?</v>
      </c>
    </row>
    <row r="1508" spans="1:9" x14ac:dyDescent="0.55000000000000004">
      <c r="A1508" t="str">
        <f>TEST_DATA!A1508</f>
        <v>27AAAAA1508Z5</v>
      </c>
      <c r="B1508" t="str">
        <f>TEST_DATA!B1508</f>
        <v>Feb-2018</v>
      </c>
      <c r="C1508">
        <f>TEST_DATA!C1508</f>
        <v>43573</v>
      </c>
      <c r="D1508" t="str">
        <f>TEST_DATA!D1508</f>
        <v>NIL</v>
      </c>
      <c r="E1508">
        <f>TEST_DATA!E1508</f>
        <v>2696</v>
      </c>
      <c r="F1508">
        <f>MIN(E1508*150800,10000)</f>
        <v>10000</v>
      </c>
      <c r="G1508" t="e">
        <f ca="1">_xludf.MINIFS(CBIC_Late_Fee_Relief_Windows_1!$I$100:$I$1508,CBIC_Late_Fee_Relief_Windows_1!$D$100:$D$1508,"&lt;="&amp;B1508,CBIC_Late_Fee_Relief_Windows_1!$E$100:$E$1508,"&gt;="&amp;B1508,CBIC_Late_Fee_Relief_Windows_1!$F$100:$F$1508,"&lt;="&amp;C1508,CBIC_Late_Fee_Relief_Windows_1!$G$100:$G$1508,"&gt;="&amp;C1508,CBIC_Late_Fee_Relief_Windows_1!$H$100:$H$1508,D1508)</f>
        <v>#NAME?</v>
      </c>
      <c r="H1508" t="e">
        <f t="shared" ca="1" si="23"/>
        <v>#NAME?</v>
      </c>
      <c r="I1508" t="e">
        <f ca="1">INDEX(CBIC_Late_Fee_Relief_Windows_1!$B$100:$B$1508,MATCH(G1508,CBIC_Late_Fee_Relief_Windows_1!$I$100:$I$1508,0))</f>
        <v>#NAME?</v>
      </c>
    </row>
    <row r="1509" spans="1:9" x14ac:dyDescent="0.55000000000000004">
      <c r="A1509" t="str">
        <f>TEST_DATA!A1509</f>
        <v>27AAAAA1509Z5</v>
      </c>
      <c r="B1509" t="str">
        <f>TEST_DATA!B1509</f>
        <v>Dec-2019</v>
      </c>
      <c r="C1509">
        <f>TEST_DATA!C1509</f>
        <v>45053</v>
      </c>
      <c r="D1509" t="str">
        <f>TEST_DATA!D1509</f>
        <v>NIL</v>
      </c>
      <c r="E1509">
        <f>TEST_DATA!E1509</f>
        <v>2146</v>
      </c>
      <c r="F1509">
        <f>MIN(E1509*150900,10000)</f>
        <v>10000</v>
      </c>
      <c r="G1509" t="e">
        <f ca="1">_xludf.MINIFS(CBIC_Late_Fee_Relief_Windows_1!$I$100:$I$1509,CBIC_Late_Fee_Relief_Windows_1!$D$100:$D$1509,"&lt;="&amp;B1509,CBIC_Late_Fee_Relief_Windows_1!$E$100:$E$1509,"&gt;="&amp;B1509,CBIC_Late_Fee_Relief_Windows_1!$F$100:$F$1509,"&lt;="&amp;C1509,CBIC_Late_Fee_Relief_Windows_1!$G$100:$G$1509,"&gt;="&amp;C1509,CBIC_Late_Fee_Relief_Windows_1!$H$100:$H$1509,D1509)</f>
        <v>#NAME?</v>
      </c>
      <c r="H1509" t="e">
        <f t="shared" ca="1" si="23"/>
        <v>#NAME?</v>
      </c>
      <c r="I1509" t="e">
        <f ca="1">INDEX(CBIC_Late_Fee_Relief_Windows_1!$B$100:$B$1509,MATCH(G1509,CBIC_Late_Fee_Relief_Windows_1!$I$100:$I$1509,0))</f>
        <v>#NAME?</v>
      </c>
    </row>
    <row r="1510" spans="1:9" x14ac:dyDescent="0.55000000000000004">
      <c r="A1510" t="str">
        <f>TEST_DATA!A1510</f>
        <v>27AAAAA1510Z5</v>
      </c>
      <c r="B1510" t="str">
        <f>TEST_DATA!B1510</f>
        <v>Jun-2020</v>
      </c>
      <c r="C1510">
        <f>TEST_DATA!C1510</f>
        <v>44849</v>
      </c>
      <c r="D1510" t="str">
        <f>TEST_DATA!D1510</f>
        <v>NIL</v>
      </c>
      <c r="E1510">
        <f>TEST_DATA!E1510</f>
        <v>2511</v>
      </c>
      <c r="F1510">
        <f>MIN(E1510*151000,10000)</f>
        <v>10000</v>
      </c>
      <c r="G1510" t="e">
        <f ca="1">_xludf.MINIFS(CBIC_Late_Fee_Relief_Windows_1!$I$100:$I$1510,CBIC_Late_Fee_Relief_Windows_1!$D$100:$D$1510,"&lt;="&amp;B1510,CBIC_Late_Fee_Relief_Windows_1!$E$100:$E$1510,"&gt;="&amp;B1510,CBIC_Late_Fee_Relief_Windows_1!$F$100:$F$1510,"&lt;="&amp;C1510,CBIC_Late_Fee_Relief_Windows_1!$G$100:$G$1510,"&gt;="&amp;C1510,CBIC_Late_Fee_Relief_Windows_1!$H$100:$H$1510,D1510)</f>
        <v>#NAME?</v>
      </c>
      <c r="H1510" t="e">
        <f t="shared" ca="1" si="23"/>
        <v>#NAME?</v>
      </c>
      <c r="I1510" t="e">
        <f ca="1">INDEX(CBIC_Late_Fee_Relief_Windows_1!$B$100:$B$1510,MATCH(G1510,CBIC_Late_Fee_Relief_Windows_1!$I$100:$I$1510,0))</f>
        <v>#NAME?</v>
      </c>
    </row>
    <row r="1511" spans="1:9" x14ac:dyDescent="0.55000000000000004">
      <c r="A1511" t="str">
        <f>TEST_DATA!A1511</f>
        <v>27AAAAA1511Z5</v>
      </c>
      <c r="B1511" t="str">
        <f>TEST_DATA!B1511</f>
        <v>Apr-2018</v>
      </c>
      <c r="C1511">
        <f>TEST_DATA!C1511</f>
        <v>43577</v>
      </c>
      <c r="D1511" t="str">
        <f>TEST_DATA!D1511</f>
        <v>NON-NIL</v>
      </c>
      <c r="E1511">
        <f>TEST_DATA!E1511</f>
        <v>2625</v>
      </c>
      <c r="F1511">
        <f>MIN(E1511*151100,10000)</f>
        <v>10000</v>
      </c>
      <c r="G1511" t="e">
        <f ca="1">_xludf.MINIFS(CBIC_Late_Fee_Relief_Windows_1!$I$100:$I$1511,CBIC_Late_Fee_Relief_Windows_1!$D$100:$D$1511,"&lt;="&amp;B1511,CBIC_Late_Fee_Relief_Windows_1!$E$100:$E$1511,"&gt;="&amp;B1511,CBIC_Late_Fee_Relief_Windows_1!$F$100:$F$1511,"&lt;="&amp;C1511,CBIC_Late_Fee_Relief_Windows_1!$G$100:$G$1511,"&gt;="&amp;C1511,CBIC_Late_Fee_Relief_Windows_1!$H$100:$H$1511,D1511)</f>
        <v>#NAME?</v>
      </c>
      <c r="H1511" t="e">
        <f t="shared" ca="1" si="23"/>
        <v>#NAME?</v>
      </c>
      <c r="I1511" t="e">
        <f ca="1">INDEX(CBIC_Late_Fee_Relief_Windows_1!$B$100:$B$1511,MATCH(G1511,CBIC_Late_Fee_Relief_Windows_1!$I$100:$I$1511,0))</f>
        <v>#NAME?</v>
      </c>
    </row>
    <row r="1512" spans="1:9" x14ac:dyDescent="0.55000000000000004">
      <c r="A1512" t="str">
        <f>TEST_DATA!A1512</f>
        <v>27AAAAA1512Z5</v>
      </c>
      <c r="B1512" t="str">
        <f>TEST_DATA!B1512</f>
        <v>May-2018</v>
      </c>
      <c r="C1512">
        <f>TEST_DATA!C1512</f>
        <v>43143</v>
      </c>
      <c r="D1512" t="str">
        <f>TEST_DATA!D1512</f>
        <v>NIL</v>
      </c>
      <c r="E1512">
        <f>TEST_DATA!E1512</f>
        <v>2143</v>
      </c>
      <c r="F1512">
        <f>MIN(E1512*151200,10000)</f>
        <v>10000</v>
      </c>
      <c r="G1512" t="e">
        <f ca="1">_xludf.MINIFS(CBIC_Late_Fee_Relief_Windows_1!$I$100:$I$1512,CBIC_Late_Fee_Relief_Windows_1!$D$100:$D$1512,"&lt;="&amp;B1512,CBIC_Late_Fee_Relief_Windows_1!$E$100:$E$1512,"&gt;="&amp;B1512,CBIC_Late_Fee_Relief_Windows_1!$F$100:$F$1512,"&lt;="&amp;C1512,CBIC_Late_Fee_Relief_Windows_1!$G$100:$G$1512,"&gt;="&amp;C1512,CBIC_Late_Fee_Relief_Windows_1!$H$100:$H$1512,D1512)</f>
        <v>#NAME?</v>
      </c>
      <c r="H1512" t="e">
        <f t="shared" ca="1" si="23"/>
        <v>#NAME?</v>
      </c>
      <c r="I1512" t="e">
        <f ca="1">INDEX(CBIC_Late_Fee_Relief_Windows_1!$B$100:$B$1512,MATCH(G1512,CBIC_Late_Fee_Relief_Windows_1!$I$100:$I$1512,0))</f>
        <v>#NAME?</v>
      </c>
    </row>
    <row r="1513" spans="1:9" x14ac:dyDescent="0.55000000000000004">
      <c r="A1513" t="str">
        <f>TEST_DATA!A1513</f>
        <v>27AAAAA1513Z5</v>
      </c>
      <c r="B1513" t="str">
        <f>TEST_DATA!B1513</f>
        <v>Jun-2020</v>
      </c>
      <c r="C1513">
        <f>TEST_DATA!C1513</f>
        <v>43967</v>
      </c>
      <c r="D1513" t="str">
        <f>TEST_DATA!D1513</f>
        <v>NIL</v>
      </c>
      <c r="E1513">
        <f>TEST_DATA!E1513</f>
        <v>531</v>
      </c>
      <c r="F1513">
        <f>MIN(E1513*151300,10000)</f>
        <v>10000</v>
      </c>
      <c r="G1513" t="e">
        <f ca="1">_xludf.MINIFS(CBIC_Late_Fee_Relief_Windows_1!$I$100:$I$1513,CBIC_Late_Fee_Relief_Windows_1!$D$100:$D$1513,"&lt;="&amp;B1513,CBIC_Late_Fee_Relief_Windows_1!$E$100:$E$1513,"&gt;="&amp;B1513,CBIC_Late_Fee_Relief_Windows_1!$F$100:$F$1513,"&lt;="&amp;C1513,CBIC_Late_Fee_Relief_Windows_1!$G$100:$G$1513,"&gt;="&amp;C1513,CBIC_Late_Fee_Relief_Windows_1!$H$100:$H$1513,D1513)</f>
        <v>#NAME?</v>
      </c>
      <c r="H1513" t="e">
        <f t="shared" ca="1" si="23"/>
        <v>#NAME?</v>
      </c>
      <c r="I1513" t="e">
        <f ca="1">INDEX(CBIC_Late_Fee_Relief_Windows_1!$B$100:$B$1513,MATCH(G1513,CBIC_Late_Fee_Relief_Windows_1!$I$100:$I$1513,0))</f>
        <v>#NAME?</v>
      </c>
    </row>
    <row r="1514" spans="1:9" x14ac:dyDescent="0.55000000000000004">
      <c r="A1514" t="str">
        <f>TEST_DATA!A1514</f>
        <v>27AAAAA1514Z5</v>
      </c>
      <c r="B1514" t="str">
        <f>TEST_DATA!B1514</f>
        <v>Dec-2017</v>
      </c>
      <c r="C1514">
        <f>TEST_DATA!C1514</f>
        <v>42981</v>
      </c>
      <c r="D1514" t="str">
        <f>TEST_DATA!D1514</f>
        <v>NIL</v>
      </c>
      <c r="E1514">
        <f>TEST_DATA!E1514</f>
        <v>438</v>
      </c>
      <c r="F1514">
        <f>MIN(E1514*151400,10000)</f>
        <v>10000</v>
      </c>
      <c r="G1514" t="e">
        <f ca="1">_xludf.MINIFS(CBIC_Late_Fee_Relief_Windows_1!$I$100:$I$1514,CBIC_Late_Fee_Relief_Windows_1!$D$100:$D$1514,"&lt;="&amp;B1514,CBIC_Late_Fee_Relief_Windows_1!$E$100:$E$1514,"&gt;="&amp;B1514,CBIC_Late_Fee_Relief_Windows_1!$F$100:$F$1514,"&lt;="&amp;C1514,CBIC_Late_Fee_Relief_Windows_1!$G$100:$G$1514,"&gt;="&amp;C1514,CBIC_Late_Fee_Relief_Windows_1!$H$100:$H$1514,D1514)</f>
        <v>#NAME?</v>
      </c>
      <c r="H1514" t="e">
        <f t="shared" ca="1" si="23"/>
        <v>#NAME?</v>
      </c>
      <c r="I1514" t="e">
        <f ca="1">INDEX(CBIC_Late_Fee_Relief_Windows_1!$B$100:$B$1514,MATCH(G1514,CBIC_Late_Fee_Relief_Windows_1!$I$100:$I$1514,0))</f>
        <v>#NAME?</v>
      </c>
    </row>
    <row r="1515" spans="1:9" x14ac:dyDescent="0.55000000000000004">
      <c r="A1515" t="str">
        <f>TEST_DATA!A1515</f>
        <v>27AAAAA1515Z5</v>
      </c>
      <c r="B1515" t="str">
        <f>TEST_DATA!B1515</f>
        <v>Jan-2019</v>
      </c>
      <c r="C1515">
        <f>TEST_DATA!C1515</f>
        <v>44250</v>
      </c>
      <c r="D1515" t="str">
        <f>TEST_DATA!D1515</f>
        <v>NIL</v>
      </c>
      <c r="E1515">
        <f>TEST_DATA!E1515</f>
        <v>130</v>
      </c>
      <c r="F1515">
        <f>MIN(E1515*151500,10000)</f>
        <v>10000</v>
      </c>
      <c r="G1515" t="e">
        <f ca="1">_xludf.MINIFS(CBIC_Late_Fee_Relief_Windows_1!$I$100:$I$1515,CBIC_Late_Fee_Relief_Windows_1!$D$100:$D$1515,"&lt;="&amp;B1515,CBIC_Late_Fee_Relief_Windows_1!$E$100:$E$1515,"&gt;="&amp;B1515,CBIC_Late_Fee_Relief_Windows_1!$F$100:$F$1515,"&lt;="&amp;C1515,CBIC_Late_Fee_Relief_Windows_1!$G$100:$G$1515,"&gt;="&amp;C1515,CBIC_Late_Fee_Relief_Windows_1!$H$100:$H$1515,D1515)</f>
        <v>#NAME?</v>
      </c>
      <c r="H1515" t="e">
        <f t="shared" ca="1" si="23"/>
        <v>#NAME?</v>
      </c>
      <c r="I1515" t="e">
        <f ca="1">INDEX(CBIC_Late_Fee_Relief_Windows_1!$B$100:$B$1515,MATCH(G1515,CBIC_Late_Fee_Relief_Windows_1!$I$100:$I$1515,0))</f>
        <v>#NAME?</v>
      </c>
    </row>
    <row r="1516" spans="1:9" x14ac:dyDescent="0.55000000000000004">
      <c r="A1516" t="str">
        <f>TEST_DATA!A1516</f>
        <v>27AAAAA1516Z5</v>
      </c>
      <c r="B1516" t="str">
        <f>TEST_DATA!B1516</f>
        <v>Mar-2020</v>
      </c>
      <c r="C1516">
        <f>TEST_DATA!C1516</f>
        <v>44626</v>
      </c>
      <c r="D1516" t="str">
        <f>TEST_DATA!D1516</f>
        <v>NON-NIL</v>
      </c>
      <c r="E1516">
        <f>TEST_DATA!E1516</f>
        <v>2153</v>
      </c>
      <c r="F1516">
        <f>MIN(E1516*151600,10000)</f>
        <v>10000</v>
      </c>
      <c r="G1516" t="e">
        <f ca="1">_xludf.MINIFS(CBIC_Late_Fee_Relief_Windows_1!$I$100:$I$1516,CBIC_Late_Fee_Relief_Windows_1!$D$100:$D$1516,"&lt;="&amp;B1516,CBIC_Late_Fee_Relief_Windows_1!$E$100:$E$1516,"&gt;="&amp;B1516,CBIC_Late_Fee_Relief_Windows_1!$F$100:$F$1516,"&lt;="&amp;C1516,CBIC_Late_Fee_Relief_Windows_1!$G$100:$G$1516,"&gt;="&amp;C1516,CBIC_Late_Fee_Relief_Windows_1!$H$100:$H$1516,D1516)</f>
        <v>#NAME?</v>
      </c>
      <c r="H1516" t="e">
        <f t="shared" ca="1" si="23"/>
        <v>#NAME?</v>
      </c>
      <c r="I1516" t="e">
        <f ca="1">INDEX(CBIC_Late_Fee_Relief_Windows_1!$B$100:$B$1516,MATCH(G1516,CBIC_Late_Fee_Relief_Windows_1!$I$100:$I$1516,0))</f>
        <v>#NAME?</v>
      </c>
    </row>
    <row r="1517" spans="1:9" x14ac:dyDescent="0.55000000000000004">
      <c r="A1517" t="str">
        <f>TEST_DATA!A1517</f>
        <v>27AAAAA1517Z5</v>
      </c>
      <c r="B1517" t="str">
        <f>TEST_DATA!B1517</f>
        <v>Apr-2020</v>
      </c>
      <c r="C1517">
        <f>TEST_DATA!C1517</f>
        <v>44355</v>
      </c>
      <c r="D1517" t="str">
        <f>TEST_DATA!D1517</f>
        <v>NIL</v>
      </c>
      <c r="E1517">
        <f>TEST_DATA!E1517</f>
        <v>1500</v>
      </c>
      <c r="F1517">
        <f>MIN(E1517*151700,10000)</f>
        <v>10000</v>
      </c>
      <c r="G1517" t="e">
        <f ca="1">_xludf.MINIFS(CBIC_Late_Fee_Relief_Windows_1!$I$100:$I$1517,CBIC_Late_Fee_Relief_Windows_1!$D$100:$D$1517,"&lt;="&amp;B1517,CBIC_Late_Fee_Relief_Windows_1!$E$100:$E$1517,"&gt;="&amp;B1517,CBIC_Late_Fee_Relief_Windows_1!$F$100:$F$1517,"&lt;="&amp;C1517,CBIC_Late_Fee_Relief_Windows_1!$G$100:$G$1517,"&gt;="&amp;C1517,CBIC_Late_Fee_Relief_Windows_1!$H$100:$H$1517,D1517)</f>
        <v>#NAME?</v>
      </c>
      <c r="H1517" t="e">
        <f t="shared" ca="1" si="23"/>
        <v>#NAME?</v>
      </c>
      <c r="I1517" t="e">
        <f ca="1">INDEX(CBIC_Late_Fee_Relief_Windows_1!$B$100:$B$1517,MATCH(G1517,CBIC_Late_Fee_Relief_Windows_1!$I$100:$I$1517,0))</f>
        <v>#NAME?</v>
      </c>
    </row>
    <row r="1518" spans="1:9" x14ac:dyDescent="0.55000000000000004">
      <c r="A1518" t="str">
        <f>TEST_DATA!A1518</f>
        <v>27AAAAA1518Z5</v>
      </c>
      <c r="B1518" t="str">
        <f>TEST_DATA!B1518</f>
        <v>Feb-2018</v>
      </c>
      <c r="C1518">
        <f>TEST_DATA!C1518</f>
        <v>44157</v>
      </c>
      <c r="D1518" t="str">
        <f>TEST_DATA!D1518</f>
        <v>NIL</v>
      </c>
      <c r="E1518">
        <f>TEST_DATA!E1518</f>
        <v>53</v>
      </c>
      <c r="F1518">
        <f>MIN(E1518*151800,10000)</f>
        <v>10000</v>
      </c>
      <c r="G1518" t="e">
        <f ca="1">_xludf.MINIFS(CBIC_Late_Fee_Relief_Windows_1!$I$100:$I$1518,CBIC_Late_Fee_Relief_Windows_1!$D$100:$D$1518,"&lt;="&amp;B1518,CBIC_Late_Fee_Relief_Windows_1!$E$100:$E$1518,"&gt;="&amp;B1518,CBIC_Late_Fee_Relief_Windows_1!$F$100:$F$1518,"&lt;="&amp;C1518,CBIC_Late_Fee_Relief_Windows_1!$G$100:$G$1518,"&gt;="&amp;C1518,CBIC_Late_Fee_Relief_Windows_1!$H$100:$H$1518,D1518)</f>
        <v>#NAME?</v>
      </c>
      <c r="H1518" t="e">
        <f t="shared" ca="1" si="23"/>
        <v>#NAME?</v>
      </c>
      <c r="I1518" t="e">
        <f ca="1">INDEX(CBIC_Late_Fee_Relief_Windows_1!$B$100:$B$1518,MATCH(G1518,CBIC_Late_Fee_Relief_Windows_1!$I$100:$I$1518,0))</f>
        <v>#NAME?</v>
      </c>
    </row>
    <row r="1519" spans="1:9" x14ac:dyDescent="0.55000000000000004">
      <c r="A1519" t="str">
        <f>TEST_DATA!A1519</f>
        <v>27AAAAA1519Z5</v>
      </c>
      <c r="B1519" t="str">
        <f>TEST_DATA!B1519</f>
        <v>Jan-2018</v>
      </c>
      <c r="C1519">
        <f>TEST_DATA!C1519</f>
        <v>44259</v>
      </c>
      <c r="D1519" t="str">
        <f>TEST_DATA!D1519</f>
        <v>NON-NIL</v>
      </c>
      <c r="E1519">
        <f>TEST_DATA!E1519</f>
        <v>327</v>
      </c>
      <c r="F1519">
        <f>MIN(E1519*151900,10000)</f>
        <v>10000</v>
      </c>
      <c r="G1519" t="e">
        <f ca="1">_xludf.MINIFS(CBIC_Late_Fee_Relief_Windows_1!$I$100:$I$1519,CBIC_Late_Fee_Relief_Windows_1!$D$100:$D$1519,"&lt;="&amp;B1519,CBIC_Late_Fee_Relief_Windows_1!$E$100:$E$1519,"&gt;="&amp;B1519,CBIC_Late_Fee_Relief_Windows_1!$F$100:$F$1519,"&lt;="&amp;C1519,CBIC_Late_Fee_Relief_Windows_1!$G$100:$G$1519,"&gt;="&amp;C1519,CBIC_Late_Fee_Relief_Windows_1!$H$100:$H$1519,D1519)</f>
        <v>#NAME?</v>
      </c>
      <c r="H1519" t="e">
        <f t="shared" ca="1" si="23"/>
        <v>#NAME?</v>
      </c>
      <c r="I1519" t="e">
        <f ca="1">INDEX(CBIC_Late_Fee_Relief_Windows_1!$B$100:$B$1519,MATCH(G1519,CBIC_Late_Fee_Relief_Windows_1!$I$100:$I$1519,0))</f>
        <v>#NAME?</v>
      </c>
    </row>
    <row r="1520" spans="1:9" x14ac:dyDescent="0.55000000000000004">
      <c r="A1520" t="str">
        <f>TEST_DATA!A1520</f>
        <v>27AAAAA1520Z5</v>
      </c>
      <c r="B1520" t="str">
        <f>TEST_DATA!B1520</f>
        <v>Sep-2018</v>
      </c>
      <c r="C1520">
        <f>TEST_DATA!C1520</f>
        <v>44557</v>
      </c>
      <c r="D1520" t="str">
        <f>TEST_DATA!D1520</f>
        <v>NIL</v>
      </c>
      <c r="E1520">
        <f>TEST_DATA!E1520</f>
        <v>1478</v>
      </c>
      <c r="F1520">
        <f>MIN(E1520*152000,10000)</f>
        <v>10000</v>
      </c>
      <c r="G1520" t="e">
        <f ca="1">_xludf.MINIFS(CBIC_Late_Fee_Relief_Windows_1!$I$100:$I$1520,CBIC_Late_Fee_Relief_Windows_1!$D$100:$D$1520,"&lt;="&amp;B1520,CBIC_Late_Fee_Relief_Windows_1!$E$100:$E$1520,"&gt;="&amp;B1520,CBIC_Late_Fee_Relief_Windows_1!$F$100:$F$1520,"&lt;="&amp;C1520,CBIC_Late_Fee_Relief_Windows_1!$G$100:$G$1520,"&gt;="&amp;C1520,CBIC_Late_Fee_Relief_Windows_1!$H$100:$H$1520,D1520)</f>
        <v>#NAME?</v>
      </c>
      <c r="H1520" t="e">
        <f t="shared" ca="1" si="23"/>
        <v>#NAME?</v>
      </c>
      <c r="I1520" t="e">
        <f ca="1">INDEX(CBIC_Late_Fee_Relief_Windows_1!$B$100:$B$1520,MATCH(G1520,CBIC_Late_Fee_Relief_Windows_1!$I$100:$I$1520,0))</f>
        <v>#NAME?</v>
      </c>
    </row>
    <row r="1521" spans="1:9" x14ac:dyDescent="0.55000000000000004">
      <c r="A1521" t="str">
        <f>TEST_DATA!A1521</f>
        <v>27AAAAA1521Z5</v>
      </c>
      <c r="B1521" t="str">
        <f>TEST_DATA!B1521</f>
        <v>Dec-2019</v>
      </c>
      <c r="C1521">
        <f>TEST_DATA!C1521</f>
        <v>45169</v>
      </c>
      <c r="D1521" t="str">
        <f>TEST_DATA!D1521</f>
        <v>NON-NIL</v>
      </c>
      <c r="E1521">
        <f>TEST_DATA!E1521</f>
        <v>2901</v>
      </c>
      <c r="F1521">
        <f>MIN(E1521*152100,10000)</f>
        <v>10000</v>
      </c>
      <c r="G1521" t="e">
        <f ca="1">_xludf.MINIFS(CBIC_Late_Fee_Relief_Windows_1!$I$100:$I$1521,CBIC_Late_Fee_Relief_Windows_1!$D$100:$D$1521,"&lt;="&amp;B1521,CBIC_Late_Fee_Relief_Windows_1!$E$100:$E$1521,"&gt;="&amp;B1521,CBIC_Late_Fee_Relief_Windows_1!$F$100:$F$1521,"&lt;="&amp;C1521,CBIC_Late_Fee_Relief_Windows_1!$G$100:$G$1521,"&gt;="&amp;C1521,CBIC_Late_Fee_Relief_Windows_1!$H$100:$H$1521,D1521)</f>
        <v>#NAME?</v>
      </c>
      <c r="H1521" t="e">
        <f t="shared" ca="1" si="23"/>
        <v>#NAME?</v>
      </c>
      <c r="I1521" t="e">
        <f ca="1">INDEX(CBIC_Late_Fee_Relief_Windows_1!$B$100:$B$1521,MATCH(G1521,CBIC_Late_Fee_Relief_Windows_1!$I$100:$I$1521,0))</f>
        <v>#NAME?</v>
      </c>
    </row>
    <row r="1522" spans="1:9" x14ac:dyDescent="0.55000000000000004">
      <c r="A1522" t="str">
        <f>TEST_DATA!A1522</f>
        <v>27AAAAA1522Z5</v>
      </c>
      <c r="B1522" t="str">
        <f>TEST_DATA!B1522</f>
        <v>Aug-2017</v>
      </c>
      <c r="C1522">
        <f>TEST_DATA!C1522</f>
        <v>44180</v>
      </c>
      <c r="D1522" t="str">
        <f>TEST_DATA!D1522</f>
        <v>NON-NIL</v>
      </c>
      <c r="E1522">
        <f>TEST_DATA!E1522</f>
        <v>2166</v>
      </c>
      <c r="F1522">
        <f>MIN(E1522*152200,10000)</f>
        <v>10000</v>
      </c>
      <c r="G1522" t="e">
        <f ca="1">_xludf.MINIFS(CBIC_Late_Fee_Relief_Windows_1!$I$100:$I$1522,CBIC_Late_Fee_Relief_Windows_1!$D$100:$D$1522,"&lt;="&amp;B1522,CBIC_Late_Fee_Relief_Windows_1!$E$100:$E$1522,"&gt;="&amp;B1522,CBIC_Late_Fee_Relief_Windows_1!$F$100:$F$1522,"&lt;="&amp;C1522,CBIC_Late_Fee_Relief_Windows_1!$G$100:$G$1522,"&gt;="&amp;C1522,CBIC_Late_Fee_Relief_Windows_1!$H$100:$H$1522,D1522)</f>
        <v>#NAME?</v>
      </c>
      <c r="H1522" t="e">
        <f t="shared" ca="1" si="23"/>
        <v>#NAME?</v>
      </c>
      <c r="I1522" t="e">
        <f ca="1">INDEX(CBIC_Late_Fee_Relief_Windows_1!$B$100:$B$1522,MATCH(G1522,CBIC_Late_Fee_Relief_Windows_1!$I$100:$I$1522,0))</f>
        <v>#NAME?</v>
      </c>
    </row>
    <row r="1523" spans="1:9" x14ac:dyDescent="0.55000000000000004">
      <c r="A1523" t="str">
        <f>TEST_DATA!A1523</f>
        <v>27AAAAA1523Z5</v>
      </c>
      <c r="B1523" t="str">
        <f>TEST_DATA!B1523</f>
        <v>Aug-2017</v>
      </c>
      <c r="C1523">
        <f>TEST_DATA!C1523</f>
        <v>44420</v>
      </c>
      <c r="D1523" t="str">
        <f>TEST_DATA!D1523</f>
        <v>NIL</v>
      </c>
      <c r="E1523">
        <f>TEST_DATA!E1523</f>
        <v>1244</v>
      </c>
      <c r="F1523">
        <f>MIN(E1523*152300,10000)</f>
        <v>10000</v>
      </c>
      <c r="G1523" t="e">
        <f ca="1">_xludf.MINIFS(CBIC_Late_Fee_Relief_Windows_1!$I$100:$I$1523,CBIC_Late_Fee_Relief_Windows_1!$D$100:$D$1523,"&lt;="&amp;B1523,CBIC_Late_Fee_Relief_Windows_1!$E$100:$E$1523,"&gt;="&amp;B1523,CBIC_Late_Fee_Relief_Windows_1!$F$100:$F$1523,"&lt;="&amp;C1523,CBIC_Late_Fee_Relief_Windows_1!$G$100:$G$1523,"&gt;="&amp;C1523,CBIC_Late_Fee_Relief_Windows_1!$H$100:$H$1523,D1523)</f>
        <v>#NAME?</v>
      </c>
      <c r="H1523" t="e">
        <f t="shared" ca="1" si="23"/>
        <v>#NAME?</v>
      </c>
      <c r="I1523" t="e">
        <f ca="1">INDEX(CBIC_Late_Fee_Relief_Windows_1!$B$100:$B$1523,MATCH(G1523,CBIC_Late_Fee_Relief_Windows_1!$I$100:$I$1523,0))</f>
        <v>#NAME?</v>
      </c>
    </row>
    <row r="1524" spans="1:9" x14ac:dyDescent="0.55000000000000004">
      <c r="A1524" t="str">
        <f>TEST_DATA!A1524</f>
        <v>27AAAAA1524Z5</v>
      </c>
      <c r="B1524" t="str">
        <f>TEST_DATA!B1524</f>
        <v>Sep-2017</v>
      </c>
      <c r="C1524">
        <f>TEST_DATA!C1524</f>
        <v>43359</v>
      </c>
      <c r="D1524" t="str">
        <f>TEST_DATA!D1524</f>
        <v>NIL</v>
      </c>
      <c r="E1524">
        <f>TEST_DATA!E1524</f>
        <v>414</v>
      </c>
      <c r="F1524">
        <f>MIN(E1524*152400,10000)</f>
        <v>10000</v>
      </c>
      <c r="G1524" t="e">
        <f ca="1">_xludf.MINIFS(CBIC_Late_Fee_Relief_Windows_1!$I$100:$I$1524,CBIC_Late_Fee_Relief_Windows_1!$D$100:$D$1524,"&lt;="&amp;B1524,CBIC_Late_Fee_Relief_Windows_1!$E$100:$E$1524,"&gt;="&amp;B1524,CBIC_Late_Fee_Relief_Windows_1!$F$100:$F$1524,"&lt;="&amp;C1524,CBIC_Late_Fee_Relief_Windows_1!$G$100:$G$1524,"&gt;="&amp;C1524,CBIC_Late_Fee_Relief_Windows_1!$H$100:$H$1524,D1524)</f>
        <v>#NAME?</v>
      </c>
      <c r="H1524" t="e">
        <f t="shared" ca="1" si="23"/>
        <v>#NAME?</v>
      </c>
      <c r="I1524" t="e">
        <f ca="1">INDEX(CBIC_Late_Fee_Relief_Windows_1!$B$100:$B$1524,MATCH(G1524,CBIC_Late_Fee_Relief_Windows_1!$I$100:$I$1524,0))</f>
        <v>#NAME?</v>
      </c>
    </row>
    <row r="1525" spans="1:9" x14ac:dyDescent="0.55000000000000004">
      <c r="A1525" t="str">
        <f>TEST_DATA!A1525</f>
        <v>27AAAAA1525Z5</v>
      </c>
      <c r="B1525" t="str">
        <f>TEST_DATA!B1525</f>
        <v>Jan-2021</v>
      </c>
      <c r="C1525">
        <f>TEST_DATA!C1525</f>
        <v>44412</v>
      </c>
      <c r="D1525" t="str">
        <f>TEST_DATA!D1525</f>
        <v>NON-NIL</v>
      </c>
      <c r="E1525">
        <f>TEST_DATA!E1525</f>
        <v>776</v>
      </c>
      <c r="F1525">
        <f>MIN(E1525*152500,10000)</f>
        <v>10000</v>
      </c>
      <c r="G1525" t="e">
        <f ca="1">_xludf.MINIFS(CBIC_Late_Fee_Relief_Windows_1!$I$100:$I$1525,CBIC_Late_Fee_Relief_Windows_1!$D$100:$D$1525,"&lt;="&amp;B1525,CBIC_Late_Fee_Relief_Windows_1!$E$100:$E$1525,"&gt;="&amp;B1525,CBIC_Late_Fee_Relief_Windows_1!$F$100:$F$1525,"&lt;="&amp;C1525,CBIC_Late_Fee_Relief_Windows_1!$G$100:$G$1525,"&gt;="&amp;C1525,CBIC_Late_Fee_Relief_Windows_1!$H$100:$H$1525,D1525)</f>
        <v>#NAME?</v>
      </c>
      <c r="H1525" t="e">
        <f t="shared" ca="1" si="23"/>
        <v>#NAME?</v>
      </c>
      <c r="I1525" t="e">
        <f ca="1">INDEX(CBIC_Late_Fee_Relief_Windows_1!$B$100:$B$1525,MATCH(G1525,CBIC_Late_Fee_Relief_Windows_1!$I$100:$I$1525,0))</f>
        <v>#NAME?</v>
      </c>
    </row>
    <row r="1526" spans="1:9" x14ac:dyDescent="0.55000000000000004">
      <c r="A1526" t="str">
        <f>TEST_DATA!A1526</f>
        <v>27AAAAA1526Z5</v>
      </c>
      <c r="B1526" t="str">
        <f>TEST_DATA!B1526</f>
        <v>Jan-2018</v>
      </c>
      <c r="C1526">
        <f>TEST_DATA!C1526</f>
        <v>43994</v>
      </c>
      <c r="D1526" t="str">
        <f>TEST_DATA!D1526</f>
        <v>NIL</v>
      </c>
      <c r="E1526">
        <f>TEST_DATA!E1526</f>
        <v>2334</v>
      </c>
      <c r="F1526">
        <f>MIN(E1526*152600,10000)</f>
        <v>10000</v>
      </c>
      <c r="G1526" t="e">
        <f ca="1">_xludf.MINIFS(CBIC_Late_Fee_Relief_Windows_1!$I$100:$I$1526,CBIC_Late_Fee_Relief_Windows_1!$D$100:$D$1526,"&lt;="&amp;B1526,CBIC_Late_Fee_Relief_Windows_1!$E$100:$E$1526,"&gt;="&amp;B1526,CBIC_Late_Fee_Relief_Windows_1!$F$100:$F$1526,"&lt;="&amp;C1526,CBIC_Late_Fee_Relief_Windows_1!$G$100:$G$1526,"&gt;="&amp;C1526,CBIC_Late_Fee_Relief_Windows_1!$H$100:$H$1526,D1526)</f>
        <v>#NAME?</v>
      </c>
      <c r="H1526" t="e">
        <f t="shared" ca="1" si="23"/>
        <v>#NAME?</v>
      </c>
      <c r="I1526" t="e">
        <f ca="1">INDEX(CBIC_Late_Fee_Relief_Windows_1!$B$100:$B$1526,MATCH(G1526,CBIC_Late_Fee_Relief_Windows_1!$I$100:$I$1526,0))</f>
        <v>#NAME?</v>
      </c>
    </row>
    <row r="1527" spans="1:9" x14ac:dyDescent="0.55000000000000004">
      <c r="A1527" t="str">
        <f>TEST_DATA!A1527</f>
        <v>27AAAAA1527Z5</v>
      </c>
      <c r="B1527" t="str">
        <f>TEST_DATA!B1527</f>
        <v>May-2020</v>
      </c>
      <c r="C1527">
        <f>TEST_DATA!C1527</f>
        <v>44197</v>
      </c>
      <c r="D1527" t="str">
        <f>TEST_DATA!D1527</f>
        <v>NON-NIL</v>
      </c>
      <c r="E1527">
        <f>TEST_DATA!E1527</f>
        <v>432</v>
      </c>
      <c r="F1527">
        <f>MIN(E1527*152700,10000)</f>
        <v>10000</v>
      </c>
      <c r="G1527" t="e">
        <f ca="1">_xludf.MINIFS(CBIC_Late_Fee_Relief_Windows_1!$I$100:$I$1527,CBIC_Late_Fee_Relief_Windows_1!$D$100:$D$1527,"&lt;="&amp;B1527,CBIC_Late_Fee_Relief_Windows_1!$E$100:$E$1527,"&gt;="&amp;B1527,CBIC_Late_Fee_Relief_Windows_1!$F$100:$F$1527,"&lt;="&amp;C1527,CBIC_Late_Fee_Relief_Windows_1!$G$100:$G$1527,"&gt;="&amp;C1527,CBIC_Late_Fee_Relief_Windows_1!$H$100:$H$1527,D1527)</f>
        <v>#NAME?</v>
      </c>
      <c r="H1527" t="e">
        <f t="shared" ca="1" si="23"/>
        <v>#NAME?</v>
      </c>
      <c r="I1527" t="e">
        <f ca="1">INDEX(CBIC_Late_Fee_Relief_Windows_1!$B$100:$B$1527,MATCH(G1527,CBIC_Late_Fee_Relief_Windows_1!$I$100:$I$1527,0))</f>
        <v>#NAME?</v>
      </c>
    </row>
    <row r="1528" spans="1:9" x14ac:dyDescent="0.55000000000000004">
      <c r="A1528" t="str">
        <f>TEST_DATA!A1528</f>
        <v>27AAAAA1528Z5</v>
      </c>
      <c r="B1528" t="str">
        <f>TEST_DATA!B1528</f>
        <v>Mar-2021</v>
      </c>
      <c r="C1528">
        <f>TEST_DATA!C1528</f>
        <v>45827</v>
      </c>
      <c r="D1528" t="str">
        <f>TEST_DATA!D1528</f>
        <v>NON-NIL</v>
      </c>
      <c r="E1528">
        <f>TEST_DATA!E1528</f>
        <v>2762</v>
      </c>
      <c r="F1528">
        <f>MIN(E1528*152800,10000)</f>
        <v>10000</v>
      </c>
      <c r="G1528" t="e">
        <f ca="1">_xludf.MINIFS(CBIC_Late_Fee_Relief_Windows_1!$I$100:$I$1528,CBIC_Late_Fee_Relief_Windows_1!$D$100:$D$1528,"&lt;="&amp;B1528,CBIC_Late_Fee_Relief_Windows_1!$E$100:$E$1528,"&gt;="&amp;B1528,CBIC_Late_Fee_Relief_Windows_1!$F$100:$F$1528,"&lt;="&amp;C1528,CBIC_Late_Fee_Relief_Windows_1!$G$100:$G$1528,"&gt;="&amp;C1528,CBIC_Late_Fee_Relief_Windows_1!$H$100:$H$1528,D1528)</f>
        <v>#NAME?</v>
      </c>
      <c r="H1528" t="e">
        <f t="shared" ca="1" si="23"/>
        <v>#NAME?</v>
      </c>
      <c r="I1528" t="e">
        <f ca="1">INDEX(CBIC_Late_Fee_Relief_Windows_1!$B$100:$B$1528,MATCH(G1528,CBIC_Late_Fee_Relief_Windows_1!$I$100:$I$1528,0))</f>
        <v>#NAME?</v>
      </c>
    </row>
    <row r="1529" spans="1:9" x14ac:dyDescent="0.55000000000000004">
      <c r="A1529" t="str">
        <f>TEST_DATA!A1529</f>
        <v>27AAAAA1529Z5</v>
      </c>
      <c r="B1529" t="str">
        <f>TEST_DATA!B1529</f>
        <v>Sep-2018</v>
      </c>
      <c r="C1529">
        <f>TEST_DATA!C1529</f>
        <v>44355</v>
      </c>
      <c r="D1529" t="str">
        <f>TEST_DATA!D1529</f>
        <v>NON-NIL</v>
      </c>
      <c r="E1529">
        <f>TEST_DATA!E1529</f>
        <v>426</v>
      </c>
      <c r="F1529">
        <f>MIN(E1529*152900,10000)</f>
        <v>10000</v>
      </c>
      <c r="G1529" t="e">
        <f ca="1">_xludf.MINIFS(CBIC_Late_Fee_Relief_Windows_1!$I$100:$I$1529,CBIC_Late_Fee_Relief_Windows_1!$D$100:$D$1529,"&lt;="&amp;B1529,CBIC_Late_Fee_Relief_Windows_1!$E$100:$E$1529,"&gt;="&amp;B1529,CBIC_Late_Fee_Relief_Windows_1!$F$100:$F$1529,"&lt;="&amp;C1529,CBIC_Late_Fee_Relief_Windows_1!$G$100:$G$1529,"&gt;="&amp;C1529,CBIC_Late_Fee_Relief_Windows_1!$H$100:$H$1529,D1529)</f>
        <v>#NAME?</v>
      </c>
      <c r="H1529" t="e">
        <f t="shared" ca="1" si="23"/>
        <v>#NAME?</v>
      </c>
      <c r="I1529" t="e">
        <f ca="1">INDEX(CBIC_Late_Fee_Relief_Windows_1!$B$100:$B$1529,MATCH(G1529,CBIC_Late_Fee_Relief_Windows_1!$I$100:$I$1529,0))</f>
        <v>#NAME?</v>
      </c>
    </row>
    <row r="1530" spans="1:9" x14ac:dyDescent="0.55000000000000004">
      <c r="A1530" t="str">
        <f>TEST_DATA!A1530</f>
        <v>27AAAAA1530Z5</v>
      </c>
      <c r="B1530" t="str">
        <f>TEST_DATA!B1530</f>
        <v>Dec-2017</v>
      </c>
      <c r="C1530">
        <f>TEST_DATA!C1530</f>
        <v>44539</v>
      </c>
      <c r="D1530" t="str">
        <f>TEST_DATA!D1530</f>
        <v>NIL</v>
      </c>
      <c r="E1530">
        <f>TEST_DATA!E1530</f>
        <v>2252</v>
      </c>
      <c r="F1530">
        <f>MIN(E1530*153000,10000)</f>
        <v>10000</v>
      </c>
      <c r="G1530" t="e">
        <f ca="1">_xludf.MINIFS(CBIC_Late_Fee_Relief_Windows_1!$I$100:$I$1530,CBIC_Late_Fee_Relief_Windows_1!$D$100:$D$1530,"&lt;="&amp;B1530,CBIC_Late_Fee_Relief_Windows_1!$E$100:$E$1530,"&gt;="&amp;B1530,CBIC_Late_Fee_Relief_Windows_1!$F$100:$F$1530,"&lt;="&amp;C1530,CBIC_Late_Fee_Relief_Windows_1!$G$100:$G$1530,"&gt;="&amp;C1530,CBIC_Late_Fee_Relief_Windows_1!$H$100:$H$1530,D1530)</f>
        <v>#NAME?</v>
      </c>
      <c r="H1530" t="e">
        <f t="shared" ca="1" si="23"/>
        <v>#NAME?</v>
      </c>
      <c r="I1530" t="e">
        <f ca="1">INDEX(CBIC_Late_Fee_Relief_Windows_1!$B$100:$B$1530,MATCH(G1530,CBIC_Late_Fee_Relief_Windows_1!$I$100:$I$1530,0))</f>
        <v>#NAME?</v>
      </c>
    </row>
    <row r="1531" spans="1:9" x14ac:dyDescent="0.55000000000000004">
      <c r="A1531" t="str">
        <f>TEST_DATA!A1531</f>
        <v>27AAAAA1531Z5</v>
      </c>
      <c r="B1531" t="str">
        <f>TEST_DATA!B1531</f>
        <v>Jul-2018</v>
      </c>
      <c r="C1531">
        <f>TEST_DATA!C1531</f>
        <v>43950</v>
      </c>
      <c r="D1531" t="str">
        <f>TEST_DATA!D1531</f>
        <v>NON-NIL</v>
      </c>
      <c r="E1531">
        <f>TEST_DATA!E1531</f>
        <v>2693</v>
      </c>
      <c r="F1531">
        <f>MIN(E1531*153100,10000)</f>
        <v>10000</v>
      </c>
      <c r="G1531" t="e">
        <f ca="1">_xludf.MINIFS(CBIC_Late_Fee_Relief_Windows_1!$I$100:$I$1531,CBIC_Late_Fee_Relief_Windows_1!$D$100:$D$1531,"&lt;="&amp;B1531,CBIC_Late_Fee_Relief_Windows_1!$E$100:$E$1531,"&gt;="&amp;B1531,CBIC_Late_Fee_Relief_Windows_1!$F$100:$F$1531,"&lt;="&amp;C1531,CBIC_Late_Fee_Relief_Windows_1!$G$100:$G$1531,"&gt;="&amp;C1531,CBIC_Late_Fee_Relief_Windows_1!$H$100:$H$1531,D1531)</f>
        <v>#NAME?</v>
      </c>
      <c r="H1531" t="e">
        <f t="shared" ca="1" si="23"/>
        <v>#NAME?</v>
      </c>
      <c r="I1531" t="e">
        <f ca="1">INDEX(CBIC_Late_Fee_Relief_Windows_1!$B$100:$B$1531,MATCH(G1531,CBIC_Late_Fee_Relief_Windows_1!$I$100:$I$1531,0))</f>
        <v>#NAME?</v>
      </c>
    </row>
    <row r="1532" spans="1:9" x14ac:dyDescent="0.55000000000000004">
      <c r="A1532" t="str">
        <f>TEST_DATA!A1532</f>
        <v>27AAAAA1532Z5</v>
      </c>
      <c r="B1532" t="str">
        <f>TEST_DATA!B1532</f>
        <v>Dec-2017</v>
      </c>
      <c r="C1532">
        <f>TEST_DATA!C1532</f>
        <v>44010</v>
      </c>
      <c r="D1532" t="str">
        <f>TEST_DATA!D1532</f>
        <v>NON-NIL</v>
      </c>
      <c r="E1532">
        <f>TEST_DATA!E1532</f>
        <v>1443</v>
      </c>
      <c r="F1532">
        <f>MIN(E1532*153200,10000)</f>
        <v>10000</v>
      </c>
      <c r="G1532" t="e">
        <f ca="1">_xludf.MINIFS(CBIC_Late_Fee_Relief_Windows_1!$I$100:$I$1532,CBIC_Late_Fee_Relief_Windows_1!$D$100:$D$1532,"&lt;="&amp;B1532,CBIC_Late_Fee_Relief_Windows_1!$E$100:$E$1532,"&gt;="&amp;B1532,CBIC_Late_Fee_Relief_Windows_1!$F$100:$F$1532,"&lt;="&amp;C1532,CBIC_Late_Fee_Relief_Windows_1!$G$100:$G$1532,"&gt;="&amp;C1532,CBIC_Late_Fee_Relief_Windows_1!$H$100:$H$1532,D1532)</f>
        <v>#NAME?</v>
      </c>
      <c r="H1532" t="e">
        <f t="shared" ca="1" si="23"/>
        <v>#NAME?</v>
      </c>
      <c r="I1532" t="e">
        <f ca="1">INDEX(CBIC_Late_Fee_Relief_Windows_1!$B$100:$B$1532,MATCH(G1532,CBIC_Late_Fee_Relief_Windows_1!$I$100:$I$1532,0))</f>
        <v>#NAME?</v>
      </c>
    </row>
    <row r="1533" spans="1:9" x14ac:dyDescent="0.55000000000000004">
      <c r="A1533" t="str">
        <f>TEST_DATA!A1533</f>
        <v>27AAAAA1533Z5</v>
      </c>
      <c r="B1533" t="str">
        <f>TEST_DATA!B1533</f>
        <v>Dec-2024</v>
      </c>
      <c r="C1533">
        <f>TEST_DATA!C1533</f>
        <v>44756</v>
      </c>
      <c r="D1533" t="str">
        <f>TEST_DATA!D1533</f>
        <v>NON-NIL</v>
      </c>
      <c r="E1533">
        <f>TEST_DATA!E1533</f>
        <v>1522</v>
      </c>
      <c r="F1533">
        <f>MIN(E1533*153300,10000)</f>
        <v>10000</v>
      </c>
      <c r="G1533" t="e">
        <f ca="1">_xludf.MINIFS(CBIC_Late_Fee_Relief_Windows_1!$I$100:$I$1533,CBIC_Late_Fee_Relief_Windows_1!$D$100:$D$1533,"&lt;="&amp;B1533,CBIC_Late_Fee_Relief_Windows_1!$E$100:$E$1533,"&gt;="&amp;B1533,CBIC_Late_Fee_Relief_Windows_1!$F$100:$F$1533,"&lt;="&amp;C1533,CBIC_Late_Fee_Relief_Windows_1!$G$100:$G$1533,"&gt;="&amp;C1533,CBIC_Late_Fee_Relief_Windows_1!$H$100:$H$1533,D1533)</f>
        <v>#NAME?</v>
      </c>
      <c r="H1533" t="e">
        <f t="shared" ca="1" si="23"/>
        <v>#NAME?</v>
      </c>
      <c r="I1533" t="e">
        <f ca="1">INDEX(CBIC_Late_Fee_Relief_Windows_1!$B$100:$B$1533,MATCH(G1533,CBIC_Late_Fee_Relief_Windows_1!$I$100:$I$1533,0))</f>
        <v>#NAME?</v>
      </c>
    </row>
    <row r="1534" spans="1:9" x14ac:dyDescent="0.55000000000000004">
      <c r="A1534" t="str">
        <f>TEST_DATA!A1534</f>
        <v>27AAAAA1534Z5</v>
      </c>
      <c r="B1534" t="str">
        <f>TEST_DATA!B1534</f>
        <v>Aug-2018</v>
      </c>
      <c r="C1534">
        <f>TEST_DATA!C1534</f>
        <v>44482</v>
      </c>
      <c r="D1534" t="str">
        <f>TEST_DATA!D1534</f>
        <v>NON-NIL</v>
      </c>
      <c r="E1534">
        <f>TEST_DATA!E1534</f>
        <v>2973</v>
      </c>
      <c r="F1534">
        <f>MIN(E1534*153400,10000)</f>
        <v>10000</v>
      </c>
      <c r="G1534" t="e">
        <f ca="1">_xludf.MINIFS(CBIC_Late_Fee_Relief_Windows_1!$I$100:$I$1534,CBIC_Late_Fee_Relief_Windows_1!$D$100:$D$1534,"&lt;="&amp;B1534,CBIC_Late_Fee_Relief_Windows_1!$E$100:$E$1534,"&gt;="&amp;B1534,CBIC_Late_Fee_Relief_Windows_1!$F$100:$F$1534,"&lt;="&amp;C1534,CBIC_Late_Fee_Relief_Windows_1!$G$100:$G$1534,"&gt;="&amp;C1534,CBIC_Late_Fee_Relief_Windows_1!$H$100:$H$1534,D1534)</f>
        <v>#NAME?</v>
      </c>
      <c r="H1534" t="e">
        <f t="shared" ca="1" si="23"/>
        <v>#NAME?</v>
      </c>
      <c r="I1534" t="e">
        <f ca="1">INDEX(CBIC_Late_Fee_Relief_Windows_1!$B$100:$B$1534,MATCH(G1534,CBIC_Late_Fee_Relief_Windows_1!$I$100:$I$1534,0))</f>
        <v>#NAME?</v>
      </c>
    </row>
    <row r="1535" spans="1:9" x14ac:dyDescent="0.55000000000000004">
      <c r="A1535" t="str">
        <f>TEST_DATA!A1535</f>
        <v>27AAAAA1535Z5</v>
      </c>
      <c r="B1535" t="str">
        <f>TEST_DATA!B1535</f>
        <v>May-2018</v>
      </c>
      <c r="C1535">
        <f>TEST_DATA!C1535</f>
        <v>44163</v>
      </c>
      <c r="D1535" t="str">
        <f>TEST_DATA!D1535</f>
        <v>NIL</v>
      </c>
      <c r="E1535">
        <f>TEST_DATA!E1535</f>
        <v>2306</v>
      </c>
      <c r="F1535">
        <f>MIN(E1535*153500,10000)</f>
        <v>10000</v>
      </c>
      <c r="G1535" t="e">
        <f ca="1">_xludf.MINIFS(CBIC_Late_Fee_Relief_Windows_1!$I$100:$I$1535,CBIC_Late_Fee_Relief_Windows_1!$D$100:$D$1535,"&lt;="&amp;B1535,CBIC_Late_Fee_Relief_Windows_1!$E$100:$E$1535,"&gt;="&amp;B1535,CBIC_Late_Fee_Relief_Windows_1!$F$100:$F$1535,"&lt;="&amp;C1535,CBIC_Late_Fee_Relief_Windows_1!$G$100:$G$1535,"&gt;="&amp;C1535,CBIC_Late_Fee_Relief_Windows_1!$H$100:$H$1535,D1535)</f>
        <v>#NAME?</v>
      </c>
      <c r="H1535" t="e">
        <f t="shared" ca="1" si="23"/>
        <v>#NAME?</v>
      </c>
      <c r="I1535" t="e">
        <f ca="1">INDEX(CBIC_Late_Fee_Relief_Windows_1!$B$100:$B$1535,MATCH(G1535,CBIC_Late_Fee_Relief_Windows_1!$I$100:$I$1535,0))</f>
        <v>#NAME?</v>
      </c>
    </row>
    <row r="1536" spans="1:9" x14ac:dyDescent="0.55000000000000004">
      <c r="A1536" t="str">
        <f>TEST_DATA!A1536</f>
        <v>27AAAAA1536Z5</v>
      </c>
      <c r="B1536" t="str">
        <f>TEST_DATA!B1536</f>
        <v>Dec-2019</v>
      </c>
      <c r="C1536">
        <f>TEST_DATA!C1536</f>
        <v>44342</v>
      </c>
      <c r="D1536" t="str">
        <f>TEST_DATA!D1536</f>
        <v>NON-NIL</v>
      </c>
      <c r="E1536">
        <f>TEST_DATA!E1536</f>
        <v>2253</v>
      </c>
      <c r="F1536">
        <f>MIN(E1536*153600,10000)</f>
        <v>10000</v>
      </c>
      <c r="G1536" t="e">
        <f ca="1">_xludf.MINIFS(CBIC_Late_Fee_Relief_Windows_1!$I$100:$I$1536,CBIC_Late_Fee_Relief_Windows_1!$D$100:$D$1536,"&lt;="&amp;B1536,CBIC_Late_Fee_Relief_Windows_1!$E$100:$E$1536,"&gt;="&amp;B1536,CBIC_Late_Fee_Relief_Windows_1!$F$100:$F$1536,"&lt;="&amp;C1536,CBIC_Late_Fee_Relief_Windows_1!$G$100:$G$1536,"&gt;="&amp;C1536,CBIC_Late_Fee_Relief_Windows_1!$H$100:$H$1536,D1536)</f>
        <v>#NAME?</v>
      </c>
      <c r="H1536" t="e">
        <f t="shared" ca="1" si="23"/>
        <v>#NAME?</v>
      </c>
      <c r="I1536" t="e">
        <f ca="1">INDEX(CBIC_Late_Fee_Relief_Windows_1!$B$100:$B$1536,MATCH(G1536,CBIC_Late_Fee_Relief_Windows_1!$I$100:$I$1536,0))</f>
        <v>#NAME?</v>
      </c>
    </row>
    <row r="1537" spans="1:9" x14ac:dyDescent="0.55000000000000004">
      <c r="A1537" t="str">
        <f>TEST_DATA!A1537</f>
        <v>27AAAAA1537Z5</v>
      </c>
      <c r="B1537" t="str">
        <f>TEST_DATA!B1537</f>
        <v>Jan-2021</v>
      </c>
      <c r="C1537">
        <f>TEST_DATA!C1537</f>
        <v>44506</v>
      </c>
      <c r="D1537" t="str">
        <f>TEST_DATA!D1537</f>
        <v>NON-NIL</v>
      </c>
      <c r="E1537">
        <f>TEST_DATA!E1537</f>
        <v>1853</v>
      </c>
      <c r="F1537">
        <f>MIN(E1537*153700,10000)</f>
        <v>10000</v>
      </c>
      <c r="G1537" t="e">
        <f ca="1">_xludf.MINIFS(CBIC_Late_Fee_Relief_Windows_1!$I$100:$I$1537,CBIC_Late_Fee_Relief_Windows_1!$D$100:$D$1537,"&lt;="&amp;B1537,CBIC_Late_Fee_Relief_Windows_1!$E$100:$E$1537,"&gt;="&amp;B1537,CBIC_Late_Fee_Relief_Windows_1!$F$100:$F$1537,"&lt;="&amp;C1537,CBIC_Late_Fee_Relief_Windows_1!$G$100:$G$1537,"&gt;="&amp;C1537,CBIC_Late_Fee_Relief_Windows_1!$H$100:$H$1537,D1537)</f>
        <v>#NAME?</v>
      </c>
      <c r="H1537" t="e">
        <f t="shared" ca="1" si="23"/>
        <v>#NAME?</v>
      </c>
      <c r="I1537" t="e">
        <f ca="1">INDEX(CBIC_Late_Fee_Relief_Windows_1!$B$100:$B$1537,MATCH(G1537,CBIC_Late_Fee_Relief_Windows_1!$I$100:$I$1537,0))</f>
        <v>#NAME?</v>
      </c>
    </row>
    <row r="1538" spans="1:9" x14ac:dyDescent="0.55000000000000004">
      <c r="A1538" t="str">
        <f>TEST_DATA!A1538</f>
        <v>27AAAAA1538Z5</v>
      </c>
      <c r="B1538" t="str">
        <f>TEST_DATA!B1538</f>
        <v>Sep-2018</v>
      </c>
      <c r="C1538">
        <f>TEST_DATA!C1538</f>
        <v>43730</v>
      </c>
      <c r="D1538" t="str">
        <f>TEST_DATA!D1538</f>
        <v>NIL</v>
      </c>
      <c r="E1538">
        <f>TEST_DATA!E1538</f>
        <v>2974</v>
      </c>
      <c r="F1538">
        <f>MIN(E1538*153800,10000)</f>
        <v>10000</v>
      </c>
      <c r="G1538" t="e">
        <f ca="1">_xludf.MINIFS(CBIC_Late_Fee_Relief_Windows_1!$I$100:$I$1538,CBIC_Late_Fee_Relief_Windows_1!$D$100:$D$1538,"&lt;="&amp;B1538,CBIC_Late_Fee_Relief_Windows_1!$E$100:$E$1538,"&gt;="&amp;B1538,CBIC_Late_Fee_Relief_Windows_1!$F$100:$F$1538,"&lt;="&amp;C1538,CBIC_Late_Fee_Relief_Windows_1!$G$100:$G$1538,"&gt;="&amp;C1538,CBIC_Late_Fee_Relief_Windows_1!$H$100:$H$1538,D1538)</f>
        <v>#NAME?</v>
      </c>
      <c r="H1538" t="e">
        <f t="shared" ref="H1538:H1601" ca="1" si="24">MIN(F1538,G1538)</f>
        <v>#NAME?</v>
      </c>
      <c r="I1538" t="e">
        <f ca="1">INDEX(CBIC_Late_Fee_Relief_Windows_1!$B$100:$B$1538,MATCH(G1538,CBIC_Late_Fee_Relief_Windows_1!$I$100:$I$1538,0))</f>
        <v>#NAME?</v>
      </c>
    </row>
    <row r="1539" spans="1:9" x14ac:dyDescent="0.55000000000000004">
      <c r="A1539" t="str">
        <f>TEST_DATA!A1539</f>
        <v>27AAAAA1539Z5</v>
      </c>
      <c r="B1539" t="str">
        <f>TEST_DATA!B1539</f>
        <v>Aug-2017</v>
      </c>
      <c r="C1539">
        <f>TEST_DATA!C1539</f>
        <v>43499</v>
      </c>
      <c r="D1539" t="str">
        <f>TEST_DATA!D1539</f>
        <v>NIL</v>
      </c>
      <c r="E1539">
        <f>TEST_DATA!E1539</f>
        <v>2120</v>
      </c>
      <c r="F1539">
        <f>MIN(E1539*153900,10000)</f>
        <v>10000</v>
      </c>
      <c r="G1539" t="e">
        <f ca="1">_xludf.MINIFS(CBIC_Late_Fee_Relief_Windows_1!$I$100:$I$1539,CBIC_Late_Fee_Relief_Windows_1!$D$100:$D$1539,"&lt;="&amp;B1539,CBIC_Late_Fee_Relief_Windows_1!$E$100:$E$1539,"&gt;="&amp;B1539,CBIC_Late_Fee_Relief_Windows_1!$F$100:$F$1539,"&lt;="&amp;C1539,CBIC_Late_Fee_Relief_Windows_1!$G$100:$G$1539,"&gt;="&amp;C1539,CBIC_Late_Fee_Relief_Windows_1!$H$100:$H$1539,D1539)</f>
        <v>#NAME?</v>
      </c>
      <c r="H1539" t="e">
        <f t="shared" ca="1" si="24"/>
        <v>#NAME?</v>
      </c>
      <c r="I1539" t="e">
        <f ca="1">INDEX(CBIC_Late_Fee_Relief_Windows_1!$B$100:$B$1539,MATCH(G1539,CBIC_Late_Fee_Relief_Windows_1!$I$100:$I$1539,0))</f>
        <v>#NAME?</v>
      </c>
    </row>
    <row r="1540" spans="1:9" x14ac:dyDescent="0.55000000000000004">
      <c r="A1540" t="str">
        <f>TEST_DATA!A1540</f>
        <v>27AAAAA1540Z5</v>
      </c>
      <c r="B1540" t="str">
        <f>TEST_DATA!B1540</f>
        <v>Nov-2017</v>
      </c>
      <c r="C1540">
        <f>TEST_DATA!C1540</f>
        <v>43535</v>
      </c>
      <c r="D1540" t="str">
        <f>TEST_DATA!D1540</f>
        <v>NIL</v>
      </c>
      <c r="E1540">
        <f>TEST_DATA!E1540</f>
        <v>1230</v>
      </c>
      <c r="F1540">
        <f>MIN(E1540*154000,10000)</f>
        <v>10000</v>
      </c>
      <c r="G1540" t="e">
        <f ca="1">_xludf.MINIFS(CBIC_Late_Fee_Relief_Windows_1!$I$100:$I$1540,CBIC_Late_Fee_Relief_Windows_1!$D$100:$D$1540,"&lt;="&amp;B1540,CBIC_Late_Fee_Relief_Windows_1!$E$100:$E$1540,"&gt;="&amp;B1540,CBIC_Late_Fee_Relief_Windows_1!$F$100:$F$1540,"&lt;="&amp;C1540,CBIC_Late_Fee_Relief_Windows_1!$G$100:$G$1540,"&gt;="&amp;C1540,CBIC_Late_Fee_Relief_Windows_1!$H$100:$H$1540,D1540)</f>
        <v>#NAME?</v>
      </c>
      <c r="H1540" t="e">
        <f t="shared" ca="1" si="24"/>
        <v>#NAME?</v>
      </c>
      <c r="I1540" t="e">
        <f ca="1">INDEX(CBIC_Late_Fee_Relief_Windows_1!$B$100:$B$1540,MATCH(G1540,CBIC_Late_Fee_Relief_Windows_1!$I$100:$I$1540,0))</f>
        <v>#NAME?</v>
      </c>
    </row>
    <row r="1541" spans="1:9" x14ac:dyDescent="0.55000000000000004">
      <c r="A1541" t="str">
        <f>TEST_DATA!A1541</f>
        <v>27AAAAA1541Z5</v>
      </c>
      <c r="B1541" t="str">
        <f>TEST_DATA!B1541</f>
        <v>Feb-2018</v>
      </c>
      <c r="C1541">
        <f>TEST_DATA!C1541</f>
        <v>43356</v>
      </c>
      <c r="D1541" t="str">
        <f>TEST_DATA!D1541</f>
        <v>NON-NIL</v>
      </c>
      <c r="E1541">
        <f>TEST_DATA!E1541</f>
        <v>88</v>
      </c>
      <c r="F1541">
        <f>MIN(E1541*154100,10000)</f>
        <v>10000</v>
      </c>
      <c r="G1541" t="e">
        <f ca="1">_xludf.MINIFS(CBIC_Late_Fee_Relief_Windows_1!$I$100:$I$1541,CBIC_Late_Fee_Relief_Windows_1!$D$100:$D$1541,"&lt;="&amp;B1541,CBIC_Late_Fee_Relief_Windows_1!$E$100:$E$1541,"&gt;="&amp;B1541,CBIC_Late_Fee_Relief_Windows_1!$F$100:$F$1541,"&lt;="&amp;C1541,CBIC_Late_Fee_Relief_Windows_1!$G$100:$G$1541,"&gt;="&amp;C1541,CBIC_Late_Fee_Relief_Windows_1!$H$100:$H$1541,D1541)</f>
        <v>#NAME?</v>
      </c>
      <c r="H1541" t="e">
        <f t="shared" ca="1" si="24"/>
        <v>#NAME?</v>
      </c>
      <c r="I1541" t="e">
        <f ca="1">INDEX(CBIC_Late_Fee_Relief_Windows_1!$B$100:$B$1541,MATCH(G1541,CBIC_Late_Fee_Relief_Windows_1!$I$100:$I$1541,0))</f>
        <v>#NAME?</v>
      </c>
    </row>
    <row r="1542" spans="1:9" x14ac:dyDescent="0.55000000000000004">
      <c r="A1542" t="str">
        <f>TEST_DATA!A1542</f>
        <v>27AAAAA1542Z5</v>
      </c>
      <c r="B1542" t="str">
        <f>TEST_DATA!B1542</f>
        <v>Mar-2021</v>
      </c>
      <c r="C1542">
        <f>TEST_DATA!C1542</f>
        <v>44596</v>
      </c>
      <c r="D1542" t="str">
        <f>TEST_DATA!D1542</f>
        <v>NIL</v>
      </c>
      <c r="E1542">
        <f>TEST_DATA!E1542</f>
        <v>386</v>
      </c>
      <c r="F1542">
        <f>MIN(E1542*154200,10000)</f>
        <v>10000</v>
      </c>
      <c r="G1542" t="e">
        <f ca="1">_xludf.MINIFS(CBIC_Late_Fee_Relief_Windows_1!$I$100:$I$1542,CBIC_Late_Fee_Relief_Windows_1!$D$100:$D$1542,"&lt;="&amp;B1542,CBIC_Late_Fee_Relief_Windows_1!$E$100:$E$1542,"&gt;="&amp;B1542,CBIC_Late_Fee_Relief_Windows_1!$F$100:$F$1542,"&lt;="&amp;C1542,CBIC_Late_Fee_Relief_Windows_1!$G$100:$G$1542,"&gt;="&amp;C1542,CBIC_Late_Fee_Relief_Windows_1!$H$100:$H$1542,D1542)</f>
        <v>#NAME?</v>
      </c>
      <c r="H1542" t="e">
        <f t="shared" ca="1" si="24"/>
        <v>#NAME?</v>
      </c>
      <c r="I1542" t="e">
        <f ca="1">INDEX(CBIC_Late_Fee_Relief_Windows_1!$B$100:$B$1542,MATCH(G1542,CBIC_Late_Fee_Relief_Windows_1!$I$100:$I$1542,0))</f>
        <v>#NAME?</v>
      </c>
    </row>
    <row r="1543" spans="1:9" x14ac:dyDescent="0.55000000000000004">
      <c r="A1543" t="str">
        <f>TEST_DATA!A1543</f>
        <v>27AAAAA1543Z5</v>
      </c>
      <c r="B1543" t="str">
        <f>TEST_DATA!B1543</f>
        <v>Aug-2017</v>
      </c>
      <c r="C1543">
        <f>TEST_DATA!C1543</f>
        <v>43859</v>
      </c>
      <c r="D1543" t="str">
        <f>TEST_DATA!D1543</f>
        <v>NON-NIL</v>
      </c>
      <c r="E1543">
        <f>TEST_DATA!E1543</f>
        <v>639</v>
      </c>
      <c r="F1543">
        <f>MIN(E1543*154300,10000)</f>
        <v>10000</v>
      </c>
      <c r="G1543" t="e">
        <f ca="1">_xludf.MINIFS(CBIC_Late_Fee_Relief_Windows_1!$I$100:$I$1543,CBIC_Late_Fee_Relief_Windows_1!$D$100:$D$1543,"&lt;="&amp;B1543,CBIC_Late_Fee_Relief_Windows_1!$E$100:$E$1543,"&gt;="&amp;B1543,CBIC_Late_Fee_Relief_Windows_1!$F$100:$F$1543,"&lt;="&amp;C1543,CBIC_Late_Fee_Relief_Windows_1!$G$100:$G$1543,"&gt;="&amp;C1543,CBIC_Late_Fee_Relief_Windows_1!$H$100:$H$1543,D1543)</f>
        <v>#NAME?</v>
      </c>
      <c r="H1543" t="e">
        <f t="shared" ca="1" si="24"/>
        <v>#NAME?</v>
      </c>
      <c r="I1543" t="e">
        <f ca="1">INDEX(CBIC_Late_Fee_Relief_Windows_1!$B$100:$B$1543,MATCH(G1543,CBIC_Late_Fee_Relief_Windows_1!$I$100:$I$1543,0))</f>
        <v>#NAME?</v>
      </c>
    </row>
    <row r="1544" spans="1:9" x14ac:dyDescent="0.55000000000000004">
      <c r="A1544" t="str">
        <f>TEST_DATA!A1544</f>
        <v>27AAAAA1544Z5</v>
      </c>
      <c r="B1544" t="str">
        <f>TEST_DATA!B1544</f>
        <v>Nov-2017</v>
      </c>
      <c r="C1544">
        <f>TEST_DATA!C1544</f>
        <v>43459</v>
      </c>
      <c r="D1544" t="str">
        <f>TEST_DATA!D1544</f>
        <v>NON-NIL</v>
      </c>
      <c r="E1544">
        <f>TEST_DATA!E1544</f>
        <v>2384</v>
      </c>
      <c r="F1544">
        <f>MIN(E1544*154400,10000)</f>
        <v>10000</v>
      </c>
      <c r="G1544" t="e">
        <f ca="1">_xludf.MINIFS(CBIC_Late_Fee_Relief_Windows_1!$I$100:$I$1544,CBIC_Late_Fee_Relief_Windows_1!$D$100:$D$1544,"&lt;="&amp;B1544,CBIC_Late_Fee_Relief_Windows_1!$E$100:$E$1544,"&gt;="&amp;B1544,CBIC_Late_Fee_Relief_Windows_1!$F$100:$F$1544,"&lt;="&amp;C1544,CBIC_Late_Fee_Relief_Windows_1!$G$100:$G$1544,"&gt;="&amp;C1544,CBIC_Late_Fee_Relief_Windows_1!$H$100:$H$1544,D1544)</f>
        <v>#NAME?</v>
      </c>
      <c r="H1544" t="e">
        <f t="shared" ca="1" si="24"/>
        <v>#NAME?</v>
      </c>
      <c r="I1544" t="e">
        <f ca="1">INDEX(CBIC_Late_Fee_Relief_Windows_1!$B$100:$B$1544,MATCH(G1544,CBIC_Late_Fee_Relief_Windows_1!$I$100:$I$1544,0))</f>
        <v>#NAME?</v>
      </c>
    </row>
    <row r="1545" spans="1:9" x14ac:dyDescent="0.55000000000000004">
      <c r="A1545" t="str">
        <f>TEST_DATA!A1545</f>
        <v>27AAAAA1545Z5</v>
      </c>
      <c r="B1545" t="str">
        <f>TEST_DATA!B1545</f>
        <v>Feb-2018</v>
      </c>
      <c r="C1545">
        <f>TEST_DATA!C1545</f>
        <v>43394</v>
      </c>
      <c r="D1545" t="str">
        <f>TEST_DATA!D1545</f>
        <v>NON-NIL</v>
      </c>
      <c r="E1545">
        <f>TEST_DATA!E1545</f>
        <v>1230</v>
      </c>
      <c r="F1545">
        <f>MIN(E1545*154500,10000)</f>
        <v>10000</v>
      </c>
      <c r="G1545" t="e">
        <f ca="1">_xludf.MINIFS(CBIC_Late_Fee_Relief_Windows_1!$I$100:$I$1545,CBIC_Late_Fee_Relief_Windows_1!$D$100:$D$1545,"&lt;="&amp;B1545,CBIC_Late_Fee_Relief_Windows_1!$E$100:$E$1545,"&gt;="&amp;B1545,CBIC_Late_Fee_Relief_Windows_1!$F$100:$F$1545,"&lt;="&amp;C1545,CBIC_Late_Fee_Relief_Windows_1!$G$100:$G$1545,"&gt;="&amp;C1545,CBIC_Late_Fee_Relief_Windows_1!$H$100:$H$1545,D1545)</f>
        <v>#NAME?</v>
      </c>
      <c r="H1545" t="e">
        <f t="shared" ca="1" si="24"/>
        <v>#NAME?</v>
      </c>
      <c r="I1545" t="e">
        <f ca="1">INDEX(CBIC_Late_Fee_Relief_Windows_1!$B$100:$B$1545,MATCH(G1545,CBIC_Late_Fee_Relief_Windows_1!$I$100:$I$1545,0))</f>
        <v>#NAME?</v>
      </c>
    </row>
    <row r="1546" spans="1:9" x14ac:dyDescent="0.55000000000000004">
      <c r="A1546" t="str">
        <f>TEST_DATA!A1546</f>
        <v>27AAAAA1546Z5</v>
      </c>
      <c r="B1546" t="str">
        <f>TEST_DATA!B1546</f>
        <v>Sep-2017</v>
      </c>
      <c r="C1546">
        <f>TEST_DATA!C1546</f>
        <v>44085</v>
      </c>
      <c r="D1546" t="str">
        <f>TEST_DATA!D1546</f>
        <v>NON-NIL</v>
      </c>
      <c r="E1546">
        <f>TEST_DATA!E1546</f>
        <v>2330</v>
      </c>
      <c r="F1546">
        <f>MIN(E1546*154600,10000)</f>
        <v>10000</v>
      </c>
      <c r="G1546" t="e">
        <f ca="1">_xludf.MINIFS(CBIC_Late_Fee_Relief_Windows_1!$I$100:$I$1546,CBIC_Late_Fee_Relief_Windows_1!$D$100:$D$1546,"&lt;="&amp;B1546,CBIC_Late_Fee_Relief_Windows_1!$E$100:$E$1546,"&gt;="&amp;B1546,CBIC_Late_Fee_Relief_Windows_1!$F$100:$F$1546,"&lt;="&amp;C1546,CBIC_Late_Fee_Relief_Windows_1!$G$100:$G$1546,"&gt;="&amp;C1546,CBIC_Late_Fee_Relief_Windows_1!$H$100:$H$1546,D1546)</f>
        <v>#NAME?</v>
      </c>
      <c r="H1546" t="e">
        <f t="shared" ca="1" si="24"/>
        <v>#NAME?</v>
      </c>
      <c r="I1546" t="e">
        <f ca="1">INDEX(CBIC_Late_Fee_Relief_Windows_1!$B$100:$B$1546,MATCH(G1546,CBIC_Late_Fee_Relief_Windows_1!$I$100:$I$1546,0))</f>
        <v>#NAME?</v>
      </c>
    </row>
    <row r="1547" spans="1:9" x14ac:dyDescent="0.55000000000000004">
      <c r="A1547" t="str">
        <f>TEST_DATA!A1547</f>
        <v>27AAAAA1547Z5</v>
      </c>
      <c r="B1547" t="str">
        <f>TEST_DATA!B1547</f>
        <v>Jan-2018</v>
      </c>
      <c r="C1547">
        <f>TEST_DATA!C1547</f>
        <v>44420</v>
      </c>
      <c r="D1547" t="str">
        <f>TEST_DATA!D1547</f>
        <v>NIL</v>
      </c>
      <c r="E1547">
        <f>TEST_DATA!E1547</f>
        <v>2963</v>
      </c>
      <c r="F1547">
        <f>MIN(E1547*154700,10000)</f>
        <v>10000</v>
      </c>
      <c r="G1547" t="e">
        <f ca="1">_xludf.MINIFS(CBIC_Late_Fee_Relief_Windows_1!$I$100:$I$1547,CBIC_Late_Fee_Relief_Windows_1!$D$100:$D$1547,"&lt;="&amp;B1547,CBIC_Late_Fee_Relief_Windows_1!$E$100:$E$1547,"&gt;="&amp;B1547,CBIC_Late_Fee_Relief_Windows_1!$F$100:$F$1547,"&lt;="&amp;C1547,CBIC_Late_Fee_Relief_Windows_1!$G$100:$G$1547,"&gt;="&amp;C1547,CBIC_Late_Fee_Relief_Windows_1!$H$100:$H$1547,D1547)</f>
        <v>#NAME?</v>
      </c>
      <c r="H1547" t="e">
        <f t="shared" ca="1" si="24"/>
        <v>#NAME?</v>
      </c>
      <c r="I1547" t="e">
        <f ca="1">INDEX(CBIC_Late_Fee_Relief_Windows_1!$B$100:$B$1547,MATCH(G1547,CBIC_Late_Fee_Relief_Windows_1!$I$100:$I$1547,0))</f>
        <v>#NAME?</v>
      </c>
    </row>
    <row r="1548" spans="1:9" x14ac:dyDescent="0.55000000000000004">
      <c r="A1548" t="str">
        <f>TEST_DATA!A1548</f>
        <v>27AAAAA1548Z5</v>
      </c>
      <c r="B1548" t="str">
        <f>TEST_DATA!B1548</f>
        <v>May-2018</v>
      </c>
      <c r="C1548">
        <f>TEST_DATA!C1548</f>
        <v>44540</v>
      </c>
      <c r="D1548" t="str">
        <f>TEST_DATA!D1548</f>
        <v>NON-NIL</v>
      </c>
      <c r="E1548">
        <f>TEST_DATA!E1548</f>
        <v>708</v>
      </c>
      <c r="F1548">
        <f>MIN(E1548*154800,10000)</f>
        <v>10000</v>
      </c>
      <c r="G1548" t="e">
        <f ca="1">_xludf.MINIFS(CBIC_Late_Fee_Relief_Windows_1!$I$100:$I$1548,CBIC_Late_Fee_Relief_Windows_1!$D$100:$D$1548,"&lt;="&amp;B1548,CBIC_Late_Fee_Relief_Windows_1!$E$100:$E$1548,"&gt;="&amp;B1548,CBIC_Late_Fee_Relief_Windows_1!$F$100:$F$1548,"&lt;="&amp;C1548,CBIC_Late_Fee_Relief_Windows_1!$G$100:$G$1548,"&gt;="&amp;C1548,CBIC_Late_Fee_Relief_Windows_1!$H$100:$H$1548,D1548)</f>
        <v>#NAME?</v>
      </c>
      <c r="H1548" t="e">
        <f t="shared" ca="1" si="24"/>
        <v>#NAME?</v>
      </c>
      <c r="I1548" t="e">
        <f ca="1">INDEX(CBIC_Late_Fee_Relief_Windows_1!$B$100:$B$1548,MATCH(G1548,CBIC_Late_Fee_Relief_Windows_1!$I$100:$I$1548,0))</f>
        <v>#NAME?</v>
      </c>
    </row>
    <row r="1549" spans="1:9" x14ac:dyDescent="0.55000000000000004">
      <c r="A1549" t="str">
        <f>TEST_DATA!A1549</f>
        <v>27AAAAA1549Z5</v>
      </c>
      <c r="B1549" t="str">
        <f>TEST_DATA!B1549</f>
        <v>Jan-2019</v>
      </c>
      <c r="C1549">
        <f>TEST_DATA!C1549</f>
        <v>45826</v>
      </c>
      <c r="D1549" t="str">
        <f>TEST_DATA!D1549</f>
        <v>NIL</v>
      </c>
      <c r="E1549">
        <f>TEST_DATA!E1549</f>
        <v>2438</v>
      </c>
      <c r="F1549">
        <f>MIN(E1549*154900,10000)</f>
        <v>10000</v>
      </c>
      <c r="G1549" t="e">
        <f ca="1">_xludf.MINIFS(CBIC_Late_Fee_Relief_Windows_1!$I$100:$I$1549,CBIC_Late_Fee_Relief_Windows_1!$D$100:$D$1549,"&lt;="&amp;B1549,CBIC_Late_Fee_Relief_Windows_1!$E$100:$E$1549,"&gt;="&amp;B1549,CBIC_Late_Fee_Relief_Windows_1!$F$100:$F$1549,"&lt;="&amp;C1549,CBIC_Late_Fee_Relief_Windows_1!$G$100:$G$1549,"&gt;="&amp;C1549,CBIC_Late_Fee_Relief_Windows_1!$H$100:$H$1549,D1549)</f>
        <v>#NAME?</v>
      </c>
      <c r="H1549" t="e">
        <f t="shared" ca="1" si="24"/>
        <v>#NAME?</v>
      </c>
      <c r="I1549" t="e">
        <f ca="1">INDEX(CBIC_Late_Fee_Relief_Windows_1!$B$100:$B$1549,MATCH(G1549,CBIC_Late_Fee_Relief_Windows_1!$I$100:$I$1549,0))</f>
        <v>#NAME?</v>
      </c>
    </row>
    <row r="1550" spans="1:9" x14ac:dyDescent="0.55000000000000004">
      <c r="A1550" t="str">
        <f>TEST_DATA!A1550</f>
        <v>27AAAAA1550Z5</v>
      </c>
      <c r="B1550" t="str">
        <f>TEST_DATA!B1550</f>
        <v>May-2020</v>
      </c>
      <c r="C1550">
        <f>TEST_DATA!C1550</f>
        <v>44446</v>
      </c>
      <c r="D1550" t="str">
        <f>TEST_DATA!D1550</f>
        <v>NIL</v>
      </c>
      <c r="E1550">
        <f>TEST_DATA!E1550</f>
        <v>2993</v>
      </c>
      <c r="F1550">
        <f>MIN(E1550*155000,10000)</f>
        <v>10000</v>
      </c>
      <c r="G1550" t="e">
        <f ca="1">_xludf.MINIFS(CBIC_Late_Fee_Relief_Windows_1!$I$100:$I$1550,CBIC_Late_Fee_Relief_Windows_1!$D$100:$D$1550,"&lt;="&amp;B1550,CBIC_Late_Fee_Relief_Windows_1!$E$100:$E$1550,"&gt;="&amp;B1550,CBIC_Late_Fee_Relief_Windows_1!$F$100:$F$1550,"&lt;="&amp;C1550,CBIC_Late_Fee_Relief_Windows_1!$G$100:$G$1550,"&gt;="&amp;C1550,CBIC_Late_Fee_Relief_Windows_1!$H$100:$H$1550,D1550)</f>
        <v>#NAME?</v>
      </c>
      <c r="H1550" t="e">
        <f t="shared" ca="1" si="24"/>
        <v>#NAME?</v>
      </c>
      <c r="I1550" t="e">
        <f ca="1">INDEX(CBIC_Late_Fee_Relief_Windows_1!$B$100:$B$1550,MATCH(G1550,CBIC_Late_Fee_Relief_Windows_1!$I$100:$I$1550,0))</f>
        <v>#NAME?</v>
      </c>
    </row>
    <row r="1551" spans="1:9" x14ac:dyDescent="0.55000000000000004">
      <c r="A1551" t="str">
        <f>TEST_DATA!A1551</f>
        <v>27AAAAA1551Z5</v>
      </c>
      <c r="B1551" t="str">
        <f>TEST_DATA!B1551</f>
        <v>Apr-2021</v>
      </c>
      <c r="C1551">
        <f>TEST_DATA!C1551</f>
        <v>45826</v>
      </c>
      <c r="D1551" t="str">
        <f>TEST_DATA!D1551</f>
        <v>NON-NIL</v>
      </c>
      <c r="E1551">
        <f>TEST_DATA!E1551</f>
        <v>321</v>
      </c>
      <c r="F1551">
        <f>MIN(E1551*155100,10000)</f>
        <v>10000</v>
      </c>
      <c r="G1551" t="e">
        <f ca="1">_xludf.MINIFS(CBIC_Late_Fee_Relief_Windows_1!$I$100:$I$1551,CBIC_Late_Fee_Relief_Windows_1!$D$100:$D$1551,"&lt;="&amp;B1551,CBIC_Late_Fee_Relief_Windows_1!$E$100:$E$1551,"&gt;="&amp;B1551,CBIC_Late_Fee_Relief_Windows_1!$F$100:$F$1551,"&lt;="&amp;C1551,CBIC_Late_Fee_Relief_Windows_1!$G$100:$G$1551,"&gt;="&amp;C1551,CBIC_Late_Fee_Relief_Windows_1!$H$100:$H$1551,D1551)</f>
        <v>#NAME?</v>
      </c>
      <c r="H1551" t="e">
        <f t="shared" ca="1" si="24"/>
        <v>#NAME?</v>
      </c>
      <c r="I1551" t="e">
        <f ca="1">INDEX(CBIC_Late_Fee_Relief_Windows_1!$B$100:$B$1551,MATCH(G1551,CBIC_Late_Fee_Relief_Windows_1!$I$100:$I$1551,0))</f>
        <v>#NAME?</v>
      </c>
    </row>
    <row r="1552" spans="1:9" x14ac:dyDescent="0.55000000000000004">
      <c r="A1552" t="str">
        <f>TEST_DATA!A1552</f>
        <v>27AAAAA1552Z5</v>
      </c>
      <c r="B1552" t="str">
        <f>TEST_DATA!B1552</f>
        <v>Mar-2021</v>
      </c>
      <c r="C1552">
        <f>TEST_DATA!C1552</f>
        <v>43695</v>
      </c>
      <c r="D1552" t="str">
        <f>TEST_DATA!D1552</f>
        <v>NON-NIL</v>
      </c>
      <c r="E1552">
        <f>TEST_DATA!E1552</f>
        <v>1425</v>
      </c>
      <c r="F1552">
        <f>MIN(E1552*155200,10000)</f>
        <v>10000</v>
      </c>
      <c r="G1552" t="e">
        <f ca="1">_xludf.MINIFS(CBIC_Late_Fee_Relief_Windows_1!$I$100:$I$1552,CBIC_Late_Fee_Relief_Windows_1!$D$100:$D$1552,"&lt;="&amp;B1552,CBIC_Late_Fee_Relief_Windows_1!$E$100:$E$1552,"&gt;="&amp;B1552,CBIC_Late_Fee_Relief_Windows_1!$F$100:$F$1552,"&lt;="&amp;C1552,CBIC_Late_Fee_Relief_Windows_1!$G$100:$G$1552,"&gt;="&amp;C1552,CBIC_Late_Fee_Relief_Windows_1!$H$100:$H$1552,D1552)</f>
        <v>#NAME?</v>
      </c>
      <c r="H1552" t="e">
        <f t="shared" ca="1" si="24"/>
        <v>#NAME?</v>
      </c>
      <c r="I1552" t="e">
        <f ca="1">INDEX(CBIC_Late_Fee_Relief_Windows_1!$B$100:$B$1552,MATCH(G1552,CBIC_Late_Fee_Relief_Windows_1!$I$100:$I$1552,0))</f>
        <v>#NAME?</v>
      </c>
    </row>
    <row r="1553" spans="1:9" x14ac:dyDescent="0.55000000000000004">
      <c r="A1553" t="str">
        <f>TEST_DATA!A1553</f>
        <v>27AAAAA1553Z5</v>
      </c>
      <c r="B1553" t="str">
        <f>TEST_DATA!B1553</f>
        <v>Dec-2024</v>
      </c>
      <c r="C1553">
        <f>TEST_DATA!C1553</f>
        <v>45244</v>
      </c>
      <c r="D1553" t="str">
        <f>TEST_DATA!D1553</f>
        <v>NON-NIL</v>
      </c>
      <c r="E1553">
        <f>TEST_DATA!E1553</f>
        <v>493</v>
      </c>
      <c r="F1553">
        <f>MIN(E1553*155300,10000)</f>
        <v>10000</v>
      </c>
      <c r="G1553" t="e">
        <f ca="1">_xludf.MINIFS(CBIC_Late_Fee_Relief_Windows_1!$I$100:$I$1553,CBIC_Late_Fee_Relief_Windows_1!$D$100:$D$1553,"&lt;="&amp;B1553,CBIC_Late_Fee_Relief_Windows_1!$E$100:$E$1553,"&gt;="&amp;B1553,CBIC_Late_Fee_Relief_Windows_1!$F$100:$F$1553,"&lt;="&amp;C1553,CBIC_Late_Fee_Relief_Windows_1!$G$100:$G$1553,"&gt;="&amp;C1553,CBIC_Late_Fee_Relief_Windows_1!$H$100:$H$1553,D1553)</f>
        <v>#NAME?</v>
      </c>
      <c r="H1553" t="e">
        <f t="shared" ca="1" si="24"/>
        <v>#NAME?</v>
      </c>
      <c r="I1553" t="e">
        <f ca="1">INDEX(CBIC_Late_Fee_Relief_Windows_1!$B$100:$B$1553,MATCH(G1553,CBIC_Late_Fee_Relief_Windows_1!$I$100:$I$1553,0))</f>
        <v>#NAME?</v>
      </c>
    </row>
    <row r="1554" spans="1:9" x14ac:dyDescent="0.55000000000000004">
      <c r="A1554" t="str">
        <f>TEST_DATA!A1554</f>
        <v>27AAAAA1554Z5</v>
      </c>
      <c r="B1554" t="str">
        <f>TEST_DATA!B1554</f>
        <v>Mar-2023</v>
      </c>
      <c r="C1554">
        <f>TEST_DATA!C1554</f>
        <v>44394</v>
      </c>
      <c r="D1554" t="str">
        <f>TEST_DATA!D1554</f>
        <v>NIL</v>
      </c>
      <c r="E1554">
        <f>TEST_DATA!E1554</f>
        <v>2596</v>
      </c>
      <c r="F1554">
        <f>MIN(E1554*155400,10000)</f>
        <v>10000</v>
      </c>
      <c r="G1554" t="e">
        <f ca="1">_xludf.MINIFS(CBIC_Late_Fee_Relief_Windows_1!$I$100:$I$1554,CBIC_Late_Fee_Relief_Windows_1!$D$100:$D$1554,"&lt;="&amp;B1554,CBIC_Late_Fee_Relief_Windows_1!$E$100:$E$1554,"&gt;="&amp;B1554,CBIC_Late_Fee_Relief_Windows_1!$F$100:$F$1554,"&lt;="&amp;C1554,CBIC_Late_Fee_Relief_Windows_1!$G$100:$G$1554,"&gt;="&amp;C1554,CBIC_Late_Fee_Relief_Windows_1!$H$100:$H$1554,D1554)</f>
        <v>#NAME?</v>
      </c>
      <c r="H1554" t="e">
        <f t="shared" ca="1" si="24"/>
        <v>#NAME?</v>
      </c>
      <c r="I1554" t="e">
        <f ca="1">INDEX(CBIC_Late_Fee_Relief_Windows_1!$B$100:$B$1554,MATCH(G1554,CBIC_Late_Fee_Relief_Windows_1!$I$100:$I$1554,0))</f>
        <v>#NAME?</v>
      </c>
    </row>
    <row r="1555" spans="1:9" x14ac:dyDescent="0.55000000000000004">
      <c r="A1555" t="str">
        <f>TEST_DATA!A1555</f>
        <v>27AAAAA1555Z5</v>
      </c>
      <c r="B1555" t="str">
        <f>TEST_DATA!B1555</f>
        <v>Mar-2021</v>
      </c>
      <c r="C1555">
        <f>TEST_DATA!C1555</f>
        <v>45032</v>
      </c>
      <c r="D1555" t="str">
        <f>TEST_DATA!D1555</f>
        <v>NIL</v>
      </c>
      <c r="E1555">
        <f>TEST_DATA!E1555</f>
        <v>1248</v>
      </c>
      <c r="F1555">
        <f>MIN(E1555*155500,10000)</f>
        <v>10000</v>
      </c>
      <c r="G1555" t="e">
        <f ca="1">_xludf.MINIFS(CBIC_Late_Fee_Relief_Windows_1!$I$100:$I$1555,CBIC_Late_Fee_Relief_Windows_1!$D$100:$D$1555,"&lt;="&amp;B1555,CBIC_Late_Fee_Relief_Windows_1!$E$100:$E$1555,"&gt;="&amp;B1555,CBIC_Late_Fee_Relief_Windows_1!$F$100:$F$1555,"&lt;="&amp;C1555,CBIC_Late_Fee_Relief_Windows_1!$G$100:$G$1555,"&gt;="&amp;C1555,CBIC_Late_Fee_Relief_Windows_1!$H$100:$H$1555,D1555)</f>
        <v>#NAME?</v>
      </c>
      <c r="H1555" t="e">
        <f t="shared" ca="1" si="24"/>
        <v>#NAME?</v>
      </c>
      <c r="I1555" t="e">
        <f ca="1">INDEX(CBIC_Late_Fee_Relief_Windows_1!$B$100:$B$1555,MATCH(G1555,CBIC_Late_Fee_Relief_Windows_1!$I$100:$I$1555,0))</f>
        <v>#NAME?</v>
      </c>
    </row>
    <row r="1556" spans="1:9" x14ac:dyDescent="0.55000000000000004">
      <c r="A1556" t="str">
        <f>TEST_DATA!A1556</f>
        <v>27AAAAA1556Z5</v>
      </c>
      <c r="B1556" t="str">
        <f>TEST_DATA!B1556</f>
        <v>Jun-2019</v>
      </c>
      <c r="C1556">
        <f>TEST_DATA!C1556</f>
        <v>43634</v>
      </c>
      <c r="D1556" t="str">
        <f>TEST_DATA!D1556</f>
        <v>NON-NIL</v>
      </c>
      <c r="E1556">
        <f>TEST_DATA!E1556</f>
        <v>2211</v>
      </c>
      <c r="F1556">
        <f>MIN(E1556*155600,10000)</f>
        <v>10000</v>
      </c>
      <c r="G1556" t="e">
        <f ca="1">_xludf.MINIFS(CBIC_Late_Fee_Relief_Windows_1!$I$100:$I$1556,CBIC_Late_Fee_Relief_Windows_1!$D$100:$D$1556,"&lt;="&amp;B1556,CBIC_Late_Fee_Relief_Windows_1!$E$100:$E$1556,"&gt;="&amp;B1556,CBIC_Late_Fee_Relief_Windows_1!$F$100:$F$1556,"&lt;="&amp;C1556,CBIC_Late_Fee_Relief_Windows_1!$G$100:$G$1556,"&gt;="&amp;C1556,CBIC_Late_Fee_Relief_Windows_1!$H$100:$H$1556,D1556)</f>
        <v>#NAME?</v>
      </c>
      <c r="H1556" t="e">
        <f t="shared" ca="1" si="24"/>
        <v>#NAME?</v>
      </c>
      <c r="I1556" t="e">
        <f ca="1">INDEX(CBIC_Late_Fee_Relief_Windows_1!$B$100:$B$1556,MATCH(G1556,CBIC_Late_Fee_Relief_Windows_1!$I$100:$I$1556,0))</f>
        <v>#NAME?</v>
      </c>
    </row>
    <row r="1557" spans="1:9" x14ac:dyDescent="0.55000000000000004">
      <c r="A1557" t="str">
        <f>TEST_DATA!A1557</f>
        <v>27AAAAA1557Z5</v>
      </c>
      <c r="B1557" t="str">
        <f>TEST_DATA!B1557</f>
        <v>Mar-2020</v>
      </c>
      <c r="C1557">
        <f>TEST_DATA!C1557</f>
        <v>44137</v>
      </c>
      <c r="D1557" t="str">
        <f>TEST_DATA!D1557</f>
        <v>NON-NIL</v>
      </c>
      <c r="E1557">
        <f>TEST_DATA!E1557</f>
        <v>2057</v>
      </c>
      <c r="F1557">
        <f>MIN(E1557*155700,10000)</f>
        <v>10000</v>
      </c>
      <c r="G1557" t="e">
        <f ca="1">_xludf.MINIFS(CBIC_Late_Fee_Relief_Windows_1!$I$100:$I$1557,CBIC_Late_Fee_Relief_Windows_1!$D$100:$D$1557,"&lt;="&amp;B1557,CBIC_Late_Fee_Relief_Windows_1!$E$100:$E$1557,"&gt;="&amp;B1557,CBIC_Late_Fee_Relief_Windows_1!$F$100:$F$1557,"&lt;="&amp;C1557,CBIC_Late_Fee_Relief_Windows_1!$G$100:$G$1557,"&gt;="&amp;C1557,CBIC_Late_Fee_Relief_Windows_1!$H$100:$H$1557,D1557)</f>
        <v>#NAME?</v>
      </c>
      <c r="H1557" t="e">
        <f t="shared" ca="1" si="24"/>
        <v>#NAME?</v>
      </c>
      <c r="I1557" t="e">
        <f ca="1">INDEX(CBIC_Late_Fee_Relief_Windows_1!$B$100:$B$1557,MATCH(G1557,CBIC_Late_Fee_Relief_Windows_1!$I$100:$I$1557,0))</f>
        <v>#NAME?</v>
      </c>
    </row>
    <row r="1558" spans="1:9" x14ac:dyDescent="0.55000000000000004">
      <c r="A1558" t="str">
        <f>TEST_DATA!A1558</f>
        <v>27AAAAA1558Z5</v>
      </c>
      <c r="B1558" t="str">
        <f>TEST_DATA!B1558</f>
        <v>Jul-2020</v>
      </c>
      <c r="C1558">
        <f>TEST_DATA!C1558</f>
        <v>44283</v>
      </c>
      <c r="D1558" t="str">
        <f>TEST_DATA!D1558</f>
        <v>NIL</v>
      </c>
      <c r="E1558">
        <f>TEST_DATA!E1558</f>
        <v>206</v>
      </c>
      <c r="F1558">
        <f>MIN(E1558*155800,10000)</f>
        <v>10000</v>
      </c>
      <c r="G1558" t="e">
        <f ca="1">_xludf.MINIFS(CBIC_Late_Fee_Relief_Windows_1!$I$100:$I$1558,CBIC_Late_Fee_Relief_Windows_1!$D$100:$D$1558,"&lt;="&amp;B1558,CBIC_Late_Fee_Relief_Windows_1!$E$100:$E$1558,"&gt;="&amp;B1558,CBIC_Late_Fee_Relief_Windows_1!$F$100:$F$1558,"&lt;="&amp;C1558,CBIC_Late_Fee_Relief_Windows_1!$G$100:$G$1558,"&gt;="&amp;C1558,CBIC_Late_Fee_Relief_Windows_1!$H$100:$H$1558,D1558)</f>
        <v>#NAME?</v>
      </c>
      <c r="H1558" t="e">
        <f t="shared" ca="1" si="24"/>
        <v>#NAME?</v>
      </c>
      <c r="I1558" t="e">
        <f ca="1">INDEX(CBIC_Late_Fee_Relief_Windows_1!$B$100:$B$1558,MATCH(G1558,CBIC_Late_Fee_Relief_Windows_1!$I$100:$I$1558,0))</f>
        <v>#NAME?</v>
      </c>
    </row>
    <row r="1559" spans="1:9" x14ac:dyDescent="0.55000000000000004">
      <c r="A1559" t="str">
        <f>TEST_DATA!A1559</f>
        <v>27AAAAA1559Z5</v>
      </c>
      <c r="B1559" t="str">
        <f>TEST_DATA!B1559</f>
        <v>Jun-2020</v>
      </c>
      <c r="C1559">
        <f>TEST_DATA!C1559</f>
        <v>44635</v>
      </c>
      <c r="D1559" t="str">
        <f>TEST_DATA!D1559</f>
        <v>NON-NIL</v>
      </c>
      <c r="E1559">
        <f>TEST_DATA!E1559</f>
        <v>2437</v>
      </c>
      <c r="F1559">
        <f>MIN(E1559*155900,10000)</f>
        <v>10000</v>
      </c>
      <c r="G1559" t="e">
        <f ca="1">_xludf.MINIFS(CBIC_Late_Fee_Relief_Windows_1!$I$100:$I$1559,CBIC_Late_Fee_Relief_Windows_1!$D$100:$D$1559,"&lt;="&amp;B1559,CBIC_Late_Fee_Relief_Windows_1!$E$100:$E$1559,"&gt;="&amp;B1559,CBIC_Late_Fee_Relief_Windows_1!$F$100:$F$1559,"&lt;="&amp;C1559,CBIC_Late_Fee_Relief_Windows_1!$G$100:$G$1559,"&gt;="&amp;C1559,CBIC_Late_Fee_Relief_Windows_1!$H$100:$H$1559,D1559)</f>
        <v>#NAME?</v>
      </c>
      <c r="H1559" t="e">
        <f t="shared" ca="1" si="24"/>
        <v>#NAME?</v>
      </c>
      <c r="I1559" t="e">
        <f ca="1">INDEX(CBIC_Late_Fee_Relief_Windows_1!$B$100:$B$1559,MATCH(G1559,CBIC_Late_Fee_Relief_Windows_1!$I$100:$I$1559,0))</f>
        <v>#NAME?</v>
      </c>
    </row>
    <row r="1560" spans="1:9" x14ac:dyDescent="0.55000000000000004">
      <c r="A1560" t="str">
        <f>TEST_DATA!A1560</f>
        <v>27AAAAA1560Z5</v>
      </c>
      <c r="B1560" t="str">
        <f>TEST_DATA!B1560</f>
        <v>Mar-2020</v>
      </c>
      <c r="C1560">
        <f>TEST_DATA!C1560</f>
        <v>44864</v>
      </c>
      <c r="D1560" t="str">
        <f>TEST_DATA!D1560</f>
        <v>NIL</v>
      </c>
      <c r="E1560">
        <f>TEST_DATA!E1560</f>
        <v>909</v>
      </c>
      <c r="F1560">
        <f>MIN(E1560*156000,10000)</f>
        <v>10000</v>
      </c>
      <c r="G1560" t="e">
        <f ca="1">_xludf.MINIFS(CBIC_Late_Fee_Relief_Windows_1!$I$100:$I$1560,CBIC_Late_Fee_Relief_Windows_1!$D$100:$D$1560,"&lt;="&amp;B1560,CBIC_Late_Fee_Relief_Windows_1!$E$100:$E$1560,"&gt;="&amp;B1560,CBIC_Late_Fee_Relief_Windows_1!$F$100:$F$1560,"&lt;="&amp;C1560,CBIC_Late_Fee_Relief_Windows_1!$G$100:$G$1560,"&gt;="&amp;C1560,CBIC_Late_Fee_Relief_Windows_1!$H$100:$H$1560,D1560)</f>
        <v>#NAME?</v>
      </c>
      <c r="H1560" t="e">
        <f t="shared" ca="1" si="24"/>
        <v>#NAME?</v>
      </c>
      <c r="I1560" t="e">
        <f ca="1">INDEX(CBIC_Late_Fee_Relief_Windows_1!$B$100:$B$1560,MATCH(G1560,CBIC_Late_Fee_Relief_Windows_1!$I$100:$I$1560,0))</f>
        <v>#NAME?</v>
      </c>
    </row>
    <row r="1561" spans="1:9" x14ac:dyDescent="0.55000000000000004">
      <c r="A1561" t="str">
        <f>TEST_DATA!A1561</f>
        <v>27AAAAA1561Z5</v>
      </c>
      <c r="B1561" t="str">
        <f>TEST_DATA!B1561</f>
        <v>Aug-2018</v>
      </c>
      <c r="C1561">
        <f>TEST_DATA!C1561</f>
        <v>43510</v>
      </c>
      <c r="D1561" t="str">
        <f>TEST_DATA!D1561</f>
        <v>NON-NIL</v>
      </c>
      <c r="E1561">
        <f>TEST_DATA!E1561</f>
        <v>606</v>
      </c>
      <c r="F1561">
        <f>MIN(E1561*156100,10000)</f>
        <v>10000</v>
      </c>
      <c r="G1561" t="e">
        <f ca="1">_xludf.MINIFS(CBIC_Late_Fee_Relief_Windows_1!$I$100:$I$1561,CBIC_Late_Fee_Relief_Windows_1!$D$100:$D$1561,"&lt;="&amp;B1561,CBIC_Late_Fee_Relief_Windows_1!$E$100:$E$1561,"&gt;="&amp;B1561,CBIC_Late_Fee_Relief_Windows_1!$F$100:$F$1561,"&lt;="&amp;C1561,CBIC_Late_Fee_Relief_Windows_1!$G$100:$G$1561,"&gt;="&amp;C1561,CBIC_Late_Fee_Relief_Windows_1!$H$100:$H$1561,D1561)</f>
        <v>#NAME?</v>
      </c>
      <c r="H1561" t="e">
        <f t="shared" ca="1" si="24"/>
        <v>#NAME?</v>
      </c>
      <c r="I1561" t="e">
        <f ca="1">INDEX(CBIC_Late_Fee_Relief_Windows_1!$B$100:$B$1561,MATCH(G1561,CBIC_Late_Fee_Relief_Windows_1!$I$100:$I$1561,0))</f>
        <v>#NAME?</v>
      </c>
    </row>
    <row r="1562" spans="1:9" x14ac:dyDescent="0.55000000000000004">
      <c r="A1562" t="str">
        <f>TEST_DATA!A1562</f>
        <v>27AAAAA1562Z5</v>
      </c>
      <c r="B1562" t="str">
        <f>TEST_DATA!B1562</f>
        <v>Nov-2017</v>
      </c>
      <c r="C1562">
        <f>TEST_DATA!C1562</f>
        <v>43605</v>
      </c>
      <c r="D1562" t="str">
        <f>TEST_DATA!D1562</f>
        <v>NIL</v>
      </c>
      <c r="E1562">
        <f>TEST_DATA!E1562</f>
        <v>1949</v>
      </c>
      <c r="F1562">
        <f>MIN(E1562*156200,10000)</f>
        <v>10000</v>
      </c>
      <c r="G1562" t="e">
        <f ca="1">_xludf.MINIFS(CBIC_Late_Fee_Relief_Windows_1!$I$100:$I$1562,CBIC_Late_Fee_Relief_Windows_1!$D$100:$D$1562,"&lt;="&amp;B1562,CBIC_Late_Fee_Relief_Windows_1!$E$100:$E$1562,"&gt;="&amp;B1562,CBIC_Late_Fee_Relief_Windows_1!$F$100:$F$1562,"&lt;="&amp;C1562,CBIC_Late_Fee_Relief_Windows_1!$G$100:$G$1562,"&gt;="&amp;C1562,CBIC_Late_Fee_Relief_Windows_1!$H$100:$H$1562,D1562)</f>
        <v>#NAME?</v>
      </c>
      <c r="H1562" t="e">
        <f t="shared" ca="1" si="24"/>
        <v>#NAME?</v>
      </c>
      <c r="I1562" t="e">
        <f ca="1">INDEX(CBIC_Late_Fee_Relief_Windows_1!$B$100:$B$1562,MATCH(G1562,CBIC_Late_Fee_Relief_Windows_1!$I$100:$I$1562,0))</f>
        <v>#NAME?</v>
      </c>
    </row>
    <row r="1563" spans="1:9" x14ac:dyDescent="0.55000000000000004">
      <c r="A1563" t="str">
        <f>TEST_DATA!A1563</f>
        <v>27AAAAA1563Z5</v>
      </c>
      <c r="B1563" t="str">
        <f>TEST_DATA!B1563</f>
        <v>Mar-2020</v>
      </c>
      <c r="C1563">
        <f>TEST_DATA!C1563</f>
        <v>43931</v>
      </c>
      <c r="D1563" t="str">
        <f>TEST_DATA!D1563</f>
        <v>NON-NIL</v>
      </c>
      <c r="E1563">
        <f>TEST_DATA!E1563</f>
        <v>1075</v>
      </c>
      <c r="F1563">
        <f>MIN(E1563*156300,10000)</f>
        <v>10000</v>
      </c>
      <c r="G1563" t="e">
        <f ca="1">_xludf.MINIFS(CBIC_Late_Fee_Relief_Windows_1!$I$100:$I$1563,CBIC_Late_Fee_Relief_Windows_1!$D$100:$D$1563,"&lt;="&amp;B1563,CBIC_Late_Fee_Relief_Windows_1!$E$100:$E$1563,"&gt;="&amp;B1563,CBIC_Late_Fee_Relief_Windows_1!$F$100:$F$1563,"&lt;="&amp;C1563,CBIC_Late_Fee_Relief_Windows_1!$G$100:$G$1563,"&gt;="&amp;C1563,CBIC_Late_Fee_Relief_Windows_1!$H$100:$H$1563,D1563)</f>
        <v>#NAME?</v>
      </c>
      <c r="H1563" t="e">
        <f t="shared" ca="1" si="24"/>
        <v>#NAME?</v>
      </c>
      <c r="I1563" t="e">
        <f ca="1">INDEX(CBIC_Late_Fee_Relief_Windows_1!$B$100:$B$1563,MATCH(G1563,CBIC_Late_Fee_Relief_Windows_1!$I$100:$I$1563,0))</f>
        <v>#NAME?</v>
      </c>
    </row>
    <row r="1564" spans="1:9" x14ac:dyDescent="0.55000000000000004">
      <c r="A1564" t="str">
        <f>TEST_DATA!A1564</f>
        <v>27AAAAA1564Z5</v>
      </c>
      <c r="B1564" t="str">
        <f>TEST_DATA!B1564</f>
        <v>Sep-2017</v>
      </c>
      <c r="C1564">
        <f>TEST_DATA!C1564</f>
        <v>43733</v>
      </c>
      <c r="D1564" t="str">
        <f>TEST_DATA!D1564</f>
        <v>NON-NIL</v>
      </c>
      <c r="E1564">
        <f>TEST_DATA!E1564</f>
        <v>2858</v>
      </c>
      <c r="F1564">
        <f>MIN(E1564*156400,10000)</f>
        <v>10000</v>
      </c>
      <c r="G1564" t="e">
        <f ca="1">_xludf.MINIFS(CBIC_Late_Fee_Relief_Windows_1!$I$100:$I$1564,CBIC_Late_Fee_Relief_Windows_1!$D$100:$D$1564,"&lt;="&amp;B1564,CBIC_Late_Fee_Relief_Windows_1!$E$100:$E$1564,"&gt;="&amp;B1564,CBIC_Late_Fee_Relief_Windows_1!$F$100:$F$1564,"&lt;="&amp;C1564,CBIC_Late_Fee_Relief_Windows_1!$G$100:$G$1564,"&gt;="&amp;C1564,CBIC_Late_Fee_Relief_Windows_1!$H$100:$H$1564,D1564)</f>
        <v>#NAME?</v>
      </c>
      <c r="H1564" t="e">
        <f t="shared" ca="1" si="24"/>
        <v>#NAME?</v>
      </c>
      <c r="I1564" t="e">
        <f ca="1">INDEX(CBIC_Late_Fee_Relief_Windows_1!$B$100:$B$1564,MATCH(G1564,CBIC_Late_Fee_Relief_Windows_1!$I$100:$I$1564,0))</f>
        <v>#NAME?</v>
      </c>
    </row>
    <row r="1565" spans="1:9" x14ac:dyDescent="0.55000000000000004">
      <c r="A1565" t="str">
        <f>TEST_DATA!A1565</f>
        <v>27AAAAA1565Z5</v>
      </c>
      <c r="B1565" t="str">
        <f>TEST_DATA!B1565</f>
        <v>Nov-2017</v>
      </c>
      <c r="C1565">
        <f>TEST_DATA!C1565</f>
        <v>44477</v>
      </c>
      <c r="D1565" t="str">
        <f>TEST_DATA!D1565</f>
        <v>NIL</v>
      </c>
      <c r="E1565">
        <f>TEST_DATA!E1565</f>
        <v>1969</v>
      </c>
      <c r="F1565">
        <f>MIN(E1565*156500,10000)</f>
        <v>10000</v>
      </c>
      <c r="G1565" t="e">
        <f ca="1">_xludf.MINIFS(CBIC_Late_Fee_Relief_Windows_1!$I$100:$I$1565,CBIC_Late_Fee_Relief_Windows_1!$D$100:$D$1565,"&lt;="&amp;B1565,CBIC_Late_Fee_Relief_Windows_1!$E$100:$E$1565,"&gt;="&amp;B1565,CBIC_Late_Fee_Relief_Windows_1!$F$100:$F$1565,"&lt;="&amp;C1565,CBIC_Late_Fee_Relief_Windows_1!$G$100:$G$1565,"&gt;="&amp;C1565,CBIC_Late_Fee_Relief_Windows_1!$H$100:$H$1565,D1565)</f>
        <v>#NAME?</v>
      </c>
      <c r="H1565" t="e">
        <f t="shared" ca="1" si="24"/>
        <v>#NAME?</v>
      </c>
      <c r="I1565" t="e">
        <f ca="1">INDEX(CBIC_Late_Fee_Relief_Windows_1!$B$100:$B$1565,MATCH(G1565,CBIC_Late_Fee_Relief_Windows_1!$I$100:$I$1565,0))</f>
        <v>#NAME?</v>
      </c>
    </row>
    <row r="1566" spans="1:9" x14ac:dyDescent="0.55000000000000004">
      <c r="A1566" t="str">
        <f>TEST_DATA!A1566</f>
        <v>27AAAAA1566Z5</v>
      </c>
      <c r="B1566" t="str">
        <f>TEST_DATA!B1566</f>
        <v>Dec-2019</v>
      </c>
      <c r="C1566">
        <f>TEST_DATA!C1566</f>
        <v>44277</v>
      </c>
      <c r="D1566" t="str">
        <f>TEST_DATA!D1566</f>
        <v>NON-NIL</v>
      </c>
      <c r="E1566">
        <f>TEST_DATA!E1566</f>
        <v>1619</v>
      </c>
      <c r="F1566">
        <f>MIN(E1566*156600,10000)</f>
        <v>10000</v>
      </c>
      <c r="G1566" t="e">
        <f ca="1">_xludf.MINIFS(CBIC_Late_Fee_Relief_Windows_1!$I$100:$I$1566,CBIC_Late_Fee_Relief_Windows_1!$D$100:$D$1566,"&lt;="&amp;B1566,CBIC_Late_Fee_Relief_Windows_1!$E$100:$E$1566,"&gt;="&amp;B1566,CBIC_Late_Fee_Relief_Windows_1!$F$100:$F$1566,"&lt;="&amp;C1566,CBIC_Late_Fee_Relief_Windows_1!$G$100:$G$1566,"&gt;="&amp;C1566,CBIC_Late_Fee_Relief_Windows_1!$H$100:$H$1566,D1566)</f>
        <v>#NAME?</v>
      </c>
      <c r="H1566" t="e">
        <f t="shared" ca="1" si="24"/>
        <v>#NAME?</v>
      </c>
      <c r="I1566" t="e">
        <f ca="1">INDEX(CBIC_Late_Fee_Relief_Windows_1!$B$100:$B$1566,MATCH(G1566,CBIC_Late_Fee_Relief_Windows_1!$I$100:$I$1566,0))</f>
        <v>#NAME?</v>
      </c>
    </row>
    <row r="1567" spans="1:9" x14ac:dyDescent="0.55000000000000004">
      <c r="A1567" t="str">
        <f>TEST_DATA!A1567</f>
        <v>27AAAAA1567Z5</v>
      </c>
      <c r="B1567" t="str">
        <f>TEST_DATA!B1567</f>
        <v>May-2020</v>
      </c>
      <c r="C1567">
        <f>TEST_DATA!C1567</f>
        <v>44232</v>
      </c>
      <c r="D1567" t="str">
        <f>TEST_DATA!D1567</f>
        <v>NIL</v>
      </c>
      <c r="E1567">
        <f>TEST_DATA!E1567</f>
        <v>992</v>
      </c>
      <c r="F1567">
        <f>MIN(E1567*156700,10000)</f>
        <v>10000</v>
      </c>
      <c r="G1567" t="e">
        <f ca="1">_xludf.MINIFS(CBIC_Late_Fee_Relief_Windows_1!$I$100:$I$1567,CBIC_Late_Fee_Relief_Windows_1!$D$100:$D$1567,"&lt;="&amp;B1567,CBIC_Late_Fee_Relief_Windows_1!$E$100:$E$1567,"&gt;="&amp;B1567,CBIC_Late_Fee_Relief_Windows_1!$F$100:$F$1567,"&lt;="&amp;C1567,CBIC_Late_Fee_Relief_Windows_1!$G$100:$G$1567,"&gt;="&amp;C1567,CBIC_Late_Fee_Relief_Windows_1!$H$100:$H$1567,D1567)</f>
        <v>#NAME?</v>
      </c>
      <c r="H1567" t="e">
        <f t="shared" ca="1" si="24"/>
        <v>#NAME?</v>
      </c>
      <c r="I1567" t="e">
        <f ca="1">INDEX(CBIC_Late_Fee_Relief_Windows_1!$B$100:$B$1567,MATCH(G1567,CBIC_Late_Fee_Relief_Windows_1!$I$100:$I$1567,0))</f>
        <v>#NAME?</v>
      </c>
    </row>
    <row r="1568" spans="1:9" x14ac:dyDescent="0.55000000000000004">
      <c r="A1568" t="str">
        <f>TEST_DATA!A1568</f>
        <v>27AAAAA1568Z5</v>
      </c>
      <c r="B1568" t="str">
        <f>TEST_DATA!B1568</f>
        <v>Sep-2017</v>
      </c>
      <c r="C1568">
        <f>TEST_DATA!C1568</f>
        <v>43462</v>
      </c>
      <c r="D1568" t="str">
        <f>TEST_DATA!D1568</f>
        <v>NON-NIL</v>
      </c>
      <c r="E1568">
        <f>TEST_DATA!E1568</f>
        <v>1324</v>
      </c>
      <c r="F1568">
        <f>MIN(E1568*156800,10000)</f>
        <v>10000</v>
      </c>
      <c r="G1568" t="e">
        <f ca="1">_xludf.MINIFS(CBIC_Late_Fee_Relief_Windows_1!$I$100:$I$1568,CBIC_Late_Fee_Relief_Windows_1!$D$100:$D$1568,"&lt;="&amp;B1568,CBIC_Late_Fee_Relief_Windows_1!$E$100:$E$1568,"&gt;="&amp;B1568,CBIC_Late_Fee_Relief_Windows_1!$F$100:$F$1568,"&lt;="&amp;C1568,CBIC_Late_Fee_Relief_Windows_1!$G$100:$G$1568,"&gt;="&amp;C1568,CBIC_Late_Fee_Relief_Windows_1!$H$100:$H$1568,D1568)</f>
        <v>#NAME?</v>
      </c>
      <c r="H1568" t="e">
        <f t="shared" ca="1" si="24"/>
        <v>#NAME?</v>
      </c>
      <c r="I1568" t="e">
        <f ca="1">INDEX(CBIC_Late_Fee_Relief_Windows_1!$B$100:$B$1568,MATCH(G1568,CBIC_Late_Fee_Relief_Windows_1!$I$100:$I$1568,0))</f>
        <v>#NAME?</v>
      </c>
    </row>
    <row r="1569" spans="1:9" x14ac:dyDescent="0.55000000000000004">
      <c r="A1569" t="str">
        <f>TEST_DATA!A1569</f>
        <v>27AAAAA1569Z5</v>
      </c>
      <c r="B1569" t="str">
        <f>TEST_DATA!B1569</f>
        <v>Jun-2020</v>
      </c>
      <c r="C1569">
        <f>TEST_DATA!C1569</f>
        <v>44014</v>
      </c>
      <c r="D1569" t="str">
        <f>TEST_DATA!D1569</f>
        <v>NIL</v>
      </c>
      <c r="E1569">
        <f>TEST_DATA!E1569</f>
        <v>2751</v>
      </c>
      <c r="F1569">
        <f>MIN(E1569*156900,10000)</f>
        <v>10000</v>
      </c>
      <c r="G1569" t="e">
        <f ca="1">_xludf.MINIFS(CBIC_Late_Fee_Relief_Windows_1!$I$100:$I$1569,CBIC_Late_Fee_Relief_Windows_1!$D$100:$D$1569,"&lt;="&amp;B1569,CBIC_Late_Fee_Relief_Windows_1!$E$100:$E$1569,"&gt;="&amp;B1569,CBIC_Late_Fee_Relief_Windows_1!$F$100:$F$1569,"&lt;="&amp;C1569,CBIC_Late_Fee_Relief_Windows_1!$G$100:$G$1569,"&gt;="&amp;C1569,CBIC_Late_Fee_Relief_Windows_1!$H$100:$H$1569,D1569)</f>
        <v>#NAME?</v>
      </c>
      <c r="H1569" t="e">
        <f t="shared" ca="1" si="24"/>
        <v>#NAME?</v>
      </c>
      <c r="I1569" t="e">
        <f ca="1">INDEX(CBIC_Late_Fee_Relief_Windows_1!$B$100:$B$1569,MATCH(G1569,CBIC_Late_Fee_Relief_Windows_1!$I$100:$I$1569,0))</f>
        <v>#NAME?</v>
      </c>
    </row>
    <row r="1570" spans="1:9" x14ac:dyDescent="0.55000000000000004">
      <c r="A1570" t="str">
        <f>TEST_DATA!A1570</f>
        <v>27AAAAA1570Z5</v>
      </c>
      <c r="B1570" t="str">
        <f>TEST_DATA!B1570</f>
        <v>Aug-2018</v>
      </c>
      <c r="C1570">
        <f>TEST_DATA!C1570</f>
        <v>43784</v>
      </c>
      <c r="D1570" t="str">
        <f>TEST_DATA!D1570</f>
        <v>NON-NIL</v>
      </c>
      <c r="E1570">
        <f>TEST_DATA!E1570</f>
        <v>1426</v>
      </c>
      <c r="F1570">
        <f>MIN(E1570*157000,10000)</f>
        <v>10000</v>
      </c>
      <c r="G1570" t="e">
        <f ca="1">_xludf.MINIFS(CBIC_Late_Fee_Relief_Windows_1!$I$100:$I$1570,CBIC_Late_Fee_Relief_Windows_1!$D$100:$D$1570,"&lt;="&amp;B1570,CBIC_Late_Fee_Relief_Windows_1!$E$100:$E$1570,"&gt;="&amp;B1570,CBIC_Late_Fee_Relief_Windows_1!$F$100:$F$1570,"&lt;="&amp;C1570,CBIC_Late_Fee_Relief_Windows_1!$G$100:$G$1570,"&gt;="&amp;C1570,CBIC_Late_Fee_Relief_Windows_1!$H$100:$H$1570,D1570)</f>
        <v>#NAME?</v>
      </c>
      <c r="H1570" t="e">
        <f t="shared" ca="1" si="24"/>
        <v>#NAME?</v>
      </c>
      <c r="I1570" t="e">
        <f ca="1">INDEX(CBIC_Late_Fee_Relief_Windows_1!$B$100:$B$1570,MATCH(G1570,CBIC_Late_Fee_Relief_Windows_1!$I$100:$I$1570,0))</f>
        <v>#NAME?</v>
      </c>
    </row>
    <row r="1571" spans="1:9" x14ac:dyDescent="0.55000000000000004">
      <c r="A1571" t="str">
        <f>TEST_DATA!A1571</f>
        <v>27AAAAA1571Z5</v>
      </c>
      <c r="B1571" t="str">
        <f>TEST_DATA!B1571</f>
        <v>Jan-2018</v>
      </c>
      <c r="C1571">
        <f>TEST_DATA!C1571</f>
        <v>43573</v>
      </c>
      <c r="D1571" t="str">
        <f>TEST_DATA!D1571</f>
        <v>NON-NIL</v>
      </c>
      <c r="E1571">
        <f>TEST_DATA!E1571</f>
        <v>2432</v>
      </c>
      <c r="F1571">
        <f>MIN(E1571*157100,10000)</f>
        <v>10000</v>
      </c>
      <c r="G1571" t="e">
        <f ca="1">_xludf.MINIFS(CBIC_Late_Fee_Relief_Windows_1!$I$100:$I$1571,CBIC_Late_Fee_Relief_Windows_1!$D$100:$D$1571,"&lt;="&amp;B1571,CBIC_Late_Fee_Relief_Windows_1!$E$100:$E$1571,"&gt;="&amp;B1571,CBIC_Late_Fee_Relief_Windows_1!$F$100:$F$1571,"&lt;="&amp;C1571,CBIC_Late_Fee_Relief_Windows_1!$G$100:$G$1571,"&gt;="&amp;C1571,CBIC_Late_Fee_Relief_Windows_1!$H$100:$H$1571,D1571)</f>
        <v>#NAME?</v>
      </c>
      <c r="H1571" t="e">
        <f t="shared" ca="1" si="24"/>
        <v>#NAME?</v>
      </c>
      <c r="I1571" t="e">
        <f ca="1">INDEX(CBIC_Late_Fee_Relief_Windows_1!$B$100:$B$1571,MATCH(G1571,CBIC_Late_Fee_Relief_Windows_1!$I$100:$I$1571,0))</f>
        <v>#NAME?</v>
      </c>
    </row>
    <row r="1572" spans="1:9" x14ac:dyDescent="0.55000000000000004">
      <c r="A1572" t="str">
        <f>TEST_DATA!A1572</f>
        <v>27AAAAA1572Z5</v>
      </c>
      <c r="B1572" t="str">
        <f>TEST_DATA!B1572</f>
        <v>May-2020</v>
      </c>
      <c r="C1572">
        <f>TEST_DATA!C1572</f>
        <v>43880</v>
      </c>
      <c r="D1572" t="str">
        <f>TEST_DATA!D1572</f>
        <v>NON-NIL</v>
      </c>
      <c r="E1572">
        <f>TEST_DATA!E1572</f>
        <v>693</v>
      </c>
      <c r="F1572">
        <f>MIN(E1572*157200,10000)</f>
        <v>10000</v>
      </c>
      <c r="G1572" t="e">
        <f ca="1">_xludf.MINIFS(CBIC_Late_Fee_Relief_Windows_1!$I$100:$I$1572,CBIC_Late_Fee_Relief_Windows_1!$D$100:$D$1572,"&lt;="&amp;B1572,CBIC_Late_Fee_Relief_Windows_1!$E$100:$E$1572,"&gt;="&amp;B1572,CBIC_Late_Fee_Relief_Windows_1!$F$100:$F$1572,"&lt;="&amp;C1572,CBIC_Late_Fee_Relief_Windows_1!$G$100:$G$1572,"&gt;="&amp;C1572,CBIC_Late_Fee_Relief_Windows_1!$H$100:$H$1572,D1572)</f>
        <v>#NAME?</v>
      </c>
      <c r="H1572" t="e">
        <f t="shared" ca="1" si="24"/>
        <v>#NAME?</v>
      </c>
      <c r="I1572" t="e">
        <f ca="1">INDEX(CBIC_Late_Fee_Relief_Windows_1!$B$100:$B$1572,MATCH(G1572,CBIC_Late_Fee_Relief_Windows_1!$I$100:$I$1572,0))</f>
        <v>#NAME?</v>
      </c>
    </row>
    <row r="1573" spans="1:9" x14ac:dyDescent="0.55000000000000004">
      <c r="A1573" t="str">
        <f>TEST_DATA!A1573</f>
        <v>27AAAAA1573Z5</v>
      </c>
      <c r="B1573" t="str">
        <f>TEST_DATA!B1573</f>
        <v>Jun-2018</v>
      </c>
      <c r="C1573">
        <f>TEST_DATA!C1573</f>
        <v>44179</v>
      </c>
      <c r="D1573" t="str">
        <f>TEST_DATA!D1573</f>
        <v>NON-NIL</v>
      </c>
      <c r="E1573">
        <f>TEST_DATA!E1573</f>
        <v>2552</v>
      </c>
      <c r="F1573">
        <f>MIN(E1573*157300,10000)</f>
        <v>10000</v>
      </c>
      <c r="G1573" t="e">
        <f ca="1">_xludf.MINIFS(CBIC_Late_Fee_Relief_Windows_1!$I$100:$I$1573,CBIC_Late_Fee_Relief_Windows_1!$D$100:$D$1573,"&lt;="&amp;B1573,CBIC_Late_Fee_Relief_Windows_1!$E$100:$E$1573,"&gt;="&amp;B1573,CBIC_Late_Fee_Relief_Windows_1!$F$100:$F$1573,"&lt;="&amp;C1573,CBIC_Late_Fee_Relief_Windows_1!$G$100:$G$1573,"&gt;="&amp;C1573,CBIC_Late_Fee_Relief_Windows_1!$H$100:$H$1573,D1573)</f>
        <v>#NAME?</v>
      </c>
      <c r="H1573" t="e">
        <f t="shared" ca="1" si="24"/>
        <v>#NAME?</v>
      </c>
      <c r="I1573" t="e">
        <f ca="1">INDEX(CBIC_Late_Fee_Relief_Windows_1!$B$100:$B$1573,MATCH(G1573,CBIC_Late_Fee_Relief_Windows_1!$I$100:$I$1573,0))</f>
        <v>#NAME?</v>
      </c>
    </row>
    <row r="1574" spans="1:9" x14ac:dyDescent="0.55000000000000004">
      <c r="A1574" t="str">
        <f>TEST_DATA!A1574</f>
        <v>27AAAAA1574Z5</v>
      </c>
      <c r="B1574" t="str">
        <f>TEST_DATA!B1574</f>
        <v>Nov-2017</v>
      </c>
      <c r="C1574">
        <f>TEST_DATA!C1574</f>
        <v>43819</v>
      </c>
      <c r="D1574" t="str">
        <f>TEST_DATA!D1574</f>
        <v>NIL</v>
      </c>
      <c r="E1574">
        <f>TEST_DATA!E1574</f>
        <v>956</v>
      </c>
      <c r="F1574">
        <f>MIN(E1574*157400,10000)</f>
        <v>10000</v>
      </c>
      <c r="G1574" t="e">
        <f ca="1">_xludf.MINIFS(CBIC_Late_Fee_Relief_Windows_1!$I$100:$I$1574,CBIC_Late_Fee_Relief_Windows_1!$D$100:$D$1574,"&lt;="&amp;B1574,CBIC_Late_Fee_Relief_Windows_1!$E$100:$E$1574,"&gt;="&amp;B1574,CBIC_Late_Fee_Relief_Windows_1!$F$100:$F$1574,"&lt;="&amp;C1574,CBIC_Late_Fee_Relief_Windows_1!$G$100:$G$1574,"&gt;="&amp;C1574,CBIC_Late_Fee_Relief_Windows_1!$H$100:$H$1574,D1574)</f>
        <v>#NAME?</v>
      </c>
      <c r="H1574" t="e">
        <f t="shared" ca="1" si="24"/>
        <v>#NAME?</v>
      </c>
      <c r="I1574" t="e">
        <f ca="1">INDEX(CBIC_Late_Fee_Relief_Windows_1!$B$100:$B$1574,MATCH(G1574,CBIC_Late_Fee_Relief_Windows_1!$I$100:$I$1574,0))</f>
        <v>#NAME?</v>
      </c>
    </row>
    <row r="1575" spans="1:9" x14ac:dyDescent="0.55000000000000004">
      <c r="A1575" t="str">
        <f>TEST_DATA!A1575</f>
        <v>27AAAAA1575Z5</v>
      </c>
      <c r="B1575" t="str">
        <f>TEST_DATA!B1575</f>
        <v>Jan-2018</v>
      </c>
      <c r="C1575">
        <f>TEST_DATA!C1575</f>
        <v>44320</v>
      </c>
      <c r="D1575" t="str">
        <f>TEST_DATA!D1575</f>
        <v>NON-NIL</v>
      </c>
      <c r="E1575">
        <f>TEST_DATA!E1575</f>
        <v>638</v>
      </c>
      <c r="F1575">
        <f>MIN(E1575*157500,10000)</f>
        <v>10000</v>
      </c>
      <c r="G1575" t="e">
        <f ca="1">_xludf.MINIFS(CBIC_Late_Fee_Relief_Windows_1!$I$100:$I$1575,CBIC_Late_Fee_Relief_Windows_1!$D$100:$D$1575,"&lt;="&amp;B1575,CBIC_Late_Fee_Relief_Windows_1!$E$100:$E$1575,"&gt;="&amp;B1575,CBIC_Late_Fee_Relief_Windows_1!$F$100:$F$1575,"&lt;="&amp;C1575,CBIC_Late_Fee_Relief_Windows_1!$G$100:$G$1575,"&gt;="&amp;C1575,CBIC_Late_Fee_Relief_Windows_1!$H$100:$H$1575,D1575)</f>
        <v>#NAME?</v>
      </c>
      <c r="H1575" t="e">
        <f t="shared" ca="1" si="24"/>
        <v>#NAME?</v>
      </c>
      <c r="I1575" t="e">
        <f ca="1">INDEX(CBIC_Late_Fee_Relief_Windows_1!$B$100:$B$1575,MATCH(G1575,CBIC_Late_Fee_Relief_Windows_1!$I$100:$I$1575,0))</f>
        <v>#NAME?</v>
      </c>
    </row>
    <row r="1576" spans="1:9" x14ac:dyDescent="0.55000000000000004">
      <c r="A1576" t="str">
        <f>TEST_DATA!A1576</f>
        <v>27AAAAA1576Z5</v>
      </c>
      <c r="B1576" t="str">
        <f>TEST_DATA!B1576</f>
        <v>Mar-2021</v>
      </c>
      <c r="C1576">
        <f>TEST_DATA!C1576</f>
        <v>43817</v>
      </c>
      <c r="D1576" t="str">
        <f>TEST_DATA!D1576</f>
        <v>NIL</v>
      </c>
      <c r="E1576">
        <f>TEST_DATA!E1576</f>
        <v>223</v>
      </c>
      <c r="F1576">
        <f>MIN(E1576*157600,10000)</f>
        <v>10000</v>
      </c>
      <c r="G1576" t="e">
        <f ca="1">_xludf.MINIFS(CBIC_Late_Fee_Relief_Windows_1!$I$100:$I$1576,CBIC_Late_Fee_Relief_Windows_1!$D$100:$D$1576,"&lt;="&amp;B1576,CBIC_Late_Fee_Relief_Windows_1!$E$100:$E$1576,"&gt;="&amp;B1576,CBIC_Late_Fee_Relief_Windows_1!$F$100:$F$1576,"&lt;="&amp;C1576,CBIC_Late_Fee_Relief_Windows_1!$G$100:$G$1576,"&gt;="&amp;C1576,CBIC_Late_Fee_Relief_Windows_1!$H$100:$H$1576,D1576)</f>
        <v>#NAME?</v>
      </c>
      <c r="H1576" t="e">
        <f t="shared" ca="1" si="24"/>
        <v>#NAME?</v>
      </c>
      <c r="I1576" t="e">
        <f ca="1">INDEX(CBIC_Late_Fee_Relief_Windows_1!$B$100:$B$1576,MATCH(G1576,CBIC_Late_Fee_Relief_Windows_1!$I$100:$I$1576,0))</f>
        <v>#NAME?</v>
      </c>
    </row>
    <row r="1577" spans="1:9" x14ac:dyDescent="0.55000000000000004">
      <c r="A1577" t="str">
        <f>TEST_DATA!A1577</f>
        <v>27AAAAA1577Z5</v>
      </c>
      <c r="B1577" t="str">
        <f>TEST_DATA!B1577</f>
        <v>Feb-2018</v>
      </c>
      <c r="C1577">
        <f>TEST_DATA!C1577</f>
        <v>44188</v>
      </c>
      <c r="D1577" t="str">
        <f>TEST_DATA!D1577</f>
        <v>NIL</v>
      </c>
      <c r="E1577">
        <f>TEST_DATA!E1577</f>
        <v>1178</v>
      </c>
      <c r="F1577">
        <f>MIN(E1577*157700,10000)</f>
        <v>10000</v>
      </c>
      <c r="G1577" t="e">
        <f ca="1">_xludf.MINIFS(CBIC_Late_Fee_Relief_Windows_1!$I$100:$I$1577,CBIC_Late_Fee_Relief_Windows_1!$D$100:$D$1577,"&lt;="&amp;B1577,CBIC_Late_Fee_Relief_Windows_1!$E$100:$E$1577,"&gt;="&amp;B1577,CBIC_Late_Fee_Relief_Windows_1!$F$100:$F$1577,"&lt;="&amp;C1577,CBIC_Late_Fee_Relief_Windows_1!$G$100:$G$1577,"&gt;="&amp;C1577,CBIC_Late_Fee_Relief_Windows_1!$H$100:$H$1577,D1577)</f>
        <v>#NAME?</v>
      </c>
      <c r="H1577" t="e">
        <f t="shared" ca="1" si="24"/>
        <v>#NAME?</v>
      </c>
      <c r="I1577" t="e">
        <f ca="1">INDEX(CBIC_Late_Fee_Relief_Windows_1!$B$100:$B$1577,MATCH(G1577,CBIC_Late_Fee_Relief_Windows_1!$I$100:$I$1577,0))</f>
        <v>#NAME?</v>
      </c>
    </row>
    <row r="1578" spans="1:9" x14ac:dyDescent="0.55000000000000004">
      <c r="A1578" t="str">
        <f>TEST_DATA!A1578</f>
        <v>27AAAAA1578Z5</v>
      </c>
      <c r="B1578" t="str">
        <f>TEST_DATA!B1578</f>
        <v>Jul-2017</v>
      </c>
      <c r="C1578">
        <f>TEST_DATA!C1578</f>
        <v>43620</v>
      </c>
      <c r="D1578" t="str">
        <f>TEST_DATA!D1578</f>
        <v>NIL</v>
      </c>
      <c r="E1578">
        <f>TEST_DATA!E1578</f>
        <v>1249</v>
      </c>
      <c r="F1578">
        <f>MIN(E1578*157800,10000)</f>
        <v>10000</v>
      </c>
      <c r="G1578" t="e">
        <f ca="1">_xludf.MINIFS(CBIC_Late_Fee_Relief_Windows_1!$I$100:$I$1578,CBIC_Late_Fee_Relief_Windows_1!$D$100:$D$1578,"&lt;="&amp;B1578,CBIC_Late_Fee_Relief_Windows_1!$E$100:$E$1578,"&gt;="&amp;B1578,CBIC_Late_Fee_Relief_Windows_1!$F$100:$F$1578,"&lt;="&amp;C1578,CBIC_Late_Fee_Relief_Windows_1!$G$100:$G$1578,"&gt;="&amp;C1578,CBIC_Late_Fee_Relief_Windows_1!$H$100:$H$1578,D1578)</f>
        <v>#NAME?</v>
      </c>
      <c r="H1578" t="e">
        <f t="shared" ca="1" si="24"/>
        <v>#NAME?</v>
      </c>
      <c r="I1578" t="e">
        <f ca="1">INDEX(CBIC_Late_Fee_Relief_Windows_1!$B$100:$B$1578,MATCH(G1578,CBIC_Late_Fee_Relief_Windows_1!$I$100:$I$1578,0))</f>
        <v>#NAME?</v>
      </c>
    </row>
    <row r="1579" spans="1:9" x14ac:dyDescent="0.55000000000000004">
      <c r="A1579" t="str">
        <f>TEST_DATA!A1579</f>
        <v>27AAAAA1579Z5</v>
      </c>
      <c r="B1579" t="str">
        <f>TEST_DATA!B1579</f>
        <v>Sep-2018</v>
      </c>
      <c r="C1579">
        <f>TEST_DATA!C1579</f>
        <v>43881</v>
      </c>
      <c r="D1579" t="str">
        <f>TEST_DATA!D1579</f>
        <v>NIL</v>
      </c>
      <c r="E1579">
        <f>TEST_DATA!E1579</f>
        <v>1359</v>
      </c>
      <c r="F1579">
        <f>MIN(E1579*157900,10000)</f>
        <v>10000</v>
      </c>
      <c r="G1579" t="e">
        <f ca="1">_xludf.MINIFS(CBIC_Late_Fee_Relief_Windows_1!$I$100:$I$1579,CBIC_Late_Fee_Relief_Windows_1!$D$100:$D$1579,"&lt;="&amp;B1579,CBIC_Late_Fee_Relief_Windows_1!$E$100:$E$1579,"&gt;="&amp;B1579,CBIC_Late_Fee_Relief_Windows_1!$F$100:$F$1579,"&lt;="&amp;C1579,CBIC_Late_Fee_Relief_Windows_1!$G$100:$G$1579,"&gt;="&amp;C1579,CBIC_Late_Fee_Relief_Windows_1!$H$100:$H$1579,D1579)</f>
        <v>#NAME?</v>
      </c>
      <c r="H1579" t="e">
        <f t="shared" ca="1" si="24"/>
        <v>#NAME?</v>
      </c>
      <c r="I1579" t="e">
        <f ca="1">INDEX(CBIC_Late_Fee_Relief_Windows_1!$B$100:$B$1579,MATCH(G1579,CBIC_Late_Fee_Relief_Windows_1!$I$100:$I$1579,0))</f>
        <v>#NAME?</v>
      </c>
    </row>
    <row r="1580" spans="1:9" x14ac:dyDescent="0.55000000000000004">
      <c r="A1580" t="str">
        <f>TEST_DATA!A1580</f>
        <v>27AAAAA1580Z5</v>
      </c>
      <c r="B1580" t="str">
        <f>TEST_DATA!B1580</f>
        <v>Jan-2018</v>
      </c>
      <c r="C1580">
        <f>TEST_DATA!C1580</f>
        <v>44432</v>
      </c>
      <c r="D1580" t="str">
        <f>TEST_DATA!D1580</f>
        <v>NIL</v>
      </c>
      <c r="E1580">
        <f>TEST_DATA!E1580</f>
        <v>834</v>
      </c>
      <c r="F1580">
        <f>MIN(E1580*158000,10000)</f>
        <v>10000</v>
      </c>
      <c r="G1580" t="e">
        <f ca="1">_xludf.MINIFS(CBIC_Late_Fee_Relief_Windows_1!$I$100:$I$1580,CBIC_Late_Fee_Relief_Windows_1!$D$100:$D$1580,"&lt;="&amp;B1580,CBIC_Late_Fee_Relief_Windows_1!$E$100:$E$1580,"&gt;="&amp;B1580,CBIC_Late_Fee_Relief_Windows_1!$F$100:$F$1580,"&lt;="&amp;C1580,CBIC_Late_Fee_Relief_Windows_1!$G$100:$G$1580,"&gt;="&amp;C1580,CBIC_Late_Fee_Relief_Windows_1!$H$100:$H$1580,D1580)</f>
        <v>#NAME?</v>
      </c>
      <c r="H1580" t="e">
        <f t="shared" ca="1" si="24"/>
        <v>#NAME?</v>
      </c>
      <c r="I1580" t="e">
        <f ca="1">INDEX(CBIC_Late_Fee_Relief_Windows_1!$B$100:$B$1580,MATCH(G1580,CBIC_Late_Fee_Relief_Windows_1!$I$100:$I$1580,0))</f>
        <v>#NAME?</v>
      </c>
    </row>
    <row r="1581" spans="1:9" x14ac:dyDescent="0.55000000000000004">
      <c r="A1581" t="str">
        <f>TEST_DATA!A1581</f>
        <v>27AAAAA1581Z5</v>
      </c>
      <c r="B1581" t="str">
        <f>TEST_DATA!B1581</f>
        <v>Dec-2019</v>
      </c>
      <c r="C1581">
        <f>TEST_DATA!C1581</f>
        <v>45609</v>
      </c>
      <c r="D1581" t="str">
        <f>TEST_DATA!D1581</f>
        <v>NON-NIL</v>
      </c>
      <c r="E1581">
        <f>TEST_DATA!E1581</f>
        <v>2247</v>
      </c>
      <c r="F1581">
        <f>MIN(E1581*158100,10000)</f>
        <v>10000</v>
      </c>
      <c r="G1581" t="e">
        <f ca="1">_xludf.MINIFS(CBIC_Late_Fee_Relief_Windows_1!$I$100:$I$1581,CBIC_Late_Fee_Relief_Windows_1!$D$100:$D$1581,"&lt;="&amp;B1581,CBIC_Late_Fee_Relief_Windows_1!$E$100:$E$1581,"&gt;="&amp;B1581,CBIC_Late_Fee_Relief_Windows_1!$F$100:$F$1581,"&lt;="&amp;C1581,CBIC_Late_Fee_Relief_Windows_1!$G$100:$G$1581,"&gt;="&amp;C1581,CBIC_Late_Fee_Relief_Windows_1!$H$100:$H$1581,D1581)</f>
        <v>#NAME?</v>
      </c>
      <c r="H1581" t="e">
        <f t="shared" ca="1" si="24"/>
        <v>#NAME?</v>
      </c>
      <c r="I1581" t="e">
        <f ca="1">INDEX(CBIC_Late_Fee_Relief_Windows_1!$B$100:$B$1581,MATCH(G1581,CBIC_Late_Fee_Relief_Windows_1!$I$100:$I$1581,0))</f>
        <v>#NAME?</v>
      </c>
    </row>
    <row r="1582" spans="1:9" x14ac:dyDescent="0.55000000000000004">
      <c r="A1582" t="str">
        <f>TEST_DATA!A1582</f>
        <v>27AAAAA1582Z5</v>
      </c>
      <c r="B1582" t="str">
        <f>TEST_DATA!B1582</f>
        <v>Jan-2019</v>
      </c>
      <c r="C1582">
        <f>TEST_DATA!C1582</f>
        <v>44044</v>
      </c>
      <c r="D1582" t="str">
        <f>TEST_DATA!D1582</f>
        <v>NIL</v>
      </c>
      <c r="E1582">
        <f>TEST_DATA!E1582</f>
        <v>1542</v>
      </c>
      <c r="F1582">
        <f>MIN(E1582*158200,10000)</f>
        <v>10000</v>
      </c>
      <c r="G1582" t="e">
        <f ca="1">_xludf.MINIFS(CBIC_Late_Fee_Relief_Windows_1!$I$100:$I$1582,CBIC_Late_Fee_Relief_Windows_1!$D$100:$D$1582,"&lt;="&amp;B1582,CBIC_Late_Fee_Relief_Windows_1!$E$100:$E$1582,"&gt;="&amp;B1582,CBIC_Late_Fee_Relief_Windows_1!$F$100:$F$1582,"&lt;="&amp;C1582,CBIC_Late_Fee_Relief_Windows_1!$G$100:$G$1582,"&gt;="&amp;C1582,CBIC_Late_Fee_Relief_Windows_1!$H$100:$H$1582,D1582)</f>
        <v>#NAME?</v>
      </c>
      <c r="H1582" t="e">
        <f t="shared" ca="1" si="24"/>
        <v>#NAME?</v>
      </c>
      <c r="I1582" t="e">
        <f ca="1">INDEX(CBIC_Late_Fee_Relief_Windows_1!$B$100:$B$1582,MATCH(G1582,CBIC_Late_Fee_Relief_Windows_1!$I$100:$I$1582,0))</f>
        <v>#NAME?</v>
      </c>
    </row>
    <row r="1583" spans="1:9" x14ac:dyDescent="0.55000000000000004">
      <c r="A1583" t="str">
        <f>TEST_DATA!A1583</f>
        <v>27AAAAA1583Z5</v>
      </c>
      <c r="B1583" t="str">
        <f>TEST_DATA!B1583</f>
        <v>Mar-2020</v>
      </c>
      <c r="C1583">
        <f>TEST_DATA!C1583</f>
        <v>44909</v>
      </c>
      <c r="D1583" t="str">
        <f>TEST_DATA!D1583</f>
        <v>NIL</v>
      </c>
      <c r="E1583">
        <f>TEST_DATA!E1583</f>
        <v>1046</v>
      </c>
      <c r="F1583">
        <f>MIN(E1583*158300,10000)</f>
        <v>10000</v>
      </c>
      <c r="G1583" t="e">
        <f ca="1">_xludf.MINIFS(CBIC_Late_Fee_Relief_Windows_1!$I$100:$I$1583,CBIC_Late_Fee_Relief_Windows_1!$D$100:$D$1583,"&lt;="&amp;B1583,CBIC_Late_Fee_Relief_Windows_1!$E$100:$E$1583,"&gt;="&amp;B1583,CBIC_Late_Fee_Relief_Windows_1!$F$100:$F$1583,"&lt;="&amp;C1583,CBIC_Late_Fee_Relief_Windows_1!$G$100:$G$1583,"&gt;="&amp;C1583,CBIC_Late_Fee_Relief_Windows_1!$H$100:$H$1583,D1583)</f>
        <v>#NAME?</v>
      </c>
      <c r="H1583" t="e">
        <f t="shared" ca="1" si="24"/>
        <v>#NAME?</v>
      </c>
      <c r="I1583" t="e">
        <f ca="1">INDEX(CBIC_Late_Fee_Relief_Windows_1!$B$100:$B$1583,MATCH(G1583,CBIC_Late_Fee_Relief_Windows_1!$I$100:$I$1583,0))</f>
        <v>#NAME?</v>
      </c>
    </row>
    <row r="1584" spans="1:9" x14ac:dyDescent="0.55000000000000004">
      <c r="A1584" t="str">
        <f>TEST_DATA!A1584</f>
        <v>27AAAAA1584Z5</v>
      </c>
      <c r="B1584" t="str">
        <f>TEST_DATA!B1584</f>
        <v>Dec-2017</v>
      </c>
      <c r="C1584">
        <f>TEST_DATA!C1584</f>
        <v>43040</v>
      </c>
      <c r="D1584" t="str">
        <f>TEST_DATA!D1584</f>
        <v>NON-NIL</v>
      </c>
      <c r="E1584">
        <f>TEST_DATA!E1584</f>
        <v>822</v>
      </c>
      <c r="F1584">
        <f>MIN(E1584*158400,10000)</f>
        <v>10000</v>
      </c>
      <c r="G1584" t="e">
        <f ca="1">_xludf.MINIFS(CBIC_Late_Fee_Relief_Windows_1!$I$100:$I$1584,CBIC_Late_Fee_Relief_Windows_1!$D$100:$D$1584,"&lt;="&amp;B1584,CBIC_Late_Fee_Relief_Windows_1!$E$100:$E$1584,"&gt;="&amp;B1584,CBIC_Late_Fee_Relief_Windows_1!$F$100:$F$1584,"&lt;="&amp;C1584,CBIC_Late_Fee_Relief_Windows_1!$G$100:$G$1584,"&gt;="&amp;C1584,CBIC_Late_Fee_Relief_Windows_1!$H$100:$H$1584,D1584)</f>
        <v>#NAME?</v>
      </c>
      <c r="H1584" t="e">
        <f t="shared" ca="1" si="24"/>
        <v>#NAME?</v>
      </c>
      <c r="I1584" t="e">
        <f ca="1">INDEX(CBIC_Late_Fee_Relief_Windows_1!$B$100:$B$1584,MATCH(G1584,CBIC_Late_Fee_Relief_Windows_1!$I$100:$I$1584,0))</f>
        <v>#NAME?</v>
      </c>
    </row>
    <row r="1585" spans="1:9" x14ac:dyDescent="0.55000000000000004">
      <c r="A1585" t="str">
        <f>TEST_DATA!A1585</f>
        <v>27AAAAA1585Z5</v>
      </c>
      <c r="B1585" t="str">
        <f>TEST_DATA!B1585</f>
        <v>Apr-2021</v>
      </c>
      <c r="C1585">
        <f>TEST_DATA!C1585</f>
        <v>44577</v>
      </c>
      <c r="D1585" t="str">
        <f>TEST_DATA!D1585</f>
        <v>NIL</v>
      </c>
      <c r="E1585">
        <f>TEST_DATA!E1585</f>
        <v>1904</v>
      </c>
      <c r="F1585">
        <f>MIN(E1585*158500,10000)</f>
        <v>10000</v>
      </c>
      <c r="G1585" t="e">
        <f ca="1">_xludf.MINIFS(CBIC_Late_Fee_Relief_Windows_1!$I$100:$I$1585,CBIC_Late_Fee_Relief_Windows_1!$D$100:$D$1585,"&lt;="&amp;B1585,CBIC_Late_Fee_Relief_Windows_1!$E$100:$E$1585,"&gt;="&amp;B1585,CBIC_Late_Fee_Relief_Windows_1!$F$100:$F$1585,"&lt;="&amp;C1585,CBIC_Late_Fee_Relief_Windows_1!$G$100:$G$1585,"&gt;="&amp;C1585,CBIC_Late_Fee_Relief_Windows_1!$H$100:$H$1585,D1585)</f>
        <v>#NAME?</v>
      </c>
      <c r="H1585" t="e">
        <f t="shared" ca="1" si="24"/>
        <v>#NAME?</v>
      </c>
      <c r="I1585" t="e">
        <f ca="1">INDEX(CBIC_Late_Fee_Relief_Windows_1!$B$100:$B$1585,MATCH(G1585,CBIC_Late_Fee_Relief_Windows_1!$I$100:$I$1585,0))</f>
        <v>#NAME?</v>
      </c>
    </row>
    <row r="1586" spans="1:9" x14ac:dyDescent="0.55000000000000004">
      <c r="A1586" t="str">
        <f>TEST_DATA!A1586</f>
        <v>27AAAAA1586Z5</v>
      </c>
      <c r="B1586" t="str">
        <f>TEST_DATA!B1586</f>
        <v>May-2020</v>
      </c>
      <c r="C1586">
        <f>TEST_DATA!C1586</f>
        <v>43848</v>
      </c>
      <c r="D1586" t="str">
        <f>TEST_DATA!D1586</f>
        <v>NIL</v>
      </c>
      <c r="E1586">
        <f>TEST_DATA!E1586</f>
        <v>1591</v>
      </c>
      <c r="F1586">
        <f>MIN(E1586*158600,10000)</f>
        <v>10000</v>
      </c>
      <c r="G1586" t="e">
        <f ca="1">_xludf.MINIFS(CBIC_Late_Fee_Relief_Windows_1!$I$100:$I$1586,CBIC_Late_Fee_Relief_Windows_1!$D$100:$D$1586,"&lt;="&amp;B1586,CBIC_Late_Fee_Relief_Windows_1!$E$100:$E$1586,"&gt;="&amp;B1586,CBIC_Late_Fee_Relief_Windows_1!$F$100:$F$1586,"&lt;="&amp;C1586,CBIC_Late_Fee_Relief_Windows_1!$G$100:$G$1586,"&gt;="&amp;C1586,CBIC_Late_Fee_Relief_Windows_1!$H$100:$H$1586,D1586)</f>
        <v>#NAME?</v>
      </c>
      <c r="H1586" t="e">
        <f t="shared" ca="1" si="24"/>
        <v>#NAME?</v>
      </c>
      <c r="I1586" t="e">
        <f ca="1">INDEX(CBIC_Late_Fee_Relief_Windows_1!$B$100:$B$1586,MATCH(G1586,CBIC_Late_Fee_Relief_Windows_1!$I$100:$I$1586,0))</f>
        <v>#NAME?</v>
      </c>
    </row>
    <row r="1587" spans="1:9" x14ac:dyDescent="0.55000000000000004">
      <c r="A1587" t="str">
        <f>TEST_DATA!A1587</f>
        <v>27AAAAA1587Z5</v>
      </c>
      <c r="B1587" t="str">
        <f>TEST_DATA!B1587</f>
        <v>Jun-2020</v>
      </c>
      <c r="C1587">
        <f>TEST_DATA!C1587</f>
        <v>44386</v>
      </c>
      <c r="D1587" t="str">
        <f>TEST_DATA!D1587</f>
        <v>NON-NIL</v>
      </c>
      <c r="E1587">
        <f>TEST_DATA!E1587</f>
        <v>441</v>
      </c>
      <c r="F1587">
        <f>MIN(E1587*158700,10000)</f>
        <v>10000</v>
      </c>
      <c r="G1587" t="e">
        <f ca="1">_xludf.MINIFS(CBIC_Late_Fee_Relief_Windows_1!$I$100:$I$1587,CBIC_Late_Fee_Relief_Windows_1!$D$100:$D$1587,"&lt;="&amp;B1587,CBIC_Late_Fee_Relief_Windows_1!$E$100:$E$1587,"&gt;="&amp;B1587,CBIC_Late_Fee_Relief_Windows_1!$F$100:$F$1587,"&lt;="&amp;C1587,CBIC_Late_Fee_Relief_Windows_1!$G$100:$G$1587,"&gt;="&amp;C1587,CBIC_Late_Fee_Relief_Windows_1!$H$100:$H$1587,D1587)</f>
        <v>#NAME?</v>
      </c>
      <c r="H1587" t="e">
        <f t="shared" ca="1" si="24"/>
        <v>#NAME?</v>
      </c>
      <c r="I1587" t="e">
        <f ca="1">INDEX(CBIC_Late_Fee_Relief_Windows_1!$B$100:$B$1587,MATCH(G1587,CBIC_Late_Fee_Relief_Windows_1!$I$100:$I$1587,0))</f>
        <v>#NAME?</v>
      </c>
    </row>
    <row r="1588" spans="1:9" x14ac:dyDescent="0.55000000000000004">
      <c r="A1588" t="str">
        <f>TEST_DATA!A1588</f>
        <v>27AAAAA1588Z5</v>
      </c>
      <c r="B1588" t="str">
        <f>TEST_DATA!B1588</f>
        <v>Jul-2017</v>
      </c>
      <c r="C1588">
        <f>TEST_DATA!C1588</f>
        <v>43516</v>
      </c>
      <c r="D1588" t="str">
        <f>TEST_DATA!D1588</f>
        <v>NON-NIL</v>
      </c>
      <c r="E1588">
        <f>TEST_DATA!E1588</f>
        <v>946</v>
      </c>
      <c r="F1588">
        <f>MIN(E1588*158800,10000)</f>
        <v>10000</v>
      </c>
      <c r="G1588" t="e">
        <f ca="1">_xludf.MINIFS(CBIC_Late_Fee_Relief_Windows_1!$I$100:$I$1588,CBIC_Late_Fee_Relief_Windows_1!$D$100:$D$1588,"&lt;="&amp;B1588,CBIC_Late_Fee_Relief_Windows_1!$E$100:$E$1588,"&gt;="&amp;B1588,CBIC_Late_Fee_Relief_Windows_1!$F$100:$F$1588,"&lt;="&amp;C1588,CBIC_Late_Fee_Relief_Windows_1!$G$100:$G$1588,"&gt;="&amp;C1588,CBIC_Late_Fee_Relief_Windows_1!$H$100:$H$1588,D1588)</f>
        <v>#NAME?</v>
      </c>
      <c r="H1588" t="e">
        <f t="shared" ca="1" si="24"/>
        <v>#NAME?</v>
      </c>
      <c r="I1588" t="e">
        <f ca="1">INDEX(CBIC_Late_Fee_Relief_Windows_1!$B$100:$B$1588,MATCH(G1588,CBIC_Late_Fee_Relief_Windows_1!$I$100:$I$1588,0))</f>
        <v>#NAME?</v>
      </c>
    </row>
    <row r="1589" spans="1:9" x14ac:dyDescent="0.55000000000000004">
      <c r="A1589" t="str">
        <f>TEST_DATA!A1589</f>
        <v>27AAAAA1589Z5</v>
      </c>
      <c r="B1589" t="str">
        <f>TEST_DATA!B1589</f>
        <v>Jul-2018</v>
      </c>
      <c r="C1589">
        <f>TEST_DATA!C1589</f>
        <v>43958</v>
      </c>
      <c r="D1589" t="str">
        <f>TEST_DATA!D1589</f>
        <v>NIL</v>
      </c>
      <c r="E1589">
        <f>TEST_DATA!E1589</f>
        <v>1292</v>
      </c>
      <c r="F1589">
        <f>MIN(E1589*158900,10000)</f>
        <v>10000</v>
      </c>
      <c r="G1589" t="e">
        <f ca="1">_xludf.MINIFS(CBIC_Late_Fee_Relief_Windows_1!$I$100:$I$1589,CBIC_Late_Fee_Relief_Windows_1!$D$100:$D$1589,"&lt;="&amp;B1589,CBIC_Late_Fee_Relief_Windows_1!$E$100:$E$1589,"&gt;="&amp;B1589,CBIC_Late_Fee_Relief_Windows_1!$F$100:$F$1589,"&lt;="&amp;C1589,CBIC_Late_Fee_Relief_Windows_1!$G$100:$G$1589,"&gt;="&amp;C1589,CBIC_Late_Fee_Relief_Windows_1!$H$100:$H$1589,D1589)</f>
        <v>#NAME?</v>
      </c>
      <c r="H1589" t="e">
        <f t="shared" ca="1" si="24"/>
        <v>#NAME?</v>
      </c>
      <c r="I1589" t="e">
        <f ca="1">INDEX(CBIC_Late_Fee_Relief_Windows_1!$B$100:$B$1589,MATCH(G1589,CBIC_Late_Fee_Relief_Windows_1!$I$100:$I$1589,0))</f>
        <v>#NAME?</v>
      </c>
    </row>
    <row r="1590" spans="1:9" x14ac:dyDescent="0.55000000000000004">
      <c r="A1590" t="str">
        <f>TEST_DATA!A1590</f>
        <v>27AAAAA1590Z5</v>
      </c>
      <c r="B1590" t="str">
        <f>TEST_DATA!B1590</f>
        <v>Jan-2019</v>
      </c>
      <c r="C1590">
        <f>TEST_DATA!C1590</f>
        <v>45643</v>
      </c>
      <c r="D1590" t="str">
        <f>TEST_DATA!D1590</f>
        <v>NIL</v>
      </c>
      <c r="E1590">
        <f>TEST_DATA!E1590</f>
        <v>763</v>
      </c>
      <c r="F1590">
        <f>MIN(E1590*159000,10000)</f>
        <v>10000</v>
      </c>
      <c r="G1590" t="e">
        <f ca="1">_xludf.MINIFS(CBIC_Late_Fee_Relief_Windows_1!$I$100:$I$1590,CBIC_Late_Fee_Relief_Windows_1!$D$100:$D$1590,"&lt;="&amp;B1590,CBIC_Late_Fee_Relief_Windows_1!$E$100:$E$1590,"&gt;="&amp;B1590,CBIC_Late_Fee_Relief_Windows_1!$F$100:$F$1590,"&lt;="&amp;C1590,CBIC_Late_Fee_Relief_Windows_1!$G$100:$G$1590,"&gt;="&amp;C1590,CBIC_Late_Fee_Relief_Windows_1!$H$100:$H$1590,D1590)</f>
        <v>#NAME?</v>
      </c>
      <c r="H1590" t="e">
        <f t="shared" ca="1" si="24"/>
        <v>#NAME?</v>
      </c>
      <c r="I1590" t="e">
        <f ca="1">INDEX(CBIC_Late_Fee_Relief_Windows_1!$B$100:$B$1590,MATCH(G1590,CBIC_Late_Fee_Relief_Windows_1!$I$100:$I$1590,0))</f>
        <v>#NAME?</v>
      </c>
    </row>
    <row r="1591" spans="1:9" x14ac:dyDescent="0.55000000000000004">
      <c r="A1591" t="str">
        <f>TEST_DATA!A1591</f>
        <v>27AAAAA1591Z5</v>
      </c>
      <c r="B1591" t="str">
        <f>TEST_DATA!B1591</f>
        <v>Jan-2018</v>
      </c>
      <c r="C1591">
        <f>TEST_DATA!C1591</f>
        <v>43942</v>
      </c>
      <c r="D1591" t="str">
        <f>TEST_DATA!D1591</f>
        <v>NON-NIL</v>
      </c>
      <c r="E1591">
        <f>TEST_DATA!E1591</f>
        <v>2296</v>
      </c>
      <c r="F1591">
        <f>MIN(E1591*159100,10000)</f>
        <v>10000</v>
      </c>
      <c r="G1591" t="e">
        <f ca="1">_xludf.MINIFS(CBIC_Late_Fee_Relief_Windows_1!$I$100:$I$1591,CBIC_Late_Fee_Relief_Windows_1!$D$100:$D$1591,"&lt;="&amp;B1591,CBIC_Late_Fee_Relief_Windows_1!$E$100:$E$1591,"&gt;="&amp;B1591,CBIC_Late_Fee_Relief_Windows_1!$F$100:$F$1591,"&lt;="&amp;C1591,CBIC_Late_Fee_Relief_Windows_1!$G$100:$G$1591,"&gt;="&amp;C1591,CBIC_Late_Fee_Relief_Windows_1!$H$100:$H$1591,D1591)</f>
        <v>#NAME?</v>
      </c>
      <c r="H1591" t="e">
        <f t="shared" ca="1" si="24"/>
        <v>#NAME?</v>
      </c>
      <c r="I1591" t="e">
        <f ca="1">INDEX(CBIC_Late_Fee_Relief_Windows_1!$B$100:$B$1591,MATCH(G1591,CBIC_Late_Fee_Relief_Windows_1!$I$100:$I$1591,0))</f>
        <v>#NAME?</v>
      </c>
    </row>
    <row r="1592" spans="1:9" x14ac:dyDescent="0.55000000000000004">
      <c r="A1592" t="str">
        <f>TEST_DATA!A1592</f>
        <v>27AAAAA1592Z5</v>
      </c>
      <c r="B1592" t="str">
        <f>TEST_DATA!B1592</f>
        <v>Jul-2020</v>
      </c>
      <c r="C1592">
        <f>TEST_DATA!C1592</f>
        <v>43875</v>
      </c>
      <c r="D1592" t="str">
        <f>TEST_DATA!D1592</f>
        <v>NIL</v>
      </c>
      <c r="E1592">
        <f>TEST_DATA!E1592</f>
        <v>1013</v>
      </c>
      <c r="F1592">
        <f>MIN(E1592*159200,10000)</f>
        <v>10000</v>
      </c>
      <c r="G1592" t="e">
        <f ca="1">_xludf.MINIFS(CBIC_Late_Fee_Relief_Windows_1!$I$100:$I$1592,CBIC_Late_Fee_Relief_Windows_1!$D$100:$D$1592,"&lt;="&amp;B1592,CBIC_Late_Fee_Relief_Windows_1!$E$100:$E$1592,"&gt;="&amp;B1592,CBIC_Late_Fee_Relief_Windows_1!$F$100:$F$1592,"&lt;="&amp;C1592,CBIC_Late_Fee_Relief_Windows_1!$G$100:$G$1592,"&gt;="&amp;C1592,CBIC_Late_Fee_Relief_Windows_1!$H$100:$H$1592,D1592)</f>
        <v>#NAME?</v>
      </c>
      <c r="H1592" t="e">
        <f t="shared" ca="1" si="24"/>
        <v>#NAME?</v>
      </c>
      <c r="I1592" t="e">
        <f ca="1">INDEX(CBIC_Late_Fee_Relief_Windows_1!$B$100:$B$1592,MATCH(G1592,CBIC_Late_Fee_Relief_Windows_1!$I$100:$I$1592,0))</f>
        <v>#NAME?</v>
      </c>
    </row>
    <row r="1593" spans="1:9" x14ac:dyDescent="0.55000000000000004">
      <c r="A1593" t="str">
        <f>TEST_DATA!A1593</f>
        <v>27AAAAA1593Z5</v>
      </c>
      <c r="B1593" t="str">
        <f>TEST_DATA!B1593</f>
        <v>Jun-2019</v>
      </c>
      <c r="C1593">
        <f>TEST_DATA!C1593</f>
        <v>44714</v>
      </c>
      <c r="D1593" t="str">
        <f>TEST_DATA!D1593</f>
        <v>NON-NIL</v>
      </c>
      <c r="E1593">
        <f>TEST_DATA!E1593</f>
        <v>2006</v>
      </c>
      <c r="F1593">
        <f>MIN(E1593*159300,10000)</f>
        <v>10000</v>
      </c>
      <c r="G1593" t="e">
        <f ca="1">_xludf.MINIFS(CBIC_Late_Fee_Relief_Windows_1!$I$100:$I$1593,CBIC_Late_Fee_Relief_Windows_1!$D$100:$D$1593,"&lt;="&amp;B1593,CBIC_Late_Fee_Relief_Windows_1!$E$100:$E$1593,"&gt;="&amp;B1593,CBIC_Late_Fee_Relief_Windows_1!$F$100:$F$1593,"&lt;="&amp;C1593,CBIC_Late_Fee_Relief_Windows_1!$G$100:$G$1593,"&gt;="&amp;C1593,CBIC_Late_Fee_Relief_Windows_1!$H$100:$H$1593,D1593)</f>
        <v>#NAME?</v>
      </c>
      <c r="H1593" t="e">
        <f t="shared" ca="1" si="24"/>
        <v>#NAME?</v>
      </c>
      <c r="I1593" t="e">
        <f ca="1">INDEX(CBIC_Late_Fee_Relief_Windows_1!$B$100:$B$1593,MATCH(G1593,CBIC_Late_Fee_Relief_Windows_1!$I$100:$I$1593,0))</f>
        <v>#NAME?</v>
      </c>
    </row>
    <row r="1594" spans="1:9" x14ac:dyDescent="0.55000000000000004">
      <c r="A1594" t="str">
        <f>TEST_DATA!A1594</f>
        <v>27AAAAA1594Z5</v>
      </c>
      <c r="B1594" t="str">
        <f>TEST_DATA!B1594</f>
        <v>Jul-2018</v>
      </c>
      <c r="C1594">
        <f>TEST_DATA!C1594</f>
        <v>44441</v>
      </c>
      <c r="D1594" t="str">
        <f>TEST_DATA!D1594</f>
        <v>NIL</v>
      </c>
      <c r="E1594">
        <f>TEST_DATA!E1594</f>
        <v>75</v>
      </c>
      <c r="F1594">
        <f>MIN(E1594*159400,10000)</f>
        <v>10000</v>
      </c>
      <c r="G1594" t="e">
        <f ca="1">_xludf.MINIFS(CBIC_Late_Fee_Relief_Windows_1!$I$100:$I$1594,CBIC_Late_Fee_Relief_Windows_1!$D$100:$D$1594,"&lt;="&amp;B1594,CBIC_Late_Fee_Relief_Windows_1!$E$100:$E$1594,"&gt;="&amp;B1594,CBIC_Late_Fee_Relief_Windows_1!$F$100:$F$1594,"&lt;="&amp;C1594,CBIC_Late_Fee_Relief_Windows_1!$G$100:$G$1594,"&gt;="&amp;C1594,CBIC_Late_Fee_Relief_Windows_1!$H$100:$H$1594,D1594)</f>
        <v>#NAME?</v>
      </c>
      <c r="H1594" t="e">
        <f t="shared" ca="1" si="24"/>
        <v>#NAME?</v>
      </c>
      <c r="I1594" t="e">
        <f ca="1">INDEX(CBIC_Late_Fee_Relief_Windows_1!$B$100:$B$1594,MATCH(G1594,CBIC_Late_Fee_Relief_Windows_1!$I$100:$I$1594,0))</f>
        <v>#NAME?</v>
      </c>
    </row>
    <row r="1595" spans="1:9" x14ac:dyDescent="0.55000000000000004">
      <c r="A1595" t="str">
        <f>TEST_DATA!A1595</f>
        <v>27AAAAA1595Z5</v>
      </c>
      <c r="B1595" t="str">
        <f>TEST_DATA!B1595</f>
        <v>Jun-2018</v>
      </c>
      <c r="C1595">
        <f>TEST_DATA!C1595</f>
        <v>44318</v>
      </c>
      <c r="D1595" t="str">
        <f>TEST_DATA!D1595</f>
        <v>NON-NIL</v>
      </c>
      <c r="E1595">
        <f>TEST_DATA!E1595</f>
        <v>1455</v>
      </c>
      <c r="F1595">
        <f>MIN(E1595*159500,10000)</f>
        <v>10000</v>
      </c>
      <c r="G1595" t="e">
        <f ca="1">_xludf.MINIFS(CBIC_Late_Fee_Relief_Windows_1!$I$100:$I$1595,CBIC_Late_Fee_Relief_Windows_1!$D$100:$D$1595,"&lt;="&amp;B1595,CBIC_Late_Fee_Relief_Windows_1!$E$100:$E$1595,"&gt;="&amp;B1595,CBIC_Late_Fee_Relief_Windows_1!$F$100:$F$1595,"&lt;="&amp;C1595,CBIC_Late_Fee_Relief_Windows_1!$G$100:$G$1595,"&gt;="&amp;C1595,CBIC_Late_Fee_Relief_Windows_1!$H$100:$H$1595,D1595)</f>
        <v>#NAME?</v>
      </c>
      <c r="H1595" t="e">
        <f t="shared" ca="1" si="24"/>
        <v>#NAME?</v>
      </c>
      <c r="I1595" t="e">
        <f ca="1">INDEX(CBIC_Late_Fee_Relief_Windows_1!$B$100:$B$1595,MATCH(G1595,CBIC_Late_Fee_Relief_Windows_1!$I$100:$I$1595,0))</f>
        <v>#NAME?</v>
      </c>
    </row>
    <row r="1596" spans="1:9" x14ac:dyDescent="0.55000000000000004">
      <c r="A1596" t="str">
        <f>TEST_DATA!A1596</f>
        <v>27AAAAA1596Z5</v>
      </c>
      <c r="B1596" t="str">
        <f>TEST_DATA!B1596</f>
        <v>May-2020</v>
      </c>
      <c r="C1596">
        <f>TEST_DATA!C1596</f>
        <v>44450</v>
      </c>
      <c r="D1596" t="str">
        <f>TEST_DATA!D1596</f>
        <v>NIL</v>
      </c>
      <c r="E1596">
        <f>TEST_DATA!E1596</f>
        <v>2053</v>
      </c>
      <c r="F1596">
        <f>MIN(E1596*159600,10000)</f>
        <v>10000</v>
      </c>
      <c r="G1596" t="e">
        <f ca="1">_xludf.MINIFS(CBIC_Late_Fee_Relief_Windows_1!$I$100:$I$1596,CBIC_Late_Fee_Relief_Windows_1!$D$100:$D$1596,"&lt;="&amp;B1596,CBIC_Late_Fee_Relief_Windows_1!$E$100:$E$1596,"&gt;="&amp;B1596,CBIC_Late_Fee_Relief_Windows_1!$F$100:$F$1596,"&lt;="&amp;C1596,CBIC_Late_Fee_Relief_Windows_1!$G$100:$G$1596,"&gt;="&amp;C1596,CBIC_Late_Fee_Relief_Windows_1!$H$100:$H$1596,D1596)</f>
        <v>#NAME?</v>
      </c>
      <c r="H1596" t="e">
        <f t="shared" ca="1" si="24"/>
        <v>#NAME?</v>
      </c>
      <c r="I1596" t="e">
        <f ca="1">INDEX(CBIC_Late_Fee_Relief_Windows_1!$B$100:$B$1596,MATCH(G1596,CBIC_Late_Fee_Relief_Windows_1!$I$100:$I$1596,0))</f>
        <v>#NAME?</v>
      </c>
    </row>
    <row r="1597" spans="1:9" x14ac:dyDescent="0.55000000000000004">
      <c r="A1597" t="str">
        <f>TEST_DATA!A1597</f>
        <v>27AAAAA1597Z5</v>
      </c>
      <c r="B1597" t="str">
        <f>TEST_DATA!B1597</f>
        <v>Mar-2018</v>
      </c>
      <c r="C1597">
        <f>TEST_DATA!C1597</f>
        <v>43043</v>
      </c>
      <c r="D1597" t="str">
        <f>TEST_DATA!D1597</f>
        <v>NON-NIL</v>
      </c>
      <c r="E1597">
        <f>TEST_DATA!E1597</f>
        <v>1585</v>
      </c>
      <c r="F1597">
        <f>MIN(E1597*159700,10000)</f>
        <v>10000</v>
      </c>
      <c r="G1597" t="e">
        <f ca="1">_xludf.MINIFS(CBIC_Late_Fee_Relief_Windows_1!$I$100:$I$1597,CBIC_Late_Fee_Relief_Windows_1!$D$100:$D$1597,"&lt;="&amp;B1597,CBIC_Late_Fee_Relief_Windows_1!$E$100:$E$1597,"&gt;="&amp;B1597,CBIC_Late_Fee_Relief_Windows_1!$F$100:$F$1597,"&lt;="&amp;C1597,CBIC_Late_Fee_Relief_Windows_1!$G$100:$G$1597,"&gt;="&amp;C1597,CBIC_Late_Fee_Relief_Windows_1!$H$100:$H$1597,D1597)</f>
        <v>#NAME?</v>
      </c>
      <c r="H1597" t="e">
        <f t="shared" ca="1" si="24"/>
        <v>#NAME?</v>
      </c>
      <c r="I1597" t="e">
        <f ca="1">INDEX(CBIC_Late_Fee_Relief_Windows_1!$B$100:$B$1597,MATCH(G1597,CBIC_Late_Fee_Relief_Windows_1!$I$100:$I$1597,0))</f>
        <v>#NAME?</v>
      </c>
    </row>
    <row r="1598" spans="1:9" x14ac:dyDescent="0.55000000000000004">
      <c r="A1598" t="str">
        <f>TEST_DATA!A1598</f>
        <v>27AAAAA1598Z5</v>
      </c>
      <c r="B1598" t="str">
        <f>TEST_DATA!B1598</f>
        <v>Dec-2024</v>
      </c>
      <c r="C1598">
        <f>TEST_DATA!C1598</f>
        <v>43586</v>
      </c>
      <c r="D1598" t="str">
        <f>TEST_DATA!D1598</f>
        <v>NON-NIL</v>
      </c>
      <c r="E1598">
        <f>TEST_DATA!E1598</f>
        <v>923</v>
      </c>
      <c r="F1598">
        <f>MIN(E1598*159800,10000)</f>
        <v>10000</v>
      </c>
      <c r="G1598" t="e">
        <f ca="1">_xludf.MINIFS(CBIC_Late_Fee_Relief_Windows_1!$I$100:$I$1598,CBIC_Late_Fee_Relief_Windows_1!$D$100:$D$1598,"&lt;="&amp;B1598,CBIC_Late_Fee_Relief_Windows_1!$E$100:$E$1598,"&gt;="&amp;B1598,CBIC_Late_Fee_Relief_Windows_1!$F$100:$F$1598,"&lt;="&amp;C1598,CBIC_Late_Fee_Relief_Windows_1!$G$100:$G$1598,"&gt;="&amp;C1598,CBIC_Late_Fee_Relief_Windows_1!$H$100:$H$1598,D1598)</f>
        <v>#NAME?</v>
      </c>
      <c r="H1598" t="e">
        <f t="shared" ca="1" si="24"/>
        <v>#NAME?</v>
      </c>
      <c r="I1598" t="e">
        <f ca="1">INDEX(CBIC_Late_Fee_Relief_Windows_1!$B$100:$B$1598,MATCH(G1598,CBIC_Late_Fee_Relief_Windows_1!$I$100:$I$1598,0))</f>
        <v>#NAME?</v>
      </c>
    </row>
    <row r="1599" spans="1:9" x14ac:dyDescent="0.55000000000000004">
      <c r="A1599" t="str">
        <f>TEST_DATA!A1599</f>
        <v>27AAAAA1599Z5</v>
      </c>
      <c r="B1599" t="str">
        <f>TEST_DATA!B1599</f>
        <v>Nov-2017</v>
      </c>
      <c r="C1599">
        <f>TEST_DATA!C1599</f>
        <v>43616</v>
      </c>
      <c r="D1599" t="str">
        <f>TEST_DATA!D1599</f>
        <v>NON-NIL</v>
      </c>
      <c r="E1599">
        <f>TEST_DATA!E1599</f>
        <v>2690</v>
      </c>
      <c r="F1599">
        <f>MIN(E1599*159900,10000)</f>
        <v>10000</v>
      </c>
      <c r="G1599" t="e">
        <f ca="1">_xludf.MINIFS(CBIC_Late_Fee_Relief_Windows_1!$I$100:$I$1599,CBIC_Late_Fee_Relief_Windows_1!$D$100:$D$1599,"&lt;="&amp;B1599,CBIC_Late_Fee_Relief_Windows_1!$E$100:$E$1599,"&gt;="&amp;B1599,CBIC_Late_Fee_Relief_Windows_1!$F$100:$F$1599,"&lt;="&amp;C1599,CBIC_Late_Fee_Relief_Windows_1!$G$100:$G$1599,"&gt;="&amp;C1599,CBIC_Late_Fee_Relief_Windows_1!$H$100:$H$1599,D1599)</f>
        <v>#NAME?</v>
      </c>
      <c r="H1599" t="e">
        <f t="shared" ca="1" si="24"/>
        <v>#NAME?</v>
      </c>
      <c r="I1599" t="e">
        <f ca="1">INDEX(CBIC_Late_Fee_Relief_Windows_1!$B$100:$B$1599,MATCH(G1599,CBIC_Late_Fee_Relief_Windows_1!$I$100:$I$1599,0))</f>
        <v>#NAME?</v>
      </c>
    </row>
    <row r="1600" spans="1:9" x14ac:dyDescent="0.55000000000000004">
      <c r="A1600" t="str">
        <f>TEST_DATA!A1600</f>
        <v>27AAAAA1600Z5</v>
      </c>
      <c r="B1600" t="str">
        <f>TEST_DATA!B1600</f>
        <v>Nov-2017</v>
      </c>
      <c r="C1600">
        <f>TEST_DATA!C1600</f>
        <v>43096</v>
      </c>
      <c r="D1600" t="str">
        <f>TEST_DATA!D1600</f>
        <v>NON-NIL</v>
      </c>
      <c r="E1600">
        <f>TEST_DATA!E1600</f>
        <v>2132</v>
      </c>
      <c r="F1600">
        <f>MIN(E1600*160000,10000)</f>
        <v>10000</v>
      </c>
      <c r="G1600" t="e">
        <f ca="1">_xludf.MINIFS(CBIC_Late_Fee_Relief_Windows_1!$I$100:$I$1600,CBIC_Late_Fee_Relief_Windows_1!$D$100:$D$1600,"&lt;="&amp;B1600,CBIC_Late_Fee_Relief_Windows_1!$E$100:$E$1600,"&gt;="&amp;B1600,CBIC_Late_Fee_Relief_Windows_1!$F$100:$F$1600,"&lt;="&amp;C1600,CBIC_Late_Fee_Relief_Windows_1!$G$100:$G$1600,"&gt;="&amp;C1600,CBIC_Late_Fee_Relief_Windows_1!$H$100:$H$1600,D1600)</f>
        <v>#NAME?</v>
      </c>
      <c r="H1600" t="e">
        <f t="shared" ca="1" si="24"/>
        <v>#NAME?</v>
      </c>
      <c r="I1600" t="e">
        <f ca="1">INDEX(CBIC_Late_Fee_Relief_Windows_1!$B$100:$B$1600,MATCH(G1600,CBIC_Late_Fee_Relief_Windows_1!$I$100:$I$1600,0))</f>
        <v>#NAME?</v>
      </c>
    </row>
    <row r="1601" spans="1:9" x14ac:dyDescent="0.55000000000000004">
      <c r="A1601" t="str">
        <f>TEST_DATA!A1601</f>
        <v>27AAAAA1601Z5</v>
      </c>
      <c r="B1601" t="str">
        <f>TEST_DATA!B1601</f>
        <v>Jun-2020</v>
      </c>
      <c r="C1601">
        <f>TEST_DATA!C1601</f>
        <v>44296</v>
      </c>
      <c r="D1601" t="str">
        <f>TEST_DATA!D1601</f>
        <v>NON-NIL</v>
      </c>
      <c r="E1601">
        <f>TEST_DATA!E1601</f>
        <v>984</v>
      </c>
      <c r="F1601">
        <f>MIN(E1601*160100,10000)</f>
        <v>10000</v>
      </c>
      <c r="G1601" t="e">
        <f ca="1">_xludf.MINIFS(CBIC_Late_Fee_Relief_Windows_1!$I$100:$I$1601,CBIC_Late_Fee_Relief_Windows_1!$D$100:$D$1601,"&lt;="&amp;B1601,CBIC_Late_Fee_Relief_Windows_1!$E$100:$E$1601,"&gt;="&amp;B1601,CBIC_Late_Fee_Relief_Windows_1!$F$100:$F$1601,"&lt;="&amp;C1601,CBIC_Late_Fee_Relief_Windows_1!$G$100:$G$1601,"&gt;="&amp;C1601,CBIC_Late_Fee_Relief_Windows_1!$H$100:$H$1601,D1601)</f>
        <v>#NAME?</v>
      </c>
      <c r="H1601" t="e">
        <f t="shared" ca="1" si="24"/>
        <v>#NAME?</v>
      </c>
      <c r="I1601" t="e">
        <f ca="1">INDEX(CBIC_Late_Fee_Relief_Windows_1!$B$100:$B$1601,MATCH(G1601,CBIC_Late_Fee_Relief_Windows_1!$I$100:$I$1601,0))</f>
        <v>#NAME?</v>
      </c>
    </row>
    <row r="1602" spans="1:9" x14ac:dyDescent="0.55000000000000004">
      <c r="A1602" t="str">
        <f>TEST_DATA!A1602</f>
        <v>27AAAAA1602Z5</v>
      </c>
      <c r="B1602" t="str">
        <f>TEST_DATA!B1602</f>
        <v>Mar-2020</v>
      </c>
      <c r="C1602">
        <f>TEST_DATA!C1602</f>
        <v>44143</v>
      </c>
      <c r="D1602" t="str">
        <f>TEST_DATA!D1602</f>
        <v>NON-NIL</v>
      </c>
      <c r="E1602">
        <f>TEST_DATA!E1602</f>
        <v>1279</v>
      </c>
      <c r="F1602">
        <f>MIN(E1602*160200,10000)</f>
        <v>10000</v>
      </c>
      <c r="G1602" t="e">
        <f ca="1">_xludf.MINIFS(CBIC_Late_Fee_Relief_Windows_1!$I$100:$I$1602,CBIC_Late_Fee_Relief_Windows_1!$D$100:$D$1602,"&lt;="&amp;B1602,CBIC_Late_Fee_Relief_Windows_1!$E$100:$E$1602,"&gt;="&amp;B1602,CBIC_Late_Fee_Relief_Windows_1!$F$100:$F$1602,"&lt;="&amp;C1602,CBIC_Late_Fee_Relief_Windows_1!$G$100:$G$1602,"&gt;="&amp;C1602,CBIC_Late_Fee_Relief_Windows_1!$H$100:$H$1602,D1602)</f>
        <v>#NAME?</v>
      </c>
      <c r="H1602" t="e">
        <f t="shared" ref="H1602:H1665" ca="1" si="25">MIN(F1602,G1602)</f>
        <v>#NAME?</v>
      </c>
      <c r="I1602" t="e">
        <f ca="1">INDEX(CBIC_Late_Fee_Relief_Windows_1!$B$100:$B$1602,MATCH(G1602,CBIC_Late_Fee_Relief_Windows_1!$I$100:$I$1602,0))</f>
        <v>#NAME?</v>
      </c>
    </row>
    <row r="1603" spans="1:9" x14ac:dyDescent="0.55000000000000004">
      <c r="A1603" t="str">
        <f>TEST_DATA!A1603</f>
        <v>27AAAAA1603Z5</v>
      </c>
      <c r="B1603" t="str">
        <f>TEST_DATA!B1603</f>
        <v>Apr-2020</v>
      </c>
      <c r="C1603">
        <f>TEST_DATA!C1603</f>
        <v>44505</v>
      </c>
      <c r="D1603" t="str">
        <f>TEST_DATA!D1603</f>
        <v>NON-NIL</v>
      </c>
      <c r="E1603">
        <f>TEST_DATA!E1603</f>
        <v>2220</v>
      </c>
      <c r="F1603">
        <f>MIN(E1603*160300,10000)</f>
        <v>10000</v>
      </c>
      <c r="G1603" t="e">
        <f ca="1">_xludf.MINIFS(CBIC_Late_Fee_Relief_Windows_1!$I$100:$I$1603,CBIC_Late_Fee_Relief_Windows_1!$D$100:$D$1603,"&lt;="&amp;B1603,CBIC_Late_Fee_Relief_Windows_1!$E$100:$E$1603,"&gt;="&amp;B1603,CBIC_Late_Fee_Relief_Windows_1!$F$100:$F$1603,"&lt;="&amp;C1603,CBIC_Late_Fee_Relief_Windows_1!$G$100:$G$1603,"&gt;="&amp;C1603,CBIC_Late_Fee_Relief_Windows_1!$H$100:$H$1603,D1603)</f>
        <v>#NAME?</v>
      </c>
      <c r="H1603" t="e">
        <f t="shared" ca="1" si="25"/>
        <v>#NAME?</v>
      </c>
      <c r="I1603" t="e">
        <f ca="1">INDEX(CBIC_Late_Fee_Relief_Windows_1!$B$100:$B$1603,MATCH(G1603,CBIC_Late_Fee_Relief_Windows_1!$I$100:$I$1603,0))</f>
        <v>#NAME?</v>
      </c>
    </row>
    <row r="1604" spans="1:9" x14ac:dyDescent="0.55000000000000004">
      <c r="A1604" t="str">
        <f>TEST_DATA!A1604</f>
        <v>27AAAAA1604Z5</v>
      </c>
      <c r="B1604" t="str">
        <f>TEST_DATA!B1604</f>
        <v>Nov-2017</v>
      </c>
      <c r="C1604">
        <f>TEST_DATA!C1604</f>
        <v>43340</v>
      </c>
      <c r="D1604" t="str">
        <f>TEST_DATA!D1604</f>
        <v>NIL</v>
      </c>
      <c r="E1604">
        <f>TEST_DATA!E1604</f>
        <v>2379</v>
      </c>
      <c r="F1604">
        <f>MIN(E1604*160400,10000)</f>
        <v>10000</v>
      </c>
      <c r="G1604" t="e">
        <f ca="1">_xludf.MINIFS(CBIC_Late_Fee_Relief_Windows_1!$I$100:$I$1604,CBIC_Late_Fee_Relief_Windows_1!$D$100:$D$1604,"&lt;="&amp;B1604,CBIC_Late_Fee_Relief_Windows_1!$E$100:$E$1604,"&gt;="&amp;B1604,CBIC_Late_Fee_Relief_Windows_1!$F$100:$F$1604,"&lt;="&amp;C1604,CBIC_Late_Fee_Relief_Windows_1!$G$100:$G$1604,"&gt;="&amp;C1604,CBIC_Late_Fee_Relief_Windows_1!$H$100:$H$1604,D1604)</f>
        <v>#NAME?</v>
      </c>
      <c r="H1604" t="e">
        <f t="shared" ca="1" si="25"/>
        <v>#NAME?</v>
      </c>
      <c r="I1604" t="e">
        <f ca="1">INDEX(CBIC_Late_Fee_Relief_Windows_1!$B$100:$B$1604,MATCH(G1604,CBIC_Late_Fee_Relief_Windows_1!$I$100:$I$1604,0))</f>
        <v>#NAME?</v>
      </c>
    </row>
    <row r="1605" spans="1:9" x14ac:dyDescent="0.55000000000000004">
      <c r="A1605" t="str">
        <f>TEST_DATA!A1605</f>
        <v>27AAAAA1605Z5</v>
      </c>
      <c r="B1605" t="str">
        <f>TEST_DATA!B1605</f>
        <v>Dec-2019</v>
      </c>
      <c r="C1605">
        <f>TEST_DATA!C1605</f>
        <v>44294</v>
      </c>
      <c r="D1605" t="str">
        <f>TEST_DATA!D1605</f>
        <v>NIL</v>
      </c>
      <c r="E1605">
        <f>TEST_DATA!E1605</f>
        <v>1265</v>
      </c>
      <c r="F1605">
        <f>MIN(E1605*160500,10000)</f>
        <v>10000</v>
      </c>
      <c r="G1605" t="e">
        <f ca="1">_xludf.MINIFS(CBIC_Late_Fee_Relief_Windows_1!$I$100:$I$1605,CBIC_Late_Fee_Relief_Windows_1!$D$100:$D$1605,"&lt;="&amp;B1605,CBIC_Late_Fee_Relief_Windows_1!$E$100:$E$1605,"&gt;="&amp;B1605,CBIC_Late_Fee_Relief_Windows_1!$F$100:$F$1605,"&lt;="&amp;C1605,CBIC_Late_Fee_Relief_Windows_1!$G$100:$G$1605,"&gt;="&amp;C1605,CBIC_Late_Fee_Relief_Windows_1!$H$100:$H$1605,D1605)</f>
        <v>#NAME?</v>
      </c>
      <c r="H1605" t="e">
        <f t="shared" ca="1" si="25"/>
        <v>#NAME?</v>
      </c>
      <c r="I1605" t="e">
        <f ca="1">INDEX(CBIC_Late_Fee_Relief_Windows_1!$B$100:$B$1605,MATCH(G1605,CBIC_Late_Fee_Relief_Windows_1!$I$100:$I$1605,0))</f>
        <v>#NAME?</v>
      </c>
    </row>
    <row r="1606" spans="1:9" x14ac:dyDescent="0.55000000000000004">
      <c r="A1606" t="str">
        <f>TEST_DATA!A1606</f>
        <v>27AAAAA1606Z5</v>
      </c>
      <c r="B1606" t="str">
        <f>TEST_DATA!B1606</f>
        <v>Jul-2020</v>
      </c>
      <c r="C1606">
        <f>TEST_DATA!C1606</f>
        <v>44903</v>
      </c>
      <c r="D1606" t="str">
        <f>TEST_DATA!D1606</f>
        <v>NIL</v>
      </c>
      <c r="E1606">
        <f>TEST_DATA!E1606</f>
        <v>1761</v>
      </c>
      <c r="F1606">
        <f>MIN(E1606*160600,10000)</f>
        <v>10000</v>
      </c>
      <c r="G1606" t="e">
        <f ca="1">_xludf.MINIFS(CBIC_Late_Fee_Relief_Windows_1!$I$100:$I$1606,CBIC_Late_Fee_Relief_Windows_1!$D$100:$D$1606,"&lt;="&amp;B1606,CBIC_Late_Fee_Relief_Windows_1!$E$100:$E$1606,"&gt;="&amp;B1606,CBIC_Late_Fee_Relief_Windows_1!$F$100:$F$1606,"&lt;="&amp;C1606,CBIC_Late_Fee_Relief_Windows_1!$G$100:$G$1606,"&gt;="&amp;C1606,CBIC_Late_Fee_Relief_Windows_1!$H$100:$H$1606,D1606)</f>
        <v>#NAME?</v>
      </c>
      <c r="H1606" t="e">
        <f t="shared" ca="1" si="25"/>
        <v>#NAME?</v>
      </c>
      <c r="I1606" t="e">
        <f ca="1">INDEX(CBIC_Late_Fee_Relief_Windows_1!$B$100:$B$1606,MATCH(G1606,CBIC_Late_Fee_Relief_Windows_1!$I$100:$I$1606,0))</f>
        <v>#NAME?</v>
      </c>
    </row>
    <row r="1607" spans="1:9" x14ac:dyDescent="0.55000000000000004">
      <c r="A1607" t="str">
        <f>TEST_DATA!A1607</f>
        <v>27AAAAA1607Z5</v>
      </c>
      <c r="B1607" t="str">
        <f>TEST_DATA!B1607</f>
        <v>Mar-2021</v>
      </c>
      <c r="C1607">
        <f>TEST_DATA!C1607</f>
        <v>44060</v>
      </c>
      <c r="D1607" t="str">
        <f>TEST_DATA!D1607</f>
        <v>NIL</v>
      </c>
      <c r="E1607">
        <f>TEST_DATA!E1607</f>
        <v>1300</v>
      </c>
      <c r="F1607">
        <f>MIN(E1607*160700,10000)</f>
        <v>10000</v>
      </c>
      <c r="G1607" t="e">
        <f ca="1">_xludf.MINIFS(CBIC_Late_Fee_Relief_Windows_1!$I$100:$I$1607,CBIC_Late_Fee_Relief_Windows_1!$D$100:$D$1607,"&lt;="&amp;B1607,CBIC_Late_Fee_Relief_Windows_1!$E$100:$E$1607,"&gt;="&amp;B1607,CBIC_Late_Fee_Relief_Windows_1!$F$100:$F$1607,"&lt;="&amp;C1607,CBIC_Late_Fee_Relief_Windows_1!$G$100:$G$1607,"&gt;="&amp;C1607,CBIC_Late_Fee_Relief_Windows_1!$H$100:$H$1607,D1607)</f>
        <v>#NAME?</v>
      </c>
      <c r="H1607" t="e">
        <f t="shared" ca="1" si="25"/>
        <v>#NAME?</v>
      </c>
      <c r="I1607" t="e">
        <f ca="1">INDEX(CBIC_Late_Fee_Relief_Windows_1!$B$100:$B$1607,MATCH(G1607,CBIC_Late_Fee_Relief_Windows_1!$I$100:$I$1607,0))</f>
        <v>#NAME?</v>
      </c>
    </row>
    <row r="1608" spans="1:9" x14ac:dyDescent="0.55000000000000004">
      <c r="A1608" t="str">
        <f>TEST_DATA!A1608</f>
        <v>27AAAAA1608Z5</v>
      </c>
      <c r="B1608" t="str">
        <f>TEST_DATA!B1608</f>
        <v>Sep-2017</v>
      </c>
      <c r="C1608">
        <f>TEST_DATA!C1608</f>
        <v>44058</v>
      </c>
      <c r="D1608" t="str">
        <f>TEST_DATA!D1608</f>
        <v>NIL</v>
      </c>
      <c r="E1608">
        <f>TEST_DATA!E1608</f>
        <v>754</v>
      </c>
      <c r="F1608">
        <f>MIN(E1608*160800,10000)</f>
        <v>10000</v>
      </c>
      <c r="G1608" t="e">
        <f ca="1">_xludf.MINIFS(CBIC_Late_Fee_Relief_Windows_1!$I$100:$I$1608,CBIC_Late_Fee_Relief_Windows_1!$D$100:$D$1608,"&lt;="&amp;B1608,CBIC_Late_Fee_Relief_Windows_1!$E$100:$E$1608,"&gt;="&amp;B1608,CBIC_Late_Fee_Relief_Windows_1!$F$100:$F$1608,"&lt;="&amp;C1608,CBIC_Late_Fee_Relief_Windows_1!$G$100:$G$1608,"&gt;="&amp;C1608,CBIC_Late_Fee_Relief_Windows_1!$H$100:$H$1608,D1608)</f>
        <v>#NAME?</v>
      </c>
      <c r="H1608" t="e">
        <f t="shared" ca="1" si="25"/>
        <v>#NAME?</v>
      </c>
      <c r="I1608" t="e">
        <f ca="1">INDEX(CBIC_Late_Fee_Relief_Windows_1!$B$100:$B$1608,MATCH(G1608,CBIC_Late_Fee_Relief_Windows_1!$I$100:$I$1608,0))</f>
        <v>#NAME?</v>
      </c>
    </row>
    <row r="1609" spans="1:9" x14ac:dyDescent="0.55000000000000004">
      <c r="A1609" t="str">
        <f>TEST_DATA!A1609</f>
        <v>27AAAAA1609Z5</v>
      </c>
      <c r="B1609" t="str">
        <f>TEST_DATA!B1609</f>
        <v>May-2018</v>
      </c>
      <c r="C1609">
        <f>TEST_DATA!C1609</f>
        <v>43215</v>
      </c>
      <c r="D1609" t="str">
        <f>TEST_DATA!D1609</f>
        <v>NIL</v>
      </c>
      <c r="E1609">
        <f>TEST_DATA!E1609</f>
        <v>1305</v>
      </c>
      <c r="F1609">
        <f>MIN(E1609*160900,10000)</f>
        <v>10000</v>
      </c>
      <c r="G1609" t="e">
        <f ca="1">_xludf.MINIFS(CBIC_Late_Fee_Relief_Windows_1!$I$100:$I$1609,CBIC_Late_Fee_Relief_Windows_1!$D$100:$D$1609,"&lt;="&amp;B1609,CBIC_Late_Fee_Relief_Windows_1!$E$100:$E$1609,"&gt;="&amp;B1609,CBIC_Late_Fee_Relief_Windows_1!$F$100:$F$1609,"&lt;="&amp;C1609,CBIC_Late_Fee_Relief_Windows_1!$G$100:$G$1609,"&gt;="&amp;C1609,CBIC_Late_Fee_Relief_Windows_1!$H$100:$H$1609,D1609)</f>
        <v>#NAME?</v>
      </c>
      <c r="H1609" t="e">
        <f t="shared" ca="1" si="25"/>
        <v>#NAME?</v>
      </c>
      <c r="I1609" t="e">
        <f ca="1">INDEX(CBIC_Late_Fee_Relief_Windows_1!$B$100:$B$1609,MATCH(G1609,CBIC_Late_Fee_Relief_Windows_1!$I$100:$I$1609,0))</f>
        <v>#NAME?</v>
      </c>
    </row>
    <row r="1610" spans="1:9" x14ac:dyDescent="0.55000000000000004">
      <c r="A1610" t="str">
        <f>TEST_DATA!A1610</f>
        <v>27AAAAA1610Z5</v>
      </c>
      <c r="B1610" t="str">
        <f>TEST_DATA!B1610</f>
        <v>Dec-2024</v>
      </c>
      <c r="C1610">
        <f>TEST_DATA!C1610</f>
        <v>45161</v>
      </c>
      <c r="D1610" t="str">
        <f>TEST_DATA!D1610</f>
        <v>NON-NIL</v>
      </c>
      <c r="E1610">
        <f>TEST_DATA!E1610</f>
        <v>1242</v>
      </c>
      <c r="F1610">
        <f>MIN(E1610*161000,10000)</f>
        <v>10000</v>
      </c>
      <c r="G1610" t="e">
        <f ca="1">_xludf.MINIFS(CBIC_Late_Fee_Relief_Windows_1!$I$100:$I$1610,CBIC_Late_Fee_Relief_Windows_1!$D$100:$D$1610,"&lt;="&amp;B1610,CBIC_Late_Fee_Relief_Windows_1!$E$100:$E$1610,"&gt;="&amp;B1610,CBIC_Late_Fee_Relief_Windows_1!$F$100:$F$1610,"&lt;="&amp;C1610,CBIC_Late_Fee_Relief_Windows_1!$G$100:$G$1610,"&gt;="&amp;C1610,CBIC_Late_Fee_Relief_Windows_1!$H$100:$H$1610,D1610)</f>
        <v>#NAME?</v>
      </c>
      <c r="H1610" t="e">
        <f t="shared" ca="1" si="25"/>
        <v>#NAME?</v>
      </c>
      <c r="I1610" t="e">
        <f ca="1">INDEX(CBIC_Late_Fee_Relief_Windows_1!$B$100:$B$1610,MATCH(G1610,CBIC_Late_Fee_Relief_Windows_1!$I$100:$I$1610,0))</f>
        <v>#NAME?</v>
      </c>
    </row>
    <row r="1611" spans="1:9" x14ac:dyDescent="0.55000000000000004">
      <c r="A1611" t="str">
        <f>TEST_DATA!A1611</f>
        <v>27AAAAA1611Z5</v>
      </c>
      <c r="B1611" t="str">
        <f>TEST_DATA!B1611</f>
        <v>Sep-2018</v>
      </c>
      <c r="C1611">
        <f>TEST_DATA!C1611</f>
        <v>44444</v>
      </c>
      <c r="D1611" t="str">
        <f>TEST_DATA!D1611</f>
        <v>NON-NIL</v>
      </c>
      <c r="E1611">
        <f>TEST_DATA!E1611</f>
        <v>622</v>
      </c>
      <c r="F1611">
        <f>MIN(E1611*161100,10000)</f>
        <v>10000</v>
      </c>
      <c r="G1611" t="e">
        <f ca="1">_xludf.MINIFS(CBIC_Late_Fee_Relief_Windows_1!$I$100:$I$1611,CBIC_Late_Fee_Relief_Windows_1!$D$100:$D$1611,"&lt;="&amp;B1611,CBIC_Late_Fee_Relief_Windows_1!$E$100:$E$1611,"&gt;="&amp;B1611,CBIC_Late_Fee_Relief_Windows_1!$F$100:$F$1611,"&lt;="&amp;C1611,CBIC_Late_Fee_Relief_Windows_1!$G$100:$G$1611,"&gt;="&amp;C1611,CBIC_Late_Fee_Relief_Windows_1!$H$100:$H$1611,D1611)</f>
        <v>#NAME?</v>
      </c>
      <c r="H1611" t="e">
        <f t="shared" ca="1" si="25"/>
        <v>#NAME?</v>
      </c>
      <c r="I1611" t="e">
        <f ca="1">INDEX(CBIC_Late_Fee_Relief_Windows_1!$B$100:$B$1611,MATCH(G1611,CBIC_Late_Fee_Relief_Windows_1!$I$100:$I$1611,0))</f>
        <v>#NAME?</v>
      </c>
    </row>
    <row r="1612" spans="1:9" x14ac:dyDescent="0.55000000000000004">
      <c r="A1612" t="str">
        <f>TEST_DATA!A1612</f>
        <v>27AAAAA1612Z5</v>
      </c>
      <c r="B1612" t="str">
        <f>TEST_DATA!B1612</f>
        <v>Mar-2021</v>
      </c>
      <c r="C1612">
        <f>TEST_DATA!C1612</f>
        <v>44235</v>
      </c>
      <c r="D1612" t="str">
        <f>TEST_DATA!D1612</f>
        <v>NIL</v>
      </c>
      <c r="E1612">
        <f>TEST_DATA!E1612</f>
        <v>538</v>
      </c>
      <c r="F1612">
        <f>MIN(E1612*161200,10000)</f>
        <v>10000</v>
      </c>
      <c r="G1612" t="e">
        <f ca="1">_xludf.MINIFS(CBIC_Late_Fee_Relief_Windows_1!$I$100:$I$1612,CBIC_Late_Fee_Relief_Windows_1!$D$100:$D$1612,"&lt;="&amp;B1612,CBIC_Late_Fee_Relief_Windows_1!$E$100:$E$1612,"&gt;="&amp;B1612,CBIC_Late_Fee_Relief_Windows_1!$F$100:$F$1612,"&lt;="&amp;C1612,CBIC_Late_Fee_Relief_Windows_1!$G$100:$G$1612,"&gt;="&amp;C1612,CBIC_Late_Fee_Relief_Windows_1!$H$100:$H$1612,D1612)</f>
        <v>#NAME?</v>
      </c>
      <c r="H1612" t="e">
        <f t="shared" ca="1" si="25"/>
        <v>#NAME?</v>
      </c>
      <c r="I1612" t="e">
        <f ca="1">INDEX(CBIC_Late_Fee_Relief_Windows_1!$B$100:$B$1612,MATCH(G1612,CBIC_Late_Fee_Relief_Windows_1!$I$100:$I$1612,0))</f>
        <v>#NAME?</v>
      </c>
    </row>
    <row r="1613" spans="1:9" x14ac:dyDescent="0.55000000000000004">
      <c r="A1613" t="str">
        <f>TEST_DATA!A1613</f>
        <v>27AAAAA1613Z5</v>
      </c>
      <c r="B1613" t="str">
        <f>TEST_DATA!B1613</f>
        <v>Dec-2017</v>
      </c>
      <c r="C1613">
        <f>TEST_DATA!C1613</f>
        <v>42970</v>
      </c>
      <c r="D1613" t="str">
        <f>TEST_DATA!D1613</f>
        <v>NON-NIL</v>
      </c>
      <c r="E1613">
        <f>TEST_DATA!E1613</f>
        <v>2480</v>
      </c>
      <c r="F1613">
        <f>MIN(E1613*161300,10000)</f>
        <v>10000</v>
      </c>
      <c r="G1613" t="e">
        <f ca="1">_xludf.MINIFS(CBIC_Late_Fee_Relief_Windows_1!$I$100:$I$1613,CBIC_Late_Fee_Relief_Windows_1!$D$100:$D$1613,"&lt;="&amp;B1613,CBIC_Late_Fee_Relief_Windows_1!$E$100:$E$1613,"&gt;="&amp;B1613,CBIC_Late_Fee_Relief_Windows_1!$F$100:$F$1613,"&lt;="&amp;C1613,CBIC_Late_Fee_Relief_Windows_1!$G$100:$G$1613,"&gt;="&amp;C1613,CBIC_Late_Fee_Relief_Windows_1!$H$100:$H$1613,D1613)</f>
        <v>#NAME?</v>
      </c>
      <c r="H1613" t="e">
        <f t="shared" ca="1" si="25"/>
        <v>#NAME?</v>
      </c>
      <c r="I1613" t="e">
        <f ca="1">INDEX(CBIC_Late_Fee_Relief_Windows_1!$B$100:$B$1613,MATCH(G1613,CBIC_Late_Fee_Relief_Windows_1!$I$100:$I$1613,0))</f>
        <v>#NAME?</v>
      </c>
    </row>
    <row r="1614" spans="1:9" x14ac:dyDescent="0.55000000000000004">
      <c r="A1614" t="str">
        <f>TEST_DATA!A1614</f>
        <v>27AAAAA1614Z5</v>
      </c>
      <c r="B1614" t="str">
        <f>TEST_DATA!B1614</f>
        <v>Mar-2020</v>
      </c>
      <c r="C1614">
        <f>TEST_DATA!C1614</f>
        <v>44303</v>
      </c>
      <c r="D1614" t="str">
        <f>TEST_DATA!D1614</f>
        <v>NIL</v>
      </c>
      <c r="E1614">
        <f>TEST_DATA!E1614</f>
        <v>945</v>
      </c>
      <c r="F1614">
        <f>MIN(E1614*161400,10000)</f>
        <v>10000</v>
      </c>
      <c r="G1614" t="e">
        <f ca="1">_xludf.MINIFS(CBIC_Late_Fee_Relief_Windows_1!$I$100:$I$1614,CBIC_Late_Fee_Relief_Windows_1!$D$100:$D$1614,"&lt;="&amp;B1614,CBIC_Late_Fee_Relief_Windows_1!$E$100:$E$1614,"&gt;="&amp;B1614,CBIC_Late_Fee_Relief_Windows_1!$F$100:$F$1614,"&lt;="&amp;C1614,CBIC_Late_Fee_Relief_Windows_1!$G$100:$G$1614,"&gt;="&amp;C1614,CBIC_Late_Fee_Relief_Windows_1!$H$100:$H$1614,D1614)</f>
        <v>#NAME?</v>
      </c>
      <c r="H1614" t="e">
        <f t="shared" ca="1" si="25"/>
        <v>#NAME?</v>
      </c>
      <c r="I1614" t="e">
        <f ca="1">INDEX(CBIC_Late_Fee_Relief_Windows_1!$B$100:$B$1614,MATCH(G1614,CBIC_Late_Fee_Relief_Windows_1!$I$100:$I$1614,0))</f>
        <v>#NAME?</v>
      </c>
    </row>
    <row r="1615" spans="1:9" x14ac:dyDescent="0.55000000000000004">
      <c r="A1615" t="str">
        <f>TEST_DATA!A1615</f>
        <v>27AAAAA1615Z5</v>
      </c>
      <c r="B1615" t="str">
        <f>TEST_DATA!B1615</f>
        <v>Jun-2020</v>
      </c>
      <c r="C1615">
        <f>TEST_DATA!C1615</f>
        <v>43884</v>
      </c>
      <c r="D1615" t="str">
        <f>TEST_DATA!D1615</f>
        <v>NON-NIL</v>
      </c>
      <c r="E1615">
        <f>TEST_DATA!E1615</f>
        <v>325</v>
      </c>
      <c r="F1615">
        <f>MIN(E1615*161500,10000)</f>
        <v>10000</v>
      </c>
      <c r="G1615" t="e">
        <f ca="1">_xludf.MINIFS(CBIC_Late_Fee_Relief_Windows_1!$I$100:$I$1615,CBIC_Late_Fee_Relief_Windows_1!$D$100:$D$1615,"&lt;="&amp;B1615,CBIC_Late_Fee_Relief_Windows_1!$E$100:$E$1615,"&gt;="&amp;B1615,CBIC_Late_Fee_Relief_Windows_1!$F$100:$F$1615,"&lt;="&amp;C1615,CBIC_Late_Fee_Relief_Windows_1!$G$100:$G$1615,"&gt;="&amp;C1615,CBIC_Late_Fee_Relief_Windows_1!$H$100:$H$1615,D1615)</f>
        <v>#NAME?</v>
      </c>
      <c r="H1615" t="e">
        <f t="shared" ca="1" si="25"/>
        <v>#NAME?</v>
      </c>
      <c r="I1615" t="e">
        <f ca="1">INDEX(CBIC_Late_Fee_Relief_Windows_1!$B$100:$B$1615,MATCH(G1615,CBIC_Late_Fee_Relief_Windows_1!$I$100:$I$1615,0))</f>
        <v>#NAME?</v>
      </c>
    </row>
    <row r="1616" spans="1:9" x14ac:dyDescent="0.55000000000000004">
      <c r="A1616" t="str">
        <f>TEST_DATA!A1616</f>
        <v>27AAAAA1616Z5</v>
      </c>
      <c r="B1616" t="str">
        <f>TEST_DATA!B1616</f>
        <v>Jul-2020</v>
      </c>
      <c r="C1616">
        <f>TEST_DATA!C1616</f>
        <v>44807</v>
      </c>
      <c r="D1616" t="str">
        <f>TEST_DATA!D1616</f>
        <v>NIL</v>
      </c>
      <c r="E1616">
        <f>TEST_DATA!E1616</f>
        <v>2057</v>
      </c>
      <c r="F1616">
        <f>MIN(E1616*161600,10000)</f>
        <v>10000</v>
      </c>
      <c r="G1616" t="e">
        <f ca="1">_xludf.MINIFS(CBIC_Late_Fee_Relief_Windows_1!$I$100:$I$1616,CBIC_Late_Fee_Relief_Windows_1!$D$100:$D$1616,"&lt;="&amp;B1616,CBIC_Late_Fee_Relief_Windows_1!$E$100:$E$1616,"&gt;="&amp;B1616,CBIC_Late_Fee_Relief_Windows_1!$F$100:$F$1616,"&lt;="&amp;C1616,CBIC_Late_Fee_Relief_Windows_1!$G$100:$G$1616,"&gt;="&amp;C1616,CBIC_Late_Fee_Relief_Windows_1!$H$100:$H$1616,D1616)</f>
        <v>#NAME?</v>
      </c>
      <c r="H1616" t="e">
        <f t="shared" ca="1" si="25"/>
        <v>#NAME?</v>
      </c>
      <c r="I1616" t="e">
        <f ca="1">INDEX(CBIC_Late_Fee_Relief_Windows_1!$B$100:$B$1616,MATCH(G1616,CBIC_Late_Fee_Relief_Windows_1!$I$100:$I$1616,0))</f>
        <v>#NAME?</v>
      </c>
    </row>
    <row r="1617" spans="1:9" x14ac:dyDescent="0.55000000000000004">
      <c r="A1617" t="str">
        <f>TEST_DATA!A1617</f>
        <v>27AAAAA1617Z5</v>
      </c>
      <c r="B1617" t="str">
        <f>TEST_DATA!B1617</f>
        <v>Mar-2023</v>
      </c>
      <c r="C1617">
        <f>TEST_DATA!C1617</f>
        <v>45386</v>
      </c>
      <c r="D1617" t="str">
        <f>TEST_DATA!D1617</f>
        <v>NON-NIL</v>
      </c>
      <c r="E1617">
        <f>TEST_DATA!E1617</f>
        <v>753</v>
      </c>
      <c r="F1617">
        <f>MIN(E1617*161700,10000)</f>
        <v>10000</v>
      </c>
      <c r="G1617" t="e">
        <f ca="1">_xludf.MINIFS(CBIC_Late_Fee_Relief_Windows_1!$I$100:$I$1617,CBIC_Late_Fee_Relief_Windows_1!$D$100:$D$1617,"&lt;="&amp;B1617,CBIC_Late_Fee_Relief_Windows_1!$E$100:$E$1617,"&gt;="&amp;B1617,CBIC_Late_Fee_Relief_Windows_1!$F$100:$F$1617,"&lt;="&amp;C1617,CBIC_Late_Fee_Relief_Windows_1!$G$100:$G$1617,"&gt;="&amp;C1617,CBIC_Late_Fee_Relief_Windows_1!$H$100:$H$1617,D1617)</f>
        <v>#NAME?</v>
      </c>
      <c r="H1617" t="e">
        <f t="shared" ca="1" si="25"/>
        <v>#NAME?</v>
      </c>
      <c r="I1617" t="e">
        <f ca="1">INDEX(CBIC_Late_Fee_Relief_Windows_1!$B$100:$B$1617,MATCH(G1617,CBIC_Late_Fee_Relief_Windows_1!$I$100:$I$1617,0))</f>
        <v>#NAME?</v>
      </c>
    </row>
    <row r="1618" spans="1:9" x14ac:dyDescent="0.55000000000000004">
      <c r="A1618" t="str">
        <f>TEST_DATA!A1618</f>
        <v>27AAAAA1618Z5</v>
      </c>
      <c r="B1618" t="str">
        <f>TEST_DATA!B1618</f>
        <v>Mar-2023</v>
      </c>
      <c r="C1618">
        <f>TEST_DATA!C1618</f>
        <v>45053</v>
      </c>
      <c r="D1618" t="str">
        <f>TEST_DATA!D1618</f>
        <v>NON-NIL</v>
      </c>
      <c r="E1618">
        <f>TEST_DATA!E1618</f>
        <v>1940</v>
      </c>
      <c r="F1618">
        <f>MIN(E1618*161800,10000)</f>
        <v>10000</v>
      </c>
      <c r="G1618" t="e">
        <f ca="1">_xludf.MINIFS(CBIC_Late_Fee_Relief_Windows_1!$I$100:$I$1618,CBIC_Late_Fee_Relief_Windows_1!$D$100:$D$1618,"&lt;="&amp;B1618,CBIC_Late_Fee_Relief_Windows_1!$E$100:$E$1618,"&gt;="&amp;B1618,CBIC_Late_Fee_Relief_Windows_1!$F$100:$F$1618,"&lt;="&amp;C1618,CBIC_Late_Fee_Relief_Windows_1!$G$100:$G$1618,"&gt;="&amp;C1618,CBIC_Late_Fee_Relief_Windows_1!$H$100:$H$1618,D1618)</f>
        <v>#NAME?</v>
      </c>
      <c r="H1618" t="e">
        <f t="shared" ca="1" si="25"/>
        <v>#NAME?</v>
      </c>
      <c r="I1618" t="e">
        <f ca="1">INDEX(CBIC_Late_Fee_Relief_Windows_1!$B$100:$B$1618,MATCH(G1618,CBIC_Late_Fee_Relief_Windows_1!$I$100:$I$1618,0))</f>
        <v>#NAME?</v>
      </c>
    </row>
    <row r="1619" spans="1:9" x14ac:dyDescent="0.55000000000000004">
      <c r="A1619" t="str">
        <f>TEST_DATA!A1619</f>
        <v>27AAAAA1619Z5</v>
      </c>
      <c r="B1619" t="str">
        <f>TEST_DATA!B1619</f>
        <v>Nov-2017</v>
      </c>
      <c r="C1619">
        <f>TEST_DATA!C1619</f>
        <v>43252</v>
      </c>
      <c r="D1619" t="str">
        <f>TEST_DATA!D1619</f>
        <v>NIL</v>
      </c>
      <c r="E1619">
        <f>TEST_DATA!E1619</f>
        <v>926</v>
      </c>
      <c r="F1619">
        <f>MIN(E1619*161900,10000)</f>
        <v>10000</v>
      </c>
      <c r="G1619" t="e">
        <f ca="1">_xludf.MINIFS(CBIC_Late_Fee_Relief_Windows_1!$I$100:$I$1619,CBIC_Late_Fee_Relief_Windows_1!$D$100:$D$1619,"&lt;="&amp;B1619,CBIC_Late_Fee_Relief_Windows_1!$E$100:$E$1619,"&gt;="&amp;B1619,CBIC_Late_Fee_Relief_Windows_1!$F$100:$F$1619,"&lt;="&amp;C1619,CBIC_Late_Fee_Relief_Windows_1!$G$100:$G$1619,"&gt;="&amp;C1619,CBIC_Late_Fee_Relief_Windows_1!$H$100:$H$1619,D1619)</f>
        <v>#NAME?</v>
      </c>
      <c r="H1619" t="e">
        <f t="shared" ca="1" si="25"/>
        <v>#NAME?</v>
      </c>
      <c r="I1619" t="e">
        <f ca="1">INDEX(CBIC_Late_Fee_Relief_Windows_1!$B$100:$B$1619,MATCH(G1619,CBIC_Late_Fee_Relief_Windows_1!$I$100:$I$1619,0))</f>
        <v>#NAME?</v>
      </c>
    </row>
    <row r="1620" spans="1:9" x14ac:dyDescent="0.55000000000000004">
      <c r="A1620" t="str">
        <f>TEST_DATA!A1620</f>
        <v>27AAAAA1620Z5</v>
      </c>
      <c r="B1620" t="str">
        <f>TEST_DATA!B1620</f>
        <v>Aug-2017</v>
      </c>
      <c r="C1620">
        <f>TEST_DATA!C1620</f>
        <v>43753</v>
      </c>
      <c r="D1620" t="str">
        <f>TEST_DATA!D1620</f>
        <v>NIL</v>
      </c>
      <c r="E1620">
        <f>TEST_DATA!E1620</f>
        <v>1105</v>
      </c>
      <c r="F1620">
        <f>MIN(E1620*162000,10000)</f>
        <v>10000</v>
      </c>
      <c r="G1620" t="e">
        <f ca="1">_xludf.MINIFS(CBIC_Late_Fee_Relief_Windows_1!$I$100:$I$1620,CBIC_Late_Fee_Relief_Windows_1!$D$100:$D$1620,"&lt;="&amp;B1620,CBIC_Late_Fee_Relief_Windows_1!$E$100:$E$1620,"&gt;="&amp;B1620,CBIC_Late_Fee_Relief_Windows_1!$F$100:$F$1620,"&lt;="&amp;C1620,CBIC_Late_Fee_Relief_Windows_1!$G$100:$G$1620,"&gt;="&amp;C1620,CBIC_Late_Fee_Relief_Windows_1!$H$100:$H$1620,D1620)</f>
        <v>#NAME?</v>
      </c>
      <c r="H1620" t="e">
        <f t="shared" ca="1" si="25"/>
        <v>#NAME?</v>
      </c>
      <c r="I1620" t="e">
        <f ca="1">INDEX(CBIC_Late_Fee_Relief_Windows_1!$B$100:$B$1620,MATCH(G1620,CBIC_Late_Fee_Relief_Windows_1!$I$100:$I$1620,0))</f>
        <v>#NAME?</v>
      </c>
    </row>
    <row r="1621" spans="1:9" x14ac:dyDescent="0.55000000000000004">
      <c r="A1621" t="str">
        <f>TEST_DATA!A1621</f>
        <v>27AAAAA1621Z5</v>
      </c>
      <c r="B1621" t="str">
        <f>TEST_DATA!B1621</f>
        <v>Aug-2018</v>
      </c>
      <c r="C1621">
        <f>TEST_DATA!C1621</f>
        <v>43372</v>
      </c>
      <c r="D1621" t="str">
        <f>TEST_DATA!D1621</f>
        <v>NIL</v>
      </c>
      <c r="E1621">
        <f>TEST_DATA!E1621</f>
        <v>837</v>
      </c>
      <c r="F1621">
        <f>MIN(E1621*162100,10000)</f>
        <v>10000</v>
      </c>
      <c r="G1621" t="e">
        <f ca="1">_xludf.MINIFS(CBIC_Late_Fee_Relief_Windows_1!$I$100:$I$1621,CBIC_Late_Fee_Relief_Windows_1!$D$100:$D$1621,"&lt;="&amp;B1621,CBIC_Late_Fee_Relief_Windows_1!$E$100:$E$1621,"&gt;="&amp;B1621,CBIC_Late_Fee_Relief_Windows_1!$F$100:$F$1621,"&lt;="&amp;C1621,CBIC_Late_Fee_Relief_Windows_1!$G$100:$G$1621,"&gt;="&amp;C1621,CBIC_Late_Fee_Relief_Windows_1!$H$100:$H$1621,D1621)</f>
        <v>#NAME?</v>
      </c>
      <c r="H1621" t="e">
        <f t="shared" ca="1" si="25"/>
        <v>#NAME?</v>
      </c>
      <c r="I1621" t="e">
        <f ca="1">INDEX(CBIC_Late_Fee_Relief_Windows_1!$B$100:$B$1621,MATCH(G1621,CBIC_Late_Fee_Relief_Windows_1!$I$100:$I$1621,0))</f>
        <v>#NAME?</v>
      </c>
    </row>
    <row r="1622" spans="1:9" x14ac:dyDescent="0.55000000000000004">
      <c r="A1622" t="str">
        <f>TEST_DATA!A1622</f>
        <v>27AAAAA1622Z5</v>
      </c>
      <c r="B1622" t="str">
        <f>TEST_DATA!B1622</f>
        <v>Sep-2017</v>
      </c>
      <c r="C1622">
        <f>TEST_DATA!C1622</f>
        <v>43279</v>
      </c>
      <c r="D1622" t="str">
        <f>TEST_DATA!D1622</f>
        <v>NON-NIL</v>
      </c>
      <c r="E1622">
        <f>TEST_DATA!E1622</f>
        <v>2527</v>
      </c>
      <c r="F1622">
        <f>MIN(E1622*162200,10000)</f>
        <v>10000</v>
      </c>
      <c r="G1622" t="e">
        <f ca="1">_xludf.MINIFS(CBIC_Late_Fee_Relief_Windows_1!$I$100:$I$1622,CBIC_Late_Fee_Relief_Windows_1!$D$100:$D$1622,"&lt;="&amp;B1622,CBIC_Late_Fee_Relief_Windows_1!$E$100:$E$1622,"&gt;="&amp;B1622,CBIC_Late_Fee_Relief_Windows_1!$F$100:$F$1622,"&lt;="&amp;C1622,CBIC_Late_Fee_Relief_Windows_1!$G$100:$G$1622,"&gt;="&amp;C1622,CBIC_Late_Fee_Relief_Windows_1!$H$100:$H$1622,D1622)</f>
        <v>#NAME?</v>
      </c>
      <c r="H1622" t="e">
        <f t="shared" ca="1" si="25"/>
        <v>#NAME?</v>
      </c>
      <c r="I1622" t="e">
        <f ca="1">INDEX(CBIC_Late_Fee_Relief_Windows_1!$B$100:$B$1622,MATCH(G1622,CBIC_Late_Fee_Relief_Windows_1!$I$100:$I$1622,0))</f>
        <v>#NAME?</v>
      </c>
    </row>
    <row r="1623" spans="1:9" x14ac:dyDescent="0.55000000000000004">
      <c r="A1623" t="str">
        <f>TEST_DATA!A1623</f>
        <v>27AAAAA1623Z5</v>
      </c>
      <c r="B1623" t="str">
        <f>TEST_DATA!B1623</f>
        <v>Jan-2019</v>
      </c>
      <c r="C1623">
        <f>TEST_DATA!C1623</f>
        <v>44796</v>
      </c>
      <c r="D1623" t="str">
        <f>TEST_DATA!D1623</f>
        <v>NON-NIL</v>
      </c>
      <c r="E1623">
        <f>TEST_DATA!E1623</f>
        <v>1010</v>
      </c>
      <c r="F1623">
        <f>MIN(E1623*162300,10000)</f>
        <v>10000</v>
      </c>
      <c r="G1623" t="e">
        <f ca="1">_xludf.MINIFS(CBIC_Late_Fee_Relief_Windows_1!$I$100:$I$1623,CBIC_Late_Fee_Relief_Windows_1!$D$100:$D$1623,"&lt;="&amp;B1623,CBIC_Late_Fee_Relief_Windows_1!$E$100:$E$1623,"&gt;="&amp;B1623,CBIC_Late_Fee_Relief_Windows_1!$F$100:$F$1623,"&lt;="&amp;C1623,CBIC_Late_Fee_Relief_Windows_1!$G$100:$G$1623,"&gt;="&amp;C1623,CBIC_Late_Fee_Relief_Windows_1!$H$100:$H$1623,D1623)</f>
        <v>#NAME?</v>
      </c>
      <c r="H1623" t="e">
        <f t="shared" ca="1" si="25"/>
        <v>#NAME?</v>
      </c>
      <c r="I1623" t="e">
        <f ca="1">INDEX(CBIC_Late_Fee_Relief_Windows_1!$B$100:$B$1623,MATCH(G1623,CBIC_Late_Fee_Relief_Windows_1!$I$100:$I$1623,0))</f>
        <v>#NAME?</v>
      </c>
    </row>
    <row r="1624" spans="1:9" x14ac:dyDescent="0.55000000000000004">
      <c r="A1624" t="str">
        <f>TEST_DATA!A1624</f>
        <v>27AAAAA1624Z5</v>
      </c>
      <c r="B1624" t="str">
        <f>TEST_DATA!B1624</f>
        <v>Aug-2018</v>
      </c>
      <c r="C1624">
        <f>TEST_DATA!C1624</f>
        <v>43746</v>
      </c>
      <c r="D1624" t="str">
        <f>TEST_DATA!D1624</f>
        <v>NIL</v>
      </c>
      <c r="E1624">
        <f>TEST_DATA!E1624</f>
        <v>2490</v>
      </c>
      <c r="F1624">
        <f>MIN(E1624*162400,10000)</f>
        <v>10000</v>
      </c>
      <c r="G1624" t="e">
        <f ca="1">_xludf.MINIFS(CBIC_Late_Fee_Relief_Windows_1!$I$100:$I$1624,CBIC_Late_Fee_Relief_Windows_1!$D$100:$D$1624,"&lt;="&amp;B1624,CBIC_Late_Fee_Relief_Windows_1!$E$100:$E$1624,"&gt;="&amp;B1624,CBIC_Late_Fee_Relief_Windows_1!$F$100:$F$1624,"&lt;="&amp;C1624,CBIC_Late_Fee_Relief_Windows_1!$G$100:$G$1624,"&gt;="&amp;C1624,CBIC_Late_Fee_Relief_Windows_1!$H$100:$H$1624,D1624)</f>
        <v>#NAME?</v>
      </c>
      <c r="H1624" t="e">
        <f t="shared" ca="1" si="25"/>
        <v>#NAME?</v>
      </c>
      <c r="I1624" t="e">
        <f ca="1">INDEX(CBIC_Late_Fee_Relief_Windows_1!$B$100:$B$1624,MATCH(G1624,CBIC_Late_Fee_Relief_Windows_1!$I$100:$I$1624,0))</f>
        <v>#NAME?</v>
      </c>
    </row>
    <row r="1625" spans="1:9" x14ac:dyDescent="0.55000000000000004">
      <c r="A1625" t="str">
        <f>TEST_DATA!A1625</f>
        <v>27AAAAA1625Z5</v>
      </c>
      <c r="B1625" t="str">
        <f>TEST_DATA!B1625</f>
        <v>Jan-2021</v>
      </c>
      <c r="C1625">
        <f>TEST_DATA!C1625</f>
        <v>45024</v>
      </c>
      <c r="D1625" t="str">
        <f>TEST_DATA!D1625</f>
        <v>NON-NIL</v>
      </c>
      <c r="E1625">
        <f>TEST_DATA!E1625</f>
        <v>1614</v>
      </c>
      <c r="F1625">
        <f>MIN(E1625*162500,10000)</f>
        <v>10000</v>
      </c>
      <c r="G1625" t="e">
        <f ca="1">_xludf.MINIFS(CBIC_Late_Fee_Relief_Windows_1!$I$100:$I$1625,CBIC_Late_Fee_Relief_Windows_1!$D$100:$D$1625,"&lt;="&amp;B1625,CBIC_Late_Fee_Relief_Windows_1!$E$100:$E$1625,"&gt;="&amp;B1625,CBIC_Late_Fee_Relief_Windows_1!$F$100:$F$1625,"&lt;="&amp;C1625,CBIC_Late_Fee_Relief_Windows_1!$G$100:$G$1625,"&gt;="&amp;C1625,CBIC_Late_Fee_Relief_Windows_1!$H$100:$H$1625,D1625)</f>
        <v>#NAME?</v>
      </c>
      <c r="H1625" t="e">
        <f t="shared" ca="1" si="25"/>
        <v>#NAME?</v>
      </c>
      <c r="I1625" t="e">
        <f ca="1">INDEX(CBIC_Late_Fee_Relief_Windows_1!$B$100:$B$1625,MATCH(G1625,CBIC_Late_Fee_Relief_Windows_1!$I$100:$I$1625,0))</f>
        <v>#NAME?</v>
      </c>
    </row>
    <row r="1626" spans="1:9" x14ac:dyDescent="0.55000000000000004">
      <c r="A1626" t="str">
        <f>TEST_DATA!A1626</f>
        <v>27AAAAA1626Z5</v>
      </c>
      <c r="B1626" t="str">
        <f>TEST_DATA!B1626</f>
        <v>Apr-2020</v>
      </c>
      <c r="C1626">
        <f>TEST_DATA!C1626</f>
        <v>44906</v>
      </c>
      <c r="D1626" t="str">
        <f>TEST_DATA!D1626</f>
        <v>NIL</v>
      </c>
      <c r="E1626">
        <f>TEST_DATA!E1626</f>
        <v>2132</v>
      </c>
      <c r="F1626">
        <f>MIN(E1626*162600,10000)</f>
        <v>10000</v>
      </c>
      <c r="G1626" t="e">
        <f ca="1">_xludf.MINIFS(CBIC_Late_Fee_Relief_Windows_1!$I$100:$I$1626,CBIC_Late_Fee_Relief_Windows_1!$D$100:$D$1626,"&lt;="&amp;B1626,CBIC_Late_Fee_Relief_Windows_1!$E$100:$E$1626,"&gt;="&amp;B1626,CBIC_Late_Fee_Relief_Windows_1!$F$100:$F$1626,"&lt;="&amp;C1626,CBIC_Late_Fee_Relief_Windows_1!$G$100:$G$1626,"&gt;="&amp;C1626,CBIC_Late_Fee_Relief_Windows_1!$H$100:$H$1626,D1626)</f>
        <v>#NAME?</v>
      </c>
      <c r="H1626" t="e">
        <f t="shared" ca="1" si="25"/>
        <v>#NAME?</v>
      </c>
      <c r="I1626" t="e">
        <f ca="1">INDEX(CBIC_Late_Fee_Relief_Windows_1!$B$100:$B$1626,MATCH(G1626,CBIC_Late_Fee_Relief_Windows_1!$I$100:$I$1626,0))</f>
        <v>#NAME?</v>
      </c>
    </row>
    <row r="1627" spans="1:9" x14ac:dyDescent="0.55000000000000004">
      <c r="A1627" t="str">
        <f>TEST_DATA!A1627</f>
        <v>27AAAAA1627Z5</v>
      </c>
      <c r="B1627" t="str">
        <f>TEST_DATA!B1627</f>
        <v>Oct-2017</v>
      </c>
      <c r="C1627">
        <f>TEST_DATA!C1627</f>
        <v>43841</v>
      </c>
      <c r="D1627" t="str">
        <f>TEST_DATA!D1627</f>
        <v>NON-NIL</v>
      </c>
      <c r="E1627">
        <f>TEST_DATA!E1627</f>
        <v>173</v>
      </c>
      <c r="F1627">
        <f>MIN(E1627*162700,10000)</f>
        <v>10000</v>
      </c>
      <c r="G1627" t="e">
        <f ca="1">_xludf.MINIFS(CBIC_Late_Fee_Relief_Windows_1!$I$100:$I$1627,CBIC_Late_Fee_Relief_Windows_1!$D$100:$D$1627,"&lt;="&amp;B1627,CBIC_Late_Fee_Relief_Windows_1!$E$100:$E$1627,"&gt;="&amp;B1627,CBIC_Late_Fee_Relief_Windows_1!$F$100:$F$1627,"&lt;="&amp;C1627,CBIC_Late_Fee_Relief_Windows_1!$G$100:$G$1627,"&gt;="&amp;C1627,CBIC_Late_Fee_Relief_Windows_1!$H$100:$H$1627,D1627)</f>
        <v>#NAME?</v>
      </c>
      <c r="H1627" t="e">
        <f t="shared" ca="1" si="25"/>
        <v>#NAME?</v>
      </c>
      <c r="I1627" t="e">
        <f ca="1">INDEX(CBIC_Late_Fee_Relief_Windows_1!$B$100:$B$1627,MATCH(G1627,CBIC_Late_Fee_Relief_Windows_1!$I$100:$I$1627,0))</f>
        <v>#NAME?</v>
      </c>
    </row>
    <row r="1628" spans="1:9" x14ac:dyDescent="0.55000000000000004">
      <c r="A1628" t="str">
        <f>TEST_DATA!A1628</f>
        <v>27AAAAA1628Z5</v>
      </c>
      <c r="B1628" t="str">
        <f>TEST_DATA!B1628</f>
        <v>Dec-2024</v>
      </c>
      <c r="C1628">
        <f>TEST_DATA!C1628</f>
        <v>44472</v>
      </c>
      <c r="D1628" t="str">
        <f>TEST_DATA!D1628</f>
        <v>NON-NIL</v>
      </c>
      <c r="E1628">
        <f>TEST_DATA!E1628</f>
        <v>160</v>
      </c>
      <c r="F1628">
        <f>MIN(E1628*162800,10000)</f>
        <v>10000</v>
      </c>
      <c r="G1628" t="e">
        <f ca="1">_xludf.MINIFS(CBIC_Late_Fee_Relief_Windows_1!$I$100:$I$1628,CBIC_Late_Fee_Relief_Windows_1!$D$100:$D$1628,"&lt;="&amp;B1628,CBIC_Late_Fee_Relief_Windows_1!$E$100:$E$1628,"&gt;="&amp;B1628,CBIC_Late_Fee_Relief_Windows_1!$F$100:$F$1628,"&lt;="&amp;C1628,CBIC_Late_Fee_Relief_Windows_1!$G$100:$G$1628,"&gt;="&amp;C1628,CBIC_Late_Fee_Relief_Windows_1!$H$100:$H$1628,D1628)</f>
        <v>#NAME?</v>
      </c>
      <c r="H1628" t="e">
        <f t="shared" ca="1" si="25"/>
        <v>#NAME?</v>
      </c>
      <c r="I1628" t="e">
        <f ca="1">INDEX(CBIC_Late_Fee_Relief_Windows_1!$B$100:$B$1628,MATCH(G1628,CBIC_Late_Fee_Relief_Windows_1!$I$100:$I$1628,0))</f>
        <v>#NAME?</v>
      </c>
    </row>
    <row r="1629" spans="1:9" x14ac:dyDescent="0.55000000000000004">
      <c r="A1629" t="str">
        <f>TEST_DATA!A1629</f>
        <v>27AAAAA1629Z5</v>
      </c>
      <c r="B1629" t="str">
        <f>TEST_DATA!B1629</f>
        <v>Dec-2019</v>
      </c>
      <c r="C1629">
        <f>TEST_DATA!C1629</f>
        <v>45052</v>
      </c>
      <c r="D1629" t="str">
        <f>TEST_DATA!D1629</f>
        <v>NIL</v>
      </c>
      <c r="E1629">
        <f>TEST_DATA!E1629</f>
        <v>777</v>
      </c>
      <c r="F1629">
        <f>MIN(E1629*162900,10000)</f>
        <v>10000</v>
      </c>
      <c r="G1629" t="e">
        <f ca="1">_xludf.MINIFS(CBIC_Late_Fee_Relief_Windows_1!$I$100:$I$1629,CBIC_Late_Fee_Relief_Windows_1!$D$100:$D$1629,"&lt;="&amp;B1629,CBIC_Late_Fee_Relief_Windows_1!$E$100:$E$1629,"&gt;="&amp;B1629,CBIC_Late_Fee_Relief_Windows_1!$F$100:$F$1629,"&lt;="&amp;C1629,CBIC_Late_Fee_Relief_Windows_1!$G$100:$G$1629,"&gt;="&amp;C1629,CBIC_Late_Fee_Relief_Windows_1!$H$100:$H$1629,D1629)</f>
        <v>#NAME?</v>
      </c>
      <c r="H1629" t="e">
        <f t="shared" ca="1" si="25"/>
        <v>#NAME?</v>
      </c>
      <c r="I1629" t="e">
        <f ca="1">INDEX(CBIC_Late_Fee_Relief_Windows_1!$B$100:$B$1629,MATCH(G1629,CBIC_Late_Fee_Relief_Windows_1!$I$100:$I$1629,0))</f>
        <v>#NAME?</v>
      </c>
    </row>
    <row r="1630" spans="1:9" x14ac:dyDescent="0.55000000000000004">
      <c r="A1630" t="str">
        <f>TEST_DATA!A1630</f>
        <v>27AAAAA1630Z5</v>
      </c>
      <c r="B1630" t="str">
        <f>TEST_DATA!B1630</f>
        <v>Apr-2018</v>
      </c>
      <c r="C1630">
        <f>TEST_DATA!C1630</f>
        <v>43817</v>
      </c>
      <c r="D1630" t="str">
        <f>TEST_DATA!D1630</f>
        <v>NON-NIL</v>
      </c>
      <c r="E1630">
        <f>TEST_DATA!E1630</f>
        <v>1247</v>
      </c>
      <c r="F1630">
        <f>MIN(E1630*163000,10000)</f>
        <v>10000</v>
      </c>
      <c r="G1630" t="e">
        <f ca="1">_xludf.MINIFS(CBIC_Late_Fee_Relief_Windows_1!$I$100:$I$1630,CBIC_Late_Fee_Relief_Windows_1!$D$100:$D$1630,"&lt;="&amp;B1630,CBIC_Late_Fee_Relief_Windows_1!$E$100:$E$1630,"&gt;="&amp;B1630,CBIC_Late_Fee_Relief_Windows_1!$F$100:$F$1630,"&lt;="&amp;C1630,CBIC_Late_Fee_Relief_Windows_1!$G$100:$G$1630,"&gt;="&amp;C1630,CBIC_Late_Fee_Relief_Windows_1!$H$100:$H$1630,D1630)</f>
        <v>#NAME?</v>
      </c>
      <c r="H1630" t="e">
        <f t="shared" ca="1" si="25"/>
        <v>#NAME?</v>
      </c>
      <c r="I1630" t="e">
        <f ca="1">INDEX(CBIC_Late_Fee_Relief_Windows_1!$B$100:$B$1630,MATCH(G1630,CBIC_Late_Fee_Relief_Windows_1!$I$100:$I$1630,0))</f>
        <v>#NAME?</v>
      </c>
    </row>
    <row r="1631" spans="1:9" x14ac:dyDescent="0.55000000000000004">
      <c r="A1631" t="str">
        <f>TEST_DATA!A1631</f>
        <v>27AAAAA1631Z5</v>
      </c>
      <c r="B1631" t="str">
        <f>TEST_DATA!B1631</f>
        <v>Mar-2021</v>
      </c>
      <c r="C1631">
        <f>TEST_DATA!C1631</f>
        <v>44637</v>
      </c>
      <c r="D1631" t="str">
        <f>TEST_DATA!D1631</f>
        <v>NON-NIL</v>
      </c>
      <c r="E1631">
        <f>TEST_DATA!E1631</f>
        <v>681</v>
      </c>
      <c r="F1631">
        <f>MIN(E1631*163100,10000)</f>
        <v>10000</v>
      </c>
      <c r="G1631" t="e">
        <f ca="1">_xludf.MINIFS(CBIC_Late_Fee_Relief_Windows_1!$I$100:$I$1631,CBIC_Late_Fee_Relief_Windows_1!$D$100:$D$1631,"&lt;="&amp;B1631,CBIC_Late_Fee_Relief_Windows_1!$E$100:$E$1631,"&gt;="&amp;B1631,CBIC_Late_Fee_Relief_Windows_1!$F$100:$F$1631,"&lt;="&amp;C1631,CBIC_Late_Fee_Relief_Windows_1!$G$100:$G$1631,"&gt;="&amp;C1631,CBIC_Late_Fee_Relief_Windows_1!$H$100:$H$1631,D1631)</f>
        <v>#NAME?</v>
      </c>
      <c r="H1631" t="e">
        <f t="shared" ca="1" si="25"/>
        <v>#NAME?</v>
      </c>
      <c r="I1631" t="e">
        <f ca="1">INDEX(CBIC_Late_Fee_Relief_Windows_1!$B$100:$B$1631,MATCH(G1631,CBIC_Late_Fee_Relief_Windows_1!$I$100:$I$1631,0))</f>
        <v>#NAME?</v>
      </c>
    </row>
    <row r="1632" spans="1:9" x14ac:dyDescent="0.55000000000000004">
      <c r="A1632" t="str">
        <f>TEST_DATA!A1632</f>
        <v>27AAAAA1632Z5</v>
      </c>
      <c r="B1632" t="str">
        <f>TEST_DATA!B1632</f>
        <v>Aug-2018</v>
      </c>
      <c r="C1632">
        <f>TEST_DATA!C1632</f>
        <v>43519</v>
      </c>
      <c r="D1632" t="str">
        <f>TEST_DATA!D1632</f>
        <v>NIL</v>
      </c>
      <c r="E1632">
        <f>TEST_DATA!E1632</f>
        <v>2826</v>
      </c>
      <c r="F1632">
        <f>MIN(E1632*163200,10000)</f>
        <v>10000</v>
      </c>
      <c r="G1632" t="e">
        <f ca="1">_xludf.MINIFS(CBIC_Late_Fee_Relief_Windows_1!$I$100:$I$1632,CBIC_Late_Fee_Relief_Windows_1!$D$100:$D$1632,"&lt;="&amp;B1632,CBIC_Late_Fee_Relief_Windows_1!$E$100:$E$1632,"&gt;="&amp;B1632,CBIC_Late_Fee_Relief_Windows_1!$F$100:$F$1632,"&lt;="&amp;C1632,CBIC_Late_Fee_Relief_Windows_1!$G$100:$G$1632,"&gt;="&amp;C1632,CBIC_Late_Fee_Relief_Windows_1!$H$100:$H$1632,D1632)</f>
        <v>#NAME?</v>
      </c>
      <c r="H1632" t="e">
        <f t="shared" ca="1" si="25"/>
        <v>#NAME?</v>
      </c>
      <c r="I1632" t="e">
        <f ca="1">INDEX(CBIC_Late_Fee_Relief_Windows_1!$B$100:$B$1632,MATCH(G1632,CBIC_Late_Fee_Relief_Windows_1!$I$100:$I$1632,0))</f>
        <v>#NAME?</v>
      </c>
    </row>
    <row r="1633" spans="1:9" x14ac:dyDescent="0.55000000000000004">
      <c r="A1633" t="str">
        <f>TEST_DATA!A1633</f>
        <v>27AAAAA1633Z5</v>
      </c>
      <c r="B1633" t="str">
        <f>TEST_DATA!B1633</f>
        <v>Jun-2019</v>
      </c>
      <c r="C1633">
        <f>TEST_DATA!C1633</f>
        <v>44048</v>
      </c>
      <c r="D1633" t="str">
        <f>TEST_DATA!D1633</f>
        <v>NON-NIL</v>
      </c>
      <c r="E1633">
        <f>TEST_DATA!E1633</f>
        <v>2646</v>
      </c>
      <c r="F1633">
        <f>MIN(E1633*163300,10000)</f>
        <v>10000</v>
      </c>
      <c r="G1633" t="e">
        <f ca="1">_xludf.MINIFS(CBIC_Late_Fee_Relief_Windows_1!$I$100:$I$1633,CBIC_Late_Fee_Relief_Windows_1!$D$100:$D$1633,"&lt;="&amp;B1633,CBIC_Late_Fee_Relief_Windows_1!$E$100:$E$1633,"&gt;="&amp;B1633,CBIC_Late_Fee_Relief_Windows_1!$F$100:$F$1633,"&lt;="&amp;C1633,CBIC_Late_Fee_Relief_Windows_1!$G$100:$G$1633,"&gt;="&amp;C1633,CBIC_Late_Fee_Relief_Windows_1!$H$100:$H$1633,D1633)</f>
        <v>#NAME?</v>
      </c>
      <c r="H1633" t="e">
        <f t="shared" ca="1" si="25"/>
        <v>#NAME?</v>
      </c>
      <c r="I1633" t="e">
        <f ca="1">INDEX(CBIC_Late_Fee_Relief_Windows_1!$B$100:$B$1633,MATCH(G1633,CBIC_Late_Fee_Relief_Windows_1!$I$100:$I$1633,0))</f>
        <v>#NAME?</v>
      </c>
    </row>
    <row r="1634" spans="1:9" x14ac:dyDescent="0.55000000000000004">
      <c r="A1634" t="str">
        <f>TEST_DATA!A1634</f>
        <v>27AAAAA1634Z5</v>
      </c>
      <c r="B1634" t="str">
        <f>TEST_DATA!B1634</f>
        <v>Sep-2018</v>
      </c>
      <c r="C1634">
        <f>TEST_DATA!C1634</f>
        <v>43102</v>
      </c>
      <c r="D1634" t="str">
        <f>TEST_DATA!D1634</f>
        <v>NIL</v>
      </c>
      <c r="E1634">
        <f>TEST_DATA!E1634</f>
        <v>736</v>
      </c>
      <c r="F1634">
        <f>MIN(E1634*163400,10000)</f>
        <v>10000</v>
      </c>
      <c r="G1634" t="e">
        <f ca="1">_xludf.MINIFS(CBIC_Late_Fee_Relief_Windows_1!$I$100:$I$1634,CBIC_Late_Fee_Relief_Windows_1!$D$100:$D$1634,"&lt;="&amp;B1634,CBIC_Late_Fee_Relief_Windows_1!$E$100:$E$1634,"&gt;="&amp;B1634,CBIC_Late_Fee_Relief_Windows_1!$F$100:$F$1634,"&lt;="&amp;C1634,CBIC_Late_Fee_Relief_Windows_1!$G$100:$G$1634,"&gt;="&amp;C1634,CBIC_Late_Fee_Relief_Windows_1!$H$100:$H$1634,D1634)</f>
        <v>#NAME?</v>
      </c>
      <c r="H1634" t="e">
        <f t="shared" ca="1" si="25"/>
        <v>#NAME?</v>
      </c>
      <c r="I1634" t="e">
        <f ca="1">INDEX(CBIC_Late_Fee_Relief_Windows_1!$B$100:$B$1634,MATCH(G1634,CBIC_Late_Fee_Relief_Windows_1!$I$100:$I$1634,0))</f>
        <v>#NAME?</v>
      </c>
    </row>
    <row r="1635" spans="1:9" x14ac:dyDescent="0.55000000000000004">
      <c r="A1635" t="str">
        <f>TEST_DATA!A1635</f>
        <v>27AAAAA1635Z5</v>
      </c>
      <c r="B1635" t="str">
        <f>TEST_DATA!B1635</f>
        <v>Mar-2021</v>
      </c>
      <c r="C1635">
        <f>TEST_DATA!C1635</f>
        <v>45704</v>
      </c>
      <c r="D1635" t="str">
        <f>TEST_DATA!D1635</f>
        <v>NIL</v>
      </c>
      <c r="E1635">
        <f>TEST_DATA!E1635</f>
        <v>1610</v>
      </c>
      <c r="F1635">
        <f>MIN(E1635*163500,10000)</f>
        <v>10000</v>
      </c>
      <c r="G1635" t="e">
        <f ca="1">_xludf.MINIFS(CBIC_Late_Fee_Relief_Windows_1!$I$100:$I$1635,CBIC_Late_Fee_Relief_Windows_1!$D$100:$D$1635,"&lt;="&amp;B1635,CBIC_Late_Fee_Relief_Windows_1!$E$100:$E$1635,"&gt;="&amp;B1635,CBIC_Late_Fee_Relief_Windows_1!$F$100:$F$1635,"&lt;="&amp;C1635,CBIC_Late_Fee_Relief_Windows_1!$G$100:$G$1635,"&gt;="&amp;C1635,CBIC_Late_Fee_Relief_Windows_1!$H$100:$H$1635,D1635)</f>
        <v>#NAME?</v>
      </c>
      <c r="H1635" t="e">
        <f t="shared" ca="1" si="25"/>
        <v>#NAME?</v>
      </c>
      <c r="I1635" t="e">
        <f ca="1">INDEX(CBIC_Late_Fee_Relief_Windows_1!$B$100:$B$1635,MATCH(G1635,CBIC_Late_Fee_Relief_Windows_1!$I$100:$I$1635,0))</f>
        <v>#NAME?</v>
      </c>
    </row>
    <row r="1636" spans="1:9" x14ac:dyDescent="0.55000000000000004">
      <c r="A1636" t="str">
        <f>TEST_DATA!A1636</f>
        <v>27AAAAA1636Z5</v>
      </c>
      <c r="B1636" t="str">
        <f>TEST_DATA!B1636</f>
        <v>Aug-2018</v>
      </c>
      <c r="C1636">
        <f>TEST_DATA!C1636</f>
        <v>43579</v>
      </c>
      <c r="D1636" t="str">
        <f>TEST_DATA!D1636</f>
        <v>NON-NIL</v>
      </c>
      <c r="E1636">
        <f>TEST_DATA!E1636</f>
        <v>102</v>
      </c>
      <c r="F1636">
        <f>MIN(E1636*163600,10000)</f>
        <v>10000</v>
      </c>
      <c r="G1636" t="e">
        <f ca="1">_xludf.MINIFS(CBIC_Late_Fee_Relief_Windows_1!$I$100:$I$1636,CBIC_Late_Fee_Relief_Windows_1!$D$100:$D$1636,"&lt;="&amp;B1636,CBIC_Late_Fee_Relief_Windows_1!$E$100:$E$1636,"&gt;="&amp;B1636,CBIC_Late_Fee_Relief_Windows_1!$F$100:$F$1636,"&lt;="&amp;C1636,CBIC_Late_Fee_Relief_Windows_1!$G$100:$G$1636,"&gt;="&amp;C1636,CBIC_Late_Fee_Relief_Windows_1!$H$100:$H$1636,D1636)</f>
        <v>#NAME?</v>
      </c>
      <c r="H1636" t="e">
        <f t="shared" ca="1" si="25"/>
        <v>#NAME?</v>
      </c>
      <c r="I1636" t="e">
        <f ca="1">INDEX(CBIC_Late_Fee_Relief_Windows_1!$B$100:$B$1636,MATCH(G1636,CBIC_Late_Fee_Relief_Windows_1!$I$100:$I$1636,0))</f>
        <v>#NAME?</v>
      </c>
    </row>
    <row r="1637" spans="1:9" x14ac:dyDescent="0.55000000000000004">
      <c r="A1637" t="str">
        <f>TEST_DATA!A1637</f>
        <v>27AAAAA1637Z5</v>
      </c>
      <c r="B1637" t="str">
        <f>TEST_DATA!B1637</f>
        <v>Dec-2017</v>
      </c>
      <c r="C1637">
        <f>TEST_DATA!C1637</f>
        <v>43846</v>
      </c>
      <c r="D1637" t="str">
        <f>TEST_DATA!D1637</f>
        <v>NIL</v>
      </c>
      <c r="E1637">
        <f>TEST_DATA!E1637</f>
        <v>1862</v>
      </c>
      <c r="F1637">
        <f>MIN(E1637*163700,10000)</f>
        <v>10000</v>
      </c>
      <c r="G1637" t="e">
        <f ca="1">_xludf.MINIFS(CBIC_Late_Fee_Relief_Windows_1!$I$100:$I$1637,CBIC_Late_Fee_Relief_Windows_1!$D$100:$D$1637,"&lt;="&amp;B1637,CBIC_Late_Fee_Relief_Windows_1!$E$100:$E$1637,"&gt;="&amp;B1637,CBIC_Late_Fee_Relief_Windows_1!$F$100:$F$1637,"&lt;="&amp;C1637,CBIC_Late_Fee_Relief_Windows_1!$G$100:$G$1637,"&gt;="&amp;C1637,CBIC_Late_Fee_Relief_Windows_1!$H$100:$H$1637,D1637)</f>
        <v>#NAME?</v>
      </c>
      <c r="H1637" t="e">
        <f t="shared" ca="1" si="25"/>
        <v>#NAME?</v>
      </c>
      <c r="I1637" t="e">
        <f ca="1">INDEX(CBIC_Late_Fee_Relief_Windows_1!$B$100:$B$1637,MATCH(G1637,CBIC_Late_Fee_Relief_Windows_1!$I$100:$I$1637,0))</f>
        <v>#NAME?</v>
      </c>
    </row>
    <row r="1638" spans="1:9" x14ac:dyDescent="0.55000000000000004">
      <c r="A1638" t="str">
        <f>TEST_DATA!A1638</f>
        <v>27AAAAA1638Z5</v>
      </c>
      <c r="B1638" t="str">
        <f>TEST_DATA!B1638</f>
        <v>Sep-2017</v>
      </c>
      <c r="C1638">
        <f>TEST_DATA!C1638</f>
        <v>43429</v>
      </c>
      <c r="D1638" t="str">
        <f>TEST_DATA!D1638</f>
        <v>NON-NIL</v>
      </c>
      <c r="E1638">
        <f>TEST_DATA!E1638</f>
        <v>2833</v>
      </c>
      <c r="F1638">
        <f>MIN(E1638*163800,10000)</f>
        <v>10000</v>
      </c>
      <c r="G1638" t="e">
        <f ca="1">_xludf.MINIFS(CBIC_Late_Fee_Relief_Windows_1!$I$100:$I$1638,CBIC_Late_Fee_Relief_Windows_1!$D$100:$D$1638,"&lt;="&amp;B1638,CBIC_Late_Fee_Relief_Windows_1!$E$100:$E$1638,"&gt;="&amp;B1638,CBIC_Late_Fee_Relief_Windows_1!$F$100:$F$1638,"&lt;="&amp;C1638,CBIC_Late_Fee_Relief_Windows_1!$G$100:$G$1638,"&gt;="&amp;C1638,CBIC_Late_Fee_Relief_Windows_1!$H$100:$H$1638,D1638)</f>
        <v>#NAME?</v>
      </c>
      <c r="H1638" t="e">
        <f t="shared" ca="1" si="25"/>
        <v>#NAME?</v>
      </c>
      <c r="I1638" t="e">
        <f ca="1">INDEX(CBIC_Late_Fee_Relief_Windows_1!$B$100:$B$1638,MATCH(G1638,CBIC_Late_Fee_Relief_Windows_1!$I$100:$I$1638,0))</f>
        <v>#NAME?</v>
      </c>
    </row>
    <row r="1639" spans="1:9" x14ac:dyDescent="0.55000000000000004">
      <c r="A1639" t="str">
        <f>TEST_DATA!A1639</f>
        <v>27AAAAA1639Z5</v>
      </c>
      <c r="B1639" t="str">
        <f>TEST_DATA!B1639</f>
        <v>May-2020</v>
      </c>
      <c r="C1639">
        <f>TEST_DATA!C1639</f>
        <v>44166</v>
      </c>
      <c r="D1639" t="str">
        <f>TEST_DATA!D1639</f>
        <v>NIL</v>
      </c>
      <c r="E1639">
        <f>TEST_DATA!E1639</f>
        <v>373</v>
      </c>
      <c r="F1639">
        <f>MIN(E1639*163900,10000)</f>
        <v>10000</v>
      </c>
      <c r="G1639" t="e">
        <f ca="1">_xludf.MINIFS(CBIC_Late_Fee_Relief_Windows_1!$I$100:$I$1639,CBIC_Late_Fee_Relief_Windows_1!$D$100:$D$1639,"&lt;="&amp;B1639,CBIC_Late_Fee_Relief_Windows_1!$E$100:$E$1639,"&gt;="&amp;B1639,CBIC_Late_Fee_Relief_Windows_1!$F$100:$F$1639,"&lt;="&amp;C1639,CBIC_Late_Fee_Relief_Windows_1!$G$100:$G$1639,"&gt;="&amp;C1639,CBIC_Late_Fee_Relief_Windows_1!$H$100:$H$1639,D1639)</f>
        <v>#NAME?</v>
      </c>
      <c r="H1639" t="e">
        <f t="shared" ca="1" si="25"/>
        <v>#NAME?</v>
      </c>
      <c r="I1639" t="e">
        <f ca="1">INDEX(CBIC_Late_Fee_Relief_Windows_1!$B$100:$B$1639,MATCH(G1639,CBIC_Late_Fee_Relief_Windows_1!$I$100:$I$1639,0))</f>
        <v>#NAME?</v>
      </c>
    </row>
    <row r="1640" spans="1:9" x14ac:dyDescent="0.55000000000000004">
      <c r="A1640" t="str">
        <f>TEST_DATA!A1640</f>
        <v>27AAAAA1640Z5</v>
      </c>
      <c r="B1640" t="str">
        <f>TEST_DATA!B1640</f>
        <v>Oct-2017</v>
      </c>
      <c r="C1640">
        <f>TEST_DATA!C1640</f>
        <v>44363</v>
      </c>
      <c r="D1640" t="str">
        <f>TEST_DATA!D1640</f>
        <v>NON-NIL</v>
      </c>
      <c r="E1640">
        <f>TEST_DATA!E1640</f>
        <v>2597</v>
      </c>
      <c r="F1640">
        <f>MIN(E1640*164000,10000)</f>
        <v>10000</v>
      </c>
      <c r="G1640" t="e">
        <f ca="1">_xludf.MINIFS(CBIC_Late_Fee_Relief_Windows_1!$I$100:$I$1640,CBIC_Late_Fee_Relief_Windows_1!$D$100:$D$1640,"&lt;="&amp;B1640,CBIC_Late_Fee_Relief_Windows_1!$E$100:$E$1640,"&gt;="&amp;B1640,CBIC_Late_Fee_Relief_Windows_1!$F$100:$F$1640,"&lt;="&amp;C1640,CBIC_Late_Fee_Relief_Windows_1!$G$100:$G$1640,"&gt;="&amp;C1640,CBIC_Late_Fee_Relief_Windows_1!$H$100:$H$1640,D1640)</f>
        <v>#NAME?</v>
      </c>
      <c r="H1640" t="e">
        <f t="shared" ca="1" si="25"/>
        <v>#NAME?</v>
      </c>
      <c r="I1640" t="e">
        <f ca="1">INDEX(CBIC_Late_Fee_Relief_Windows_1!$B$100:$B$1640,MATCH(G1640,CBIC_Late_Fee_Relief_Windows_1!$I$100:$I$1640,0))</f>
        <v>#NAME?</v>
      </c>
    </row>
    <row r="1641" spans="1:9" x14ac:dyDescent="0.55000000000000004">
      <c r="A1641" t="str">
        <f>TEST_DATA!A1641</f>
        <v>27AAAAA1641Z5</v>
      </c>
      <c r="B1641" t="str">
        <f>TEST_DATA!B1641</f>
        <v>Jun-2018</v>
      </c>
      <c r="C1641">
        <f>TEST_DATA!C1641</f>
        <v>43091</v>
      </c>
      <c r="D1641" t="str">
        <f>TEST_DATA!D1641</f>
        <v>NON-NIL</v>
      </c>
      <c r="E1641">
        <f>TEST_DATA!E1641</f>
        <v>2977</v>
      </c>
      <c r="F1641">
        <f>MIN(E1641*164100,10000)</f>
        <v>10000</v>
      </c>
      <c r="G1641" t="e">
        <f ca="1">_xludf.MINIFS(CBIC_Late_Fee_Relief_Windows_1!$I$100:$I$1641,CBIC_Late_Fee_Relief_Windows_1!$D$100:$D$1641,"&lt;="&amp;B1641,CBIC_Late_Fee_Relief_Windows_1!$E$100:$E$1641,"&gt;="&amp;B1641,CBIC_Late_Fee_Relief_Windows_1!$F$100:$F$1641,"&lt;="&amp;C1641,CBIC_Late_Fee_Relief_Windows_1!$G$100:$G$1641,"&gt;="&amp;C1641,CBIC_Late_Fee_Relief_Windows_1!$H$100:$H$1641,D1641)</f>
        <v>#NAME?</v>
      </c>
      <c r="H1641" t="e">
        <f t="shared" ca="1" si="25"/>
        <v>#NAME?</v>
      </c>
      <c r="I1641" t="e">
        <f ca="1">INDEX(CBIC_Late_Fee_Relief_Windows_1!$B$100:$B$1641,MATCH(G1641,CBIC_Late_Fee_Relief_Windows_1!$I$100:$I$1641,0))</f>
        <v>#NAME?</v>
      </c>
    </row>
    <row r="1642" spans="1:9" x14ac:dyDescent="0.55000000000000004">
      <c r="A1642" t="str">
        <f>TEST_DATA!A1642</f>
        <v>27AAAAA1642Z5</v>
      </c>
      <c r="B1642" t="str">
        <f>TEST_DATA!B1642</f>
        <v>Apr-2021</v>
      </c>
      <c r="C1642">
        <f>TEST_DATA!C1642</f>
        <v>45561</v>
      </c>
      <c r="D1642" t="str">
        <f>TEST_DATA!D1642</f>
        <v>NIL</v>
      </c>
      <c r="E1642">
        <f>TEST_DATA!E1642</f>
        <v>1551</v>
      </c>
      <c r="F1642">
        <f>MIN(E1642*164200,10000)</f>
        <v>10000</v>
      </c>
      <c r="G1642" t="e">
        <f ca="1">_xludf.MINIFS(CBIC_Late_Fee_Relief_Windows_1!$I$100:$I$1642,CBIC_Late_Fee_Relief_Windows_1!$D$100:$D$1642,"&lt;="&amp;B1642,CBIC_Late_Fee_Relief_Windows_1!$E$100:$E$1642,"&gt;="&amp;B1642,CBIC_Late_Fee_Relief_Windows_1!$F$100:$F$1642,"&lt;="&amp;C1642,CBIC_Late_Fee_Relief_Windows_1!$G$100:$G$1642,"&gt;="&amp;C1642,CBIC_Late_Fee_Relief_Windows_1!$H$100:$H$1642,D1642)</f>
        <v>#NAME?</v>
      </c>
      <c r="H1642" t="e">
        <f t="shared" ca="1" si="25"/>
        <v>#NAME?</v>
      </c>
      <c r="I1642" t="e">
        <f ca="1">INDEX(CBIC_Late_Fee_Relief_Windows_1!$B$100:$B$1642,MATCH(G1642,CBIC_Late_Fee_Relief_Windows_1!$I$100:$I$1642,0))</f>
        <v>#NAME?</v>
      </c>
    </row>
    <row r="1643" spans="1:9" x14ac:dyDescent="0.55000000000000004">
      <c r="A1643" t="str">
        <f>TEST_DATA!A1643</f>
        <v>27AAAAA1643Z5</v>
      </c>
      <c r="B1643" t="str">
        <f>TEST_DATA!B1643</f>
        <v>Dec-2019</v>
      </c>
      <c r="C1643">
        <f>TEST_DATA!C1643</f>
        <v>45024</v>
      </c>
      <c r="D1643" t="str">
        <f>TEST_DATA!D1643</f>
        <v>NIL</v>
      </c>
      <c r="E1643">
        <f>TEST_DATA!E1643</f>
        <v>699</v>
      </c>
      <c r="F1643">
        <f>MIN(E1643*164300,10000)</f>
        <v>10000</v>
      </c>
      <c r="G1643" t="e">
        <f ca="1">_xludf.MINIFS(CBIC_Late_Fee_Relief_Windows_1!$I$100:$I$1643,CBIC_Late_Fee_Relief_Windows_1!$D$100:$D$1643,"&lt;="&amp;B1643,CBIC_Late_Fee_Relief_Windows_1!$E$100:$E$1643,"&gt;="&amp;B1643,CBIC_Late_Fee_Relief_Windows_1!$F$100:$F$1643,"&lt;="&amp;C1643,CBIC_Late_Fee_Relief_Windows_1!$G$100:$G$1643,"&gt;="&amp;C1643,CBIC_Late_Fee_Relief_Windows_1!$H$100:$H$1643,D1643)</f>
        <v>#NAME?</v>
      </c>
      <c r="H1643" t="e">
        <f t="shared" ca="1" si="25"/>
        <v>#NAME?</v>
      </c>
      <c r="I1643" t="e">
        <f ca="1">INDEX(CBIC_Late_Fee_Relief_Windows_1!$B$100:$B$1643,MATCH(G1643,CBIC_Late_Fee_Relief_Windows_1!$I$100:$I$1643,0))</f>
        <v>#NAME?</v>
      </c>
    </row>
    <row r="1644" spans="1:9" x14ac:dyDescent="0.55000000000000004">
      <c r="A1644" t="str">
        <f>TEST_DATA!A1644</f>
        <v>27AAAAA1644Z5</v>
      </c>
      <c r="B1644" t="str">
        <f>TEST_DATA!B1644</f>
        <v>May-2018</v>
      </c>
      <c r="C1644">
        <f>TEST_DATA!C1644</f>
        <v>44075</v>
      </c>
      <c r="D1644" t="str">
        <f>TEST_DATA!D1644</f>
        <v>NIL</v>
      </c>
      <c r="E1644">
        <f>TEST_DATA!E1644</f>
        <v>664</v>
      </c>
      <c r="F1644">
        <f>MIN(E1644*164400,10000)</f>
        <v>10000</v>
      </c>
      <c r="G1644" t="e">
        <f ca="1">_xludf.MINIFS(CBIC_Late_Fee_Relief_Windows_1!$I$100:$I$1644,CBIC_Late_Fee_Relief_Windows_1!$D$100:$D$1644,"&lt;="&amp;B1644,CBIC_Late_Fee_Relief_Windows_1!$E$100:$E$1644,"&gt;="&amp;B1644,CBIC_Late_Fee_Relief_Windows_1!$F$100:$F$1644,"&lt;="&amp;C1644,CBIC_Late_Fee_Relief_Windows_1!$G$100:$G$1644,"&gt;="&amp;C1644,CBIC_Late_Fee_Relief_Windows_1!$H$100:$H$1644,D1644)</f>
        <v>#NAME?</v>
      </c>
      <c r="H1644" t="e">
        <f t="shared" ca="1" si="25"/>
        <v>#NAME?</v>
      </c>
      <c r="I1644" t="e">
        <f ca="1">INDEX(CBIC_Late_Fee_Relief_Windows_1!$B$100:$B$1644,MATCH(G1644,CBIC_Late_Fee_Relief_Windows_1!$I$100:$I$1644,0))</f>
        <v>#NAME?</v>
      </c>
    </row>
    <row r="1645" spans="1:9" x14ac:dyDescent="0.55000000000000004">
      <c r="A1645" t="str">
        <f>TEST_DATA!A1645</f>
        <v>27AAAAA1645Z5</v>
      </c>
      <c r="B1645" t="str">
        <f>TEST_DATA!B1645</f>
        <v>Mar-2023</v>
      </c>
      <c r="C1645">
        <f>TEST_DATA!C1645</f>
        <v>44058</v>
      </c>
      <c r="D1645" t="str">
        <f>TEST_DATA!D1645</f>
        <v>NIL</v>
      </c>
      <c r="E1645">
        <f>TEST_DATA!E1645</f>
        <v>2916</v>
      </c>
      <c r="F1645">
        <f>MIN(E1645*164500,10000)</f>
        <v>10000</v>
      </c>
      <c r="G1645" t="e">
        <f ca="1">_xludf.MINIFS(CBIC_Late_Fee_Relief_Windows_1!$I$100:$I$1645,CBIC_Late_Fee_Relief_Windows_1!$D$100:$D$1645,"&lt;="&amp;B1645,CBIC_Late_Fee_Relief_Windows_1!$E$100:$E$1645,"&gt;="&amp;B1645,CBIC_Late_Fee_Relief_Windows_1!$F$100:$F$1645,"&lt;="&amp;C1645,CBIC_Late_Fee_Relief_Windows_1!$G$100:$G$1645,"&gt;="&amp;C1645,CBIC_Late_Fee_Relief_Windows_1!$H$100:$H$1645,D1645)</f>
        <v>#NAME?</v>
      </c>
      <c r="H1645" t="e">
        <f t="shared" ca="1" si="25"/>
        <v>#NAME?</v>
      </c>
      <c r="I1645" t="e">
        <f ca="1">INDEX(CBIC_Late_Fee_Relief_Windows_1!$B$100:$B$1645,MATCH(G1645,CBIC_Late_Fee_Relief_Windows_1!$I$100:$I$1645,0))</f>
        <v>#NAME?</v>
      </c>
    </row>
    <row r="1646" spans="1:9" x14ac:dyDescent="0.55000000000000004">
      <c r="A1646" t="str">
        <f>TEST_DATA!A1646</f>
        <v>27AAAAA1646Z5</v>
      </c>
      <c r="B1646" t="str">
        <f>TEST_DATA!B1646</f>
        <v>Aug-2017</v>
      </c>
      <c r="C1646">
        <f>TEST_DATA!C1646</f>
        <v>43776</v>
      </c>
      <c r="D1646" t="str">
        <f>TEST_DATA!D1646</f>
        <v>NON-NIL</v>
      </c>
      <c r="E1646">
        <f>TEST_DATA!E1646</f>
        <v>1267</v>
      </c>
      <c r="F1646">
        <f>MIN(E1646*164600,10000)</f>
        <v>10000</v>
      </c>
      <c r="G1646" t="e">
        <f ca="1">_xludf.MINIFS(CBIC_Late_Fee_Relief_Windows_1!$I$100:$I$1646,CBIC_Late_Fee_Relief_Windows_1!$D$100:$D$1646,"&lt;="&amp;B1646,CBIC_Late_Fee_Relief_Windows_1!$E$100:$E$1646,"&gt;="&amp;B1646,CBIC_Late_Fee_Relief_Windows_1!$F$100:$F$1646,"&lt;="&amp;C1646,CBIC_Late_Fee_Relief_Windows_1!$G$100:$G$1646,"&gt;="&amp;C1646,CBIC_Late_Fee_Relief_Windows_1!$H$100:$H$1646,D1646)</f>
        <v>#NAME?</v>
      </c>
      <c r="H1646" t="e">
        <f t="shared" ca="1" si="25"/>
        <v>#NAME?</v>
      </c>
      <c r="I1646" t="e">
        <f ca="1">INDEX(CBIC_Late_Fee_Relief_Windows_1!$B$100:$B$1646,MATCH(G1646,CBIC_Late_Fee_Relief_Windows_1!$I$100:$I$1646,0))</f>
        <v>#NAME?</v>
      </c>
    </row>
    <row r="1647" spans="1:9" x14ac:dyDescent="0.55000000000000004">
      <c r="A1647" t="str">
        <f>TEST_DATA!A1647</f>
        <v>27AAAAA1647Z5</v>
      </c>
      <c r="B1647" t="str">
        <f>TEST_DATA!B1647</f>
        <v>Jan-2021</v>
      </c>
      <c r="C1647">
        <f>TEST_DATA!C1647</f>
        <v>45293</v>
      </c>
      <c r="D1647" t="str">
        <f>TEST_DATA!D1647</f>
        <v>NON-NIL</v>
      </c>
      <c r="E1647">
        <f>TEST_DATA!E1647</f>
        <v>2565</v>
      </c>
      <c r="F1647">
        <f>MIN(E1647*164700,10000)</f>
        <v>10000</v>
      </c>
      <c r="G1647" t="e">
        <f ca="1">_xludf.MINIFS(CBIC_Late_Fee_Relief_Windows_1!$I$100:$I$1647,CBIC_Late_Fee_Relief_Windows_1!$D$100:$D$1647,"&lt;="&amp;B1647,CBIC_Late_Fee_Relief_Windows_1!$E$100:$E$1647,"&gt;="&amp;B1647,CBIC_Late_Fee_Relief_Windows_1!$F$100:$F$1647,"&lt;="&amp;C1647,CBIC_Late_Fee_Relief_Windows_1!$G$100:$G$1647,"&gt;="&amp;C1647,CBIC_Late_Fee_Relief_Windows_1!$H$100:$H$1647,D1647)</f>
        <v>#NAME?</v>
      </c>
      <c r="H1647" t="e">
        <f t="shared" ca="1" si="25"/>
        <v>#NAME?</v>
      </c>
      <c r="I1647" t="e">
        <f ca="1">INDEX(CBIC_Late_Fee_Relief_Windows_1!$B$100:$B$1647,MATCH(G1647,CBIC_Late_Fee_Relief_Windows_1!$I$100:$I$1647,0))</f>
        <v>#NAME?</v>
      </c>
    </row>
    <row r="1648" spans="1:9" x14ac:dyDescent="0.55000000000000004">
      <c r="A1648" t="str">
        <f>TEST_DATA!A1648</f>
        <v>27AAAAA1648Z5</v>
      </c>
      <c r="B1648" t="str">
        <f>TEST_DATA!B1648</f>
        <v>Dec-2017</v>
      </c>
      <c r="C1648">
        <f>TEST_DATA!C1648</f>
        <v>43157</v>
      </c>
      <c r="D1648" t="str">
        <f>TEST_DATA!D1648</f>
        <v>NIL</v>
      </c>
      <c r="E1648">
        <f>TEST_DATA!E1648</f>
        <v>830</v>
      </c>
      <c r="F1648">
        <f>MIN(E1648*164800,10000)</f>
        <v>10000</v>
      </c>
      <c r="G1648" t="e">
        <f ca="1">_xludf.MINIFS(CBIC_Late_Fee_Relief_Windows_1!$I$100:$I$1648,CBIC_Late_Fee_Relief_Windows_1!$D$100:$D$1648,"&lt;="&amp;B1648,CBIC_Late_Fee_Relief_Windows_1!$E$100:$E$1648,"&gt;="&amp;B1648,CBIC_Late_Fee_Relief_Windows_1!$F$100:$F$1648,"&lt;="&amp;C1648,CBIC_Late_Fee_Relief_Windows_1!$G$100:$G$1648,"&gt;="&amp;C1648,CBIC_Late_Fee_Relief_Windows_1!$H$100:$H$1648,D1648)</f>
        <v>#NAME?</v>
      </c>
      <c r="H1648" t="e">
        <f t="shared" ca="1" si="25"/>
        <v>#NAME?</v>
      </c>
      <c r="I1648" t="e">
        <f ca="1">INDEX(CBIC_Late_Fee_Relief_Windows_1!$B$100:$B$1648,MATCH(G1648,CBIC_Late_Fee_Relief_Windows_1!$I$100:$I$1648,0))</f>
        <v>#NAME?</v>
      </c>
    </row>
    <row r="1649" spans="1:9" x14ac:dyDescent="0.55000000000000004">
      <c r="A1649" t="str">
        <f>TEST_DATA!A1649</f>
        <v>27AAAAA1649Z5</v>
      </c>
      <c r="B1649" t="str">
        <f>TEST_DATA!B1649</f>
        <v>Jul-2017</v>
      </c>
      <c r="C1649">
        <f>TEST_DATA!C1649</f>
        <v>44192</v>
      </c>
      <c r="D1649" t="str">
        <f>TEST_DATA!D1649</f>
        <v>NON-NIL</v>
      </c>
      <c r="E1649">
        <f>TEST_DATA!E1649</f>
        <v>50</v>
      </c>
      <c r="F1649">
        <f>MIN(E1649*164900,10000)</f>
        <v>10000</v>
      </c>
      <c r="G1649" t="e">
        <f ca="1">_xludf.MINIFS(CBIC_Late_Fee_Relief_Windows_1!$I$100:$I$1649,CBIC_Late_Fee_Relief_Windows_1!$D$100:$D$1649,"&lt;="&amp;B1649,CBIC_Late_Fee_Relief_Windows_1!$E$100:$E$1649,"&gt;="&amp;B1649,CBIC_Late_Fee_Relief_Windows_1!$F$100:$F$1649,"&lt;="&amp;C1649,CBIC_Late_Fee_Relief_Windows_1!$G$100:$G$1649,"&gt;="&amp;C1649,CBIC_Late_Fee_Relief_Windows_1!$H$100:$H$1649,D1649)</f>
        <v>#NAME?</v>
      </c>
      <c r="H1649" t="e">
        <f t="shared" ca="1" si="25"/>
        <v>#NAME?</v>
      </c>
      <c r="I1649" t="e">
        <f ca="1">INDEX(CBIC_Late_Fee_Relief_Windows_1!$B$100:$B$1649,MATCH(G1649,CBIC_Late_Fee_Relief_Windows_1!$I$100:$I$1649,0))</f>
        <v>#NAME?</v>
      </c>
    </row>
    <row r="1650" spans="1:9" x14ac:dyDescent="0.55000000000000004">
      <c r="A1650" t="str">
        <f>TEST_DATA!A1650</f>
        <v>27AAAAA1650Z5</v>
      </c>
      <c r="B1650" t="str">
        <f>TEST_DATA!B1650</f>
        <v>Sep-2018</v>
      </c>
      <c r="C1650">
        <f>TEST_DATA!C1650</f>
        <v>43936</v>
      </c>
      <c r="D1650" t="str">
        <f>TEST_DATA!D1650</f>
        <v>NON-NIL</v>
      </c>
      <c r="E1650">
        <f>TEST_DATA!E1650</f>
        <v>2226</v>
      </c>
      <c r="F1650">
        <f>MIN(E1650*165000,10000)</f>
        <v>10000</v>
      </c>
      <c r="G1650" t="e">
        <f ca="1">_xludf.MINIFS(CBIC_Late_Fee_Relief_Windows_1!$I$100:$I$1650,CBIC_Late_Fee_Relief_Windows_1!$D$100:$D$1650,"&lt;="&amp;B1650,CBIC_Late_Fee_Relief_Windows_1!$E$100:$E$1650,"&gt;="&amp;B1650,CBIC_Late_Fee_Relief_Windows_1!$F$100:$F$1650,"&lt;="&amp;C1650,CBIC_Late_Fee_Relief_Windows_1!$G$100:$G$1650,"&gt;="&amp;C1650,CBIC_Late_Fee_Relief_Windows_1!$H$100:$H$1650,D1650)</f>
        <v>#NAME?</v>
      </c>
      <c r="H1650" t="e">
        <f t="shared" ca="1" si="25"/>
        <v>#NAME?</v>
      </c>
      <c r="I1650" t="e">
        <f ca="1">INDEX(CBIC_Late_Fee_Relief_Windows_1!$B$100:$B$1650,MATCH(G1650,CBIC_Late_Fee_Relief_Windows_1!$I$100:$I$1650,0))</f>
        <v>#NAME?</v>
      </c>
    </row>
    <row r="1651" spans="1:9" x14ac:dyDescent="0.55000000000000004">
      <c r="A1651" t="str">
        <f>TEST_DATA!A1651</f>
        <v>27AAAAA1651Z5</v>
      </c>
      <c r="B1651" t="str">
        <f>TEST_DATA!B1651</f>
        <v>Apr-2021</v>
      </c>
      <c r="C1651">
        <f>TEST_DATA!C1651</f>
        <v>43489</v>
      </c>
      <c r="D1651" t="str">
        <f>TEST_DATA!D1651</f>
        <v>NON-NIL</v>
      </c>
      <c r="E1651">
        <f>TEST_DATA!E1651</f>
        <v>974</v>
      </c>
      <c r="F1651">
        <f>MIN(E1651*165100,10000)</f>
        <v>10000</v>
      </c>
      <c r="G1651" t="e">
        <f ca="1">_xludf.MINIFS(CBIC_Late_Fee_Relief_Windows_1!$I$100:$I$1651,CBIC_Late_Fee_Relief_Windows_1!$D$100:$D$1651,"&lt;="&amp;B1651,CBIC_Late_Fee_Relief_Windows_1!$E$100:$E$1651,"&gt;="&amp;B1651,CBIC_Late_Fee_Relief_Windows_1!$F$100:$F$1651,"&lt;="&amp;C1651,CBIC_Late_Fee_Relief_Windows_1!$G$100:$G$1651,"&gt;="&amp;C1651,CBIC_Late_Fee_Relief_Windows_1!$H$100:$H$1651,D1651)</f>
        <v>#NAME?</v>
      </c>
      <c r="H1651" t="e">
        <f t="shared" ca="1" si="25"/>
        <v>#NAME?</v>
      </c>
      <c r="I1651" t="e">
        <f ca="1">INDEX(CBIC_Late_Fee_Relief_Windows_1!$B$100:$B$1651,MATCH(G1651,CBIC_Late_Fee_Relief_Windows_1!$I$100:$I$1651,0))</f>
        <v>#NAME?</v>
      </c>
    </row>
    <row r="1652" spans="1:9" x14ac:dyDescent="0.55000000000000004">
      <c r="A1652" t="str">
        <f>TEST_DATA!A1652</f>
        <v>27AAAAA1652Z5</v>
      </c>
      <c r="B1652" t="str">
        <f>TEST_DATA!B1652</f>
        <v>Jan-2018</v>
      </c>
      <c r="C1652">
        <f>TEST_DATA!C1652</f>
        <v>44122</v>
      </c>
      <c r="D1652" t="str">
        <f>TEST_DATA!D1652</f>
        <v>NON-NIL</v>
      </c>
      <c r="E1652">
        <f>TEST_DATA!E1652</f>
        <v>1858</v>
      </c>
      <c r="F1652">
        <f>MIN(E1652*165200,10000)</f>
        <v>10000</v>
      </c>
      <c r="G1652" t="e">
        <f ca="1">_xludf.MINIFS(CBIC_Late_Fee_Relief_Windows_1!$I$100:$I$1652,CBIC_Late_Fee_Relief_Windows_1!$D$100:$D$1652,"&lt;="&amp;B1652,CBIC_Late_Fee_Relief_Windows_1!$E$100:$E$1652,"&gt;="&amp;B1652,CBIC_Late_Fee_Relief_Windows_1!$F$100:$F$1652,"&lt;="&amp;C1652,CBIC_Late_Fee_Relief_Windows_1!$G$100:$G$1652,"&gt;="&amp;C1652,CBIC_Late_Fee_Relief_Windows_1!$H$100:$H$1652,D1652)</f>
        <v>#NAME?</v>
      </c>
      <c r="H1652" t="e">
        <f t="shared" ca="1" si="25"/>
        <v>#NAME?</v>
      </c>
      <c r="I1652" t="e">
        <f ca="1">INDEX(CBIC_Late_Fee_Relief_Windows_1!$B$100:$B$1652,MATCH(G1652,CBIC_Late_Fee_Relief_Windows_1!$I$100:$I$1652,0))</f>
        <v>#NAME?</v>
      </c>
    </row>
    <row r="1653" spans="1:9" x14ac:dyDescent="0.55000000000000004">
      <c r="A1653" t="str">
        <f>TEST_DATA!A1653</f>
        <v>27AAAAA1653Z5</v>
      </c>
      <c r="B1653" t="str">
        <f>TEST_DATA!B1653</f>
        <v>Aug-2018</v>
      </c>
      <c r="C1653">
        <f>TEST_DATA!C1653</f>
        <v>43821</v>
      </c>
      <c r="D1653" t="str">
        <f>TEST_DATA!D1653</f>
        <v>NIL</v>
      </c>
      <c r="E1653">
        <f>TEST_DATA!E1653</f>
        <v>2462</v>
      </c>
      <c r="F1653">
        <f>MIN(E1653*165300,10000)</f>
        <v>10000</v>
      </c>
      <c r="G1653" t="e">
        <f ca="1">_xludf.MINIFS(CBIC_Late_Fee_Relief_Windows_1!$I$100:$I$1653,CBIC_Late_Fee_Relief_Windows_1!$D$100:$D$1653,"&lt;="&amp;B1653,CBIC_Late_Fee_Relief_Windows_1!$E$100:$E$1653,"&gt;="&amp;B1653,CBIC_Late_Fee_Relief_Windows_1!$F$100:$F$1653,"&lt;="&amp;C1653,CBIC_Late_Fee_Relief_Windows_1!$G$100:$G$1653,"&gt;="&amp;C1653,CBIC_Late_Fee_Relief_Windows_1!$H$100:$H$1653,D1653)</f>
        <v>#NAME?</v>
      </c>
      <c r="H1653" t="e">
        <f t="shared" ca="1" si="25"/>
        <v>#NAME?</v>
      </c>
      <c r="I1653" t="e">
        <f ca="1">INDEX(CBIC_Late_Fee_Relief_Windows_1!$B$100:$B$1653,MATCH(G1653,CBIC_Late_Fee_Relief_Windows_1!$I$100:$I$1653,0))</f>
        <v>#NAME?</v>
      </c>
    </row>
    <row r="1654" spans="1:9" x14ac:dyDescent="0.55000000000000004">
      <c r="A1654" t="str">
        <f>TEST_DATA!A1654</f>
        <v>27AAAAA1654Z5</v>
      </c>
      <c r="B1654" t="str">
        <f>TEST_DATA!B1654</f>
        <v>Apr-2020</v>
      </c>
      <c r="C1654">
        <f>TEST_DATA!C1654</f>
        <v>43844</v>
      </c>
      <c r="D1654" t="str">
        <f>TEST_DATA!D1654</f>
        <v>NIL</v>
      </c>
      <c r="E1654">
        <f>TEST_DATA!E1654</f>
        <v>2241</v>
      </c>
      <c r="F1654">
        <f>MIN(E1654*165400,10000)</f>
        <v>10000</v>
      </c>
      <c r="G1654" t="e">
        <f ca="1">_xludf.MINIFS(CBIC_Late_Fee_Relief_Windows_1!$I$100:$I$1654,CBIC_Late_Fee_Relief_Windows_1!$D$100:$D$1654,"&lt;="&amp;B1654,CBIC_Late_Fee_Relief_Windows_1!$E$100:$E$1654,"&gt;="&amp;B1654,CBIC_Late_Fee_Relief_Windows_1!$F$100:$F$1654,"&lt;="&amp;C1654,CBIC_Late_Fee_Relief_Windows_1!$G$100:$G$1654,"&gt;="&amp;C1654,CBIC_Late_Fee_Relief_Windows_1!$H$100:$H$1654,D1654)</f>
        <v>#NAME?</v>
      </c>
      <c r="H1654" t="e">
        <f t="shared" ca="1" si="25"/>
        <v>#NAME?</v>
      </c>
      <c r="I1654" t="e">
        <f ca="1">INDEX(CBIC_Late_Fee_Relief_Windows_1!$B$100:$B$1654,MATCH(G1654,CBIC_Late_Fee_Relief_Windows_1!$I$100:$I$1654,0))</f>
        <v>#NAME?</v>
      </c>
    </row>
    <row r="1655" spans="1:9" x14ac:dyDescent="0.55000000000000004">
      <c r="A1655" t="str">
        <f>TEST_DATA!A1655</f>
        <v>27AAAAA1655Z5</v>
      </c>
      <c r="B1655" t="str">
        <f>TEST_DATA!B1655</f>
        <v>Mar-2018</v>
      </c>
      <c r="C1655">
        <f>TEST_DATA!C1655</f>
        <v>44186</v>
      </c>
      <c r="D1655" t="str">
        <f>TEST_DATA!D1655</f>
        <v>NIL</v>
      </c>
      <c r="E1655">
        <f>TEST_DATA!E1655</f>
        <v>200</v>
      </c>
      <c r="F1655">
        <f>MIN(E1655*165500,10000)</f>
        <v>10000</v>
      </c>
      <c r="G1655" t="e">
        <f ca="1">_xludf.MINIFS(CBIC_Late_Fee_Relief_Windows_1!$I$100:$I$1655,CBIC_Late_Fee_Relief_Windows_1!$D$100:$D$1655,"&lt;="&amp;B1655,CBIC_Late_Fee_Relief_Windows_1!$E$100:$E$1655,"&gt;="&amp;B1655,CBIC_Late_Fee_Relief_Windows_1!$F$100:$F$1655,"&lt;="&amp;C1655,CBIC_Late_Fee_Relief_Windows_1!$G$100:$G$1655,"&gt;="&amp;C1655,CBIC_Late_Fee_Relief_Windows_1!$H$100:$H$1655,D1655)</f>
        <v>#NAME?</v>
      </c>
      <c r="H1655" t="e">
        <f t="shared" ca="1" si="25"/>
        <v>#NAME?</v>
      </c>
      <c r="I1655" t="e">
        <f ca="1">INDEX(CBIC_Late_Fee_Relief_Windows_1!$B$100:$B$1655,MATCH(G1655,CBIC_Late_Fee_Relief_Windows_1!$I$100:$I$1655,0))</f>
        <v>#NAME?</v>
      </c>
    </row>
    <row r="1656" spans="1:9" x14ac:dyDescent="0.55000000000000004">
      <c r="A1656" t="str">
        <f>TEST_DATA!A1656</f>
        <v>27AAAAA1656Z5</v>
      </c>
      <c r="B1656" t="str">
        <f>TEST_DATA!B1656</f>
        <v>Dec-2017</v>
      </c>
      <c r="C1656">
        <f>TEST_DATA!C1656</f>
        <v>43220</v>
      </c>
      <c r="D1656" t="str">
        <f>TEST_DATA!D1656</f>
        <v>NIL</v>
      </c>
      <c r="E1656">
        <f>TEST_DATA!E1656</f>
        <v>2675</v>
      </c>
      <c r="F1656">
        <f>MIN(E1656*165600,10000)</f>
        <v>10000</v>
      </c>
      <c r="G1656" t="e">
        <f ca="1">_xludf.MINIFS(CBIC_Late_Fee_Relief_Windows_1!$I$100:$I$1656,CBIC_Late_Fee_Relief_Windows_1!$D$100:$D$1656,"&lt;="&amp;B1656,CBIC_Late_Fee_Relief_Windows_1!$E$100:$E$1656,"&gt;="&amp;B1656,CBIC_Late_Fee_Relief_Windows_1!$F$100:$F$1656,"&lt;="&amp;C1656,CBIC_Late_Fee_Relief_Windows_1!$G$100:$G$1656,"&gt;="&amp;C1656,CBIC_Late_Fee_Relief_Windows_1!$H$100:$H$1656,D1656)</f>
        <v>#NAME?</v>
      </c>
      <c r="H1656" t="e">
        <f t="shared" ca="1" si="25"/>
        <v>#NAME?</v>
      </c>
      <c r="I1656" t="e">
        <f ca="1">INDEX(CBIC_Late_Fee_Relief_Windows_1!$B$100:$B$1656,MATCH(G1656,CBIC_Late_Fee_Relief_Windows_1!$I$100:$I$1656,0))</f>
        <v>#NAME?</v>
      </c>
    </row>
    <row r="1657" spans="1:9" x14ac:dyDescent="0.55000000000000004">
      <c r="A1657" t="str">
        <f>TEST_DATA!A1657</f>
        <v>27AAAAA1657Z5</v>
      </c>
      <c r="B1657" t="str">
        <f>TEST_DATA!B1657</f>
        <v>Jun-2018</v>
      </c>
      <c r="C1657">
        <f>TEST_DATA!C1657</f>
        <v>42992</v>
      </c>
      <c r="D1657" t="str">
        <f>TEST_DATA!D1657</f>
        <v>NIL</v>
      </c>
      <c r="E1657">
        <f>TEST_DATA!E1657</f>
        <v>132</v>
      </c>
      <c r="F1657">
        <f>MIN(E1657*165700,10000)</f>
        <v>10000</v>
      </c>
      <c r="G1657" t="e">
        <f ca="1">_xludf.MINIFS(CBIC_Late_Fee_Relief_Windows_1!$I$100:$I$1657,CBIC_Late_Fee_Relief_Windows_1!$D$100:$D$1657,"&lt;="&amp;B1657,CBIC_Late_Fee_Relief_Windows_1!$E$100:$E$1657,"&gt;="&amp;B1657,CBIC_Late_Fee_Relief_Windows_1!$F$100:$F$1657,"&lt;="&amp;C1657,CBIC_Late_Fee_Relief_Windows_1!$G$100:$G$1657,"&gt;="&amp;C1657,CBIC_Late_Fee_Relief_Windows_1!$H$100:$H$1657,D1657)</f>
        <v>#NAME?</v>
      </c>
      <c r="H1657" t="e">
        <f t="shared" ca="1" si="25"/>
        <v>#NAME?</v>
      </c>
      <c r="I1657" t="e">
        <f ca="1">INDEX(CBIC_Late_Fee_Relief_Windows_1!$B$100:$B$1657,MATCH(G1657,CBIC_Late_Fee_Relief_Windows_1!$I$100:$I$1657,0))</f>
        <v>#NAME?</v>
      </c>
    </row>
    <row r="1658" spans="1:9" x14ac:dyDescent="0.55000000000000004">
      <c r="A1658" t="str">
        <f>TEST_DATA!A1658</f>
        <v>27AAAAA1658Z5</v>
      </c>
      <c r="B1658" t="str">
        <f>TEST_DATA!B1658</f>
        <v>Jun-2020</v>
      </c>
      <c r="C1658">
        <f>TEST_DATA!C1658</f>
        <v>44442</v>
      </c>
      <c r="D1658" t="str">
        <f>TEST_DATA!D1658</f>
        <v>NON-NIL</v>
      </c>
      <c r="E1658">
        <f>TEST_DATA!E1658</f>
        <v>359</v>
      </c>
      <c r="F1658">
        <f>MIN(E1658*165800,10000)</f>
        <v>10000</v>
      </c>
      <c r="G1658" t="e">
        <f ca="1">_xludf.MINIFS(CBIC_Late_Fee_Relief_Windows_1!$I$100:$I$1658,CBIC_Late_Fee_Relief_Windows_1!$D$100:$D$1658,"&lt;="&amp;B1658,CBIC_Late_Fee_Relief_Windows_1!$E$100:$E$1658,"&gt;="&amp;B1658,CBIC_Late_Fee_Relief_Windows_1!$F$100:$F$1658,"&lt;="&amp;C1658,CBIC_Late_Fee_Relief_Windows_1!$G$100:$G$1658,"&gt;="&amp;C1658,CBIC_Late_Fee_Relief_Windows_1!$H$100:$H$1658,D1658)</f>
        <v>#NAME?</v>
      </c>
      <c r="H1658" t="e">
        <f t="shared" ca="1" si="25"/>
        <v>#NAME?</v>
      </c>
      <c r="I1658" t="e">
        <f ca="1">INDEX(CBIC_Late_Fee_Relief_Windows_1!$B$100:$B$1658,MATCH(G1658,CBIC_Late_Fee_Relief_Windows_1!$I$100:$I$1658,0))</f>
        <v>#NAME?</v>
      </c>
    </row>
    <row r="1659" spans="1:9" x14ac:dyDescent="0.55000000000000004">
      <c r="A1659" t="str">
        <f>TEST_DATA!A1659</f>
        <v>27AAAAA1659Z5</v>
      </c>
      <c r="B1659" t="str">
        <f>TEST_DATA!B1659</f>
        <v>Aug-2017</v>
      </c>
      <c r="C1659">
        <f>TEST_DATA!C1659</f>
        <v>43140</v>
      </c>
      <c r="D1659" t="str">
        <f>TEST_DATA!D1659</f>
        <v>NON-NIL</v>
      </c>
      <c r="E1659">
        <f>TEST_DATA!E1659</f>
        <v>730</v>
      </c>
      <c r="F1659">
        <f>MIN(E1659*165900,10000)</f>
        <v>10000</v>
      </c>
      <c r="G1659" t="e">
        <f ca="1">_xludf.MINIFS(CBIC_Late_Fee_Relief_Windows_1!$I$100:$I$1659,CBIC_Late_Fee_Relief_Windows_1!$D$100:$D$1659,"&lt;="&amp;B1659,CBIC_Late_Fee_Relief_Windows_1!$E$100:$E$1659,"&gt;="&amp;B1659,CBIC_Late_Fee_Relief_Windows_1!$F$100:$F$1659,"&lt;="&amp;C1659,CBIC_Late_Fee_Relief_Windows_1!$G$100:$G$1659,"&gt;="&amp;C1659,CBIC_Late_Fee_Relief_Windows_1!$H$100:$H$1659,D1659)</f>
        <v>#NAME?</v>
      </c>
      <c r="H1659" t="e">
        <f t="shared" ca="1" si="25"/>
        <v>#NAME?</v>
      </c>
      <c r="I1659" t="e">
        <f ca="1">INDEX(CBIC_Late_Fee_Relief_Windows_1!$B$100:$B$1659,MATCH(G1659,CBIC_Late_Fee_Relief_Windows_1!$I$100:$I$1659,0))</f>
        <v>#NAME?</v>
      </c>
    </row>
    <row r="1660" spans="1:9" x14ac:dyDescent="0.55000000000000004">
      <c r="A1660" t="str">
        <f>TEST_DATA!A1660</f>
        <v>27AAAAA1660Z5</v>
      </c>
      <c r="B1660" t="str">
        <f>TEST_DATA!B1660</f>
        <v>Dec-2017</v>
      </c>
      <c r="C1660">
        <f>TEST_DATA!C1660</f>
        <v>44293</v>
      </c>
      <c r="D1660" t="str">
        <f>TEST_DATA!D1660</f>
        <v>NON-NIL</v>
      </c>
      <c r="E1660">
        <f>TEST_DATA!E1660</f>
        <v>2503</v>
      </c>
      <c r="F1660">
        <f>MIN(E1660*166000,10000)</f>
        <v>10000</v>
      </c>
      <c r="G1660" t="e">
        <f ca="1">_xludf.MINIFS(CBIC_Late_Fee_Relief_Windows_1!$I$100:$I$1660,CBIC_Late_Fee_Relief_Windows_1!$D$100:$D$1660,"&lt;="&amp;B1660,CBIC_Late_Fee_Relief_Windows_1!$E$100:$E$1660,"&gt;="&amp;B1660,CBIC_Late_Fee_Relief_Windows_1!$F$100:$F$1660,"&lt;="&amp;C1660,CBIC_Late_Fee_Relief_Windows_1!$G$100:$G$1660,"&gt;="&amp;C1660,CBIC_Late_Fee_Relief_Windows_1!$H$100:$H$1660,D1660)</f>
        <v>#NAME?</v>
      </c>
      <c r="H1660" t="e">
        <f t="shared" ca="1" si="25"/>
        <v>#NAME?</v>
      </c>
      <c r="I1660" t="e">
        <f ca="1">INDEX(CBIC_Late_Fee_Relief_Windows_1!$B$100:$B$1660,MATCH(G1660,CBIC_Late_Fee_Relief_Windows_1!$I$100:$I$1660,0))</f>
        <v>#NAME?</v>
      </c>
    </row>
    <row r="1661" spans="1:9" x14ac:dyDescent="0.55000000000000004">
      <c r="A1661" t="str">
        <f>TEST_DATA!A1661</f>
        <v>27AAAAA1661Z5</v>
      </c>
      <c r="B1661" t="str">
        <f>TEST_DATA!B1661</f>
        <v>Jun-2020</v>
      </c>
      <c r="C1661">
        <f>TEST_DATA!C1661</f>
        <v>44194</v>
      </c>
      <c r="D1661" t="str">
        <f>TEST_DATA!D1661</f>
        <v>NON-NIL</v>
      </c>
      <c r="E1661">
        <f>TEST_DATA!E1661</f>
        <v>2371</v>
      </c>
      <c r="F1661">
        <f>MIN(E1661*166100,10000)</f>
        <v>10000</v>
      </c>
      <c r="G1661" t="e">
        <f ca="1">_xludf.MINIFS(CBIC_Late_Fee_Relief_Windows_1!$I$100:$I$1661,CBIC_Late_Fee_Relief_Windows_1!$D$100:$D$1661,"&lt;="&amp;B1661,CBIC_Late_Fee_Relief_Windows_1!$E$100:$E$1661,"&gt;="&amp;B1661,CBIC_Late_Fee_Relief_Windows_1!$F$100:$F$1661,"&lt;="&amp;C1661,CBIC_Late_Fee_Relief_Windows_1!$G$100:$G$1661,"&gt;="&amp;C1661,CBIC_Late_Fee_Relief_Windows_1!$H$100:$H$1661,D1661)</f>
        <v>#NAME?</v>
      </c>
      <c r="H1661" t="e">
        <f t="shared" ca="1" si="25"/>
        <v>#NAME?</v>
      </c>
      <c r="I1661" t="e">
        <f ca="1">INDEX(CBIC_Late_Fee_Relief_Windows_1!$B$100:$B$1661,MATCH(G1661,CBIC_Late_Fee_Relief_Windows_1!$I$100:$I$1661,0))</f>
        <v>#NAME?</v>
      </c>
    </row>
    <row r="1662" spans="1:9" x14ac:dyDescent="0.55000000000000004">
      <c r="A1662" t="str">
        <f>TEST_DATA!A1662</f>
        <v>27AAAAA1662Z5</v>
      </c>
      <c r="B1662" t="str">
        <f>TEST_DATA!B1662</f>
        <v>Jun-2018</v>
      </c>
      <c r="C1662">
        <f>TEST_DATA!C1662</f>
        <v>42990</v>
      </c>
      <c r="D1662" t="str">
        <f>TEST_DATA!D1662</f>
        <v>NIL</v>
      </c>
      <c r="E1662">
        <f>TEST_DATA!E1662</f>
        <v>1225</v>
      </c>
      <c r="F1662">
        <f>MIN(E1662*166200,10000)</f>
        <v>10000</v>
      </c>
      <c r="G1662" t="e">
        <f ca="1">_xludf.MINIFS(CBIC_Late_Fee_Relief_Windows_1!$I$100:$I$1662,CBIC_Late_Fee_Relief_Windows_1!$D$100:$D$1662,"&lt;="&amp;B1662,CBIC_Late_Fee_Relief_Windows_1!$E$100:$E$1662,"&gt;="&amp;B1662,CBIC_Late_Fee_Relief_Windows_1!$F$100:$F$1662,"&lt;="&amp;C1662,CBIC_Late_Fee_Relief_Windows_1!$G$100:$G$1662,"&gt;="&amp;C1662,CBIC_Late_Fee_Relief_Windows_1!$H$100:$H$1662,D1662)</f>
        <v>#NAME?</v>
      </c>
      <c r="H1662" t="e">
        <f t="shared" ca="1" si="25"/>
        <v>#NAME?</v>
      </c>
      <c r="I1662" t="e">
        <f ca="1">INDEX(CBIC_Late_Fee_Relief_Windows_1!$B$100:$B$1662,MATCH(G1662,CBIC_Late_Fee_Relief_Windows_1!$I$100:$I$1662,0))</f>
        <v>#NAME?</v>
      </c>
    </row>
    <row r="1663" spans="1:9" x14ac:dyDescent="0.55000000000000004">
      <c r="A1663" t="str">
        <f>TEST_DATA!A1663</f>
        <v>27AAAAA1663Z5</v>
      </c>
      <c r="B1663" t="str">
        <f>TEST_DATA!B1663</f>
        <v>May-2018</v>
      </c>
      <c r="C1663">
        <f>TEST_DATA!C1663</f>
        <v>43671</v>
      </c>
      <c r="D1663" t="str">
        <f>TEST_DATA!D1663</f>
        <v>NON-NIL</v>
      </c>
      <c r="E1663">
        <f>TEST_DATA!E1663</f>
        <v>277</v>
      </c>
      <c r="F1663">
        <f>MIN(E1663*166300,10000)</f>
        <v>10000</v>
      </c>
      <c r="G1663" t="e">
        <f ca="1">_xludf.MINIFS(CBIC_Late_Fee_Relief_Windows_1!$I$100:$I$1663,CBIC_Late_Fee_Relief_Windows_1!$D$100:$D$1663,"&lt;="&amp;B1663,CBIC_Late_Fee_Relief_Windows_1!$E$100:$E$1663,"&gt;="&amp;B1663,CBIC_Late_Fee_Relief_Windows_1!$F$100:$F$1663,"&lt;="&amp;C1663,CBIC_Late_Fee_Relief_Windows_1!$G$100:$G$1663,"&gt;="&amp;C1663,CBIC_Late_Fee_Relief_Windows_1!$H$100:$H$1663,D1663)</f>
        <v>#NAME?</v>
      </c>
      <c r="H1663" t="e">
        <f t="shared" ca="1" si="25"/>
        <v>#NAME?</v>
      </c>
      <c r="I1663" t="e">
        <f ca="1">INDEX(CBIC_Late_Fee_Relief_Windows_1!$B$100:$B$1663,MATCH(G1663,CBIC_Late_Fee_Relief_Windows_1!$I$100:$I$1663,0))</f>
        <v>#NAME?</v>
      </c>
    </row>
    <row r="1664" spans="1:9" x14ac:dyDescent="0.55000000000000004">
      <c r="A1664" t="str">
        <f>TEST_DATA!A1664</f>
        <v>27AAAAA1664Z5</v>
      </c>
      <c r="B1664" t="str">
        <f>TEST_DATA!B1664</f>
        <v>Mar-2021</v>
      </c>
      <c r="C1664">
        <f>TEST_DATA!C1664</f>
        <v>45216</v>
      </c>
      <c r="D1664" t="str">
        <f>TEST_DATA!D1664</f>
        <v>NIL</v>
      </c>
      <c r="E1664">
        <f>TEST_DATA!E1664</f>
        <v>1199</v>
      </c>
      <c r="F1664">
        <f>MIN(E1664*166400,10000)</f>
        <v>10000</v>
      </c>
      <c r="G1664" t="e">
        <f ca="1">_xludf.MINIFS(CBIC_Late_Fee_Relief_Windows_1!$I$100:$I$1664,CBIC_Late_Fee_Relief_Windows_1!$D$100:$D$1664,"&lt;="&amp;B1664,CBIC_Late_Fee_Relief_Windows_1!$E$100:$E$1664,"&gt;="&amp;B1664,CBIC_Late_Fee_Relief_Windows_1!$F$100:$F$1664,"&lt;="&amp;C1664,CBIC_Late_Fee_Relief_Windows_1!$G$100:$G$1664,"&gt;="&amp;C1664,CBIC_Late_Fee_Relief_Windows_1!$H$100:$H$1664,D1664)</f>
        <v>#NAME?</v>
      </c>
      <c r="H1664" t="e">
        <f t="shared" ca="1" si="25"/>
        <v>#NAME?</v>
      </c>
      <c r="I1664" t="e">
        <f ca="1">INDEX(CBIC_Late_Fee_Relief_Windows_1!$B$100:$B$1664,MATCH(G1664,CBIC_Late_Fee_Relief_Windows_1!$I$100:$I$1664,0))</f>
        <v>#NAME?</v>
      </c>
    </row>
    <row r="1665" spans="1:9" x14ac:dyDescent="0.55000000000000004">
      <c r="A1665" t="str">
        <f>TEST_DATA!A1665</f>
        <v>27AAAAA1665Z5</v>
      </c>
      <c r="B1665" t="str">
        <f>TEST_DATA!B1665</f>
        <v>Jan-2019</v>
      </c>
      <c r="C1665">
        <f>TEST_DATA!C1665</f>
        <v>44017</v>
      </c>
      <c r="D1665" t="str">
        <f>TEST_DATA!D1665</f>
        <v>NIL</v>
      </c>
      <c r="E1665">
        <f>TEST_DATA!E1665</f>
        <v>2845</v>
      </c>
      <c r="F1665">
        <f>MIN(E1665*166500,10000)</f>
        <v>10000</v>
      </c>
      <c r="G1665" t="e">
        <f ca="1">_xludf.MINIFS(CBIC_Late_Fee_Relief_Windows_1!$I$100:$I$1665,CBIC_Late_Fee_Relief_Windows_1!$D$100:$D$1665,"&lt;="&amp;B1665,CBIC_Late_Fee_Relief_Windows_1!$E$100:$E$1665,"&gt;="&amp;B1665,CBIC_Late_Fee_Relief_Windows_1!$F$100:$F$1665,"&lt;="&amp;C1665,CBIC_Late_Fee_Relief_Windows_1!$G$100:$G$1665,"&gt;="&amp;C1665,CBIC_Late_Fee_Relief_Windows_1!$H$100:$H$1665,D1665)</f>
        <v>#NAME?</v>
      </c>
      <c r="H1665" t="e">
        <f t="shared" ca="1" si="25"/>
        <v>#NAME?</v>
      </c>
      <c r="I1665" t="e">
        <f ca="1">INDEX(CBIC_Late_Fee_Relief_Windows_1!$B$100:$B$1665,MATCH(G1665,CBIC_Late_Fee_Relief_Windows_1!$I$100:$I$1665,0))</f>
        <v>#NAME?</v>
      </c>
    </row>
    <row r="1666" spans="1:9" x14ac:dyDescent="0.55000000000000004">
      <c r="A1666" t="str">
        <f>TEST_DATA!A1666</f>
        <v>27AAAAA1666Z5</v>
      </c>
      <c r="B1666" t="str">
        <f>TEST_DATA!B1666</f>
        <v>Mar-2023</v>
      </c>
      <c r="C1666">
        <f>TEST_DATA!C1666</f>
        <v>44590</v>
      </c>
      <c r="D1666" t="str">
        <f>TEST_DATA!D1666</f>
        <v>NON-NIL</v>
      </c>
      <c r="E1666">
        <f>TEST_DATA!E1666</f>
        <v>2158</v>
      </c>
      <c r="F1666">
        <f>MIN(E1666*166600,10000)</f>
        <v>10000</v>
      </c>
      <c r="G1666" t="e">
        <f ca="1">_xludf.MINIFS(CBIC_Late_Fee_Relief_Windows_1!$I$100:$I$1666,CBIC_Late_Fee_Relief_Windows_1!$D$100:$D$1666,"&lt;="&amp;B1666,CBIC_Late_Fee_Relief_Windows_1!$E$100:$E$1666,"&gt;="&amp;B1666,CBIC_Late_Fee_Relief_Windows_1!$F$100:$F$1666,"&lt;="&amp;C1666,CBIC_Late_Fee_Relief_Windows_1!$G$100:$G$1666,"&gt;="&amp;C1666,CBIC_Late_Fee_Relief_Windows_1!$H$100:$H$1666,D1666)</f>
        <v>#NAME?</v>
      </c>
      <c r="H1666" t="e">
        <f t="shared" ref="H1666:H1729" ca="1" si="26">MIN(F1666,G1666)</f>
        <v>#NAME?</v>
      </c>
      <c r="I1666" t="e">
        <f ca="1">INDEX(CBIC_Late_Fee_Relief_Windows_1!$B$100:$B$1666,MATCH(G1666,CBIC_Late_Fee_Relief_Windows_1!$I$100:$I$1666,0))</f>
        <v>#NAME?</v>
      </c>
    </row>
    <row r="1667" spans="1:9" x14ac:dyDescent="0.55000000000000004">
      <c r="A1667" t="str">
        <f>TEST_DATA!A1667</f>
        <v>27AAAAA1667Z5</v>
      </c>
      <c r="B1667" t="str">
        <f>TEST_DATA!B1667</f>
        <v>Aug-2018</v>
      </c>
      <c r="C1667">
        <f>TEST_DATA!C1667</f>
        <v>43991</v>
      </c>
      <c r="D1667" t="str">
        <f>TEST_DATA!D1667</f>
        <v>NIL</v>
      </c>
      <c r="E1667">
        <f>TEST_DATA!E1667</f>
        <v>2850</v>
      </c>
      <c r="F1667">
        <f>MIN(E1667*166700,10000)</f>
        <v>10000</v>
      </c>
      <c r="G1667" t="e">
        <f ca="1">_xludf.MINIFS(CBIC_Late_Fee_Relief_Windows_1!$I$100:$I$1667,CBIC_Late_Fee_Relief_Windows_1!$D$100:$D$1667,"&lt;="&amp;B1667,CBIC_Late_Fee_Relief_Windows_1!$E$100:$E$1667,"&gt;="&amp;B1667,CBIC_Late_Fee_Relief_Windows_1!$F$100:$F$1667,"&lt;="&amp;C1667,CBIC_Late_Fee_Relief_Windows_1!$G$100:$G$1667,"&gt;="&amp;C1667,CBIC_Late_Fee_Relief_Windows_1!$H$100:$H$1667,D1667)</f>
        <v>#NAME?</v>
      </c>
      <c r="H1667" t="e">
        <f t="shared" ca="1" si="26"/>
        <v>#NAME?</v>
      </c>
      <c r="I1667" t="e">
        <f ca="1">INDEX(CBIC_Late_Fee_Relief_Windows_1!$B$100:$B$1667,MATCH(G1667,CBIC_Late_Fee_Relief_Windows_1!$I$100:$I$1667,0))</f>
        <v>#NAME?</v>
      </c>
    </row>
    <row r="1668" spans="1:9" x14ac:dyDescent="0.55000000000000004">
      <c r="A1668" t="str">
        <f>TEST_DATA!A1668</f>
        <v>27AAAAA1668Z5</v>
      </c>
      <c r="B1668" t="str">
        <f>TEST_DATA!B1668</f>
        <v>Jan-2018</v>
      </c>
      <c r="C1668">
        <f>TEST_DATA!C1668</f>
        <v>44170</v>
      </c>
      <c r="D1668" t="str">
        <f>TEST_DATA!D1668</f>
        <v>NIL</v>
      </c>
      <c r="E1668">
        <f>TEST_DATA!E1668</f>
        <v>447</v>
      </c>
      <c r="F1668">
        <f>MIN(E1668*166800,10000)</f>
        <v>10000</v>
      </c>
      <c r="G1668" t="e">
        <f ca="1">_xludf.MINIFS(CBIC_Late_Fee_Relief_Windows_1!$I$100:$I$1668,CBIC_Late_Fee_Relief_Windows_1!$D$100:$D$1668,"&lt;="&amp;B1668,CBIC_Late_Fee_Relief_Windows_1!$E$100:$E$1668,"&gt;="&amp;B1668,CBIC_Late_Fee_Relief_Windows_1!$F$100:$F$1668,"&lt;="&amp;C1668,CBIC_Late_Fee_Relief_Windows_1!$G$100:$G$1668,"&gt;="&amp;C1668,CBIC_Late_Fee_Relief_Windows_1!$H$100:$H$1668,D1668)</f>
        <v>#NAME?</v>
      </c>
      <c r="H1668" t="e">
        <f t="shared" ca="1" si="26"/>
        <v>#NAME?</v>
      </c>
      <c r="I1668" t="e">
        <f ca="1">INDEX(CBIC_Late_Fee_Relief_Windows_1!$B$100:$B$1668,MATCH(G1668,CBIC_Late_Fee_Relief_Windows_1!$I$100:$I$1668,0))</f>
        <v>#NAME?</v>
      </c>
    </row>
    <row r="1669" spans="1:9" x14ac:dyDescent="0.55000000000000004">
      <c r="A1669" t="str">
        <f>TEST_DATA!A1669</f>
        <v>27AAAAA1669Z5</v>
      </c>
      <c r="B1669" t="str">
        <f>TEST_DATA!B1669</f>
        <v>Mar-2020</v>
      </c>
      <c r="C1669">
        <f>TEST_DATA!C1669</f>
        <v>44914</v>
      </c>
      <c r="D1669" t="str">
        <f>TEST_DATA!D1669</f>
        <v>NIL</v>
      </c>
      <c r="E1669">
        <f>TEST_DATA!E1669</f>
        <v>1981</v>
      </c>
      <c r="F1669">
        <f>MIN(E1669*166900,10000)</f>
        <v>10000</v>
      </c>
      <c r="G1669" t="e">
        <f ca="1">_xludf.MINIFS(CBIC_Late_Fee_Relief_Windows_1!$I$100:$I$1669,CBIC_Late_Fee_Relief_Windows_1!$D$100:$D$1669,"&lt;="&amp;B1669,CBIC_Late_Fee_Relief_Windows_1!$E$100:$E$1669,"&gt;="&amp;B1669,CBIC_Late_Fee_Relief_Windows_1!$F$100:$F$1669,"&lt;="&amp;C1669,CBIC_Late_Fee_Relief_Windows_1!$G$100:$G$1669,"&gt;="&amp;C1669,CBIC_Late_Fee_Relief_Windows_1!$H$100:$H$1669,D1669)</f>
        <v>#NAME?</v>
      </c>
      <c r="H1669" t="e">
        <f t="shared" ca="1" si="26"/>
        <v>#NAME?</v>
      </c>
      <c r="I1669" t="e">
        <f ca="1">INDEX(CBIC_Late_Fee_Relief_Windows_1!$B$100:$B$1669,MATCH(G1669,CBIC_Late_Fee_Relief_Windows_1!$I$100:$I$1669,0))</f>
        <v>#NAME?</v>
      </c>
    </row>
    <row r="1670" spans="1:9" x14ac:dyDescent="0.55000000000000004">
      <c r="A1670" t="str">
        <f>TEST_DATA!A1670</f>
        <v>27AAAAA1670Z5</v>
      </c>
      <c r="B1670" t="str">
        <f>TEST_DATA!B1670</f>
        <v>Jan-2021</v>
      </c>
      <c r="C1670">
        <f>TEST_DATA!C1670</f>
        <v>44642</v>
      </c>
      <c r="D1670" t="str">
        <f>TEST_DATA!D1670</f>
        <v>NON-NIL</v>
      </c>
      <c r="E1670">
        <f>TEST_DATA!E1670</f>
        <v>2493</v>
      </c>
      <c r="F1670">
        <f>MIN(E1670*167000,10000)</f>
        <v>10000</v>
      </c>
      <c r="G1670" t="e">
        <f ca="1">_xludf.MINIFS(CBIC_Late_Fee_Relief_Windows_1!$I$100:$I$1670,CBIC_Late_Fee_Relief_Windows_1!$D$100:$D$1670,"&lt;="&amp;B1670,CBIC_Late_Fee_Relief_Windows_1!$E$100:$E$1670,"&gt;="&amp;B1670,CBIC_Late_Fee_Relief_Windows_1!$F$100:$F$1670,"&lt;="&amp;C1670,CBIC_Late_Fee_Relief_Windows_1!$G$100:$G$1670,"&gt;="&amp;C1670,CBIC_Late_Fee_Relief_Windows_1!$H$100:$H$1670,D1670)</f>
        <v>#NAME?</v>
      </c>
      <c r="H1670" t="e">
        <f t="shared" ca="1" si="26"/>
        <v>#NAME?</v>
      </c>
      <c r="I1670" t="e">
        <f ca="1">INDEX(CBIC_Late_Fee_Relief_Windows_1!$B$100:$B$1670,MATCH(G1670,CBIC_Late_Fee_Relief_Windows_1!$I$100:$I$1670,0))</f>
        <v>#NAME?</v>
      </c>
    </row>
    <row r="1671" spans="1:9" x14ac:dyDescent="0.55000000000000004">
      <c r="A1671" t="str">
        <f>TEST_DATA!A1671</f>
        <v>27AAAAA1671Z5</v>
      </c>
      <c r="B1671" t="str">
        <f>TEST_DATA!B1671</f>
        <v>Mar-2023</v>
      </c>
      <c r="C1671">
        <f>TEST_DATA!C1671</f>
        <v>44762</v>
      </c>
      <c r="D1671" t="str">
        <f>TEST_DATA!D1671</f>
        <v>NON-NIL</v>
      </c>
      <c r="E1671">
        <f>TEST_DATA!E1671</f>
        <v>2152</v>
      </c>
      <c r="F1671">
        <f>MIN(E1671*167100,10000)</f>
        <v>10000</v>
      </c>
      <c r="G1671" t="e">
        <f ca="1">_xludf.MINIFS(CBIC_Late_Fee_Relief_Windows_1!$I$100:$I$1671,CBIC_Late_Fee_Relief_Windows_1!$D$100:$D$1671,"&lt;="&amp;B1671,CBIC_Late_Fee_Relief_Windows_1!$E$100:$E$1671,"&gt;="&amp;B1671,CBIC_Late_Fee_Relief_Windows_1!$F$100:$F$1671,"&lt;="&amp;C1671,CBIC_Late_Fee_Relief_Windows_1!$G$100:$G$1671,"&gt;="&amp;C1671,CBIC_Late_Fee_Relief_Windows_1!$H$100:$H$1671,D1671)</f>
        <v>#NAME?</v>
      </c>
      <c r="H1671" t="e">
        <f t="shared" ca="1" si="26"/>
        <v>#NAME?</v>
      </c>
      <c r="I1671" t="e">
        <f ca="1">INDEX(CBIC_Late_Fee_Relief_Windows_1!$B$100:$B$1671,MATCH(G1671,CBIC_Late_Fee_Relief_Windows_1!$I$100:$I$1671,0))</f>
        <v>#NAME?</v>
      </c>
    </row>
    <row r="1672" spans="1:9" x14ac:dyDescent="0.55000000000000004">
      <c r="A1672" t="str">
        <f>TEST_DATA!A1672</f>
        <v>27AAAAA1672Z5</v>
      </c>
      <c r="B1672" t="str">
        <f>TEST_DATA!B1672</f>
        <v>Mar-2020</v>
      </c>
      <c r="C1672">
        <f>TEST_DATA!C1672</f>
        <v>44555</v>
      </c>
      <c r="D1672" t="str">
        <f>TEST_DATA!D1672</f>
        <v>NIL</v>
      </c>
      <c r="E1672">
        <f>TEST_DATA!E1672</f>
        <v>2516</v>
      </c>
      <c r="F1672">
        <f>MIN(E1672*167200,10000)</f>
        <v>10000</v>
      </c>
      <c r="G1672" t="e">
        <f ca="1">_xludf.MINIFS(CBIC_Late_Fee_Relief_Windows_1!$I$100:$I$1672,CBIC_Late_Fee_Relief_Windows_1!$D$100:$D$1672,"&lt;="&amp;B1672,CBIC_Late_Fee_Relief_Windows_1!$E$100:$E$1672,"&gt;="&amp;B1672,CBIC_Late_Fee_Relief_Windows_1!$F$100:$F$1672,"&lt;="&amp;C1672,CBIC_Late_Fee_Relief_Windows_1!$G$100:$G$1672,"&gt;="&amp;C1672,CBIC_Late_Fee_Relief_Windows_1!$H$100:$H$1672,D1672)</f>
        <v>#NAME?</v>
      </c>
      <c r="H1672" t="e">
        <f t="shared" ca="1" si="26"/>
        <v>#NAME?</v>
      </c>
      <c r="I1672" t="e">
        <f ca="1">INDEX(CBIC_Late_Fee_Relief_Windows_1!$B$100:$B$1672,MATCH(G1672,CBIC_Late_Fee_Relief_Windows_1!$I$100:$I$1672,0))</f>
        <v>#NAME?</v>
      </c>
    </row>
    <row r="1673" spans="1:9" x14ac:dyDescent="0.55000000000000004">
      <c r="A1673" t="str">
        <f>TEST_DATA!A1673</f>
        <v>27AAAAA1673Z5</v>
      </c>
      <c r="B1673" t="str">
        <f>TEST_DATA!B1673</f>
        <v>Mar-2020</v>
      </c>
      <c r="C1673">
        <f>TEST_DATA!C1673</f>
        <v>44847</v>
      </c>
      <c r="D1673" t="str">
        <f>TEST_DATA!D1673</f>
        <v>NON-NIL</v>
      </c>
      <c r="E1673">
        <f>TEST_DATA!E1673</f>
        <v>2017</v>
      </c>
      <c r="F1673">
        <f>MIN(E1673*167300,10000)</f>
        <v>10000</v>
      </c>
      <c r="G1673" t="e">
        <f ca="1">_xludf.MINIFS(CBIC_Late_Fee_Relief_Windows_1!$I$100:$I$1673,CBIC_Late_Fee_Relief_Windows_1!$D$100:$D$1673,"&lt;="&amp;B1673,CBIC_Late_Fee_Relief_Windows_1!$E$100:$E$1673,"&gt;="&amp;B1673,CBIC_Late_Fee_Relief_Windows_1!$F$100:$F$1673,"&lt;="&amp;C1673,CBIC_Late_Fee_Relief_Windows_1!$G$100:$G$1673,"&gt;="&amp;C1673,CBIC_Late_Fee_Relief_Windows_1!$H$100:$H$1673,D1673)</f>
        <v>#NAME?</v>
      </c>
      <c r="H1673" t="e">
        <f t="shared" ca="1" si="26"/>
        <v>#NAME?</v>
      </c>
      <c r="I1673" t="e">
        <f ca="1">INDEX(CBIC_Late_Fee_Relief_Windows_1!$B$100:$B$1673,MATCH(G1673,CBIC_Late_Fee_Relief_Windows_1!$I$100:$I$1673,0))</f>
        <v>#NAME?</v>
      </c>
    </row>
    <row r="1674" spans="1:9" x14ac:dyDescent="0.55000000000000004">
      <c r="A1674" t="str">
        <f>TEST_DATA!A1674</f>
        <v>27AAAAA1674Z5</v>
      </c>
      <c r="B1674" t="str">
        <f>TEST_DATA!B1674</f>
        <v>Apr-2021</v>
      </c>
      <c r="C1674">
        <f>TEST_DATA!C1674</f>
        <v>44202</v>
      </c>
      <c r="D1674" t="str">
        <f>TEST_DATA!D1674</f>
        <v>NIL</v>
      </c>
      <c r="E1674">
        <f>TEST_DATA!E1674</f>
        <v>2902</v>
      </c>
      <c r="F1674">
        <f>MIN(E1674*167400,10000)</f>
        <v>10000</v>
      </c>
      <c r="G1674" t="e">
        <f ca="1">_xludf.MINIFS(CBIC_Late_Fee_Relief_Windows_1!$I$100:$I$1674,CBIC_Late_Fee_Relief_Windows_1!$D$100:$D$1674,"&lt;="&amp;B1674,CBIC_Late_Fee_Relief_Windows_1!$E$100:$E$1674,"&gt;="&amp;B1674,CBIC_Late_Fee_Relief_Windows_1!$F$100:$F$1674,"&lt;="&amp;C1674,CBIC_Late_Fee_Relief_Windows_1!$G$100:$G$1674,"&gt;="&amp;C1674,CBIC_Late_Fee_Relief_Windows_1!$H$100:$H$1674,D1674)</f>
        <v>#NAME?</v>
      </c>
      <c r="H1674" t="e">
        <f t="shared" ca="1" si="26"/>
        <v>#NAME?</v>
      </c>
      <c r="I1674" t="e">
        <f ca="1">INDEX(CBIC_Late_Fee_Relief_Windows_1!$B$100:$B$1674,MATCH(G1674,CBIC_Late_Fee_Relief_Windows_1!$I$100:$I$1674,0))</f>
        <v>#NAME?</v>
      </c>
    </row>
    <row r="1675" spans="1:9" x14ac:dyDescent="0.55000000000000004">
      <c r="A1675" t="str">
        <f>TEST_DATA!A1675</f>
        <v>27AAAAA1675Z5</v>
      </c>
      <c r="B1675" t="str">
        <f>TEST_DATA!B1675</f>
        <v>Apr-2018</v>
      </c>
      <c r="C1675">
        <f>TEST_DATA!C1675</f>
        <v>43313</v>
      </c>
      <c r="D1675" t="str">
        <f>TEST_DATA!D1675</f>
        <v>NIL</v>
      </c>
      <c r="E1675">
        <f>TEST_DATA!E1675</f>
        <v>484</v>
      </c>
      <c r="F1675">
        <f>MIN(E1675*167500,10000)</f>
        <v>10000</v>
      </c>
      <c r="G1675" t="e">
        <f ca="1">_xludf.MINIFS(CBIC_Late_Fee_Relief_Windows_1!$I$100:$I$1675,CBIC_Late_Fee_Relief_Windows_1!$D$100:$D$1675,"&lt;="&amp;B1675,CBIC_Late_Fee_Relief_Windows_1!$E$100:$E$1675,"&gt;="&amp;B1675,CBIC_Late_Fee_Relief_Windows_1!$F$100:$F$1675,"&lt;="&amp;C1675,CBIC_Late_Fee_Relief_Windows_1!$G$100:$G$1675,"&gt;="&amp;C1675,CBIC_Late_Fee_Relief_Windows_1!$H$100:$H$1675,D1675)</f>
        <v>#NAME?</v>
      </c>
      <c r="H1675" t="e">
        <f t="shared" ca="1" si="26"/>
        <v>#NAME?</v>
      </c>
      <c r="I1675" t="e">
        <f ca="1">INDEX(CBIC_Late_Fee_Relief_Windows_1!$B$100:$B$1675,MATCH(G1675,CBIC_Late_Fee_Relief_Windows_1!$I$100:$I$1675,0))</f>
        <v>#NAME?</v>
      </c>
    </row>
    <row r="1676" spans="1:9" x14ac:dyDescent="0.55000000000000004">
      <c r="A1676" t="str">
        <f>TEST_DATA!A1676</f>
        <v>27AAAAA1676Z5</v>
      </c>
      <c r="B1676" t="str">
        <f>TEST_DATA!B1676</f>
        <v>Jul-2017</v>
      </c>
      <c r="C1676">
        <f>TEST_DATA!C1676</f>
        <v>43869</v>
      </c>
      <c r="D1676" t="str">
        <f>TEST_DATA!D1676</f>
        <v>NIL</v>
      </c>
      <c r="E1676">
        <f>TEST_DATA!E1676</f>
        <v>849</v>
      </c>
      <c r="F1676">
        <f>MIN(E1676*167600,10000)</f>
        <v>10000</v>
      </c>
      <c r="G1676" t="e">
        <f ca="1">_xludf.MINIFS(CBIC_Late_Fee_Relief_Windows_1!$I$100:$I$1676,CBIC_Late_Fee_Relief_Windows_1!$D$100:$D$1676,"&lt;="&amp;B1676,CBIC_Late_Fee_Relief_Windows_1!$E$100:$E$1676,"&gt;="&amp;B1676,CBIC_Late_Fee_Relief_Windows_1!$F$100:$F$1676,"&lt;="&amp;C1676,CBIC_Late_Fee_Relief_Windows_1!$G$100:$G$1676,"&gt;="&amp;C1676,CBIC_Late_Fee_Relief_Windows_1!$H$100:$H$1676,D1676)</f>
        <v>#NAME?</v>
      </c>
      <c r="H1676" t="e">
        <f t="shared" ca="1" si="26"/>
        <v>#NAME?</v>
      </c>
      <c r="I1676" t="e">
        <f ca="1">INDEX(CBIC_Late_Fee_Relief_Windows_1!$B$100:$B$1676,MATCH(G1676,CBIC_Late_Fee_Relief_Windows_1!$I$100:$I$1676,0))</f>
        <v>#NAME?</v>
      </c>
    </row>
    <row r="1677" spans="1:9" x14ac:dyDescent="0.55000000000000004">
      <c r="A1677" t="str">
        <f>TEST_DATA!A1677</f>
        <v>27AAAAA1677Z5</v>
      </c>
      <c r="B1677" t="str">
        <f>TEST_DATA!B1677</f>
        <v>Apr-2021</v>
      </c>
      <c r="C1677">
        <f>TEST_DATA!C1677</f>
        <v>45164</v>
      </c>
      <c r="D1677" t="str">
        <f>TEST_DATA!D1677</f>
        <v>NON-NIL</v>
      </c>
      <c r="E1677">
        <f>TEST_DATA!E1677</f>
        <v>186</v>
      </c>
      <c r="F1677">
        <f>MIN(E1677*167700,10000)</f>
        <v>10000</v>
      </c>
      <c r="G1677" t="e">
        <f ca="1">_xludf.MINIFS(CBIC_Late_Fee_Relief_Windows_1!$I$100:$I$1677,CBIC_Late_Fee_Relief_Windows_1!$D$100:$D$1677,"&lt;="&amp;B1677,CBIC_Late_Fee_Relief_Windows_1!$E$100:$E$1677,"&gt;="&amp;B1677,CBIC_Late_Fee_Relief_Windows_1!$F$100:$F$1677,"&lt;="&amp;C1677,CBIC_Late_Fee_Relief_Windows_1!$G$100:$G$1677,"&gt;="&amp;C1677,CBIC_Late_Fee_Relief_Windows_1!$H$100:$H$1677,D1677)</f>
        <v>#NAME?</v>
      </c>
      <c r="H1677" t="e">
        <f t="shared" ca="1" si="26"/>
        <v>#NAME?</v>
      </c>
      <c r="I1677" t="e">
        <f ca="1">INDEX(CBIC_Late_Fee_Relief_Windows_1!$B$100:$B$1677,MATCH(G1677,CBIC_Late_Fee_Relief_Windows_1!$I$100:$I$1677,0))</f>
        <v>#NAME?</v>
      </c>
    </row>
    <row r="1678" spans="1:9" x14ac:dyDescent="0.55000000000000004">
      <c r="A1678" t="str">
        <f>TEST_DATA!A1678</f>
        <v>27AAAAA1678Z5</v>
      </c>
      <c r="B1678" t="str">
        <f>TEST_DATA!B1678</f>
        <v>May-2018</v>
      </c>
      <c r="C1678">
        <f>TEST_DATA!C1678</f>
        <v>43633</v>
      </c>
      <c r="D1678" t="str">
        <f>TEST_DATA!D1678</f>
        <v>NIL</v>
      </c>
      <c r="E1678">
        <f>TEST_DATA!E1678</f>
        <v>46</v>
      </c>
      <c r="F1678">
        <f>MIN(E1678*167800,10000)</f>
        <v>10000</v>
      </c>
      <c r="G1678" t="e">
        <f ca="1">_xludf.MINIFS(CBIC_Late_Fee_Relief_Windows_1!$I$100:$I$1678,CBIC_Late_Fee_Relief_Windows_1!$D$100:$D$1678,"&lt;="&amp;B1678,CBIC_Late_Fee_Relief_Windows_1!$E$100:$E$1678,"&gt;="&amp;B1678,CBIC_Late_Fee_Relief_Windows_1!$F$100:$F$1678,"&lt;="&amp;C1678,CBIC_Late_Fee_Relief_Windows_1!$G$100:$G$1678,"&gt;="&amp;C1678,CBIC_Late_Fee_Relief_Windows_1!$H$100:$H$1678,D1678)</f>
        <v>#NAME?</v>
      </c>
      <c r="H1678" t="e">
        <f t="shared" ca="1" si="26"/>
        <v>#NAME?</v>
      </c>
      <c r="I1678" t="e">
        <f ca="1">INDEX(CBIC_Late_Fee_Relief_Windows_1!$B$100:$B$1678,MATCH(G1678,CBIC_Late_Fee_Relief_Windows_1!$I$100:$I$1678,0))</f>
        <v>#NAME?</v>
      </c>
    </row>
    <row r="1679" spans="1:9" x14ac:dyDescent="0.55000000000000004">
      <c r="A1679" t="str">
        <f>TEST_DATA!A1679</f>
        <v>27AAAAA1679Z5</v>
      </c>
      <c r="B1679" t="str">
        <f>TEST_DATA!B1679</f>
        <v>May-2020</v>
      </c>
      <c r="C1679">
        <f>TEST_DATA!C1679</f>
        <v>44243</v>
      </c>
      <c r="D1679" t="str">
        <f>TEST_DATA!D1679</f>
        <v>NON-NIL</v>
      </c>
      <c r="E1679">
        <f>TEST_DATA!E1679</f>
        <v>1042</v>
      </c>
      <c r="F1679">
        <f>MIN(E1679*167900,10000)</f>
        <v>10000</v>
      </c>
      <c r="G1679" t="e">
        <f ca="1">_xludf.MINIFS(CBIC_Late_Fee_Relief_Windows_1!$I$100:$I$1679,CBIC_Late_Fee_Relief_Windows_1!$D$100:$D$1679,"&lt;="&amp;B1679,CBIC_Late_Fee_Relief_Windows_1!$E$100:$E$1679,"&gt;="&amp;B1679,CBIC_Late_Fee_Relief_Windows_1!$F$100:$F$1679,"&lt;="&amp;C1679,CBIC_Late_Fee_Relief_Windows_1!$G$100:$G$1679,"&gt;="&amp;C1679,CBIC_Late_Fee_Relief_Windows_1!$H$100:$H$1679,D1679)</f>
        <v>#NAME?</v>
      </c>
      <c r="H1679" t="e">
        <f t="shared" ca="1" si="26"/>
        <v>#NAME?</v>
      </c>
      <c r="I1679" t="e">
        <f ca="1">INDEX(CBIC_Late_Fee_Relief_Windows_1!$B$100:$B$1679,MATCH(G1679,CBIC_Late_Fee_Relief_Windows_1!$I$100:$I$1679,0))</f>
        <v>#NAME?</v>
      </c>
    </row>
    <row r="1680" spans="1:9" x14ac:dyDescent="0.55000000000000004">
      <c r="A1680" t="str">
        <f>TEST_DATA!A1680</f>
        <v>27AAAAA1680Z5</v>
      </c>
      <c r="B1680" t="str">
        <f>TEST_DATA!B1680</f>
        <v>Apr-2021</v>
      </c>
      <c r="C1680">
        <f>TEST_DATA!C1680</f>
        <v>43743</v>
      </c>
      <c r="D1680" t="str">
        <f>TEST_DATA!D1680</f>
        <v>NON-NIL</v>
      </c>
      <c r="E1680">
        <f>TEST_DATA!E1680</f>
        <v>1229</v>
      </c>
      <c r="F1680">
        <f>MIN(E1680*168000,10000)</f>
        <v>10000</v>
      </c>
      <c r="G1680" t="e">
        <f ca="1">_xludf.MINIFS(CBIC_Late_Fee_Relief_Windows_1!$I$100:$I$1680,CBIC_Late_Fee_Relief_Windows_1!$D$100:$D$1680,"&lt;="&amp;B1680,CBIC_Late_Fee_Relief_Windows_1!$E$100:$E$1680,"&gt;="&amp;B1680,CBIC_Late_Fee_Relief_Windows_1!$F$100:$F$1680,"&lt;="&amp;C1680,CBIC_Late_Fee_Relief_Windows_1!$G$100:$G$1680,"&gt;="&amp;C1680,CBIC_Late_Fee_Relief_Windows_1!$H$100:$H$1680,D1680)</f>
        <v>#NAME?</v>
      </c>
      <c r="H1680" t="e">
        <f t="shared" ca="1" si="26"/>
        <v>#NAME?</v>
      </c>
      <c r="I1680" t="e">
        <f ca="1">INDEX(CBIC_Late_Fee_Relief_Windows_1!$B$100:$B$1680,MATCH(G1680,CBIC_Late_Fee_Relief_Windows_1!$I$100:$I$1680,0))</f>
        <v>#NAME?</v>
      </c>
    </row>
    <row r="1681" spans="1:9" x14ac:dyDescent="0.55000000000000004">
      <c r="A1681" t="str">
        <f>TEST_DATA!A1681</f>
        <v>27AAAAA1681Z5</v>
      </c>
      <c r="B1681" t="str">
        <f>TEST_DATA!B1681</f>
        <v>Jun-2019</v>
      </c>
      <c r="C1681">
        <f>TEST_DATA!C1681</f>
        <v>45718</v>
      </c>
      <c r="D1681" t="str">
        <f>TEST_DATA!D1681</f>
        <v>NON-NIL</v>
      </c>
      <c r="E1681">
        <f>TEST_DATA!E1681</f>
        <v>25</v>
      </c>
      <c r="F1681">
        <f>MIN(E1681*168100,10000)</f>
        <v>10000</v>
      </c>
      <c r="G1681" t="e">
        <f ca="1">_xludf.MINIFS(CBIC_Late_Fee_Relief_Windows_1!$I$100:$I$1681,CBIC_Late_Fee_Relief_Windows_1!$D$100:$D$1681,"&lt;="&amp;B1681,CBIC_Late_Fee_Relief_Windows_1!$E$100:$E$1681,"&gt;="&amp;B1681,CBIC_Late_Fee_Relief_Windows_1!$F$100:$F$1681,"&lt;="&amp;C1681,CBIC_Late_Fee_Relief_Windows_1!$G$100:$G$1681,"&gt;="&amp;C1681,CBIC_Late_Fee_Relief_Windows_1!$H$100:$H$1681,D1681)</f>
        <v>#NAME?</v>
      </c>
      <c r="H1681" t="e">
        <f t="shared" ca="1" si="26"/>
        <v>#NAME?</v>
      </c>
      <c r="I1681" t="e">
        <f ca="1">INDEX(CBIC_Late_Fee_Relief_Windows_1!$B$100:$B$1681,MATCH(G1681,CBIC_Late_Fee_Relief_Windows_1!$I$100:$I$1681,0))</f>
        <v>#NAME?</v>
      </c>
    </row>
    <row r="1682" spans="1:9" x14ac:dyDescent="0.55000000000000004">
      <c r="A1682" t="str">
        <f>TEST_DATA!A1682</f>
        <v>27AAAAA1682Z5</v>
      </c>
      <c r="B1682" t="str">
        <f>TEST_DATA!B1682</f>
        <v>Oct-2017</v>
      </c>
      <c r="C1682">
        <f>TEST_DATA!C1682</f>
        <v>44321</v>
      </c>
      <c r="D1682" t="str">
        <f>TEST_DATA!D1682</f>
        <v>NON-NIL</v>
      </c>
      <c r="E1682">
        <f>TEST_DATA!E1682</f>
        <v>1398</v>
      </c>
      <c r="F1682">
        <f>MIN(E1682*168200,10000)</f>
        <v>10000</v>
      </c>
      <c r="G1682" t="e">
        <f ca="1">_xludf.MINIFS(CBIC_Late_Fee_Relief_Windows_1!$I$100:$I$1682,CBIC_Late_Fee_Relief_Windows_1!$D$100:$D$1682,"&lt;="&amp;B1682,CBIC_Late_Fee_Relief_Windows_1!$E$100:$E$1682,"&gt;="&amp;B1682,CBIC_Late_Fee_Relief_Windows_1!$F$100:$F$1682,"&lt;="&amp;C1682,CBIC_Late_Fee_Relief_Windows_1!$G$100:$G$1682,"&gt;="&amp;C1682,CBIC_Late_Fee_Relief_Windows_1!$H$100:$H$1682,D1682)</f>
        <v>#NAME?</v>
      </c>
      <c r="H1682" t="e">
        <f t="shared" ca="1" si="26"/>
        <v>#NAME?</v>
      </c>
      <c r="I1682" t="e">
        <f ca="1">INDEX(CBIC_Late_Fee_Relief_Windows_1!$B$100:$B$1682,MATCH(G1682,CBIC_Late_Fee_Relief_Windows_1!$I$100:$I$1682,0))</f>
        <v>#NAME?</v>
      </c>
    </row>
    <row r="1683" spans="1:9" x14ac:dyDescent="0.55000000000000004">
      <c r="A1683" t="str">
        <f>TEST_DATA!A1683</f>
        <v>27AAAAA1683Z5</v>
      </c>
      <c r="B1683" t="str">
        <f>TEST_DATA!B1683</f>
        <v>Jul-2018</v>
      </c>
      <c r="C1683">
        <f>TEST_DATA!C1683</f>
        <v>44400</v>
      </c>
      <c r="D1683" t="str">
        <f>TEST_DATA!D1683</f>
        <v>NIL</v>
      </c>
      <c r="E1683">
        <f>TEST_DATA!E1683</f>
        <v>719</v>
      </c>
      <c r="F1683">
        <f>MIN(E1683*168300,10000)</f>
        <v>10000</v>
      </c>
      <c r="G1683" t="e">
        <f ca="1">_xludf.MINIFS(CBIC_Late_Fee_Relief_Windows_1!$I$100:$I$1683,CBIC_Late_Fee_Relief_Windows_1!$D$100:$D$1683,"&lt;="&amp;B1683,CBIC_Late_Fee_Relief_Windows_1!$E$100:$E$1683,"&gt;="&amp;B1683,CBIC_Late_Fee_Relief_Windows_1!$F$100:$F$1683,"&lt;="&amp;C1683,CBIC_Late_Fee_Relief_Windows_1!$G$100:$G$1683,"&gt;="&amp;C1683,CBIC_Late_Fee_Relief_Windows_1!$H$100:$H$1683,D1683)</f>
        <v>#NAME?</v>
      </c>
      <c r="H1683" t="e">
        <f t="shared" ca="1" si="26"/>
        <v>#NAME?</v>
      </c>
      <c r="I1683" t="e">
        <f ca="1">INDEX(CBIC_Late_Fee_Relief_Windows_1!$B$100:$B$1683,MATCH(G1683,CBIC_Late_Fee_Relief_Windows_1!$I$100:$I$1683,0))</f>
        <v>#NAME?</v>
      </c>
    </row>
    <row r="1684" spans="1:9" x14ac:dyDescent="0.55000000000000004">
      <c r="A1684" t="str">
        <f>TEST_DATA!A1684</f>
        <v>27AAAAA1684Z5</v>
      </c>
      <c r="B1684" t="str">
        <f>TEST_DATA!B1684</f>
        <v>Jan-2018</v>
      </c>
      <c r="C1684">
        <f>TEST_DATA!C1684</f>
        <v>43593</v>
      </c>
      <c r="D1684" t="str">
        <f>TEST_DATA!D1684</f>
        <v>NON-NIL</v>
      </c>
      <c r="E1684">
        <f>TEST_DATA!E1684</f>
        <v>2754</v>
      </c>
      <c r="F1684">
        <f>MIN(E1684*168400,10000)</f>
        <v>10000</v>
      </c>
      <c r="G1684" t="e">
        <f ca="1">_xludf.MINIFS(CBIC_Late_Fee_Relief_Windows_1!$I$100:$I$1684,CBIC_Late_Fee_Relief_Windows_1!$D$100:$D$1684,"&lt;="&amp;B1684,CBIC_Late_Fee_Relief_Windows_1!$E$100:$E$1684,"&gt;="&amp;B1684,CBIC_Late_Fee_Relief_Windows_1!$F$100:$F$1684,"&lt;="&amp;C1684,CBIC_Late_Fee_Relief_Windows_1!$G$100:$G$1684,"&gt;="&amp;C1684,CBIC_Late_Fee_Relief_Windows_1!$H$100:$H$1684,D1684)</f>
        <v>#NAME?</v>
      </c>
      <c r="H1684" t="e">
        <f t="shared" ca="1" si="26"/>
        <v>#NAME?</v>
      </c>
      <c r="I1684" t="e">
        <f ca="1">INDEX(CBIC_Late_Fee_Relief_Windows_1!$B$100:$B$1684,MATCH(G1684,CBIC_Late_Fee_Relief_Windows_1!$I$100:$I$1684,0))</f>
        <v>#NAME?</v>
      </c>
    </row>
    <row r="1685" spans="1:9" x14ac:dyDescent="0.55000000000000004">
      <c r="A1685" t="str">
        <f>TEST_DATA!A1685</f>
        <v>27AAAAA1685Z5</v>
      </c>
      <c r="B1685" t="str">
        <f>TEST_DATA!B1685</f>
        <v>Jan-2019</v>
      </c>
      <c r="C1685">
        <f>TEST_DATA!C1685</f>
        <v>45409</v>
      </c>
      <c r="D1685" t="str">
        <f>TEST_DATA!D1685</f>
        <v>NIL</v>
      </c>
      <c r="E1685">
        <f>TEST_DATA!E1685</f>
        <v>2644</v>
      </c>
      <c r="F1685">
        <f>MIN(E1685*168500,10000)</f>
        <v>10000</v>
      </c>
      <c r="G1685" t="e">
        <f ca="1">_xludf.MINIFS(CBIC_Late_Fee_Relief_Windows_1!$I$100:$I$1685,CBIC_Late_Fee_Relief_Windows_1!$D$100:$D$1685,"&lt;="&amp;B1685,CBIC_Late_Fee_Relief_Windows_1!$E$100:$E$1685,"&gt;="&amp;B1685,CBIC_Late_Fee_Relief_Windows_1!$F$100:$F$1685,"&lt;="&amp;C1685,CBIC_Late_Fee_Relief_Windows_1!$G$100:$G$1685,"&gt;="&amp;C1685,CBIC_Late_Fee_Relief_Windows_1!$H$100:$H$1685,D1685)</f>
        <v>#NAME?</v>
      </c>
      <c r="H1685" t="e">
        <f t="shared" ca="1" si="26"/>
        <v>#NAME?</v>
      </c>
      <c r="I1685" t="e">
        <f ca="1">INDEX(CBIC_Late_Fee_Relief_Windows_1!$B$100:$B$1685,MATCH(G1685,CBIC_Late_Fee_Relief_Windows_1!$I$100:$I$1685,0))</f>
        <v>#NAME?</v>
      </c>
    </row>
    <row r="1686" spans="1:9" x14ac:dyDescent="0.55000000000000004">
      <c r="A1686" t="str">
        <f>TEST_DATA!A1686</f>
        <v>27AAAAA1686Z5</v>
      </c>
      <c r="B1686" t="str">
        <f>TEST_DATA!B1686</f>
        <v>Nov-2017</v>
      </c>
      <c r="C1686">
        <f>TEST_DATA!C1686</f>
        <v>43903</v>
      </c>
      <c r="D1686" t="str">
        <f>TEST_DATA!D1686</f>
        <v>NIL</v>
      </c>
      <c r="E1686">
        <f>TEST_DATA!E1686</f>
        <v>2569</v>
      </c>
      <c r="F1686">
        <f>MIN(E1686*168600,10000)</f>
        <v>10000</v>
      </c>
      <c r="G1686" t="e">
        <f ca="1">_xludf.MINIFS(CBIC_Late_Fee_Relief_Windows_1!$I$100:$I$1686,CBIC_Late_Fee_Relief_Windows_1!$D$100:$D$1686,"&lt;="&amp;B1686,CBIC_Late_Fee_Relief_Windows_1!$E$100:$E$1686,"&gt;="&amp;B1686,CBIC_Late_Fee_Relief_Windows_1!$F$100:$F$1686,"&lt;="&amp;C1686,CBIC_Late_Fee_Relief_Windows_1!$G$100:$G$1686,"&gt;="&amp;C1686,CBIC_Late_Fee_Relief_Windows_1!$H$100:$H$1686,D1686)</f>
        <v>#NAME?</v>
      </c>
      <c r="H1686" t="e">
        <f t="shared" ca="1" si="26"/>
        <v>#NAME?</v>
      </c>
      <c r="I1686" t="e">
        <f ca="1">INDEX(CBIC_Late_Fee_Relief_Windows_1!$B$100:$B$1686,MATCH(G1686,CBIC_Late_Fee_Relief_Windows_1!$I$100:$I$1686,0))</f>
        <v>#NAME?</v>
      </c>
    </row>
    <row r="1687" spans="1:9" x14ac:dyDescent="0.55000000000000004">
      <c r="A1687" t="str">
        <f>TEST_DATA!A1687</f>
        <v>27AAAAA1687Z5</v>
      </c>
      <c r="B1687" t="str">
        <f>TEST_DATA!B1687</f>
        <v>Sep-2018</v>
      </c>
      <c r="C1687">
        <f>TEST_DATA!C1687</f>
        <v>44016</v>
      </c>
      <c r="D1687" t="str">
        <f>TEST_DATA!D1687</f>
        <v>NON-NIL</v>
      </c>
      <c r="E1687">
        <f>TEST_DATA!E1687</f>
        <v>1894</v>
      </c>
      <c r="F1687">
        <f>MIN(E1687*168700,10000)</f>
        <v>10000</v>
      </c>
      <c r="G1687" t="e">
        <f ca="1">_xludf.MINIFS(CBIC_Late_Fee_Relief_Windows_1!$I$100:$I$1687,CBIC_Late_Fee_Relief_Windows_1!$D$100:$D$1687,"&lt;="&amp;B1687,CBIC_Late_Fee_Relief_Windows_1!$E$100:$E$1687,"&gt;="&amp;B1687,CBIC_Late_Fee_Relief_Windows_1!$F$100:$F$1687,"&lt;="&amp;C1687,CBIC_Late_Fee_Relief_Windows_1!$G$100:$G$1687,"&gt;="&amp;C1687,CBIC_Late_Fee_Relief_Windows_1!$H$100:$H$1687,D1687)</f>
        <v>#NAME?</v>
      </c>
      <c r="H1687" t="e">
        <f t="shared" ca="1" si="26"/>
        <v>#NAME?</v>
      </c>
      <c r="I1687" t="e">
        <f ca="1">INDEX(CBIC_Late_Fee_Relief_Windows_1!$B$100:$B$1687,MATCH(G1687,CBIC_Late_Fee_Relief_Windows_1!$I$100:$I$1687,0))</f>
        <v>#NAME?</v>
      </c>
    </row>
    <row r="1688" spans="1:9" x14ac:dyDescent="0.55000000000000004">
      <c r="A1688" t="str">
        <f>TEST_DATA!A1688</f>
        <v>27AAAAA1688Z5</v>
      </c>
      <c r="B1688" t="str">
        <f>TEST_DATA!B1688</f>
        <v>Apr-2021</v>
      </c>
      <c r="C1688">
        <f>TEST_DATA!C1688</f>
        <v>45161</v>
      </c>
      <c r="D1688" t="str">
        <f>TEST_DATA!D1688</f>
        <v>NIL</v>
      </c>
      <c r="E1688">
        <f>TEST_DATA!E1688</f>
        <v>2134</v>
      </c>
      <c r="F1688">
        <f>MIN(E1688*168800,10000)</f>
        <v>10000</v>
      </c>
      <c r="G1688" t="e">
        <f ca="1">_xludf.MINIFS(CBIC_Late_Fee_Relief_Windows_1!$I$100:$I$1688,CBIC_Late_Fee_Relief_Windows_1!$D$100:$D$1688,"&lt;="&amp;B1688,CBIC_Late_Fee_Relief_Windows_1!$E$100:$E$1688,"&gt;="&amp;B1688,CBIC_Late_Fee_Relief_Windows_1!$F$100:$F$1688,"&lt;="&amp;C1688,CBIC_Late_Fee_Relief_Windows_1!$G$100:$G$1688,"&gt;="&amp;C1688,CBIC_Late_Fee_Relief_Windows_1!$H$100:$H$1688,D1688)</f>
        <v>#NAME?</v>
      </c>
      <c r="H1688" t="e">
        <f t="shared" ca="1" si="26"/>
        <v>#NAME?</v>
      </c>
      <c r="I1688" t="e">
        <f ca="1">INDEX(CBIC_Late_Fee_Relief_Windows_1!$B$100:$B$1688,MATCH(G1688,CBIC_Late_Fee_Relief_Windows_1!$I$100:$I$1688,0))</f>
        <v>#NAME?</v>
      </c>
    </row>
    <row r="1689" spans="1:9" x14ac:dyDescent="0.55000000000000004">
      <c r="A1689" t="str">
        <f>TEST_DATA!A1689</f>
        <v>27AAAAA1689Z5</v>
      </c>
      <c r="B1689" t="str">
        <f>TEST_DATA!B1689</f>
        <v>Apr-2018</v>
      </c>
      <c r="C1689">
        <f>TEST_DATA!C1689</f>
        <v>44074</v>
      </c>
      <c r="D1689" t="str">
        <f>TEST_DATA!D1689</f>
        <v>NON-NIL</v>
      </c>
      <c r="E1689">
        <f>TEST_DATA!E1689</f>
        <v>2274</v>
      </c>
      <c r="F1689">
        <f>MIN(E1689*168900,10000)</f>
        <v>10000</v>
      </c>
      <c r="G1689" t="e">
        <f ca="1">_xludf.MINIFS(CBIC_Late_Fee_Relief_Windows_1!$I$100:$I$1689,CBIC_Late_Fee_Relief_Windows_1!$D$100:$D$1689,"&lt;="&amp;B1689,CBIC_Late_Fee_Relief_Windows_1!$E$100:$E$1689,"&gt;="&amp;B1689,CBIC_Late_Fee_Relief_Windows_1!$F$100:$F$1689,"&lt;="&amp;C1689,CBIC_Late_Fee_Relief_Windows_1!$G$100:$G$1689,"&gt;="&amp;C1689,CBIC_Late_Fee_Relief_Windows_1!$H$100:$H$1689,D1689)</f>
        <v>#NAME?</v>
      </c>
      <c r="H1689" t="e">
        <f t="shared" ca="1" si="26"/>
        <v>#NAME?</v>
      </c>
      <c r="I1689" t="e">
        <f ca="1">INDEX(CBIC_Late_Fee_Relief_Windows_1!$B$100:$B$1689,MATCH(G1689,CBIC_Late_Fee_Relief_Windows_1!$I$100:$I$1689,0))</f>
        <v>#NAME?</v>
      </c>
    </row>
    <row r="1690" spans="1:9" x14ac:dyDescent="0.55000000000000004">
      <c r="A1690" t="str">
        <f>TEST_DATA!A1690</f>
        <v>27AAAAA1690Z5</v>
      </c>
      <c r="B1690" t="str">
        <f>TEST_DATA!B1690</f>
        <v>Dec-2019</v>
      </c>
      <c r="C1690">
        <f>TEST_DATA!C1690</f>
        <v>43542</v>
      </c>
      <c r="D1690" t="str">
        <f>TEST_DATA!D1690</f>
        <v>NIL</v>
      </c>
      <c r="E1690">
        <f>TEST_DATA!E1690</f>
        <v>2365</v>
      </c>
      <c r="F1690">
        <f>MIN(E1690*169000,10000)</f>
        <v>10000</v>
      </c>
      <c r="G1690" t="e">
        <f ca="1">_xludf.MINIFS(CBIC_Late_Fee_Relief_Windows_1!$I$100:$I$1690,CBIC_Late_Fee_Relief_Windows_1!$D$100:$D$1690,"&lt;="&amp;B1690,CBIC_Late_Fee_Relief_Windows_1!$E$100:$E$1690,"&gt;="&amp;B1690,CBIC_Late_Fee_Relief_Windows_1!$F$100:$F$1690,"&lt;="&amp;C1690,CBIC_Late_Fee_Relief_Windows_1!$G$100:$G$1690,"&gt;="&amp;C1690,CBIC_Late_Fee_Relief_Windows_1!$H$100:$H$1690,D1690)</f>
        <v>#NAME?</v>
      </c>
      <c r="H1690" t="e">
        <f t="shared" ca="1" si="26"/>
        <v>#NAME?</v>
      </c>
      <c r="I1690" t="e">
        <f ca="1">INDEX(CBIC_Late_Fee_Relief_Windows_1!$B$100:$B$1690,MATCH(G1690,CBIC_Late_Fee_Relief_Windows_1!$I$100:$I$1690,0))</f>
        <v>#NAME?</v>
      </c>
    </row>
    <row r="1691" spans="1:9" x14ac:dyDescent="0.55000000000000004">
      <c r="A1691" t="str">
        <f>TEST_DATA!A1691</f>
        <v>27AAAAA1691Z5</v>
      </c>
      <c r="B1691" t="str">
        <f>TEST_DATA!B1691</f>
        <v>Jun-2020</v>
      </c>
      <c r="C1691">
        <f>TEST_DATA!C1691</f>
        <v>44510</v>
      </c>
      <c r="D1691" t="str">
        <f>TEST_DATA!D1691</f>
        <v>NON-NIL</v>
      </c>
      <c r="E1691">
        <f>TEST_DATA!E1691</f>
        <v>271</v>
      </c>
      <c r="F1691">
        <f>MIN(E1691*169100,10000)</f>
        <v>10000</v>
      </c>
      <c r="G1691" t="e">
        <f ca="1">_xludf.MINIFS(CBIC_Late_Fee_Relief_Windows_1!$I$100:$I$1691,CBIC_Late_Fee_Relief_Windows_1!$D$100:$D$1691,"&lt;="&amp;B1691,CBIC_Late_Fee_Relief_Windows_1!$E$100:$E$1691,"&gt;="&amp;B1691,CBIC_Late_Fee_Relief_Windows_1!$F$100:$F$1691,"&lt;="&amp;C1691,CBIC_Late_Fee_Relief_Windows_1!$G$100:$G$1691,"&gt;="&amp;C1691,CBIC_Late_Fee_Relief_Windows_1!$H$100:$H$1691,D1691)</f>
        <v>#NAME?</v>
      </c>
      <c r="H1691" t="e">
        <f t="shared" ca="1" si="26"/>
        <v>#NAME?</v>
      </c>
      <c r="I1691" t="e">
        <f ca="1">INDEX(CBIC_Late_Fee_Relief_Windows_1!$B$100:$B$1691,MATCH(G1691,CBIC_Late_Fee_Relief_Windows_1!$I$100:$I$1691,0))</f>
        <v>#NAME?</v>
      </c>
    </row>
    <row r="1692" spans="1:9" x14ac:dyDescent="0.55000000000000004">
      <c r="A1692" t="str">
        <f>TEST_DATA!A1692</f>
        <v>27AAAAA1692Z5</v>
      </c>
      <c r="B1692" t="str">
        <f>TEST_DATA!B1692</f>
        <v>Nov-2017</v>
      </c>
      <c r="C1692">
        <f>TEST_DATA!C1692</f>
        <v>43491</v>
      </c>
      <c r="D1692" t="str">
        <f>TEST_DATA!D1692</f>
        <v>NIL</v>
      </c>
      <c r="E1692">
        <f>TEST_DATA!E1692</f>
        <v>1389</v>
      </c>
      <c r="F1692">
        <f>MIN(E1692*169200,10000)</f>
        <v>10000</v>
      </c>
      <c r="G1692" t="e">
        <f ca="1">_xludf.MINIFS(CBIC_Late_Fee_Relief_Windows_1!$I$100:$I$1692,CBIC_Late_Fee_Relief_Windows_1!$D$100:$D$1692,"&lt;="&amp;B1692,CBIC_Late_Fee_Relief_Windows_1!$E$100:$E$1692,"&gt;="&amp;B1692,CBIC_Late_Fee_Relief_Windows_1!$F$100:$F$1692,"&lt;="&amp;C1692,CBIC_Late_Fee_Relief_Windows_1!$G$100:$G$1692,"&gt;="&amp;C1692,CBIC_Late_Fee_Relief_Windows_1!$H$100:$H$1692,D1692)</f>
        <v>#NAME?</v>
      </c>
      <c r="H1692" t="e">
        <f t="shared" ca="1" si="26"/>
        <v>#NAME?</v>
      </c>
      <c r="I1692" t="e">
        <f ca="1">INDEX(CBIC_Late_Fee_Relief_Windows_1!$B$100:$B$1692,MATCH(G1692,CBIC_Late_Fee_Relief_Windows_1!$I$100:$I$1692,0))</f>
        <v>#NAME?</v>
      </c>
    </row>
    <row r="1693" spans="1:9" x14ac:dyDescent="0.55000000000000004">
      <c r="A1693" t="str">
        <f>TEST_DATA!A1693</f>
        <v>27AAAAA1693Z5</v>
      </c>
      <c r="B1693" t="str">
        <f>TEST_DATA!B1693</f>
        <v>Jul-2018</v>
      </c>
      <c r="C1693">
        <f>TEST_DATA!C1693</f>
        <v>44200</v>
      </c>
      <c r="D1693" t="str">
        <f>TEST_DATA!D1693</f>
        <v>NIL</v>
      </c>
      <c r="E1693">
        <f>TEST_DATA!E1693</f>
        <v>2338</v>
      </c>
      <c r="F1693">
        <f>MIN(E1693*169300,10000)</f>
        <v>10000</v>
      </c>
      <c r="G1693" t="e">
        <f ca="1">_xludf.MINIFS(CBIC_Late_Fee_Relief_Windows_1!$I$100:$I$1693,CBIC_Late_Fee_Relief_Windows_1!$D$100:$D$1693,"&lt;="&amp;B1693,CBIC_Late_Fee_Relief_Windows_1!$E$100:$E$1693,"&gt;="&amp;B1693,CBIC_Late_Fee_Relief_Windows_1!$F$100:$F$1693,"&lt;="&amp;C1693,CBIC_Late_Fee_Relief_Windows_1!$G$100:$G$1693,"&gt;="&amp;C1693,CBIC_Late_Fee_Relief_Windows_1!$H$100:$H$1693,D1693)</f>
        <v>#NAME?</v>
      </c>
      <c r="H1693" t="e">
        <f t="shared" ca="1" si="26"/>
        <v>#NAME?</v>
      </c>
      <c r="I1693" t="e">
        <f ca="1">INDEX(CBIC_Late_Fee_Relief_Windows_1!$B$100:$B$1693,MATCH(G1693,CBIC_Late_Fee_Relief_Windows_1!$I$100:$I$1693,0))</f>
        <v>#NAME?</v>
      </c>
    </row>
    <row r="1694" spans="1:9" x14ac:dyDescent="0.55000000000000004">
      <c r="A1694" t="str">
        <f>TEST_DATA!A1694</f>
        <v>27AAAAA1694Z5</v>
      </c>
      <c r="B1694" t="str">
        <f>TEST_DATA!B1694</f>
        <v>Apr-2020</v>
      </c>
      <c r="C1694">
        <f>TEST_DATA!C1694</f>
        <v>44628</v>
      </c>
      <c r="D1694" t="str">
        <f>TEST_DATA!D1694</f>
        <v>NIL</v>
      </c>
      <c r="E1694">
        <f>TEST_DATA!E1694</f>
        <v>2437</v>
      </c>
      <c r="F1694">
        <f>MIN(E1694*169400,10000)</f>
        <v>10000</v>
      </c>
      <c r="G1694" t="e">
        <f ca="1">_xludf.MINIFS(CBIC_Late_Fee_Relief_Windows_1!$I$100:$I$1694,CBIC_Late_Fee_Relief_Windows_1!$D$100:$D$1694,"&lt;="&amp;B1694,CBIC_Late_Fee_Relief_Windows_1!$E$100:$E$1694,"&gt;="&amp;B1694,CBIC_Late_Fee_Relief_Windows_1!$F$100:$F$1694,"&lt;="&amp;C1694,CBIC_Late_Fee_Relief_Windows_1!$G$100:$G$1694,"&gt;="&amp;C1694,CBIC_Late_Fee_Relief_Windows_1!$H$100:$H$1694,D1694)</f>
        <v>#NAME?</v>
      </c>
      <c r="H1694" t="e">
        <f t="shared" ca="1" si="26"/>
        <v>#NAME?</v>
      </c>
      <c r="I1694" t="e">
        <f ca="1">INDEX(CBIC_Late_Fee_Relief_Windows_1!$B$100:$B$1694,MATCH(G1694,CBIC_Late_Fee_Relief_Windows_1!$I$100:$I$1694,0))</f>
        <v>#NAME?</v>
      </c>
    </row>
    <row r="1695" spans="1:9" x14ac:dyDescent="0.55000000000000004">
      <c r="A1695" t="str">
        <f>TEST_DATA!A1695</f>
        <v>27AAAAA1695Z5</v>
      </c>
      <c r="B1695" t="str">
        <f>TEST_DATA!B1695</f>
        <v>Oct-2017</v>
      </c>
      <c r="C1695">
        <f>TEST_DATA!C1695</f>
        <v>44519</v>
      </c>
      <c r="D1695" t="str">
        <f>TEST_DATA!D1695</f>
        <v>NON-NIL</v>
      </c>
      <c r="E1695">
        <f>TEST_DATA!E1695</f>
        <v>2888</v>
      </c>
      <c r="F1695">
        <f>MIN(E1695*169500,10000)</f>
        <v>10000</v>
      </c>
      <c r="G1695" t="e">
        <f ca="1">_xludf.MINIFS(CBIC_Late_Fee_Relief_Windows_1!$I$100:$I$1695,CBIC_Late_Fee_Relief_Windows_1!$D$100:$D$1695,"&lt;="&amp;B1695,CBIC_Late_Fee_Relief_Windows_1!$E$100:$E$1695,"&gt;="&amp;B1695,CBIC_Late_Fee_Relief_Windows_1!$F$100:$F$1695,"&lt;="&amp;C1695,CBIC_Late_Fee_Relief_Windows_1!$G$100:$G$1695,"&gt;="&amp;C1695,CBIC_Late_Fee_Relief_Windows_1!$H$100:$H$1695,D1695)</f>
        <v>#NAME?</v>
      </c>
      <c r="H1695" t="e">
        <f t="shared" ca="1" si="26"/>
        <v>#NAME?</v>
      </c>
      <c r="I1695" t="e">
        <f ca="1">INDEX(CBIC_Late_Fee_Relief_Windows_1!$B$100:$B$1695,MATCH(G1695,CBIC_Late_Fee_Relief_Windows_1!$I$100:$I$1695,0))</f>
        <v>#NAME?</v>
      </c>
    </row>
    <row r="1696" spans="1:9" x14ac:dyDescent="0.55000000000000004">
      <c r="A1696" t="str">
        <f>TEST_DATA!A1696</f>
        <v>27AAAAA1696Z5</v>
      </c>
      <c r="B1696" t="str">
        <f>TEST_DATA!B1696</f>
        <v>Mar-2023</v>
      </c>
      <c r="C1696">
        <f>TEST_DATA!C1696</f>
        <v>44754</v>
      </c>
      <c r="D1696" t="str">
        <f>TEST_DATA!D1696</f>
        <v>NIL</v>
      </c>
      <c r="E1696">
        <f>TEST_DATA!E1696</f>
        <v>1112</v>
      </c>
      <c r="F1696">
        <f>MIN(E1696*169600,10000)</f>
        <v>10000</v>
      </c>
      <c r="G1696" t="e">
        <f ca="1">_xludf.MINIFS(CBIC_Late_Fee_Relief_Windows_1!$I$100:$I$1696,CBIC_Late_Fee_Relief_Windows_1!$D$100:$D$1696,"&lt;="&amp;B1696,CBIC_Late_Fee_Relief_Windows_1!$E$100:$E$1696,"&gt;="&amp;B1696,CBIC_Late_Fee_Relief_Windows_1!$F$100:$F$1696,"&lt;="&amp;C1696,CBIC_Late_Fee_Relief_Windows_1!$G$100:$G$1696,"&gt;="&amp;C1696,CBIC_Late_Fee_Relief_Windows_1!$H$100:$H$1696,D1696)</f>
        <v>#NAME?</v>
      </c>
      <c r="H1696" t="e">
        <f t="shared" ca="1" si="26"/>
        <v>#NAME?</v>
      </c>
      <c r="I1696" t="e">
        <f ca="1">INDEX(CBIC_Late_Fee_Relief_Windows_1!$B$100:$B$1696,MATCH(G1696,CBIC_Late_Fee_Relief_Windows_1!$I$100:$I$1696,0))</f>
        <v>#NAME?</v>
      </c>
    </row>
    <row r="1697" spans="1:9" x14ac:dyDescent="0.55000000000000004">
      <c r="A1697" t="str">
        <f>TEST_DATA!A1697</f>
        <v>27AAAAA1697Z5</v>
      </c>
      <c r="B1697" t="str">
        <f>TEST_DATA!B1697</f>
        <v>Aug-2018</v>
      </c>
      <c r="C1697">
        <f>TEST_DATA!C1697</f>
        <v>43094</v>
      </c>
      <c r="D1697" t="str">
        <f>TEST_DATA!D1697</f>
        <v>NON-NIL</v>
      </c>
      <c r="E1697">
        <f>TEST_DATA!E1697</f>
        <v>973</v>
      </c>
      <c r="F1697">
        <f>MIN(E1697*169700,10000)</f>
        <v>10000</v>
      </c>
      <c r="G1697" t="e">
        <f ca="1">_xludf.MINIFS(CBIC_Late_Fee_Relief_Windows_1!$I$100:$I$1697,CBIC_Late_Fee_Relief_Windows_1!$D$100:$D$1697,"&lt;="&amp;B1697,CBIC_Late_Fee_Relief_Windows_1!$E$100:$E$1697,"&gt;="&amp;B1697,CBIC_Late_Fee_Relief_Windows_1!$F$100:$F$1697,"&lt;="&amp;C1697,CBIC_Late_Fee_Relief_Windows_1!$G$100:$G$1697,"&gt;="&amp;C1697,CBIC_Late_Fee_Relief_Windows_1!$H$100:$H$1697,D1697)</f>
        <v>#NAME?</v>
      </c>
      <c r="H1697" t="e">
        <f t="shared" ca="1" si="26"/>
        <v>#NAME?</v>
      </c>
      <c r="I1697" t="e">
        <f ca="1">INDEX(CBIC_Late_Fee_Relief_Windows_1!$B$100:$B$1697,MATCH(G1697,CBIC_Late_Fee_Relief_Windows_1!$I$100:$I$1697,0))</f>
        <v>#NAME?</v>
      </c>
    </row>
    <row r="1698" spans="1:9" x14ac:dyDescent="0.55000000000000004">
      <c r="A1698" t="str">
        <f>TEST_DATA!A1698</f>
        <v>27AAAAA1698Z5</v>
      </c>
      <c r="B1698" t="str">
        <f>TEST_DATA!B1698</f>
        <v>Jun-2018</v>
      </c>
      <c r="C1698">
        <f>TEST_DATA!C1698</f>
        <v>43842</v>
      </c>
      <c r="D1698" t="str">
        <f>TEST_DATA!D1698</f>
        <v>NON-NIL</v>
      </c>
      <c r="E1698">
        <f>TEST_DATA!E1698</f>
        <v>885</v>
      </c>
      <c r="F1698">
        <f>MIN(E1698*169800,10000)</f>
        <v>10000</v>
      </c>
      <c r="G1698" t="e">
        <f ca="1">_xludf.MINIFS(CBIC_Late_Fee_Relief_Windows_1!$I$100:$I$1698,CBIC_Late_Fee_Relief_Windows_1!$D$100:$D$1698,"&lt;="&amp;B1698,CBIC_Late_Fee_Relief_Windows_1!$E$100:$E$1698,"&gt;="&amp;B1698,CBIC_Late_Fee_Relief_Windows_1!$F$100:$F$1698,"&lt;="&amp;C1698,CBIC_Late_Fee_Relief_Windows_1!$G$100:$G$1698,"&gt;="&amp;C1698,CBIC_Late_Fee_Relief_Windows_1!$H$100:$H$1698,D1698)</f>
        <v>#NAME?</v>
      </c>
      <c r="H1698" t="e">
        <f t="shared" ca="1" si="26"/>
        <v>#NAME?</v>
      </c>
      <c r="I1698" t="e">
        <f ca="1">INDEX(CBIC_Late_Fee_Relief_Windows_1!$B$100:$B$1698,MATCH(G1698,CBIC_Late_Fee_Relief_Windows_1!$I$100:$I$1698,0))</f>
        <v>#NAME?</v>
      </c>
    </row>
    <row r="1699" spans="1:9" x14ac:dyDescent="0.55000000000000004">
      <c r="A1699" t="str">
        <f>TEST_DATA!A1699</f>
        <v>27AAAAA1699Z5</v>
      </c>
      <c r="B1699" t="str">
        <f>TEST_DATA!B1699</f>
        <v>Jun-2019</v>
      </c>
      <c r="C1699">
        <f>TEST_DATA!C1699</f>
        <v>44704</v>
      </c>
      <c r="D1699" t="str">
        <f>TEST_DATA!D1699</f>
        <v>NIL</v>
      </c>
      <c r="E1699">
        <f>TEST_DATA!E1699</f>
        <v>459</v>
      </c>
      <c r="F1699">
        <f>MIN(E1699*169900,10000)</f>
        <v>10000</v>
      </c>
      <c r="G1699" t="e">
        <f ca="1">_xludf.MINIFS(CBIC_Late_Fee_Relief_Windows_1!$I$100:$I$1699,CBIC_Late_Fee_Relief_Windows_1!$D$100:$D$1699,"&lt;="&amp;B1699,CBIC_Late_Fee_Relief_Windows_1!$E$100:$E$1699,"&gt;="&amp;B1699,CBIC_Late_Fee_Relief_Windows_1!$F$100:$F$1699,"&lt;="&amp;C1699,CBIC_Late_Fee_Relief_Windows_1!$G$100:$G$1699,"&gt;="&amp;C1699,CBIC_Late_Fee_Relief_Windows_1!$H$100:$H$1699,D1699)</f>
        <v>#NAME?</v>
      </c>
      <c r="H1699" t="e">
        <f t="shared" ca="1" si="26"/>
        <v>#NAME?</v>
      </c>
      <c r="I1699" t="e">
        <f ca="1">INDEX(CBIC_Late_Fee_Relief_Windows_1!$B$100:$B$1699,MATCH(G1699,CBIC_Late_Fee_Relief_Windows_1!$I$100:$I$1699,0))</f>
        <v>#NAME?</v>
      </c>
    </row>
    <row r="1700" spans="1:9" x14ac:dyDescent="0.55000000000000004">
      <c r="A1700" t="str">
        <f>TEST_DATA!A1700</f>
        <v>27AAAAA1700Z5</v>
      </c>
      <c r="B1700" t="str">
        <f>TEST_DATA!B1700</f>
        <v>Jun-2018</v>
      </c>
      <c r="C1700">
        <f>TEST_DATA!C1700</f>
        <v>44524</v>
      </c>
      <c r="D1700" t="str">
        <f>TEST_DATA!D1700</f>
        <v>NIL</v>
      </c>
      <c r="E1700">
        <f>TEST_DATA!E1700</f>
        <v>827</v>
      </c>
      <c r="F1700">
        <f>MIN(E1700*170000,10000)</f>
        <v>10000</v>
      </c>
      <c r="G1700" t="e">
        <f ca="1">_xludf.MINIFS(CBIC_Late_Fee_Relief_Windows_1!$I$100:$I$1700,CBIC_Late_Fee_Relief_Windows_1!$D$100:$D$1700,"&lt;="&amp;B1700,CBIC_Late_Fee_Relief_Windows_1!$E$100:$E$1700,"&gt;="&amp;B1700,CBIC_Late_Fee_Relief_Windows_1!$F$100:$F$1700,"&lt;="&amp;C1700,CBIC_Late_Fee_Relief_Windows_1!$G$100:$G$1700,"&gt;="&amp;C1700,CBIC_Late_Fee_Relief_Windows_1!$H$100:$H$1700,D1700)</f>
        <v>#NAME?</v>
      </c>
      <c r="H1700" t="e">
        <f t="shared" ca="1" si="26"/>
        <v>#NAME?</v>
      </c>
      <c r="I1700" t="e">
        <f ca="1">INDEX(CBIC_Late_Fee_Relief_Windows_1!$B$100:$B$1700,MATCH(G1700,CBIC_Late_Fee_Relief_Windows_1!$I$100:$I$1700,0))</f>
        <v>#NAME?</v>
      </c>
    </row>
    <row r="1701" spans="1:9" x14ac:dyDescent="0.55000000000000004">
      <c r="A1701" t="str">
        <f>TEST_DATA!A1701</f>
        <v>27AAAAA1701Z5</v>
      </c>
      <c r="B1701" t="str">
        <f>TEST_DATA!B1701</f>
        <v>Sep-2017</v>
      </c>
      <c r="C1701">
        <f>TEST_DATA!C1701</f>
        <v>43825</v>
      </c>
      <c r="D1701" t="str">
        <f>TEST_DATA!D1701</f>
        <v>NIL</v>
      </c>
      <c r="E1701">
        <f>TEST_DATA!E1701</f>
        <v>1976</v>
      </c>
      <c r="F1701">
        <f>MIN(E1701*170100,10000)</f>
        <v>10000</v>
      </c>
      <c r="G1701" t="e">
        <f ca="1">_xludf.MINIFS(CBIC_Late_Fee_Relief_Windows_1!$I$100:$I$1701,CBIC_Late_Fee_Relief_Windows_1!$D$100:$D$1701,"&lt;="&amp;B1701,CBIC_Late_Fee_Relief_Windows_1!$E$100:$E$1701,"&gt;="&amp;B1701,CBIC_Late_Fee_Relief_Windows_1!$F$100:$F$1701,"&lt;="&amp;C1701,CBIC_Late_Fee_Relief_Windows_1!$G$100:$G$1701,"&gt;="&amp;C1701,CBIC_Late_Fee_Relief_Windows_1!$H$100:$H$1701,D1701)</f>
        <v>#NAME?</v>
      </c>
      <c r="H1701" t="e">
        <f t="shared" ca="1" si="26"/>
        <v>#NAME?</v>
      </c>
      <c r="I1701" t="e">
        <f ca="1">INDEX(CBIC_Late_Fee_Relief_Windows_1!$B$100:$B$1701,MATCH(G1701,CBIC_Late_Fee_Relief_Windows_1!$I$100:$I$1701,0))</f>
        <v>#NAME?</v>
      </c>
    </row>
    <row r="1702" spans="1:9" x14ac:dyDescent="0.55000000000000004">
      <c r="A1702" t="str">
        <f>TEST_DATA!A1702</f>
        <v>27AAAAA1702Z5</v>
      </c>
      <c r="B1702" t="str">
        <f>TEST_DATA!B1702</f>
        <v>Dec-2024</v>
      </c>
      <c r="C1702">
        <f>TEST_DATA!C1702</f>
        <v>45514</v>
      </c>
      <c r="D1702" t="str">
        <f>TEST_DATA!D1702</f>
        <v>NIL</v>
      </c>
      <c r="E1702">
        <f>TEST_DATA!E1702</f>
        <v>779</v>
      </c>
      <c r="F1702">
        <f>MIN(E1702*170200,10000)</f>
        <v>10000</v>
      </c>
      <c r="G1702" t="e">
        <f ca="1">_xludf.MINIFS(CBIC_Late_Fee_Relief_Windows_1!$I$100:$I$1702,CBIC_Late_Fee_Relief_Windows_1!$D$100:$D$1702,"&lt;="&amp;B1702,CBIC_Late_Fee_Relief_Windows_1!$E$100:$E$1702,"&gt;="&amp;B1702,CBIC_Late_Fee_Relief_Windows_1!$F$100:$F$1702,"&lt;="&amp;C1702,CBIC_Late_Fee_Relief_Windows_1!$G$100:$G$1702,"&gt;="&amp;C1702,CBIC_Late_Fee_Relief_Windows_1!$H$100:$H$1702,D1702)</f>
        <v>#NAME?</v>
      </c>
      <c r="H1702" t="e">
        <f t="shared" ca="1" si="26"/>
        <v>#NAME?</v>
      </c>
      <c r="I1702" t="e">
        <f ca="1">INDEX(CBIC_Late_Fee_Relief_Windows_1!$B$100:$B$1702,MATCH(G1702,CBIC_Late_Fee_Relief_Windows_1!$I$100:$I$1702,0))</f>
        <v>#NAME?</v>
      </c>
    </row>
    <row r="1703" spans="1:9" x14ac:dyDescent="0.55000000000000004">
      <c r="A1703" t="str">
        <f>TEST_DATA!A1703</f>
        <v>27AAAAA1703Z5</v>
      </c>
      <c r="B1703" t="str">
        <f>TEST_DATA!B1703</f>
        <v>May-2018</v>
      </c>
      <c r="C1703">
        <f>TEST_DATA!C1703</f>
        <v>43907</v>
      </c>
      <c r="D1703" t="str">
        <f>TEST_DATA!D1703</f>
        <v>NON-NIL</v>
      </c>
      <c r="E1703">
        <f>TEST_DATA!E1703</f>
        <v>1340</v>
      </c>
      <c r="F1703">
        <f>MIN(E1703*170300,10000)</f>
        <v>10000</v>
      </c>
      <c r="G1703" t="e">
        <f ca="1">_xludf.MINIFS(CBIC_Late_Fee_Relief_Windows_1!$I$100:$I$1703,CBIC_Late_Fee_Relief_Windows_1!$D$100:$D$1703,"&lt;="&amp;B1703,CBIC_Late_Fee_Relief_Windows_1!$E$100:$E$1703,"&gt;="&amp;B1703,CBIC_Late_Fee_Relief_Windows_1!$F$100:$F$1703,"&lt;="&amp;C1703,CBIC_Late_Fee_Relief_Windows_1!$G$100:$G$1703,"&gt;="&amp;C1703,CBIC_Late_Fee_Relief_Windows_1!$H$100:$H$1703,D1703)</f>
        <v>#NAME?</v>
      </c>
      <c r="H1703" t="e">
        <f t="shared" ca="1" si="26"/>
        <v>#NAME?</v>
      </c>
      <c r="I1703" t="e">
        <f ca="1">INDEX(CBIC_Late_Fee_Relief_Windows_1!$B$100:$B$1703,MATCH(G1703,CBIC_Late_Fee_Relief_Windows_1!$I$100:$I$1703,0))</f>
        <v>#NAME?</v>
      </c>
    </row>
    <row r="1704" spans="1:9" x14ac:dyDescent="0.55000000000000004">
      <c r="A1704" t="str">
        <f>TEST_DATA!A1704</f>
        <v>27AAAAA1704Z5</v>
      </c>
      <c r="B1704" t="str">
        <f>TEST_DATA!B1704</f>
        <v>Nov-2017</v>
      </c>
      <c r="C1704">
        <f>TEST_DATA!C1704</f>
        <v>44492</v>
      </c>
      <c r="D1704" t="str">
        <f>TEST_DATA!D1704</f>
        <v>NIL</v>
      </c>
      <c r="E1704">
        <f>TEST_DATA!E1704</f>
        <v>2114</v>
      </c>
      <c r="F1704">
        <f>MIN(E1704*170400,10000)</f>
        <v>10000</v>
      </c>
      <c r="G1704" t="e">
        <f ca="1">_xludf.MINIFS(CBIC_Late_Fee_Relief_Windows_1!$I$100:$I$1704,CBIC_Late_Fee_Relief_Windows_1!$D$100:$D$1704,"&lt;="&amp;B1704,CBIC_Late_Fee_Relief_Windows_1!$E$100:$E$1704,"&gt;="&amp;B1704,CBIC_Late_Fee_Relief_Windows_1!$F$100:$F$1704,"&lt;="&amp;C1704,CBIC_Late_Fee_Relief_Windows_1!$G$100:$G$1704,"&gt;="&amp;C1704,CBIC_Late_Fee_Relief_Windows_1!$H$100:$H$1704,D1704)</f>
        <v>#NAME?</v>
      </c>
      <c r="H1704" t="e">
        <f t="shared" ca="1" si="26"/>
        <v>#NAME?</v>
      </c>
      <c r="I1704" t="e">
        <f ca="1">INDEX(CBIC_Late_Fee_Relief_Windows_1!$B$100:$B$1704,MATCH(G1704,CBIC_Late_Fee_Relief_Windows_1!$I$100:$I$1704,0))</f>
        <v>#NAME?</v>
      </c>
    </row>
    <row r="1705" spans="1:9" x14ac:dyDescent="0.55000000000000004">
      <c r="A1705" t="str">
        <f>TEST_DATA!A1705</f>
        <v>27AAAAA1705Z5</v>
      </c>
      <c r="B1705" t="str">
        <f>TEST_DATA!B1705</f>
        <v>Jun-2020</v>
      </c>
      <c r="C1705">
        <f>TEST_DATA!C1705</f>
        <v>44102</v>
      </c>
      <c r="D1705" t="str">
        <f>TEST_DATA!D1705</f>
        <v>NIL</v>
      </c>
      <c r="E1705">
        <f>TEST_DATA!E1705</f>
        <v>2967</v>
      </c>
      <c r="F1705">
        <f>MIN(E1705*170500,10000)</f>
        <v>10000</v>
      </c>
      <c r="G1705" t="e">
        <f ca="1">_xludf.MINIFS(CBIC_Late_Fee_Relief_Windows_1!$I$100:$I$1705,CBIC_Late_Fee_Relief_Windows_1!$D$100:$D$1705,"&lt;="&amp;B1705,CBIC_Late_Fee_Relief_Windows_1!$E$100:$E$1705,"&gt;="&amp;B1705,CBIC_Late_Fee_Relief_Windows_1!$F$100:$F$1705,"&lt;="&amp;C1705,CBIC_Late_Fee_Relief_Windows_1!$G$100:$G$1705,"&gt;="&amp;C1705,CBIC_Late_Fee_Relief_Windows_1!$H$100:$H$1705,D1705)</f>
        <v>#NAME?</v>
      </c>
      <c r="H1705" t="e">
        <f t="shared" ca="1" si="26"/>
        <v>#NAME?</v>
      </c>
      <c r="I1705" t="e">
        <f ca="1">INDEX(CBIC_Late_Fee_Relief_Windows_1!$B$100:$B$1705,MATCH(G1705,CBIC_Late_Fee_Relief_Windows_1!$I$100:$I$1705,0))</f>
        <v>#NAME?</v>
      </c>
    </row>
    <row r="1706" spans="1:9" x14ac:dyDescent="0.55000000000000004">
      <c r="A1706" t="str">
        <f>TEST_DATA!A1706</f>
        <v>27AAAAA1706Z5</v>
      </c>
      <c r="B1706" t="str">
        <f>TEST_DATA!B1706</f>
        <v>Aug-2017</v>
      </c>
      <c r="C1706">
        <f>TEST_DATA!C1706</f>
        <v>43857</v>
      </c>
      <c r="D1706" t="str">
        <f>TEST_DATA!D1706</f>
        <v>NON-NIL</v>
      </c>
      <c r="E1706">
        <f>TEST_DATA!E1706</f>
        <v>2923</v>
      </c>
      <c r="F1706">
        <f>MIN(E1706*170600,10000)</f>
        <v>10000</v>
      </c>
      <c r="G1706" t="e">
        <f ca="1">_xludf.MINIFS(CBIC_Late_Fee_Relief_Windows_1!$I$100:$I$1706,CBIC_Late_Fee_Relief_Windows_1!$D$100:$D$1706,"&lt;="&amp;B1706,CBIC_Late_Fee_Relief_Windows_1!$E$100:$E$1706,"&gt;="&amp;B1706,CBIC_Late_Fee_Relief_Windows_1!$F$100:$F$1706,"&lt;="&amp;C1706,CBIC_Late_Fee_Relief_Windows_1!$G$100:$G$1706,"&gt;="&amp;C1706,CBIC_Late_Fee_Relief_Windows_1!$H$100:$H$1706,D1706)</f>
        <v>#NAME?</v>
      </c>
      <c r="H1706" t="e">
        <f t="shared" ca="1" si="26"/>
        <v>#NAME?</v>
      </c>
      <c r="I1706" t="e">
        <f ca="1">INDEX(CBIC_Late_Fee_Relief_Windows_1!$B$100:$B$1706,MATCH(G1706,CBIC_Late_Fee_Relief_Windows_1!$I$100:$I$1706,0))</f>
        <v>#NAME?</v>
      </c>
    </row>
    <row r="1707" spans="1:9" x14ac:dyDescent="0.55000000000000004">
      <c r="A1707" t="str">
        <f>TEST_DATA!A1707</f>
        <v>27AAAAA1707Z5</v>
      </c>
      <c r="B1707" t="str">
        <f>TEST_DATA!B1707</f>
        <v>Mar-2023</v>
      </c>
      <c r="C1707">
        <f>TEST_DATA!C1707</f>
        <v>45605</v>
      </c>
      <c r="D1707" t="str">
        <f>TEST_DATA!D1707</f>
        <v>NIL</v>
      </c>
      <c r="E1707">
        <f>TEST_DATA!E1707</f>
        <v>16</v>
      </c>
      <c r="F1707">
        <f>MIN(E1707*170700,10000)</f>
        <v>10000</v>
      </c>
      <c r="G1707" t="e">
        <f ca="1">_xludf.MINIFS(CBIC_Late_Fee_Relief_Windows_1!$I$100:$I$1707,CBIC_Late_Fee_Relief_Windows_1!$D$100:$D$1707,"&lt;="&amp;B1707,CBIC_Late_Fee_Relief_Windows_1!$E$100:$E$1707,"&gt;="&amp;B1707,CBIC_Late_Fee_Relief_Windows_1!$F$100:$F$1707,"&lt;="&amp;C1707,CBIC_Late_Fee_Relief_Windows_1!$G$100:$G$1707,"&gt;="&amp;C1707,CBIC_Late_Fee_Relief_Windows_1!$H$100:$H$1707,D1707)</f>
        <v>#NAME?</v>
      </c>
      <c r="H1707" t="e">
        <f t="shared" ca="1" si="26"/>
        <v>#NAME?</v>
      </c>
      <c r="I1707" t="e">
        <f ca="1">INDEX(CBIC_Late_Fee_Relief_Windows_1!$B$100:$B$1707,MATCH(G1707,CBIC_Late_Fee_Relief_Windows_1!$I$100:$I$1707,0))</f>
        <v>#NAME?</v>
      </c>
    </row>
    <row r="1708" spans="1:9" x14ac:dyDescent="0.55000000000000004">
      <c r="A1708" t="str">
        <f>TEST_DATA!A1708</f>
        <v>27AAAAA1708Z5</v>
      </c>
      <c r="B1708" t="str">
        <f>TEST_DATA!B1708</f>
        <v>Apr-2018</v>
      </c>
      <c r="C1708">
        <f>TEST_DATA!C1708</f>
        <v>43007</v>
      </c>
      <c r="D1708" t="str">
        <f>TEST_DATA!D1708</f>
        <v>NIL</v>
      </c>
      <c r="E1708">
        <f>TEST_DATA!E1708</f>
        <v>1365</v>
      </c>
      <c r="F1708">
        <f>MIN(E1708*170800,10000)</f>
        <v>10000</v>
      </c>
      <c r="G1708" t="e">
        <f ca="1">_xludf.MINIFS(CBIC_Late_Fee_Relief_Windows_1!$I$100:$I$1708,CBIC_Late_Fee_Relief_Windows_1!$D$100:$D$1708,"&lt;="&amp;B1708,CBIC_Late_Fee_Relief_Windows_1!$E$100:$E$1708,"&gt;="&amp;B1708,CBIC_Late_Fee_Relief_Windows_1!$F$100:$F$1708,"&lt;="&amp;C1708,CBIC_Late_Fee_Relief_Windows_1!$G$100:$G$1708,"&gt;="&amp;C1708,CBIC_Late_Fee_Relief_Windows_1!$H$100:$H$1708,D1708)</f>
        <v>#NAME?</v>
      </c>
      <c r="H1708" t="e">
        <f t="shared" ca="1" si="26"/>
        <v>#NAME?</v>
      </c>
      <c r="I1708" t="e">
        <f ca="1">INDEX(CBIC_Late_Fee_Relief_Windows_1!$B$100:$B$1708,MATCH(G1708,CBIC_Late_Fee_Relief_Windows_1!$I$100:$I$1708,0))</f>
        <v>#NAME?</v>
      </c>
    </row>
    <row r="1709" spans="1:9" x14ac:dyDescent="0.55000000000000004">
      <c r="A1709" t="str">
        <f>TEST_DATA!A1709</f>
        <v>27AAAAA1709Z5</v>
      </c>
      <c r="B1709" t="str">
        <f>TEST_DATA!B1709</f>
        <v>Sep-2018</v>
      </c>
      <c r="C1709">
        <f>TEST_DATA!C1709</f>
        <v>43011</v>
      </c>
      <c r="D1709" t="str">
        <f>TEST_DATA!D1709</f>
        <v>NIL</v>
      </c>
      <c r="E1709">
        <f>TEST_DATA!E1709</f>
        <v>2132</v>
      </c>
      <c r="F1709">
        <f>MIN(E1709*170900,10000)</f>
        <v>10000</v>
      </c>
      <c r="G1709" t="e">
        <f ca="1">_xludf.MINIFS(CBIC_Late_Fee_Relief_Windows_1!$I$100:$I$1709,CBIC_Late_Fee_Relief_Windows_1!$D$100:$D$1709,"&lt;="&amp;B1709,CBIC_Late_Fee_Relief_Windows_1!$E$100:$E$1709,"&gt;="&amp;B1709,CBIC_Late_Fee_Relief_Windows_1!$F$100:$F$1709,"&lt;="&amp;C1709,CBIC_Late_Fee_Relief_Windows_1!$G$100:$G$1709,"&gt;="&amp;C1709,CBIC_Late_Fee_Relief_Windows_1!$H$100:$H$1709,D1709)</f>
        <v>#NAME?</v>
      </c>
      <c r="H1709" t="e">
        <f t="shared" ca="1" si="26"/>
        <v>#NAME?</v>
      </c>
      <c r="I1709" t="e">
        <f ca="1">INDEX(CBIC_Late_Fee_Relief_Windows_1!$B$100:$B$1709,MATCH(G1709,CBIC_Late_Fee_Relief_Windows_1!$I$100:$I$1709,0))</f>
        <v>#NAME?</v>
      </c>
    </row>
    <row r="1710" spans="1:9" x14ac:dyDescent="0.55000000000000004">
      <c r="A1710" t="str">
        <f>TEST_DATA!A1710</f>
        <v>27AAAAA1710Z5</v>
      </c>
      <c r="B1710" t="str">
        <f>TEST_DATA!B1710</f>
        <v>Mar-2021</v>
      </c>
      <c r="C1710">
        <f>TEST_DATA!C1710</f>
        <v>44745</v>
      </c>
      <c r="D1710" t="str">
        <f>TEST_DATA!D1710</f>
        <v>NIL</v>
      </c>
      <c r="E1710">
        <f>TEST_DATA!E1710</f>
        <v>2365</v>
      </c>
      <c r="F1710">
        <f>MIN(E1710*171000,10000)</f>
        <v>10000</v>
      </c>
      <c r="G1710" t="e">
        <f ca="1">_xludf.MINIFS(CBIC_Late_Fee_Relief_Windows_1!$I$100:$I$1710,CBIC_Late_Fee_Relief_Windows_1!$D$100:$D$1710,"&lt;="&amp;B1710,CBIC_Late_Fee_Relief_Windows_1!$E$100:$E$1710,"&gt;="&amp;B1710,CBIC_Late_Fee_Relief_Windows_1!$F$100:$F$1710,"&lt;="&amp;C1710,CBIC_Late_Fee_Relief_Windows_1!$G$100:$G$1710,"&gt;="&amp;C1710,CBIC_Late_Fee_Relief_Windows_1!$H$100:$H$1710,D1710)</f>
        <v>#NAME?</v>
      </c>
      <c r="H1710" t="e">
        <f t="shared" ca="1" si="26"/>
        <v>#NAME?</v>
      </c>
      <c r="I1710" t="e">
        <f ca="1">INDEX(CBIC_Late_Fee_Relief_Windows_1!$B$100:$B$1710,MATCH(G1710,CBIC_Late_Fee_Relief_Windows_1!$I$100:$I$1710,0))</f>
        <v>#NAME?</v>
      </c>
    </row>
    <row r="1711" spans="1:9" x14ac:dyDescent="0.55000000000000004">
      <c r="A1711" t="str">
        <f>TEST_DATA!A1711</f>
        <v>27AAAAA1711Z5</v>
      </c>
      <c r="B1711" t="str">
        <f>TEST_DATA!B1711</f>
        <v>Mar-2021</v>
      </c>
      <c r="C1711">
        <f>TEST_DATA!C1711</f>
        <v>44744</v>
      </c>
      <c r="D1711" t="str">
        <f>TEST_DATA!D1711</f>
        <v>NIL</v>
      </c>
      <c r="E1711">
        <f>TEST_DATA!E1711</f>
        <v>1314</v>
      </c>
      <c r="F1711">
        <f>MIN(E1711*171100,10000)</f>
        <v>10000</v>
      </c>
      <c r="G1711" t="e">
        <f ca="1">_xludf.MINIFS(CBIC_Late_Fee_Relief_Windows_1!$I$100:$I$1711,CBIC_Late_Fee_Relief_Windows_1!$D$100:$D$1711,"&lt;="&amp;B1711,CBIC_Late_Fee_Relief_Windows_1!$E$100:$E$1711,"&gt;="&amp;B1711,CBIC_Late_Fee_Relief_Windows_1!$F$100:$F$1711,"&lt;="&amp;C1711,CBIC_Late_Fee_Relief_Windows_1!$G$100:$G$1711,"&gt;="&amp;C1711,CBIC_Late_Fee_Relief_Windows_1!$H$100:$H$1711,D1711)</f>
        <v>#NAME?</v>
      </c>
      <c r="H1711" t="e">
        <f t="shared" ca="1" si="26"/>
        <v>#NAME?</v>
      </c>
      <c r="I1711" t="e">
        <f ca="1">INDEX(CBIC_Late_Fee_Relief_Windows_1!$B$100:$B$1711,MATCH(G1711,CBIC_Late_Fee_Relief_Windows_1!$I$100:$I$1711,0))</f>
        <v>#NAME?</v>
      </c>
    </row>
    <row r="1712" spans="1:9" x14ac:dyDescent="0.55000000000000004">
      <c r="A1712" t="str">
        <f>TEST_DATA!A1712</f>
        <v>27AAAAA1712Z5</v>
      </c>
      <c r="B1712" t="str">
        <f>TEST_DATA!B1712</f>
        <v>Jan-2018</v>
      </c>
      <c r="C1712">
        <f>TEST_DATA!C1712</f>
        <v>43311</v>
      </c>
      <c r="D1712" t="str">
        <f>TEST_DATA!D1712</f>
        <v>NON-NIL</v>
      </c>
      <c r="E1712">
        <f>TEST_DATA!E1712</f>
        <v>1133</v>
      </c>
      <c r="F1712">
        <f>MIN(E1712*171200,10000)</f>
        <v>10000</v>
      </c>
      <c r="G1712" t="e">
        <f ca="1">_xludf.MINIFS(CBIC_Late_Fee_Relief_Windows_1!$I$100:$I$1712,CBIC_Late_Fee_Relief_Windows_1!$D$100:$D$1712,"&lt;="&amp;B1712,CBIC_Late_Fee_Relief_Windows_1!$E$100:$E$1712,"&gt;="&amp;B1712,CBIC_Late_Fee_Relief_Windows_1!$F$100:$F$1712,"&lt;="&amp;C1712,CBIC_Late_Fee_Relief_Windows_1!$G$100:$G$1712,"&gt;="&amp;C1712,CBIC_Late_Fee_Relief_Windows_1!$H$100:$H$1712,D1712)</f>
        <v>#NAME?</v>
      </c>
      <c r="H1712" t="e">
        <f t="shared" ca="1" si="26"/>
        <v>#NAME?</v>
      </c>
      <c r="I1712" t="e">
        <f ca="1">INDEX(CBIC_Late_Fee_Relief_Windows_1!$B$100:$B$1712,MATCH(G1712,CBIC_Late_Fee_Relief_Windows_1!$I$100:$I$1712,0))</f>
        <v>#NAME?</v>
      </c>
    </row>
    <row r="1713" spans="1:9" x14ac:dyDescent="0.55000000000000004">
      <c r="A1713" t="str">
        <f>TEST_DATA!A1713</f>
        <v>27AAAAA1713Z5</v>
      </c>
      <c r="B1713" t="str">
        <f>TEST_DATA!B1713</f>
        <v>Dec-2019</v>
      </c>
      <c r="C1713">
        <f>TEST_DATA!C1713</f>
        <v>44773</v>
      </c>
      <c r="D1713" t="str">
        <f>TEST_DATA!D1713</f>
        <v>NON-NIL</v>
      </c>
      <c r="E1713">
        <f>TEST_DATA!E1713</f>
        <v>2748</v>
      </c>
      <c r="F1713">
        <f>MIN(E1713*171300,10000)</f>
        <v>10000</v>
      </c>
      <c r="G1713" t="e">
        <f ca="1">_xludf.MINIFS(CBIC_Late_Fee_Relief_Windows_1!$I$100:$I$1713,CBIC_Late_Fee_Relief_Windows_1!$D$100:$D$1713,"&lt;="&amp;B1713,CBIC_Late_Fee_Relief_Windows_1!$E$100:$E$1713,"&gt;="&amp;B1713,CBIC_Late_Fee_Relief_Windows_1!$F$100:$F$1713,"&lt;="&amp;C1713,CBIC_Late_Fee_Relief_Windows_1!$G$100:$G$1713,"&gt;="&amp;C1713,CBIC_Late_Fee_Relief_Windows_1!$H$100:$H$1713,D1713)</f>
        <v>#NAME?</v>
      </c>
      <c r="H1713" t="e">
        <f t="shared" ca="1" si="26"/>
        <v>#NAME?</v>
      </c>
      <c r="I1713" t="e">
        <f ca="1">INDEX(CBIC_Late_Fee_Relief_Windows_1!$B$100:$B$1713,MATCH(G1713,CBIC_Late_Fee_Relief_Windows_1!$I$100:$I$1713,0))</f>
        <v>#NAME?</v>
      </c>
    </row>
    <row r="1714" spans="1:9" x14ac:dyDescent="0.55000000000000004">
      <c r="A1714" t="str">
        <f>TEST_DATA!A1714</f>
        <v>27AAAAA1714Z5</v>
      </c>
      <c r="B1714" t="str">
        <f>TEST_DATA!B1714</f>
        <v>Oct-2017</v>
      </c>
      <c r="C1714">
        <f>TEST_DATA!C1714</f>
        <v>43475</v>
      </c>
      <c r="D1714" t="str">
        <f>TEST_DATA!D1714</f>
        <v>NIL</v>
      </c>
      <c r="E1714">
        <f>TEST_DATA!E1714</f>
        <v>645</v>
      </c>
      <c r="F1714">
        <f>MIN(E1714*171400,10000)</f>
        <v>10000</v>
      </c>
      <c r="G1714" t="e">
        <f ca="1">_xludf.MINIFS(CBIC_Late_Fee_Relief_Windows_1!$I$100:$I$1714,CBIC_Late_Fee_Relief_Windows_1!$D$100:$D$1714,"&lt;="&amp;B1714,CBIC_Late_Fee_Relief_Windows_1!$E$100:$E$1714,"&gt;="&amp;B1714,CBIC_Late_Fee_Relief_Windows_1!$F$100:$F$1714,"&lt;="&amp;C1714,CBIC_Late_Fee_Relief_Windows_1!$G$100:$G$1714,"&gt;="&amp;C1714,CBIC_Late_Fee_Relief_Windows_1!$H$100:$H$1714,D1714)</f>
        <v>#NAME?</v>
      </c>
      <c r="H1714" t="e">
        <f t="shared" ca="1" si="26"/>
        <v>#NAME?</v>
      </c>
      <c r="I1714" t="e">
        <f ca="1">INDEX(CBIC_Late_Fee_Relief_Windows_1!$B$100:$B$1714,MATCH(G1714,CBIC_Late_Fee_Relief_Windows_1!$I$100:$I$1714,0))</f>
        <v>#NAME?</v>
      </c>
    </row>
    <row r="1715" spans="1:9" x14ac:dyDescent="0.55000000000000004">
      <c r="A1715" t="str">
        <f>TEST_DATA!A1715</f>
        <v>27AAAAA1715Z5</v>
      </c>
      <c r="B1715" t="str">
        <f>TEST_DATA!B1715</f>
        <v>Mar-2018</v>
      </c>
      <c r="C1715">
        <f>TEST_DATA!C1715</f>
        <v>43151</v>
      </c>
      <c r="D1715" t="str">
        <f>TEST_DATA!D1715</f>
        <v>NIL</v>
      </c>
      <c r="E1715">
        <f>TEST_DATA!E1715</f>
        <v>2551</v>
      </c>
      <c r="F1715">
        <f>MIN(E1715*171500,10000)</f>
        <v>10000</v>
      </c>
      <c r="G1715" t="e">
        <f ca="1">_xludf.MINIFS(CBIC_Late_Fee_Relief_Windows_1!$I$100:$I$1715,CBIC_Late_Fee_Relief_Windows_1!$D$100:$D$1715,"&lt;="&amp;B1715,CBIC_Late_Fee_Relief_Windows_1!$E$100:$E$1715,"&gt;="&amp;B1715,CBIC_Late_Fee_Relief_Windows_1!$F$100:$F$1715,"&lt;="&amp;C1715,CBIC_Late_Fee_Relief_Windows_1!$G$100:$G$1715,"&gt;="&amp;C1715,CBIC_Late_Fee_Relief_Windows_1!$H$100:$H$1715,D1715)</f>
        <v>#NAME?</v>
      </c>
      <c r="H1715" t="e">
        <f t="shared" ca="1" si="26"/>
        <v>#NAME?</v>
      </c>
      <c r="I1715" t="e">
        <f ca="1">INDEX(CBIC_Late_Fee_Relief_Windows_1!$B$100:$B$1715,MATCH(G1715,CBIC_Late_Fee_Relief_Windows_1!$I$100:$I$1715,0))</f>
        <v>#NAME?</v>
      </c>
    </row>
    <row r="1716" spans="1:9" x14ac:dyDescent="0.55000000000000004">
      <c r="A1716" t="str">
        <f>TEST_DATA!A1716</f>
        <v>27AAAAA1716Z5</v>
      </c>
      <c r="B1716" t="str">
        <f>TEST_DATA!B1716</f>
        <v>Dec-2019</v>
      </c>
      <c r="C1716">
        <f>TEST_DATA!C1716</f>
        <v>45571</v>
      </c>
      <c r="D1716" t="str">
        <f>TEST_DATA!D1716</f>
        <v>NIL</v>
      </c>
      <c r="E1716">
        <f>TEST_DATA!E1716</f>
        <v>846</v>
      </c>
      <c r="F1716">
        <f>MIN(E1716*171600,10000)</f>
        <v>10000</v>
      </c>
      <c r="G1716" t="e">
        <f ca="1">_xludf.MINIFS(CBIC_Late_Fee_Relief_Windows_1!$I$100:$I$1716,CBIC_Late_Fee_Relief_Windows_1!$D$100:$D$1716,"&lt;="&amp;B1716,CBIC_Late_Fee_Relief_Windows_1!$E$100:$E$1716,"&gt;="&amp;B1716,CBIC_Late_Fee_Relief_Windows_1!$F$100:$F$1716,"&lt;="&amp;C1716,CBIC_Late_Fee_Relief_Windows_1!$G$100:$G$1716,"&gt;="&amp;C1716,CBIC_Late_Fee_Relief_Windows_1!$H$100:$H$1716,D1716)</f>
        <v>#NAME?</v>
      </c>
      <c r="H1716" t="e">
        <f t="shared" ca="1" si="26"/>
        <v>#NAME?</v>
      </c>
      <c r="I1716" t="e">
        <f ca="1">INDEX(CBIC_Late_Fee_Relief_Windows_1!$B$100:$B$1716,MATCH(G1716,CBIC_Late_Fee_Relief_Windows_1!$I$100:$I$1716,0))</f>
        <v>#NAME?</v>
      </c>
    </row>
    <row r="1717" spans="1:9" x14ac:dyDescent="0.55000000000000004">
      <c r="A1717" t="str">
        <f>TEST_DATA!A1717</f>
        <v>27AAAAA1717Z5</v>
      </c>
      <c r="B1717" t="str">
        <f>TEST_DATA!B1717</f>
        <v>Dec-2019</v>
      </c>
      <c r="C1717">
        <f>TEST_DATA!C1717</f>
        <v>44900</v>
      </c>
      <c r="D1717" t="str">
        <f>TEST_DATA!D1717</f>
        <v>NON-NIL</v>
      </c>
      <c r="E1717">
        <f>TEST_DATA!E1717</f>
        <v>1110</v>
      </c>
      <c r="F1717">
        <f>MIN(E1717*171700,10000)</f>
        <v>10000</v>
      </c>
      <c r="G1717" t="e">
        <f ca="1">_xludf.MINIFS(CBIC_Late_Fee_Relief_Windows_1!$I$100:$I$1717,CBIC_Late_Fee_Relief_Windows_1!$D$100:$D$1717,"&lt;="&amp;B1717,CBIC_Late_Fee_Relief_Windows_1!$E$100:$E$1717,"&gt;="&amp;B1717,CBIC_Late_Fee_Relief_Windows_1!$F$100:$F$1717,"&lt;="&amp;C1717,CBIC_Late_Fee_Relief_Windows_1!$G$100:$G$1717,"&gt;="&amp;C1717,CBIC_Late_Fee_Relief_Windows_1!$H$100:$H$1717,D1717)</f>
        <v>#NAME?</v>
      </c>
      <c r="H1717" t="e">
        <f t="shared" ca="1" si="26"/>
        <v>#NAME?</v>
      </c>
      <c r="I1717" t="e">
        <f ca="1">INDEX(CBIC_Late_Fee_Relief_Windows_1!$B$100:$B$1717,MATCH(G1717,CBIC_Late_Fee_Relief_Windows_1!$I$100:$I$1717,0))</f>
        <v>#NAME?</v>
      </c>
    </row>
    <row r="1718" spans="1:9" x14ac:dyDescent="0.55000000000000004">
      <c r="A1718" t="str">
        <f>TEST_DATA!A1718</f>
        <v>27AAAAA1718Z5</v>
      </c>
      <c r="B1718" t="str">
        <f>TEST_DATA!B1718</f>
        <v>Nov-2017</v>
      </c>
      <c r="C1718">
        <f>TEST_DATA!C1718</f>
        <v>44359</v>
      </c>
      <c r="D1718" t="str">
        <f>TEST_DATA!D1718</f>
        <v>NON-NIL</v>
      </c>
      <c r="E1718">
        <f>TEST_DATA!E1718</f>
        <v>2351</v>
      </c>
      <c r="F1718">
        <f>MIN(E1718*171800,10000)</f>
        <v>10000</v>
      </c>
      <c r="G1718" t="e">
        <f ca="1">_xludf.MINIFS(CBIC_Late_Fee_Relief_Windows_1!$I$100:$I$1718,CBIC_Late_Fee_Relief_Windows_1!$D$100:$D$1718,"&lt;="&amp;B1718,CBIC_Late_Fee_Relief_Windows_1!$E$100:$E$1718,"&gt;="&amp;B1718,CBIC_Late_Fee_Relief_Windows_1!$F$100:$F$1718,"&lt;="&amp;C1718,CBIC_Late_Fee_Relief_Windows_1!$G$100:$G$1718,"&gt;="&amp;C1718,CBIC_Late_Fee_Relief_Windows_1!$H$100:$H$1718,D1718)</f>
        <v>#NAME?</v>
      </c>
      <c r="H1718" t="e">
        <f t="shared" ca="1" si="26"/>
        <v>#NAME?</v>
      </c>
      <c r="I1718" t="e">
        <f ca="1">INDEX(CBIC_Late_Fee_Relief_Windows_1!$B$100:$B$1718,MATCH(G1718,CBIC_Late_Fee_Relief_Windows_1!$I$100:$I$1718,0))</f>
        <v>#NAME?</v>
      </c>
    </row>
    <row r="1719" spans="1:9" x14ac:dyDescent="0.55000000000000004">
      <c r="A1719" t="str">
        <f>TEST_DATA!A1719</f>
        <v>27AAAAA1719Z5</v>
      </c>
      <c r="B1719" t="str">
        <f>TEST_DATA!B1719</f>
        <v>Feb-2018</v>
      </c>
      <c r="C1719">
        <f>TEST_DATA!C1719</f>
        <v>43267</v>
      </c>
      <c r="D1719" t="str">
        <f>TEST_DATA!D1719</f>
        <v>NIL</v>
      </c>
      <c r="E1719">
        <f>TEST_DATA!E1719</f>
        <v>1275</v>
      </c>
      <c r="F1719">
        <f>MIN(E1719*171900,10000)</f>
        <v>10000</v>
      </c>
      <c r="G1719" t="e">
        <f ca="1">_xludf.MINIFS(CBIC_Late_Fee_Relief_Windows_1!$I$100:$I$1719,CBIC_Late_Fee_Relief_Windows_1!$D$100:$D$1719,"&lt;="&amp;B1719,CBIC_Late_Fee_Relief_Windows_1!$E$100:$E$1719,"&gt;="&amp;B1719,CBIC_Late_Fee_Relief_Windows_1!$F$100:$F$1719,"&lt;="&amp;C1719,CBIC_Late_Fee_Relief_Windows_1!$G$100:$G$1719,"&gt;="&amp;C1719,CBIC_Late_Fee_Relief_Windows_1!$H$100:$H$1719,D1719)</f>
        <v>#NAME?</v>
      </c>
      <c r="H1719" t="e">
        <f t="shared" ca="1" si="26"/>
        <v>#NAME?</v>
      </c>
      <c r="I1719" t="e">
        <f ca="1">INDEX(CBIC_Late_Fee_Relief_Windows_1!$B$100:$B$1719,MATCH(G1719,CBIC_Late_Fee_Relief_Windows_1!$I$100:$I$1719,0))</f>
        <v>#NAME?</v>
      </c>
    </row>
    <row r="1720" spans="1:9" x14ac:dyDescent="0.55000000000000004">
      <c r="A1720" t="str">
        <f>TEST_DATA!A1720</f>
        <v>27AAAAA1720Z5</v>
      </c>
      <c r="B1720" t="str">
        <f>TEST_DATA!B1720</f>
        <v>Apr-2020</v>
      </c>
      <c r="C1720">
        <f>TEST_DATA!C1720</f>
        <v>44524</v>
      </c>
      <c r="D1720" t="str">
        <f>TEST_DATA!D1720</f>
        <v>NON-NIL</v>
      </c>
      <c r="E1720">
        <f>TEST_DATA!E1720</f>
        <v>207</v>
      </c>
      <c r="F1720">
        <f>MIN(E1720*172000,10000)</f>
        <v>10000</v>
      </c>
      <c r="G1720" t="e">
        <f ca="1">_xludf.MINIFS(CBIC_Late_Fee_Relief_Windows_1!$I$100:$I$1720,CBIC_Late_Fee_Relief_Windows_1!$D$100:$D$1720,"&lt;="&amp;B1720,CBIC_Late_Fee_Relief_Windows_1!$E$100:$E$1720,"&gt;="&amp;B1720,CBIC_Late_Fee_Relief_Windows_1!$F$100:$F$1720,"&lt;="&amp;C1720,CBIC_Late_Fee_Relief_Windows_1!$G$100:$G$1720,"&gt;="&amp;C1720,CBIC_Late_Fee_Relief_Windows_1!$H$100:$H$1720,D1720)</f>
        <v>#NAME?</v>
      </c>
      <c r="H1720" t="e">
        <f t="shared" ca="1" si="26"/>
        <v>#NAME?</v>
      </c>
      <c r="I1720" t="e">
        <f ca="1">INDEX(CBIC_Late_Fee_Relief_Windows_1!$B$100:$B$1720,MATCH(G1720,CBIC_Late_Fee_Relief_Windows_1!$I$100:$I$1720,0))</f>
        <v>#NAME?</v>
      </c>
    </row>
    <row r="1721" spans="1:9" x14ac:dyDescent="0.55000000000000004">
      <c r="A1721" t="str">
        <f>TEST_DATA!A1721</f>
        <v>27AAAAA1721Z5</v>
      </c>
      <c r="B1721" t="str">
        <f>TEST_DATA!B1721</f>
        <v>Nov-2017</v>
      </c>
      <c r="C1721">
        <f>TEST_DATA!C1721</f>
        <v>42976</v>
      </c>
      <c r="D1721" t="str">
        <f>TEST_DATA!D1721</f>
        <v>NON-NIL</v>
      </c>
      <c r="E1721">
        <f>TEST_DATA!E1721</f>
        <v>2766</v>
      </c>
      <c r="F1721">
        <f>MIN(E1721*172100,10000)</f>
        <v>10000</v>
      </c>
      <c r="G1721" t="e">
        <f ca="1">_xludf.MINIFS(CBIC_Late_Fee_Relief_Windows_1!$I$100:$I$1721,CBIC_Late_Fee_Relief_Windows_1!$D$100:$D$1721,"&lt;="&amp;B1721,CBIC_Late_Fee_Relief_Windows_1!$E$100:$E$1721,"&gt;="&amp;B1721,CBIC_Late_Fee_Relief_Windows_1!$F$100:$F$1721,"&lt;="&amp;C1721,CBIC_Late_Fee_Relief_Windows_1!$G$100:$G$1721,"&gt;="&amp;C1721,CBIC_Late_Fee_Relief_Windows_1!$H$100:$H$1721,D1721)</f>
        <v>#NAME?</v>
      </c>
      <c r="H1721" t="e">
        <f t="shared" ca="1" si="26"/>
        <v>#NAME?</v>
      </c>
      <c r="I1721" t="e">
        <f ca="1">INDEX(CBIC_Late_Fee_Relief_Windows_1!$B$100:$B$1721,MATCH(G1721,CBIC_Late_Fee_Relief_Windows_1!$I$100:$I$1721,0))</f>
        <v>#NAME?</v>
      </c>
    </row>
    <row r="1722" spans="1:9" x14ac:dyDescent="0.55000000000000004">
      <c r="A1722" t="str">
        <f>TEST_DATA!A1722</f>
        <v>27AAAAA1722Z5</v>
      </c>
      <c r="B1722" t="str">
        <f>TEST_DATA!B1722</f>
        <v>Aug-2017</v>
      </c>
      <c r="C1722">
        <f>TEST_DATA!C1722</f>
        <v>43133</v>
      </c>
      <c r="D1722" t="str">
        <f>TEST_DATA!D1722</f>
        <v>NON-NIL</v>
      </c>
      <c r="E1722">
        <f>TEST_DATA!E1722</f>
        <v>220</v>
      </c>
      <c r="F1722">
        <f>MIN(E1722*172200,10000)</f>
        <v>10000</v>
      </c>
      <c r="G1722" t="e">
        <f ca="1">_xludf.MINIFS(CBIC_Late_Fee_Relief_Windows_1!$I$100:$I$1722,CBIC_Late_Fee_Relief_Windows_1!$D$100:$D$1722,"&lt;="&amp;B1722,CBIC_Late_Fee_Relief_Windows_1!$E$100:$E$1722,"&gt;="&amp;B1722,CBIC_Late_Fee_Relief_Windows_1!$F$100:$F$1722,"&lt;="&amp;C1722,CBIC_Late_Fee_Relief_Windows_1!$G$100:$G$1722,"&gt;="&amp;C1722,CBIC_Late_Fee_Relief_Windows_1!$H$100:$H$1722,D1722)</f>
        <v>#NAME?</v>
      </c>
      <c r="H1722" t="e">
        <f t="shared" ca="1" si="26"/>
        <v>#NAME?</v>
      </c>
      <c r="I1722" t="e">
        <f ca="1">INDEX(CBIC_Late_Fee_Relief_Windows_1!$B$100:$B$1722,MATCH(G1722,CBIC_Late_Fee_Relief_Windows_1!$I$100:$I$1722,0))</f>
        <v>#NAME?</v>
      </c>
    </row>
    <row r="1723" spans="1:9" x14ac:dyDescent="0.55000000000000004">
      <c r="A1723" t="str">
        <f>TEST_DATA!A1723</f>
        <v>27AAAAA1723Z5</v>
      </c>
      <c r="B1723" t="str">
        <f>TEST_DATA!B1723</f>
        <v>Sep-2017</v>
      </c>
      <c r="C1723">
        <f>TEST_DATA!C1723</f>
        <v>43790</v>
      </c>
      <c r="D1723" t="str">
        <f>TEST_DATA!D1723</f>
        <v>NON-NIL</v>
      </c>
      <c r="E1723">
        <f>TEST_DATA!E1723</f>
        <v>733</v>
      </c>
      <c r="F1723">
        <f>MIN(E1723*172300,10000)</f>
        <v>10000</v>
      </c>
      <c r="G1723" t="e">
        <f ca="1">_xludf.MINIFS(CBIC_Late_Fee_Relief_Windows_1!$I$100:$I$1723,CBIC_Late_Fee_Relief_Windows_1!$D$100:$D$1723,"&lt;="&amp;B1723,CBIC_Late_Fee_Relief_Windows_1!$E$100:$E$1723,"&gt;="&amp;B1723,CBIC_Late_Fee_Relief_Windows_1!$F$100:$F$1723,"&lt;="&amp;C1723,CBIC_Late_Fee_Relief_Windows_1!$G$100:$G$1723,"&gt;="&amp;C1723,CBIC_Late_Fee_Relief_Windows_1!$H$100:$H$1723,D1723)</f>
        <v>#NAME?</v>
      </c>
      <c r="H1723" t="e">
        <f t="shared" ca="1" si="26"/>
        <v>#NAME?</v>
      </c>
      <c r="I1723" t="e">
        <f ca="1">INDEX(CBIC_Late_Fee_Relief_Windows_1!$B$100:$B$1723,MATCH(G1723,CBIC_Late_Fee_Relief_Windows_1!$I$100:$I$1723,0))</f>
        <v>#NAME?</v>
      </c>
    </row>
    <row r="1724" spans="1:9" x14ac:dyDescent="0.55000000000000004">
      <c r="A1724" t="str">
        <f>TEST_DATA!A1724</f>
        <v>27AAAAA1724Z5</v>
      </c>
      <c r="B1724" t="str">
        <f>TEST_DATA!B1724</f>
        <v>Jul-2020</v>
      </c>
      <c r="C1724">
        <f>TEST_DATA!C1724</f>
        <v>44744</v>
      </c>
      <c r="D1724" t="str">
        <f>TEST_DATA!D1724</f>
        <v>NON-NIL</v>
      </c>
      <c r="E1724">
        <f>TEST_DATA!E1724</f>
        <v>1279</v>
      </c>
      <c r="F1724">
        <f>MIN(E1724*172400,10000)</f>
        <v>10000</v>
      </c>
      <c r="G1724" t="e">
        <f ca="1">_xludf.MINIFS(CBIC_Late_Fee_Relief_Windows_1!$I$100:$I$1724,CBIC_Late_Fee_Relief_Windows_1!$D$100:$D$1724,"&lt;="&amp;B1724,CBIC_Late_Fee_Relief_Windows_1!$E$100:$E$1724,"&gt;="&amp;B1724,CBIC_Late_Fee_Relief_Windows_1!$F$100:$F$1724,"&lt;="&amp;C1724,CBIC_Late_Fee_Relief_Windows_1!$G$100:$G$1724,"&gt;="&amp;C1724,CBIC_Late_Fee_Relief_Windows_1!$H$100:$H$1724,D1724)</f>
        <v>#NAME?</v>
      </c>
      <c r="H1724" t="e">
        <f t="shared" ca="1" si="26"/>
        <v>#NAME?</v>
      </c>
      <c r="I1724" t="e">
        <f ca="1">INDEX(CBIC_Late_Fee_Relief_Windows_1!$B$100:$B$1724,MATCH(G1724,CBIC_Late_Fee_Relief_Windows_1!$I$100:$I$1724,0))</f>
        <v>#NAME?</v>
      </c>
    </row>
    <row r="1725" spans="1:9" x14ac:dyDescent="0.55000000000000004">
      <c r="A1725" t="str">
        <f>TEST_DATA!A1725</f>
        <v>27AAAAA1725Z5</v>
      </c>
      <c r="B1725" t="str">
        <f>TEST_DATA!B1725</f>
        <v>May-2018</v>
      </c>
      <c r="C1725">
        <f>TEST_DATA!C1725</f>
        <v>43322</v>
      </c>
      <c r="D1725" t="str">
        <f>TEST_DATA!D1725</f>
        <v>NIL</v>
      </c>
      <c r="E1725">
        <f>TEST_DATA!E1725</f>
        <v>1907</v>
      </c>
      <c r="F1725">
        <f>MIN(E1725*172500,10000)</f>
        <v>10000</v>
      </c>
      <c r="G1725" t="e">
        <f ca="1">_xludf.MINIFS(CBIC_Late_Fee_Relief_Windows_1!$I$100:$I$1725,CBIC_Late_Fee_Relief_Windows_1!$D$100:$D$1725,"&lt;="&amp;B1725,CBIC_Late_Fee_Relief_Windows_1!$E$100:$E$1725,"&gt;="&amp;B1725,CBIC_Late_Fee_Relief_Windows_1!$F$100:$F$1725,"&lt;="&amp;C1725,CBIC_Late_Fee_Relief_Windows_1!$G$100:$G$1725,"&gt;="&amp;C1725,CBIC_Late_Fee_Relief_Windows_1!$H$100:$H$1725,D1725)</f>
        <v>#NAME?</v>
      </c>
      <c r="H1725" t="e">
        <f t="shared" ca="1" si="26"/>
        <v>#NAME?</v>
      </c>
      <c r="I1725" t="e">
        <f ca="1">INDEX(CBIC_Late_Fee_Relief_Windows_1!$B$100:$B$1725,MATCH(G1725,CBIC_Late_Fee_Relief_Windows_1!$I$100:$I$1725,0))</f>
        <v>#NAME?</v>
      </c>
    </row>
    <row r="1726" spans="1:9" x14ac:dyDescent="0.55000000000000004">
      <c r="A1726" t="str">
        <f>TEST_DATA!A1726</f>
        <v>27AAAAA1726Z5</v>
      </c>
      <c r="B1726" t="str">
        <f>TEST_DATA!B1726</f>
        <v>Mar-2020</v>
      </c>
      <c r="C1726">
        <f>TEST_DATA!C1726</f>
        <v>44100</v>
      </c>
      <c r="D1726" t="str">
        <f>TEST_DATA!D1726</f>
        <v>NIL</v>
      </c>
      <c r="E1726">
        <f>TEST_DATA!E1726</f>
        <v>2861</v>
      </c>
      <c r="F1726">
        <f>MIN(E1726*172600,10000)</f>
        <v>10000</v>
      </c>
      <c r="G1726" t="e">
        <f ca="1">_xludf.MINIFS(CBIC_Late_Fee_Relief_Windows_1!$I$100:$I$1726,CBIC_Late_Fee_Relief_Windows_1!$D$100:$D$1726,"&lt;="&amp;B1726,CBIC_Late_Fee_Relief_Windows_1!$E$100:$E$1726,"&gt;="&amp;B1726,CBIC_Late_Fee_Relief_Windows_1!$F$100:$F$1726,"&lt;="&amp;C1726,CBIC_Late_Fee_Relief_Windows_1!$G$100:$G$1726,"&gt;="&amp;C1726,CBIC_Late_Fee_Relief_Windows_1!$H$100:$H$1726,D1726)</f>
        <v>#NAME?</v>
      </c>
      <c r="H1726" t="e">
        <f t="shared" ca="1" si="26"/>
        <v>#NAME?</v>
      </c>
      <c r="I1726" t="e">
        <f ca="1">INDEX(CBIC_Late_Fee_Relief_Windows_1!$B$100:$B$1726,MATCH(G1726,CBIC_Late_Fee_Relief_Windows_1!$I$100:$I$1726,0))</f>
        <v>#NAME?</v>
      </c>
    </row>
    <row r="1727" spans="1:9" x14ac:dyDescent="0.55000000000000004">
      <c r="A1727" t="str">
        <f>TEST_DATA!A1727</f>
        <v>27AAAAA1727Z5</v>
      </c>
      <c r="B1727" t="str">
        <f>TEST_DATA!B1727</f>
        <v>Sep-2018</v>
      </c>
      <c r="C1727">
        <f>TEST_DATA!C1727</f>
        <v>43116</v>
      </c>
      <c r="D1727" t="str">
        <f>TEST_DATA!D1727</f>
        <v>NON-NIL</v>
      </c>
      <c r="E1727">
        <f>TEST_DATA!E1727</f>
        <v>1271</v>
      </c>
      <c r="F1727">
        <f>MIN(E1727*172700,10000)</f>
        <v>10000</v>
      </c>
      <c r="G1727" t="e">
        <f ca="1">_xludf.MINIFS(CBIC_Late_Fee_Relief_Windows_1!$I$100:$I$1727,CBIC_Late_Fee_Relief_Windows_1!$D$100:$D$1727,"&lt;="&amp;B1727,CBIC_Late_Fee_Relief_Windows_1!$E$100:$E$1727,"&gt;="&amp;B1727,CBIC_Late_Fee_Relief_Windows_1!$F$100:$F$1727,"&lt;="&amp;C1727,CBIC_Late_Fee_Relief_Windows_1!$G$100:$G$1727,"&gt;="&amp;C1727,CBIC_Late_Fee_Relief_Windows_1!$H$100:$H$1727,D1727)</f>
        <v>#NAME?</v>
      </c>
      <c r="H1727" t="e">
        <f t="shared" ca="1" si="26"/>
        <v>#NAME?</v>
      </c>
      <c r="I1727" t="e">
        <f ca="1">INDEX(CBIC_Late_Fee_Relief_Windows_1!$B$100:$B$1727,MATCH(G1727,CBIC_Late_Fee_Relief_Windows_1!$I$100:$I$1727,0))</f>
        <v>#NAME?</v>
      </c>
    </row>
    <row r="1728" spans="1:9" x14ac:dyDescent="0.55000000000000004">
      <c r="A1728" t="str">
        <f>TEST_DATA!A1728</f>
        <v>27AAAAA1728Z5</v>
      </c>
      <c r="B1728" t="str">
        <f>TEST_DATA!B1728</f>
        <v>Jun-2020</v>
      </c>
      <c r="C1728">
        <f>TEST_DATA!C1728</f>
        <v>44784</v>
      </c>
      <c r="D1728" t="str">
        <f>TEST_DATA!D1728</f>
        <v>NON-NIL</v>
      </c>
      <c r="E1728">
        <f>TEST_DATA!E1728</f>
        <v>949</v>
      </c>
      <c r="F1728">
        <f>MIN(E1728*172800,10000)</f>
        <v>10000</v>
      </c>
      <c r="G1728" t="e">
        <f ca="1">_xludf.MINIFS(CBIC_Late_Fee_Relief_Windows_1!$I$100:$I$1728,CBIC_Late_Fee_Relief_Windows_1!$D$100:$D$1728,"&lt;="&amp;B1728,CBIC_Late_Fee_Relief_Windows_1!$E$100:$E$1728,"&gt;="&amp;B1728,CBIC_Late_Fee_Relief_Windows_1!$F$100:$F$1728,"&lt;="&amp;C1728,CBIC_Late_Fee_Relief_Windows_1!$G$100:$G$1728,"&gt;="&amp;C1728,CBIC_Late_Fee_Relief_Windows_1!$H$100:$H$1728,D1728)</f>
        <v>#NAME?</v>
      </c>
      <c r="H1728" t="e">
        <f t="shared" ca="1" si="26"/>
        <v>#NAME?</v>
      </c>
      <c r="I1728" t="e">
        <f ca="1">INDEX(CBIC_Late_Fee_Relief_Windows_1!$B$100:$B$1728,MATCH(G1728,CBIC_Late_Fee_Relief_Windows_1!$I$100:$I$1728,0))</f>
        <v>#NAME?</v>
      </c>
    </row>
    <row r="1729" spans="1:9" x14ac:dyDescent="0.55000000000000004">
      <c r="A1729" t="str">
        <f>TEST_DATA!A1729</f>
        <v>27AAAAA1729Z5</v>
      </c>
      <c r="B1729" t="str">
        <f>TEST_DATA!B1729</f>
        <v>Feb-2018</v>
      </c>
      <c r="C1729">
        <f>TEST_DATA!C1729</f>
        <v>43211</v>
      </c>
      <c r="D1729" t="str">
        <f>TEST_DATA!D1729</f>
        <v>NON-NIL</v>
      </c>
      <c r="E1729">
        <f>TEST_DATA!E1729</f>
        <v>1488</v>
      </c>
      <c r="F1729">
        <f>MIN(E1729*172900,10000)</f>
        <v>10000</v>
      </c>
      <c r="G1729" t="e">
        <f ca="1">_xludf.MINIFS(CBIC_Late_Fee_Relief_Windows_1!$I$100:$I$1729,CBIC_Late_Fee_Relief_Windows_1!$D$100:$D$1729,"&lt;="&amp;B1729,CBIC_Late_Fee_Relief_Windows_1!$E$100:$E$1729,"&gt;="&amp;B1729,CBIC_Late_Fee_Relief_Windows_1!$F$100:$F$1729,"&lt;="&amp;C1729,CBIC_Late_Fee_Relief_Windows_1!$G$100:$G$1729,"&gt;="&amp;C1729,CBIC_Late_Fee_Relief_Windows_1!$H$100:$H$1729,D1729)</f>
        <v>#NAME?</v>
      </c>
      <c r="H1729" t="e">
        <f t="shared" ca="1" si="26"/>
        <v>#NAME?</v>
      </c>
      <c r="I1729" t="e">
        <f ca="1">INDEX(CBIC_Late_Fee_Relief_Windows_1!$B$100:$B$1729,MATCH(G1729,CBIC_Late_Fee_Relief_Windows_1!$I$100:$I$1729,0))</f>
        <v>#NAME?</v>
      </c>
    </row>
    <row r="1730" spans="1:9" x14ac:dyDescent="0.55000000000000004">
      <c r="A1730" t="str">
        <f>TEST_DATA!A1730</f>
        <v>27AAAAA1730Z5</v>
      </c>
      <c r="B1730" t="str">
        <f>TEST_DATA!B1730</f>
        <v>Jul-2018</v>
      </c>
      <c r="C1730">
        <f>TEST_DATA!C1730</f>
        <v>43292</v>
      </c>
      <c r="D1730" t="str">
        <f>TEST_DATA!D1730</f>
        <v>NON-NIL</v>
      </c>
      <c r="E1730">
        <f>TEST_DATA!E1730</f>
        <v>1330</v>
      </c>
      <c r="F1730">
        <f>MIN(E1730*173000,10000)</f>
        <v>10000</v>
      </c>
      <c r="G1730" t="e">
        <f ca="1">_xludf.MINIFS(CBIC_Late_Fee_Relief_Windows_1!$I$100:$I$1730,CBIC_Late_Fee_Relief_Windows_1!$D$100:$D$1730,"&lt;="&amp;B1730,CBIC_Late_Fee_Relief_Windows_1!$E$100:$E$1730,"&gt;="&amp;B1730,CBIC_Late_Fee_Relief_Windows_1!$F$100:$F$1730,"&lt;="&amp;C1730,CBIC_Late_Fee_Relief_Windows_1!$G$100:$G$1730,"&gt;="&amp;C1730,CBIC_Late_Fee_Relief_Windows_1!$H$100:$H$1730,D1730)</f>
        <v>#NAME?</v>
      </c>
      <c r="H1730" t="e">
        <f t="shared" ref="H1730:H1793" ca="1" si="27">MIN(F1730,G1730)</f>
        <v>#NAME?</v>
      </c>
      <c r="I1730" t="e">
        <f ca="1">INDEX(CBIC_Late_Fee_Relief_Windows_1!$B$100:$B$1730,MATCH(G1730,CBIC_Late_Fee_Relief_Windows_1!$I$100:$I$1730,0))</f>
        <v>#NAME?</v>
      </c>
    </row>
    <row r="1731" spans="1:9" x14ac:dyDescent="0.55000000000000004">
      <c r="A1731" t="str">
        <f>TEST_DATA!A1731</f>
        <v>27AAAAA1731Z5</v>
      </c>
      <c r="B1731" t="str">
        <f>TEST_DATA!B1731</f>
        <v>Sep-2018</v>
      </c>
      <c r="C1731">
        <f>TEST_DATA!C1731</f>
        <v>43915</v>
      </c>
      <c r="D1731" t="str">
        <f>TEST_DATA!D1731</f>
        <v>NIL</v>
      </c>
      <c r="E1731">
        <f>TEST_DATA!E1731</f>
        <v>267</v>
      </c>
      <c r="F1731">
        <f>MIN(E1731*173100,10000)</f>
        <v>10000</v>
      </c>
      <c r="G1731" t="e">
        <f ca="1">_xludf.MINIFS(CBIC_Late_Fee_Relief_Windows_1!$I$100:$I$1731,CBIC_Late_Fee_Relief_Windows_1!$D$100:$D$1731,"&lt;="&amp;B1731,CBIC_Late_Fee_Relief_Windows_1!$E$100:$E$1731,"&gt;="&amp;B1731,CBIC_Late_Fee_Relief_Windows_1!$F$100:$F$1731,"&lt;="&amp;C1731,CBIC_Late_Fee_Relief_Windows_1!$G$100:$G$1731,"&gt;="&amp;C1731,CBIC_Late_Fee_Relief_Windows_1!$H$100:$H$1731,D1731)</f>
        <v>#NAME?</v>
      </c>
      <c r="H1731" t="e">
        <f t="shared" ca="1" si="27"/>
        <v>#NAME?</v>
      </c>
      <c r="I1731" t="e">
        <f ca="1">INDEX(CBIC_Late_Fee_Relief_Windows_1!$B$100:$B$1731,MATCH(G1731,CBIC_Late_Fee_Relief_Windows_1!$I$100:$I$1731,0))</f>
        <v>#NAME?</v>
      </c>
    </row>
    <row r="1732" spans="1:9" x14ac:dyDescent="0.55000000000000004">
      <c r="A1732" t="str">
        <f>TEST_DATA!A1732</f>
        <v>27AAAAA1732Z5</v>
      </c>
      <c r="B1732" t="str">
        <f>TEST_DATA!B1732</f>
        <v>Jan-2019</v>
      </c>
      <c r="C1732">
        <f>TEST_DATA!C1732</f>
        <v>43928</v>
      </c>
      <c r="D1732" t="str">
        <f>TEST_DATA!D1732</f>
        <v>NON-NIL</v>
      </c>
      <c r="E1732">
        <f>TEST_DATA!E1732</f>
        <v>1960</v>
      </c>
      <c r="F1732">
        <f>MIN(E1732*173200,10000)</f>
        <v>10000</v>
      </c>
      <c r="G1732" t="e">
        <f ca="1">_xludf.MINIFS(CBIC_Late_Fee_Relief_Windows_1!$I$100:$I$1732,CBIC_Late_Fee_Relief_Windows_1!$D$100:$D$1732,"&lt;="&amp;B1732,CBIC_Late_Fee_Relief_Windows_1!$E$100:$E$1732,"&gt;="&amp;B1732,CBIC_Late_Fee_Relief_Windows_1!$F$100:$F$1732,"&lt;="&amp;C1732,CBIC_Late_Fee_Relief_Windows_1!$G$100:$G$1732,"&gt;="&amp;C1732,CBIC_Late_Fee_Relief_Windows_1!$H$100:$H$1732,D1732)</f>
        <v>#NAME?</v>
      </c>
      <c r="H1732" t="e">
        <f t="shared" ca="1" si="27"/>
        <v>#NAME?</v>
      </c>
      <c r="I1732" t="e">
        <f ca="1">INDEX(CBIC_Late_Fee_Relief_Windows_1!$B$100:$B$1732,MATCH(G1732,CBIC_Late_Fee_Relief_Windows_1!$I$100:$I$1732,0))</f>
        <v>#NAME?</v>
      </c>
    </row>
    <row r="1733" spans="1:9" x14ac:dyDescent="0.55000000000000004">
      <c r="A1733" t="str">
        <f>TEST_DATA!A1733</f>
        <v>27AAAAA1733Z5</v>
      </c>
      <c r="B1733" t="str">
        <f>TEST_DATA!B1733</f>
        <v>Sep-2018</v>
      </c>
      <c r="C1733">
        <f>TEST_DATA!C1733</f>
        <v>43266</v>
      </c>
      <c r="D1733" t="str">
        <f>TEST_DATA!D1733</f>
        <v>NON-NIL</v>
      </c>
      <c r="E1733">
        <f>TEST_DATA!E1733</f>
        <v>1427</v>
      </c>
      <c r="F1733">
        <f>MIN(E1733*173300,10000)</f>
        <v>10000</v>
      </c>
      <c r="G1733" t="e">
        <f ca="1">_xludf.MINIFS(CBIC_Late_Fee_Relief_Windows_1!$I$100:$I$1733,CBIC_Late_Fee_Relief_Windows_1!$D$100:$D$1733,"&lt;="&amp;B1733,CBIC_Late_Fee_Relief_Windows_1!$E$100:$E$1733,"&gt;="&amp;B1733,CBIC_Late_Fee_Relief_Windows_1!$F$100:$F$1733,"&lt;="&amp;C1733,CBIC_Late_Fee_Relief_Windows_1!$G$100:$G$1733,"&gt;="&amp;C1733,CBIC_Late_Fee_Relief_Windows_1!$H$100:$H$1733,D1733)</f>
        <v>#NAME?</v>
      </c>
      <c r="H1733" t="e">
        <f t="shared" ca="1" si="27"/>
        <v>#NAME?</v>
      </c>
      <c r="I1733" t="e">
        <f ca="1">INDEX(CBIC_Late_Fee_Relief_Windows_1!$B$100:$B$1733,MATCH(G1733,CBIC_Late_Fee_Relief_Windows_1!$I$100:$I$1733,0))</f>
        <v>#NAME?</v>
      </c>
    </row>
    <row r="1734" spans="1:9" x14ac:dyDescent="0.55000000000000004">
      <c r="A1734" t="str">
        <f>TEST_DATA!A1734</f>
        <v>27AAAAA1734Z5</v>
      </c>
      <c r="B1734" t="str">
        <f>TEST_DATA!B1734</f>
        <v>Apr-2020</v>
      </c>
      <c r="C1734">
        <f>TEST_DATA!C1734</f>
        <v>44091</v>
      </c>
      <c r="D1734" t="str">
        <f>TEST_DATA!D1734</f>
        <v>NIL</v>
      </c>
      <c r="E1734">
        <f>TEST_DATA!E1734</f>
        <v>1661</v>
      </c>
      <c r="F1734">
        <f>MIN(E1734*173400,10000)</f>
        <v>10000</v>
      </c>
      <c r="G1734" t="e">
        <f ca="1">_xludf.MINIFS(CBIC_Late_Fee_Relief_Windows_1!$I$100:$I$1734,CBIC_Late_Fee_Relief_Windows_1!$D$100:$D$1734,"&lt;="&amp;B1734,CBIC_Late_Fee_Relief_Windows_1!$E$100:$E$1734,"&gt;="&amp;B1734,CBIC_Late_Fee_Relief_Windows_1!$F$100:$F$1734,"&lt;="&amp;C1734,CBIC_Late_Fee_Relief_Windows_1!$G$100:$G$1734,"&gt;="&amp;C1734,CBIC_Late_Fee_Relief_Windows_1!$H$100:$H$1734,D1734)</f>
        <v>#NAME?</v>
      </c>
      <c r="H1734" t="e">
        <f t="shared" ca="1" si="27"/>
        <v>#NAME?</v>
      </c>
      <c r="I1734" t="e">
        <f ca="1">INDEX(CBIC_Late_Fee_Relief_Windows_1!$B$100:$B$1734,MATCH(G1734,CBIC_Late_Fee_Relief_Windows_1!$I$100:$I$1734,0))</f>
        <v>#NAME?</v>
      </c>
    </row>
    <row r="1735" spans="1:9" x14ac:dyDescent="0.55000000000000004">
      <c r="A1735" t="str">
        <f>TEST_DATA!A1735</f>
        <v>27AAAAA1735Z5</v>
      </c>
      <c r="B1735" t="str">
        <f>TEST_DATA!B1735</f>
        <v>Dec-2022</v>
      </c>
      <c r="C1735">
        <f>TEST_DATA!C1735</f>
        <v>43904</v>
      </c>
      <c r="D1735" t="str">
        <f>TEST_DATA!D1735</f>
        <v>NON-NIL</v>
      </c>
      <c r="E1735">
        <f>TEST_DATA!E1735</f>
        <v>2277</v>
      </c>
      <c r="F1735">
        <f>MIN(E1735*173500,10000)</f>
        <v>10000</v>
      </c>
      <c r="G1735" t="e">
        <f ca="1">_xludf.MINIFS(CBIC_Late_Fee_Relief_Windows_1!$I$100:$I$1735,CBIC_Late_Fee_Relief_Windows_1!$D$100:$D$1735,"&lt;="&amp;B1735,CBIC_Late_Fee_Relief_Windows_1!$E$100:$E$1735,"&gt;="&amp;B1735,CBIC_Late_Fee_Relief_Windows_1!$F$100:$F$1735,"&lt;="&amp;C1735,CBIC_Late_Fee_Relief_Windows_1!$G$100:$G$1735,"&gt;="&amp;C1735,CBIC_Late_Fee_Relief_Windows_1!$H$100:$H$1735,D1735)</f>
        <v>#NAME?</v>
      </c>
      <c r="H1735" t="e">
        <f t="shared" ca="1" si="27"/>
        <v>#NAME?</v>
      </c>
      <c r="I1735" t="e">
        <f ca="1">INDEX(CBIC_Late_Fee_Relief_Windows_1!$B$100:$B$1735,MATCH(G1735,CBIC_Late_Fee_Relief_Windows_1!$I$100:$I$1735,0))</f>
        <v>#NAME?</v>
      </c>
    </row>
    <row r="1736" spans="1:9" x14ac:dyDescent="0.55000000000000004">
      <c r="A1736" t="str">
        <f>TEST_DATA!A1736</f>
        <v>27AAAAA1736Z5</v>
      </c>
      <c r="B1736" t="str">
        <f>TEST_DATA!B1736</f>
        <v>May-2020</v>
      </c>
      <c r="C1736">
        <f>TEST_DATA!C1736</f>
        <v>43976</v>
      </c>
      <c r="D1736" t="str">
        <f>TEST_DATA!D1736</f>
        <v>NON-NIL</v>
      </c>
      <c r="E1736">
        <f>TEST_DATA!E1736</f>
        <v>2182</v>
      </c>
      <c r="F1736">
        <f>MIN(E1736*173600,10000)</f>
        <v>10000</v>
      </c>
      <c r="G1736" t="e">
        <f ca="1">_xludf.MINIFS(CBIC_Late_Fee_Relief_Windows_1!$I$100:$I$1736,CBIC_Late_Fee_Relief_Windows_1!$D$100:$D$1736,"&lt;="&amp;B1736,CBIC_Late_Fee_Relief_Windows_1!$E$100:$E$1736,"&gt;="&amp;B1736,CBIC_Late_Fee_Relief_Windows_1!$F$100:$F$1736,"&lt;="&amp;C1736,CBIC_Late_Fee_Relief_Windows_1!$G$100:$G$1736,"&gt;="&amp;C1736,CBIC_Late_Fee_Relief_Windows_1!$H$100:$H$1736,D1736)</f>
        <v>#NAME?</v>
      </c>
      <c r="H1736" t="e">
        <f t="shared" ca="1" si="27"/>
        <v>#NAME?</v>
      </c>
      <c r="I1736" t="e">
        <f ca="1">INDEX(CBIC_Late_Fee_Relief_Windows_1!$B$100:$B$1736,MATCH(G1736,CBIC_Late_Fee_Relief_Windows_1!$I$100:$I$1736,0))</f>
        <v>#NAME?</v>
      </c>
    </row>
    <row r="1737" spans="1:9" x14ac:dyDescent="0.55000000000000004">
      <c r="A1737" t="str">
        <f>TEST_DATA!A1737</f>
        <v>27AAAAA1737Z5</v>
      </c>
      <c r="B1737" t="str">
        <f>TEST_DATA!B1737</f>
        <v>Sep-2018</v>
      </c>
      <c r="C1737">
        <f>TEST_DATA!C1737</f>
        <v>43737</v>
      </c>
      <c r="D1737" t="str">
        <f>TEST_DATA!D1737</f>
        <v>NON-NIL</v>
      </c>
      <c r="E1737">
        <f>TEST_DATA!E1737</f>
        <v>977</v>
      </c>
      <c r="F1737">
        <f>MIN(E1737*173700,10000)</f>
        <v>10000</v>
      </c>
      <c r="G1737" t="e">
        <f ca="1">_xludf.MINIFS(CBIC_Late_Fee_Relief_Windows_1!$I$100:$I$1737,CBIC_Late_Fee_Relief_Windows_1!$D$100:$D$1737,"&lt;="&amp;B1737,CBIC_Late_Fee_Relief_Windows_1!$E$100:$E$1737,"&gt;="&amp;B1737,CBIC_Late_Fee_Relief_Windows_1!$F$100:$F$1737,"&lt;="&amp;C1737,CBIC_Late_Fee_Relief_Windows_1!$G$100:$G$1737,"&gt;="&amp;C1737,CBIC_Late_Fee_Relief_Windows_1!$H$100:$H$1737,D1737)</f>
        <v>#NAME?</v>
      </c>
      <c r="H1737" t="e">
        <f t="shared" ca="1" si="27"/>
        <v>#NAME?</v>
      </c>
      <c r="I1737" t="e">
        <f ca="1">INDEX(CBIC_Late_Fee_Relief_Windows_1!$B$100:$B$1737,MATCH(G1737,CBIC_Late_Fee_Relief_Windows_1!$I$100:$I$1737,0))</f>
        <v>#NAME?</v>
      </c>
    </row>
    <row r="1738" spans="1:9" x14ac:dyDescent="0.55000000000000004">
      <c r="A1738" t="str">
        <f>TEST_DATA!A1738</f>
        <v>27AAAAA1738Z5</v>
      </c>
      <c r="B1738" t="str">
        <f>TEST_DATA!B1738</f>
        <v>Apr-2020</v>
      </c>
      <c r="C1738">
        <f>TEST_DATA!C1738</f>
        <v>44330</v>
      </c>
      <c r="D1738" t="str">
        <f>TEST_DATA!D1738</f>
        <v>NIL</v>
      </c>
      <c r="E1738">
        <f>TEST_DATA!E1738</f>
        <v>1975</v>
      </c>
      <c r="F1738">
        <f>MIN(E1738*173800,10000)</f>
        <v>10000</v>
      </c>
      <c r="G1738" t="e">
        <f ca="1">_xludf.MINIFS(CBIC_Late_Fee_Relief_Windows_1!$I$100:$I$1738,CBIC_Late_Fee_Relief_Windows_1!$D$100:$D$1738,"&lt;="&amp;B1738,CBIC_Late_Fee_Relief_Windows_1!$E$100:$E$1738,"&gt;="&amp;B1738,CBIC_Late_Fee_Relief_Windows_1!$F$100:$F$1738,"&lt;="&amp;C1738,CBIC_Late_Fee_Relief_Windows_1!$G$100:$G$1738,"&gt;="&amp;C1738,CBIC_Late_Fee_Relief_Windows_1!$H$100:$H$1738,D1738)</f>
        <v>#NAME?</v>
      </c>
      <c r="H1738" t="e">
        <f t="shared" ca="1" si="27"/>
        <v>#NAME?</v>
      </c>
      <c r="I1738" t="e">
        <f ca="1">INDEX(CBIC_Late_Fee_Relief_Windows_1!$B$100:$B$1738,MATCH(G1738,CBIC_Late_Fee_Relief_Windows_1!$I$100:$I$1738,0))</f>
        <v>#NAME?</v>
      </c>
    </row>
    <row r="1739" spans="1:9" x14ac:dyDescent="0.55000000000000004">
      <c r="A1739" t="str">
        <f>TEST_DATA!A1739</f>
        <v>27AAAAA1739Z5</v>
      </c>
      <c r="B1739" t="str">
        <f>TEST_DATA!B1739</f>
        <v>Jul-2018</v>
      </c>
      <c r="C1739">
        <f>TEST_DATA!C1739</f>
        <v>43052</v>
      </c>
      <c r="D1739" t="str">
        <f>TEST_DATA!D1739</f>
        <v>NON-NIL</v>
      </c>
      <c r="E1739">
        <f>TEST_DATA!E1739</f>
        <v>852</v>
      </c>
      <c r="F1739">
        <f>MIN(E1739*173900,10000)</f>
        <v>10000</v>
      </c>
      <c r="G1739" t="e">
        <f ca="1">_xludf.MINIFS(CBIC_Late_Fee_Relief_Windows_1!$I$100:$I$1739,CBIC_Late_Fee_Relief_Windows_1!$D$100:$D$1739,"&lt;="&amp;B1739,CBIC_Late_Fee_Relief_Windows_1!$E$100:$E$1739,"&gt;="&amp;B1739,CBIC_Late_Fee_Relief_Windows_1!$F$100:$F$1739,"&lt;="&amp;C1739,CBIC_Late_Fee_Relief_Windows_1!$G$100:$G$1739,"&gt;="&amp;C1739,CBIC_Late_Fee_Relief_Windows_1!$H$100:$H$1739,D1739)</f>
        <v>#NAME?</v>
      </c>
      <c r="H1739" t="e">
        <f t="shared" ca="1" si="27"/>
        <v>#NAME?</v>
      </c>
      <c r="I1739" t="e">
        <f ca="1">INDEX(CBIC_Late_Fee_Relief_Windows_1!$B$100:$B$1739,MATCH(G1739,CBIC_Late_Fee_Relief_Windows_1!$I$100:$I$1739,0))</f>
        <v>#NAME?</v>
      </c>
    </row>
    <row r="1740" spans="1:9" x14ac:dyDescent="0.55000000000000004">
      <c r="A1740" t="str">
        <f>TEST_DATA!A1740</f>
        <v>27AAAAA1740Z5</v>
      </c>
      <c r="B1740" t="str">
        <f>TEST_DATA!B1740</f>
        <v>Dec-2022</v>
      </c>
      <c r="C1740">
        <f>TEST_DATA!C1740</f>
        <v>45231</v>
      </c>
      <c r="D1740" t="str">
        <f>TEST_DATA!D1740</f>
        <v>NON-NIL</v>
      </c>
      <c r="E1740">
        <f>TEST_DATA!E1740</f>
        <v>2323</v>
      </c>
      <c r="F1740">
        <f>MIN(E1740*174000,10000)</f>
        <v>10000</v>
      </c>
      <c r="G1740" t="e">
        <f ca="1">_xludf.MINIFS(CBIC_Late_Fee_Relief_Windows_1!$I$100:$I$1740,CBIC_Late_Fee_Relief_Windows_1!$D$100:$D$1740,"&lt;="&amp;B1740,CBIC_Late_Fee_Relief_Windows_1!$E$100:$E$1740,"&gt;="&amp;B1740,CBIC_Late_Fee_Relief_Windows_1!$F$100:$F$1740,"&lt;="&amp;C1740,CBIC_Late_Fee_Relief_Windows_1!$G$100:$G$1740,"&gt;="&amp;C1740,CBIC_Late_Fee_Relief_Windows_1!$H$100:$H$1740,D1740)</f>
        <v>#NAME?</v>
      </c>
      <c r="H1740" t="e">
        <f t="shared" ca="1" si="27"/>
        <v>#NAME?</v>
      </c>
      <c r="I1740" t="e">
        <f ca="1">INDEX(CBIC_Late_Fee_Relief_Windows_1!$B$100:$B$1740,MATCH(G1740,CBIC_Late_Fee_Relief_Windows_1!$I$100:$I$1740,0))</f>
        <v>#NAME?</v>
      </c>
    </row>
    <row r="1741" spans="1:9" x14ac:dyDescent="0.55000000000000004">
      <c r="A1741" t="str">
        <f>TEST_DATA!A1741</f>
        <v>27AAAAA1741Z5</v>
      </c>
      <c r="B1741" t="str">
        <f>TEST_DATA!B1741</f>
        <v>Apr-2021</v>
      </c>
      <c r="C1741">
        <f>TEST_DATA!C1741</f>
        <v>44867</v>
      </c>
      <c r="D1741" t="str">
        <f>TEST_DATA!D1741</f>
        <v>NIL</v>
      </c>
      <c r="E1741">
        <f>TEST_DATA!E1741</f>
        <v>708</v>
      </c>
      <c r="F1741">
        <f>MIN(E1741*174100,10000)</f>
        <v>10000</v>
      </c>
      <c r="G1741" t="e">
        <f ca="1">_xludf.MINIFS(CBIC_Late_Fee_Relief_Windows_1!$I$100:$I$1741,CBIC_Late_Fee_Relief_Windows_1!$D$100:$D$1741,"&lt;="&amp;B1741,CBIC_Late_Fee_Relief_Windows_1!$E$100:$E$1741,"&gt;="&amp;B1741,CBIC_Late_Fee_Relief_Windows_1!$F$100:$F$1741,"&lt;="&amp;C1741,CBIC_Late_Fee_Relief_Windows_1!$G$100:$G$1741,"&gt;="&amp;C1741,CBIC_Late_Fee_Relief_Windows_1!$H$100:$H$1741,D1741)</f>
        <v>#NAME?</v>
      </c>
      <c r="H1741" t="e">
        <f t="shared" ca="1" si="27"/>
        <v>#NAME?</v>
      </c>
      <c r="I1741" t="e">
        <f ca="1">INDEX(CBIC_Late_Fee_Relief_Windows_1!$B$100:$B$1741,MATCH(G1741,CBIC_Late_Fee_Relief_Windows_1!$I$100:$I$1741,0))</f>
        <v>#NAME?</v>
      </c>
    </row>
    <row r="1742" spans="1:9" x14ac:dyDescent="0.55000000000000004">
      <c r="A1742" t="str">
        <f>TEST_DATA!A1742</f>
        <v>27AAAAA1742Z5</v>
      </c>
      <c r="B1742" t="str">
        <f>TEST_DATA!B1742</f>
        <v>Jun-2020</v>
      </c>
      <c r="C1742">
        <f>TEST_DATA!C1742</f>
        <v>43990</v>
      </c>
      <c r="D1742" t="str">
        <f>TEST_DATA!D1742</f>
        <v>NON-NIL</v>
      </c>
      <c r="E1742">
        <f>TEST_DATA!E1742</f>
        <v>468</v>
      </c>
      <c r="F1742">
        <f>MIN(E1742*174200,10000)</f>
        <v>10000</v>
      </c>
      <c r="G1742" t="e">
        <f ca="1">_xludf.MINIFS(CBIC_Late_Fee_Relief_Windows_1!$I$100:$I$1742,CBIC_Late_Fee_Relief_Windows_1!$D$100:$D$1742,"&lt;="&amp;B1742,CBIC_Late_Fee_Relief_Windows_1!$E$100:$E$1742,"&gt;="&amp;B1742,CBIC_Late_Fee_Relief_Windows_1!$F$100:$F$1742,"&lt;="&amp;C1742,CBIC_Late_Fee_Relief_Windows_1!$G$100:$G$1742,"&gt;="&amp;C1742,CBIC_Late_Fee_Relief_Windows_1!$H$100:$H$1742,D1742)</f>
        <v>#NAME?</v>
      </c>
      <c r="H1742" t="e">
        <f t="shared" ca="1" si="27"/>
        <v>#NAME?</v>
      </c>
      <c r="I1742" t="e">
        <f ca="1">INDEX(CBIC_Late_Fee_Relief_Windows_1!$B$100:$B$1742,MATCH(G1742,CBIC_Late_Fee_Relief_Windows_1!$I$100:$I$1742,0))</f>
        <v>#NAME?</v>
      </c>
    </row>
    <row r="1743" spans="1:9" x14ac:dyDescent="0.55000000000000004">
      <c r="A1743" t="str">
        <f>TEST_DATA!A1743</f>
        <v>27AAAAA1743Z5</v>
      </c>
      <c r="B1743" t="str">
        <f>TEST_DATA!B1743</f>
        <v>Mar-2020</v>
      </c>
      <c r="C1743">
        <f>TEST_DATA!C1743</f>
        <v>44779</v>
      </c>
      <c r="D1743" t="str">
        <f>TEST_DATA!D1743</f>
        <v>NON-NIL</v>
      </c>
      <c r="E1743">
        <f>TEST_DATA!E1743</f>
        <v>2273</v>
      </c>
      <c r="F1743">
        <f>MIN(E1743*174300,10000)</f>
        <v>10000</v>
      </c>
      <c r="G1743" t="e">
        <f ca="1">_xludf.MINIFS(CBIC_Late_Fee_Relief_Windows_1!$I$100:$I$1743,CBIC_Late_Fee_Relief_Windows_1!$D$100:$D$1743,"&lt;="&amp;B1743,CBIC_Late_Fee_Relief_Windows_1!$E$100:$E$1743,"&gt;="&amp;B1743,CBIC_Late_Fee_Relief_Windows_1!$F$100:$F$1743,"&lt;="&amp;C1743,CBIC_Late_Fee_Relief_Windows_1!$G$100:$G$1743,"&gt;="&amp;C1743,CBIC_Late_Fee_Relief_Windows_1!$H$100:$H$1743,D1743)</f>
        <v>#NAME?</v>
      </c>
      <c r="H1743" t="e">
        <f t="shared" ca="1" si="27"/>
        <v>#NAME?</v>
      </c>
      <c r="I1743" t="e">
        <f ca="1">INDEX(CBIC_Late_Fee_Relief_Windows_1!$B$100:$B$1743,MATCH(G1743,CBIC_Late_Fee_Relief_Windows_1!$I$100:$I$1743,0))</f>
        <v>#NAME?</v>
      </c>
    </row>
    <row r="1744" spans="1:9" x14ac:dyDescent="0.55000000000000004">
      <c r="A1744" t="str">
        <f>TEST_DATA!A1744</f>
        <v>27AAAAA1744Z5</v>
      </c>
      <c r="B1744" t="str">
        <f>TEST_DATA!B1744</f>
        <v>Oct-2017</v>
      </c>
      <c r="C1744">
        <f>TEST_DATA!C1744</f>
        <v>43828</v>
      </c>
      <c r="D1744" t="str">
        <f>TEST_DATA!D1744</f>
        <v>NIL</v>
      </c>
      <c r="E1744">
        <f>TEST_DATA!E1744</f>
        <v>1261</v>
      </c>
      <c r="F1744">
        <f>MIN(E1744*174400,10000)</f>
        <v>10000</v>
      </c>
      <c r="G1744" t="e">
        <f ca="1">_xludf.MINIFS(CBIC_Late_Fee_Relief_Windows_1!$I$100:$I$1744,CBIC_Late_Fee_Relief_Windows_1!$D$100:$D$1744,"&lt;="&amp;B1744,CBIC_Late_Fee_Relief_Windows_1!$E$100:$E$1744,"&gt;="&amp;B1744,CBIC_Late_Fee_Relief_Windows_1!$F$100:$F$1744,"&lt;="&amp;C1744,CBIC_Late_Fee_Relief_Windows_1!$G$100:$G$1744,"&gt;="&amp;C1744,CBIC_Late_Fee_Relief_Windows_1!$H$100:$H$1744,D1744)</f>
        <v>#NAME?</v>
      </c>
      <c r="H1744" t="e">
        <f t="shared" ca="1" si="27"/>
        <v>#NAME?</v>
      </c>
      <c r="I1744" t="e">
        <f ca="1">INDEX(CBIC_Late_Fee_Relief_Windows_1!$B$100:$B$1744,MATCH(G1744,CBIC_Late_Fee_Relief_Windows_1!$I$100:$I$1744,0))</f>
        <v>#NAME?</v>
      </c>
    </row>
    <row r="1745" spans="1:9" x14ac:dyDescent="0.55000000000000004">
      <c r="A1745" t="str">
        <f>TEST_DATA!A1745</f>
        <v>27AAAAA1745Z5</v>
      </c>
      <c r="B1745" t="str">
        <f>TEST_DATA!B1745</f>
        <v>Jul-2018</v>
      </c>
      <c r="C1745">
        <f>TEST_DATA!C1745</f>
        <v>43059</v>
      </c>
      <c r="D1745" t="str">
        <f>TEST_DATA!D1745</f>
        <v>NIL</v>
      </c>
      <c r="E1745">
        <f>TEST_DATA!E1745</f>
        <v>2807</v>
      </c>
      <c r="F1745">
        <f>MIN(E1745*174500,10000)</f>
        <v>10000</v>
      </c>
      <c r="G1745" t="e">
        <f ca="1">_xludf.MINIFS(CBIC_Late_Fee_Relief_Windows_1!$I$100:$I$1745,CBIC_Late_Fee_Relief_Windows_1!$D$100:$D$1745,"&lt;="&amp;B1745,CBIC_Late_Fee_Relief_Windows_1!$E$100:$E$1745,"&gt;="&amp;B1745,CBIC_Late_Fee_Relief_Windows_1!$F$100:$F$1745,"&lt;="&amp;C1745,CBIC_Late_Fee_Relief_Windows_1!$G$100:$G$1745,"&gt;="&amp;C1745,CBIC_Late_Fee_Relief_Windows_1!$H$100:$H$1745,D1745)</f>
        <v>#NAME?</v>
      </c>
      <c r="H1745" t="e">
        <f t="shared" ca="1" si="27"/>
        <v>#NAME?</v>
      </c>
      <c r="I1745" t="e">
        <f ca="1">INDEX(CBIC_Late_Fee_Relief_Windows_1!$B$100:$B$1745,MATCH(G1745,CBIC_Late_Fee_Relief_Windows_1!$I$100:$I$1745,0))</f>
        <v>#NAME?</v>
      </c>
    </row>
    <row r="1746" spans="1:9" x14ac:dyDescent="0.55000000000000004">
      <c r="A1746" t="str">
        <f>TEST_DATA!A1746</f>
        <v>27AAAAA1746Z5</v>
      </c>
      <c r="B1746" t="str">
        <f>TEST_DATA!B1746</f>
        <v>Dec-2022</v>
      </c>
      <c r="C1746">
        <f>TEST_DATA!C1746</f>
        <v>45018</v>
      </c>
      <c r="D1746" t="str">
        <f>TEST_DATA!D1746</f>
        <v>NON-NIL</v>
      </c>
      <c r="E1746">
        <f>TEST_DATA!E1746</f>
        <v>2024</v>
      </c>
      <c r="F1746">
        <f>MIN(E1746*174600,10000)</f>
        <v>10000</v>
      </c>
      <c r="G1746" t="e">
        <f ca="1">_xludf.MINIFS(CBIC_Late_Fee_Relief_Windows_1!$I$100:$I$1746,CBIC_Late_Fee_Relief_Windows_1!$D$100:$D$1746,"&lt;="&amp;B1746,CBIC_Late_Fee_Relief_Windows_1!$E$100:$E$1746,"&gt;="&amp;B1746,CBIC_Late_Fee_Relief_Windows_1!$F$100:$F$1746,"&lt;="&amp;C1746,CBIC_Late_Fee_Relief_Windows_1!$G$100:$G$1746,"&gt;="&amp;C1746,CBIC_Late_Fee_Relief_Windows_1!$H$100:$H$1746,D1746)</f>
        <v>#NAME?</v>
      </c>
      <c r="H1746" t="e">
        <f t="shared" ca="1" si="27"/>
        <v>#NAME?</v>
      </c>
      <c r="I1746" t="e">
        <f ca="1">INDEX(CBIC_Late_Fee_Relief_Windows_1!$B$100:$B$1746,MATCH(G1746,CBIC_Late_Fee_Relief_Windows_1!$I$100:$I$1746,0))</f>
        <v>#NAME?</v>
      </c>
    </row>
    <row r="1747" spans="1:9" x14ac:dyDescent="0.55000000000000004">
      <c r="A1747" t="str">
        <f>TEST_DATA!A1747</f>
        <v>27AAAAA1747Z5</v>
      </c>
      <c r="B1747" t="str">
        <f>TEST_DATA!B1747</f>
        <v>May-2020</v>
      </c>
      <c r="C1747">
        <f>TEST_DATA!C1747</f>
        <v>43956</v>
      </c>
      <c r="D1747" t="str">
        <f>TEST_DATA!D1747</f>
        <v>NIL</v>
      </c>
      <c r="E1747">
        <f>TEST_DATA!E1747</f>
        <v>891</v>
      </c>
      <c r="F1747">
        <f>MIN(E1747*174700,10000)</f>
        <v>10000</v>
      </c>
      <c r="G1747" t="e">
        <f ca="1">_xludf.MINIFS(CBIC_Late_Fee_Relief_Windows_1!$I$100:$I$1747,CBIC_Late_Fee_Relief_Windows_1!$D$100:$D$1747,"&lt;="&amp;B1747,CBIC_Late_Fee_Relief_Windows_1!$E$100:$E$1747,"&gt;="&amp;B1747,CBIC_Late_Fee_Relief_Windows_1!$F$100:$F$1747,"&lt;="&amp;C1747,CBIC_Late_Fee_Relief_Windows_1!$G$100:$G$1747,"&gt;="&amp;C1747,CBIC_Late_Fee_Relief_Windows_1!$H$100:$H$1747,D1747)</f>
        <v>#NAME?</v>
      </c>
      <c r="H1747" t="e">
        <f t="shared" ca="1" si="27"/>
        <v>#NAME?</v>
      </c>
      <c r="I1747" t="e">
        <f ca="1">INDEX(CBIC_Late_Fee_Relief_Windows_1!$B$100:$B$1747,MATCH(G1747,CBIC_Late_Fee_Relief_Windows_1!$I$100:$I$1747,0))</f>
        <v>#NAME?</v>
      </c>
    </row>
    <row r="1748" spans="1:9" x14ac:dyDescent="0.55000000000000004">
      <c r="A1748" t="str">
        <f>TEST_DATA!A1748</f>
        <v>27AAAAA1748Z5</v>
      </c>
      <c r="B1748" t="str">
        <f>TEST_DATA!B1748</f>
        <v>Dec-2022</v>
      </c>
      <c r="C1748">
        <f>TEST_DATA!C1748</f>
        <v>44035</v>
      </c>
      <c r="D1748" t="str">
        <f>TEST_DATA!D1748</f>
        <v>NIL</v>
      </c>
      <c r="E1748">
        <f>TEST_DATA!E1748</f>
        <v>600</v>
      </c>
      <c r="F1748">
        <f>MIN(E1748*174800,10000)</f>
        <v>10000</v>
      </c>
      <c r="G1748" t="e">
        <f ca="1">_xludf.MINIFS(CBIC_Late_Fee_Relief_Windows_1!$I$100:$I$1748,CBIC_Late_Fee_Relief_Windows_1!$D$100:$D$1748,"&lt;="&amp;B1748,CBIC_Late_Fee_Relief_Windows_1!$E$100:$E$1748,"&gt;="&amp;B1748,CBIC_Late_Fee_Relief_Windows_1!$F$100:$F$1748,"&lt;="&amp;C1748,CBIC_Late_Fee_Relief_Windows_1!$G$100:$G$1748,"&gt;="&amp;C1748,CBIC_Late_Fee_Relief_Windows_1!$H$100:$H$1748,D1748)</f>
        <v>#NAME?</v>
      </c>
      <c r="H1748" t="e">
        <f t="shared" ca="1" si="27"/>
        <v>#NAME?</v>
      </c>
      <c r="I1748" t="e">
        <f ca="1">INDEX(CBIC_Late_Fee_Relief_Windows_1!$B$100:$B$1748,MATCH(G1748,CBIC_Late_Fee_Relief_Windows_1!$I$100:$I$1748,0))</f>
        <v>#NAME?</v>
      </c>
    </row>
    <row r="1749" spans="1:9" x14ac:dyDescent="0.55000000000000004">
      <c r="A1749" t="str">
        <f>TEST_DATA!A1749</f>
        <v>27AAAAA1749Z5</v>
      </c>
      <c r="B1749" t="str">
        <f>TEST_DATA!B1749</f>
        <v>Jun-2020</v>
      </c>
      <c r="C1749">
        <f>TEST_DATA!C1749</f>
        <v>44136</v>
      </c>
      <c r="D1749" t="str">
        <f>TEST_DATA!D1749</f>
        <v>NON-NIL</v>
      </c>
      <c r="E1749">
        <f>TEST_DATA!E1749</f>
        <v>2176</v>
      </c>
      <c r="F1749">
        <f>MIN(E1749*174900,10000)</f>
        <v>10000</v>
      </c>
      <c r="G1749" t="e">
        <f ca="1">_xludf.MINIFS(CBIC_Late_Fee_Relief_Windows_1!$I$100:$I$1749,CBIC_Late_Fee_Relief_Windows_1!$D$100:$D$1749,"&lt;="&amp;B1749,CBIC_Late_Fee_Relief_Windows_1!$E$100:$E$1749,"&gt;="&amp;B1749,CBIC_Late_Fee_Relief_Windows_1!$F$100:$F$1749,"&lt;="&amp;C1749,CBIC_Late_Fee_Relief_Windows_1!$G$100:$G$1749,"&gt;="&amp;C1749,CBIC_Late_Fee_Relief_Windows_1!$H$100:$H$1749,D1749)</f>
        <v>#NAME?</v>
      </c>
      <c r="H1749" t="e">
        <f t="shared" ca="1" si="27"/>
        <v>#NAME?</v>
      </c>
      <c r="I1749" t="e">
        <f ca="1">INDEX(CBIC_Late_Fee_Relief_Windows_1!$B$100:$B$1749,MATCH(G1749,CBIC_Late_Fee_Relief_Windows_1!$I$100:$I$1749,0))</f>
        <v>#NAME?</v>
      </c>
    </row>
    <row r="1750" spans="1:9" x14ac:dyDescent="0.55000000000000004">
      <c r="A1750" t="str">
        <f>TEST_DATA!A1750</f>
        <v>27AAAAA1750Z5</v>
      </c>
      <c r="B1750" t="str">
        <f>TEST_DATA!B1750</f>
        <v>Apr-2018</v>
      </c>
      <c r="C1750">
        <f>TEST_DATA!C1750</f>
        <v>43715</v>
      </c>
      <c r="D1750" t="str">
        <f>TEST_DATA!D1750</f>
        <v>NON-NIL</v>
      </c>
      <c r="E1750">
        <f>TEST_DATA!E1750</f>
        <v>801</v>
      </c>
      <c r="F1750">
        <f>MIN(E1750*175000,10000)</f>
        <v>10000</v>
      </c>
      <c r="G1750" t="e">
        <f ca="1">_xludf.MINIFS(CBIC_Late_Fee_Relief_Windows_1!$I$100:$I$1750,CBIC_Late_Fee_Relief_Windows_1!$D$100:$D$1750,"&lt;="&amp;B1750,CBIC_Late_Fee_Relief_Windows_1!$E$100:$E$1750,"&gt;="&amp;B1750,CBIC_Late_Fee_Relief_Windows_1!$F$100:$F$1750,"&lt;="&amp;C1750,CBIC_Late_Fee_Relief_Windows_1!$G$100:$G$1750,"&gt;="&amp;C1750,CBIC_Late_Fee_Relief_Windows_1!$H$100:$H$1750,D1750)</f>
        <v>#NAME?</v>
      </c>
      <c r="H1750" t="e">
        <f t="shared" ca="1" si="27"/>
        <v>#NAME?</v>
      </c>
      <c r="I1750" t="e">
        <f ca="1">INDEX(CBIC_Late_Fee_Relief_Windows_1!$B$100:$B$1750,MATCH(G1750,CBIC_Late_Fee_Relief_Windows_1!$I$100:$I$1750,0))</f>
        <v>#NAME?</v>
      </c>
    </row>
    <row r="1751" spans="1:9" x14ac:dyDescent="0.55000000000000004">
      <c r="A1751" t="str">
        <f>TEST_DATA!A1751</f>
        <v>27AAAAA1751Z5</v>
      </c>
      <c r="B1751" t="str">
        <f>TEST_DATA!B1751</f>
        <v>Jan-2018</v>
      </c>
      <c r="C1751">
        <f>TEST_DATA!C1751</f>
        <v>44312</v>
      </c>
      <c r="D1751" t="str">
        <f>TEST_DATA!D1751</f>
        <v>NON-NIL</v>
      </c>
      <c r="E1751">
        <f>TEST_DATA!E1751</f>
        <v>1227</v>
      </c>
      <c r="F1751">
        <f>MIN(E1751*175100,10000)</f>
        <v>10000</v>
      </c>
      <c r="G1751" t="e">
        <f ca="1">_xludf.MINIFS(CBIC_Late_Fee_Relief_Windows_1!$I$100:$I$1751,CBIC_Late_Fee_Relief_Windows_1!$D$100:$D$1751,"&lt;="&amp;B1751,CBIC_Late_Fee_Relief_Windows_1!$E$100:$E$1751,"&gt;="&amp;B1751,CBIC_Late_Fee_Relief_Windows_1!$F$100:$F$1751,"&lt;="&amp;C1751,CBIC_Late_Fee_Relief_Windows_1!$G$100:$G$1751,"&gt;="&amp;C1751,CBIC_Late_Fee_Relief_Windows_1!$H$100:$H$1751,D1751)</f>
        <v>#NAME?</v>
      </c>
      <c r="H1751" t="e">
        <f t="shared" ca="1" si="27"/>
        <v>#NAME?</v>
      </c>
      <c r="I1751" t="e">
        <f ca="1">INDEX(CBIC_Late_Fee_Relief_Windows_1!$B$100:$B$1751,MATCH(G1751,CBIC_Late_Fee_Relief_Windows_1!$I$100:$I$1751,0))</f>
        <v>#NAME?</v>
      </c>
    </row>
    <row r="1752" spans="1:9" x14ac:dyDescent="0.55000000000000004">
      <c r="A1752" t="str">
        <f>TEST_DATA!A1752</f>
        <v>27AAAAA1752Z5</v>
      </c>
      <c r="B1752" t="str">
        <f>TEST_DATA!B1752</f>
        <v>Mar-2020</v>
      </c>
      <c r="C1752">
        <f>TEST_DATA!C1752</f>
        <v>44454</v>
      </c>
      <c r="D1752" t="str">
        <f>TEST_DATA!D1752</f>
        <v>NON-NIL</v>
      </c>
      <c r="E1752">
        <f>TEST_DATA!E1752</f>
        <v>2940</v>
      </c>
      <c r="F1752">
        <f>MIN(E1752*175200,10000)</f>
        <v>10000</v>
      </c>
      <c r="G1752" t="e">
        <f ca="1">_xludf.MINIFS(CBIC_Late_Fee_Relief_Windows_1!$I$100:$I$1752,CBIC_Late_Fee_Relief_Windows_1!$D$100:$D$1752,"&lt;="&amp;B1752,CBIC_Late_Fee_Relief_Windows_1!$E$100:$E$1752,"&gt;="&amp;B1752,CBIC_Late_Fee_Relief_Windows_1!$F$100:$F$1752,"&lt;="&amp;C1752,CBIC_Late_Fee_Relief_Windows_1!$G$100:$G$1752,"&gt;="&amp;C1752,CBIC_Late_Fee_Relief_Windows_1!$H$100:$H$1752,D1752)</f>
        <v>#NAME?</v>
      </c>
      <c r="H1752" t="e">
        <f t="shared" ca="1" si="27"/>
        <v>#NAME?</v>
      </c>
      <c r="I1752" t="e">
        <f ca="1">INDEX(CBIC_Late_Fee_Relief_Windows_1!$B$100:$B$1752,MATCH(G1752,CBIC_Late_Fee_Relief_Windows_1!$I$100:$I$1752,0))</f>
        <v>#NAME?</v>
      </c>
    </row>
    <row r="1753" spans="1:9" x14ac:dyDescent="0.55000000000000004">
      <c r="A1753" t="str">
        <f>TEST_DATA!A1753</f>
        <v>27AAAAA1753Z5</v>
      </c>
      <c r="B1753" t="str">
        <f>TEST_DATA!B1753</f>
        <v>Jun-2018</v>
      </c>
      <c r="C1753">
        <f>TEST_DATA!C1753</f>
        <v>43099</v>
      </c>
      <c r="D1753" t="str">
        <f>TEST_DATA!D1753</f>
        <v>NIL</v>
      </c>
      <c r="E1753">
        <f>TEST_DATA!E1753</f>
        <v>2504</v>
      </c>
      <c r="F1753">
        <f>MIN(E1753*175300,10000)</f>
        <v>10000</v>
      </c>
      <c r="G1753" t="e">
        <f ca="1">_xludf.MINIFS(CBIC_Late_Fee_Relief_Windows_1!$I$100:$I$1753,CBIC_Late_Fee_Relief_Windows_1!$D$100:$D$1753,"&lt;="&amp;B1753,CBIC_Late_Fee_Relief_Windows_1!$E$100:$E$1753,"&gt;="&amp;B1753,CBIC_Late_Fee_Relief_Windows_1!$F$100:$F$1753,"&lt;="&amp;C1753,CBIC_Late_Fee_Relief_Windows_1!$G$100:$G$1753,"&gt;="&amp;C1753,CBIC_Late_Fee_Relief_Windows_1!$H$100:$H$1753,D1753)</f>
        <v>#NAME?</v>
      </c>
      <c r="H1753" t="e">
        <f t="shared" ca="1" si="27"/>
        <v>#NAME?</v>
      </c>
      <c r="I1753" t="e">
        <f ca="1">INDEX(CBIC_Late_Fee_Relief_Windows_1!$B$100:$B$1753,MATCH(G1753,CBIC_Late_Fee_Relief_Windows_1!$I$100:$I$1753,0))</f>
        <v>#NAME?</v>
      </c>
    </row>
    <row r="1754" spans="1:9" x14ac:dyDescent="0.55000000000000004">
      <c r="A1754" t="str">
        <f>TEST_DATA!A1754</f>
        <v>27AAAAA1754Z5</v>
      </c>
      <c r="B1754" t="str">
        <f>TEST_DATA!B1754</f>
        <v>Jun-2019</v>
      </c>
      <c r="C1754">
        <f>TEST_DATA!C1754</f>
        <v>45121</v>
      </c>
      <c r="D1754" t="str">
        <f>TEST_DATA!D1754</f>
        <v>NIL</v>
      </c>
      <c r="E1754">
        <f>TEST_DATA!E1754</f>
        <v>1204</v>
      </c>
      <c r="F1754">
        <f>MIN(E1754*175400,10000)</f>
        <v>10000</v>
      </c>
      <c r="G1754" t="e">
        <f ca="1">_xludf.MINIFS(CBIC_Late_Fee_Relief_Windows_1!$I$100:$I$1754,CBIC_Late_Fee_Relief_Windows_1!$D$100:$D$1754,"&lt;="&amp;B1754,CBIC_Late_Fee_Relief_Windows_1!$E$100:$E$1754,"&gt;="&amp;B1754,CBIC_Late_Fee_Relief_Windows_1!$F$100:$F$1754,"&lt;="&amp;C1754,CBIC_Late_Fee_Relief_Windows_1!$G$100:$G$1754,"&gt;="&amp;C1754,CBIC_Late_Fee_Relief_Windows_1!$H$100:$H$1754,D1754)</f>
        <v>#NAME?</v>
      </c>
      <c r="H1754" t="e">
        <f t="shared" ca="1" si="27"/>
        <v>#NAME?</v>
      </c>
      <c r="I1754" t="e">
        <f ca="1">INDEX(CBIC_Late_Fee_Relief_Windows_1!$B$100:$B$1754,MATCH(G1754,CBIC_Late_Fee_Relief_Windows_1!$I$100:$I$1754,0))</f>
        <v>#NAME?</v>
      </c>
    </row>
    <row r="1755" spans="1:9" x14ac:dyDescent="0.55000000000000004">
      <c r="A1755" t="str">
        <f>TEST_DATA!A1755</f>
        <v>27AAAAA1755Z5</v>
      </c>
      <c r="B1755" t="str">
        <f>TEST_DATA!B1755</f>
        <v>Aug-2017</v>
      </c>
      <c r="C1755">
        <f>TEST_DATA!C1755</f>
        <v>43673</v>
      </c>
      <c r="D1755" t="str">
        <f>TEST_DATA!D1755</f>
        <v>NIL</v>
      </c>
      <c r="E1755">
        <f>TEST_DATA!E1755</f>
        <v>3</v>
      </c>
      <c r="F1755">
        <f>MIN(E1755*175500,10000)</f>
        <v>10000</v>
      </c>
      <c r="G1755" t="e">
        <f ca="1">_xludf.MINIFS(CBIC_Late_Fee_Relief_Windows_1!$I$100:$I$1755,CBIC_Late_Fee_Relief_Windows_1!$D$100:$D$1755,"&lt;="&amp;B1755,CBIC_Late_Fee_Relief_Windows_1!$E$100:$E$1755,"&gt;="&amp;B1755,CBIC_Late_Fee_Relief_Windows_1!$F$100:$F$1755,"&lt;="&amp;C1755,CBIC_Late_Fee_Relief_Windows_1!$G$100:$G$1755,"&gt;="&amp;C1755,CBIC_Late_Fee_Relief_Windows_1!$H$100:$H$1755,D1755)</f>
        <v>#NAME?</v>
      </c>
      <c r="H1755" t="e">
        <f t="shared" ca="1" si="27"/>
        <v>#NAME?</v>
      </c>
      <c r="I1755" t="e">
        <f ca="1">INDEX(CBIC_Late_Fee_Relief_Windows_1!$B$100:$B$1755,MATCH(G1755,CBIC_Late_Fee_Relief_Windows_1!$I$100:$I$1755,0))</f>
        <v>#NAME?</v>
      </c>
    </row>
    <row r="1756" spans="1:9" x14ac:dyDescent="0.55000000000000004">
      <c r="A1756" t="str">
        <f>TEST_DATA!A1756</f>
        <v>27AAAAA1756Z5</v>
      </c>
      <c r="B1756" t="str">
        <f>TEST_DATA!B1756</f>
        <v>Jul-2020</v>
      </c>
      <c r="C1756">
        <f>TEST_DATA!C1756</f>
        <v>44566</v>
      </c>
      <c r="D1756" t="str">
        <f>TEST_DATA!D1756</f>
        <v>NIL</v>
      </c>
      <c r="E1756">
        <f>TEST_DATA!E1756</f>
        <v>1155</v>
      </c>
      <c r="F1756">
        <f>MIN(E1756*175600,10000)</f>
        <v>10000</v>
      </c>
      <c r="G1756" t="e">
        <f ca="1">_xludf.MINIFS(CBIC_Late_Fee_Relief_Windows_1!$I$100:$I$1756,CBIC_Late_Fee_Relief_Windows_1!$D$100:$D$1756,"&lt;="&amp;B1756,CBIC_Late_Fee_Relief_Windows_1!$E$100:$E$1756,"&gt;="&amp;B1756,CBIC_Late_Fee_Relief_Windows_1!$F$100:$F$1756,"&lt;="&amp;C1756,CBIC_Late_Fee_Relief_Windows_1!$G$100:$G$1756,"&gt;="&amp;C1756,CBIC_Late_Fee_Relief_Windows_1!$H$100:$H$1756,D1756)</f>
        <v>#NAME?</v>
      </c>
      <c r="H1756" t="e">
        <f t="shared" ca="1" si="27"/>
        <v>#NAME?</v>
      </c>
      <c r="I1756" t="e">
        <f ca="1">INDEX(CBIC_Late_Fee_Relief_Windows_1!$B$100:$B$1756,MATCH(G1756,CBIC_Late_Fee_Relief_Windows_1!$I$100:$I$1756,0))</f>
        <v>#NAME?</v>
      </c>
    </row>
    <row r="1757" spans="1:9" x14ac:dyDescent="0.55000000000000004">
      <c r="A1757" t="str">
        <f>TEST_DATA!A1757</f>
        <v>27AAAAA1757Z5</v>
      </c>
      <c r="B1757" t="str">
        <f>TEST_DATA!B1757</f>
        <v>Mar-2023</v>
      </c>
      <c r="C1757">
        <f>TEST_DATA!C1757</f>
        <v>43593</v>
      </c>
      <c r="D1757" t="str">
        <f>TEST_DATA!D1757</f>
        <v>NIL</v>
      </c>
      <c r="E1757">
        <f>TEST_DATA!E1757</f>
        <v>1768</v>
      </c>
      <c r="F1757">
        <f>MIN(E1757*175700,10000)</f>
        <v>10000</v>
      </c>
      <c r="G1757" t="e">
        <f ca="1">_xludf.MINIFS(CBIC_Late_Fee_Relief_Windows_1!$I$100:$I$1757,CBIC_Late_Fee_Relief_Windows_1!$D$100:$D$1757,"&lt;="&amp;B1757,CBIC_Late_Fee_Relief_Windows_1!$E$100:$E$1757,"&gt;="&amp;B1757,CBIC_Late_Fee_Relief_Windows_1!$F$100:$F$1757,"&lt;="&amp;C1757,CBIC_Late_Fee_Relief_Windows_1!$G$100:$G$1757,"&gt;="&amp;C1757,CBIC_Late_Fee_Relief_Windows_1!$H$100:$H$1757,D1757)</f>
        <v>#NAME?</v>
      </c>
      <c r="H1757" t="e">
        <f t="shared" ca="1" si="27"/>
        <v>#NAME?</v>
      </c>
      <c r="I1757" t="e">
        <f ca="1">INDEX(CBIC_Late_Fee_Relief_Windows_1!$B$100:$B$1757,MATCH(G1757,CBIC_Late_Fee_Relief_Windows_1!$I$100:$I$1757,0))</f>
        <v>#NAME?</v>
      </c>
    </row>
    <row r="1758" spans="1:9" x14ac:dyDescent="0.55000000000000004">
      <c r="A1758" t="str">
        <f>TEST_DATA!A1758</f>
        <v>27AAAAA1758Z5</v>
      </c>
      <c r="B1758" t="str">
        <f>TEST_DATA!B1758</f>
        <v>Jul-2020</v>
      </c>
      <c r="C1758">
        <f>TEST_DATA!C1758</f>
        <v>44638</v>
      </c>
      <c r="D1758" t="str">
        <f>TEST_DATA!D1758</f>
        <v>NON-NIL</v>
      </c>
      <c r="E1758">
        <f>TEST_DATA!E1758</f>
        <v>2915</v>
      </c>
      <c r="F1758">
        <f>MIN(E1758*175800,10000)</f>
        <v>10000</v>
      </c>
      <c r="G1758" t="e">
        <f ca="1">_xludf.MINIFS(CBIC_Late_Fee_Relief_Windows_1!$I$100:$I$1758,CBIC_Late_Fee_Relief_Windows_1!$D$100:$D$1758,"&lt;="&amp;B1758,CBIC_Late_Fee_Relief_Windows_1!$E$100:$E$1758,"&gt;="&amp;B1758,CBIC_Late_Fee_Relief_Windows_1!$F$100:$F$1758,"&lt;="&amp;C1758,CBIC_Late_Fee_Relief_Windows_1!$G$100:$G$1758,"&gt;="&amp;C1758,CBIC_Late_Fee_Relief_Windows_1!$H$100:$H$1758,D1758)</f>
        <v>#NAME?</v>
      </c>
      <c r="H1758" t="e">
        <f t="shared" ca="1" si="27"/>
        <v>#NAME?</v>
      </c>
      <c r="I1758" t="e">
        <f ca="1">INDEX(CBIC_Late_Fee_Relief_Windows_1!$B$100:$B$1758,MATCH(G1758,CBIC_Late_Fee_Relief_Windows_1!$I$100:$I$1758,0))</f>
        <v>#NAME?</v>
      </c>
    </row>
    <row r="1759" spans="1:9" x14ac:dyDescent="0.55000000000000004">
      <c r="A1759" t="str">
        <f>TEST_DATA!A1759</f>
        <v>27AAAAA1759Z5</v>
      </c>
      <c r="B1759" t="str">
        <f>TEST_DATA!B1759</f>
        <v>Jul-2018</v>
      </c>
      <c r="C1759">
        <f>TEST_DATA!C1759</f>
        <v>43748</v>
      </c>
      <c r="D1759" t="str">
        <f>TEST_DATA!D1759</f>
        <v>NON-NIL</v>
      </c>
      <c r="E1759">
        <f>TEST_DATA!E1759</f>
        <v>1782</v>
      </c>
      <c r="F1759">
        <f>MIN(E1759*175900,10000)</f>
        <v>10000</v>
      </c>
      <c r="G1759" t="e">
        <f ca="1">_xludf.MINIFS(CBIC_Late_Fee_Relief_Windows_1!$I$100:$I$1759,CBIC_Late_Fee_Relief_Windows_1!$D$100:$D$1759,"&lt;="&amp;B1759,CBIC_Late_Fee_Relief_Windows_1!$E$100:$E$1759,"&gt;="&amp;B1759,CBIC_Late_Fee_Relief_Windows_1!$F$100:$F$1759,"&lt;="&amp;C1759,CBIC_Late_Fee_Relief_Windows_1!$G$100:$G$1759,"&gt;="&amp;C1759,CBIC_Late_Fee_Relief_Windows_1!$H$100:$H$1759,D1759)</f>
        <v>#NAME?</v>
      </c>
      <c r="H1759" t="e">
        <f t="shared" ca="1" si="27"/>
        <v>#NAME?</v>
      </c>
      <c r="I1759" t="e">
        <f ca="1">INDEX(CBIC_Late_Fee_Relief_Windows_1!$B$100:$B$1759,MATCH(G1759,CBIC_Late_Fee_Relief_Windows_1!$I$100:$I$1759,0))</f>
        <v>#NAME?</v>
      </c>
    </row>
    <row r="1760" spans="1:9" x14ac:dyDescent="0.55000000000000004">
      <c r="A1760" t="str">
        <f>TEST_DATA!A1760</f>
        <v>27AAAAA1760Z5</v>
      </c>
      <c r="B1760" t="str">
        <f>TEST_DATA!B1760</f>
        <v>Dec-2019</v>
      </c>
      <c r="C1760">
        <f>TEST_DATA!C1760</f>
        <v>44331</v>
      </c>
      <c r="D1760" t="str">
        <f>TEST_DATA!D1760</f>
        <v>NIL</v>
      </c>
      <c r="E1760">
        <f>TEST_DATA!E1760</f>
        <v>1945</v>
      </c>
      <c r="F1760">
        <f>MIN(E1760*176000,10000)</f>
        <v>10000</v>
      </c>
      <c r="G1760" t="e">
        <f ca="1">_xludf.MINIFS(CBIC_Late_Fee_Relief_Windows_1!$I$100:$I$1760,CBIC_Late_Fee_Relief_Windows_1!$D$100:$D$1760,"&lt;="&amp;B1760,CBIC_Late_Fee_Relief_Windows_1!$E$100:$E$1760,"&gt;="&amp;B1760,CBIC_Late_Fee_Relief_Windows_1!$F$100:$F$1760,"&lt;="&amp;C1760,CBIC_Late_Fee_Relief_Windows_1!$G$100:$G$1760,"&gt;="&amp;C1760,CBIC_Late_Fee_Relief_Windows_1!$H$100:$H$1760,D1760)</f>
        <v>#NAME?</v>
      </c>
      <c r="H1760" t="e">
        <f t="shared" ca="1" si="27"/>
        <v>#NAME?</v>
      </c>
      <c r="I1760" t="e">
        <f ca="1">INDEX(CBIC_Late_Fee_Relief_Windows_1!$B$100:$B$1760,MATCH(G1760,CBIC_Late_Fee_Relief_Windows_1!$I$100:$I$1760,0))</f>
        <v>#NAME?</v>
      </c>
    </row>
    <row r="1761" spans="1:9" x14ac:dyDescent="0.55000000000000004">
      <c r="A1761" t="str">
        <f>TEST_DATA!A1761</f>
        <v>27AAAAA1761Z5</v>
      </c>
      <c r="B1761" t="str">
        <f>TEST_DATA!B1761</f>
        <v>Nov-2017</v>
      </c>
      <c r="C1761">
        <f>TEST_DATA!C1761</f>
        <v>43302</v>
      </c>
      <c r="D1761" t="str">
        <f>TEST_DATA!D1761</f>
        <v>NON-NIL</v>
      </c>
      <c r="E1761">
        <f>TEST_DATA!E1761</f>
        <v>1475</v>
      </c>
      <c r="F1761">
        <f>MIN(E1761*176100,10000)</f>
        <v>10000</v>
      </c>
      <c r="G1761" t="e">
        <f ca="1">_xludf.MINIFS(CBIC_Late_Fee_Relief_Windows_1!$I$100:$I$1761,CBIC_Late_Fee_Relief_Windows_1!$D$100:$D$1761,"&lt;="&amp;B1761,CBIC_Late_Fee_Relief_Windows_1!$E$100:$E$1761,"&gt;="&amp;B1761,CBIC_Late_Fee_Relief_Windows_1!$F$100:$F$1761,"&lt;="&amp;C1761,CBIC_Late_Fee_Relief_Windows_1!$G$100:$G$1761,"&gt;="&amp;C1761,CBIC_Late_Fee_Relief_Windows_1!$H$100:$H$1761,D1761)</f>
        <v>#NAME?</v>
      </c>
      <c r="H1761" t="e">
        <f t="shared" ca="1" si="27"/>
        <v>#NAME?</v>
      </c>
      <c r="I1761" t="e">
        <f ca="1">INDEX(CBIC_Late_Fee_Relief_Windows_1!$B$100:$B$1761,MATCH(G1761,CBIC_Late_Fee_Relief_Windows_1!$I$100:$I$1761,0))</f>
        <v>#NAME?</v>
      </c>
    </row>
    <row r="1762" spans="1:9" x14ac:dyDescent="0.55000000000000004">
      <c r="A1762" t="str">
        <f>TEST_DATA!A1762</f>
        <v>27AAAAA1762Z5</v>
      </c>
      <c r="B1762" t="str">
        <f>TEST_DATA!B1762</f>
        <v>Dec-2022</v>
      </c>
      <c r="C1762">
        <f>TEST_DATA!C1762</f>
        <v>45174</v>
      </c>
      <c r="D1762" t="str">
        <f>TEST_DATA!D1762</f>
        <v>NIL</v>
      </c>
      <c r="E1762">
        <f>TEST_DATA!E1762</f>
        <v>1181</v>
      </c>
      <c r="F1762">
        <f>MIN(E1762*176200,10000)</f>
        <v>10000</v>
      </c>
      <c r="G1762" t="e">
        <f ca="1">_xludf.MINIFS(CBIC_Late_Fee_Relief_Windows_1!$I$100:$I$1762,CBIC_Late_Fee_Relief_Windows_1!$D$100:$D$1762,"&lt;="&amp;B1762,CBIC_Late_Fee_Relief_Windows_1!$E$100:$E$1762,"&gt;="&amp;B1762,CBIC_Late_Fee_Relief_Windows_1!$F$100:$F$1762,"&lt;="&amp;C1762,CBIC_Late_Fee_Relief_Windows_1!$G$100:$G$1762,"&gt;="&amp;C1762,CBIC_Late_Fee_Relief_Windows_1!$H$100:$H$1762,D1762)</f>
        <v>#NAME?</v>
      </c>
      <c r="H1762" t="e">
        <f t="shared" ca="1" si="27"/>
        <v>#NAME?</v>
      </c>
      <c r="I1762" t="e">
        <f ca="1">INDEX(CBIC_Late_Fee_Relief_Windows_1!$B$100:$B$1762,MATCH(G1762,CBIC_Late_Fee_Relief_Windows_1!$I$100:$I$1762,0))</f>
        <v>#NAME?</v>
      </c>
    </row>
    <row r="1763" spans="1:9" x14ac:dyDescent="0.55000000000000004">
      <c r="A1763" t="str">
        <f>TEST_DATA!A1763</f>
        <v>27AAAAA1763Z5</v>
      </c>
      <c r="B1763" t="str">
        <f>TEST_DATA!B1763</f>
        <v>Mar-2023</v>
      </c>
      <c r="C1763">
        <f>TEST_DATA!C1763</f>
        <v>43980</v>
      </c>
      <c r="D1763" t="str">
        <f>TEST_DATA!D1763</f>
        <v>NIL</v>
      </c>
      <c r="E1763">
        <f>TEST_DATA!E1763</f>
        <v>47</v>
      </c>
      <c r="F1763">
        <f>MIN(E1763*176300,10000)</f>
        <v>10000</v>
      </c>
      <c r="G1763" t="e">
        <f ca="1">_xludf.MINIFS(CBIC_Late_Fee_Relief_Windows_1!$I$100:$I$1763,CBIC_Late_Fee_Relief_Windows_1!$D$100:$D$1763,"&lt;="&amp;B1763,CBIC_Late_Fee_Relief_Windows_1!$E$100:$E$1763,"&gt;="&amp;B1763,CBIC_Late_Fee_Relief_Windows_1!$F$100:$F$1763,"&lt;="&amp;C1763,CBIC_Late_Fee_Relief_Windows_1!$G$100:$G$1763,"&gt;="&amp;C1763,CBIC_Late_Fee_Relief_Windows_1!$H$100:$H$1763,D1763)</f>
        <v>#NAME?</v>
      </c>
      <c r="H1763" t="e">
        <f t="shared" ca="1" si="27"/>
        <v>#NAME?</v>
      </c>
      <c r="I1763" t="e">
        <f ca="1">INDEX(CBIC_Late_Fee_Relief_Windows_1!$B$100:$B$1763,MATCH(G1763,CBIC_Late_Fee_Relief_Windows_1!$I$100:$I$1763,0))</f>
        <v>#NAME?</v>
      </c>
    </row>
    <row r="1764" spans="1:9" x14ac:dyDescent="0.55000000000000004">
      <c r="A1764" t="str">
        <f>TEST_DATA!A1764</f>
        <v>27AAAAA1764Z5</v>
      </c>
      <c r="B1764" t="str">
        <f>TEST_DATA!B1764</f>
        <v>Sep-2017</v>
      </c>
      <c r="C1764">
        <f>TEST_DATA!C1764</f>
        <v>44244</v>
      </c>
      <c r="D1764" t="str">
        <f>TEST_DATA!D1764</f>
        <v>NIL</v>
      </c>
      <c r="E1764">
        <f>TEST_DATA!E1764</f>
        <v>589</v>
      </c>
      <c r="F1764">
        <f>MIN(E1764*176400,10000)</f>
        <v>10000</v>
      </c>
      <c r="G1764" t="e">
        <f ca="1">_xludf.MINIFS(CBIC_Late_Fee_Relief_Windows_1!$I$100:$I$1764,CBIC_Late_Fee_Relief_Windows_1!$D$100:$D$1764,"&lt;="&amp;B1764,CBIC_Late_Fee_Relief_Windows_1!$E$100:$E$1764,"&gt;="&amp;B1764,CBIC_Late_Fee_Relief_Windows_1!$F$100:$F$1764,"&lt;="&amp;C1764,CBIC_Late_Fee_Relief_Windows_1!$G$100:$G$1764,"&gt;="&amp;C1764,CBIC_Late_Fee_Relief_Windows_1!$H$100:$H$1764,D1764)</f>
        <v>#NAME?</v>
      </c>
      <c r="H1764" t="e">
        <f t="shared" ca="1" si="27"/>
        <v>#NAME?</v>
      </c>
      <c r="I1764" t="e">
        <f ca="1">INDEX(CBIC_Late_Fee_Relief_Windows_1!$B$100:$B$1764,MATCH(G1764,CBIC_Late_Fee_Relief_Windows_1!$I$100:$I$1764,0))</f>
        <v>#NAME?</v>
      </c>
    </row>
    <row r="1765" spans="1:9" x14ac:dyDescent="0.55000000000000004">
      <c r="A1765" t="str">
        <f>TEST_DATA!A1765</f>
        <v>27AAAAA1765Z5</v>
      </c>
      <c r="B1765" t="str">
        <f>TEST_DATA!B1765</f>
        <v>Jan-2021</v>
      </c>
      <c r="C1765">
        <f>TEST_DATA!C1765</f>
        <v>45459</v>
      </c>
      <c r="D1765" t="str">
        <f>TEST_DATA!D1765</f>
        <v>NON-NIL</v>
      </c>
      <c r="E1765">
        <f>TEST_DATA!E1765</f>
        <v>556</v>
      </c>
      <c r="F1765">
        <f>MIN(E1765*176500,10000)</f>
        <v>10000</v>
      </c>
      <c r="G1765" t="e">
        <f ca="1">_xludf.MINIFS(CBIC_Late_Fee_Relief_Windows_1!$I$100:$I$1765,CBIC_Late_Fee_Relief_Windows_1!$D$100:$D$1765,"&lt;="&amp;B1765,CBIC_Late_Fee_Relief_Windows_1!$E$100:$E$1765,"&gt;="&amp;B1765,CBIC_Late_Fee_Relief_Windows_1!$F$100:$F$1765,"&lt;="&amp;C1765,CBIC_Late_Fee_Relief_Windows_1!$G$100:$G$1765,"&gt;="&amp;C1765,CBIC_Late_Fee_Relief_Windows_1!$H$100:$H$1765,D1765)</f>
        <v>#NAME?</v>
      </c>
      <c r="H1765" t="e">
        <f t="shared" ca="1" si="27"/>
        <v>#NAME?</v>
      </c>
      <c r="I1765" t="e">
        <f ca="1">INDEX(CBIC_Late_Fee_Relief_Windows_1!$B$100:$B$1765,MATCH(G1765,CBIC_Late_Fee_Relief_Windows_1!$I$100:$I$1765,0))</f>
        <v>#NAME?</v>
      </c>
    </row>
    <row r="1766" spans="1:9" x14ac:dyDescent="0.55000000000000004">
      <c r="A1766" t="str">
        <f>TEST_DATA!A1766</f>
        <v>27AAAAA1766Z5</v>
      </c>
      <c r="B1766" t="str">
        <f>TEST_DATA!B1766</f>
        <v>Sep-2017</v>
      </c>
      <c r="C1766">
        <f>TEST_DATA!C1766</f>
        <v>43198</v>
      </c>
      <c r="D1766" t="str">
        <f>TEST_DATA!D1766</f>
        <v>NON-NIL</v>
      </c>
      <c r="E1766">
        <f>TEST_DATA!E1766</f>
        <v>1867</v>
      </c>
      <c r="F1766">
        <f>MIN(E1766*176600,10000)</f>
        <v>10000</v>
      </c>
      <c r="G1766" t="e">
        <f ca="1">_xludf.MINIFS(CBIC_Late_Fee_Relief_Windows_1!$I$100:$I$1766,CBIC_Late_Fee_Relief_Windows_1!$D$100:$D$1766,"&lt;="&amp;B1766,CBIC_Late_Fee_Relief_Windows_1!$E$100:$E$1766,"&gt;="&amp;B1766,CBIC_Late_Fee_Relief_Windows_1!$F$100:$F$1766,"&lt;="&amp;C1766,CBIC_Late_Fee_Relief_Windows_1!$G$100:$G$1766,"&gt;="&amp;C1766,CBIC_Late_Fee_Relief_Windows_1!$H$100:$H$1766,D1766)</f>
        <v>#NAME?</v>
      </c>
      <c r="H1766" t="e">
        <f t="shared" ca="1" si="27"/>
        <v>#NAME?</v>
      </c>
      <c r="I1766" t="e">
        <f ca="1">INDEX(CBIC_Late_Fee_Relief_Windows_1!$B$100:$B$1766,MATCH(G1766,CBIC_Late_Fee_Relief_Windows_1!$I$100:$I$1766,0))</f>
        <v>#NAME?</v>
      </c>
    </row>
    <row r="1767" spans="1:9" x14ac:dyDescent="0.55000000000000004">
      <c r="A1767" t="str">
        <f>TEST_DATA!A1767</f>
        <v>27AAAAA1767Z5</v>
      </c>
      <c r="B1767" t="str">
        <f>TEST_DATA!B1767</f>
        <v>Dec-2024</v>
      </c>
      <c r="C1767">
        <f>TEST_DATA!C1767</f>
        <v>45209</v>
      </c>
      <c r="D1767" t="str">
        <f>TEST_DATA!D1767</f>
        <v>NIL</v>
      </c>
      <c r="E1767">
        <f>TEST_DATA!E1767</f>
        <v>1861</v>
      </c>
      <c r="F1767">
        <f>MIN(E1767*176700,10000)</f>
        <v>10000</v>
      </c>
      <c r="G1767" t="e">
        <f ca="1">_xludf.MINIFS(CBIC_Late_Fee_Relief_Windows_1!$I$100:$I$1767,CBIC_Late_Fee_Relief_Windows_1!$D$100:$D$1767,"&lt;="&amp;B1767,CBIC_Late_Fee_Relief_Windows_1!$E$100:$E$1767,"&gt;="&amp;B1767,CBIC_Late_Fee_Relief_Windows_1!$F$100:$F$1767,"&lt;="&amp;C1767,CBIC_Late_Fee_Relief_Windows_1!$G$100:$G$1767,"&gt;="&amp;C1767,CBIC_Late_Fee_Relief_Windows_1!$H$100:$H$1767,D1767)</f>
        <v>#NAME?</v>
      </c>
      <c r="H1767" t="e">
        <f t="shared" ca="1" si="27"/>
        <v>#NAME?</v>
      </c>
      <c r="I1767" t="e">
        <f ca="1">INDEX(CBIC_Late_Fee_Relief_Windows_1!$B$100:$B$1767,MATCH(G1767,CBIC_Late_Fee_Relief_Windows_1!$I$100:$I$1767,0))</f>
        <v>#NAME?</v>
      </c>
    </row>
    <row r="1768" spans="1:9" x14ac:dyDescent="0.55000000000000004">
      <c r="A1768" t="str">
        <f>TEST_DATA!A1768</f>
        <v>27AAAAA1768Z5</v>
      </c>
      <c r="B1768" t="str">
        <f>TEST_DATA!B1768</f>
        <v>Jun-2019</v>
      </c>
      <c r="C1768">
        <f>TEST_DATA!C1768</f>
        <v>45203</v>
      </c>
      <c r="D1768" t="str">
        <f>TEST_DATA!D1768</f>
        <v>NON-NIL</v>
      </c>
      <c r="E1768">
        <f>TEST_DATA!E1768</f>
        <v>1575</v>
      </c>
      <c r="F1768">
        <f>MIN(E1768*176800,10000)</f>
        <v>10000</v>
      </c>
      <c r="G1768" t="e">
        <f ca="1">_xludf.MINIFS(CBIC_Late_Fee_Relief_Windows_1!$I$100:$I$1768,CBIC_Late_Fee_Relief_Windows_1!$D$100:$D$1768,"&lt;="&amp;B1768,CBIC_Late_Fee_Relief_Windows_1!$E$100:$E$1768,"&gt;="&amp;B1768,CBIC_Late_Fee_Relief_Windows_1!$F$100:$F$1768,"&lt;="&amp;C1768,CBIC_Late_Fee_Relief_Windows_1!$G$100:$G$1768,"&gt;="&amp;C1768,CBIC_Late_Fee_Relief_Windows_1!$H$100:$H$1768,D1768)</f>
        <v>#NAME?</v>
      </c>
      <c r="H1768" t="e">
        <f t="shared" ca="1" si="27"/>
        <v>#NAME?</v>
      </c>
      <c r="I1768" t="e">
        <f ca="1">INDEX(CBIC_Late_Fee_Relief_Windows_1!$B$100:$B$1768,MATCH(G1768,CBIC_Late_Fee_Relief_Windows_1!$I$100:$I$1768,0))</f>
        <v>#NAME?</v>
      </c>
    </row>
    <row r="1769" spans="1:9" x14ac:dyDescent="0.55000000000000004">
      <c r="A1769" t="str">
        <f>TEST_DATA!A1769</f>
        <v>27AAAAA1769Z5</v>
      </c>
      <c r="B1769" t="str">
        <f>TEST_DATA!B1769</f>
        <v>Jun-2018</v>
      </c>
      <c r="C1769">
        <f>TEST_DATA!C1769</f>
        <v>43379</v>
      </c>
      <c r="D1769" t="str">
        <f>TEST_DATA!D1769</f>
        <v>NIL</v>
      </c>
      <c r="E1769">
        <f>TEST_DATA!E1769</f>
        <v>1739</v>
      </c>
      <c r="F1769">
        <f>MIN(E1769*176900,10000)</f>
        <v>10000</v>
      </c>
      <c r="G1769" t="e">
        <f ca="1">_xludf.MINIFS(CBIC_Late_Fee_Relief_Windows_1!$I$100:$I$1769,CBIC_Late_Fee_Relief_Windows_1!$D$100:$D$1769,"&lt;="&amp;B1769,CBIC_Late_Fee_Relief_Windows_1!$E$100:$E$1769,"&gt;="&amp;B1769,CBIC_Late_Fee_Relief_Windows_1!$F$100:$F$1769,"&lt;="&amp;C1769,CBIC_Late_Fee_Relief_Windows_1!$G$100:$G$1769,"&gt;="&amp;C1769,CBIC_Late_Fee_Relief_Windows_1!$H$100:$H$1769,D1769)</f>
        <v>#NAME?</v>
      </c>
      <c r="H1769" t="e">
        <f t="shared" ca="1" si="27"/>
        <v>#NAME?</v>
      </c>
      <c r="I1769" t="e">
        <f ca="1">INDEX(CBIC_Late_Fee_Relief_Windows_1!$B$100:$B$1769,MATCH(G1769,CBIC_Late_Fee_Relief_Windows_1!$I$100:$I$1769,0))</f>
        <v>#NAME?</v>
      </c>
    </row>
    <row r="1770" spans="1:9" x14ac:dyDescent="0.55000000000000004">
      <c r="A1770" t="str">
        <f>TEST_DATA!A1770</f>
        <v>27AAAAA1770Z5</v>
      </c>
      <c r="B1770" t="str">
        <f>TEST_DATA!B1770</f>
        <v>Apr-2020</v>
      </c>
      <c r="C1770">
        <f>TEST_DATA!C1770</f>
        <v>43846</v>
      </c>
      <c r="D1770" t="str">
        <f>TEST_DATA!D1770</f>
        <v>NON-NIL</v>
      </c>
      <c r="E1770">
        <f>TEST_DATA!E1770</f>
        <v>2993</v>
      </c>
      <c r="F1770">
        <f>MIN(E1770*177000,10000)</f>
        <v>10000</v>
      </c>
      <c r="G1770" t="e">
        <f ca="1">_xludf.MINIFS(CBIC_Late_Fee_Relief_Windows_1!$I$100:$I$1770,CBIC_Late_Fee_Relief_Windows_1!$D$100:$D$1770,"&lt;="&amp;B1770,CBIC_Late_Fee_Relief_Windows_1!$E$100:$E$1770,"&gt;="&amp;B1770,CBIC_Late_Fee_Relief_Windows_1!$F$100:$F$1770,"&lt;="&amp;C1770,CBIC_Late_Fee_Relief_Windows_1!$G$100:$G$1770,"&gt;="&amp;C1770,CBIC_Late_Fee_Relief_Windows_1!$H$100:$H$1770,D1770)</f>
        <v>#NAME?</v>
      </c>
      <c r="H1770" t="e">
        <f t="shared" ca="1" si="27"/>
        <v>#NAME?</v>
      </c>
      <c r="I1770" t="e">
        <f ca="1">INDEX(CBIC_Late_Fee_Relief_Windows_1!$B$100:$B$1770,MATCH(G1770,CBIC_Late_Fee_Relief_Windows_1!$I$100:$I$1770,0))</f>
        <v>#NAME?</v>
      </c>
    </row>
    <row r="1771" spans="1:9" x14ac:dyDescent="0.55000000000000004">
      <c r="A1771" t="str">
        <f>TEST_DATA!A1771</f>
        <v>27AAAAA1771Z5</v>
      </c>
      <c r="B1771" t="str">
        <f>TEST_DATA!B1771</f>
        <v>Feb-2018</v>
      </c>
      <c r="C1771">
        <f>TEST_DATA!C1771</f>
        <v>44375</v>
      </c>
      <c r="D1771" t="str">
        <f>TEST_DATA!D1771</f>
        <v>NON-NIL</v>
      </c>
      <c r="E1771">
        <f>TEST_DATA!E1771</f>
        <v>1682</v>
      </c>
      <c r="F1771">
        <f>MIN(E1771*177100,10000)</f>
        <v>10000</v>
      </c>
      <c r="G1771" t="e">
        <f ca="1">_xludf.MINIFS(CBIC_Late_Fee_Relief_Windows_1!$I$100:$I$1771,CBIC_Late_Fee_Relief_Windows_1!$D$100:$D$1771,"&lt;="&amp;B1771,CBIC_Late_Fee_Relief_Windows_1!$E$100:$E$1771,"&gt;="&amp;B1771,CBIC_Late_Fee_Relief_Windows_1!$F$100:$F$1771,"&lt;="&amp;C1771,CBIC_Late_Fee_Relief_Windows_1!$G$100:$G$1771,"&gt;="&amp;C1771,CBIC_Late_Fee_Relief_Windows_1!$H$100:$H$1771,D1771)</f>
        <v>#NAME?</v>
      </c>
      <c r="H1771" t="e">
        <f t="shared" ca="1" si="27"/>
        <v>#NAME?</v>
      </c>
      <c r="I1771" t="e">
        <f ca="1">INDEX(CBIC_Late_Fee_Relief_Windows_1!$B$100:$B$1771,MATCH(G1771,CBIC_Late_Fee_Relief_Windows_1!$I$100:$I$1771,0))</f>
        <v>#NAME?</v>
      </c>
    </row>
    <row r="1772" spans="1:9" x14ac:dyDescent="0.55000000000000004">
      <c r="A1772" t="str">
        <f>TEST_DATA!A1772</f>
        <v>27AAAAA1772Z5</v>
      </c>
      <c r="B1772" t="str">
        <f>TEST_DATA!B1772</f>
        <v>Dec-2019</v>
      </c>
      <c r="C1772">
        <f>TEST_DATA!C1772</f>
        <v>45826</v>
      </c>
      <c r="D1772" t="str">
        <f>TEST_DATA!D1772</f>
        <v>NON-NIL</v>
      </c>
      <c r="E1772">
        <f>TEST_DATA!E1772</f>
        <v>137</v>
      </c>
      <c r="F1772">
        <f>MIN(E1772*177200,10000)</f>
        <v>10000</v>
      </c>
      <c r="G1772" t="e">
        <f ca="1">_xludf.MINIFS(CBIC_Late_Fee_Relief_Windows_1!$I$100:$I$1772,CBIC_Late_Fee_Relief_Windows_1!$D$100:$D$1772,"&lt;="&amp;B1772,CBIC_Late_Fee_Relief_Windows_1!$E$100:$E$1772,"&gt;="&amp;B1772,CBIC_Late_Fee_Relief_Windows_1!$F$100:$F$1772,"&lt;="&amp;C1772,CBIC_Late_Fee_Relief_Windows_1!$G$100:$G$1772,"&gt;="&amp;C1772,CBIC_Late_Fee_Relief_Windows_1!$H$100:$H$1772,D1772)</f>
        <v>#NAME?</v>
      </c>
      <c r="H1772" t="e">
        <f t="shared" ca="1" si="27"/>
        <v>#NAME?</v>
      </c>
      <c r="I1772" t="e">
        <f ca="1">INDEX(CBIC_Late_Fee_Relief_Windows_1!$B$100:$B$1772,MATCH(G1772,CBIC_Late_Fee_Relief_Windows_1!$I$100:$I$1772,0))</f>
        <v>#NAME?</v>
      </c>
    </row>
    <row r="1773" spans="1:9" x14ac:dyDescent="0.55000000000000004">
      <c r="A1773" t="str">
        <f>TEST_DATA!A1773</f>
        <v>27AAAAA1773Z5</v>
      </c>
      <c r="B1773" t="str">
        <f>TEST_DATA!B1773</f>
        <v>Aug-2017</v>
      </c>
      <c r="C1773">
        <f>TEST_DATA!C1773</f>
        <v>44080</v>
      </c>
      <c r="D1773" t="str">
        <f>TEST_DATA!D1773</f>
        <v>NON-NIL</v>
      </c>
      <c r="E1773">
        <f>TEST_DATA!E1773</f>
        <v>2887</v>
      </c>
      <c r="F1773">
        <f>MIN(E1773*177300,10000)</f>
        <v>10000</v>
      </c>
      <c r="G1773" t="e">
        <f ca="1">_xludf.MINIFS(CBIC_Late_Fee_Relief_Windows_1!$I$100:$I$1773,CBIC_Late_Fee_Relief_Windows_1!$D$100:$D$1773,"&lt;="&amp;B1773,CBIC_Late_Fee_Relief_Windows_1!$E$100:$E$1773,"&gt;="&amp;B1773,CBIC_Late_Fee_Relief_Windows_1!$F$100:$F$1773,"&lt;="&amp;C1773,CBIC_Late_Fee_Relief_Windows_1!$G$100:$G$1773,"&gt;="&amp;C1773,CBIC_Late_Fee_Relief_Windows_1!$H$100:$H$1773,D1773)</f>
        <v>#NAME?</v>
      </c>
      <c r="H1773" t="e">
        <f t="shared" ca="1" si="27"/>
        <v>#NAME?</v>
      </c>
      <c r="I1773" t="e">
        <f ca="1">INDEX(CBIC_Late_Fee_Relief_Windows_1!$B$100:$B$1773,MATCH(G1773,CBIC_Late_Fee_Relief_Windows_1!$I$100:$I$1773,0))</f>
        <v>#NAME?</v>
      </c>
    </row>
    <row r="1774" spans="1:9" x14ac:dyDescent="0.55000000000000004">
      <c r="A1774" t="str">
        <f>TEST_DATA!A1774</f>
        <v>27AAAAA1774Z5</v>
      </c>
      <c r="B1774" t="str">
        <f>TEST_DATA!B1774</f>
        <v>Jun-2018</v>
      </c>
      <c r="C1774">
        <f>TEST_DATA!C1774</f>
        <v>43148</v>
      </c>
      <c r="D1774" t="str">
        <f>TEST_DATA!D1774</f>
        <v>NON-NIL</v>
      </c>
      <c r="E1774">
        <f>TEST_DATA!E1774</f>
        <v>2828</v>
      </c>
      <c r="F1774">
        <f>MIN(E1774*177400,10000)</f>
        <v>10000</v>
      </c>
      <c r="G1774" t="e">
        <f ca="1">_xludf.MINIFS(CBIC_Late_Fee_Relief_Windows_1!$I$100:$I$1774,CBIC_Late_Fee_Relief_Windows_1!$D$100:$D$1774,"&lt;="&amp;B1774,CBIC_Late_Fee_Relief_Windows_1!$E$100:$E$1774,"&gt;="&amp;B1774,CBIC_Late_Fee_Relief_Windows_1!$F$100:$F$1774,"&lt;="&amp;C1774,CBIC_Late_Fee_Relief_Windows_1!$G$100:$G$1774,"&gt;="&amp;C1774,CBIC_Late_Fee_Relief_Windows_1!$H$100:$H$1774,D1774)</f>
        <v>#NAME?</v>
      </c>
      <c r="H1774" t="e">
        <f t="shared" ca="1" si="27"/>
        <v>#NAME?</v>
      </c>
      <c r="I1774" t="e">
        <f ca="1">INDEX(CBIC_Late_Fee_Relief_Windows_1!$B$100:$B$1774,MATCH(G1774,CBIC_Late_Fee_Relief_Windows_1!$I$100:$I$1774,0))</f>
        <v>#NAME?</v>
      </c>
    </row>
    <row r="1775" spans="1:9" x14ac:dyDescent="0.55000000000000004">
      <c r="A1775" t="str">
        <f>TEST_DATA!A1775</f>
        <v>27AAAAA1775Z5</v>
      </c>
      <c r="B1775" t="str">
        <f>TEST_DATA!B1775</f>
        <v>Sep-2017</v>
      </c>
      <c r="C1775">
        <f>TEST_DATA!C1775</f>
        <v>43207</v>
      </c>
      <c r="D1775" t="str">
        <f>TEST_DATA!D1775</f>
        <v>NON-NIL</v>
      </c>
      <c r="E1775">
        <f>TEST_DATA!E1775</f>
        <v>1904</v>
      </c>
      <c r="F1775">
        <f>MIN(E1775*177500,10000)</f>
        <v>10000</v>
      </c>
      <c r="G1775" t="e">
        <f ca="1">_xludf.MINIFS(CBIC_Late_Fee_Relief_Windows_1!$I$100:$I$1775,CBIC_Late_Fee_Relief_Windows_1!$D$100:$D$1775,"&lt;="&amp;B1775,CBIC_Late_Fee_Relief_Windows_1!$E$100:$E$1775,"&gt;="&amp;B1775,CBIC_Late_Fee_Relief_Windows_1!$F$100:$F$1775,"&lt;="&amp;C1775,CBIC_Late_Fee_Relief_Windows_1!$G$100:$G$1775,"&gt;="&amp;C1775,CBIC_Late_Fee_Relief_Windows_1!$H$100:$H$1775,D1775)</f>
        <v>#NAME?</v>
      </c>
      <c r="H1775" t="e">
        <f t="shared" ca="1" si="27"/>
        <v>#NAME?</v>
      </c>
      <c r="I1775" t="e">
        <f ca="1">INDEX(CBIC_Late_Fee_Relief_Windows_1!$B$100:$B$1775,MATCH(G1775,CBIC_Late_Fee_Relief_Windows_1!$I$100:$I$1775,0))</f>
        <v>#NAME?</v>
      </c>
    </row>
    <row r="1776" spans="1:9" x14ac:dyDescent="0.55000000000000004">
      <c r="A1776" t="str">
        <f>TEST_DATA!A1776</f>
        <v>27AAAAA1776Z5</v>
      </c>
      <c r="B1776" t="str">
        <f>TEST_DATA!B1776</f>
        <v>Jun-2019</v>
      </c>
      <c r="C1776">
        <f>TEST_DATA!C1776</f>
        <v>43786</v>
      </c>
      <c r="D1776" t="str">
        <f>TEST_DATA!D1776</f>
        <v>NIL</v>
      </c>
      <c r="E1776">
        <f>TEST_DATA!E1776</f>
        <v>1004</v>
      </c>
      <c r="F1776">
        <f>MIN(E1776*177600,10000)</f>
        <v>10000</v>
      </c>
      <c r="G1776" t="e">
        <f ca="1">_xludf.MINIFS(CBIC_Late_Fee_Relief_Windows_1!$I$100:$I$1776,CBIC_Late_Fee_Relief_Windows_1!$D$100:$D$1776,"&lt;="&amp;B1776,CBIC_Late_Fee_Relief_Windows_1!$E$100:$E$1776,"&gt;="&amp;B1776,CBIC_Late_Fee_Relief_Windows_1!$F$100:$F$1776,"&lt;="&amp;C1776,CBIC_Late_Fee_Relief_Windows_1!$G$100:$G$1776,"&gt;="&amp;C1776,CBIC_Late_Fee_Relief_Windows_1!$H$100:$H$1776,D1776)</f>
        <v>#NAME?</v>
      </c>
      <c r="H1776" t="e">
        <f t="shared" ca="1" si="27"/>
        <v>#NAME?</v>
      </c>
      <c r="I1776" t="e">
        <f ca="1">INDEX(CBIC_Late_Fee_Relief_Windows_1!$B$100:$B$1776,MATCH(G1776,CBIC_Late_Fee_Relief_Windows_1!$I$100:$I$1776,0))</f>
        <v>#NAME?</v>
      </c>
    </row>
    <row r="1777" spans="1:9" x14ac:dyDescent="0.55000000000000004">
      <c r="A1777" t="str">
        <f>TEST_DATA!A1777</f>
        <v>27AAAAA1777Z5</v>
      </c>
      <c r="B1777" t="str">
        <f>TEST_DATA!B1777</f>
        <v>Jan-2019</v>
      </c>
      <c r="C1777">
        <f>TEST_DATA!C1777</f>
        <v>43785</v>
      </c>
      <c r="D1777" t="str">
        <f>TEST_DATA!D1777</f>
        <v>NON-NIL</v>
      </c>
      <c r="E1777">
        <f>TEST_DATA!E1777</f>
        <v>2511</v>
      </c>
      <c r="F1777">
        <f>MIN(E1777*177700,10000)</f>
        <v>10000</v>
      </c>
      <c r="G1777" t="e">
        <f ca="1">_xludf.MINIFS(CBIC_Late_Fee_Relief_Windows_1!$I$100:$I$1777,CBIC_Late_Fee_Relief_Windows_1!$D$100:$D$1777,"&lt;="&amp;B1777,CBIC_Late_Fee_Relief_Windows_1!$E$100:$E$1777,"&gt;="&amp;B1777,CBIC_Late_Fee_Relief_Windows_1!$F$100:$F$1777,"&lt;="&amp;C1777,CBIC_Late_Fee_Relief_Windows_1!$G$100:$G$1777,"&gt;="&amp;C1777,CBIC_Late_Fee_Relief_Windows_1!$H$100:$H$1777,D1777)</f>
        <v>#NAME?</v>
      </c>
      <c r="H1777" t="e">
        <f t="shared" ca="1" si="27"/>
        <v>#NAME?</v>
      </c>
      <c r="I1777" t="e">
        <f ca="1">INDEX(CBIC_Late_Fee_Relief_Windows_1!$B$100:$B$1777,MATCH(G1777,CBIC_Late_Fee_Relief_Windows_1!$I$100:$I$1777,0))</f>
        <v>#NAME?</v>
      </c>
    </row>
    <row r="1778" spans="1:9" x14ac:dyDescent="0.55000000000000004">
      <c r="A1778" t="str">
        <f>TEST_DATA!A1778</f>
        <v>27AAAAA1778Z5</v>
      </c>
      <c r="B1778" t="str">
        <f>TEST_DATA!B1778</f>
        <v>Aug-2017</v>
      </c>
      <c r="C1778">
        <f>TEST_DATA!C1778</f>
        <v>43620</v>
      </c>
      <c r="D1778" t="str">
        <f>TEST_DATA!D1778</f>
        <v>NIL</v>
      </c>
      <c r="E1778">
        <f>TEST_DATA!E1778</f>
        <v>1920</v>
      </c>
      <c r="F1778">
        <f>MIN(E1778*177800,10000)</f>
        <v>10000</v>
      </c>
      <c r="G1778" t="e">
        <f ca="1">_xludf.MINIFS(CBIC_Late_Fee_Relief_Windows_1!$I$100:$I$1778,CBIC_Late_Fee_Relief_Windows_1!$D$100:$D$1778,"&lt;="&amp;B1778,CBIC_Late_Fee_Relief_Windows_1!$E$100:$E$1778,"&gt;="&amp;B1778,CBIC_Late_Fee_Relief_Windows_1!$F$100:$F$1778,"&lt;="&amp;C1778,CBIC_Late_Fee_Relief_Windows_1!$G$100:$G$1778,"&gt;="&amp;C1778,CBIC_Late_Fee_Relief_Windows_1!$H$100:$H$1778,D1778)</f>
        <v>#NAME?</v>
      </c>
      <c r="H1778" t="e">
        <f t="shared" ca="1" si="27"/>
        <v>#NAME?</v>
      </c>
      <c r="I1778" t="e">
        <f ca="1">INDEX(CBIC_Late_Fee_Relief_Windows_1!$B$100:$B$1778,MATCH(G1778,CBIC_Late_Fee_Relief_Windows_1!$I$100:$I$1778,0))</f>
        <v>#NAME?</v>
      </c>
    </row>
    <row r="1779" spans="1:9" x14ac:dyDescent="0.55000000000000004">
      <c r="A1779" t="str">
        <f>TEST_DATA!A1779</f>
        <v>27AAAAA1779Z5</v>
      </c>
      <c r="B1779" t="str">
        <f>TEST_DATA!B1779</f>
        <v>Sep-2018</v>
      </c>
      <c r="C1779">
        <f>TEST_DATA!C1779</f>
        <v>43966</v>
      </c>
      <c r="D1779" t="str">
        <f>TEST_DATA!D1779</f>
        <v>NON-NIL</v>
      </c>
      <c r="E1779">
        <f>TEST_DATA!E1779</f>
        <v>2350</v>
      </c>
      <c r="F1779">
        <f>MIN(E1779*177900,10000)</f>
        <v>10000</v>
      </c>
      <c r="G1779" t="e">
        <f ca="1">_xludf.MINIFS(CBIC_Late_Fee_Relief_Windows_1!$I$100:$I$1779,CBIC_Late_Fee_Relief_Windows_1!$D$100:$D$1779,"&lt;="&amp;B1779,CBIC_Late_Fee_Relief_Windows_1!$E$100:$E$1779,"&gt;="&amp;B1779,CBIC_Late_Fee_Relief_Windows_1!$F$100:$F$1779,"&lt;="&amp;C1779,CBIC_Late_Fee_Relief_Windows_1!$G$100:$G$1779,"&gt;="&amp;C1779,CBIC_Late_Fee_Relief_Windows_1!$H$100:$H$1779,D1779)</f>
        <v>#NAME?</v>
      </c>
      <c r="H1779" t="e">
        <f t="shared" ca="1" si="27"/>
        <v>#NAME?</v>
      </c>
      <c r="I1779" t="e">
        <f ca="1">INDEX(CBIC_Late_Fee_Relief_Windows_1!$B$100:$B$1779,MATCH(G1779,CBIC_Late_Fee_Relief_Windows_1!$I$100:$I$1779,0))</f>
        <v>#NAME?</v>
      </c>
    </row>
    <row r="1780" spans="1:9" x14ac:dyDescent="0.55000000000000004">
      <c r="A1780" t="str">
        <f>TEST_DATA!A1780</f>
        <v>27AAAAA1780Z5</v>
      </c>
      <c r="B1780" t="str">
        <f>TEST_DATA!B1780</f>
        <v>Jan-2021</v>
      </c>
      <c r="C1780">
        <f>TEST_DATA!C1780</f>
        <v>44823</v>
      </c>
      <c r="D1780" t="str">
        <f>TEST_DATA!D1780</f>
        <v>NON-NIL</v>
      </c>
      <c r="E1780">
        <f>TEST_DATA!E1780</f>
        <v>1445</v>
      </c>
      <c r="F1780">
        <f>MIN(E1780*178000,10000)</f>
        <v>10000</v>
      </c>
      <c r="G1780" t="e">
        <f ca="1">_xludf.MINIFS(CBIC_Late_Fee_Relief_Windows_1!$I$100:$I$1780,CBIC_Late_Fee_Relief_Windows_1!$D$100:$D$1780,"&lt;="&amp;B1780,CBIC_Late_Fee_Relief_Windows_1!$E$100:$E$1780,"&gt;="&amp;B1780,CBIC_Late_Fee_Relief_Windows_1!$F$100:$F$1780,"&lt;="&amp;C1780,CBIC_Late_Fee_Relief_Windows_1!$G$100:$G$1780,"&gt;="&amp;C1780,CBIC_Late_Fee_Relief_Windows_1!$H$100:$H$1780,D1780)</f>
        <v>#NAME?</v>
      </c>
      <c r="H1780" t="e">
        <f t="shared" ca="1" si="27"/>
        <v>#NAME?</v>
      </c>
      <c r="I1780" t="e">
        <f ca="1">INDEX(CBIC_Late_Fee_Relief_Windows_1!$B$100:$B$1780,MATCH(G1780,CBIC_Late_Fee_Relief_Windows_1!$I$100:$I$1780,0))</f>
        <v>#NAME?</v>
      </c>
    </row>
    <row r="1781" spans="1:9" x14ac:dyDescent="0.55000000000000004">
      <c r="A1781" t="str">
        <f>TEST_DATA!A1781</f>
        <v>27AAAAA1781Z5</v>
      </c>
      <c r="B1781" t="str">
        <f>TEST_DATA!B1781</f>
        <v>Apr-2021</v>
      </c>
      <c r="C1781">
        <f>TEST_DATA!C1781</f>
        <v>44672</v>
      </c>
      <c r="D1781" t="str">
        <f>TEST_DATA!D1781</f>
        <v>NON-NIL</v>
      </c>
      <c r="E1781">
        <f>TEST_DATA!E1781</f>
        <v>686</v>
      </c>
      <c r="F1781">
        <f>MIN(E1781*178100,10000)</f>
        <v>10000</v>
      </c>
      <c r="G1781" t="e">
        <f ca="1">_xludf.MINIFS(CBIC_Late_Fee_Relief_Windows_1!$I$100:$I$1781,CBIC_Late_Fee_Relief_Windows_1!$D$100:$D$1781,"&lt;="&amp;B1781,CBIC_Late_Fee_Relief_Windows_1!$E$100:$E$1781,"&gt;="&amp;B1781,CBIC_Late_Fee_Relief_Windows_1!$F$100:$F$1781,"&lt;="&amp;C1781,CBIC_Late_Fee_Relief_Windows_1!$G$100:$G$1781,"&gt;="&amp;C1781,CBIC_Late_Fee_Relief_Windows_1!$H$100:$H$1781,D1781)</f>
        <v>#NAME?</v>
      </c>
      <c r="H1781" t="e">
        <f t="shared" ca="1" si="27"/>
        <v>#NAME?</v>
      </c>
      <c r="I1781" t="e">
        <f ca="1">INDEX(CBIC_Late_Fee_Relief_Windows_1!$B$100:$B$1781,MATCH(G1781,CBIC_Late_Fee_Relief_Windows_1!$I$100:$I$1781,0))</f>
        <v>#NAME?</v>
      </c>
    </row>
    <row r="1782" spans="1:9" x14ac:dyDescent="0.55000000000000004">
      <c r="A1782" t="str">
        <f>TEST_DATA!A1782</f>
        <v>27AAAAA1782Z5</v>
      </c>
      <c r="B1782" t="str">
        <f>TEST_DATA!B1782</f>
        <v>Aug-2017</v>
      </c>
      <c r="C1782">
        <f>TEST_DATA!C1782</f>
        <v>44340</v>
      </c>
      <c r="D1782" t="str">
        <f>TEST_DATA!D1782</f>
        <v>NON-NIL</v>
      </c>
      <c r="E1782">
        <f>TEST_DATA!E1782</f>
        <v>2977</v>
      </c>
      <c r="F1782">
        <f>MIN(E1782*178200,10000)</f>
        <v>10000</v>
      </c>
      <c r="G1782" t="e">
        <f ca="1">_xludf.MINIFS(CBIC_Late_Fee_Relief_Windows_1!$I$100:$I$1782,CBIC_Late_Fee_Relief_Windows_1!$D$100:$D$1782,"&lt;="&amp;B1782,CBIC_Late_Fee_Relief_Windows_1!$E$100:$E$1782,"&gt;="&amp;B1782,CBIC_Late_Fee_Relief_Windows_1!$F$100:$F$1782,"&lt;="&amp;C1782,CBIC_Late_Fee_Relief_Windows_1!$G$100:$G$1782,"&gt;="&amp;C1782,CBIC_Late_Fee_Relief_Windows_1!$H$100:$H$1782,D1782)</f>
        <v>#NAME?</v>
      </c>
      <c r="H1782" t="e">
        <f t="shared" ca="1" si="27"/>
        <v>#NAME?</v>
      </c>
      <c r="I1782" t="e">
        <f ca="1">INDEX(CBIC_Late_Fee_Relief_Windows_1!$B$100:$B$1782,MATCH(G1782,CBIC_Late_Fee_Relief_Windows_1!$I$100:$I$1782,0))</f>
        <v>#NAME?</v>
      </c>
    </row>
    <row r="1783" spans="1:9" x14ac:dyDescent="0.55000000000000004">
      <c r="A1783" t="str">
        <f>TEST_DATA!A1783</f>
        <v>27AAAAA1783Z5</v>
      </c>
      <c r="B1783" t="str">
        <f>TEST_DATA!B1783</f>
        <v>Apr-2021</v>
      </c>
      <c r="C1783">
        <f>TEST_DATA!C1783</f>
        <v>45774</v>
      </c>
      <c r="D1783" t="str">
        <f>TEST_DATA!D1783</f>
        <v>NON-NIL</v>
      </c>
      <c r="E1783">
        <f>TEST_DATA!E1783</f>
        <v>251</v>
      </c>
      <c r="F1783">
        <f>MIN(E1783*178300,10000)</f>
        <v>10000</v>
      </c>
      <c r="G1783" t="e">
        <f ca="1">_xludf.MINIFS(CBIC_Late_Fee_Relief_Windows_1!$I$100:$I$1783,CBIC_Late_Fee_Relief_Windows_1!$D$100:$D$1783,"&lt;="&amp;B1783,CBIC_Late_Fee_Relief_Windows_1!$E$100:$E$1783,"&gt;="&amp;B1783,CBIC_Late_Fee_Relief_Windows_1!$F$100:$F$1783,"&lt;="&amp;C1783,CBIC_Late_Fee_Relief_Windows_1!$G$100:$G$1783,"&gt;="&amp;C1783,CBIC_Late_Fee_Relief_Windows_1!$H$100:$H$1783,D1783)</f>
        <v>#NAME?</v>
      </c>
      <c r="H1783" t="e">
        <f t="shared" ca="1" si="27"/>
        <v>#NAME?</v>
      </c>
      <c r="I1783" t="e">
        <f ca="1">INDEX(CBIC_Late_Fee_Relief_Windows_1!$B$100:$B$1783,MATCH(G1783,CBIC_Late_Fee_Relief_Windows_1!$I$100:$I$1783,0))</f>
        <v>#NAME?</v>
      </c>
    </row>
    <row r="1784" spans="1:9" x14ac:dyDescent="0.55000000000000004">
      <c r="A1784" t="str">
        <f>TEST_DATA!A1784</f>
        <v>27AAAAA1784Z5</v>
      </c>
      <c r="B1784" t="str">
        <f>TEST_DATA!B1784</f>
        <v>May-2020</v>
      </c>
      <c r="C1784">
        <f>TEST_DATA!C1784</f>
        <v>44800</v>
      </c>
      <c r="D1784" t="str">
        <f>TEST_DATA!D1784</f>
        <v>NIL</v>
      </c>
      <c r="E1784">
        <f>TEST_DATA!E1784</f>
        <v>2346</v>
      </c>
      <c r="F1784">
        <f>MIN(E1784*178400,10000)</f>
        <v>10000</v>
      </c>
      <c r="G1784" t="e">
        <f ca="1">_xludf.MINIFS(CBIC_Late_Fee_Relief_Windows_1!$I$100:$I$1784,CBIC_Late_Fee_Relief_Windows_1!$D$100:$D$1784,"&lt;="&amp;B1784,CBIC_Late_Fee_Relief_Windows_1!$E$100:$E$1784,"&gt;="&amp;B1784,CBIC_Late_Fee_Relief_Windows_1!$F$100:$F$1784,"&lt;="&amp;C1784,CBIC_Late_Fee_Relief_Windows_1!$G$100:$G$1784,"&gt;="&amp;C1784,CBIC_Late_Fee_Relief_Windows_1!$H$100:$H$1784,D1784)</f>
        <v>#NAME?</v>
      </c>
      <c r="H1784" t="e">
        <f t="shared" ca="1" si="27"/>
        <v>#NAME?</v>
      </c>
      <c r="I1784" t="e">
        <f ca="1">INDEX(CBIC_Late_Fee_Relief_Windows_1!$B$100:$B$1784,MATCH(G1784,CBIC_Late_Fee_Relief_Windows_1!$I$100:$I$1784,0))</f>
        <v>#NAME?</v>
      </c>
    </row>
    <row r="1785" spans="1:9" x14ac:dyDescent="0.55000000000000004">
      <c r="A1785" t="str">
        <f>TEST_DATA!A1785</f>
        <v>27AAAAA1785Z5</v>
      </c>
      <c r="B1785" t="str">
        <f>TEST_DATA!B1785</f>
        <v>Aug-2017</v>
      </c>
      <c r="C1785">
        <f>TEST_DATA!C1785</f>
        <v>44261</v>
      </c>
      <c r="D1785" t="str">
        <f>TEST_DATA!D1785</f>
        <v>NON-NIL</v>
      </c>
      <c r="E1785">
        <f>TEST_DATA!E1785</f>
        <v>2557</v>
      </c>
      <c r="F1785">
        <f>MIN(E1785*178500,10000)</f>
        <v>10000</v>
      </c>
      <c r="G1785" t="e">
        <f ca="1">_xludf.MINIFS(CBIC_Late_Fee_Relief_Windows_1!$I$100:$I$1785,CBIC_Late_Fee_Relief_Windows_1!$D$100:$D$1785,"&lt;="&amp;B1785,CBIC_Late_Fee_Relief_Windows_1!$E$100:$E$1785,"&gt;="&amp;B1785,CBIC_Late_Fee_Relief_Windows_1!$F$100:$F$1785,"&lt;="&amp;C1785,CBIC_Late_Fee_Relief_Windows_1!$G$100:$G$1785,"&gt;="&amp;C1785,CBIC_Late_Fee_Relief_Windows_1!$H$100:$H$1785,D1785)</f>
        <v>#NAME?</v>
      </c>
      <c r="H1785" t="e">
        <f t="shared" ca="1" si="27"/>
        <v>#NAME?</v>
      </c>
      <c r="I1785" t="e">
        <f ca="1">INDEX(CBIC_Late_Fee_Relief_Windows_1!$B$100:$B$1785,MATCH(G1785,CBIC_Late_Fee_Relief_Windows_1!$I$100:$I$1785,0))</f>
        <v>#NAME?</v>
      </c>
    </row>
    <row r="1786" spans="1:9" x14ac:dyDescent="0.55000000000000004">
      <c r="A1786" t="str">
        <f>TEST_DATA!A1786</f>
        <v>27AAAAA1786Z5</v>
      </c>
      <c r="B1786" t="str">
        <f>TEST_DATA!B1786</f>
        <v>Jul-2017</v>
      </c>
      <c r="C1786">
        <f>TEST_DATA!C1786</f>
        <v>43504</v>
      </c>
      <c r="D1786" t="str">
        <f>TEST_DATA!D1786</f>
        <v>NON-NIL</v>
      </c>
      <c r="E1786">
        <f>TEST_DATA!E1786</f>
        <v>337</v>
      </c>
      <c r="F1786">
        <f>MIN(E1786*178600,10000)</f>
        <v>10000</v>
      </c>
      <c r="G1786" t="e">
        <f ca="1">_xludf.MINIFS(CBIC_Late_Fee_Relief_Windows_1!$I$100:$I$1786,CBIC_Late_Fee_Relief_Windows_1!$D$100:$D$1786,"&lt;="&amp;B1786,CBIC_Late_Fee_Relief_Windows_1!$E$100:$E$1786,"&gt;="&amp;B1786,CBIC_Late_Fee_Relief_Windows_1!$F$100:$F$1786,"&lt;="&amp;C1786,CBIC_Late_Fee_Relief_Windows_1!$G$100:$G$1786,"&gt;="&amp;C1786,CBIC_Late_Fee_Relief_Windows_1!$H$100:$H$1786,D1786)</f>
        <v>#NAME?</v>
      </c>
      <c r="H1786" t="e">
        <f t="shared" ca="1" si="27"/>
        <v>#NAME?</v>
      </c>
      <c r="I1786" t="e">
        <f ca="1">INDEX(CBIC_Late_Fee_Relief_Windows_1!$B$100:$B$1786,MATCH(G1786,CBIC_Late_Fee_Relief_Windows_1!$I$100:$I$1786,0))</f>
        <v>#NAME?</v>
      </c>
    </row>
    <row r="1787" spans="1:9" x14ac:dyDescent="0.55000000000000004">
      <c r="A1787" t="str">
        <f>TEST_DATA!A1787</f>
        <v>27AAAAA1787Z5</v>
      </c>
      <c r="B1787" t="str">
        <f>TEST_DATA!B1787</f>
        <v>Nov-2017</v>
      </c>
      <c r="C1787">
        <f>TEST_DATA!C1787</f>
        <v>43952</v>
      </c>
      <c r="D1787" t="str">
        <f>TEST_DATA!D1787</f>
        <v>NIL</v>
      </c>
      <c r="E1787">
        <f>TEST_DATA!E1787</f>
        <v>1138</v>
      </c>
      <c r="F1787">
        <f>MIN(E1787*178700,10000)</f>
        <v>10000</v>
      </c>
      <c r="G1787" t="e">
        <f ca="1">_xludf.MINIFS(CBIC_Late_Fee_Relief_Windows_1!$I$100:$I$1787,CBIC_Late_Fee_Relief_Windows_1!$D$100:$D$1787,"&lt;="&amp;B1787,CBIC_Late_Fee_Relief_Windows_1!$E$100:$E$1787,"&gt;="&amp;B1787,CBIC_Late_Fee_Relief_Windows_1!$F$100:$F$1787,"&lt;="&amp;C1787,CBIC_Late_Fee_Relief_Windows_1!$G$100:$G$1787,"&gt;="&amp;C1787,CBIC_Late_Fee_Relief_Windows_1!$H$100:$H$1787,D1787)</f>
        <v>#NAME?</v>
      </c>
      <c r="H1787" t="e">
        <f t="shared" ca="1" si="27"/>
        <v>#NAME?</v>
      </c>
      <c r="I1787" t="e">
        <f ca="1">INDEX(CBIC_Late_Fee_Relief_Windows_1!$B$100:$B$1787,MATCH(G1787,CBIC_Late_Fee_Relief_Windows_1!$I$100:$I$1787,0))</f>
        <v>#NAME?</v>
      </c>
    </row>
    <row r="1788" spans="1:9" x14ac:dyDescent="0.55000000000000004">
      <c r="A1788" t="str">
        <f>TEST_DATA!A1788</f>
        <v>27AAAAA1788Z5</v>
      </c>
      <c r="B1788" t="str">
        <f>TEST_DATA!B1788</f>
        <v>Mar-2018</v>
      </c>
      <c r="C1788">
        <f>TEST_DATA!C1788</f>
        <v>43188</v>
      </c>
      <c r="D1788" t="str">
        <f>TEST_DATA!D1788</f>
        <v>NON-NIL</v>
      </c>
      <c r="E1788">
        <f>TEST_DATA!E1788</f>
        <v>1127</v>
      </c>
      <c r="F1788">
        <f>MIN(E1788*178800,10000)</f>
        <v>10000</v>
      </c>
      <c r="G1788" t="e">
        <f ca="1">_xludf.MINIFS(CBIC_Late_Fee_Relief_Windows_1!$I$100:$I$1788,CBIC_Late_Fee_Relief_Windows_1!$D$100:$D$1788,"&lt;="&amp;B1788,CBIC_Late_Fee_Relief_Windows_1!$E$100:$E$1788,"&gt;="&amp;B1788,CBIC_Late_Fee_Relief_Windows_1!$F$100:$F$1788,"&lt;="&amp;C1788,CBIC_Late_Fee_Relief_Windows_1!$G$100:$G$1788,"&gt;="&amp;C1788,CBIC_Late_Fee_Relief_Windows_1!$H$100:$H$1788,D1788)</f>
        <v>#NAME?</v>
      </c>
      <c r="H1788" t="e">
        <f t="shared" ca="1" si="27"/>
        <v>#NAME?</v>
      </c>
      <c r="I1788" t="e">
        <f ca="1">INDEX(CBIC_Late_Fee_Relief_Windows_1!$B$100:$B$1788,MATCH(G1788,CBIC_Late_Fee_Relief_Windows_1!$I$100:$I$1788,0))</f>
        <v>#NAME?</v>
      </c>
    </row>
    <row r="1789" spans="1:9" x14ac:dyDescent="0.55000000000000004">
      <c r="A1789" t="str">
        <f>TEST_DATA!A1789</f>
        <v>27AAAAA1789Z5</v>
      </c>
      <c r="B1789" t="str">
        <f>TEST_DATA!B1789</f>
        <v>Mar-2023</v>
      </c>
      <c r="C1789">
        <f>TEST_DATA!C1789</f>
        <v>44518</v>
      </c>
      <c r="D1789" t="str">
        <f>TEST_DATA!D1789</f>
        <v>NIL</v>
      </c>
      <c r="E1789">
        <f>TEST_DATA!E1789</f>
        <v>456</v>
      </c>
      <c r="F1789">
        <f>MIN(E1789*178900,10000)</f>
        <v>10000</v>
      </c>
      <c r="G1789" t="e">
        <f ca="1">_xludf.MINIFS(CBIC_Late_Fee_Relief_Windows_1!$I$100:$I$1789,CBIC_Late_Fee_Relief_Windows_1!$D$100:$D$1789,"&lt;="&amp;B1789,CBIC_Late_Fee_Relief_Windows_1!$E$100:$E$1789,"&gt;="&amp;B1789,CBIC_Late_Fee_Relief_Windows_1!$F$100:$F$1789,"&lt;="&amp;C1789,CBIC_Late_Fee_Relief_Windows_1!$G$100:$G$1789,"&gt;="&amp;C1789,CBIC_Late_Fee_Relief_Windows_1!$H$100:$H$1789,D1789)</f>
        <v>#NAME?</v>
      </c>
      <c r="H1789" t="e">
        <f t="shared" ca="1" si="27"/>
        <v>#NAME?</v>
      </c>
      <c r="I1789" t="e">
        <f ca="1">INDEX(CBIC_Late_Fee_Relief_Windows_1!$B$100:$B$1789,MATCH(G1789,CBIC_Late_Fee_Relief_Windows_1!$I$100:$I$1789,0))</f>
        <v>#NAME?</v>
      </c>
    </row>
    <row r="1790" spans="1:9" x14ac:dyDescent="0.55000000000000004">
      <c r="A1790" t="str">
        <f>TEST_DATA!A1790</f>
        <v>27AAAAA1790Z5</v>
      </c>
      <c r="B1790" t="str">
        <f>TEST_DATA!B1790</f>
        <v>Apr-2020</v>
      </c>
      <c r="C1790">
        <f>TEST_DATA!C1790</f>
        <v>44188</v>
      </c>
      <c r="D1790" t="str">
        <f>TEST_DATA!D1790</f>
        <v>NIL</v>
      </c>
      <c r="E1790">
        <f>TEST_DATA!E1790</f>
        <v>2699</v>
      </c>
      <c r="F1790">
        <f>MIN(E1790*179000,10000)</f>
        <v>10000</v>
      </c>
      <c r="G1790" t="e">
        <f ca="1">_xludf.MINIFS(CBIC_Late_Fee_Relief_Windows_1!$I$100:$I$1790,CBIC_Late_Fee_Relief_Windows_1!$D$100:$D$1790,"&lt;="&amp;B1790,CBIC_Late_Fee_Relief_Windows_1!$E$100:$E$1790,"&gt;="&amp;B1790,CBIC_Late_Fee_Relief_Windows_1!$F$100:$F$1790,"&lt;="&amp;C1790,CBIC_Late_Fee_Relief_Windows_1!$G$100:$G$1790,"&gt;="&amp;C1790,CBIC_Late_Fee_Relief_Windows_1!$H$100:$H$1790,D1790)</f>
        <v>#NAME?</v>
      </c>
      <c r="H1790" t="e">
        <f t="shared" ca="1" si="27"/>
        <v>#NAME?</v>
      </c>
      <c r="I1790" t="e">
        <f ca="1">INDEX(CBIC_Late_Fee_Relief_Windows_1!$B$100:$B$1790,MATCH(G1790,CBIC_Late_Fee_Relief_Windows_1!$I$100:$I$1790,0))</f>
        <v>#NAME?</v>
      </c>
    </row>
    <row r="1791" spans="1:9" x14ac:dyDescent="0.55000000000000004">
      <c r="A1791" t="str">
        <f>TEST_DATA!A1791</f>
        <v>27AAAAA1791Z5</v>
      </c>
      <c r="B1791" t="str">
        <f>TEST_DATA!B1791</f>
        <v>Sep-2018</v>
      </c>
      <c r="C1791">
        <f>TEST_DATA!C1791</f>
        <v>43674</v>
      </c>
      <c r="D1791" t="str">
        <f>TEST_DATA!D1791</f>
        <v>NIL</v>
      </c>
      <c r="E1791">
        <f>TEST_DATA!E1791</f>
        <v>1070</v>
      </c>
      <c r="F1791">
        <f>MIN(E1791*179100,10000)</f>
        <v>10000</v>
      </c>
      <c r="G1791" t="e">
        <f ca="1">_xludf.MINIFS(CBIC_Late_Fee_Relief_Windows_1!$I$100:$I$1791,CBIC_Late_Fee_Relief_Windows_1!$D$100:$D$1791,"&lt;="&amp;B1791,CBIC_Late_Fee_Relief_Windows_1!$E$100:$E$1791,"&gt;="&amp;B1791,CBIC_Late_Fee_Relief_Windows_1!$F$100:$F$1791,"&lt;="&amp;C1791,CBIC_Late_Fee_Relief_Windows_1!$G$100:$G$1791,"&gt;="&amp;C1791,CBIC_Late_Fee_Relief_Windows_1!$H$100:$H$1791,D1791)</f>
        <v>#NAME?</v>
      </c>
      <c r="H1791" t="e">
        <f t="shared" ca="1" si="27"/>
        <v>#NAME?</v>
      </c>
      <c r="I1791" t="e">
        <f ca="1">INDEX(CBIC_Late_Fee_Relief_Windows_1!$B$100:$B$1791,MATCH(G1791,CBIC_Late_Fee_Relief_Windows_1!$I$100:$I$1791,0))</f>
        <v>#NAME?</v>
      </c>
    </row>
    <row r="1792" spans="1:9" x14ac:dyDescent="0.55000000000000004">
      <c r="A1792" t="str">
        <f>TEST_DATA!A1792</f>
        <v>27AAAAA1792Z5</v>
      </c>
      <c r="B1792" t="str">
        <f>TEST_DATA!B1792</f>
        <v>Apr-2021</v>
      </c>
      <c r="C1792">
        <f>TEST_DATA!C1792</f>
        <v>44433</v>
      </c>
      <c r="D1792" t="str">
        <f>TEST_DATA!D1792</f>
        <v>NON-NIL</v>
      </c>
      <c r="E1792">
        <f>TEST_DATA!E1792</f>
        <v>740</v>
      </c>
      <c r="F1792">
        <f>MIN(E1792*179200,10000)</f>
        <v>10000</v>
      </c>
      <c r="G1792" t="e">
        <f ca="1">_xludf.MINIFS(CBIC_Late_Fee_Relief_Windows_1!$I$100:$I$1792,CBIC_Late_Fee_Relief_Windows_1!$D$100:$D$1792,"&lt;="&amp;B1792,CBIC_Late_Fee_Relief_Windows_1!$E$100:$E$1792,"&gt;="&amp;B1792,CBIC_Late_Fee_Relief_Windows_1!$F$100:$F$1792,"&lt;="&amp;C1792,CBIC_Late_Fee_Relief_Windows_1!$G$100:$G$1792,"&gt;="&amp;C1792,CBIC_Late_Fee_Relief_Windows_1!$H$100:$H$1792,D1792)</f>
        <v>#NAME?</v>
      </c>
      <c r="H1792" t="e">
        <f t="shared" ca="1" si="27"/>
        <v>#NAME?</v>
      </c>
      <c r="I1792" t="e">
        <f ca="1">INDEX(CBIC_Late_Fee_Relief_Windows_1!$B$100:$B$1792,MATCH(G1792,CBIC_Late_Fee_Relief_Windows_1!$I$100:$I$1792,0))</f>
        <v>#NAME?</v>
      </c>
    </row>
    <row r="1793" spans="1:9" x14ac:dyDescent="0.55000000000000004">
      <c r="A1793" t="str">
        <f>TEST_DATA!A1793</f>
        <v>27AAAAA1793Z5</v>
      </c>
      <c r="B1793" t="str">
        <f>TEST_DATA!B1793</f>
        <v>Apr-2021</v>
      </c>
      <c r="C1793">
        <f>TEST_DATA!C1793</f>
        <v>45626</v>
      </c>
      <c r="D1793" t="str">
        <f>TEST_DATA!D1793</f>
        <v>NIL</v>
      </c>
      <c r="E1793">
        <f>TEST_DATA!E1793</f>
        <v>1404</v>
      </c>
      <c r="F1793">
        <f>MIN(E1793*179300,10000)</f>
        <v>10000</v>
      </c>
      <c r="G1793" t="e">
        <f ca="1">_xludf.MINIFS(CBIC_Late_Fee_Relief_Windows_1!$I$100:$I$1793,CBIC_Late_Fee_Relief_Windows_1!$D$100:$D$1793,"&lt;="&amp;B1793,CBIC_Late_Fee_Relief_Windows_1!$E$100:$E$1793,"&gt;="&amp;B1793,CBIC_Late_Fee_Relief_Windows_1!$F$100:$F$1793,"&lt;="&amp;C1793,CBIC_Late_Fee_Relief_Windows_1!$G$100:$G$1793,"&gt;="&amp;C1793,CBIC_Late_Fee_Relief_Windows_1!$H$100:$H$1793,D1793)</f>
        <v>#NAME?</v>
      </c>
      <c r="H1793" t="e">
        <f t="shared" ca="1" si="27"/>
        <v>#NAME?</v>
      </c>
      <c r="I1793" t="e">
        <f ca="1">INDEX(CBIC_Late_Fee_Relief_Windows_1!$B$100:$B$1793,MATCH(G1793,CBIC_Late_Fee_Relief_Windows_1!$I$100:$I$1793,0))</f>
        <v>#NAME?</v>
      </c>
    </row>
    <row r="1794" spans="1:9" x14ac:dyDescent="0.55000000000000004">
      <c r="A1794" t="str">
        <f>TEST_DATA!A1794</f>
        <v>27AAAAA1794Z5</v>
      </c>
      <c r="B1794" t="str">
        <f>TEST_DATA!B1794</f>
        <v>Sep-2017</v>
      </c>
      <c r="C1794">
        <f>TEST_DATA!C1794</f>
        <v>43214</v>
      </c>
      <c r="D1794" t="str">
        <f>TEST_DATA!D1794</f>
        <v>NIL</v>
      </c>
      <c r="E1794">
        <f>TEST_DATA!E1794</f>
        <v>2031</v>
      </c>
      <c r="F1794">
        <f>MIN(E1794*179400,10000)</f>
        <v>10000</v>
      </c>
      <c r="G1794" t="e">
        <f ca="1">_xludf.MINIFS(CBIC_Late_Fee_Relief_Windows_1!$I$100:$I$1794,CBIC_Late_Fee_Relief_Windows_1!$D$100:$D$1794,"&lt;="&amp;B1794,CBIC_Late_Fee_Relief_Windows_1!$E$100:$E$1794,"&gt;="&amp;B1794,CBIC_Late_Fee_Relief_Windows_1!$F$100:$F$1794,"&lt;="&amp;C1794,CBIC_Late_Fee_Relief_Windows_1!$G$100:$G$1794,"&gt;="&amp;C1794,CBIC_Late_Fee_Relief_Windows_1!$H$100:$H$1794,D1794)</f>
        <v>#NAME?</v>
      </c>
      <c r="H1794" t="e">
        <f t="shared" ref="H1794:H1857" ca="1" si="28">MIN(F1794,G1794)</f>
        <v>#NAME?</v>
      </c>
      <c r="I1794" t="e">
        <f ca="1">INDEX(CBIC_Late_Fee_Relief_Windows_1!$B$100:$B$1794,MATCH(G1794,CBIC_Late_Fee_Relief_Windows_1!$I$100:$I$1794,0))</f>
        <v>#NAME?</v>
      </c>
    </row>
    <row r="1795" spans="1:9" x14ac:dyDescent="0.55000000000000004">
      <c r="A1795" t="str">
        <f>TEST_DATA!A1795</f>
        <v>27AAAAA1795Z5</v>
      </c>
      <c r="B1795" t="str">
        <f>TEST_DATA!B1795</f>
        <v>Mar-2021</v>
      </c>
      <c r="C1795">
        <f>TEST_DATA!C1795</f>
        <v>45157</v>
      </c>
      <c r="D1795" t="str">
        <f>TEST_DATA!D1795</f>
        <v>NON-NIL</v>
      </c>
      <c r="E1795">
        <f>TEST_DATA!E1795</f>
        <v>974</v>
      </c>
      <c r="F1795">
        <f>MIN(E1795*179500,10000)</f>
        <v>10000</v>
      </c>
      <c r="G1795" t="e">
        <f ca="1">_xludf.MINIFS(CBIC_Late_Fee_Relief_Windows_1!$I$100:$I$1795,CBIC_Late_Fee_Relief_Windows_1!$D$100:$D$1795,"&lt;="&amp;B1795,CBIC_Late_Fee_Relief_Windows_1!$E$100:$E$1795,"&gt;="&amp;B1795,CBIC_Late_Fee_Relief_Windows_1!$F$100:$F$1795,"&lt;="&amp;C1795,CBIC_Late_Fee_Relief_Windows_1!$G$100:$G$1795,"&gt;="&amp;C1795,CBIC_Late_Fee_Relief_Windows_1!$H$100:$H$1795,D1795)</f>
        <v>#NAME?</v>
      </c>
      <c r="H1795" t="e">
        <f t="shared" ca="1" si="28"/>
        <v>#NAME?</v>
      </c>
      <c r="I1795" t="e">
        <f ca="1">INDEX(CBIC_Late_Fee_Relief_Windows_1!$B$100:$B$1795,MATCH(G1795,CBIC_Late_Fee_Relief_Windows_1!$I$100:$I$1795,0))</f>
        <v>#NAME?</v>
      </c>
    </row>
    <row r="1796" spans="1:9" x14ac:dyDescent="0.55000000000000004">
      <c r="A1796" t="str">
        <f>TEST_DATA!A1796</f>
        <v>27AAAAA1796Z5</v>
      </c>
      <c r="B1796" t="str">
        <f>TEST_DATA!B1796</f>
        <v>Jun-2020</v>
      </c>
      <c r="C1796">
        <f>TEST_DATA!C1796</f>
        <v>44732</v>
      </c>
      <c r="D1796" t="str">
        <f>TEST_DATA!D1796</f>
        <v>NIL</v>
      </c>
      <c r="E1796">
        <f>TEST_DATA!E1796</f>
        <v>863</v>
      </c>
      <c r="F1796">
        <f>MIN(E1796*179600,10000)</f>
        <v>10000</v>
      </c>
      <c r="G1796" t="e">
        <f ca="1">_xludf.MINIFS(CBIC_Late_Fee_Relief_Windows_1!$I$100:$I$1796,CBIC_Late_Fee_Relief_Windows_1!$D$100:$D$1796,"&lt;="&amp;B1796,CBIC_Late_Fee_Relief_Windows_1!$E$100:$E$1796,"&gt;="&amp;B1796,CBIC_Late_Fee_Relief_Windows_1!$F$100:$F$1796,"&lt;="&amp;C1796,CBIC_Late_Fee_Relief_Windows_1!$G$100:$G$1796,"&gt;="&amp;C1796,CBIC_Late_Fee_Relief_Windows_1!$H$100:$H$1796,D1796)</f>
        <v>#NAME?</v>
      </c>
      <c r="H1796" t="e">
        <f t="shared" ca="1" si="28"/>
        <v>#NAME?</v>
      </c>
      <c r="I1796" t="e">
        <f ca="1">INDEX(CBIC_Late_Fee_Relief_Windows_1!$B$100:$B$1796,MATCH(G1796,CBIC_Late_Fee_Relief_Windows_1!$I$100:$I$1796,0))</f>
        <v>#NAME?</v>
      </c>
    </row>
    <row r="1797" spans="1:9" x14ac:dyDescent="0.55000000000000004">
      <c r="A1797" t="str">
        <f>TEST_DATA!A1797</f>
        <v>27AAAAA1797Z5</v>
      </c>
      <c r="B1797" t="str">
        <f>TEST_DATA!B1797</f>
        <v>Mar-2020</v>
      </c>
      <c r="C1797">
        <f>TEST_DATA!C1797</f>
        <v>44537</v>
      </c>
      <c r="D1797" t="str">
        <f>TEST_DATA!D1797</f>
        <v>NIL</v>
      </c>
      <c r="E1797">
        <f>TEST_DATA!E1797</f>
        <v>2630</v>
      </c>
      <c r="F1797">
        <f>MIN(E1797*179700,10000)</f>
        <v>10000</v>
      </c>
      <c r="G1797" t="e">
        <f ca="1">_xludf.MINIFS(CBIC_Late_Fee_Relief_Windows_1!$I$100:$I$1797,CBIC_Late_Fee_Relief_Windows_1!$D$100:$D$1797,"&lt;="&amp;B1797,CBIC_Late_Fee_Relief_Windows_1!$E$100:$E$1797,"&gt;="&amp;B1797,CBIC_Late_Fee_Relief_Windows_1!$F$100:$F$1797,"&lt;="&amp;C1797,CBIC_Late_Fee_Relief_Windows_1!$G$100:$G$1797,"&gt;="&amp;C1797,CBIC_Late_Fee_Relief_Windows_1!$H$100:$H$1797,D1797)</f>
        <v>#NAME?</v>
      </c>
      <c r="H1797" t="e">
        <f t="shared" ca="1" si="28"/>
        <v>#NAME?</v>
      </c>
      <c r="I1797" t="e">
        <f ca="1">INDEX(CBIC_Late_Fee_Relief_Windows_1!$B$100:$B$1797,MATCH(G1797,CBIC_Late_Fee_Relief_Windows_1!$I$100:$I$1797,0))</f>
        <v>#NAME?</v>
      </c>
    </row>
    <row r="1798" spans="1:9" x14ac:dyDescent="0.55000000000000004">
      <c r="A1798" t="str">
        <f>TEST_DATA!A1798</f>
        <v>27AAAAA1798Z5</v>
      </c>
      <c r="B1798" t="str">
        <f>TEST_DATA!B1798</f>
        <v>Mar-2018</v>
      </c>
      <c r="C1798">
        <f>TEST_DATA!C1798</f>
        <v>44464</v>
      </c>
      <c r="D1798" t="str">
        <f>TEST_DATA!D1798</f>
        <v>NIL</v>
      </c>
      <c r="E1798">
        <f>TEST_DATA!E1798</f>
        <v>215</v>
      </c>
      <c r="F1798">
        <f>MIN(E1798*179800,10000)</f>
        <v>10000</v>
      </c>
      <c r="G1798" t="e">
        <f ca="1">_xludf.MINIFS(CBIC_Late_Fee_Relief_Windows_1!$I$100:$I$1798,CBIC_Late_Fee_Relief_Windows_1!$D$100:$D$1798,"&lt;="&amp;B1798,CBIC_Late_Fee_Relief_Windows_1!$E$100:$E$1798,"&gt;="&amp;B1798,CBIC_Late_Fee_Relief_Windows_1!$F$100:$F$1798,"&lt;="&amp;C1798,CBIC_Late_Fee_Relief_Windows_1!$G$100:$G$1798,"&gt;="&amp;C1798,CBIC_Late_Fee_Relief_Windows_1!$H$100:$H$1798,D1798)</f>
        <v>#NAME?</v>
      </c>
      <c r="H1798" t="e">
        <f t="shared" ca="1" si="28"/>
        <v>#NAME?</v>
      </c>
      <c r="I1798" t="e">
        <f ca="1">INDEX(CBIC_Late_Fee_Relief_Windows_1!$B$100:$B$1798,MATCH(G1798,CBIC_Late_Fee_Relief_Windows_1!$I$100:$I$1798,0))</f>
        <v>#NAME?</v>
      </c>
    </row>
    <row r="1799" spans="1:9" x14ac:dyDescent="0.55000000000000004">
      <c r="A1799" t="str">
        <f>TEST_DATA!A1799</f>
        <v>27AAAAA1799Z5</v>
      </c>
      <c r="B1799" t="str">
        <f>TEST_DATA!B1799</f>
        <v>Dec-2017</v>
      </c>
      <c r="C1799">
        <f>TEST_DATA!C1799</f>
        <v>43867</v>
      </c>
      <c r="D1799" t="str">
        <f>TEST_DATA!D1799</f>
        <v>NON-NIL</v>
      </c>
      <c r="E1799">
        <f>TEST_DATA!E1799</f>
        <v>1950</v>
      </c>
      <c r="F1799">
        <f>MIN(E1799*179900,10000)</f>
        <v>10000</v>
      </c>
      <c r="G1799" t="e">
        <f ca="1">_xludf.MINIFS(CBIC_Late_Fee_Relief_Windows_1!$I$100:$I$1799,CBIC_Late_Fee_Relief_Windows_1!$D$100:$D$1799,"&lt;="&amp;B1799,CBIC_Late_Fee_Relief_Windows_1!$E$100:$E$1799,"&gt;="&amp;B1799,CBIC_Late_Fee_Relief_Windows_1!$F$100:$F$1799,"&lt;="&amp;C1799,CBIC_Late_Fee_Relief_Windows_1!$G$100:$G$1799,"&gt;="&amp;C1799,CBIC_Late_Fee_Relief_Windows_1!$H$100:$H$1799,D1799)</f>
        <v>#NAME?</v>
      </c>
      <c r="H1799" t="e">
        <f t="shared" ca="1" si="28"/>
        <v>#NAME?</v>
      </c>
      <c r="I1799" t="e">
        <f ca="1">INDEX(CBIC_Late_Fee_Relief_Windows_1!$B$100:$B$1799,MATCH(G1799,CBIC_Late_Fee_Relief_Windows_1!$I$100:$I$1799,0))</f>
        <v>#NAME?</v>
      </c>
    </row>
    <row r="1800" spans="1:9" x14ac:dyDescent="0.55000000000000004">
      <c r="A1800" t="str">
        <f>TEST_DATA!A1800</f>
        <v>27AAAAA1800Z5</v>
      </c>
      <c r="B1800" t="str">
        <f>TEST_DATA!B1800</f>
        <v>Apr-2018</v>
      </c>
      <c r="C1800">
        <f>TEST_DATA!C1800</f>
        <v>43892</v>
      </c>
      <c r="D1800" t="str">
        <f>TEST_DATA!D1800</f>
        <v>NIL</v>
      </c>
      <c r="E1800">
        <f>TEST_DATA!E1800</f>
        <v>1555</v>
      </c>
      <c r="F1800">
        <f>MIN(E1800*180000,10000)</f>
        <v>10000</v>
      </c>
      <c r="G1800" t="e">
        <f ca="1">_xludf.MINIFS(CBIC_Late_Fee_Relief_Windows_1!$I$100:$I$1800,CBIC_Late_Fee_Relief_Windows_1!$D$100:$D$1800,"&lt;="&amp;B1800,CBIC_Late_Fee_Relief_Windows_1!$E$100:$E$1800,"&gt;="&amp;B1800,CBIC_Late_Fee_Relief_Windows_1!$F$100:$F$1800,"&lt;="&amp;C1800,CBIC_Late_Fee_Relief_Windows_1!$G$100:$G$1800,"&gt;="&amp;C1800,CBIC_Late_Fee_Relief_Windows_1!$H$100:$H$1800,D1800)</f>
        <v>#NAME?</v>
      </c>
      <c r="H1800" t="e">
        <f t="shared" ca="1" si="28"/>
        <v>#NAME?</v>
      </c>
      <c r="I1800" t="e">
        <f ca="1">INDEX(CBIC_Late_Fee_Relief_Windows_1!$B$100:$B$1800,MATCH(G1800,CBIC_Late_Fee_Relief_Windows_1!$I$100:$I$1800,0))</f>
        <v>#NAME?</v>
      </c>
    </row>
    <row r="1801" spans="1:9" x14ac:dyDescent="0.55000000000000004">
      <c r="A1801" t="str">
        <f>TEST_DATA!A1801</f>
        <v>27AAAAA1801Z5</v>
      </c>
      <c r="B1801" t="str">
        <f>TEST_DATA!B1801</f>
        <v>Jun-2020</v>
      </c>
      <c r="C1801">
        <f>TEST_DATA!C1801</f>
        <v>44629</v>
      </c>
      <c r="D1801" t="str">
        <f>TEST_DATA!D1801</f>
        <v>NON-NIL</v>
      </c>
      <c r="E1801">
        <f>TEST_DATA!E1801</f>
        <v>1075</v>
      </c>
      <c r="F1801">
        <f>MIN(E1801*180100,10000)</f>
        <v>10000</v>
      </c>
      <c r="G1801" t="e">
        <f ca="1">_xludf.MINIFS(CBIC_Late_Fee_Relief_Windows_1!$I$100:$I$1801,CBIC_Late_Fee_Relief_Windows_1!$D$100:$D$1801,"&lt;="&amp;B1801,CBIC_Late_Fee_Relief_Windows_1!$E$100:$E$1801,"&gt;="&amp;B1801,CBIC_Late_Fee_Relief_Windows_1!$F$100:$F$1801,"&lt;="&amp;C1801,CBIC_Late_Fee_Relief_Windows_1!$G$100:$G$1801,"&gt;="&amp;C1801,CBIC_Late_Fee_Relief_Windows_1!$H$100:$H$1801,D1801)</f>
        <v>#NAME?</v>
      </c>
      <c r="H1801" t="e">
        <f t="shared" ca="1" si="28"/>
        <v>#NAME?</v>
      </c>
      <c r="I1801" t="e">
        <f ca="1">INDEX(CBIC_Late_Fee_Relief_Windows_1!$B$100:$B$1801,MATCH(G1801,CBIC_Late_Fee_Relief_Windows_1!$I$100:$I$1801,0))</f>
        <v>#NAME?</v>
      </c>
    </row>
    <row r="1802" spans="1:9" x14ac:dyDescent="0.55000000000000004">
      <c r="A1802" t="str">
        <f>TEST_DATA!A1802</f>
        <v>27AAAAA1802Z5</v>
      </c>
      <c r="B1802" t="str">
        <f>TEST_DATA!B1802</f>
        <v>Nov-2017</v>
      </c>
      <c r="C1802">
        <f>TEST_DATA!C1802</f>
        <v>44003</v>
      </c>
      <c r="D1802" t="str">
        <f>TEST_DATA!D1802</f>
        <v>NON-NIL</v>
      </c>
      <c r="E1802">
        <f>TEST_DATA!E1802</f>
        <v>48</v>
      </c>
      <c r="F1802">
        <f>MIN(E1802*180200,10000)</f>
        <v>10000</v>
      </c>
      <c r="G1802" t="e">
        <f ca="1">_xludf.MINIFS(CBIC_Late_Fee_Relief_Windows_1!$I$100:$I$1802,CBIC_Late_Fee_Relief_Windows_1!$D$100:$D$1802,"&lt;="&amp;B1802,CBIC_Late_Fee_Relief_Windows_1!$E$100:$E$1802,"&gt;="&amp;B1802,CBIC_Late_Fee_Relief_Windows_1!$F$100:$F$1802,"&lt;="&amp;C1802,CBIC_Late_Fee_Relief_Windows_1!$G$100:$G$1802,"&gt;="&amp;C1802,CBIC_Late_Fee_Relief_Windows_1!$H$100:$H$1802,D1802)</f>
        <v>#NAME?</v>
      </c>
      <c r="H1802" t="e">
        <f t="shared" ca="1" si="28"/>
        <v>#NAME?</v>
      </c>
      <c r="I1802" t="e">
        <f ca="1">INDEX(CBIC_Late_Fee_Relief_Windows_1!$B$100:$B$1802,MATCH(G1802,CBIC_Late_Fee_Relief_Windows_1!$I$100:$I$1802,0))</f>
        <v>#NAME?</v>
      </c>
    </row>
    <row r="1803" spans="1:9" x14ac:dyDescent="0.55000000000000004">
      <c r="A1803" t="str">
        <f>TEST_DATA!A1803</f>
        <v>27AAAAA1803Z5</v>
      </c>
      <c r="B1803" t="str">
        <f>TEST_DATA!B1803</f>
        <v>Apr-2018</v>
      </c>
      <c r="C1803">
        <f>TEST_DATA!C1803</f>
        <v>44549</v>
      </c>
      <c r="D1803" t="str">
        <f>TEST_DATA!D1803</f>
        <v>NON-NIL</v>
      </c>
      <c r="E1803">
        <f>TEST_DATA!E1803</f>
        <v>1564</v>
      </c>
      <c r="F1803">
        <f>MIN(E1803*180300,10000)</f>
        <v>10000</v>
      </c>
      <c r="G1803" t="e">
        <f ca="1">_xludf.MINIFS(CBIC_Late_Fee_Relief_Windows_1!$I$100:$I$1803,CBIC_Late_Fee_Relief_Windows_1!$D$100:$D$1803,"&lt;="&amp;B1803,CBIC_Late_Fee_Relief_Windows_1!$E$100:$E$1803,"&gt;="&amp;B1803,CBIC_Late_Fee_Relief_Windows_1!$F$100:$F$1803,"&lt;="&amp;C1803,CBIC_Late_Fee_Relief_Windows_1!$G$100:$G$1803,"&gt;="&amp;C1803,CBIC_Late_Fee_Relief_Windows_1!$H$100:$H$1803,D1803)</f>
        <v>#NAME?</v>
      </c>
      <c r="H1803" t="e">
        <f t="shared" ca="1" si="28"/>
        <v>#NAME?</v>
      </c>
      <c r="I1803" t="e">
        <f ca="1">INDEX(CBIC_Late_Fee_Relief_Windows_1!$B$100:$B$1803,MATCH(G1803,CBIC_Late_Fee_Relief_Windows_1!$I$100:$I$1803,0))</f>
        <v>#NAME?</v>
      </c>
    </row>
    <row r="1804" spans="1:9" x14ac:dyDescent="0.55000000000000004">
      <c r="A1804" t="str">
        <f>TEST_DATA!A1804</f>
        <v>27AAAAA1804Z5</v>
      </c>
      <c r="B1804" t="str">
        <f>TEST_DATA!B1804</f>
        <v>Jun-2020</v>
      </c>
      <c r="C1804">
        <f>TEST_DATA!C1804</f>
        <v>44477</v>
      </c>
      <c r="D1804" t="str">
        <f>TEST_DATA!D1804</f>
        <v>NIL</v>
      </c>
      <c r="E1804">
        <f>TEST_DATA!E1804</f>
        <v>398</v>
      </c>
      <c r="F1804">
        <f>MIN(E1804*180400,10000)</f>
        <v>10000</v>
      </c>
      <c r="G1804" t="e">
        <f ca="1">_xludf.MINIFS(CBIC_Late_Fee_Relief_Windows_1!$I$100:$I$1804,CBIC_Late_Fee_Relief_Windows_1!$D$100:$D$1804,"&lt;="&amp;B1804,CBIC_Late_Fee_Relief_Windows_1!$E$100:$E$1804,"&gt;="&amp;B1804,CBIC_Late_Fee_Relief_Windows_1!$F$100:$F$1804,"&lt;="&amp;C1804,CBIC_Late_Fee_Relief_Windows_1!$G$100:$G$1804,"&gt;="&amp;C1804,CBIC_Late_Fee_Relief_Windows_1!$H$100:$H$1804,D1804)</f>
        <v>#NAME?</v>
      </c>
      <c r="H1804" t="e">
        <f t="shared" ca="1" si="28"/>
        <v>#NAME?</v>
      </c>
      <c r="I1804" t="e">
        <f ca="1">INDEX(CBIC_Late_Fee_Relief_Windows_1!$B$100:$B$1804,MATCH(G1804,CBIC_Late_Fee_Relief_Windows_1!$I$100:$I$1804,0))</f>
        <v>#NAME?</v>
      </c>
    </row>
    <row r="1805" spans="1:9" x14ac:dyDescent="0.55000000000000004">
      <c r="A1805" t="str">
        <f>TEST_DATA!A1805</f>
        <v>27AAAAA1805Z5</v>
      </c>
      <c r="B1805" t="str">
        <f>TEST_DATA!B1805</f>
        <v>Dec-2019</v>
      </c>
      <c r="C1805">
        <f>TEST_DATA!C1805</f>
        <v>44915</v>
      </c>
      <c r="D1805" t="str">
        <f>TEST_DATA!D1805</f>
        <v>NON-NIL</v>
      </c>
      <c r="E1805">
        <f>TEST_DATA!E1805</f>
        <v>2500</v>
      </c>
      <c r="F1805">
        <f>MIN(E1805*180500,10000)</f>
        <v>10000</v>
      </c>
      <c r="G1805" t="e">
        <f ca="1">_xludf.MINIFS(CBIC_Late_Fee_Relief_Windows_1!$I$100:$I$1805,CBIC_Late_Fee_Relief_Windows_1!$D$100:$D$1805,"&lt;="&amp;B1805,CBIC_Late_Fee_Relief_Windows_1!$E$100:$E$1805,"&gt;="&amp;B1805,CBIC_Late_Fee_Relief_Windows_1!$F$100:$F$1805,"&lt;="&amp;C1805,CBIC_Late_Fee_Relief_Windows_1!$G$100:$G$1805,"&gt;="&amp;C1805,CBIC_Late_Fee_Relief_Windows_1!$H$100:$H$1805,D1805)</f>
        <v>#NAME?</v>
      </c>
      <c r="H1805" t="e">
        <f t="shared" ca="1" si="28"/>
        <v>#NAME?</v>
      </c>
      <c r="I1805" t="e">
        <f ca="1">INDEX(CBIC_Late_Fee_Relief_Windows_1!$B$100:$B$1805,MATCH(G1805,CBIC_Late_Fee_Relief_Windows_1!$I$100:$I$1805,0))</f>
        <v>#NAME?</v>
      </c>
    </row>
    <row r="1806" spans="1:9" x14ac:dyDescent="0.55000000000000004">
      <c r="A1806" t="str">
        <f>TEST_DATA!A1806</f>
        <v>27AAAAA1806Z5</v>
      </c>
      <c r="B1806" t="str">
        <f>TEST_DATA!B1806</f>
        <v>May-2020</v>
      </c>
      <c r="C1806">
        <f>TEST_DATA!C1806</f>
        <v>44389</v>
      </c>
      <c r="D1806" t="str">
        <f>TEST_DATA!D1806</f>
        <v>NON-NIL</v>
      </c>
      <c r="E1806">
        <f>TEST_DATA!E1806</f>
        <v>1107</v>
      </c>
      <c r="F1806">
        <f>MIN(E1806*180600,10000)</f>
        <v>10000</v>
      </c>
      <c r="G1806" t="e">
        <f ca="1">_xludf.MINIFS(CBIC_Late_Fee_Relief_Windows_1!$I$100:$I$1806,CBIC_Late_Fee_Relief_Windows_1!$D$100:$D$1806,"&lt;="&amp;B1806,CBIC_Late_Fee_Relief_Windows_1!$E$100:$E$1806,"&gt;="&amp;B1806,CBIC_Late_Fee_Relief_Windows_1!$F$100:$F$1806,"&lt;="&amp;C1806,CBIC_Late_Fee_Relief_Windows_1!$G$100:$G$1806,"&gt;="&amp;C1806,CBIC_Late_Fee_Relief_Windows_1!$H$100:$H$1806,D1806)</f>
        <v>#NAME?</v>
      </c>
      <c r="H1806" t="e">
        <f t="shared" ca="1" si="28"/>
        <v>#NAME?</v>
      </c>
      <c r="I1806" t="e">
        <f ca="1">INDEX(CBIC_Late_Fee_Relief_Windows_1!$B$100:$B$1806,MATCH(G1806,CBIC_Late_Fee_Relief_Windows_1!$I$100:$I$1806,0))</f>
        <v>#NAME?</v>
      </c>
    </row>
    <row r="1807" spans="1:9" x14ac:dyDescent="0.55000000000000004">
      <c r="A1807" t="str">
        <f>TEST_DATA!A1807</f>
        <v>27AAAAA1807Z5</v>
      </c>
      <c r="B1807" t="str">
        <f>TEST_DATA!B1807</f>
        <v>Mar-2018</v>
      </c>
      <c r="C1807">
        <f>TEST_DATA!C1807</f>
        <v>44560</v>
      </c>
      <c r="D1807" t="str">
        <f>TEST_DATA!D1807</f>
        <v>NIL</v>
      </c>
      <c r="E1807">
        <f>TEST_DATA!E1807</f>
        <v>1045</v>
      </c>
      <c r="F1807">
        <f>MIN(E1807*180700,10000)</f>
        <v>10000</v>
      </c>
      <c r="G1807" t="e">
        <f ca="1">_xludf.MINIFS(CBIC_Late_Fee_Relief_Windows_1!$I$100:$I$1807,CBIC_Late_Fee_Relief_Windows_1!$D$100:$D$1807,"&lt;="&amp;B1807,CBIC_Late_Fee_Relief_Windows_1!$E$100:$E$1807,"&gt;="&amp;B1807,CBIC_Late_Fee_Relief_Windows_1!$F$100:$F$1807,"&lt;="&amp;C1807,CBIC_Late_Fee_Relief_Windows_1!$G$100:$G$1807,"&gt;="&amp;C1807,CBIC_Late_Fee_Relief_Windows_1!$H$100:$H$1807,D1807)</f>
        <v>#NAME?</v>
      </c>
      <c r="H1807" t="e">
        <f t="shared" ca="1" si="28"/>
        <v>#NAME?</v>
      </c>
      <c r="I1807" t="e">
        <f ca="1">INDEX(CBIC_Late_Fee_Relief_Windows_1!$B$100:$B$1807,MATCH(G1807,CBIC_Late_Fee_Relief_Windows_1!$I$100:$I$1807,0))</f>
        <v>#NAME?</v>
      </c>
    </row>
    <row r="1808" spans="1:9" x14ac:dyDescent="0.55000000000000004">
      <c r="A1808" t="str">
        <f>TEST_DATA!A1808</f>
        <v>27AAAAA1808Z5</v>
      </c>
      <c r="B1808" t="str">
        <f>TEST_DATA!B1808</f>
        <v>May-2020</v>
      </c>
      <c r="C1808">
        <f>TEST_DATA!C1808</f>
        <v>44632</v>
      </c>
      <c r="D1808" t="str">
        <f>TEST_DATA!D1808</f>
        <v>NON-NIL</v>
      </c>
      <c r="E1808">
        <f>TEST_DATA!E1808</f>
        <v>2765</v>
      </c>
      <c r="F1808">
        <f>MIN(E1808*180800,10000)</f>
        <v>10000</v>
      </c>
      <c r="G1808" t="e">
        <f ca="1">_xludf.MINIFS(CBIC_Late_Fee_Relief_Windows_1!$I$100:$I$1808,CBIC_Late_Fee_Relief_Windows_1!$D$100:$D$1808,"&lt;="&amp;B1808,CBIC_Late_Fee_Relief_Windows_1!$E$100:$E$1808,"&gt;="&amp;B1808,CBIC_Late_Fee_Relief_Windows_1!$F$100:$F$1808,"&lt;="&amp;C1808,CBIC_Late_Fee_Relief_Windows_1!$G$100:$G$1808,"&gt;="&amp;C1808,CBIC_Late_Fee_Relief_Windows_1!$H$100:$H$1808,D1808)</f>
        <v>#NAME?</v>
      </c>
      <c r="H1808" t="e">
        <f t="shared" ca="1" si="28"/>
        <v>#NAME?</v>
      </c>
      <c r="I1808" t="e">
        <f ca="1">INDEX(CBIC_Late_Fee_Relief_Windows_1!$B$100:$B$1808,MATCH(G1808,CBIC_Late_Fee_Relief_Windows_1!$I$100:$I$1808,0))</f>
        <v>#NAME?</v>
      </c>
    </row>
    <row r="1809" spans="1:9" x14ac:dyDescent="0.55000000000000004">
      <c r="A1809" t="str">
        <f>TEST_DATA!A1809</f>
        <v>27AAAAA1809Z5</v>
      </c>
      <c r="B1809" t="str">
        <f>TEST_DATA!B1809</f>
        <v>Jan-2021</v>
      </c>
      <c r="C1809">
        <f>TEST_DATA!C1809</f>
        <v>44456</v>
      </c>
      <c r="D1809" t="str">
        <f>TEST_DATA!D1809</f>
        <v>NIL</v>
      </c>
      <c r="E1809">
        <f>TEST_DATA!E1809</f>
        <v>2129</v>
      </c>
      <c r="F1809">
        <f>MIN(E1809*180900,10000)</f>
        <v>10000</v>
      </c>
      <c r="G1809" t="e">
        <f ca="1">_xludf.MINIFS(CBIC_Late_Fee_Relief_Windows_1!$I$100:$I$1809,CBIC_Late_Fee_Relief_Windows_1!$D$100:$D$1809,"&lt;="&amp;B1809,CBIC_Late_Fee_Relief_Windows_1!$E$100:$E$1809,"&gt;="&amp;B1809,CBIC_Late_Fee_Relief_Windows_1!$F$100:$F$1809,"&lt;="&amp;C1809,CBIC_Late_Fee_Relief_Windows_1!$G$100:$G$1809,"&gt;="&amp;C1809,CBIC_Late_Fee_Relief_Windows_1!$H$100:$H$1809,D1809)</f>
        <v>#NAME?</v>
      </c>
      <c r="H1809" t="e">
        <f t="shared" ca="1" si="28"/>
        <v>#NAME?</v>
      </c>
      <c r="I1809" t="e">
        <f ca="1">INDEX(CBIC_Late_Fee_Relief_Windows_1!$B$100:$B$1809,MATCH(G1809,CBIC_Late_Fee_Relief_Windows_1!$I$100:$I$1809,0))</f>
        <v>#NAME?</v>
      </c>
    </row>
    <row r="1810" spans="1:9" x14ac:dyDescent="0.55000000000000004">
      <c r="A1810" t="str">
        <f>TEST_DATA!A1810</f>
        <v>27AAAAA1810Z5</v>
      </c>
      <c r="B1810" t="str">
        <f>TEST_DATA!B1810</f>
        <v>May-2018</v>
      </c>
      <c r="C1810">
        <f>TEST_DATA!C1810</f>
        <v>44304</v>
      </c>
      <c r="D1810" t="str">
        <f>TEST_DATA!D1810</f>
        <v>NIL</v>
      </c>
      <c r="E1810">
        <f>TEST_DATA!E1810</f>
        <v>1283</v>
      </c>
      <c r="F1810">
        <f>MIN(E1810*181000,10000)</f>
        <v>10000</v>
      </c>
      <c r="G1810" t="e">
        <f ca="1">_xludf.MINIFS(CBIC_Late_Fee_Relief_Windows_1!$I$100:$I$1810,CBIC_Late_Fee_Relief_Windows_1!$D$100:$D$1810,"&lt;="&amp;B1810,CBIC_Late_Fee_Relief_Windows_1!$E$100:$E$1810,"&gt;="&amp;B1810,CBIC_Late_Fee_Relief_Windows_1!$F$100:$F$1810,"&lt;="&amp;C1810,CBIC_Late_Fee_Relief_Windows_1!$G$100:$G$1810,"&gt;="&amp;C1810,CBIC_Late_Fee_Relief_Windows_1!$H$100:$H$1810,D1810)</f>
        <v>#NAME?</v>
      </c>
      <c r="H1810" t="e">
        <f t="shared" ca="1" si="28"/>
        <v>#NAME?</v>
      </c>
      <c r="I1810" t="e">
        <f ca="1">INDEX(CBIC_Late_Fee_Relief_Windows_1!$B$100:$B$1810,MATCH(G1810,CBIC_Late_Fee_Relief_Windows_1!$I$100:$I$1810,0))</f>
        <v>#NAME?</v>
      </c>
    </row>
    <row r="1811" spans="1:9" x14ac:dyDescent="0.55000000000000004">
      <c r="A1811" t="str">
        <f>TEST_DATA!A1811</f>
        <v>27AAAAA1811Z5</v>
      </c>
      <c r="B1811" t="str">
        <f>TEST_DATA!B1811</f>
        <v>Dec-2019</v>
      </c>
      <c r="C1811">
        <f>TEST_DATA!C1811</f>
        <v>43509</v>
      </c>
      <c r="D1811" t="str">
        <f>TEST_DATA!D1811</f>
        <v>NIL</v>
      </c>
      <c r="E1811">
        <f>TEST_DATA!E1811</f>
        <v>278</v>
      </c>
      <c r="F1811">
        <f>MIN(E1811*181100,10000)</f>
        <v>10000</v>
      </c>
      <c r="G1811" t="e">
        <f ca="1">_xludf.MINIFS(CBIC_Late_Fee_Relief_Windows_1!$I$100:$I$1811,CBIC_Late_Fee_Relief_Windows_1!$D$100:$D$1811,"&lt;="&amp;B1811,CBIC_Late_Fee_Relief_Windows_1!$E$100:$E$1811,"&gt;="&amp;B1811,CBIC_Late_Fee_Relief_Windows_1!$F$100:$F$1811,"&lt;="&amp;C1811,CBIC_Late_Fee_Relief_Windows_1!$G$100:$G$1811,"&gt;="&amp;C1811,CBIC_Late_Fee_Relief_Windows_1!$H$100:$H$1811,D1811)</f>
        <v>#NAME?</v>
      </c>
      <c r="H1811" t="e">
        <f t="shared" ca="1" si="28"/>
        <v>#NAME?</v>
      </c>
      <c r="I1811" t="e">
        <f ca="1">INDEX(CBIC_Late_Fee_Relief_Windows_1!$B$100:$B$1811,MATCH(G1811,CBIC_Late_Fee_Relief_Windows_1!$I$100:$I$1811,0))</f>
        <v>#NAME?</v>
      </c>
    </row>
    <row r="1812" spans="1:9" x14ac:dyDescent="0.55000000000000004">
      <c r="A1812" t="str">
        <f>TEST_DATA!A1812</f>
        <v>27AAAAA1812Z5</v>
      </c>
      <c r="B1812" t="str">
        <f>TEST_DATA!B1812</f>
        <v>Jul-2017</v>
      </c>
      <c r="C1812">
        <f>TEST_DATA!C1812</f>
        <v>43759</v>
      </c>
      <c r="D1812" t="str">
        <f>TEST_DATA!D1812</f>
        <v>NIL</v>
      </c>
      <c r="E1812">
        <f>TEST_DATA!E1812</f>
        <v>2151</v>
      </c>
      <c r="F1812">
        <f>MIN(E1812*181200,10000)</f>
        <v>10000</v>
      </c>
      <c r="G1812" t="e">
        <f ca="1">_xludf.MINIFS(CBIC_Late_Fee_Relief_Windows_1!$I$100:$I$1812,CBIC_Late_Fee_Relief_Windows_1!$D$100:$D$1812,"&lt;="&amp;B1812,CBIC_Late_Fee_Relief_Windows_1!$E$100:$E$1812,"&gt;="&amp;B1812,CBIC_Late_Fee_Relief_Windows_1!$F$100:$F$1812,"&lt;="&amp;C1812,CBIC_Late_Fee_Relief_Windows_1!$G$100:$G$1812,"&gt;="&amp;C1812,CBIC_Late_Fee_Relief_Windows_1!$H$100:$H$1812,D1812)</f>
        <v>#NAME?</v>
      </c>
      <c r="H1812" t="e">
        <f t="shared" ca="1" si="28"/>
        <v>#NAME?</v>
      </c>
      <c r="I1812" t="e">
        <f ca="1">INDEX(CBIC_Late_Fee_Relief_Windows_1!$B$100:$B$1812,MATCH(G1812,CBIC_Late_Fee_Relief_Windows_1!$I$100:$I$1812,0))</f>
        <v>#NAME?</v>
      </c>
    </row>
    <row r="1813" spans="1:9" x14ac:dyDescent="0.55000000000000004">
      <c r="A1813" t="str">
        <f>TEST_DATA!A1813</f>
        <v>27AAAAA1813Z5</v>
      </c>
      <c r="B1813" t="str">
        <f>TEST_DATA!B1813</f>
        <v>Oct-2017</v>
      </c>
      <c r="C1813">
        <f>TEST_DATA!C1813</f>
        <v>44320</v>
      </c>
      <c r="D1813" t="str">
        <f>TEST_DATA!D1813</f>
        <v>NON-NIL</v>
      </c>
      <c r="E1813">
        <f>TEST_DATA!E1813</f>
        <v>1439</v>
      </c>
      <c r="F1813">
        <f>MIN(E1813*181300,10000)</f>
        <v>10000</v>
      </c>
      <c r="G1813" t="e">
        <f ca="1">_xludf.MINIFS(CBIC_Late_Fee_Relief_Windows_1!$I$100:$I$1813,CBIC_Late_Fee_Relief_Windows_1!$D$100:$D$1813,"&lt;="&amp;B1813,CBIC_Late_Fee_Relief_Windows_1!$E$100:$E$1813,"&gt;="&amp;B1813,CBIC_Late_Fee_Relief_Windows_1!$F$100:$F$1813,"&lt;="&amp;C1813,CBIC_Late_Fee_Relief_Windows_1!$G$100:$G$1813,"&gt;="&amp;C1813,CBIC_Late_Fee_Relief_Windows_1!$H$100:$H$1813,D1813)</f>
        <v>#NAME?</v>
      </c>
      <c r="H1813" t="e">
        <f t="shared" ca="1" si="28"/>
        <v>#NAME?</v>
      </c>
      <c r="I1813" t="e">
        <f ca="1">INDEX(CBIC_Late_Fee_Relief_Windows_1!$B$100:$B$1813,MATCH(G1813,CBIC_Late_Fee_Relief_Windows_1!$I$100:$I$1813,0))</f>
        <v>#NAME?</v>
      </c>
    </row>
    <row r="1814" spans="1:9" x14ac:dyDescent="0.55000000000000004">
      <c r="A1814" t="str">
        <f>TEST_DATA!A1814</f>
        <v>27AAAAA1814Z5</v>
      </c>
      <c r="B1814" t="str">
        <f>TEST_DATA!B1814</f>
        <v>Feb-2018</v>
      </c>
      <c r="C1814">
        <f>TEST_DATA!C1814</f>
        <v>44402</v>
      </c>
      <c r="D1814" t="str">
        <f>TEST_DATA!D1814</f>
        <v>NON-NIL</v>
      </c>
      <c r="E1814">
        <f>TEST_DATA!E1814</f>
        <v>1031</v>
      </c>
      <c r="F1814">
        <f>MIN(E1814*181400,10000)</f>
        <v>10000</v>
      </c>
      <c r="G1814" t="e">
        <f ca="1">_xludf.MINIFS(CBIC_Late_Fee_Relief_Windows_1!$I$100:$I$1814,CBIC_Late_Fee_Relief_Windows_1!$D$100:$D$1814,"&lt;="&amp;B1814,CBIC_Late_Fee_Relief_Windows_1!$E$100:$E$1814,"&gt;="&amp;B1814,CBIC_Late_Fee_Relief_Windows_1!$F$100:$F$1814,"&lt;="&amp;C1814,CBIC_Late_Fee_Relief_Windows_1!$G$100:$G$1814,"&gt;="&amp;C1814,CBIC_Late_Fee_Relief_Windows_1!$H$100:$H$1814,D1814)</f>
        <v>#NAME?</v>
      </c>
      <c r="H1814" t="e">
        <f t="shared" ca="1" si="28"/>
        <v>#NAME?</v>
      </c>
      <c r="I1814" t="e">
        <f ca="1">INDEX(CBIC_Late_Fee_Relief_Windows_1!$B$100:$B$1814,MATCH(G1814,CBIC_Late_Fee_Relief_Windows_1!$I$100:$I$1814,0))</f>
        <v>#NAME?</v>
      </c>
    </row>
    <row r="1815" spans="1:9" x14ac:dyDescent="0.55000000000000004">
      <c r="A1815" t="str">
        <f>TEST_DATA!A1815</f>
        <v>27AAAAA1815Z5</v>
      </c>
      <c r="B1815" t="str">
        <f>TEST_DATA!B1815</f>
        <v>Jan-2018</v>
      </c>
      <c r="C1815">
        <f>TEST_DATA!C1815</f>
        <v>42986</v>
      </c>
      <c r="D1815" t="str">
        <f>TEST_DATA!D1815</f>
        <v>NIL</v>
      </c>
      <c r="E1815">
        <f>TEST_DATA!E1815</f>
        <v>2537</v>
      </c>
      <c r="F1815">
        <f>MIN(E1815*181500,10000)</f>
        <v>10000</v>
      </c>
      <c r="G1815" t="e">
        <f ca="1">_xludf.MINIFS(CBIC_Late_Fee_Relief_Windows_1!$I$100:$I$1815,CBIC_Late_Fee_Relief_Windows_1!$D$100:$D$1815,"&lt;="&amp;B1815,CBIC_Late_Fee_Relief_Windows_1!$E$100:$E$1815,"&gt;="&amp;B1815,CBIC_Late_Fee_Relief_Windows_1!$F$100:$F$1815,"&lt;="&amp;C1815,CBIC_Late_Fee_Relief_Windows_1!$G$100:$G$1815,"&gt;="&amp;C1815,CBIC_Late_Fee_Relief_Windows_1!$H$100:$H$1815,D1815)</f>
        <v>#NAME?</v>
      </c>
      <c r="H1815" t="e">
        <f t="shared" ca="1" si="28"/>
        <v>#NAME?</v>
      </c>
      <c r="I1815" t="e">
        <f ca="1">INDEX(CBIC_Late_Fee_Relief_Windows_1!$B$100:$B$1815,MATCH(G1815,CBIC_Late_Fee_Relief_Windows_1!$I$100:$I$1815,0))</f>
        <v>#NAME?</v>
      </c>
    </row>
    <row r="1816" spans="1:9" x14ac:dyDescent="0.55000000000000004">
      <c r="A1816" t="str">
        <f>TEST_DATA!A1816</f>
        <v>27AAAAA1816Z5</v>
      </c>
      <c r="B1816" t="str">
        <f>TEST_DATA!B1816</f>
        <v>Sep-2017</v>
      </c>
      <c r="C1816">
        <f>TEST_DATA!C1816</f>
        <v>43033</v>
      </c>
      <c r="D1816" t="str">
        <f>TEST_DATA!D1816</f>
        <v>NIL</v>
      </c>
      <c r="E1816">
        <f>TEST_DATA!E1816</f>
        <v>2455</v>
      </c>
      <c r="F1816">
        <f>MIN(E1816*181600,10000)</f>
        <v>10000</v>
      </c>
      <c r="G1816" t="e">
        <f ca="1">_xludf.MINIFS(CBIC_Late_Fee_Relief_Windows_1!$I$100:$I$1816,CBIC_Late_Fee_Relief_Windows_1!$D$100:$D$1816,"&lt;="&amp;B1816,CBIC_Late_Fee_Relief_Windows_1!$E$100:$E$1816,"&gt;="&amp;B1816,CBIC_Late_Fee_Relief_Windows_1!$F$100:$F$1816,"&lt;="&amp;C1816,CBIC_Late_Fee_Relief_Windows_1!$G$100:$G$1816,"&gt;="&amp;C1816,CBIC_Late_Fee_Relief_Windows_1!$H$100:$H$1816,D1816)</f>
        <v>#NAME?</v>
      </c>
      <c r="H1816" t="e">
        <f t="shared" ca="1" si="28"/>
        <v>#NAME?</v>
      </c>
      <c r="I1816" t="e">
        <f ca="1">INDEX(CBIC_Late_Fee_Relief_Windows_1!$B$100:$B$1816,MATCH(G1816,CBIC_Late_Fee_Relief_Windows_1!$I$100:$I$1816,0))</f>
        <v>#NAME?</v>
      </c>
    </row>
    <row r="1817" spans="1:9" x14ac:dyDescent="0.55000000000000004">
      <c r="A1817" t="str">
        <f>TEST_DATA!A1817</f>
        <v>27AAAAA1817Z5</v>
      </c>
      <c r="B1817" t="str">
        <f>TEST_DATA!B1817</f>
        <v>May-2020</v>
      </c>
      <c r="C1817">
        <f>TEST_DATA!C1817</f>
        <v>44080</v>
      </c>
      <c r="D1817" t="str">
        <f>TEST_DATA!D1817</f>
        <v>NIL</v>
      </c>
      <c r="E1817">
        <f>TEST_DATA!E1817</f>
        <v>353</v>
      </c>
      <c r="F1817">
        <f>MIN(E1817*181700,10000)</f>
        <v>10000</v>
      </c>
      <c r="G1817" t="e">
        <f ca="1">_xludf.MINIFS(CBIC_Late_Fee_Relief_Windows_1!$I$100:$I$1817,CBIC_Late_Fee_Relief_Windows_1!$D$100:$D$1817,"&lt;="&amp;B1817,CBIC_Late_Fee_Relief_Windows_1!$E$100:$E$1817,"&gt;="&amp;B1817,CBIC_Late_Fee_Relief_Windows_1!$F$100:$F$1817,"&lt;="&amp;C1817,CBIC_Late_Fee_Relief_Windows_1!$G$100:$G$1817,"&gt;="&amp;C1817,CBIC_Late_Fee_Relief_Windows_1!$H$100:$H$1817,D1817)</f>
        <v>#NAME?</v>
      </c>
      <c r="H1817" t="e">
        <f t="shared" ca="1" si="28"/>
        <v>#NAME?</v>
      </c>
      <c r="I1817" t="e">
        <f ca="1">INDEX(CBIC_Late_Fee_Relief_Windows_1!$B$100:$B$1817,MATCH(G1817,CBIC_Late_Fee_Relief_Windows_1!$I$100:$I$1817,0))</f>
        <v>#NAME?</v>
      </c>
    </row>
    <row r="1818" spans="1:9" x14ac:dyDescent="0.55000000000000004">
      <c r="A1818" t="str">
        <f>TEST_DATA!A1818</f>
        <v>27AAAAA1818Z5</v>
      </c>
      <c r="B1818" t="str">
        <f>TEST_DATA!B1818</f>
        <v>Mar-2023</v>
      </c>
      <c r="C1818">
        <f>TEST_DATA!C1818</f>
        <v>43998</v>
      </c>
      <c r="D1818" t="str">
        <f>TEST_DATA!D1818</f>
        <v>NON-NIL</v>
      </c>
      <c r="E1818">
        <f>TEST_DATA!E1818</f>
        <v>2688</v>
      </c>
      <c r="F1818">
        <f>MIN(E1818*181800,10000)</f>
        <v>10000</v>
      </c>
      <c r="G1818" t="e">
        <f ca="1">_xludf.MINIFS(CBIC_Late_Fee_Relief_Windows_1!$I$100:$I$1818,CBIC_Late_Fee_Relief_Windows_1!$D$100:$D$1818,"&lt;="&amp;B1818,CBIC_Late_Fee_Relief_Windows_1!$E$100:$E$1818,"&gt;="&amp;B1818,CBIC_Late_Fee_Relief_Windows_1!$F$100:$F$1818,"&lt;="&amp;C1818,CBIC_Late_Fee_Relief_Windows_1!$G$100:$G$1818,"&gt;="&amp;C1818,CBIC_Late_Fee_Relief_Windows_1!$H$100:$H$1818,D1818)</f>
        <v>#NAME?</v>
      </c>
      <c r="H1818" t="e">
        <f t="shared" ca="1" si="28"/>
        <v>#NAME?</v>
      </c>
      <c r="I1818" t="e">
        <f ca="1">INDEX(CBIC_Late_Fee_Relief_Windows_1!$B$100:$B$1818,MATCH(G1818,CBIC_Late_Fee_Relief_Windows_1!$I$100:$I$1818,0))</f>
        <v>#NAME?</v>
      </c>
    </row>
    <row r="1819" spans="1:9" x14ac:dyDescent="0.55000000000000004">
      <c r="A1819" t="str">
        <f>TEST_DATA!A1819</f>
        <v>27AAAAA1819Z5</v>
      </c>
      <c r="B1819" t="str">
        <f>TEST_DATA!B1819</f>
        <v>Mar-2021</v>
      </c>
      <c r="C1819">
        <f>TEST_DATA!C1819</f>
        <v>45784</v>
      </c>
      <c r="D1819" t="str">
        <f>TEST_DATA!D1819</f>
        <v>NIL</v>
      </c>
      <c r="E1819">
        <f>TEST_DATA!E1819</f>
        <v>454</v>
      </c>
      <c r="F1819">
        <f>MIN(E1819*181900,10000)</f>
        <v>10000</v>
      </c>
      <c r="G1819" t="e">
        <f ca="1">_xludf.MINIFS(CBIC_Late_Fee_Relief_Windows_1!$I$100:$I$1819,CBIC_Late_Fee_Relief_Windows_1!$D$100:$D$1819,"&lt;="&amp;B1819,CBIC_Late_Fee_Relief_Windows_1!$E$100:$E$1819,"&gt;="&amp;B1819,CBIC_Late_Fee_Relief_Windows_1!$F$100:$F$1819,"&lt;="&amp;C1819,CBIC_Late_Fee_Relief_Windows_1!$G$100:$G$1819,"&gt;="&amp;C1819,CBIC_Late_Fee_Relief_Windows_1!$H$100:$H$1819,D1819)</f>
        <v>#NAME?</v>
      </c>
      <c r="H1819" t="e">
        <f t="shared" ca="1" si="28"/>
        <v>#NAME?</v>
      </c>
      <c r="I1819" t="e">
        <f ca="1">INDEX(CBIC_Late_Fee_Relief_Windows_1!$B$100:$B$1819,MATCH(G1819,CBIC_Late_Fee_Relief_Windows_1!$I$100:$I$1819,0))</f>
        <v>#NAME?</v>
      </c>
    </row>
    <row r="1820" spans="1:9" x14ac:dyDescent="0.55000000000000004">
      <c r="A1820" t="str">
        <f>TEST_DATA!A1820</f>
        <v>27AAAAA1820Z5</v>
      </c>
      <c r="B1820" t="str">
        <f>TEST_DATA!B1820</f>
        <v>Jul-2020</v>
      </c>
      <c r="C1820">
        <f>TEST_DATA!C1820</f>
        <v>44208</v>
      </c>
      <c r="D1820" t="str">
        <f>TEST_DATA!D1820</f>
        <v>NON-NIL</v>
      </c>
      <c r="E1820">
        <f>TEST_DATA!E1820</f>
        <v>1206</v>
      </c>
      <c r="F1820">
        <f>MIN(E1820*182000,10000)</f>
        <v>10000</v>
      </c>
      <c r="G1820" t="e">
        <f ca="1">_xludf.MINIFS(CBIC_Late_Fee_Relief_Windows_1!$I$100:$I$1820,CBIC_Late_Fee_Relief_Windows_1!$D$100:$D$1820,"&lt;="&amp;B1820,CBIC_Late_Fee_Relief_Windows_1!$E$100:$E$1820,"&gt;="&amp;B1820,CBIC_Late_Fee_Relief_Windows_1!$F$100:$F$1820,"&lt;="&amp;C1820,CBIC_Late_Fee_Relief_Windows_1!$G$100:$G$1820,"&gt;="&amp;C1820,CBIC_Late_Fee_Relief_Windows_1!$H$100:$H$1820,D1820)</f>
        <v>#NAME?</v>
      </c>
      <c r="H1820" t="e">
        <f t="shared" ca="1" si="28"/>
        <v>#NAME?</v>
      </c>
      <c r="I1820" t="e">
        <f ca="1">INDEX(CBIC_Late_Fee_Relief_Windows_1!$B$100:$B$1820,MATCH(G1820,CBIC_Late_Fee_Relief_Windows_1!$I$100:$I$1820,0))</f>
        <v>#NAME?</v>
      </c>
    </row>
    <row r="1821" spans="1:9" x14ac:dyDescent="0.55000000000000004">
      <c r="A1821" t="str">
        <f>TEST_DATA!A1821</f>
        <v>27AAAAA1821Z5</v>
      </c>
      <c r="B1821" t="str">
        <f>TEST_DATA!B1821</f>
        <v>Sep-2018</v>
      </c>
      <c r="C1821">
        <f>TEST_DATA!C1821</f>
        <v>44269</v>
      </c>
      <c r="D1821" t="str">
        <f>TEST_DATA!D1821</f>
        <v>NIL</v>
      </c>
      <c r="E1821">
        <f>TEST_DATA!E1821</f>
        <v>2616</v>
      </c>
      <c r="F1821">
        <f>MIN(E1821*182100,10000)</f>
        <v>10000</v>
      </c>
      <c r="G1821" t="e">
        <f ca="1">_xludf.MINIFS(CBIC_Late_Fee_Relief_Windows_1!$I$100:$I$1821,CBIC_Late_Fee_Relief_Windows_1!$D$100:$D$1821,"&lt;="&amp;B1821,CBIC_Late_Fee_Relief_Windows_1!$E$100:$E$1821,"&gt;="&amp;B1821,CBIC_Late_Fee_Relief_Windows_1!$F$100:$F$1821,"&lt;="&amp;C1821,CBIC_Late_Fee_Relief_Windows_1!$G$100:$G$1821,"&gt;="&amp;C1821,CBIC_Late_Fee_Relief_Windows_1!$H$100:$H$1821,D1821)</f>
        <v>#NAME?</v>
      </c>
      <c r="H1821" t="e">
        <f t="shared" ca="1" si="28"/>
        <v>#NAME?</v>
      </c>
      <c r="I1821" t="e">
        <f ca="1">INDEX(CBIC_Late_Fee_Relief_Windows_1!$B$100:$B$1821,MATCH(G1821,CBIC_Late_Fee_Relief_Windows_1!$I$100:$I$1821,0))</f>
        <v>#NAME?</v>
      </c>
    </row>
    <row r="1822" spans="1:9" x14ac:dyDescent="0.55000000000000004">
      <c r="A1822" t="str">
        <f>TEST_DATA!A1822</f>
        <v>27AAAAA1822Z5</v>
      </c>
      <c r="B1822" t="str">
        <f>TEST_DATA!B1822</f>
        <v>Sep-2018</v>
      </c>
      <c r="C1822">
        <f>TEST_DATA!C1822</f>
        <v>43483</v>
      </c>
      <c r="D1822" t="str">
        <f>TEST_DATA!D1822</f>
        <v>NON-NIL</v>
      </c>
      <c r="E1822">
        <f>TEST_DATA!E1822</f>
        <v>2835</v>
      </c>
      <c r="F1822">
        <f>MIN(E1822*182200,10000)</f>
        <v>10000</v>
      </c>
      <c r="G1822" t="e">
        <f ca="1">_xludf.MINIFS(CBIC_Late_Fee_Relief_Windows_1!$I$100:$I$1822,CBIC_Late_Fee_Relief_Windows_1!$D$100:$D$1822,"&lt;="&amp;B1822,CBIC_Late_Fee_Relief_Windows_1!$E$100:$E$1822,"&gt;="&amp;B1822,CBIC_Late_Fee_Relief_Windows_1!$F$100:$F$1822,"&lt;="&amp;C1822,CBIC_Late_Fee_Relief_Windows_1!$G$100:$G$1822,"&gt;="&amp;C1822,CBIC_Late_Fee_Relief_Windows_1!$H$100:$H$1822,D1822)</f>
        <v>#NAME?</v>
      </c>
      <c r="H1822" t="e">
        <f t="shared" ca="1" si="28"/>
        <v>#NAME?</v>
      </c>
      <c r="I1822" t="e">
        <f ca="1">INDEX(CBIC_Late_Fee_Relief_Windows_1!$B$100:$B$1822,MATCH(G1822,CBIC_Late_Fee_Relief_Windows_1!$I$100:$I$1822,0))</f>
        <v>#NAME?</v>
      </c>
    </row>
    <row r="1823" spans="1:9" x14ac:dyDescent="0.55000000000000004">
      <c r="A1823" t="str">
        <f>TEST_DATA!A1823</f>
        <v>27AAAAA1823Z5</v>
      </c>
      <c r="B1823" t="str">
        <f>TEST_DATA!B1823</f>
        <v>Dec-2024</v>
      </c>
      <c r="C1823">
        <f>TEST_DATA!C1823</f>
        <v>44790</v>
      </c>
      <c r="D1823" t="str">
        <f>TEST_DATA!D1823</f>
        <v>NON-NIL</v>
      </c>
      <c r="E1823">
        <f>TEST_DATA!E1823</f>
        <v>663</v>
      </c>
      <c r="F1823">
        <f>MIN(E1823*182300,10000)</f>
        <v>10000</v>
      </c>
      <c r="G1823" t="e">
        <f ca="1">_xludf.MINIFS(CBIC_Late_Fee_Relief_Windows_1!$I$100:$I$1823,CBIC_Late_Fee_Relief_Windows_1!$D$100:$D$1823,"&lt;="&amp;B1823,CBIC_Late_Fee_Relief_Windows_1!$E$100:$E$1823,"&gt;="&amp;B1823,CBIC_Late_Fee_Relief_Windows_1!$F$100:$F$1823,"&lt;="&amp;C1823,CBIC_Late_Fee_Relief_Windows_1!$G$100:$G$1823,"&gt;="&amp;C1823,CBIC_Late_Fee_Relief_Windows_1!$H$100:$H$1823,D1823)</f>
        <v>#NAME?</v>
      </c>
      <c r="H1823" t="e">
        <f t="shared" ca="1" si="28"/>
        <v>#NAME?</v>
      </c>
      <c r="I1823" t="e">
        <f ca="1">INDEX(CBIC_Late_Fee_Relief_Windows_1!$B$100:$B$1823,MATCH(G1823,CBIC_Late_Fee_Relief_Windows_1!$I$100:$I$1823,0))</f>
        <v>#NAME?</v>
      </c>
    </row>
    <row r="1824" spans="1:9" x14ac:dyDescent="0.55000000000000004">
      <c r="A1824" t="str">
        <f>TEST_DATA!A1824</f>
        <v>27AAAAA1824Z5</v>
      </c>
      <c r="B1824" t="str">
        <f>TEST_DATA!B1824</f>
        <v>Mar-2021</v>
      </c>
      <c r="C1824">
        <f>TEST_DATA!C1824</f>
        <v>43769</v>
      </c>
      <c r="D1824" t="str">
        <f>TEST_DATA!D1824</f>
        <v>NON-NIL</v>
      </c>
      <c r="E1824">
        <f>TEST_DATA!E1824</f>
        <v>255</v>
      </c>
      <c r="F1824">
        <f>MIN(E1824*182400,10000)</f>
        <v>10000</v>
      </c>
      <c r="G1824" t="e">
        <f ca="1">_xludf.MINIFS(CBIC_Late_Fee_Relief_Windows_1!$I$100:$I$1824,CBIC_Late_Fee_Relief_Windows_1!$D$100:$D$1824,"&lt;="&amp;B1824,CBIC_Late_Fee_Relief_Windows_1!$E$100:$E$1824,"&gt;="&amp;B1824,CBIC_Late_Fee_Relief_Windows_1!$F$100:$F$1824,"&lt;="&amp;C1824,CBIC_Late_Fee_Relief_Windows_1!$G$100:$G$1824,"&gt;="&amp;C1824,CBIC_Late_Fee_Relief_Windows_1!$H$100:$H$1824,D1824)</f>
        <v>#NAME?</v>
      </c>
      <c r="H1824" t="e">
        <f t="shared" ca="1" si="28"/>
        <v>#NAME?</v>
      </c>
      <c r="I1824" t="e">
        <f ca="1">INDEX(CBIC_Late_Fee_Relief_Windows_1!$B$100:$B$1824,MATCH(G1824,CBIC_Late_Fee_Relief_Windows_1!$I$100:$I$1824,0))</f>
        <v>#NAME?</v>
      </c>
    </row>
    <row r="1825" spans="1:9" x14ac:dyDescent="0.55000000000000004">
      <c r="A1825" t="str">
        <f>TEST_DATA!A1825</f>
        <v>27AAAAA1825Z5</v>
      </c>
      <c r="B1825" t="str">
        <f>TEST_DATA!B1825</f>
        <v>Jul-2018</v>
      </c>
      <c r="C1825">
        <f>TEST_DATA!C1825</f>
        <v>43712</v>
      </c>
      <c r="D1825" t="str">
        <f>TEST_DATA!D1825</f>
        <v>NON-NIL</v>
      </c>
      <c r="E1825">
        <f>TEST_DATA!E1825</f>
        <v>246</v>
      </c>
      <c r="F1825">
        <f>MIN(E1825*182500,10000)</f>
        <v>10000</v>
      </c>
      <c r="G1825" t="e">
        <f ca="1">_xludf.MINIFS(CBIC_Late_Fee_Relief_Windows_1!$I$100:$I$1825,CBIC_Late_Fee_Relief_Windows_1!$D$100:$D$1825,"&lt;="&amp;B1825,CBIC_Late_Fee_Relief_Windows_1!$E$100:$E$1825,"&gt;="&amp;B1825,CBIC_Late_Fee_Relief_Windows_1!$F$100:$F$1825,"&lt;="&amp;C1825,CBIC_Late_Fee_Relief_Windows_1!$G$100:$G$1825,"&gt;="&amp;C1825,CBIC_Late_Fee_Relief_Windows_1!$H$100:$H$1825,D1825)</f>
        <v>#NAME?</v>
      </c>
      <c r="H1825" t="e">
        <f t="shared" ca="1" si="28"/>
        <v>#NAME?</v>
      </c>
      <c r="I1825" t="e">
        <f ca="1">INDEX(CBIC_Late_Fee_Relief_Windows_1!$B$100:$B$1825,MATCH(G1825,CBIC_Late_Fee_Relief_Windows_1!$I$100:$I$1825,0))</f>
        <v>#NAME?</v>
      </c>
    </row>
    <row r="1826" spans="1:9" x14ac:dyDescent="0.55000000000000004">
      <c r="A1826" t="str">
        <f>TEST_DATA!A1826</f>
        <v>27AAAAA1826Z5</v>
      </c>
      <c r="B1826" t="str">
        <f>TEST_DATA!B1826</f>
        <v>Mar-2018</v>
      </c>
      <c r="C1826">
        <f>TEST_DATA!C1826</f>
        <v>43459</v>
      </c>
      <c r="D1826" t="str">
        <f>TEST_DATA!D1826</f>
        <v>NIL</v>
      </c>
      <c r="E1826">
        <f>TEST_DATA!E1826</f>
        <v>1804</v>
      </c>
      <c r="F1826">
        <f>MIN(E1826*182600,10000)</f>
        <v>10000</v>
      </c>
      <c r="G1826" t="e">
        <f ca="1">_xludf.MINIFS(CBIC_Late_Fee_Relief_Windows_1!$I$100:$I$1826,CBIC_Late_Fee_Relief_Windows_1!$D$100:$D$1826,"&lt;="&amp;B1826,CBIC_Late_Fee_Relief_Windows_1!$E$100:$E$1826,"&gt;="&amp;B1826,CBIC_Late_Fee_Relief_Windows_1!$F$100:$F$1826,"&lt;="&amp;C1826,CBIC_Late_Fee_Relief_Windows_1!$G$100:$G$1826,"&gt;="&amp;C1826,CBIC_Late_Fee_Relief_Windows_1!$H$100:$H$1826,D1826)</f>
        <v>#NAME?</v>
      </c>
      <c r="H1826" t="e">
        <f t="shared" ca="1" si="28"/>
        <v>#NAME?</v>
      </c>
      <c r="I1826" t="e">
        <f ca="1">INDEX(CBIC_Late_Fee_Relief_Windows_1!$B$100:$B$1826,MATCH(G1826,CBIC_Late_Fee_Relief_Windows_1!$I$100:$I$1826,0))</f>
        <v>#NAME?</v>
      </c>
    </row>
    <row r="1827" spans="1:9" x14ac:dyDescent="0.55000000000000004">
      <c r="A1827" t="str">
        <f>TEST_DATA!A1827</f>
        <v>27AAAAA1827Z5</v>
      </c>
      <c r="B1827" t="str">
        <f>TEST_DATA!B1827</f>
        <v>Sep-2017</v>
      </c>
      <c r="C1827">
        <f>TEST_DATA!C1827</f>
        <v>43924</v>
      </c>
      <c r="D1827" t="str">
        <f>TEST_DATA!D1827</f>
        <v>NIL</v>
      </c>
      <c r="E1827">
        <f>TEST_DATA!E1827</f>
        <v>2499</v>
      </c>
      <c r="F1827">
        <f>MIN(E1827*182700,10000)</f>
        <v>10000</v>
      </c>
      <c r="G1827" t="e">
        <f ca="1">_xludf.MINIFS(CBIC_Late_Fee_Relief_Windows_1!$I$100:$I$1827,CBIC_Late_Fee_Relief_Windows_1!$D$100:$D$1827,"&lt;="&amp;B1827,CBIC_Late_Fee_Relief_Windows_1!$E$100:$E$1827,"&gt;="&amp;B1827,CBIC_Late_Fee_Relief_Windows_1!$F$100:$F$1827,"&lt;="&amp;C1827,CBIC_Late_Fee_Relief_Windows_1!$G$100:$G$1827,"&gt;="&amp;C1827,CBIC_Late_Fee_Relief_Windows_1!$H$100:$H$1827,D1827)</f>
        <v>#NAME?</v>
      </c>
      <c r="H1827" t="e">
        <f t="shared" ca="1" si="28"/>
        <v>#NAME?</v>
      </c>
      <c r="I1827" t="e">
        <f ca="1">INDEX(CBIC_Late_Fee_Relief_Windows_1!$B$100:$B$1827,MATCH(G1827,CBIC_Late_Fee_Relief_Windows_1!$I$100:$I$1827,0))</f>
        <v>#NAME?</v>
      </c>
    </row>
    <row r="1828" spans="1:9" x14ac:dyDescent="0.55000000000000004">
      <c r="A1828" t="str">
        <f>TEST_DATA!A1828</f>
        <v>27AAAAA1828Z5</v>
      </c>
      <c r="B1828" t="str">
        <f>TEST_DATA!B1828</f>
        <v>Jul-2018</v>
      </c>
      <c r="C1828">
        <f>TEST_DATA!C1828</f>
        <v>43282</v>
      </c>
      <c r="D1828" t="str">
        <f>TEST_DATA!D1828</f>
        <v>NON-NIL</v>
      </c>
      <c r="E1828">
        <f>TEST_DATA!E1828</f>
        <v>444</v>
      </c>
      <c r="F1828">
        <f>MIN(E1828*182800,10000)</f>
        <v>10000</v>
      </c>
      <c r="G1828" t="e">
        <f ca="1">_xludf.MINIFS(CBIC_Late_Fee_Relief_Windows_1!$I$100:$I$1828,CBIC_Late_Fee_Relief_Windows_1!$D$100:$D$1828,"&lt;="&amp;B1828,CBIC_Late_Fee_Relief_Windows_1!$E$100:$E$1828,"&gt;="&amp;B1828,CBIC_Late_Fee_Relief_Windows_1!$F$100:$F$1828,"&lt;="&amp;C1828,CBIC_Late_Fee_Relief_Windows_1!$G$100:$G$1828,"&gt;="&amp;C1828,CBIC_Late_Fee_Relief_Windows_1!$H$100:$H$1828,D1828)</f>
        <v>#NAME?</v>
      </c>
      <c r="H1828" t="e">
        <f t="shared" ca="1" si="28"/>
        <v>#NAME?</v>
      </c>
      <c r="I1828" t="e">
        <f ca="1">INDEX(CBIC_Late_Fee_Relief_Windows_1!$B$100:$B$1828,MATCH(G1828,CBIC_Late_Fee_Relief_Windows_1!$I$100:$I$1828,0))</f>
        <v>#NAME?</v>
      </c>
    </row>
    <row r="1829" spans="1:9" x14ac:dyDescent="0.55000000000000004">
      <c r="A1829" t="str">
        <f>TEST_DATA!A1829</f>
        <v>27AAAAA1829Z5</v>
      </c>
      <c r="B1829" t="str">
        <f>TEST_DATA!B1829</f>
        <v>Nov-2017</v>
      </c>
      <c r="C1829">
        <f>TEST_DATA!C1829</f>
        <v>44024</v>
      </c>
      <c r="D1829" t="str">
        <f>TEST_DATA!D1829</f>
        <v>NON-NIL</v>
      </c>
      <c r="E1829">
        <f>TEST_DATA!E1829</f>
        <v>894</v>
      </c>
      <c r="F1829">
        <f>MIN(E1829*182900,10000)</f>
        <v>10000</v>
      </c>
      <c r="G1829" t="e">
        <f ca="1">_xludf.MINIFS(CBIC_Late_Fee_Relief_Windows_1!$I$100:$I$1829,CBIC_Late_Fee_Relief_Windows_1!$D$100:$D$1829,"&lt;="&amp;B1829,CBIC_Late_Fee_Relief_Windows_1!$E$100:$E$1829,"&gt;="&amp;B1829,CBIC_Late_Fee_Relief_Windows_1!$F$100:$F$1829,"&lt;="&amp;C1829,CBIC_Late_Fee_Relief_Windows_1!$G$100:$G$1829,"&gt;="&amp;C1829,CBIC_Late_Fee_Relief_Windows_1!$H$100:$H$1829,D1829)</f>
        <v>#NAME?</v>
      </c>
      <c r="H1829" t="e">
        <f t="shared" ca="1" si="28"/>
        <v>#NAME?</v>
      </c>
      <c r="I1829" t="e">
        <f ca="1">INDEX(CBIC_Late_Fee_Relief_Windows_1!$B$100:$B$1829,MATCH(G1829,CBIC_Late_Fee_Relief_Windows_1!$I$100:$I$1829,0))</f>
        <v>#NAME?</v>
      </c>
    </row>
    <row r="1830" spans="1:9" x14ac:dyDescent="0.55000000000000004">
      <c r="A1830" t="str">
        <f>TEST_DATA!A1830</f>
        <v>27AAAAA1830Z5</v>
      </c>
      <c r="B1830" t="str">
        <f>TEST_DATA!B1830</f>
        <v>Apr-2020</v>
      </c>
      <c r="C1830">
        <f>TEST_DATA!C1830</f>
        <v>44048</v>
      </c>
      <c r="D1830" t="str">
        <f>TEST_DATA!D1830</f>
        <v>NON-NIL</v>
      </c>
      <c r="E1830">
        <f>TEST_DATA!E1830</f>
        <v>2930</v>
      </c>
      <c r="F1830">
        <f>MIN(E1830*183000,10000)</f>
        <v>10000</v>
      </c>
      <c r="G1830" t="e">
        <f ca="1">_xludf.MINIFS(CBIC_Late_Fee_Relief_Windows_1!$I$100:$I$1830,CBIC_Late_Fee_Relief_Windows_1!$D$100:$D$1830,"&lt;="&amp;B1830,CBIC_Late_Fee_Relief_Windows_1!$E$100:$E$1830,"&gt;="&amp;B1830,CBIC_Late_Fee_Relief_Windows_1!$F$100:$F$1830,"&lt;="&amp;C1830,CBIC_Late_Fee_Relief_Windows_1!$G$100:$G$1830,"&gt;="&amp;C1830,CBIC_Late_Fee_Relief_Windows_1!$H$100:$H$1830,D1830)</f>
        <v>#NAME?</v>
      </c>
      <c r="H1830" t="e">
        <f t="shared" ca="1" si="28"/>
        <v>#NAME?</v>
      </c>
      <c r="I1830" t="e">
        <f ca="1">INDEX(CBIC_Late_Fee_Relief_Windows_1!$B$100:$B$1830,MATCH(G1830,CBIC_Late_Fee_Relief_Windows_1!$I$100:$I$1830,0))</f>
        <v>#NAME?</v>
      </c>
    </row>
    <row r="1831" spans="1:9" x14ac:dyDescent="0.55000000000000004">
      <c r="A1831" t="str">
        <f>TEST_DATA!A1831</f>
        <v>27AAAAA1831Z5</v>
      </c>
      <c r="B1831" t="str">
        <f>TEST_DATA!B1831</f>
        <v>Mar-2018</v>
      </c>
      <c r="C1831">
        <f>TEST_DATA!C1831</f>
        <v>43128</v>
      </c>
      <c r="D1831" t="str">
        <f>TEST_DATA!D1831</f>
        <v>NIL</v>
      </c>
      <c r="E1831">
        <f>TEST_DATA!E1831</f>
        <v>298</v>
      </c>
      <c r="F1831">
        <f>MIN(E1831*183100,10000)</f>
        <v>10000</v>
      </c>
      <c r="G1831" t="e">
        <f ca="1">_xludf.MINIFS(CBIC_Late_Fee_Relief_Windows_1!$I$100:$I$1831,CBIC_Late_Fee_Relief_Windows_1!$D$100:$D$1831,"&lt;="&amp;B1831,CBIC_Late_Fee_Relief_Windows_1!$E$100:$E$1831,"&gt;="&amp;B1831,CBIC_Late_Fee_Relief_Windows_1!$F$100:$F$1831,"&lt;="&amp;C1831,CBIC_Late_Fee_Relief_Windows_1!$G$100:$G$1831,"&gt;="&amp;C1831,CBIC_Late_Fee_Relief_Windows_1!$H$100:$H$1831,D1831)</f>
        <v>#NAME?</v>
      </c>
      <c r="H1831" t="e">
        <f t="shared" ca="1" si="28"/>
        <v>#NAME?</v>
      </c>
      <c r="I1831" t="e">
        <f ca="1">INDEX(CBIC_Late_Fee_Relief_Windows_1!$B$100:$B$1831,MATCH(G1831,CBIC_Late_Fee_Relief_Windows_1!$I$100:$I$1831,0))</f>
        <v>#NAME?</v>
      </c>
    </row>
    <row r="1832" spans="1:9" x14ac:dyDescent="0.55000000000000004">
      <c r="A1832" t="str">
        <f>TEST_DATA!A1832</f>
        <v>27AAAAA1832Z5</v>
      </c>
      <c r="B1832" t="str">
        <f>TEST_DATA!B1832</f>
        <v>Sep-2017</v>
      </c>
      <c r="C1832">
        <f>TEST_DATA!C1832</f>
        <v>44087</v>
      </c>
      <c r="D1832" t="str">
        <f>TEST_DATA!D1832</f>
        <v>NON-NIL</v>
      </c>
      <c r="E1832">
        <f>TEST_DATA!E1832</f>
        <v>1826</v>
      </c>
      <c r="F1832">
        <f>MIN(E1832*183200,10000)</f>
        <v>10000</v>
      </c>
      <c r="G1832" t="e">
        <f ca="1">_xludf.MINIFS(CBIC_Late_Fee_Relief_Windows_1!$I$100:$I$1832,CBIC_Late_Fee_Relief_Windows_1!$D$100:$D$1832,"&lt;="&amp;B1832,CBIC_Late_Fee_Relief_Windows_1!$E$100:$E$1832,"&gt;="&amp;B1832,CBIC_Late_Fee_Relief_Windows_1!$F$100:$F$1832,"&lt;="&amp;C1832,CBIC_Late_Fee_Relief_Windows_1!$G$100:$G$1832,"&gt;="&amp;C1832,CBIC_Late_Fee_Relief_Windows_1!$H$100:$H$1832,D1832)</f>
        <v>#NAME?</v>
      </c>
      <c r="H1832" t="e">
        <f t="shared" ca="1" si="28"/>
        <v>#NAME?</v>
      </c>
      <c r="I1832" t="e">
        <f ca="1">INDEX(CBIC_Late_Fee_Relief_Windows_1!$B$100:$B$1832,MATCH(G1832,CBIC_Late_Fee_Relief_Windows_1!$I$100:$I$1832,0))</f>
        <v>#NAME?</v>
      </c>
    </row>
    <row r="1833" spans="1:9" x14ac:dyDescent="0.55000000000000004">
      <c r="A1833" t="str">
        <f>TEST_DATA!A1833</f>
        <v>27AAAAA1833Z5</v>
      </c>
      <c r="B1833" t="str">
        <f>TEST_DATA!B1833</f>
        <v>Jul-2017</v>
      </c>
      <c r="C1833">
        <f>TEST_DATA!C1833</f>
        <v>43936</v>
      </c>
      <c r="D1833" t="str">
        <f>TEST_DATA!D1833</f>
        <v>NIL</v>
      </c>
      <c r="E1833">
        <f>TEST_DATA!E1833</f>
        <v>2674</v>
      </c>
      <c r="F1833">
        <f>MIN(E1833*183300,10000)</f>
        <v>10000</v>
      </c>
      <c r="G1833" t="e">
        <f ca="1">_xludf.MINIFS(CBIC_Late_Fee_Relief_Windows_1!$I$100:$I$1833,CBIC_Late_Fee_Relief_Windows_1!$D$100:$D$1833,"&lt;="&amp;B1833,CBIC_Late_Fee_Relief_Windows_1!$E$100:$E$1833,"&gt;="&amp;B1833,CBIC_Late_Fee_Relief_Windows_1!$F$100:$F$1833,"&lt;="&amp;C1833,CBIC_Late_Fee_Relief_Windows_1!$G$100:$G$1833,"&gt;="&amp;C1833,CBIC_Late_Fee_Relief_Windows_1!$H$100:$H$1833,D1833)</f>
        <v>#NAME?</v>
      </c>
      <c r="H1833" t="e">
        <f t="shared" ca="1" si="28"/>
        <v>#NAME?</v>
      </c>
      <c r="I1833" t="e">
        <f ca="1">INDEX(CBIC_Late_Fee_Relief_Windows_1!$B$100:$B$1833,MATCH(G1833,CBIC_Late_Fee_Relief_Windows_1!$I$100:$I$1833,0))</f>
        <v>#NAME?</v>
      </c>
    </row>
    <row r="1834" spans="1:9" x14ac:dyDescent="0.55000000000000004">
      <c r="A1834" t="str">
        <f>TEST_DATA!A1834</f>
        <v>27AAAAA1834Z5</v>
      </c>
      <c r="B1834" t="str">
        <f>TEST_DATA!B1834</f>
        <v>May-2020</v>
      </c>
      <c r="C1834">
        <f>TEST_DATA!C1834</f>
        <v>43832</v>
      </c>
      <c r="D1834" t="str">
        <f>TEST_DATA!D1834</f>
        <v>NIL</v>
      </c>
      <c r="E1834">
        <f>TEST_DATA!E1834</f>
        <v>2722</v>
      </c>
      <c r="F1834">
        <f>MIN(E1834*183400,10000)</f>
        <v>10000</v>
      </c>
      <c r="G1834" t="e">
        <f ca="1">_xludf.MINIFS(CBIC_Late_Fee_Relief_Windows_1!$I$100:$I$1834,CBIC_Late_Fee_Relief_Windows_1!$D$100:$D$1834,"&lt;="&amp;B1834,CBIC_Late_Fee_Relief_Windows_1!$E$100:$E$1834,"&gt;="&amp;B1834,CBIC_Late_Fee_Relief_Windows_1!$F$100:$F$1834,"&lt;="&amp;C1834,CBIC_Late_Fee_Relief_Windows_1!$G$100:$G$1834,"&gt;="&amp;C1834,CBIC_Late_Fee_Relief_Windows_1!$H$100:$H$1834,D1834)</f>
        <v>#NAME?</v>
      </c>
      <c r="H1834" t="e">
        <f t="shared" ca="1" si="28"/>
        <v>#NAME?</v>
      </c>
      <c r="I1834" t="e">
        <f ca="1">INDEX(CBIC_Late_Fee_Relief_Windows_1!$B$100:$B$1834,MATCH(G1834,CBIC_Late_Fee_Relief_Windows_1!$I$100:$I$1834,0))</f>
        <v>#NAME?</v>
      </c>
    </row>
    <row r="1835" spans="1:9" x14ac:dyDescent="0.55000000000000004">
      <c r="A1835" t="str">
        <f>TEST_DATA!A1835</f>
        <v>27AAAAA1835Z5</v>
      </c>
      <c r="B1835" t="str">
        <f>TEST_DATA!B1835</f>
        <v>Jul-2018</v>
      </c>
      <c r="C1835">
        <f>TEST_DATA!C1835</f>
        <v>43462</v>
      </c>
      <c r="D1835" t="str">
        <f>TEST_DATA!D1835</f>
        <v>NIL</v>
      </c>
      <c r="E1835">
        <f>TEST_DATA!E1835</f>
        <v>2867</v>
      </c>
      <c r="F1835">
        <f>MIN(E1835*183500,10000)</f>
        <v>10000</v>
      </c>
      <c r="G1835" t="e">
        <f ca="1">_xludf.MINIFS(CBIC_Late_Fee_Relief_Windows_1!$I$100:$I$1835,CBIC_Late_Fee_Relief_Windows_1!$D$100:$D$1835,"&lt;="&amp;B1835,CBIC_Late_Fee_Relief_Windows_1!$E$100:$E$1835,"&gt;="&amp;B1835,CBIC_Late_Fee_Relief_Windows_1!$F$100:$F$1835,"&lt;="&amp;C1835,CBIC_Late_Fee_Relief_Windows_1!$G$100:$G$1835,"&gt;="&amp;C1835,CBIC_Late_Fee_Relief_Windows_1!$H$100:$H$1835,D1835)</f>
        <v>#NAME?</v>
      </c>
      <c r="H1835" t="e">
        <f t="shared" ca="1" si="28"/>
        <v>#NAME?</v>
      </c>
      <c r="I1835" t="e">
        <f ca="1">INDEX(CBIC_Late_Fee_Relief_Windows_1!$B$100:$B$1835,MATCH(G1835,CBIC_Late_Fee_Relief_Windows_1!$I$100:$I$1835,0))</f>
        <v>#NAME?</v>
      </c>
    </row>
    <row r="1836" spans="1:9" x14ac:dyDescent="0.55000000000000004">
      <c r="A1836" t="str">
        <f>TEST_DATA!A1836</f>
        <v>27AAAAA1836Z5</v>
      </c>
      <c r="B1836" t="str">
        <f>TEST_DATA!B1836</f>
        <v>May-2018</v>
      </c>
      <c r="C1836">
        <f>TEST_DATA!C1836</f>
        <v>43718</v>
      </c>
      <c r="D1836" t="str">
        <f>TEST_DATA!D1836</f>
        <v>NIL</v>
      </c>
      <c r="E1836">
        <f>TEST_DATA!E1836</f>
        <v>2111</v>
      </c>
      <c r="F1836">
        <f>MIN(E1836*183600,10000)</f>
        <v>10000</v>
      </c>
      <c r="G1836" t="e">
        <f ca="1">_xludf.MINIFS(CBIC_Late_Fee_Relief_Windows_1!$I$100:$I$1836,CBIC_Late_Fee_Relief_Windows_1!$D$100:$D$1836,"&lt;="&amp;B1836,CBIC_Late_Fee_Relief_Windows_1!$E$100:$E$1836,"&gt;="&amp;B1836,CBIC_Late_Fee_Relief_Windows_1!$F$100:$F$1836,"&lt;="&amp;C1836,CBIC_Late_Fee_Relief_Windows_1!$G$100:$G$1836,"&gt;="&amp;C1836,CBIC_Late_Fee_Relief_Windows_1!$H$100:$H$1836,D1836)</f>
        <v>#NAME?</v>
      </c>
      <c r="H1836" t="e">
        <f t="shared" ca="1" si="28"/>
        <v>#NAME?</v>
      </c>
      <c r="I1836" t="e">
        <f ca="1">INDEX(CBIC_Late_Fee_Relief_Windows_1!$B$100:$B$1836,MATCH(G1836,CBIC_Late_Fee_Relief_Windows_1!$I$100:$I$1836,0))</f>
        <v>#NAME?</v>
      </c>
    </row>
    <row r="1837" spans="1:9" x14ac:dyDescent="0.55000000000000004">
      <c r="A1837" t="str">
        <f>TEST_DATA!A1837</f>
        <v>27AAAAA1837Z5</v>
      </c>
      <c r="B1837" t="str">
        <f>TEST_DATA!B1837</f>
        <v>Jul-2020</v>
      </c>
      <c r="C1837">
        <f>TEST_DATA!C1837</f>
        <v>44835</v>
      </c>
      <c r="D1837" t="str">
        <f>TEST_DATA!D1837</f>
        <v>NON-NIL</v>
      </c>
      <c r="E1837">
        <f>TEST_DATA!E1837</f>
        <v>1786</v>
      </c>
      <c r="F1837">
        <f>MIN(E1837*183700,10000)</f>
        <v>10000</v>
      </c>
      <c r="G1837" t="e">
        <f ca="1">_xludf.MINIFS(CBIC_Late_Fee_Relief_Windows_1!$I$100:$I$1837,CBIC_Late_Fee_Relief_Windows_1!$D$100:$D$1837,"&lt;="&amp;B1837,CBIC_Late_Fee_Relief_Windows_1!$E$100:$E$1837,"&gt;="&amp;B1837,CBIC_Late_Fee_Relief_Windows_1!$F$100:$F$1837,"&lt;="&amp;C1837,CBIC_Late_Fee_Relief_Windows_1!$G$100:$G$1837,"&gt;="&amp;C1837,CBIC_Late_Fee_Relief_Windows_1!$H$100:$H$1837,D1837)</f>
        <v>#NAME?</v>
      </c>
      <c r="H1837" t="e">
        <f t="shared" ca="1" si="28"/>
        <v>#NAME?</v>
      </c>
      <c r="I1837" t="e">
        <f ca="1">INDEX(CBIC_Late_Fee_Relief_Windows_1!$B$100:$B$1837,MATCH(G1837,CBIC_Late_Fee_Relief_Windows_1!$I$100:$I$1837,0))</f>
        <v>#NAME?</v>
      </c>
    </row>
    <row r="1838" spans="1:9" x14ac:dyDescent="0.55000000000000004">
      <c r="A1838" t="str">
        <f>TEST_DATA!A1838</f>
        <v>27AAAAA1838Z5</v>
      </c>
      <c r="B1838" t="str">
        <f>TEST_DATA!B1838</f>
        <v>Jul-2018</v>
      </c>
      <c r="C1838">
        <f>TEST_DATA!C1838</f>
        <v>44407</v>
      </c>
      <c r="D1838" t="str">
        <f>TEST_DATA!D1838</f>
        <v>NIL</v>
      </c>
      <c r="E1838">
        <f>TEST_DATA!E1838</f>
        <v>2212</v>
      </c>
      <c r="F1838">
        <f>MIN(E1838*183800,10000)</f>
        <v>10000</v>
      </c>
      <c r="G1838" t="e">
        <f ca="1">_xludf.MINIFS(CBIC_Late_Fee_Relief_Windows_1!$I$100:$I$1838,CBIC_Late_Fee_Relief_Windows_1!$D$100:$D$1838,"&lt;="&amp;B1838,CBIC_Late_Fee_Relief_Windows_1!$E$100:$E$1838,"&gt;="&amp;B1838,CBIC_Late_Fee_Relief_Windows_1!$F$100:$F$1838,"&lt;="&amp;C1838,CBIC_Late_Fee_Relief_Windows_1!$G$100:$G$1838,"&gt;="&amp;C1838,CBIC_Late_Fee_Relief_Windows_1!$H$100:$H$1838,D1838)</f>
        <v>#NAME?</v>
      </c>
      <c r="H1838" t="e">
        <f t="shared" ca="1" si="28"/>
        <v>#NAME?</v>
      </c>
      <c r="I1838" t="e">
        <f ca="1">INDEX(CBIC_Late_Fee_Relief_Windows_1!$B$100:$B$1838,MATCH(G1838,CBIC_Late_Fee_Relief_Windows_1!$I$100:$I$1838,0))</f>
        <v>#NAME?</v>
      </c>
    </row>
    <row r="1839" spans="1:9" x14ac:dyDescent="0.55000000000000004">
      <c r="A1839" t="str">
        <f>TEST_DATA!A1839</f>
        <v>27AAAAA1839Z5</v>
      </c>
      <c r="B1839" t="str">
        <f>TEST_DATA!B1839</f>
        <v>Feb-2018</v>
      </c>
      <c r="C1839">
        <f>TEST_DATA!C1839</f>
        <v>42923</v>
      </c>
      <c r="D1839" t="str">
        <f>TEST_DATA!D1839</f>
        <v>NON-NIL</v>
      </c>
      <c r="E1839">
        <f>TEST_DATA!E1839</f>
        <v>2823</v>
      </c>
      <c r="F1839">
        <f>MIN(E1839*183900,10000)</f>
        <v>10000</v>
      </c>
      <c r="G1839" t="e">
        <f ca="1">_xludf.MINIFS(CBIC_Late_Fee_Relief_Windows_1!$I$100:$I$1839,CBIC_Late_Fee_Relief_Windows_1!$D$100:$D$1839,"&lt;="&amp;B1839,CBIC_Late_Fee_Relief_Windows_1!$E$100:$E$1839,"&gt;="&amp;B1839,CBIC_Late_Fee_Relief_Windows_1!$F$100:$F$1839,"&lt;="&amp;C1839,CBIC_Late_Fee_Relief_Windows_1!$G$100:$G$1839,"&gt;="&amp;C1839,CBIC_Late_Fee_Relief_Windows_1!$H$100:$H$1839,D1839)</f>
        <v>#NAME?</v>
      </c>
      <c r="H1839" t="e">
        <f t="shared" ca="1" si="28"/>
        <v>#NAME?</v>
      </c>
      <c r="I1839" t="e">
        <f ca="1">INDEX(CBIC_Late_Fee_Relief_Windows_1!$B$100:$B$1839,MATCH(G1839,CBIC_Late_Fee_Relief_Windows_1!$I$100:$I$1839,0))</f>
        <v>#NAME?</v>
      </c>
    </row>
    <row r="1840" spans="1:9" x14ac:dyDescent="0.55000000000000004">
      <c r="A1840" t="str">
        <f>TEST_DATA!A1840</f>
        <v>27AAAAA1840Z5</v>
      </c>
      <c r="B1840" t="str">
        <f>TEST_DATA!B1840</f>
        <v>Dec-2022</v>
      </c>
      <c r="C1840">
        <f>TEST_DATA!C1840</f>
        <v>45440</v>
      </c>
      <c r="D1840" t="str">
        <f>TEST_DATA!D1840</f>
        <v>NIL</v>
      </c>
      <c r="E1840">
        <f>TEST_DATA!E1840</f>
        <v>2323</v>
      </c>
      <c r="F1840">
        <f>MIN(E1840*184000,10000)</f>
        <v>10000</v>
      </c>
      <c r="G1840" t="e">
        <f ca="1">_xludf.MINIFS(CBIC_Late_Fee_Relief_Windows_1!$I$100:$I$1840,CBIC_Late_Fee_Relief_Windows_1!$D$100:$D$1840,"&lt;="&amp;B1840,CBIC_Late_Fee_Relief_Windows_1!$E$100:$E$1840,"&gt;="&amp;B1840,CBIC_Late_Fee_Relief_Windows_1!$F$100:$F$1840,"&lt;="&amp;C1840,CBIC_Late_Fee_Relief_Windows_1!$G$100:$G$1840,"&gt;="&amp;C1840,CBIC_Late_Fee_Relief_Windows_1!$H$100:$H$1840,D1840)</f>
        <v>#NAME?</v>
      </c>
      <c r="H1840" t="e">
        <f t="shared" ca="1" si="28"/>
        <v>#NAME?</v>
      </c>
      <c r="I1840" t="e">
        <f ca="1">INDEX(CBIC_Late_Fee_Relief_Windows_1!$B$100:$B$1840,MATCH(G1840,CBIC_Late_Fee_Relief_Windows_1!$I$100:$I$1840,0))</f>
        <v>#NAME?</v>
      </c>
    </row>
    <row r="1841" spans="1:9" x14ac:dyDescent="0.55000000000000004">
      <c r="A1841" t="str">
        <f>TEST_DATA!A1841</f>
        <v>27AAAAA1841Z5</v>
      </c>
      <c r="B1841" t="str">
        <f>TEST_DATA!B1841</f>
        <v>Dec-2019</v>
      </c>
      <c r="C1841">
        <f>TEST_DATA!C1841</f>
        <v>44936</v>
      </c>
      <c r="D1841" t="str">
        <f>TEST_DATA!D1841</f>
        <v>NON-NIL</v>
      </c>
      <c r="E1841">
        <f>TEST_DATA!E1841</f>
        <v>2792</v>
      </c>
      <c r="F1841">
        <f>MIN(E1841*184100,10000)</f>
        <v>10000</v>
      </c>
      <c r="G1841" t="e">
        <f ca="1">_xludf.MINIFS(CBIC_Late_Fee_Relief_Windows_1!$I$100:$I$1841,CBIC_Late_Fee_Relief_Windows_1!$D$100:$D$1841,"&lt;="&amp;B1841,CBIC_Late_Fee_Relief_Windows_1!$E$100:$E$1841,"&gt;="&amp;B1841,CBIC_Late_Fee_Relief_Windows_1!$F$100:$F$1841,"&lt;="&amp;C1841,CBIC_Late_Fee_Relief_Windows_1!$G$100:$G$1841,"&gt;="&amp;C1841,CBIC_Late_Fee_Relief_Windows_1!$H$100:$H$1841,D1841)</f>
        <v>#NAME?</v>
      </c>
      <c r="H1841" t="e">
        <f t="shared" ca="1" si="28"/>
        <v>#NAME?</v>
      </c>
      <c r="I1841" t="e">
        <f ca="1">INDEX(CBIC_Late_Fee_Relief_Windows_1!$B$100:$B$1841,MATCH(G1841,CBIC_Late_Fee_Relief_Windows_1!$I$100:$I$1841,0))</f>
        <v>#NAME?</v>
      </c>
    </row>
    <row r="1842" spans="1:9" x14ac:dyDescent="0.55000000000000004">
      <c r="A1842" t="str">
        <f>TEST_DATA!A1842</f>
        <v>27AAAAA1842Z5</v>
      </c>
      <c r="B1842" t="str">
        <f>TEST_DATA!B1842</f>
        <v>Apr-2018</v>
      </c>
      <c r="C1842">
        <f>TEST_DATA!C1842</f>
        <v>43737</v>
      </c>
      <c r="D1842" t="str">
        <f>TEST_DATA!D1842</f>
        <v>NIL</v>
      </c>
      <c r="E1842">
        <f>TEST_DATA!E1842</f>
        <v>2589</v>
      </c>
      <c r="F1842">
        <f>MIN(E1842*184200,10000)</f>
        <v>10000</v>
      </c>
      <c r="G1842" t="e">
        <f ca="1">_xludf.MINIFS(CBIC_Late_Fee_Relief_Windows_1!$I$100:$I$1842,CBIC_Late_Fee_Relief_Windows_1!$D$100:$D$1842,"&lt;="&amp;B1842,CBIC_Late_Fee_Relief_Windows_1!$E$100:$E$1842,"&gt;="&amp;B1842,CBIC_Late_Fee_Relief_Windows_1!$F$100:$F$1842,"&lt;="&amp;C1842,CBIC_Late_Fee_Relief_Windows_1!$G$100:$G$1842,"&gt;="&amp;C1842,CBIC_Late_Fee_Relief_Windows_1!$H$100:$H$1842,D1842)</f>
        <v>#NAME?</v>
      </c>
      <c r="H1842" t="e">
        <f t="shared" ca="1" si="28"/>
        <v>#NAME?</v>
      </c>
      <c r="I1842" t="e">
        <f ca="1">INDEX(CBIC_Late_Fee_Relief_Windows_1!$B$100:$B$1842,MATCH(G1842,CBIC_Late_Fee_Relief_Windows_1!$I$100:$I$1842,0))</f>
        <v>#NAME?</v>
      </c>
    </row>
    <row r="1843" spans="1:9" x14ac:dyDescent="0.55000000000000004">
      <c r="A1843" t="str">
        <f>TEST_DATA!A1843</f>
        <v>27AAAAA1843Z5</v>
      </c>
      <c r="B1843" t="str">
        <f>TEST_DATA!B1843</f>
        <v>May-2020</v>
      </c>
      <c r="C1843">
        <f>TEST_DATA!C1843</f>
        <v>44016</v>
      </c>
      <c r="D1843" t="str">
        <f>TEST_DATA!D1843</f>
        <v>NON-NIL</v>
      </c>
      <c r="E1843">
        <f>TEST_DATA!E1843</f>
        <v>2189</v>
      </c>
      <c r="F1843">
        <f>MIN(E1843*184300,10000)</f>
        <v>10000</v>
      </c>
      <c r="G1843" t="e">
        <f ca="1">_xludf.MINIFS(CBIC_Late_Fee_Relief_Windows_1!$I$100:$I$1843,CBIC_Late_Fee_Relief_Windows_1!$D$100:$D$1843,"&lt;="&amp;B1843,CBIC_Late_Fee_Relief_Windows_1!$E$100:$E$1843,"&gt;="&amp;B1843,CBIC_Late_Fee_Relief_Windows_1!$F$100:$F$1843,"&lt;="&amp;C1843,CBIC_Late_Fee_Relief_Windows_1!$G$100:$G$1843,"&gt;="&amp;C1843,CBIC_Late_Fee_Relief_Windows_1!$H$100:$H$1843,D1843)</f>
        <v>#NAME?</v>
      </c>
      <c r="H1843" t="e">
        <f t="shared" ca="1" si="28"/>
        <v>#NAME?</v>
      </c>
      <c r="I1843" t="e">
        <f ca="1">INDEX(CBIC_Late_Fee_Relief_Windows_1!$B$100:$B$1843,MATCH(G1843,CBIC_Late_Fee_Relief_Windows_1!$I$100:$I$1843,0))</f>
        <v>#NAME?</v>
      </c>
    </row>
    <row r="1844" spans="1:9" x14ac:dyDescent="0.55000000000000004">
      <c r="A1844" t="str">
        <f>TEST_DATA!A1844</f>
        <v>27AAAAA1844Z5</v>
      </c>
      <c r="B1844" t="str">
        <f>TEST_DATA!B1844</f>
        <v>Mar-2023</v>
      </c>
      <c r="C1844">
        <f>TEST_DATA!C1844</f>
        <v>44858</v>
      </c>
      <c r="D1844" t="str">
        <f>TEST_DATA!D1844</f>
        <v>NIL</v>
      </c>
      <c r="E1844">
        <f>TEST_DATA!E1844</f>
        <v>1882</v>
      </c>
      <c r="F1844">
        <f>MIN(E1844*184400,10000)</f>
        <v>10000</v>
      </c>
      <c r="G1844" t="e">
        <f ca="1">_xludf.MINIFS(CBIC_Late_Fee_Relief_Windows_1!$I$100:$I$1844,CBIC_Late_Fee_Relief_Windows_1!$D$100:$D$1844,"&lt;="&amp;B1844,CBIC_Late_Fee_Relief_Windows_1!$E$100:$E$1844,"&gt;="&amp;B1844,CBIC_Late_Fee_Relief_Windows_1!$F$100:$F$1844,"&lt;="&amp;C1844,CBIC_Late_Fee_Relief_Windows_1!$G$100:$G$1844,"&gt;="&amp;C1844,CBIC_Late_Fee_Relief_Windows_1!$H$100:$H$1844,D1844)</f>
        <v>#NAME?</v>
      </c>
      <c r="H1844" t="e">
        <f t="shared" ca="1" si="28"/>
        <v>#NAME?</v>
      </c>
      <c r="I1844" t="e">
        <f ca="1">INDEX(CBIC_Late_Fee_Relief_Windows_1!$B$100:$B$1844,MATCH(G1844,CBIC_Late_Fee_Relief_Windows_1!$I$100:$I$1844,0))</f>
        <v>#NAME?</v>
      </c>
    </row>
    <row r="1845" spans="1:9" x14ac:dyDescent="0.55000000000000004">
      <c r="A1845" t="str">
        <f>TEST_DATA!A1845</f>
        <v>27AAAAA1845Z5</v>
      </c>
      <c r="B1845" t="str">
        <f>TEST_DATA!B1845</f>
        <v>Mar-2021</v>
      </c>
      <c r="C1845">
        <f>TEST_DATA!C1845</f>
        <v>44653</v>
      </c>
      <c r="D1845" t="str">
        <f>TEST_DATA!D1845</f>
        <v>NIL</v>
      </c>
      <c r="E1845">
        <f>TEST_DATA!E1845</f>
        <v>723</v>
      </c>
      <c r="F1845">
        <f>MIN(E1845*184500,10000)</f>
        <v>10000</v>
      </c>
      <c r="G1845" t="e">
        <f ca="1">_xludf.MINIFS(CBIC_Late_Fee_Relief_Windows_1!$I$100:$I$1845,CBIC_Late_Fee_Relief_Windows_1!$D$100:$D$1845,"&lt;="&amp;B1845,CBIC_Late_Fee_Relief_Windows_1!$E$100:$E$1845,"&gt;="&amp;B1845,CBIC_Late_Fee_Relief_Windows_1!$F$100:$F$1845,"&lt;="&amp;C1845,CBIC_Late_Fee_Relief_Windows_1!$G$100:$G$1845,"&gt;="&amp;C1845,CBIC_Late_Fee_Relief_Windows_1!$H$100:$H$1845,D1845)</f>
        <v>#NAME?</v>
      </c>
      <c r="H1845" t="e">
        <f t="shared" ca="1" si="28"/>
        <v>#NAME?</v>
      </c>
      <c r="I1845" t="e">
        <f ca="1">INDEX(CBIC_Late_Fee_Relief_Windows_1!$B$100:$B$1845,MATCH(G1845,CBIC_Late_Fee_Relief_Windows_1!$I$100:$I$1845,0))</f>
        <v>#NAME?</v>
      </c>
    </row>
    <row r="1846" spans="1:9" x14ac:dyDescent="0.55000000000000004">
      <c r="A1846" t="str">
        <f>TEST_DATA!A1846</f>
        <v>27AAAAA1846Z5</v>
      </c>
      <c r="B1846" t="str">
        <f>TEST_DATA!B1846</f>
        <v>Dec-2019</v>
      </c>
      <c r="C1846">
        <f>TEST_DATA!C1846</f>
        <v>43627</v>
      </c>
      <c r="D1846" t="str">
        <f>TEST_DATA!D1846</f>
        <v>NON-NIL</v>
      </c>
      <c r="E1846">
        <f>TEST_DATA!E1846</f>
        <v>2706</v>
      </c>
      <c r="F1846">
        <f>MIN(E1846*184600,10000)</f>
        <v>10000</v>
      </c>
      <c r="G1846" t="e">
        <f ca="1">_xludf.MINIFS(CBIC_Late_Fee_Relief_Windows_1!$I$100:$I$1846,CBIC_Late_Fee_Relief_Windows_1!$D$100:$D$1846,"&lt;="&amp;B1846,CBIC_Late_Fee_Relief_Windows_1!$E$100:$E$1846,"&gt;="&amp;B1846,CBIC_Late_Fee_Relief_Windows_1!$F$100:$F$1846,"&lt;="&amp;C1846,CBIC_Late_Fee_Relief_Windows_1!$G$100:$G$1846,"&gt;="&amp;C1846,CBIC_Late_Fee_Relief_Windows_1!$H$100:$H$1846,D1846)</f>
        <v>#NAME?</v>
      </c>
      <c r="H1846" t="e">
        <f t="shared" ca="1" si="28"/>
        <v>#NAME?</v>
      </c>
      <c r="I1846" t="e">
        <f ca="1">INDEX(CBIC_Late_Fee_Relief_Windows_1!$B$100:$B$1846,MATCH(G1846,CBIC_Late_Fee_Relief_Windows_1!$I$100:$I$1846,0))</f>
        <v>#NAME?</v>
      </c>
    </row>
    <row r="1847" spans="1:9" x14ac:dyDescent="0.55000000000000004">
      <c r="A1847" t="str">
        <f>TEST_DATA!A1847</f>
        <v>27AAAAA1847Z5</v>
      </c>
      <c r="B1847" t="str">
        <f>TEST_DATA!B1847</f>
        <v>Jan-2018</v>
      </c>
      <c r="C1847">
        <f>TEST_DATA!C1847</f>
        <v>43529</v>
      </c>
      <c r="D1847" t="str">
        <f>TEST_DATA!D1847</f>
        <v>NON-NIL</v>
      </c>
      <c r="E1847">
        <f>TEST_DATA!E1847</f>
        <v>437</v>
      </c>
      <c r="F1847">
        <f>MIN(E1847*184700,10000)</f>
        <v>10000</v>
      </c>
      <c r="G1847" t="e">
        <f ca="1">_xludf.MINIFS(CBIC_Late_Fee_Relief_Windows_1!$I$100:$I$1847,CBIC_Late_Fee_Relief_Windows_1!$D$100:$D$1847,"&lt;="&amp;B1847,CBIC_Late_Fee_Relief_Windows_1!$E$100:$E$1847,"&gt;="&amp;B1847,CBIC_Late_Fee_Relief_Windows_1!$F$100:$F$1847,"&lt;="&amp;C1847,CBIC_Late_Fee_Relief_Windows_1!$G$100:$G$1847,"&gt;="&amp;C1847,CBIC_Late_Fee_Relief_Windows_1!$H$100:$H$1847,D1847)</f>
        <v>#NAME?</v>
      </c>
      <c r="H1847" t="e">
        <f t="shared" ca="1" si="28"/>
        <v>#NAME?</v>
      </c>
      <c r="I1847" t="e">
        <f ca="1">INDEX(CBIC_Late_Fee_Relief_Windows_1!$B$100:$B$1847,MATCH(G1847,CBIC_Late_Fee_Relief_Windows_1!$I$100:$I$1847,0))</f>
        <v>#NAME?</v>
      </c>
    </row>
    <row r="1848" spans="1:9" x14ac:dyDescent="0.55000000000000004">
      <c r="A1848" t="str">
        <f>TEST_DATA!A1848</f>
        <v>27AAAAA1848Z5</v>
      </c>
      <c r="B1848" t="str">
        <f>TEST_DATA!B1848</f>
        <v>May-2020</v>
      </c>
      <c r="C1848">
        <f>TEST_DATA!C1848</f>
        <v>44566</v>
      </c>
      <c r="D1848" t="str">
        <f>TEST_DATA!D1848</f>
        <v>NON-NIL</v>
      </c>
      <c r="E1848">
        <f>TEST_DATA!E1848</f>
        <v>347</v>
      </c>
      <c r="F1848">
        <f>MIN(E1848*184800,10000)</f>
        <v>10000</v>
      </c>
      <c r="G1848" t="e">
        <f ca="1">_xludf.MINIFS(CBIC_Late_Fee_Relief_Windows_1!$I$100:$I$1848,CBIC_Late_Fee_Relief_Windows_1!$D$100:$D$1848,"&lt;="&amp;B1848,CBIC_Late_Fee_Relief_Windows_1!$E$100:$E$1848,"&gt;="&amp;B1848,CBIC_Late_Fee_Relief_Windows_1!$F$100:$F$1848,"&lt;="&amp;C1848,CBIC_Late_Fee_Relief_Windows_1!$G$100:$G$1848,"&gt;="&amp;C1848,CBIC_Late_Fee_Relief_Windows_1!$H$100:$H$1848,D1848)</f>
        <v>#NAME?</v>
      </c>
      <c r="H1848" t="e">
        <f t="shared" ca="1" si="28"/>
        <v>#NAME?</v>
      </c>
      <c r="I1848" t="e">
        <f ca="1">INDEX(CBIC_Late_Fee_Relief_Windows_1!$B$100:$B$1848,MATCH(G1848,CBIC_Late_Fee_Relief_Windows_1!$I$100:$I$1848,0))</f>
        <v>#NAME?</v>
      </c>
    </row>
    <row r="1849" spans="1:9" x14ac:dyDescent="0.55000000000000004">
      <c r="A1849" t="str">
        <f>TEST_DATA!A1849</f>
        <v>27AAAAA1849Z5</v>
      </c>
      <c r="B1849" t="str">
        <f>TEST_DATA!B1849</f>
        <v>Dec-2024</v>
      </c>
      <c r="C1849">
        <f>TEST_DATA!C1849</f>
        <v>45259</v>
      </c>
      <c r="D1849" t="str">
        <f>TEST_DATA!D1849</f>
        <v>NIL</v>
      </c>
      <c r="E1849">
        <f>TEST_DATA!E1849</f>
        <v>573</v>
      </c>
      <c r="F1849">
        <f>MIN(E1849*184900,10000)</f>
        <v>10000</v>
      </c>
      <c r="G1849" t="e">
        <f ca="1">_xludf.MINIFS(CBIC_Late_Fee_Relief_Windows_1!$I$100:$I$1849,CBIC_Late_Fee_Relief_Windows_1!$D$100:$D$1849,"&lt;="&amp;B1849,CBIC_Late_Fee_Relief_Windows_1!$E$100:$E$1849,"&gt;="&amp;B1849,CBIC_Late_Fee_Relief_Windows_1!$F$100:$F$1849,"&lt;="&amp;C1849,CBIC_Late_Fee_Relief_Windows_1!$G$100:$G$1849,"&gt;="&amp;C1849,CBIC_Late_Fee_Relief_Windows_1!$H$100:$H$1849,D1849)</f>
        <v>#NAME?</v>
      </c>
      <c r="H1849" t="e">
        <f t="shared" ca="1" si="28"/>
        <v>#NAME?</v>
      </c>
      <c r="I1849" t="e">
        <f ca="1">INDEX(CBIC_Late_Fee_Relief_Windows_1!$B$100:$B$1849,MATCH(G1849,CBIC_Late_Fee_Relief_Windows_1!$I$100:$I$1849,0))</f>
        <v>#NAME?</v>
      </c>
    </row>
    <row r="1850" spans="1:9" x14ac:dyDescent="0.55000000000000004">
      <c r="A1850" t="str">
        <f>TEST_DATA!A1850</f>
        <v>27AAAAA1850Z5</v>
      </c>
      <c r="B1850" t="str">
        <f>TEST_DATA!B1850</f>
        <v>Aug-2017</v>
      </c>
      <c r="C1850">
        <f>TEST_DATA!C1850</f>
        <v>43312</v>
      </c>
      <c r="D1850" t="str">
        <f>TEST_DATA!D1850</f>
        <v>NIL</v>
      </c>
      <c r="E1850">
        <f>TEST_DATA!E1850</f>
        <v>2948</v>
      </c>
      <c r="F1850">
        <f>MIN(E1850*185000,10000)</f>
        <v>10000</v>
      </c>
      <c r="G1850" t="e">
        <f ca="1">_xludf.MINIFS(CBIC_Late_Fee_Relief_Windows_1!$I$100:$I$1850,CBIC_Late_Fee_Relief_Windows_1!$D$100:$D$1850,"&lt;="&amp;B1850,CBIC_Late_Fee_Relief_Windows_1!$E$100:$E$1850,"&gt;="&amp;B1850,CBIC_Late_Fee_Relief_Windows_1!$F$100:$F$1850,"&lt;="&amp;C1850,CBIC_Late_Fee_Relief_Windows_1!$G$100:$G$1850,"&gt;="&amp;C1850,CBIC_Late_Fee_Relief_Windows_1!$H$100:$H$1850,D1850)</f>
        <v>#NAME?</v>
      </c>
      <c r="H1850" t="e">
        <f t="shared" ca="1" si="28"/>
        <v>#NAME?</v>
      </c>
      <c r="I1850" t="e">
        <f ca="1">INDEX(CBIC_Late_Fee_Relief_Windows_1!$B$100:$B$1850,MATCH(G1850,CBIC_Late_Fee_Relief_Windows_1!$I$100:$I$1850,0))</f>
        <v>#NAME?</v>
      </c>
    </row>
    <row r="1851" spans="1:9" x14ac:dyDescent="0.55000000000000004">
      <c r="A1851" t="str">
        <f>TEST_DATA!A1851</f>
        <v>27AAAAA1851Z5</v>
      </c>
      <c r="B1851" t="str">
        <f>TEST_DATA!B1851</f>
        <v>Mar-2020</v>
      </c>
      <c r="C1851">
        <f>TEST_DATA!C1851</f>
        <v>44319</v>
      </c>
      <c r="D1851" t="str">
        <f>TEST_DATA!D1851</f>
        <v>NON-NIL</v>
      </c>
      <c r="E1851">
        <f>TEST_DATA!E1851</f>
        <v>1592</v>
      </c>
      <c r="F1851">
        <f>MIN(E1851*185100,10000)</f>
        <v>10000</v>
      </c>
      <c r="G1851" t="e">
        <f ca="1">_xludf.MINIFS(CBIC_Late_Fee_Relief_Windows_1!$I$100:$I$1851,CBIC_Late_Fee_Relief_Windows_1!$D$100:$D$1851,"&lt;="&amp;B1851,CBIC_Late_Fee_Relief_Windows_1!$E$100:$E$1851,"&gt;="&amp;B1851,CBIC_Late_Fee_Relief_Windows_1!$F$100:$F$1851,"&lt;="&amp;C1851,CBIC_Late_Fee_Relief_Windows_1!$G$100:$G$1851,"&gt;="&amp;C1851,CBIC_Late_Fee_Relief_Windows_1!$H$100:$H$1851,D1851)</f>
        <v>#NAME?</v>
      </c>
      <c r="H1851" t="e">
        <f t="shared" ca="1" si="28"/>
        <v>#NAME?</v>
      </c>
      <c r="I1851" t="e">
        <f ca="1">INDEX(CBIC_Late_Fee_Relief_Windows_1!$B$100:$B$1851,MATCH(G1851,CBIC_Late_Fee_Relief_Windows_1!$I$100:$I$1851,0))</f>
        <v>#NAME?</v>
      </c>
    </row>
    <row r="1852" spans="1:9" x14ac:dyDescent="0.55000000000000004">
      <c r="A1852" t="str">
        <f>TEST_DATA!A1852</f>
        <v>27AAAAA1852Z5</v>
      </c>
      <c r="B1852" t="str">
        <f>TEST_DATA!B1852</f>
        <v>Sep-2017</v>
      </c>
      <c r="C1852">
        <f>TEST_DATA!C1852</f>
        <v>44540</v>
      </c>
      <c r="D1852" t="str">
        <f>TEST_DATA!D1852</f>
        <v>NON-NIL</v>
      </c>
      <c r="E1852">
        <f>TEST_DATA!E1852</f>
        <v>2046</v>
      </c>
      <c r="F1852">
        <f>MIN(E1852*185200,10000)</f>
        <v>10000</v>
      </c>
      <c r="G1852" t="e">
        <f ca="1">_xludf.MINIFS(CBIC_Late_Fee_Relief_Windows_1!$I$100:$I$1852,CBIC_Late_Fee_Relief_Windows_1!$D$100:$D$1852,"&lt;="&amp;B1852,CBIC_Late_Fee_Relief_Windows_1!$E$100:$E$1852,"&gt;="&amp;B1852,CBIC_Late_Fee_Relief_Windows_1!$F$100:$F$1852,"&lt;="&amp;C1852,CBIC_Late_Fee_Relief_Windows_1!$G$100:$G$1852,"&gt;="&amp;C1852,CBIC_Late_Fee_Relief_Windows_1!$H$100:$H$1852,D1852)</f>
        <v>#NAME?</v>
      </c>
      <c r="H1852" t="e">
        <f t="shared" ca="1" si="28"/>
        <v>#NAME?</v>
      </c>
      <c r="I1852" t="e">
        <f ca="1">INDEX(CBIC_Late_Fee_Relief_Windows_1!$B$100:$B$1852,MATCH(G1852,CBIC_Late_Fee_Relief_Windows_1!$I$100:$I$1852,0))</f>
        <v>#NAME?</v>
      </c>
    </row>
    <row r="1853" spans="1:9" x14ac:dyDescent="0.55000000000000004">
      <c r="A1853" t="str">
        <f>TEST_DATA!A1853</f>
        <v>27AAAAA1853Z5</v>
      </c>
      <c r="B1853" t="str">
        <f>TEST_DATA!B1853</f>
        <v>Dec-2019</v>
      </c>
      <c r="C1853">
        <f>TEST_DATA!C1853</f>
        <v>45306</v>
      </c>
      <c r="D1853" t="str">
        <f>TEST_DATA!D1853</f>
        <v>NIL</v>
      </c>
      <c r="E1853">
        <f>TEST_DATA!E1853</f>
        <v>151</v>
      </c>
      <c r="F1853">
        <f>MIN(E1853*185300,10000)</f>
        <v>10000</v>
      </c>
      <c r="G1853" t="e">
        <f ca="1">_xludf.MINIFS(CBIC_Late_Fee_Relief_Windows_1!$I$100:$I$1853,CBIC_Late_Fee_Relief_Windows_1!$D$100:$D$1853,"&lt;="&amp;B1853,CBIC_Late_Fee_Relief_Windows_1!$E$100:$E$1853,"&gt;="&amp;B1853,CBIC_Late_Fee_Relief_Windows_1!$F$100:$F$1853,"&lt;="&amp;C1853,CBIC_Late_Fee_Relief_Windows_1!$G$100:$G$1853,"&gt;="&amp;C1853,CBIC_Late_Fee_Relief_Windows_1!$H$100:$H$1853,D1853)</f>
        <v>#NAME?</v>
      </c>
      <c r="H1853" t="e">
        <f t="shared" ca="1" si="28"/>
        <v>#NAME?</v>
      </c>
      <c r="I1853" t="e">
        <f ca="1">INDEX(CBIC_Late_Fee_Relief_Windows_1!$B$100:$B$1853,MATCH(G1853,CBIC_Late_Fee_Relief_Windows_1!$I$100:$I$1853,0))</f>
        <v>#NAME?</v>
      </c>
    </row>
    <row r="1854" spans="1:9" x14ac:dyDescent="0.55000000000000004">
      <c r="A1854" t="str">
        <f>TEST_DATA!A1854</f>
        <v>27AAAAA1854Z5</v>
      </c>
      <c r="B1854" t="str">
        <f>TEST_DATA!B1854</f>
        <v>May-2018</v>
      </c>
      <c r="C1854">
        <f>TEST_DATA!C1854</f>
        <v>43031</v>
      </c>
      <c r="D1854" t="str">
        <f>TEST_DATA!D1854</f>
        <v>NON-NIL</v>
      </c>
      <c r="E1854">
        <f>TEST_DATA!E1854</f>
        <v>2953</v>
      </c>
      <c r="F1854">
        <f>MIN(E1854*185400,10000)</f>
        <v>10000</v>
      </c>
      <c r="G1854" t="e">
        <f ca="1">_xludf.MINIFS(CBIC_Late_Fee_Relief_Windows_1!$I$100:$I$1854,CBIC_Late_Fee_Relief_Windows_1!$D$100:$D$1854,"&lt;="&amp;B1854,CBIC_Late_Fee_Relief_Windows_1!$E$100:$E$1854,"&gt;="&amp;B1854,CBIC_Late_Fee_Relief_Windows_1!$F$100:$F$1854,"&lt;="&amp;C1854,CBIC_Late_Fee_Relief_Windows_1!$G$100:$G$1854,"&gt;="&amp;C1854,CBIC_Late_Fee_Relief_Windows_1!$H$100:$H$1854,D1854)</f>
        <v>#NAME?</v>
      </c>
      <c r="H1854" t="e">
        <f t="shared" ca="1" si="28"/>
        <v>#NAME?</v>
      </c>
      <c r="I1854" t="e">
        <f ca="1">INDEX(CBIC_Late_Fee_Relief_Windows_1!$B$100:$B$1854,MATCH(G1854,CBIC_Late_Fee_Relief_Windows_1!$I$100:$I$1854,0))</f>
        <v>#NAME?</v>
      </c>
    </row>
    <row r="1855" spans="1:9" x14ac:dyDescent="0.55000000000000004">
      <c r="A1855" t="str">
        <f>TEST_DATA!A1855</f>
        <v>27AAAAA1855Z5</v>
      </c>
      <c r="B1855" t="str">
        <f>TEST_DATA!B1855</f>
        <v>Aug-2017</v>
      </c>
      <c r="C1855">
        <f>TEST_DATA!C1855</f>
        <v>43747</v>
      </c>
      <c r="D1855" t="str">
        <f>TEST_DATA!D1855</f>
        <v>NIL</v>
      </c>
      <c r="E1855">
        <f>TEST_DATA!E1855</f>
        <v>867</v>
      </c>
      <c r="F1855">
        <f>MIN(E1855*185500,10000)</f>
        <v>10000</v>
      </c>
      <c r="G1855" t="e">
        <f ca="1">_xludf.MINIFS(CBIC_Late_Fee_Relief_Windows_1!$I$100:$I$1855,CBIC_Late_Fee_Relief_Windows_1!$D$100:$D$1855,"&lt;="&amp;B1855,CBIC_Late_Fee_Relief_Windows_1!$E$100:$E$1855,"&gt;="&amp;B1855,CBIC_Late_Fee_Relief_Windows_1!$F$100:$F$1855,"&lt;="&amp;C1855,CBIC_Late_Fee_Relief_Windows_1!$G$100:$G$1855,"&gt;="&amp;C1855,CBIC_Late_Fee_Relief_Windows_1!$H$100:$H$1855,D1855)</f>
        <v>#NAME?</v>
      </c>
      <c r="H1855" t="e">
        <f t="shared" ca="1" si="28"/>
        <v>#NAME?</v>
      </c>
      <c r="I1855" t="e">
        <f ca="1">INDEX(CBIC_Late_Fee_Relief_Windows_1!$B$100:$B$1855,MATCH(G1855,CBIC_Late_Fee_Relief_Windows_1!$I$100:$I$1855,0))</f>
        <v>#NAME?</v>
      </c>
    </row>
    <row r="1856" spans="1:9" x14ac:dyDescent="0.55000000000000004">
      <c r="A1856" t="str">
        <f>TEST_DATA!A1856</f>
        <v>27AAAAA1856Z5</v>
      </c>
      <c r="B1856" t="str">
        <f>TEST_DATA!B1856</f>
        <v>Apr-2021</v>
      </c>
      <c r="C1856">
        <f>TEST_DATA!C1856</f>
        <v>45608</v>
      </c>
      <c r="D1856" t="str">
        <f>TEST_DATA!D1856</f>
        <v>NON-NIL</v>
      </c>
      <c r="E1856">
        <f>TEST_DATA!E1856</f>
        <v>2777</v>
      </c>
      <c r="F1856">
        <f>MIN(E1856*185600,10000)</f>
        <v>10000</v>
      </c>
      <c r="G1856" t="e">
        <f ca="1">_xludf.MINIFS(CBIC_Late_Fee_Relief_Windows_1!$I$100:$I$1856,CBIC_Late_Fee_Relief_Windows_1!$D$100:$D$1856,"&lt;="&amp;B1856,CBIC_Late_Fee_Relief_Windows_1!$E$100:$E$1856,"&gt;="&amp;B1856,CBIC_Late_Fee_Relief_Windows_1!$F$100:$F$1856,"&lt;="&amp;C1856,CBIC_Late_Fee_Relief_Windows_1!$G$100:$G$1856,"&gt;="&amp;C1856,CBIC_Late_Fee_Relief_Windows_1!$H$100:$H$1856,D1856)</f>
        <v>#NAME?</v>
      </c>
      <c r="H1856" t="e">
        <f t="shared" ca="1" si="28"/>
        <v>#NAME?</v>
      </c>
      <c r="I1856" t="e">
        <f ca="1">INDEX(CBIC_Late_Fee_Relief_Windows_1!$B$100:$B$1856,MATCH(G1856,CBIC_Late_Fee_Relief_Windows_1!$I$100:$I$1856,0))</f>
        <v>#NAME?</v>
      </c>
    </row>
    <row r="1857" spans="1:9" x14ac:dyDescent="0.55000000000000004">
      <c r="A1857" t="str">
        <f>TEST_DATA!A1857</f>
        <v>27AAAAA1857Z5</v>
      </c>
      <c r="B1857" t="str">
        <f>TEST_DATA!B1857</f>
        <v>Mar-2023</v>
      </c>
      <c r="C1857">
        <f>TEST_DATA!C1857</f>
        <v>45663</v>
      </c>
      <c r="D1857" t="str">
        <f>TEST_DATA!D1857</f>
        <v>NIL</v>
      </c>
      <c r="E1857">
        <f>TEST_DATA!E1857</f>
        <v>2373</v>
      </c>
      <c r="F1857">
        <f>MIN(E1857*185700,10000)</f>
        <v>10000</v>
      </c>
      <c r="G1857" t="e">
        <f ca="1">_xludf.MINIFS(CBIC_Late_Fee_Relief_Windows_1!$I$100:$I$1857,CBIC_Late_Fee_Relief_Windows_1!$D$100:$D$1857,"&lt;="&amp;B1857,CBIC_Late_Fee_Relief_Windows_1!$E$100:$E$1857,"&gt;="&amp;B1857,CBIC_Late_Fee_Relief_Windows_1!$F$100:$F$1857,"&lt;="&amp;C1857,CBIC_Late_Fee_Relief_Windows_1!$G$100:$G$1857,"&gt;="&amp;C1857,CBIC_Late_Fee_Relief_Windows_1!$H$100:$H$1857,D1857)</f>
        <v>#NAME?</v>
      </c>
      <c r="H1857" t="e">
        <f t="shared" ca="1" si="28"/>
        <v>#NAME?</v>
      </c>
      <c r="I1857" t="e">
        <f ca="1">INDEX(CBIC_Late_Fee_Relief_Windows_1!$B$100:$B$1857,MATCH(G1857,CBIC_Late_Fee_Relief_Windows_1!$I$100:$I$1857,0))</f>
        <v>#NAME?</v>
      </c>
    </row>
    <row r="1858" spans="1:9" x14ac:dyDescent="0.55000000000000004">
      <c r="A1858" t="str">
        <f>TEST_DATA!A1858</f>
        <v>27AAAAA1858Z5</v>
      </c>
      <c r="B1858" t="str">
        <f>TEST_DATA!B1858</f>
        <v>Feb-2018</v>
      </c>
      <c r="C1858">
        <f>TEST_DATA!C1858</f>
        <v>43064</v>
      </c>
      <c r="D1858" t="str">
        <f>TEST_DATA!D1858</f>
        <v>NIL</v>
      </c>
      <c r="E1858">
        <f>TEST_DATA!E1858</f>
        <v>579</v>
      </c>
      <c r="F1858">
        <f>MIN(E1858*185800,10000)</f>
        <v>10000</v>
      </c>
      <c r="G1858" t="e">
        <f ca="1">_xludf.MINIFS(CBIC_Late_Fee_Relief_Windows_1!$I$100:$I$1858,CBIC_Late_Fee_Relief_Windows_1!$D$100:$D$1858,"&lt;="&amp;B1858,CBIC_Late_Fee_Relief_Windows_1!$E$100:$E$1858,"&gt;="&amp;B1858,CBIC_Late_Fee_Relief_Windows_1!$F$100:$F$1858,"&lt;="&amp;C1858,CBIC_Late_Fee_Relief_Windows_1!$G$100:$G$1858,"&gt;="&amp;C1858,CBIC_Late_Fee_Relief_Windows_1!$H$100:$H$1858,D1858)</f>
        <v>#NAME?</v>
      </c>
      <c r="H1858" t="e">
        <f t="shared" ref="H1858:H1921" ca="1" si="29">MIN(F1858,G1858)</f>
        <v>#NAME?</v>
      </c>
      <c r="I1858" t="e">
        <f ca="1">INDEX(CBIC_Late_Fee_Relief_Windows_1!$B$100:$B$1858,MATCH(G1858,CBIC_Late_Fee_Relief_Windows_1!$I$100:$I$1858,0))</f>
        <v>#NAME?</v>
      </c>
    </row>
    <row r="1859" spans="1:9" x14ac:dyDescent="0.55000000000000004">
      <c r="A1859" t="str">
        <f>TEST_DATA!A1859</f>
        <v>27AAAAA1859Z5</v>
      </c>
      <c r="B1859" t="str">
        <f>TEST_DATA!B1859</f>
        <v>Jan-2019</v>
      </c>
      <c r="C1859">
        <f>TEST_DATA!C1859</f>
        <v>43544</v>
      </c>
      <c r="D1859" t="str">
        <f>TEST_DATA!D1859</f>
        <v>NON-NIL</v>
      </c>
      <c r="E1859">
        <f>TEST_DATA!E1859</f>
        <v>2532</v>
      </c>
      <c r="F1859">
        <f>MIN(E1859*185900,10000)</f>
        <v>10000</v>
      </c>
      <c r="G1859" t="e">
        <f ca="1">_xludf.MINIFS(CBIC_Late_Fee_Relief_Windows_1!$I$100:$I$1859,CBIC_Late_Fee_Relief_Windows_1!$D$100:$D$1859,"&lt;="&amp;B1859,CBIC_Late_Fee_Relief_Windows_1!$E$100:$E$1859,"&gt;="&amp;B1859,CBIC_Late_Fee_Relief_Windows_1!$F$100:$F$1859,"&lt;="&amp;C1859,CBIC_Late_Fee_Relief_Windows_1!$G$100:$G$1859,"&gt;="&amp;C1859,CBIC_Late_Fee_Relief_Windows_1!$H$100:$H$1859,D1859)</f>
        <v>#NAME?</v>
      </c>
      <c r="H1859" t="e">
        <f t="shared" ca="1" si="29"/>
        <v>#NAME?</v>
      </c>
      <c r="I1859" t="e">
        <f ca="1">INDEX(CBIC_Late_Fee_Relief_Windows_1!$B$100:$B$1859,MATCH(G1859,CBIC_Late_Fee_Relief_Windows_1!$I$100:$I$1859,0))</f>
        <v>#NAME?</v>
      </c>
    </row>
    <row r="1860" spans="1:9" x14ac:dyDescent="0.55000000000000004">
      <c r="A1860" t="str">
        <f>TEST_DATA!A1860</f>
        <v>27AAAAA1860Z5</v>
      </c>
      <c r="B1860" t="str">
        <f>TEST_DATA!B1860</f>
        <v>Aug-2017</v>
      </c>
      <c r="C1860">
        <f>TEST_DATA!C1860</f>
        <v>43414</v>
      </c>
      <c r="D1860" t="str">
        <f>TEST_DATA!D1860</f>
        <v>NIL</v>
      </c>
      <c r="E1860">
        <f>TEST_DATA!E1860</f>
        <v>58</v>
      </c>
      <c r="F1860">
        <f>MIN(E1860*186000,10000)</f>
        <v>10000</v>
      </c>
      <c r="G1860" t="e">
        <f ca="1">_xludf.MINIFS(CBIC_Late_Fee_Relief_Windows_1!$I$100:$I$1860,CBIC_Late_Fee_Relief_Windows_1!$D$100:$D$1860,"&lt;="&amp;B1860,CBIC_Late_Fee_Relief_Windows_1!$E$100:$E$1860,"&gt;="&amp;B1860,CBIC_Late_Fee_Relief_Windows_1!$F$100:$F$1860,"&lt;="&amp;C1860,CBIC_Late_Fee_Relief_Windows_1!$G$100:$G$1860,"&gt;="&amp;C1860,CBIC_Late_Fee_Relief_Windows_1!$H$100:$H$1860,D1860)</f>
        <v>#NAME?</v>
      </c>
      <c r="H1860" t="e">
        <f t="shared" ca="1" si="29"/>
        <v>#NAME?</v>
      </c>
      <c r="I1860" t="e">
        <f ca="1">INDEX(CBIC_Late_Fee_Relief_Windows_1!$B$100:$B$1860,MATCH(G1860,CBIC_Late_Fee_Relief_Windows_1!$I$100:$I$1860,0))</f>
        <v>#NAME?</v>
      </c>
    </row>
    <row r="1861" spans="1:9" x14ac:dyDescent="0.55000000000000004">
      <c r="A1861" t="str">
        <f>TEST_DATA!A1861</f>
        <v>27AAAAA1861Z5</v>
      </c>
      <c r="B1861" t="str">
        <f>TEST_DATA!B1861</f>
        <v>Dec-2017</v>
      </c>
      <c r="C1861">
        <f>TEST_DATA!C1861</f>
        <v>44212</v>
      </c>
      <c r="D1861" t="str">
        <f>TEST_DATA!D1861</f>
        <v>NIL</v>
      </c>
      <c r="E1861">
        <f>TEST_DATA!E1861</f>
        <v>1258</v>
      </c>
      <c r="F1861">
        <f>MIN(E1861*186100,10000)</f>
        <v>10000</v>
      </c>
      <c r="G1861" t="e">
        <f ca="1">_xludf.MINIFS(CBIC_Late_Fee_Relief_Windows_1!$I$100:$I$1861,CBIC_Late_Fee_Relief_Windows_1!$D$100:$D$1861,"&lt;="&amp;B1861,CBIC_Late_Fee_Relief_Windows_1!$E$100:$E$1861,"&gt;="&amp;B1861,CBIC_Late_Fee_Relief_Windows_1!$F$100:$F$1861,"&lt;="&amp;C1861,CBIC_Late_Fee_Relief_Windows_1!$G$100:$G$1861,"&gt;="&amp;C1861,CBIC_Late_Fee_Relief_Windows_1!$H$100:$H$1861,D1861)</f>
        <v>#NAME?</v>
      </c>
      <c r="H1861" t="e">
        <f t="shared" ca="1" si="29"/>
        <v>#NAME?</v>
      </c>
      <c r="I1861" t="e">
        <f ca="1">INDEX(CBIC_Late_Fee_Relief_Windows_1!$B$100:$B$1861,MATCH(G1861,CBIC_Late_Fee_Relief_Windows_1!$I$100:$I$1861,0))</f>
        <v>#NAME?</v>
      </c>
    </row>
    <row r="1862" spans="1:9" x14ac:dyDescent="0.55000000000000004">
      <c r="A1862" t="str">
        <f>TEST_DATA!A1862</f>
        <v>27AAAAA1862Z5</v>
      </c>
      <c r="B1862" t="str">
        <f>TEST_DATA!B1862</f>
        <v>Dec-2022</v>
      </c>
      <c r="C1862">
        <f>TEST_DATA!C1862</f>
        <v>43864</v>
      </c>
      <c r="D1862" t="str">
        <f>TEST_DATA!D1862</f>
        <v>NON-NIL</v>
      </c>
      <c r="E1862">
        <f>TEST_DATA!E1862</f>
        <v>2503</v>
      </c>
      <c r="F1862">
        <f>MIN(E1862*186200,10000)</f>
        <v>10000</v>
      </c>
      <c r="G1862" t="e">
        <f ca="1">_xludf.MINIFS(CBIC_Late_Fee_Relief_Windows_1!$I$100:$I$1862,CBIC_Late_Fee_Relief_Windows_1!$D$100:$D$1862,"&lt;="&amp;B1862,CBIC_Late_Fee_Relief_Windows_1!$E$100:$E$1862,"&gt;="&amp;B1862,CBIC_Late_Fee_Relief_Windows_1!$F$100:$F$1862,"&lt;="&amp;C1862,CBIC_Late_Fee_Relief_Windows_1!$G$100:$G$1862,"&gt;="&amp;C1862,CBIC_Late_Fee_Relief_Windows_1!$H$100:$H$1862,D1862)</f>
        <v>#NAME?</v>
      </c>
      <c r="H1862" t="e">
        <f t="shared" ca="1" si="29"/>
        <v>#NAME?</v>
      </c>
      <c r="I1862" t="e">
        <f ca="1">INDEX(CBIC_Late_Fee_Relief_Windows_1!$B$100:$B$1862,MATCH(G1862,CBIC_Late_Fee_Relief_Windows_1!$I$100:$I$1862,0))</f>
        <v>#NAME?</v>
      </c>
    </row>
    <row r="1863" spans="1:9" x14ac:dyDescent="0.55000000000000004">
      <c r="A1863" t="str">
        <f>TEST_DATA!A1863</f>
        <v>27AAAAA1863Z5</v>
      </c>
      <c r="B1863" t="str">
        <f>TEST_DATA!B1863</f>
        <v>Dec-2017</v>
      </c>
      <c r="C1863">
        <f>TEST_DATA!C1863</f>
        <v>44127</v>
      </c>
      <c r="D1863" t="str">
        <f>TEST_DATA!D1863</f>
        <v>NIL</v>
      </c>
      <c r="E1863">
        <f>TEST_DATA!E1863</f>
        <v>435</v>
      </c>
      <c r="F1863">
        <f>MIN(E1863*186300,10000)</f>
        <v>10000</v>
      </c>
      <c r="G1863" t="e">
        <f ca="1">_xludf.MINIFS(CBIC_Late_Fee_Relief_Windows_1!$I$100:$I$1863,CBIC_Late_Fee_Relief_Windows_1!$D$100:$D$1863,"&lt;="&amp;B1863,CBIC_Late_Fee_Relief_Windows_1!$E$100:$E$1863,"&gt;="&amp;B1863,CBIC_Late_Fee_Relief_Windows_1!$F$100:$F$1863,"&lt;="&amp;C1863,CBIC_Late_Fee_Relief_Windows_1!$G$100:$G$1863,"&gt;="&amp;C1863,CBIC_Late_Fee_Relief_Windows_1!$H$100:$H$1863,D1863)</f>
        <v>#NAME?</v>
      </c>
      <c r="H1863" t="e">
        <f t="shared" ca="1" si="29"/>
        <v>#NAME?</v>
      </c>
      <c r="I1863" t="e">
        <f ca="1">INDEX(CBIC_Late_Fee_Relief_Windows_1!$B$100:$B$1863,MATCH(G1863,CBIC_Late_Fee_Relief_Windows_1!$I$100:$I$1863,0))</f>
        <v>#NAME?</v>
      </c>
    </row>
    <row r="1864" spans="1:9" x14ac:dyDescent="0.55000000000000004">
      <c r="A1864" t="str">
        <f>TEST_DATA!A1864</f>
        <v>27AAAAA1864Z5</v>
      </c>
      <c r="B1864" t="str">
        <f>TEST_DATA!B1864</f>
        <v>Oct-2017</v>
      </c>
      <c r="C1864">
        <f>TEST_DATA!C1864</f>
        <v>43935</v>
      </c>
      <c r="D1864" t="str">
        <f>TEST_DATA!D1864</f>
        <v>NIL</v>
      </c>
      <c r="E1864">
        <f>TEST_DATA!E1864</f>
        <v>258</v>
      </c>
      <c r="F1864">
        <f>MIN(E1864*186400,10000)</f>
        <v>10000</v>
      </c>
      <c r="G1864" t="e">
        <f ca="1">_xludf.MINIFS(CBIC_Late_Fee_Relief_Windows_1!$I$100:$I$1864,CBIC_Late_Fee_Relief_Windows_1!$D$100:$D$1864,"&lt;="&amp;B1864,CBIC_Late_Fee_Relief_Windows_1!$E$100:$E$1864,"&gt;="&amp;B1864,CBIC_Late_Fee_Relief_Windows_1!$F$100:$F$1864,"&lt;="&amp;C1864,CBIC_Late_Fee_Relief_Windows_1!$G$100:$G$1864,"&gt;="&amp;C1864,CBIC_Late_Fee_Relief_Windows_1!$H$100:$H$1864,D1864)</f>
        <v>#NAME?</v>
      </c>
      <c r="H1864" t="e">
        <f t="shared" ca="1" si="29"/>
        <v>#NAME?</v>
      </c>
      <c r="I1864" t="e">
        <f ca="1">INDEX(CBIC_Late_Fee_Relief_Windows_1!$B$100:$B$1864,MATCH(G1864,CBIC_Late_Fee_Relief_Windows_1!$I$100:$I$1864,0))</f>
        <v>#NAME?</v>
      </c>
    </row>
    <row r="1865" spans="1:9" x14ac:dyDescent="0.55000000000000004">
      <c r="A1865" t="str">
        <f>TEST_DATA!A1865</f>
        <v>27AAAAA1865Z5</v>
      </c>
      <c r="B1865" t="str">
        <f>TEST_DATA!B1865</f>
        <v>Apr-2021</v>
      </c>
      <c r="C1865">
        <f>TEST_DATA!C1865</f>
        <v>44296</v>
      </c>
      <c r="D1865" t="str">
        <f>TEST_DATA!D1865</f>
        <v>NON-NIL</v>
      </c>
      <c r="E1865">
        <f>TEST_DATA!E1865</f>
        <v>1381</v>
      </c>
      <c r="F1865">
        <f>MIN(E1865*186500,10000)</f>
        <v>10000</v>
      </c>
      <c r="G1865" t="e">
        <f ca="1">_xludf.MINIFS(CBIC_Late_Fee_Relief_Windows_1!$I$100:$I$1865,CBIC_Late_Fee_Relief_Windows_1!$D$100:$D$1865,"&lt;="&amp;B1865,CBIC_Late_Fee_Relief_Windows_1!$E$100:$E$1865,"&gt;="&amp;B1865,CBIC_Late_Fee_Relief_Windows_1!$F$100:$F$1865,"&lt;="&amp;C1865,CBIC_Late_Fee_Relief_Windows_1!$G$100:$G$1865,"&gt;="&amp;C1865,CBIC_Late_Fee_Relief_Windows_1!$H$100:$H$1865,D1865)</f>
        <v>#NAME?</v>
      </c>
      <c r="H1865" t="e">
        <f t="shared" ca="1" si="29"/>
        <v>#NAME?</v>
      </c>
      <c r="I1865" t="e">
        <f ca="1">INDEX(CBIC_Late_Fee_Relief_Windows_1!$B$100:$B$1865,MATCH(G1865,CBIC_Late_Fee_Relief_Windows_1!$I$100:$I$1865,0))</f>
        <v>#NAME?</v>
      </c>
    </row>
    <row r="1866" spans="1:9" x14ac:dyDescent="0.55000000000000004">
      <c r="A1866" t="str">
        <f>TEST_DATA!A1866</f>
        <v>27AAAAA1866Z5</v>
      </c>
      <c r="B1866" t="str">
        <f>TEST_DATA!B1866</f>
        <v>Apr-2021</v>
      </c>
      <c r="C1866">
        <f>TEST_DATA!C1866</f>
        <v>45112</v>
      </c>
      <c r="D1866" t="str">
        <f>TEST_DATA!D1866</f>
        <v>NON-NIL</v>
      </c>
      <c r="E1866">
        <f>TEST_DATA!E1866</f>
        <v>494</v>
      </c>
      <c r="F1866">
        <f>MIN(E1866*186600,10000)</f>
        <v>10000</v>
      </c>
      <c r="G1866" t="e">
        <f ca="1">_xludf.MINIFS(CBIC_Late_Fee_Relief_Windows_1!$I$100:$I$1866,CBIC_Late_Fee_Relief_Windows_1!$D$100:$D$1866,"&lt;="&amp;B1866,CBIC_Late_Fee_Relief_Windows_1!$E$100:$E$1866,"&gt;="&amp;B1866,CBIC_Late_Fee_Relief_Windows_1!$F$100:$F$1866,"&lt;="&amp;C1866,CBIC_Late_Fee_Relief_Windows_1!$G$100:$G$1866,"&gt;="&amp;C1866,CBIC_Late_Fee_Relief_Windows_1!$H$100:$H$1866,D1866)</f>
        <v>#NAME?</v>
      </c>
      <c r="H1866" t="e">
        <f t="shared" ca="1" si="29"/>
        <v>#NAME?</v>
      </c>
      <c r="I1866" t="e">
        <f ca="1">INDEX(CBIC_Late_Fee_Relief_Windows_1!$B$100:$B$1866,MATCH(G1866,CBIC_Late_Fee_Relief_Windows_1!$I$100:$I$1866,0))</f>
        <v>#NAME?</v>
      </c>
    </row>
    <row r="1867" spans="1:9" x14ac:dyDescent="0.55000000000000004">
      <c r="A1867" t="str">
        <f>TEST_DATA!A1867</f>
        <v>27AAAAA1867Z5</v>
      </c>
      <c r="B1867" t="str">
        <f>TEST_DATA!B1867</f>
        <v>Jun-2020</v>
      </c>
      <c r="C1867">
        <f>TEST_DATA!C1867</f>
        <v>44112</v>
      </c>
      <c r="D1867" t="str">
        <f>TEST_DATA!D1867</f>
        <v>NON-NIL</v>
      </c>
      <c r="E1867">
        <f>TEST_DATA!E1867</f>
        <v>873</v>
      </c>
      <c r="F1867">
        <f>MIN(E1867*186700,10000)</f>
        <v>10000</v>
      </c>
      <c r="G1867" t="e">
        <f ca="1">_xludf.MINIFS(CBIC_Late_Fee_Relief_Windows_1!$I$100:$I$1867,CBIC_Late_Fee_Relief_Windows_1!$D$100:$D$1867,"&lt;="&amp;B1867,CBIC_Late_Fee_Relief_Windows_1!$E$100:$E$1867,"&gt;="&amp;B1867,CBIC_Late_Fee_Relief_Windows_1!$F$100:$F$1867,"&lt;="&amp;C1867,CBIC_Late_Fee_Relief_Windows_1!$G$100:$G$1867,"&gt;="&amp;C1867,CBIC_Late_Fee_Relief_Windows_1!$H$100:$H$1867,D1867)</f>
        <v>#NAME?</v>
      </c>
      <c r="H1867" t="e">
        <f t="shared" ca="1" si="29"/>
        <v>#NAME?</v>
      </c>
      <c r="I1867" t="e">
        <f ca="1">INDEX(CBIC_Late_Fee_Relief_Windows_1!$B$100:$B$1867,MATCH(G1867,CBIC_Late_Fee_Relief_Windows_1!$I$100:$I$1867,0))</f>
        <v>#NAME?</v>
      </c>
    </row>
    <row r="1868" spans="1:9" x14ac:dyDescent="0.55000000000000004">
      <c r="A1868" t="str">
        <f>TEST_DATA!A1868</f>
        <v>27AAAAA1868Z5</v>
      </c>
      <c r="B1868" t="str">
        <f>TEST_DATA!B1868</f>
        <v>Mar-2021</v>
      </c>
      <c r="C1868">
        <f>TEST_DATA!C1868</f>
        <v>43652</v>
      </c>
      <c r="D1868" t="str">
        <f>TEST_DATA!D1868</f>
        <v>NIL</v>
      </c>
      <c r="E1868">
        <f>TEST_DATA!E1868</f>
        <v>1374</v>
      </c>
      <c r="F1868">
        <f>MIN(E1868*186800,10000)</f>
        <v>10000</v>
      </c>
      <c r="G1868" t="e">
        <f ca="1">_xludf.MINIFS(CBIC_Late_Fee_Relief_Windows_1!$I$100:$I$1868,CBIC_Late_Fee_Relief_Windows_1!$D$100:$D$1868,"&lt;="&amp;B1868,CBIC_Late_Fee_Relief_Windows_1!$E$100:$E$1868,"&gt;="&amp;B1868,CBIC_Late_Fee_Relief_Windows_1!$F$100:$F$1868,"&lt;="&amp;C1868,CBIC_Late_Fee_Relief_Windows_1!$G$100:$G$1868,"&gt;="&amp;C1868,CBIC_Late_Fee_Relief_Windows_1!$H$100:$H$1868,D1868)</f>
        <v>#NAME?</v>
      </c>
      <c r="H1868" t="e">
        <f t="shared" ca="1" si="29"/>
        <v>#NAME?</v>
      </c>
      <c r="I1868" t="e">
        <f ca="1">INDEX(CBIC_Late_Fee_Relief_Windows_1!$B$100:$B$1868,MATCH(G1868,CBIC_Late_Fee_Relief_Windows_1!$I$100:$I$1868,0))</f>
        <v>#NAME?</v>
      </c>
    </row>
    <row r="1869" spans="1:9" x14ac:dyDescent="0.55000000000000004">
      <c r="A1869" t="str">
        <f>TEST_DATA!A1869</f>
        <v>27AAAAA1869Z5</v>
      </c>
      <c r="B1869" t="str">
        <f>TEST_DATA!B1869</f>
        <v>Sep-2017</v>
      </c>
      <c r="C1869">
        <f>TEST_DATA!C1869</f>
        <v>43164</v>
      </c>
      <c r="D1869" t="str">
        <f>TEST_DATA!D1869</f>
        <v>NON-NIL</v>
      </c>
      <c r="E1869">
        <f>TEST_DATA!E1869</f>
        <v>578</v>
      </c>
      <c r="F1869">
        <f>MIN(E1869*186900,10000)</f>
        <v>10000</v>
      </c>
      <c r="G1869" t="e">
        <f ca="1">_xludf.MINIFS(CBIC_Late_Fee_Relief_Windows_1!$I$100:$I$1869,CBIC_Late_Fee_Relief_Windows_1!$D$100:$D$1869,"&lt;="&amp;B1869,CBIC_Late_Fee_Relief_Windows_1!$E$100:$E$1869,"&gt;="&amp;B1869,CBIC_Late_Fee_Relief_Windows_1!$F$100:$F$1869,"&lt;="&amp;C1869,CBIC_Late_Fee_Relief_Windows_1!$G$100:$G$1869,"&gt;="&amp;C1869,CBIC_Late_Fee_Relief_Windows_1!$H$100:$H$1869,D1869)</f>
        <v>#NAME?</v>
      </c>
      <c r="H1869" t="e">
        <f t="shared" ca="1" si="29"/>
        <v>#NAME?</v>
      </c>
      <c r="I1869" t="e">
        <f ca="1">INDEX(CBIC_Late_Fee_Relief_Windows_1!$B$100:$B$1869,MATCH(G1869,CBIC_Late_Fee_Relief_Windows_1!$I$100:$I$1869,0))</f>
        <v>#NAME?</v>
      </c>
    </row>
    <row r="1870" spans="1:9" x14ac:dyDescent="0.55000000000000004">
      <c r="A1870" t="str">
        <f>TEST_DATA!A1870</f>
        <v>27AAAAA1870Z5</v>
      </c>
      <c r="B1870" t="str">
        <f>TEST_DATA!B1870</f>
        <v>Mar-2021</v>
      </c>
      <c r="C1870">
        <f>TEST_DATA!C1870</f>
        <v>45166</v>
      </c>
      <c r="D1870" t="str">
        <f>TEST_DATA!D1870</f>
        <v>NIL</v>
      </c>
      <c r="E1870">
        <f>TEST_DATA!E1870</f>
        <v>2852</v>
      </c>
      <c r="F1870">
        <f>MIN(E1870*187000,10000)</f>
        <v>10000</v>
      </c>
      <c r="G1870" t="e">
        <f ca="1">_xludf.MINIFS(CBIC_Late_Fee_Relief_Windows_1!$I$100:$I$1870,CBIC_Late_Fee_Relief_Windows_1!$D$100:$D$1870,"&lt;="&amp;B1870,CBIC_Late_Fee_Relief_Windows_1!$E$100:$E$1870,"&gt;="&amp;B1870,CBIC_Late_Fee_Relief_Windows_1!$F$100:$F$1870,"&lt;="&amp;C1870,CBIC_Late_Fee_Relief_Windows_1!$G$100:$G$1870,"&gt;="&amp;C1870,CBIC_Late_Fee_Relief_Windows_1!$H$100:$H$1870,D1870)</f>
        <v>#NAME?</v>
      </c>
      <c r="H1870" t="e">
        <f t="shared" ca="1" si="29"/>
        <v>#NAME?</v>
      </c>
      <c r="I1870" t="e">
        <f ca="1">INDEX(CBIC_Late_Fee_Relief_Windows_1!$B$100:$B$1870,MATCH(G1870,CBIC_Late_Fee_Relief_Windows_1!$I$100:$I$1870,0))</f>
        <v>#NAME?</v>
      </c>
    </row>
    <row r="1871" spans="1:9" x14ac:dyDescent="0.55000000000000004">
      <c r="A1871" t="str">
        <f>TEST_DATA!A1871</f>
        <v>27AAAAA1871Z5</v>
      </c>
      <c r="B1871" t="str">
        <f>TEST_DATA!B1871</f>
        <v>Jun-2018</v>
      </c>
      <c r="C1871">
        <f>TEST_DATA!C1871</f>
        <v>44050</v>
      </c>
      <c r="D1871" t="str">
        <f>TEST_DATA!D1871</f>
        <v>NIL</v>
      </c>
      <c r="E1871">
        <f>TEST_DATA!E1871</f>
        <v>1796</v>
      </c>
      <c r="F1871">
        <f>MIN(E1871*187100,10000)</f>
        <v>10000</v>
      </c>
      <c r="G1871" t="e">
        <f ca="1">_xludf.MINIFS(CBIC_Late_Fee_Relief_Windows_1!$I$100:$I$1871,CBIC_Late_Fee_Relief_Windows_1!$D$100:$D$1871,"&lt;="&amp;B1871,CBIC_Late_Fee_Relief_Windows_1!$E$100:$E$1871,"&gt;="&amp;B1871,CBIC_Late_Fee_Relief_Windows_1!$F$100:$F$1871,"&lt;="&amp;C1871,CBIC_Late_Fee_Relief_Windows_1!$G$100:$G$1871,"&gt;="&amp;C1871,CBIC_Late_Fee_Relief_Windows_1!$H$100:$H$1871,D1871)</f>
        <v>#NAME?</v>
      </c>
      <c r="H1871" t="e">
        <f t="shared" ca="1" si="29"/>
        <v>#NAME?</v>
      </c>
      <c r="I1871" t="e">
        <f ca="1">INDEX(CBIC_Late_Fee_Relief_Windows_1!$B$100:$B$1871,MATCH(G1871,CBIC_Late_Fee_Relief_Windows_1!$I$100:$I$1871,0))</f>
        <v>#NAME?</v>
      </c>
    </row>
    <row r="1872" spans="1:9" x14ac:dyDescent="0.55000000000000004">
      <c r="A1872" t="str">
        <f>TEST_DATA!A1872</f>
        <v>27AAAAA1872Z5</v>
      </c>
      <c r="B1872" t="str">
        <f>TEST_DATA!B1872</f>
        <v>Feb-2018</v>
      </c>
      <c r="C1872">
        <f>TEST_DATA!C1872</f>
        <v>44108</v>
      </c>
      <c r="D1872" t="str">
        <f>TEST_DATA!D1872</f>
        <v>NIL</v>
      </c>
      <c r="E1872">
        <f>TEST_DATA!E1872</f>
        <v>546</v>
      </c>
      <c r="F1872">
        <f>MIN(E1872*187200,10000)</f>
        <v>10000</v>
      </c>
      <c r="G1872" t="e">
        <f ca="1">_xludf.MINIFS(CBIC_Late_Fee_Relief_Windows_1!$I$100:$I$1872,CBIC_Late_Fee_Relief_Windows_1!$D$100:$D$1872,"&lt;="&amp;B1872,CBIC_Late_Fee_Relief_Windows_1!$E$100:$E$1872,"&gt;="&amp;B1872,CBIC_Late_Fee_Relief_Windows_1!$F$100:$F$1872,"&lt;="&amp;C1872,CBIC_Late_Fee_Relief_Windows_1!$G$100:$G$1872,"&gt;="&amp;C1872,CBIC_Late_Fee_Relief_Windows_1!$H$100:$H$1872,D1872)</f>
        <v>#NAME?</v>
      </c>
      <c r="H1872" t="e">
        <f t="shared" ca="1" si="29"/>
        <v>#NAME?</v>
      </c>
      <c r="I1872" t="e">
        <f ca="1">INDEX(CBIC_Late_Fee_Relief_Windows_1!$B$100:$B$1872,MATCH(G1872,CBIC_Late_Fee_Relief_Windows_1!$I$100:$I$1872,0))</f>
        <v>#NAME?</v>
      </c>
    </row>
    <row r="1873" spans="1:9" x14ac:dyDescent="0.55000000000000004">
      <c r="A1873" t="str">
        <f>TEST_DATA!A1873</f>
        <v>27AAAAA1873Z5</v>
      </c>
      <c r="B1873" t="str">
        <f>TEST_DATA!B1873</f>
        <v>Oct-2017</v>
      </c>
      <c r="C1873">
        <f>TEST_DATA!C1873</f>
        <v>44537</v>
      </c>
      <c r="D1873" t="str">
        <f>TEST_DATA!D1873</f>
        <v>NON-NIL</v>
      </c>
      <c r="E1873">
        <f>TEST_DATA!E1873</f>
        <v>646</v>
      </c>
      <c r="F1873">
        <f>MIN(E1873*187300,10000)</f>
        <v>10000</v>
      </c>
      <c r="G1873" t="e">
        <f ca="1">_xludf.MINIFS(CBIC_Late_Fee_Relief_Windows_1!$I$100:$I$1873,CBIC_Late_Fee_Relief_Windows_1!$D$100:$D$1873,"&lt;="&amp;B1873,CBIC_Late_Fee_Relief_Windows_1!$E$100:$E$1873,"&gt;="&amp;B1873,CBIC_Late_Fee_Relief_Windows_1!$F$100:$F$1873,"&lt;="&amp;C1873,CBIC_Late_Fee_Relief_Windows_1!$G$100:$G$1873,"&gt;="&amp;C1873,CBIC_Late_Fee_Relief_Windows_1!$H$100:$H$1873,D1873)</f>
        <v>#NAME?</v>
      </c>
      <c r="H1873" t="e">
        <f t="shared" ca="1" si="29"/>
        <v>#NAME?</v>
      </c>
      <c r="I1873" t="e">
        <f ca="1">INDEX(CBIC_Late_Fee_Relief_Windows_1!$B$100:$B$1873,MATCH(G1873,CBIC_Late_Fee_Relief_Windows_1!$I$100:$I$1873,0))</f>
        <v>#NAME?</v>
      </c>
    </row>
    <row r="1874" spans="1:9" x14ac:dyDescent="0.55000000000000004">
      <c r="A1874" t="str">
        <f>TEST_DATA!A1874</f>
        <v>27AAAAA1874Z5</v>
      </c>
      <c r="B1874" t="str">
        <f>TEST_DATA!B1874</f>
        <v>Jul-2017</v>
      </c>
      <c r="C1874">
        <f>TEST_DATA!C1874</f>
        <v>43914</v>
      </c>
      <c r="D1874" t="str">
        <f>TEST_DATA!D1874</f>
        <v>NIL</v>
      </c>
      <c r="E1874">
        <f>TEST_DATA!E1874</f>
        <v>26</v>
      </c>
      <c r="F1874">
        <f>MIN(E1874*187400,10000)</f>
        <v>10000</v>
      </c>
      <c r="G1874" t="e">
        <f ca="1">_xludf.MINIFS(CBIC_Late_Fee_Relief_Windows_1!$I$100:$I$1874,CBIC_Late_Fee_Relief_Windows_1!$D$100:$D$1874,"&lt;="&amp;B1874,CBIC_Late_Fee_Relief_Windows_1!$E$100:$E$1874,"&gt;="&amp;B1874,CBIC_Late_Fee_Relief_Windows_1!$F$100:$F$1874,"&lt;="&amp;C1874,CBIC_Late_Fee_Relief_Windows_1!$G$100:$G$1874,"&gt;="&amp;C1874,CBIC_Late_Fee_Relief_Windows_1!$H$100:$H$1874,D1874)</f>
        <v>#NAME?</v>
      </c>
      <c r="H1874" t="e">
        <f t="shared" ca="1" si="29"/>
        <v>#NAME?</v>
      </c>
      <c r="I1874" t="e">
        <f ca="1">INDEX(CBIC_Late_Fee_Relief_Windows_1!$B$100:$B$1874,MATCH(G1874,CBIC_Late_Fee_Relief_Windows_1!$I$100:$I$1874,0))</f>
        <v>#NAME?</v>
      </c>
    </row>
    <row r="1875" spans="1:9" x14ac:dyDescent="0.55000000000000004">
      <c r="A1875" t="str">
        <f>TEST_DATA!A1875</f>
        <v>27AAAAA1875Z5</v>
      </c>
      <c r="B1875" t="str">
        <f>TEST_DATA!B1875</f>
        <v>Jul-2017</v>
      </c>
      <c r="C1875">
        <f>TEST_DATA!C1875</f>
        <v>43284</v>
      </c>
      <c r="D1875" t="str">
        <f>TEST_DATA!D1875</f>
        <v>NIL</v>
      </c>
      <c r="E1875">
        <f>TEST_DATA!E1875</f>
        <v>2894</v>
      </c>
      <c r="F1875">
        <f>MIN(E1875*187500,10000)</f>
        <v>10000</v>
      </c>
      <c r="G1875" t="e">
        <f ca="1">_xludf.MINIFS(CBIC_Late_Fee_Relief_Windows_1!$I$100:$I$1875,CBIC_Late_Fee_Relief_Windows_1!$D$100:$D$1875,"&lt;="&amp;B1875,CBIC_Late_Fee_Relief_Windows_1!$E$100:$E$1875,"&gt;="&amp;B1875,CBIC_Late_Fee_Relief_Windows_1!$F$100:$F$1875,"&lt;="&amp;C1875,CBIC_Late_Fee_Relief_Windows_1!$G$100:$G$1875,"&gt;="&amp;C1875,CBIC_Late_Fee_Relief_Windows_1!$H$100:$H$1875,D1875)</f>
        <v>#NAME?</v>
      </c>
      <c r="H1875" t="e">
        <f t="shared" ca="1" si="29"/>
        <v>#NAME?</v>
      </c>
      <c r="I1875" t="e">
        <f ca="1">INDEX(CBIC_Late_Fee_Relief_Windows_1!$B$100:$B$1875,MATCH(G1875,CBIC_Late_Fee_Relief_Windows_1!$I$100:$I$1875,0))</f>
        <v>#NAME?</v>
      </c>
    </row>
    <row r="1876" spans="1:9" x14ac:dyDescent="0.55000000000000004">
      <c r="A1876" t="str">
        <f>TEST_DATA!A1876</f>
        <v>27AAAAA1876Z5</v>
      </c>
      <c r="B1876" t="str">
        <f>TEST_DATA!B1876</f>
        <v>May-2020</v>
      </c>
      <c r="C1876">
        <f>TEST_DATA!C1876</f>
        <v>44412</v>
      </c>
      <c r="D1876" t="str">
        <f>TEST_DATA!D1876</f>
        <v>NON-NIL</v>
      </c>
      <c r="E1876">
        <f>TEST_DATA!E1876</f>
        <v>2840</v>
      </c>
      <c r="F1876">
        <f>MIN(E1876*187600,10000)</f>
        <v>10000</v>
      </c>
      <c r="G1876" t="e">
        <f ca="1">_xludf.MINIFS(CBIC_Late_Fee_Relief_Windows_1!$I$100:$I$1876,CBIC_Late_Fee_Relief_Windows_1!$D$100:$D$1876,"&lt;="&amp;B1876,CBIC_Late_Fee_Relief_Windows_1!$E$100:$E$1876,"&gt;="&amp;B1876,CBIC_Late_Fee_Relief_Windows_1!$F$100:$F$1876,"&lt;="&amp;C1876,CBIC_Late_Fee_Relief_Windows_1!$G$100:$G$1876,"&gt;="&amp;C1876,CBIC_Late_Fee_Relief_Windows_1!$H$100:$H$1876,D1876)</f>
        <v>#NAME?</v>
      </c>
      <c r="H1876" t="e">
        <f t="shared" ca="1" si="29"/>
        <v>#NAME?</v>
      </c>
      <c r="I1876" t="e">
        <f ca="1">INDEX(CBIC_Late_Fee_Relief_Windows_1!$B$100:$B$1876,MATCH(G1876,CBIC_Late_Fee_Relief_Windows_1!$I$100:$I$1876,0))</f>
        <v>#NAME?</v>
      </c>
    </row>
    <row r="1877" spans="1:9" x14ac:dyDescent="0.55000000000000004">
      <c r="A1877" t="str">
        <f>TEST_DATA!A1877</f>
        <v>27AAAAA1877Z5</v>
      </c>
      <c r="B1877" t="str">
        <f>TEST_DATA!B1877</f>
        <v>Apr-2021</v>
      </c>
      <c r="C1877">
        <f>TEST_DATA!C1877</f>
        <v>45415</v>
      </c>
      <c r="D1877" t="str">
        <f>TEST_DATA!D1877</f>
        <v>NIL</v>
      </c>
      <c r="E1877">
        <f>TEST_DATA!E1877</f>
        <v>844</v>
      </c>
      <c r="F1877">
        <f>MIN(E1877*187700,10000)</f>
        <v>10000</v>
      </c>
      <c r="G1877" t="e">
        <f ca="1">_xludf.MINIFS(CBIC_Late_Fee_Relief_Windows_1!$I$100:$I$1877,CBIC_Late_Fee_Relief_Windows_1!$D$100:$D$1877,"&lt;="&amp;B1877,CBIC_Late_Fee_Relief_Windows_1!$E$100:$E$1877,"&gt;="&amp;B1877,CBIC_Late_Fee_Relief_Windows_1!$F$100:$F$1877,"&lt;="&amp;C1877,CBIC_Late_Fee_Relief_Windows_1!$G$100:$G$1877,"&gt;="&amp;C1877,CBIC_Late_Fee_Relief_Windows_1!$H$100:$H$1877,D1877)</f>
        <v>#NAME?</v>
      </c>
      <c r="H1877" t="e">
        <f t="shared" ca="1" si="29"/>
        <v>#NAME?</v>
      </c>
      <c r="I1877" t="e">
        <f ca="1">INDEX(CBIC_Late_Fee_Relief_Windows_1!$B$100:$B$1877,MATCH(G1877,CBIC_Late_Fee_Relief_Windows_1!$I$100:$I$1877,0))</f>
        <v>#NAME?</v>
      </c>
    </row>
    <row r="1878" spans="1:9" x14ac:dyDescent="0.55000000000000004">
      <c r="A1878" t="str">
        <f>TEST_DATA!A1878</f>
        <v>27AAAAA1878Z5</v>
      </c>
      <c r="B1878" t="str">
        <f>TEST_DATA!B1878</f>
        <v>Nov-2017</v>
      </c>
      <c r="C1878">
        <f>TEST_DATA!C1878</f>
        <v>44227</v>
      </c>
      <c r="D1878" t="str">
        <f>TEST_DATA!D1878</f>
        <v>NON-NIL</v>
      </c>
      <c r="E1878">
        <f>TEST_DATA!E1878</f>
        <v>2142</v>
      </c>
      <c r="F1878">
        <f>MIN(E1878*187800,10000)</f>
        <v>10000</v>
      </c>
      <c r="G1878" t="e">
        <f ca="1">_xludf.MINIFS(CBIC_Late_Fee_Relief_Windows_1!$I$100:$I$1878,CBIC_Late_Fee_Relief_Windows_1!$D$100:$D$1878,"&lt;="&amp;B1878,CBIC_Late_Fee_Relief_Windows_1!$E$100:$E$1878,"&gt;="&amp;B1878,CBIC_Late_Fee_Relief_Windows_1!$F$100:$F$1878,"&lt;="&amp;C1878,CBIC_Late_Fee_Relief_Windows_1!$G$100:$G$1878,"&gt;="&amp;C1878,CBIC_Late_Fee_Relief_Windows_1!$H$100:$H$1878,D1878)</f>
        <v>#NAME?</v>
      </c>
      <c r="H1878" t="e">
        <f t="shared" ca="1" si="29"/>
        <v>#NAME?</v>
      </c>
      <c r="I1878" t="e">
        <f ca="1">INDEX(CBIC_Late_Fee_Relief_Windows_1!$B$100:$B$1878,MATCH(G1878,CBIC_Late_Fee_Relief_Windows_1!$I$100:$I$1878,0))</f>
        <v>#NAME?</v>
      </c>
    </row>
    <row r="1879" spans="1:9" x14ac:dyDescent="0.55000000000000004">
      <c r="A1879" t="str">
        <f>TEST_DATA!A1879</f>
        <v>27AAAAA1879Z5</v>
      </c>
      <c r="B1879" t="str">
        <f>TEST_DATA!B1879</f>
        <v>Sep-2018</v>
      </c>
      <c r="C1879">
        <f>TEST_DATA!C1879</f>
        <v>43760</v>
      </c>
      <c r="D1879" t="str">
        <f>TEST_DATA!D1879</f>
        <v>NIL</v>
      </c>
      <c r="E1879">
        <f>TEST_DATA!E1879</f>
        <v>714</v>
      </c>
      <c r="F1879">
        <f>MIN(E1879*187900,10000)</f>
        <v>10000</v>
      </c>
      <c r="G1879" t="e">
        <f ca="1">_xludf.MINIFS(CBIC_Late_Fee_Relief_Windows_1!$I$100:$I$1879,CBIC_Late_Fee_Relief_Windows_1!$D$100:$D$1879,"&lt;="&amp;B1879,CBIC_Late_Fee_Relief_Windows_1!$E$100:$E$1879,"&gt;="&amp;B1879,CBIC_Late_Fee_Relief_Windows_1!$F$100:$F$1879,"&lt;="&amp;C1879,CBIC_Late_Fee_Relief_Windows_1!$G$100:$G$1879,"&gt;="&amp;C1879,CBIC_Late_Fee_Relief_Windows_1!$H$100:$H$1879,D1879)</f>
        <v>#NAME?</v>
      </c>
      <c r="H1879" t="e">
        <f t="shared" ca="1" si="29"/>
        <v>#NAME?</v>
      </c>
      <c r="I1879" t="e">
        <f ca="1">INDEX(CBIC_Late_Fee_Relief_Windows_1!$B$100:$B$1879,MATCH(G1879,CBIC_Late_Fee_Relief_Windows_1!$I$100:$I$1879,0))</f>
        <v>#NAME?</v>
      </c>
    </row>
    <row r="1880" spans="1:9" x14ac:dyDescent="0.55000000000000004">
      <c r="A1880" t="str">
        <f>TEST_DATA!A1880</f>
        <v>27AAAAA1880Z5</v>
      </c>
      <c r="B1880" t="str">
        <f>TEST_DATA!B1880</f>
        <v>Apr-2020</v>
      </c>
      <c r="C1880">
        <f>TEST_DATA!C1880</f>
        <v>43908</v>
      </c>
      <c r="D1880" t="str">
        <f>TEST_DATA!D1880</f>
        <v>NIL</v>
      </c>
      <c r="E1880">
        <f>TEST_DATA!E1880</f>
        <v>2937</v>
      </c>
      <c r="F1880">
        <f>MIN(E1880*188000,10000)</f>
        <v>10000</v>
      </c>
      <c r="G1880" t="e">
        <f ca="1">_xludf.MINIFS(CBIC_Late_Fee_Relief_Windows_1!$I$100:$I$1880,CBIC_Late_Fee_Relief_Windows_1!$D$100:$D$1880,"&lt;="&amp;B1880,CBIC_Late_Fee_Relief_Windows_1!$E$100:$E$1880,"&gt;="&amp;B1880,CBIC_Late_Fee_Relief_Windows_1!$F$100:$F$1880,"&lt;="&amp;C1880,CBIC_Late_Fee_Relief_Windows_1!$G$100:$G$1880,"&gt;="&amp;C1880,CBIC_Late_Fee_Relief_Windows_1!$H$100:$H$1880,D1880)</f>
        <v>#NAME?</v>
      </c>
      <c r="H1880" t="e">
        <f t="shared" ca="1" si="29"/>
        <v>#NAME?</v>
      </c>
      <c r="I1880" t="e">
        <f ca="1">INDEX(CBIC_Late_Fee_Relief_Windows_1!$B$100:$B$1880,MATCH(G1880,CBIC_Late_Fee_Relief_Windows_1!$I$100:$I$1880,0))</f>
        <v>#NAME?</v>
      </c>
    </row>
    <row r="1881" spans="1:9" x14ac:dyDescent="0.55000000000000004">
      <c r="A1881" t="str">
        <f>TEST_DATA!A1881</f>
        <v>27AAAAA1881Z5</v>
      </c>
      <c r="B1881" t="str">
        <f>TEST_DATA!B1881</f>
        <v>Jan-2019</v>
      </c>
      <c r="C1881">
        <f>TEST_DATA!C1881</f>
        <v>43826</v>
      </c>
      <c r="D1881" t="str">
        <f>TEST_DATA!D1881</f>
        <v>NON-NIL</v>
      </c>
      <c r="E1881">
        <f>TEST_DATA!E1881</f>
        <v>1424</v>
      </c>
      <c r="F1881">
        <f>MIN(E1881*188100,10000)</f>
        <v>10000</v>
      </c>
      <c r="G1881" t="e">
        <f ca="1">_xludf.MINIFS(CBIC_Late_Fee_Relief_Windows_1!$I$100:$I$1881,CBIC_Late_Fee_Relief_Windows_1!$D$100:$D$1881,"&lt;="&amp;B1881,CBIC_Late_Fee_Relief_Windows_1!$E$100:$E$1881,"&gt;="&amp;B1881,CBIC_Late_Fee_Relief_Windows_1!$F$100:$F$1881,"&lt;="&amp;C1881,CBIC_Late_Fee_Relief_Windows_1!$G$100:$G$1881,"&gt;="&amp;C1881,CBIC_Late_Fee_Relief_Windows_1!$H$100:$H$1881,D1881)</f>
        <v>#NAME?</v>
      </c>
      <c r="H1881" t="e">
        <f t="shared" ca="1" si="29"/>
        <v>#NAME?</v>
      </c>
      <c r="I1881" t="e">
        <f ca="1">INDEX(CBIC_Late_Fee_Relief_Windows_1!$B$100:$B$1881,MATCH(G1881,CBIC_Late_Fee_Relief_Windows_1!$I$100:$I$1881,0))</f>
        <v>#NAME?</v>
      </c>
    </row>
    <row r="1882" spans="1:9" x14ac:dyDescent="0.55000000000000004">
      <c r="A1882" t="str">
        <f>TEST_DATA!A1882</f>
        <v>27AAAAA1882Z5</v>
      </c>
      <c r="B1882" t="str">
        <f>TEST_DATA!B1882</f>
        <v>Aug-2018</v>
      </c>
      <c r="C1882">
        <f>TEST_DATA!C1882</f>
        <v>42926</v>
      </c>
      <c r="D1882" t="str">
        <f>TEST_DATA!D1882</f>
        <v>NIL</v>
      </c>
      <c r="E1882">
        <f>TEST_DATA!E1882</f>
        <v>786</v>
      </c>
      <c r="F1882">
        <f>MIN(E1882*188200,10000)</f>
        <v>10000</v>
      </c>
      <c r="G1882" t="e">
        <f ca="1">_xludf.MINIFS(CBIC_Late_Fee_Relief_Windows_1!$I$100:$I$1882,CBIC_Late_Fee_Relief_Windows_1!$D$100:$D$1882,"&lt;="&amp;B1882,CBIC_Late_Fee_Relief_Windows_1!$E$100:$E$1882,"&gt;="&amp;B1882,CBIC_Late_Fee_Relief_Windows_1!$F$100:$F$1882,"&lt;="&amp;C1882,CBIC_Late_Fee_Relief_Windows_1!$G$100:$G$1882,"&gt;="&amp;C1882,CBIC_Late_Fee_Relief_Windows_1!$H$100:$H$1882,D1882)</f>
        <v>#NAME?</v>
      </c>
      <c r="H1882" t="e">
        <f t="shared" ca="1" si="29"/>
        <v>#NAME?</v>
      </c>
      <c r="I1882" t="e">
        <f ca="1">INDEX(CBIC_Late_Fee_Relief_Windows_1!$B$100:$B$1882,MATCH(G1882,CBIC_Late_Fee_Relief_Windows_1!$I$100:$I$1882,0))</f>
        <v>#NAME?</v>
      </c>
    </row>
    <row r="1883" spans="1:9" x14ac:dyDescent="0.55000000000000004">
      <c r="A1883" t="str">
        <f>TEST_DATA!A1883</f>
        <v>27AAAAA1883Z5</v>
      </c>
      <c r="B1883" t="str">
        <f>TEST_DATA!B1883</f>
        <v>Oct-2017</v>
      </c>
      <c r="C1883">
        <f>TEST_DATA!C1883</f>
        <v>44002</v>
      </c>
      <c r="D1883" t="str">
        <f>TEST_DATA!D1883</f>
        <v>NIL</v>
      </c>
      <c r="E1883">
        <f>TEST_DATA!E1883</f>
        <v>2535</v>
      </c>
      <c r="F1883">
        <f>MIN(E1883*188300,10000)</f>
        <v>10000</v>
      </c>
      <c r="G1883" t="e">
        <f ca="1">_xludf.MINIFS(CBIC_Late_Fee_Relief_Windows_1!$I$100:$I$1883,CBIC_Late_Fee_Relief_Windows_1!$D$100:$D$1883,"&lt;="&amp;B1883,CBIC_Late_Fee_Relief_Windows_1!$E$100:$E$1883,"&gt;="&amp;B1883,CBIC_Late_Fee_Relief_Windows_1!$F$100:$F$1883,"&lt;="&amp;C1883,CBIC_Late_Fee_Relief_Windows_1!$G$100:$G$1883,"&gt;="&amp;C1883,CBIC_Late_Fee_Relief_Windows_1!$H$100:$H$1883,D1883)</f>
        <v>#NAME?</v>
      </c>
      <c r="H1883" t="e">
        <f t="shared" ca="1" si="29"/>
        <v>#NAME?</v>
      </c>
      <c r="I1883" t="e">
        <f ca="1">INDEX(CBIC_Late_Fee_Relief_Windows_1!$B$100:$B$1883,MATCH(G1883,CBIC_Late_Fee_Relief_Windows_1!$I$100:$I$1883,0))</f>
        <v>#NAME?</v>
      </c>
    </row>
    <row r="1884" spans="1:9" x14ac:dyDescent="0.55000000000000004">
      <c r="A1884" t="str">
        <f>TEST_DATA!A1884</f>
        <v>27AAAAA1884Z5</v>
      </c>
      <c r="B1884" t="str">
        <f>TEST_DATA!B1884</f>
        <v>Jun-2018</v>
      </c>
      <c r="C1884">
        <f>TEST_DATA!C1884</f>
        <v>44475</v>
      </c>
      <c r="D1884" t="str">
        <f>TEST_DATA!D1884</f>
        <v>NIL</v>
      </c>
      <c r="E1884">
        <f>TEST_DATA!E1884</f>
        <v>1901</v>
      </c>
      <c r="F1884">
        <f>MIN(E1884*188400,10000)</f>
        <v>10000</v>
      </c>
      <c r="G1884" t="e">
        <f ca="1">_xludf.MINIFS(CBIC_Late_Fee_Relief_Windows_1!$I$100:$I$1884,CBIC_Late_Fee_Relief_Windows_1!$D$100:$D$1884,"&lt;="&amp;B1884,CBIC_Late_Fee_Relief_Windows_1!$E$100:$E$1884,"&gt;="&amp;B1884,CBIC_Late_Fee_Relief_Windows_1!$F$100:$F$1884,"&lt;="&amp;C1884,CBIC_Late_Fee_Relief_Windows_1!$G$100:$G$1884,"&gt;="&amp;C1884,CBIC_Late_Fee_Relief_Windows_1!$H$100:$H$1884,D1884)</f>
        <v>#NAME?</v>
      </c>
      <c r="H1884" t="e">
        <f t="shared" ca="1" si="29"/>
        <v>#NAME?</v>
      </c>
      <c r="I1884" t="e">
        <f ca="1">INDEX(CBIC_Late_Fee_Relief_Windows_1!$B$100:$B$1884,MATCH(G1884,CBIC_Late_Fee_Relief_Windows_1!$I$100:$I$1884,0))</f>
        <v>#NAME?</v>
      </c>
    </row>
    <row r="1885" spans="1:9" x14ac:dyDescent="0.55000000000000004">
      <c r="A1885" t="str">
        <f>TEST_DATA!A1885</f>
        <v>27AAAAA1885Z5</v>
      </c>
      <c r="B1885" t="str">
        <f>TEST_DATA!B1885</f>
        <v>Mar-2021</v>
      </c>
      <c r="C1885">
        <f>TEST_DATA!C1885</f>
        <v>44318</v>
      </c>
      <c r="D1885" t="str">
        <f>TEST_DATA!D1885</f>
        <v>NON-NIL</v>
      </c>
      <c r="E1885">
        <f>TEST_DATA!E1885</f>
        <v>217</v>
      </c>
      <c r="F1885">
        <f>MIN(E1885*188500,10000)</f>
        <v>10000</v>
      </c>
      <c r="G1885" t="e">
        <f ca="1">_xludf.MINIFS(CBIC_Late_Fee_Relief_Windows_1!$I$100:$I$1885,CBIC_Late_Fee_Relief_Windows_1!$D$100:$D$1885,"&lt;="&amp;B1885,CBIC_Late_Fee_Relief_Windows_1!$E$100:$E$1885,"&gt;="&amp;B1885,CBIC_Late_Fee_Relief_Windows_1!$F$100:$F$1885,"&lt;="&amp;C1885,CBIC_Late_Fee_Relief_Windows_1!$G$100:$G$1885,"&gt;="&amp;C1885,CBIC_Late_Fee_Relief_Windows_1!$H$100:$H$1885,D1885)</f>
        <v>#NAME?</v>
      </c>
      <c r="H1885" t="e">
        <f t="shared" ca="1" si="29"/>
        <v>#NAME?</v>
      </c>
      <c r="I1885" t="e">
        <f ca="1">INDEX(CBIC_Late_Fee_Relief_Windows_1!$B$100:$B$1885,MATCH(G1885,CBIC_Late_Fee_Relief_Windows_1!$I$100:$I$1885,0))</f>
        <v>#NAME?</v>
      </c>
    </row>
    <row r="1886" spans="1:9" x14ac:dyDescent="0.55000000000000004">
      <c r="A1886" t="str">
        <f>TEST_DATA!A1886</f>
        <v>27AAAAA1886Z5</v>
      </c>
      <c r="B1886" t="str">
        <f>TEST_DATA!B1886</f>
        <v>Jan-2018</v>
      </c>
      <c r="C1886">
        <f>TEST_DATA!C1886</f>
        <v>43147</v>
      </c>
      <c r="D1886" t="str">
        <f>TEST_DATA!D1886</f>
        <v>NIL</v>
      </c>
      <c r="E1886">
        <f>TEST_DATA!E1886</f>
        <v>2806</v>
      </c>
      <c r="F1886">
        <f>MIN(E1886*188600,10000)</f>
        <v>10000</v>
      </c>
      <c r="G1886" t="e">
        <f ca="1">_xludf.MINIFS(CBIC_Late_Fee_Relief_Windows_1!$I$100:$I$1886,CBIC_Late_Fee_Relief_Windows_1!$D$100:$D$1886,"&lt;="&amp;B1886,CBIC_Late_Fee_Relief_Windows_1!$E$100:$E$1886,"&gt;="&amp;B1886,CBIC_Late_Fee_Relief_Windows_1!$F$100:$F$1886,"&lt;="&amp;C1886,CBIC_Late_Fee_Relief_Windows_1!$G$100:$G$1886,"&gt;="&amp;C1886,CBIC_Late_Fee_Relief_Windows_1!$H$100:$H$1886,D1886)</f>
        <v>#NAME?</v>
      </c>
      <c r="H1886" t="e">
        <f t="shared" ca="1" si="29"/>
        <v>#NAME?</v>
      </c>
      <c r="I1886" t="e">
        <f ca="1">INDEX(CBIC_Late_Fee_Relief_Windows_1!$B$100:$B$1886,MATCH(G1886,CBIC_Late_Fee_Relief_Windows_1!$I$100:$I$1886,0))</f>
        <v>#NAME?</v>
      </c>
    </row>
    <row r="1887" spans="1:9" x14ac:dyDescent="0.55000000000000004">
      <c r="A1887" t="str">
        <f>TEST_DATA!A1887</f>
        <v>27AAAAA1887Z5</v>
      </c>
      <c r="B1887" t="str">
        <f>TEST_DATA!B1887</f>
        <v>Mar-2023</v>
      </c>
      <c r="C1887">
        <f>TEST_DATA!C1887</f>
        <v>45409</v>
      </c>
      <c r="D1887" t="str">
        <f>TEST_DATA!D1887</f>
        <v>NON-NIL</v>
      </c>
      <c r="E1887">
        <f>TEST_DATA!E1887</f>
        <v>722</v>
      </c>
      <c r="F1887">
        <f>MIN(E1887*188700,10000)</f>
        <v>10000</v>
      </c>
      <c r="G1887" t="e">
        <f ca="1">_xludf.MINIFS(CBIC_Late_Fee_Relief_Windows_1!$I$100:$I$1887,CBIC_Late_Fee_Relief_Windows_1!$D$100:$D$1887,"&lt;="&amp;B1887,CBIC_Late_Fee_Relief_Windows_1!$E$100:$E$1887,"&gt;="&amp;B1887,CBIC_Late_Fee_Relief_Windows_1!$F$100:$F$1887,"&lt;="&amp;C1887,CBIC_Late_Fee_Relief_Windows_1!$G$100:$G$1887,"&gt;="&amp;C1887,CBIC_Late_Fee_Relief_Windows_1!$H$100:$H$1887,D1887)</f>
        <v>#NAME?</v>
      </c>
      <c r="H1887" t="e">
        <f t="shared" ca="1" si="29"/>
        <v>#NAME?</v>
      </c>
      <c r="I1887" t="e">
        <f ca="1">INDEX(CBIC_Late_Fee_Relief_Windows_1!$B$100:$B$1887,MATCH(G1887,CBIC_Late_Fee_Relief_Windows_1!$I$100:$I$1887,0))</f>
        <v>#NAME?</v>
      </c>
    </row>
    <row r="1888" spans="1:9" x14ac:dyDescent="0.55000000000000004">
      <c r="A1888" t="str">
        <f>TEST_DATA!A1888</f>
        <v>27AAAAA1888Z5</v>
      </c>
      <c r="B1888" t="str">
        <f>TEST_DATA!B1888</f>
        <v>Dec-2017</v>
      </c>
      <c r="C1888">
        <f>TEST_DATA!C1888</f>
        <v>44289</v>
      </c>
      <c r="D1888" t="str">
        <f>TEST_DATA!D1888</f>
        <v>NIL</v>
      </c>
      <c r="E1888">
        <f>TEST_DATA!E1888</f>
        <v>221</v>
      </c>
      <c r="F1888">
        <f>MIN(E1888*188800,10000)</f>
        <v>10000</v>
      </c>
      <c r="G1888" t="e">
        <f ca="1">_xludf.MINIFS(CBIC_Late_Fee_Relief_Windows_1!$I$100:$I$1888,CBIC_Late_Fee_Relief_Windows_1!$D$100:$D$1888,"&lt;="&amp;B1888,CBIC_Late_Fee_Relief_Windows_1!$E$100:$E$1888,"&gt;="&amp;B1888,CBIC_Late_Fee_Relief_Windows_1!$F$100:$F$1888,"&lt;="&amp;C1888,CBIC_Late_Fee_Relief_Windows_1!$G$100:$G$1888,"&gt;="&amp;C1888,CBIC_Late_Fee_Relief_Windows_1!$H$100:$H$1888,D1888)</f>
        <v>#NAME?</v>
      </c>
      <c r="H1888" t="e">
        <f t="shared" ca="1" si="29"/>
        <v>#NAME?</v>
      </c>
      <c r="I1888" t="e">
        <f ca="1">INDEX(CBIC_Late_Fee_Relief_Windows_1!$B$100:$B$1888,MATCH(G1888,CBIC_Late_Fee_Relief_Windows_1!$I$100:$I$1888,0))</f>
        <v>#NAME?</v>
      </c>
    </row>
    <row r="1889" spans="1:9" x14ac:dyDescent="0.55000000000000004">
      <c r="A1889" t="str">
        <f>TEST_DATA!A1889</f>
        <v>27AAAAA1889Z5</v>
      </c>
      <c r="B1889" t="str">
        <f>TEST_DATA!B1889</f>
        <v>May-2020</v>
      </c>
      <c r="C1889">
        <f>TEST_DATA!C1889</f>
        <v>44576</v>
      </c>
      <c r="D1889" t="str">
        <f>TEST_DATA!D1889</f>
        <v>NON-NIL</v>
      </c>
      <c r="E1889">
        <f>TEST_DATA!E1889</f>
        <v>858</v>
      </c>
      <c r="F1889">
        <f>MIN(E1889*188900,10000)</f>
        <v>10000</v>
      </c>
      <c r="G1889" t="e">
        <f ca="1">_xludf.MINIFS(CBIC_Late_Fee_Relief_Windows_1!$I$100:$I$1889,CBIC_Late_Fee_Relief_Windows_1!$D$100:$D$1889,"&lt;="&amp;B1889,CBIC_Late_Fee_Relief_Windows_1!$E$100:$E$1889,"&gt;="&amp;B1889,CBIC_Late_Fee_Relief_Windows_1!$F$100:$F$1889,"&lt;="&amp;C1889,CBIC_Late_Fee_Relief_Windows_1!$G$100:$G$1889,"&gt;="&amp;C1889,CBIC_Late_Fee_Relief_Windows_1!$H$100:$H$1889,D1889)</f>
        <v>#NAME?</v>
      </c>
      <c r="H1889" t="e">
        <f t="shared" ca="1" si="29"/>
        <v>#NAME?</v>
      </c>
      <c r="I1889" t="e">
        <f ca="1">INDEX(CBIC_Late_Fee_Relief_Windows_1!$B$100:$B$1889,MATCH(G1889,CBIC_Late_Fee_Relief_Windows_1!$I$100:$I$1889,0))</f>
        <v>#NAME?</v>
      </c>
    </row>
    <row r="1890" spans="1:9" x14ac:dyDescent="0.55000000000000004">
      <c r="A1890" t="str">
        <f>TEST_DATA!A1890</f>
        <v>27AAAAA1890Z5</v>
      </c>
      <c r="B1890" t="str">
        <f>TEST_DATA!B1890</f>
        <v>Aug-2018</v>
      </c>
      <c r="C1890">
        <f>TEST_DATA!C1890</f>
        <v>43431</v>
      </c>
      <c r="D1890" t="str">
        <f>TEST_DATA!D1890</f>
        <v>NON-NIL</v>
      </c>
      <c r="E1890">
        <f>TEST_DATA!E1890</f>
        <v>2526</v>
      </c>
      <c r="F1890">
        <f>MIN(E1890*189000,10000)</f>
        <v>10000</v>
      </c>
      <c r="G1890" t="e">
        <f ca="1">_xludf.MINIFS(CBIC_Late_Fee_Relief_Windows_1!$I$100:$I$1890,CBIC_Late_Fee_Relief_Windows_1!$D$100:$D$1890,"&lt;="&amp;B1890,CBIC_Late_Fee_Relief_Windows_1!$E$100:$E$1890,"&gt;="&amp;B1890,CBIC_Late_Fee_Relief_Windows_1!$F$100:$F$1890,"&lt;="&amp;C1890,CBIC_Late_Fee_Relief_Windows_1!$G$100:$G$1890,"&gt;="&amp;C1890,CBIC_Late_Fee_Relief_Windows_1!$H$100:$H$1890,D1890)</f>
        <v>#NAME?</v>
      </c>
      <c r="H1890" t="e">
        <f t="shared" ca="1" si="29"/>
        <v>#NAME?</v>
      </c>
      <c r="I1890" t="e">
        <f ca="1">INDEX(CBIC_Late_Fee_Relief_Windows_1!$B$100:$B$1890,MATCH(G1890,CBIC_Late_Fee_Relief_Windows_1!$I$100:$I$1890,0))</f>
        <v>#NAME?</v>
      </c>
    </row>
    <row r="1891" spans="1:9" x14ac:dyDescent="0.55000000000000004">
      <c r="A1891" t="str">
        <f>TEST_DATA!A1891</f>
        <v>27AAAAA1891Z5</v>
      </c>
      <c r="B1891" t="str">
        <f>TEST_DATA!B1891</f>
        <v>Apr-2021</v>
      </c>
      <c r="C1891">
        <f>TEST_DATA!C1891</f>
        <v>45322</v>
      </c>
      <c r="D1891" t="str">
        <f>TEST_DATA!D1891</f>
        <v>NIL</v>
      </c>
      <c r="E1891">
        <f>TEST_DATA!E1891</f>
        <v>427</v>
      </c>
      <c r="F1891">
        <f>MIN(E1891*189100,10000)</f>
        <v>10000</v>
      </c>
      <c r="G1891" t="e">
        <f ca="1">_xludf.MINIFS(CBIC_Late_Fee_Relief_Windows_1!$I$100:$I$1891,CBIC_Late_Fee_Relief_Windows_1!$D$100:$D$1891,"&lt;="&amp;B1891,CBIC_Late_Fee_Relief_Windows_1!$E$100:$E$1891,"&gt;="&amp;B1891,CBIC_Late_Fee_Relief_Windows_1!$F$100:$F$1891,"&lt;="&amp;C1891,CBIC_Late_Fee_Relief_Windows_1!$G$100:$G$1891,"&gt;="&amp;C1891,CBIC_Late_Fee_Relief_Windows_1!$H$100:$H$1891,D1891)</f>
        <v>#NAME?</v>
      </c>
      <c r="H1891" t="e">
        <f t="shared" ca="1" si="29"/>
        <v>#NAME?</v>
      </c>
      <c r="I1891" t="e">
        <f ca="1">INDEX(CBIC_Late_Fee_Relief_Windows_1!$B$100:$B$1891,MATCH(G1891,CBIC_Late_Fee_Relief_Windows_1!$I$100:$I$1891,0))</f>
        <v>#NAME?</v>
      </c>
    </row>
    <row r="1892" spans="1:9" x14ac:dyDescent="0.55000000000000004">
      <c r="A1892" t="str">
        <f>TEST_DATA!A1892</f>
        <v>27AAAAA1892Z5</v>
      </c>
      <c r="B1892" t="str">
        <f>TEST_DATA!B1892</f>
        <v>Jan-2021</v>
      </c>
      <c r="C1892">
        <f>TEST_DATA!C1892</f>
        <v>43680</v>
      </c>
      <c r="D1892" t="str">
        <f>TEST_DATA!D1892</f>
        <v>NIL</v>
      </c>
      <c r="E1892">
        <f>TEST_DATA!E1892</f>
        <v>647</v>
      </c>
      <c r="F1892">
        <f>MIN(E1892*189200,10000)</f>
        <v>10000</v>
      </c>
      <c r="G1892" t="e">
        <f ca="1">_xludf.MINIFS(CBIC_Late_Fee_Relief_Windows_1!$I$100:$I$1892,CBIC_Late_Fee_Relief_Windows_1!$D$100:$D$1892,"&lt;="&amp;B1892,CBIC_Late_Fee_Relief_Windows_1!$E$100:$E$1892,"&gt;="&amp;B1892,CBIC_Late_Fee_Relief_Windows_1!$F$100:$F$1892,"&lt;="&amp;C1892,CBIC_Late_Fee_Relief_Windows_1!$G$100:$G$1892,"&gt;="&amp;C1892,CBIC_Late_Fee_Relief_Windows_1!$H$100:$H$1892,D1892)</f>
        <v>#NAME?</v>
      </c>
      <c r="H1892" t="e">
        <f t="shared" ca="1" si="29"/>
        <v>#NAME?</v>
      </c>
      <c r="I1892" t="e">
        <f ca="1">INDEX(CBIC_Late_Fee_Relief_Windows_1!$B$100:$B$1892,MATCH(G1892,CBIC_Late_Fee_Relief_Windows_1!$I$100:$I$1892,0))</f>
        <v>#NAME?</v>
      </c>
    </row>
    <row r="1893" spans="1:9" x14ac:dyDescent="0.55000000000000004">
      <c r="A1893" t="str">
        <f>TEST_DATA!A1893</f>
        <v>27AAAAA1893Z5</v>
      </c>
      <c r="B1893" t="str">
        <f>TEST_DATA!B1893</f>
        <v>Apr-2021</v>
      </c>
      <c r="C1893">
        <f>TEST_DATA!C1893</f>
        <v>43585</v>
      </c>
      <c r="D1893" t="str">
        <f>TEST_DATA!D1893</f>
        <v>NON-NIL</v>
      </c>
      <c r="E1893">
        <f>TEST_DATA!E1893</f>
        <v>2109</v>
      </c>
      <c r="F1893">
        <f>MIN(E1893*189300,10000)</f>
        <v>10000</v>
      </c>
      <c r="G1893" t="e">
        <f ca="1">_xludf.MINIFS(CBIC_Late_Fee_Relief_Windows_1!$I$100:$I$1893,CBIC_Late_Fee_Relief_Windows_1!$D$100:$D$1893,"&lt;="&amp;B1893,CBIC_Late_Fee_Relief_Windows_1!$E$100:$E$1893,"&gt;="&amp;B1893,CBIC_Late_Fee_Relief_Windows_1!$F$100:$F$1893,"&lt;="&amp;C1893,CBIC_Late_Fee_Relief_Windows_1!$G$100:$G$1893,"&gt;="&amp;C1893,CBIC_Late_Fee_Relief_Windows_1!$H$100:$H$1893,D1893)</f>
        <v>#NAME?</v>
      </c>
      <c r="H1893" t="e">
        <f t="shared" ca="1" si="29"/>
        <v>#NAME?</v>
      </c>
      <c r="I1893" t="e">
        <f ca="1">INDEX(CBIC_Late_Fee_Relief_Windows_1!$B$100:$B$1893,MATCH(G1893,CBIC_Late_Fee_Relief_Windows_1!$I$100:$I$1893,0))</f>
        <v>#NAME?</v>
      </c>
    </row>
    <row r="1894" spans="1:9" x14ac:dyDescent="0.55000000000000004">
      <c r="A1894" t="str">
        <f>TEST_DATA!A1894</f>
        <v>27AAAAA1894Z5</v>
      </c>
      <c r="B1894" t="str">
        <f>TEST_DATA!B1894</f>
        <v>Oct-2017</v>
      </c>
      <c r="C1894">
        <f>TEST_DATA!C1894</f>
        <v>43062</v>
      </c>
      <c r="D1894" t="str">
        <f>TEST_DATA!D1894</f>
        <v>NIL</v>
      </c>
      <c r="E1894">
        <f>TEST_DATA!E1894</f>
        <v>2954</v>
      </c>
      <c r="F1894">
        <f>MIN(E1894*189400,10000)</f>
        <v>10000</v>
      </c>
      <c r="G1894" t="e">
        <f ca="1">_xludf.MINIFS(CBIC_Late_Fee_Relief_Windows_1!$I$100:$I$1894,CBIC_Late_Fee_Relief_Windows_1!$D$100:$D$1894,"&lt;="&amp;B1894,CBIC_Late_Fee_Relief_Windows_1!$E$100:$E$1894,"&gt;="&amp;B1894,CBIC_Late_Fee_Relief_Windows_1!$F$100:$F$1894,"&lt;="&amp;C1894,CBIC_Late_Fee_Relief_Windows_1!$G$100:$G$1894,"&gt;="&amp;C1894,CBIC_Late_Fee_Relief_Windows_1!$H$100:$H$1894,D1894)</f>
        <v>#NAME?</v>
      </c>
      <c r="H1894" t="e">
        <f t="shared" ca="1" si="29"/>
        <v>#NAME?</v>
      </c>
      <c r="I1894" t="e">
        <f ca="1">INDEX(CBIC_Late_Fee_Relief_Windows_1!$B$100:$B$1894,MATCH(G1894,CBIC_Late_Fee_Relief_Windows_1!$I$100:$I$1894,0))</f>
        <v>#NAME?</v>
      </c>
    </row>
    <row r="1895" spans="1:9" x14ac:dyDescent="0.55000000000000004">
      <c r="A1895" t="str">
        <f>TEST_DATA!A1895</f>
        <v>27AAAAA1895Z5</v>
      </c>
      <c r="B1895" t="str">
        <f>TEST_DATA!B1895</f>
        <v>Sep-2018</v>
      </c>
      <c r="C1895">
        <f>TEST_DATA!C1895</f>
        <v>44130</v>
      </c>
      <c r="D1895" t="str">
        <f>TEST_DATA!D1895</f>
        <v>NON-NIL</v>
      </c>
      <c r="E1895">
        <f>TEST_DATA!E1895</f>
        <v>1716</v>
      </c>
      <c r="F1895">
        <f>MIN(E1895*189500,10000)</f>
        <v>10000</v>
      </c>
      <c r="G1895" t="e">
        <f ca="1">_xludf.MINIFS(CBIC_Late_Fee_Relief_Windows_1!$I$100:$I$1895,CBIC_Late_Fee_Relief_Windows_1!$D$100:$D$1895,"&lt;="&amp;B1895,CBIC_Late_Fee_Relief_Windows_1!$E$100:$E$1895,"&gt;="&amp;B1895,CBIC_Late_Fee_Relief_Windows_1!$F$100:$F$1895,"&lt;="&amp;C1895,CBIC_Late_Fee_Relief_Windows_1!$G$100:$G$1895,"&gt;="&amp;C1895,CBIC_Late_Fee_Relief_Windows_1!$H$100:$H$1895,D1895)</f>
        <v>#NAME?</v>
      </c>
      <c r="H1895" t="e">
        <f t="shared" ca="1" si="29"/>
        <v>#NAME?</v>
      </c>
      <c r="I1895" t="e">
        <f ca="1">INDEX(CBIC_Late_Fee_Relief_Windows_1!$B$100:$B$1895,MATCH(G1895,CBIC_Late_Fee_Relief_Windows_1!$I$100:$I$1895,0))</f>
        <v>#NAME?</v>
      </c>
    </row>
    <row r="1896" spans="1:9" x14ac:dyDescent="0.55000000000000004">
      <c r="A1896" t="str">
        <f>TEST_DATA!A1896</f>
        <v>27AAAAA1896Z5</v>
      </c>
      <c r="B1896" t="str">
        <f>TEST_DATA!B1896</f>
        <v>Jan-2018</v>
      </c>
      <c r="C1896">
        <f>TEST_DATA!C1896</f>
        <v>44447</v>
      </c>
      <c r="D1896" t="str">
        <f>TEST_DATA!D1896</f>
        <v>NON-NIL</v>
      </c>
      <c r="E1896">
        <f>TEST_DATA!E1896</f>
        <v>942</v>
      </c>
      <c r="F1896">
        <f>MIN(E1896*189600,10000)</f>
        <v>10000</v>
      </c>
      <c r="G1896" t="e">
        <f ca="1">_xludf.MINIFS(CBIC_Late_Fee_Relief_Windows_1!$I$100:$I$1896,CBIC_Late_Fee_Relief_Windows_1!$D$100:$D$1896,"&lt;="&amp;B1896,CBIC_Late_Fee_Relief_Windows_1!$E$100:$E$1896,"&gt;="&amp;B1896,CBIC_Late_Fee_Relief_Windows_1!$F$100:$F$1896,"&lt;="&amp;C1896,CBIC_Late_Fee_Relief_Windows_1!$G$100:$G$1896,"&gt;="&amp;C1896,CBIC_Late_Fee_Relief_Windows_1!$H$100:$H$1896,D1896)</f>
        <v>#NAME?</v>
      </c>
      <c r="H1896" t="e">
        <f t="shared" ca="1" si="29"/>
        <v>#NAME?</v>
      </c>
      <c r="I1896" t="e">
        <f ca="1">INDEX(CBIC_Late_Fee_Relief_Windows_1!$B$100:$B$1896,MATCH(G1896,CBIC_Late_Fee_Relief_Windows_1!$I$100:$I$1896,0))</f>
        <v>#NAME?</v>
      </c>
    </row>
    <row r="1897" spans="1:9" x14ac:dyDescent="0.55000000000000004">
      <c r="A1897" t="str">
        <f>TEST_DATA!A1897</f>
        <v>27AAAAA1897Z5</v>
      </c>
      <c r="B1897" t="str">
        <f>TEST_DATA!B1897</f>
        <v>Mar-2021</v>
      </c>
      <c r="C1897">
        <f>TEST_DATA!C1897</f>
        <v>43917</v>
      </c>
      <c r="D1897" t="str">
        <f>TEST_DATA!D1897</f>
        <v>NON-NIL</v>
      </c>
      <c r="E1897">
        <f>TEST_DATA!E1897</f>
        <v>932</v>
      </c>
      <c r="F1897">
        <f>MIN(E1897*189700,10000)</f>
        <v>10000</v>
      </c>
      <c r="G1897" t="e">
        <f ca="1">_xludf.MINIFS(CBIC_Late_Fee_Relief_Windows_1!$I$100:$I$1897,CBIC_Late_Fee_Relief_Windows_1!$D$100:$D$1897,"&lt;="&amp;B1897,CBIC_Late_Fee_Relief_Windows_1!$E$100:$E$1897,"&gt;="&amp;B1897,CBIC_Late_Fee_Relief_Windows_1!$F$100:$F$1897,"&lt;="&amp;C1897,CBIC_Late_Fee_Relief_Windows_1!$G$100:$G$1897,"&gt;="&amp;C1897,CBIC_Late_Fee_Relief_Windows_1!$H$100:$H$1897,D1897)</f>
        <v>#NAME?</v>
      </c>
      <c r="H1897" t="e">
        <f t="shared" ca="1" si="29"/>
        <v>#NAME?</v>
      </c>
      <c r="I1897" t="e">
        <f ca="1">INDEX(CBIC_Late_Fee_Relief_Windows_1!$B$100:$B$1897,MATCH(G1897,CBIC_Late_Fee_Relief_Windows_1!$I$100:$I$1897,0))</f>
        <v>#NAME?</v>
      </c>
    </row>
    <row r="1898" spans="1:9" x14ac:dyDescent="0.55000000000000004">
      <c r="A1898" t="str">
        <f>TEST_DATA!A1898</f>
        <v>27AAAAA1898Z5</v>
      </c>
      <c r="B1898" t="str">
        <f>TEST_DATA!B1898</f>
        <v>Oct-2017</v>
      </c>
      <c r="C1898">
        <f>TEST_DATA!C1898</f>
        <v>43402</v>
      </c>
      <c r="D1898" t="str">
        <f>TEST_DATA!D1898</f>
        <v>NON-NIL</v>
      </c>
      <c r="E1898">
        <f>TEST_DATA!E1898</f>
        <v>819</v>
      </c>
      <c r="F1898">
        <f>MIN(E1898*189800,10000)</f>
        <v>10000</v>
      </c>
      <c r="G1898" t="e">
        <f ca="1">_xludf.MINIFS(CBIC_Late_Fee_Relief_Windows_1!$I$100:$I$1898,CBIC_Late_Fee_Relief_Windows_1!$D$100:$D$1898,"&lt;="&amp;B1898,CBIC_Late_Fee_Relief_Windows_1!$E$100:$E$1898,"&gt;="&amp;B1898,CBIC_Late_Fee_Relief_Windows_1!$F$100:$F$1898,"&lt;="&amp;C1898,CBIC_Late_Fee_Relief_Windows_1!$G$100:$G$1898,"&gt;="&amp;C1898,CBIC_Late_Fee_Relief_Windows_1!$H$100:$H$1898,D1898)</f>
        <v>#NAME?</v>
      </c>
      <c r="H1898" t="e">
        <f t="shared" ca="1" si="29"/>
        <v>#NAME?</v>
      </c>
      <c r="I1898" t="e">
        <f ca="1">INDEX(CBIC_Late_Fee_Relief_Windows_1!$B$100:$B$1898,MATCH(G1898,CBIC_Late_Fee_Relief_Windows_1!$I$100:$I$1898,0))</f>
        <v>#NAME?</v>
      </c>
    </row>
    <row r="1899" spans="1:9" x14ac:dyDescent="0.55000000000000004">
      <c r="A1899" t="str">
        <f>TEST_DATA!A1899</f>
        <v>27AAAAA1899Z5</v>
      </c>
      <c r="B1899" t="str">
        <f>TEST_DATA!B1899</f>
        <v>Jul-2018</v>
      </c>
      <c r="C1899">
        <f>TEST_DATA!C1899</f>
        <v>43368</v>
      </c>
      <c r="D1899" t="str">
        <f>TEST_DATA!D1899</f>
        <v>NIL</v>
      </c>
      <c r="E1899">
        <f>TEST_DATA!E1899</f>
        <v>1929</v>
      </c>
      <c r="F1899">
        <f>MIN(E1899*189900,10000)</f>
        <v>10000</v>
      </c>
      <c r="G1899" t="e">
        <f ca="1">_xludf.MINIFS(CBIC_Late_Fee_Relief_Windows_1!$I$100:$I$1899,CBIC_Late_Fee_Relief_Windows_1!$D$100:$D$1899,"&lt;="&amp;B1899,CBIC_Late_Fee_Relief_Windows_1!$E$100:$E$1899,"&gt;="&amp;B1899,CBIC_Late_Fee_Relief_Windows_1!$F$100:$F$1899,"&lt;="&amp;C1899,CBIC_Late_Fee_Relief_Windows_1!$G$100:$G$1899,"&gt;="&amp;C1899,CBIC_Late_Fee_Relief_Windows_1!$H$100:$H$1899,D1899)</f>
        <v>#NAME?</v>
      </c>
      <c r="H1899" t="e">
        <f t="shared" ca="1" si="29"/>
        <v>#NAME?</v>
      </c>
      <c r="I1899" t="e">
        <f ca="1">INDEX(CBIC_Late_Fee_Relief_Windows_1!$B$100:$B$1899,MATCH(G1899,CBIC_Late_Fee_Relief_Windows_1!$I$100:$I$1899,0))</f>
        <v>#NAME?</v>
      </c>
    </row>
    <row r="1900" spans="1:9" x14ac:dyDescent="0.55000000000000004">
      <c r="A1900" t="str">
        <f>TEST_DATA!A1900</f>
        <v>27AAAAA1900Z5</v>
      </c>
      <c r="B1900" t="str">
        <f>TEST_DATA!B1900</f>
        <v>Mar-2020</v>
      </c>
      <c r="C1900">
        <f>TEST_DATA!C1900</f>
        <v>44823</v>
      </c>
      <c r="D1900" t="str">
        <f>TEST_DATA!D1900</f>
        <v>NIL</v>
      </c>
      <c r="E1900">
        <f>TEST_DATA!E1900</f>
        <v>1785</v>
      </c>
      <c r="F1900">
        <f>MIN(E1900*190000,10000)</f>
        <v>10000</v>
      </c>
      <c r="G1900" t="e">
        <f ca="1">_xludf.MINIFS(CBIC_Late_Fee_Relief_Windows_1!$I$100:$I$1900,CBIC_Late_Fee_Relief_Windows_1!$D$100:$D$1900,"&lt;="&amp;B1900,CBIC_Late_Fee_Relief_Windows_1!$E$100:$E$1900,"&gt;="&amp;B1900,CBIC_Late_Fee_Relief_Windows_1!$F$100:$F$1900,"&lt;="&amp;C1900,CBIC_Late_Fee_Relief_Windows_1!$G$100:$G$1900,"&gt;="&amp;C1900,CBIC_Late_Fee_Relief_Windows_1!$H$100:$H$1900,D1900)</f>
        <v>#NAME?</v>
      </c>
      <c r="H1900" t="e">
        <f t="shared" ca="1" si="29"/>
        <v>#NAME?</v>
      </c>
      <c r="I1900" t="e">
        <f ca="1">INDEX(CBIC_Late_Fee_Relief_Windows_1!$B$100:$B$1900,MATCH(G1900,CBIC_Late_Fee_Relief_Windows_1!$I$100:$I$1900,0))</f>
        <v>#NAME?</v>
      </c>
    </row>
    <row r="1901" spans="1:9" x14ac:dyDescent="0.55000000000000004">
      <c r="A1901" t="str">
        <f>TEST_DATA!A1901</f>
        <v>27AAAAA1901Z5</v>
      </c>
      <c r="B1901" t="str">
        <f>TEST_DATA!B1901</f>
        <v>Nov-2017</v>
      </c>
      <c r="C1901">
        <f>TEST_DATA!C1901</f>
        <v>43359</v>
      </c>
      <c r="D1901" t="str">
        <f>TEST_DATA!D1901</f>
        <v>NON-NIL</v>
      </c>
      <c r="E1901">
        <f>TEST_DATA!E1901</f>
        <v>729</v>
      </c>
      <c r="F1901">
        <f>MIN(E1901*190100,10000)</f>
        <v>10000</v>
      </c>
      <c r="G1901" t="e">
        <f ca="1">_xludf.MINIFS(CBIC_Late_Fee_Relief_Windows_1!$I$100:$I$1901,CBIC_Late_Fee_Relief_Windows_1!$D$100:$D$1901,"&lt;="&amp;B1901,CBIC_Late_Fee_Relief_Windows_1!$E$100:$E$1901,"&gt;="&amp;B1901,CBIC_Late_Fee_Relief_Windows_1!$F$100:$F$1901,"&lt;="&amp;C1901,CBIC_Late_Fee_Relief_Windows_1!$G$100:$G$1901,"&gt;="&amp;C1901,CBIC_Late_Fee_Relief_Windows_1!$H$100:$H$1901,D1901)</f>
        <v>#NAME?</v>
      </c>
      <c r="H1901" t="e">
        <f t="shared" ca="1" si="29"/>
        <v>#NAME?</v>
      </c>
      <c r="I1901" t="e">
        <f ca="1">INDEX(CBIC_Late_Fee_Relief_Windows_1!$B$100:$B$1901,MATCH(G1901,CBIC_Late_Fee_Relief_Windows_1!$I$100:$I$1901,0))</f>
        <v>#NAME?</v>
      </c>
    </row>
    <row r="1902" spans="1:9" x14ac:dyDescent="0.55000000000000004">
      <c r="A1902" t="str">
        <f>TEST_DATA!A1902</f>
        <v>27AAAAA1902Z5</v>
      </c>
      <c r="B1902" t="str">
        <f>TEST_DATA!B1902</f>
        <v>Jul-2018</v>
      </c>
      <c r="C1902">
        <f>TEST_DATA!C1902</f>
        <v>43681</v>
      </c>
      <c r="D1902" t="str">
        <f>TEST_DATA!D1902</f>
        <v>NIL</v>
      </c>
      <c r="E1902">
        <f>TEST_DATA!E1902</f>
        <v>1874</v>
      </c>
      <c r="F1902">
        <f>MIN(E1902*190200,10000)</f>
        <v>10000</v>
      </c>
      <c r="G1902" t="e">
        <f ca="1">_xludf.MINIFS(CBIC_Late_Fee_Relief_Windows_1!$I$100:$I$1902,CBIC_Late_Fee_Relief_Windows_1!$D$100:$D$1902,"&lt;="&amp;B1902,CBIC_Late_Fee_Relief_Windows_1!$E$100:$E$1902,"&gt;="&amp;B1902,CBIC_Late_Fee_Relief_Windows_1!$F$100:$F$1902,"&lt;="&amp;C1902,CBIC_Late_Fee_Relief_Windows_1!$G$100:$G$1902,"&gt;="&amp;C1902,CBIC_Late_Fee_Relief_Windows_1!$H$100:$H$1902,D1902)</f>
        <v>#NAME?</v>
      </c>
      <c r="H1902" t="e">
        <f t="shared" ca="1" si="29"/>
        <v>#NAME?</v>
      </c>
      <c r="I1902" t="e">
        <f ca="1">INDEX(CBIC_Late_Fee_Relief_Windows_1!$B$100:$B$1902,MATCH(G1902,CBIC_Late_Fee_Relief_Windows_1!$I$100:$I$1902,0))</f>
        <v>#NAME?</v>
      </c>
    </row>
    <row r="1903" spans="1:9" x14ac:dyDescent="0.55000000000000004">
      <c r="A1903" t="str">
        <f>TEST_DATA!A1903</f>
        <v>27AAAAA1903Z5</v>
      </c>
      <c r="B1903" t="str">
        <f>TEST_DATA!B1903</f>
        <v>Jan-2021</v>
      </c>
      <c r="C1903">
        <f>TEST_DATA!C1903</f>
        <v>44261</v>
      </c>
      <c r="D1903" t="str">
        <f>TEST_DATA!D1903</f>
        <v>NON-NIL</v>
      </c>
      <c r="E1903">
        <f>TEST_DATA!E1903</f>
        <v>1104</v>
      </c>
      <c r="F1903">
        <f>MIN(E1903*190300,10000)</f>
        <v>10000</v>
      </c>
      <c r="G1903" t="e">
        <f ca="1">_xludf.MINIFS(CBIC_Late_Fee_Relief_Windows_1!$I$100:$I$1903,CBIC_Late_Fee_Relief_Windows_1!$D$100:$D$1903,"&lt;="&amp;B1903,CBIC_Late_Fee_Relief_Windows_1!$E$100:$E$1903,"&gt;="&amp;B1903,CBIC_Late_Fee_Relief_Windows_1!$F$100:$F$1903,"&lt;="&amp;C1903,CBIC_Late_Fee_Relief_Windows_1!$G$100:$G$1903,"&gt;="&amp;C1903,CBIC_Late_Fee_Relief_Windows_1!$H$100:$H$1903,D1903)</f>
        <v>#NAME?</v>
      </c>
      <c r="H1903" t="e">
        <f t="shared" ca="1" si="29"/>
        <v>#NAME?</v>
      </c>
      <c r="I1903" t="e">
        <f ca="1">INDEX(CBIC_Late_Fee_Relief_Windows_1!$B$100:$B$1903,MATCH(G1903,CBIC_Late_Fee_Relief_Windows_1!$I$100:$I$1903,0))</f>
        <v>#NAME?</v>
      </c>
    </row>
    <row r="1904" spans="1:9" x14ac:dyDescent="0.55000000000000004">
      <c r="A1904" t="str">
        <f>TEST_DATA!A1904</f>
        <v>27AAAAA1904Z5</v>
      </c>
      <c r="B1904" t="str">
        <f>TEST_DATA!B1904</f>
        <v>Jan-2018</v>
      </c>
      <c r="C1904">
        <f>TEST_DATA!C1904</f>
        <v>43604</v>
      </c>
      <c r="D1904" t="str">
        <f>TEST_DATA!D1904</f>
        <v>NIL</v>
      </c>
      <c r="E1904">
        <f>TEST_DATA!E1904</f>
        <v>131</v>
      </c>
      <c r="F1904">
        <f>MIN(E1904*190400,10000)</f>
        <v>10000</v>
      </c>
      <c r="G1904" t="e">
        <f ca="1">_xludf.MINIFS(CBIC_Late_Fee_Relief_Windows_1!$I$100:$I$1904,CBIC_Late_Fee_Relief_Windows_1!$D$100:$D$1904,"&lt;="&amp;B1904,CBIC_Late_Fee_Relief_Windows_1!$E$100:$E$1904,"&gt;="&amp;B1904,CBIC_Late_Fee_Relief_Windows_1!$F$100:$F$1904,"&lt;="&amp;C1904,CBIC_Late_Fee_Relief_Windows_1!$G$100:$G$1904,"&gt;="&amp;C1904,CBIC_Late_Fee_Relief_Windows_1!$H$100:$H$1904,D1904)</f>
        <v>#NAME?</v>
      </c>
      <c r="H1904" t="e">
        <f t="shared" ca="1" si="29"/>
        <v>#NAME?</v>
      </c>
      <c r="I1904" t="e">
        <f ca="1">INDEX(CBIC_Late_Fee_Relief_Windows_1!$B$100:$B$1904,MATCH(G1904,CBIC_Late_Fee_Relief_Windows_1!$I$100:$I$1904,0))</f>
        <v>#NAME?</v>
      </c>
    </row>
    <row r="1905" spans="1:9" x14ac:dyDescent="0.55000000000000004">
      <c r="A1905" t="str">
        <f>TEST_DATA!A1905</f>
        <v>27AAAAA1905Z5</v>
      </c>
      <c r="B1905" t="str">
        <f>TEST_DATA!B1905</f>
        <v>Jul-2020</v>
      </c>
      <c r="C1905">
        <f>TEST_DATA!C1905</f>
        <v>43953</v>
      </c>
      <c r="D1905" t="str">
        <f>TEST_DATA!D1905</f>
        <v>NON-NIL</v>
      </c>
      <c r="E1905">
        <f>TEST_DATA!E1905</f>
        <v>559</v>
      </c>
      <c r="F1905">
        <f>MIN(E1905*190500,10000)</f>
        <v>10000</v>
      </c>
      <c r="G1905" t="e">
        <f ca="1">_xludf.MINIFS(CBIC_Late_Fee_Relief_Windows_1!$I$100:$I$1905,CBIC_Late_Fee_Relief_Windows_1!$D$100:$D$1905,"&lt;="&amp;B1905,CBIC_Late_Fee_Relief_Windows_1!$E$100:$E$1905,"&gt;="&amp;B1905,CBIC_Late_Fee_Relief_Windows_1!$F$100:$F$1905,"&lt;="&amp;C1905,CBIC_Late_Fee_Relief_Windows_1!$G$100:$G$1905,"&gt;="&amp;C1905,CBIC_Late_Fee_Relief_Windows_1!$H$100:$H$1905,D1905)</f>
        <v>#NAME?</v>
      </c>
      <c r="H1905" t="e">
        <f t="shared" ca="1" si="29"/>
        <v>#NAME?</v>
      </c>
      <c r="I1905" t="e">
        <f ca="1">INDEX(CBIC_Late_Fee_Relief_Windows_1!$B$100:$B$1905,MATCH(G1905,CBIC_Late_Fee_Relief_Windows_1!$I$100:$I$1905,0))</f>
        <v>#NAME?</v>
      </c>
    </row>
    <row r="1906" spans="1:9" x14ac:dyDescent="0.55000000000000004">
      <c r="A1906" t="str">
        <f>TEST_DATA!A1906</f>
        <v>27AAAAA1906Z5</v>
      </c>
      <c r="B1906" t="str">
        <f>TEST_DATA!B1906</f>
        <v>Oct-2017</v>
      </c>
      <c r="C1906">
        <f>TEST_DATA!C1906</f>
        <v>43870</v>
      </c>
      <c r="D1906" t="str">
        <f>TEST_DATA!D1906</f>
        <v>NON-NIL</v>
      </c>
      <c r="E1906">
        <f>TEST_DATA!E1906</f>
        <v>1713</v>
      </c>
      <c r="F1906">
        <f>MIN(E1906*190600,10000)</f>
        <v>10000</v>
      </c>
      <c r="G1906" t="e">
        <f ca="1">_xludf.MINIFS(CBIC_Late_Fee_Relief_Windows_1!$I$100:$I$1906,CBIC_Late_Fee_Relief_Windows_1!$D$100:$D$1906,"&lt;="&amp;B1906,CBIC_Late_Fee_Relief_Windows_1!$E$100:$E$1906,"&gt;="&amp;B1906,CBIC_Late_Fee_Relief_Windows_1!$F$100:$F$1906,"&lt;="&amp;C1906,CBIC_Late_Fee_Relief_Windows_1!$G$100:$G$1906,"&gt;="&amp;C1906,CBIC_Late_Fee_Relief_Windows_1!$H$100:$H$1906,D1906)</f>
        <v>#NAME?</v>
      </c>
      <c r="H1906" t="e">
        <f t="shared" ca="1" si="29"/>
        <v>#NAME?</v>
      </c>
      <c r="I1906" t="e">
        <f ca="1">INDEX(CBIC_Late_Fee_Relief_Windows_1!$B$100:$B$1906,MATCH(G1906,CBIC_Late_Fee_Relief_Windows_1!$I$100:$I$1906,0))</f>
        <v>#NAME?</v>
      </c>
    </row>
    <row r="1907" spans="1:9" x14ac:dyDescent="0.55000000000000004">
      <c r="A1907" t="str">
        <f>TEST_DATA!A1907</f>
        <v>27AAAAA1907Z5</v>
      </c>
      <c r="B1907" t="str">
        <f>TEST_DATA!B1907</f>
        <v>Dec-2017</v>
      </c>
      <c r="C1907">
        <f>TEST_DATA!C1907</f>
        <v>44474</v>
      </c>
      <c r="D1907" t="str">
        <f>TEST_DATA!D1907</f>
        <v>NON-NIL</v>
      </c>
      <c r="E1907">
        <f>TEST_DATA!E1907</f>
        <v>900</v>
      </c>
      <c r="F1907">
        <f>MIN(E1907*190700,10000)</f>
        <v>10000</v>
      </c>
      <c r="G1907" t="e">
        <f ca="1">_xludf.MINIFS(CBIC_Late_Fee_Relief_Windows_1!$I$100:$I$1907,CBIC_Late_Fee_Relief_Windows_1!$D$100:$D$1907,"&lt;="&amp;B1907,CBIC_Late_Fee_Relief_Windows_1!$E$100:$E$1907,"&gt;="&amp;B1907,CBIC_Late_Fee_Relief_Windows_1!$F$100:$F$1907,"&lt;="&amp;C1907,CBIC_Late_Fee_Relief_Windows_1!$G$100:$G$1907,"&gt;="&amp;C1907,CBIC_Late_Fee_Relief_Windows_1!$H$100:$H$1907,D1907)</f>
        <v>#NAME?</v>
      </c>
      <c r="H1907" t="e">
        <f t="shared" ca="1" si="29"/>
        <v>#NAME?</v>
      </c>
      <c r="I1907" t="e">
        <f ca="1">INDEX(CBIC_Late_Fee_Relief_Windows_1!$B$100:$B$1907,MATCH(G1907,CBIC_Late_Fee_Relief_Windows_1!$I$100:$I$1907,0))</f>
        <v>#NAME?</v>
      </c>
    </row>
    <row r="1908" spans="1:9" x14ac:dyDescent="0.55000000000000004">
      <c r="A1908" t="str">
        <f>TEST_DATA!A1908</f>
        <v>27AAAAA1908Z5</v>
      </c>
      <c r="B1908" t="str">
        <f>TEST_DATA!B1908</f>
        <v>Dec-2024</v>
      </c>
      <c r="C1908">
        <f>TEST_DATA!C1908</f>
        <v>44674</v>
      </c>
      <c r="D1908" t="str">
        <f>TEST_DATA!D1908</f>
        <v>NIL</v>
      </c>
      <c r="E1908">
        <f>TEST_DATA!E1908</f>
        <v>2613</v>
      </c>
      <c r="F1908">
        <f>MIN(E1908*190800,10000)</f>
        <v>10000</v>
      </c>
      <c r="G1908" t="e">
        <f ca="1">_xludf.MINIFS(CBIC_Late_Fee_Relief_Windows_1!$I$100:$I$1908,CBIC_Late_Fee_Relief_Windows_1!$D$100:$D$1908,"&lt;="&amp;B1908,CBIC_Late_Fee_Relief_Windows_1!$E$100:$E$1908,"&gt;="&amp;B1908,CBIC_Late_Fee_Relief_Windows_1!$F$100:$F$1908,"&lt;="&amp;C1908,CBIC_Late_Fee_Relief_Windows_1!$G$100:$G$1908,"&gt;="&amp;C1908,CBIC_Late_Fee_Relief_Windows_1!$H$100:$H$1908,D1908)</f>
        <v>#NAME?</v>
      </c>
      <c r="H1908" t="e">
        <f t="shared" ca="1" si="29"/>
        <v>#NAME?</v>
      </c>
      <c r="I1908" t="e">
        <f ca="1">INDEX(CBIC_Late_Fee_Relief_Windows_1!$B$100:$B$1908,MATCH(G1908,CBIC_Late_Fee_Relief_Windows_1!$I$100:$I$1908,0))</f>
        <v>#NAME?</v>
      </c>
    </row>
    <row r="1909" spans="1:9" x14ac:dyDescent="0.55000000000000004">
      <c r="A1909" t="str">
        <f>TEST_DATA!A1909</f>
        <v>27AAAAA1909Z5</v>
      </c>
      <c r="B1909" t="str">
        <f>TEST_DATA!B1909</f>
        <v>Apr-2020</v>
      </c>
      <c r="C1909">
        <f>TEST_DATA!C1909</f>
        <v>44179</v>
      </c>
      <c r="D1909" t="str">
        <f>TEST_DATA!D1909</f>
        <v>NIL</v>
      </c>
      <c r="E1909">
        <f>TEST_DATA!E1909</f>
        <v>354</v>
      </c>
      <c r="F1909">
        <f>MIN(E1909*190900,10000)</f>
        <v>10000</v>
      </c>
      <c r="G1909" t="e">
        <f ca="1">_xludf.MINIFS(CBIC_Late_Fee_Relief_Windows_1!$I$100:$I$1909,CBIC_Late_Fee_Relief_Windows_1!$D$100:$D$1909,"&lt;="&amp;B1909,CBIC_Late_Fee_Relief_Windows_1!$E$100:$E$1909,"&gt;="&amp;B1909,CBIC_Late_Fee_Relief_Windows_1!$F$100:$F$1909,"&lt;="&amp;C1909,CBIC_Late_Fee_Relief_Windows_1!$G$100:$G$1909,"&gt;="&amp;C1909,CBIC_Late_Fee_Relief_Windows_1!$H$100:$H$1909,D1909)</f>
        <v>#NAME?</v>
      </c>
      <c r="H1909" t="e">
        <f t="shared" ca="1" si="29"/>
        <v>#NAME?</v>
      </c>
      <c r="I1909" t="e">
        <f ca="1">INDEX(CBIC_Late_Fee_Relief_Windows_1!$B$100:$B$1909,MATCH(G1909,CBIC_Late_Fee_Relief_Windows_1!$I$100:$I$1909,0))</f>
        <v>#NAME?</v>
      </c>
    </row>
    <row r="1910" spans="1:9" x14ac:dyDescent="0.55000000000000004">
      <c r="A1910" t="str">
        <f>TEST_DATA!A1910</f>
        <v>27AAAAA1910Z5</v>
      </c>
      <c r="B1910" t="str">
        <f>TEST_DATA!B1910</f>
        <v>Aug-2018</v>
      </c>
      <c r="C1910">
        <f>TEST_DATA!C1910</f>
        <v>43985</v>
      </c>
      <c r="D1910" t="str">
        <f>TEST_DATA!D1910</f>
        <v>NON-NIL</v>
      </c>
      <c r="E1910">
        <f>TEST_DATA!E1910</f>
        <v>886</v>
      </c>
      <c r="F1910">
        <f>MIN(E1910*191000,10000)</f>
        <v>10000</v>
      </c>
      <c r="G1910" t="e">
        <f ca="1">_xludf.MINIFS(CBIC_Late_Fee_Relief_Windows_1!$I$100:$I$1910,CBIC_Late_Fee_Relief_Windows_1!$D$100:$D$1910,"&lt;="&amp;B1910,CBIC_Late_Fee_Relief_Windows_1!$E$100:$E$1910,"&gt;="&amp;B1910,CBIC_Late_Fee_Relief_Windows_1!$F$100:$F$1910,"&lt;="&amp;C1910,CBIC_Late_Fee_Relief_Windows_1!$G$100:$G$1910,"&gt;="&amp;C1910,CBIC_Late_Fee_Relief_Windows_1!$H$100:$H$1910,D1910)</f>
        <v>#NAME?</v>
      </c>
      <c r="H1910" t="e">
        <f t="shared" ca="1" si="29"/>
        <v>#NAME?</v>
      </c>
      <c r="I1910" t="e">
        <f ca="1">INDEX(CBIC_Late_Fee_Relief_Windows_1!$B$100:$B$1910,MATCH(G1910,CBIC_Late_Fee_Relief_Windows_1!$I$100:$I$1910,0))</f>
        <v>#NAME?</v>
      </c>
    </row>
    <row r="1911" spans="1:9" x14ac:dyDescent="0.55000000000000004">
      <c r="A1911" t="str">
        <f>TEST_DATA!A1911</f>
        <v>27AAAAA1911Z5</v>
      </c>
      <c r="B1911" t="str">
        <f>TEST_DATA!B1911</f>
        <v>Mar-2020</v>
      </c>
      <c r="C1911">
        <f>TEST_DATA!C1911</f>
        <v>44800</v>
      </c>
      <c r="D1911" t="str">
        <f>TEST_DATA!D1911</f>
        <v>NON-NIL</v>
      </c>
      <c r="E1911">
        <f>TEST_DATA!E1911</f>
        <v>1143</v>
      </c>
      <c r="F1911">
        <f>MIN(E1911*191100,10000)</f>
        <v>10000</v>
      </c>
      <c r="G1911" t="e">
        <f ca="1">_xludf.MINIFS(CBIC_Late_Fee_Relief_Windows_1!$I$100:$I$1911,CBIC_Late_Fee_Relief_Windows_1!$D$100:$D$1911,"&lt;="&amp;B1911,CBIC_Late_Fee_Relief_Windows_1!$E$100:$E$1911,"&gt;="&amp;B1911,CBIC_Late_Fee_Relief_Windows_1!$F$100:$F$1911,"&lt;="&amp;C1911,CBIC_Late_Fee_Relief_Windows_1!$G$100:$G$1911,"&gt;="&amp;C1911,CBIC_Late_Fee_Relief_Windows_1!$H$100:$H$1911,D1911)</f>
        <v>#NAME?</v>
      </c>
      <c r="H1911" t="e">
        <f t="shared" ca="1" si="29"/>
        <v>#NAME?</v>
      </c>
      <c r="I1911" t="e">
        <f ca="1">INDEX(CBIC_Late_Fee_Relief_Windows_1!$B$100:$B$1911,MATCH(G1911,CBIC_Late_Fee_Relief_Windows_1!$I$100:$I$1911,0))</f>
        <v>#NAME?</v>
      </c>
    </row>
    <row r="1912" spans="1:9" x14ac:dyDescent="0.55000000000000004">
      <c r="A1912" t="str">
        <f>TEST_DATA!A1912</f>
        <v>27AAAAA1912Z5</v>
      </c>
      <c r="B1912" t="str">
        <f>TEST_DATA!B1912</f>
        <v>Jul-2017</v>
      </c>
      <c r="C1912">
        <f>TEST_DATA!C1912</f>
        <v>44412</v>
      </c>
      <c r="D1912" t="str">
        <f>TEST_DATA!D1912</f>
        <v>NON-NIL</v>
      </c>
      <c r="E1912">
        <f>TEST_DATA!E1912</f>
        <v>1010</v>
      </c>
      <c r="F1912">
        <f>MIN(E1912*191200,10000)</f>
        <v>10000</v>
      </c>
      <c r="G1912" t="e">
        <f ca="1">_xludf.MINIFS(CBIC_Late_Fee_Relief_Windows_1!$I$100:$I$1912,CBIC_Late_Fee_Relief_Windows_1!$D$100:$D$1912,"&lt;="&amp;B1912,CBIC_Late_Fee_Relief_Windows_1!$E$100:$E$1912,"&gt;="&amp;B1912,CBIC_Late_Fee_Relief_Windows_1!$F$100:$F$1912,"&lt;="&amp;C1912,CBIC_Late_Fee_Relief_Windows_1!$G$100:$G$1912,"&gt;="&amp;C1912,CBIC_Late_Fee_Relief_Windows_1!$H$100:$H$1912,D1912)</f>
        <v>#NAME?</v>
      </c>
      <c r="H1912" t="e">
        <f t="shared" ca="1" si="29"/>
        <v>#NAME?</v>
      </c>
      <c r="I1912" t="e">
        <f ca="1">INDEX(CBIC_Late_Fee_Relief_Windows_1!$B$100:$B$1912,MATCH(G1912,CBIC_Late_Fee_Relief_Windows_1!$I$100:$I$1912,0))</f>
        <v>#NAME?</v>
      </c>
    </row>
    <row r="1913" spans="1:9" x14ac:dyDescent="0.55000000000000004">
      <c r="A1913" t="str">
        <f>TEST_DATA!A1913</f>
        <v>27AAAAA1913Z5</v>
      </c>
      <c r="B1913" t="str">
        <f>TEST_DATA!B1913</f>
        <v>Feb-2018</v>
      </c>
      <c r="C1913">
        <f>TEST_DATA!C1913</f>
        <v>43587</v>
      </c>
      <c r="D1913" t="str">
        <f>TEST_DATA!D1913</f>
        <v>NON-NIL</v>
      </c>
      <c r="E1913">
        <f>TEST_DATA!E1913</f>
        <v>2373</v>
      </c>
      <c r="F1913">
        <f>MIN(E1913*191300,10000)</f>
        <v>10000</v>
      </c>
      <c r="G1913" t="e">
        <f ca="1">_xludf.MINIFS(CBIC_Late_Fee_Relief_Windows_1!$I$100:$I$1913,CBIC_Late_Fee_Relief_Windows_1!$D$100:$D$1913,"&lt;="&amp;B1913,CBIC_Late_Fee_Relief_Windows_1!$E$100:$E$1913,"&gt;="&amp;B1913,CBIC_Late_Fee_Relief_Windows_1!$F$100:$F$1913,"&lt;="&amp;C1913,CBIC_Late_Fee_Relief_Windows_1!$G$100:$G$1913,"&gt;="&amp;C1913,CBIC_Late_Fee_Relief_Windows_1!$H$100:$H$1913,D1913)</f>
        <v>#NAME?</v>
      </c>
      <c r="H1913" t="e">
        <f t="shared" ca="1" si="29"/>
        <v>#NAME?</v>
      </c>
      <c r="I1913" t="e">
        <f ca="1">INDEX(CBIC_Late_Fee_Relief_Windows_1!$B$100:$B$1913,MATCH(G1913,CBIC_Late_Fee_Relief_Windows_1!$I$100:$I$1913,0))</f>
        <v>#NAME?</v>
      </c>
    </row>
    <row r="1914" spans="1:9" x14ac:dyDescent="0.55000000000000004">
      <c r="A1914" t="str">
        <f>TEST_DATA!A1914</f>
        <v>27AAAAA1914Z5</v>
      </c>
      <c r="B1914" t="str">
        <f>TEST_DATA!B1914</f>
        <v>Feb-2018</v>
      </c>
      <c r="C1914">
        <f>TEST_DATA!C1914</f>
        <v>44128</v>
      </c>
      <c r="D1914" t="str">
        <f>TEST_DATA!D1914</f>
        <v>NIL</v>
      </c>
      <c r="E1914">
        <f>TEST_DATA!E1914</f>
        <v>2349</v>
      </c>
      <c r="F1914">
        <f>MIN(E1914*191400,10000)</f>
        <v>10000</v>
      </c>
      <c r="G1914" t="e">
        <f ca="1">_xludf.MINIFS(CBIC_Late_Fee_Relief_Windows_1!$I$100:$I$1914,CBIC_Late_Fee_Relief_Windows_1!$D$100:$D$1914,"&lt;="&amp;B1914,CBIC_Late_Fee_Relief_Windows_1!$E$100:$E$1914,"&gt;="&amp;B1914,CBIC_Late_Fee_Relief_Windows_1!$F$100:$F$1914,"&lt;="&amp;C1914,CBIC_Late_Fee_Relief_Windows_1!$G$100:$G$1914,"&gt;="&amp;C1914,CBIC_Late_Fee_Relief_Windows_1!$H$100:$H$1914,D1914)</f>
        <v>#NAME?</v>
      </c>
      <c r="H1914" t="e">
        <f t="shared" ca="1" si="29"/>
        <v>#NAME?</v>
      </c>
      <c r="I1914" t="e">
        <f ca="1">INDEX(CBIC_Late_Fee_Relief_Windows_1!$B$100:$B$1914,MATCH(G1914,CBIC_Late_Fee_Relief_Windows_1!$I$100:$I$1914,0))</f>
        <v>#NAME?</v>
      </c>
    </row>
    <row r="1915" spans="1:9" x14ac:dyDescent="0.55000000000000004">
      <c r="A1915" t="str">
        <f>TEST_DATA!A1915</f>
        <v>27AAAAA1915Z5</v>
      </c>
      <c r="B1915" t="str">
        <f>TEST_DATA!B1915</f>
        <v>Dec-2024</v>
      </c>
      <c r="C1915">
        <f>TEST_DATA!C1915</f>
        <v>43486</v>
      </c>
      <c r="D1915" t="str">
        <f>TEST_DATA!D1915</f>
        <v>NON-NIL</v>
      </c>
      <c r="E1915">
        <f>TEST_DATA!E1915</f>
        <v>181</v>
      </c>
      <c r="F1915">
        <f>MIN(E1915*191500,10000)</f>
        <v>10000</v>
      </c>
      <c r="G1915" t="e">
        <f ca="1">_xludf.MINIFS(CBIC_Late_Fee_Relief_Windows_1!$I$100:$I$1915,CBIC_Late_Fee_Relief_Windows_1!$D$100:$D$1915,"&lt;="&amp;B1915,CBIC_Late_Fee_Relief_Windows_1!$E$100:$E$1915,"&gt;="&amp;B1915,CBIC_Late_Fee_Relief_Windows_1!$F$100:$F$1915,"&lt;="&amp;C1915,CBIC_Late_Fee_Relief_Windows_1!$G$100:$G$1915,"&gt;="&amp;C1915,CBIC_Late_Fee_Relief_Windows_1!$H$100:$H$1915,D1915)</f>
        <v>#NAME?</v>
      </c>
      <c r="H1915" t="e">
        <f t="shared" ca="1" si="29"/>
        <v>#NAME?</v>
      </c>
      <c r="I1915" t="e">
        <f ca="1">INDEX(CBIC_Late_Fee_Relief_Windows_1!$B$100:$B$1915,MATCH(G1915,CBIC_Late_Fee_Relief_Windows_1!$I$100:$I$1915,0))</f>
        <v>#NAME?</v>
      </c>
    </row>
    <row r="1916" spans="1:9" x14ac:dyDescent="0.55000000000000004">
      <c r="A1916" t="str">
        <f>TEST_DATA!A1916</f>
        <v>27AAAAA1916Z5</v>
      </c>
      <c r="B1916" t="str">
        <f>TEST_DATA!B1916</f>
        <v>Aug-2017</v>
      </c>
      <c r="C1916">
        <f>TEST_DATA!C1916</f>
        <v>43880</v>
      </c>
      <c r="D1916" t="str">
        <f>TEST_DATA!D1916</f>
        <v>NIL</v>
      </c>
      <c r="E1916">
        <f>TEST_DATA!E1916</f>
        <v>1743</v>
      </c>
      <c r="F1916">
        <f>MIN(E1916*191600,10000)</f>
        <v>10000</v>
      </c>
      <c r="G1916" t="e">
        <f ca="1">_xludf.MINIFS(CBIC_Late_Fee_Relief_Windows_1!$I$100:$I$1916,CBIC_Late_Fee_Relief_Windows_1!$D$100:$D$1916,"&lt;="&amp;B1916,CBIC_Late_Fee_Relief_Windows_1!$E$100:$E$1916,"&gt;="&amp;B1916,CBIC_Late_Fee_Relief_Windows_1!$F$100:$F$1916,"&lt;="&amp;C1916,CBIC_Late_Fee_Relief_Windows_1!$G$100:$G$1916,"&gt;="&amp;C1916,CBIC_Late_Fee_Relief_Windows_1!$H$100:$H$1916,D1916)</f>
        <v>#NAME?</v>
      </c>
      <c r="H1916" t="e">
        <f t="shared" ca="1" si="29"/>
        <v>#NAME?</v>
      </c>
      <c r="I1916" t="e">
        <f ca="1">INDEX(CBIC_Late_Fee_Relief_Windows_1!$B$100:$B$1916,MATCH(G1916,CBIC_Late_Fee_Relief_Windows_1!$I$100:$I$1916,0))</f>
        <v>#NAME?</v>
      </c>
    </row>
    <row r="1917" spans="1:9" x14ac:dyDescent="0.55000000000000004">
      <c r="A1917" t="str">
        <f>TEST_DATA!A1917</f>
        <v>27AAAAA1917Z5</v>
      </c>
      <c r="B1917" t="str">
        <f>TEST_DATA!B1917</f>
        <v>Jun-2019</v>
      </c>
      <c r="C1917">
        <f>TEST_DATA!C1917</f>
        <v>45081</v>
      </c>
      <c r="D1917" t="str">
        <f>TEST_DATA!D1917</f>
        <v>NON-NIL</v>
      </c>
      <c r="E1917">
        <f>TEST_DATA!E1917</f>
        <v>2853</v>
      </c>
      <c r="F1917">
        <f>MIN(E1917*191700,10000)</f>
        <v>10000</v>
      </c>
      <c r="G1917" t="e">
        <f ca="1">_xludf.MINIFS(CBIC_Late_Fee_Relief_Windows_1!$I$100:$I$1917,CBIC_Late_Fee_Relief_Windows_1!$D$100:$D$1917,"&lt;="&amp;B1917,CBIC_Late_Fee_Relief_Windows_1!$E$100:$E$1917,"&gt;="&amp;B1917,CBIC_Late_Fee_Relief_Windows_1!$F$100:$F$1917,"&lt;="&amp;C1917,CBIC_Late_Fee_Relief_Windows_1!$G$100:$G$1917,"&gt;="&amp;C1917,CBIC_Late_Fee_Relief_Windows_1!$H$100:$H$1917,D1917)</f>
        <v>#NAME?</v>
      </c>
      <c r="H1917" t="e">
        <f t="shared" ca="1" si="29"/>
        <v>#NAME?</v>
      </c>
      <c r="I1917" t="e">
        <f ca="1">INDEX(CBIC_Late_Fee_Relief_Windows_1!$B$100:$B$1917,MATCH(G1917,CBIC_Late_Fee_Relief_Windows_1!$I$100:$I$1917,0))</f>
        <v>#NAME?</v>
      </c>
    </row>
    <row r="1918" spans="1:9" x14ac:dyDescent="0.55000000000000004">
      <c r="A1918" t="str">
        <f>TEST_DATA!A1918</f>
        <v>27AAAAA1918Z5</v>
      </c>
      <c r="B1918" t="str">
        <f>TEST_DATA!B1918</f>
        <v>Dec-2022</v>
      </c>
      <c r="C1918">
        <f>TEST_DATA!C1918</f>
        <v>43867</v>
      </c>
      <c r="D1918" t="str">
        <f>TEST_DATA!D1918</f>
        <v>NON-NIL</v>
      </c>
      <c r="E1918">
        <f>TEST_DATA!E1918</f>
        <v>2028</v>
      </c>
      <c r="F1918">
        <f>MIN(E1918*191800,10000)</f>
        <v>10000</v>
      </c>
      <c r="G1918" t="e">
        <f ca="1">_xludf.MINIFS(CBIC_Late_Fee_Relief_Windows_1!$I$100:$I$1918,CBIC_Late_Fee_Relief_Windows_1!$D$100:$D$1918,"&lt;="&amp;B1918,CBIC_Late_Fee_Relief_Windows_1!$E$100:$E$1918,"&gt;="&amp;B1918,CBIC_Late_Fee_Relief_Windows_1!$F$100:$F$1918,"&lt;="&amp;C1918,CBIC_Late_Fee_Relief_Windows_1!$G$100:$G$1918,"&gt;="&amp;C1918,CBIC_Late_Fee_Relief_Windows_1!$H$100:$H$1918,D1918)</f>
        <v>#NAME?</v>
      </c>
      <c r="H1918" t="e">
        <f t="shared" ca="1" si="29"/>
        <v>#NAME?</v>
      </c>
      <c r="I1918" t="e">
        <f ca="1">INDEX(CBIC_Late_Fee_Relief_Windows_1!$B$100:$B$1918,MATCH(G1918,CBIC_Late_Fee_Relief_Windows_1!$I$100:$I$1918,0))</f>
        <v>#NAME?</v>
      </c>
    </row>
    <row r="1919" spans="1:9" x14ac:dyDescent="0.55000000000000004">
      <c r="A1919" t="str">
        <f>TEST_DATA!A1919</f>
        <v>27AAAAA1919Z5</v>
      </c>
      <c r="B1919" t="str">
        <f>TEST_DATA!B1919</f>
        <v>Feb-2018</v>
      </c>
      <c r="C1919">
        <f>TEST_DATA!C1919</f>
        <v>43087</v>
      </c>
      <c r="D1919" t="str">
        <f>TEST_DATA!D1919</f>
        <v>NIL</v>
      </c>
      <c r="E1919">
        <f>TEST_DATA!E1919</f>
        <v>2839</v>
      </c>
      <c r="F1919">
        <f>MIN(E1919*191900,10000)</f>
        <v>10000</v>
      </c>
      <c r="G1919" t="e">
        <f ca="1">_xludf.MINIFS(CBIC_Late_Fee_Relief_Windows_1!$I$100:$I$1919,CBIC_Late_Fee_Relief_Windows_1!$D$100:$D$1919,"&lt;="&amp;B1919,CBIC_Late_Fee_Relief_Windows_1!$E$100:$E$1919,"&gt;="&amp;B1919,CBIC_Late_Fee_Relief_Windows_1!$F$100:$F$1919,"&lt;="&amp;C1919,CBIC_Late_Fee_Relief_Windows_1!$G$100:$G$1919,"&gt;="&amp;C1919,CBIC_Late_Fee_Relief_Windows_1!$H$100:$H$1919,D1919)</f>
        <v>#NAME?</v>
      </c>
      <c r="H1919" t="e">
        <f t="shared" ca="1" si="29"/>
        <v>#NAME?</v>
      </c>
      <c r="I1919" t="e">
        <f ca="1">INDEX(CBIC_Late_Fee_Relief_Windows_1!$B$100:$B$1919,MATCH(G1919,CBIC_Late_Fee_Relief_Windows_1!$I$100:$I$1919,0))</f>
        <v>#NAME?</v>
      </c>
    </row>
    <row r="1920" spans="1:9" x14ac:dyDescent="0.55000000000000004">
      <c r="A1920" t="str">
        <f>TEST_DATA!A1920</f>
        <v>27AAAAA1920Z5</v>
      </c>
      <c r="B1920" t="str">
        <f>TEST_DATA!B1920</f>
        <v>Jan-2021</v>
      </c>
      <c r="C1920">
        <f>TEST_DATA!C1920</f>
        <v>45131</v>
      </c>
      <c r="D1920" t="str">
        <f>TEST_DATA!D1920</f>
        <v>NIL</v>
      </c>
      <c r="E1920">
        <f>TEST_DATA!E1920</f>
        <v>543</v>
      </c>
      <c r="F1920">
        <f>MIN(E1920*192000,10000)</f>
        <v>10000</v>
      </c>
      <c r="G1920" t="e">
        <f ca="1">_xludf.MINIFS(CBIC_Late_Fee_Relief_Windows_1!$I$100:$I$1920,CBIC_Late_Fee_Relief_Windows_1!$D$100:$D$1920,"&lt;="&amp;B1920,CBIC_Late_Fee_Relief_Windows_1!$E$100:$E$1920,"&gt;="&amp;B1920,CBIC_Late_Fee_Relief_Windows_1!$F$100:$F$1920,"&lt;="&amp;C1920,CBIC_Late_Fee_Relief_Windows_1!$G$100:$G$1920,"&gt;="&amp;C1920,CBIC_Late_Fee_Relief_Windows_1!$H$100:$H$1920,D1920)</f>
        <v>#NAME?</v>
      </c>
      <c r="H1920" t="e">
        <f t="shared" ca="1" si="29"/>
        <v>#NAME?</v>
      </c>
      <c r="I1920" t="e">
        <f ca="1">INDEX(CBIC_Late_Fee_Relief_Windows_1!$B$100:$B$1920,MATCH(G1920,CBIC_Late_Fee_Relief_Windows_1!$I$100:$I$1920,0))</f>
        <v>#NAME?</v>
      </c>
    </row>
    <row r="1921" spans="1:9" x14ac:dyDescent="0.55000000000000004">
      <c r="A1921" t="str">
        <f>TEST_DATA!A1921</f>
        <v>27AAAAA1921Z5</v>
      </c>
      <c r="B1921" t="str">
        <f>TEST_DATA!B1921</f>
        <v>Jun-2018</v>
      </c>
      <c r="C1921">
        <f>TEST_DATA!C1921</f>
        <v>43522</v>
      </c>
      <c r="D1921" t="str">
        <f>TEST_DATA!D1921</f>
        <v>NIL</v>
      </c>
      <c r="E1921">
        <f>TEST_DATA!E1921</f>
        <v>2652</v>
      </c>
      <c r="F1921">
        <f>MIN(E1921*192100,10000)</f>
        <v>10000</v>
      </c>
      <c r="G1921" t="e">
        <f ca="1">_xludf.MINIFS(CBIC_Late_Fee_Relief_Windows_1!$I$100:$I$1921,CBIC_Late_Fee_Relief_Windows_1!$D$100:$D$1921,"&lt;="&amp;B1921,CBIC_Late_Fee_Relief_Windows_1!$E$100:$E$1921,"&gt;="&amp;B1921,CBIC_Late_Fee_Relief_Windows_1!$F$100:$F$1921,"&lt;="&amp;C1921,CBIC_Late_Fee_Relief_Windows_1!$G$100:$G$1921,"&gt;="&amp;C1921,CBIC_Late_Fee_Relief_Windows_1!$H$100:$H$1921,D1921)</f>
        <v>#NAME?</v>
      </c>
      <c r="H1921" t="e">
        <f t="shared" ca="1" si="29"/>
        <v>#NAME?</v>
      </c>
      <c r="I1921" t="e">
        <f ca="1">INDEX(CBIC_Late_Fee_Relief_Windows_1!$B$100:$B$1921,MATCH(G1921,CBIC_Late_Fee_Relief_Windows_1!$I$100:$I$1921,0))</f>
        <v>#NAME?</v>
      </c>
    </row>
    <row r="1922" spans="1:9" x14ac:dyDescent="0.55000000000000004">
      <c r="A1922" t="str">
        <f>TEST_DATA!A1922</f>
        <v>27AAAAA1922Z5</v>
      </c>
      <c r="B1922" t="str">
        <f>TEST_DATA!B1922</f>
        <v>Sep-2017</v>
      </c>
      <c r="C1922">
        <f>TEST_DATA!C1922</f>
        <v>42949</v>
      </c>
      <c r="D1922" t="str">
        <f>TEST_DATA!D1922</f>
        <v>NON-NIL</v>
      </c>
      <c r="E1922">
        <f>TEST_DATA!E1922</f>
        <v>2740</v>
      </c>
      <c r="F1922">
        <f>MIN(E1922*192200,10000)</f>
        <v>10000</v>
      </c>
      <c r="G1922" t="e">
        <f ca="1">_xludf.MINIFS(CBIC_Late_Fee_Relief_Windows_1!$I$100:$I$1922,CBIC_Late_Fee_Relief_Windows_1!$D$100:$D$1922,"&lt;="&amp;B1922,CBIC_Late_Fee_Relief_Windows_1!$E$100:$E$1922,"&gt;="&amp;B1922,CBIC_Late_Fee_Relief_Windows_1!$F$100:$F$1922,"&lt;="&amp;C1922,CBIC_Late_Fee_Relief_Windows_1!$G$100:$G$1922,"&gt;="&amp;C1922,CBIC_Late_Fee_Relief_Windows_1!$H$100:$H$1922,D1922)</f>
        <v>#NAME?</v>
      </c>
      <c r="H1922" t="e">
        <f t="shared" ref="H1922:H1985" ca="1" si="30">MIN(F1922,G1922)</f>
        <v>#NAME?</v>
      </c>
      <c r="I1922" t="e">
        <f ca="1">INDEX(CBIC_Late_Fee_Relief_Windows_1!$B$100:$B$1922,MATCH(G1922,CBIC_Late_Fee_Relief_Windows_1!$I$100:$I$1922,0))</f>
        <v>#NAME?</v>
      </c>
    </row>
    <row r="1923" spans="1:9" x14ac:dyDescent="0.55000000000000004">
      <c r="A1923" t="str">
        <f>TEST_DATA!A1923</f>
        <v>27AAAAA1923Z5</v>
      </c>
      <c r="B1923" t="str">
        <f>TEST_DATA!B1923</f>
        <v>Apr-2018</v>
      </c>
      <c r="C1923">
        <f>TEST_DATA!C1923</f>
        <v>43248</v>
      </c>
      <c r="D1923" t="str">
        <f>TEST_DATA!D1923</f>
        <v>NON-NIL</v>
      </c>
      <c r="E1923">
        <f>TEST_DATA!E1923</f>
        <v>2336</v>
      </c>
      <c r="F1923">
        <f>MIN(E1923*192300,10000)</f>
        <v>10000</v>
      </c>
      <c r="G1923" t="e">
        <f ca="1">_xludf.MINIFS(CBIC_Late_Fee_Relief_Windows_1!$I$100:$I$1923,CBIC_Late_Fee_Relief_Windows_1!$D$100:$D$1923,"&lt;="&amp;B1923,CBIC_Late_Fee_Relief_Windows_1!$E$100:$E$1923,"&gt;="&amp;B1923,CBIC_Late_Fee_Relief_Windows_1!$F$100:$F$1923,"&lt;="&amp;C1923,CBIC_Late_Fee_Relief_Windows_1!$G$100:$G$1923,"&gt;="&amp;C1923,CBIC_Late_Fee_Relief_Windows_1!$H$100:$H$1923,D1923)</f>
        <v>#NAME?</v>
      </c>
      <c r="H1923" t="e">
        <f t="shared" ca="1" si="30"/>
        <v>#NAME?</v>
      </c>
      <c r="I1923" t="e">
        <f ca="1">INDEX(CBIC_Late_Fee_Relief_Windows_1!$B$100:$B$1923,MATCH(G1923,CBIC_Late_Fee_Relief_Windows_1!$I$100:$I$1923,0))</f>
        <v>#NAME?</v>
      </c>
    </row>
    <row r="1924" spans="1:9" x14ac:dyDescent="0.55000000000000004">
      <c r="A1924" t="str">
        <f>TEST_DATA!A1924</f>
        <v>27AAAAA1924Z5</v>
      </c>
      <c r="B1924" t="str">
        <f>TEST_DATA!B1924</f>
        <v>Jan-2021</v>
      </c>
      <c r="C1924">
        <f>TEST_DATA!C1924</f>
        <v>43565</v>
      </c>
      <c r="D1924" t="str">
        <f>TEST_DATA!D1924</f>
        <v>NON-NIL</v>
      </c>
      <c r="E1924">
        <f>TEST_DATA!E1924</f>
        <v>1899</v>
      </c>
      <c r="F1924">
        <f>MIN(E1924*192400,10000)</f>
        <v>10000</v>
      </c>
      <c r="G1924" t="e">
        <f ca="1">_xludf.MINIFS(CBIC_Late_Fee_Relief_Windows_1!$I$100:$I$1924,CBIC_Late_Fee_Relief_Windows_1!$D$100:$D$1924,"&lt;="&amp;B1924,CBIC_Late_Fee_Relief_Windows_1!$E$100:$E$1924,"&gt;="&amp;B1924,CBIC_Late_Fee_Relief_Windows_1!$F$100:$F$1924,"&lt;="&amp;C1924,CBIC_Late_Fee_Relief_Windows_1!$G$100:$G$1924,"&gt;="&amp;C1924,CBIC_Late_Fee_Relief_Windows_1!$H$100:$H$1924,D1924)</f>
        <v>#NAME?</v>
      </c>
      <c r="H1924" t="e">
        <f t="shared" ca="1" si="30"/>
        <v>#NAME?</v>
      </c>
      <c r="I1924" t="e">
        <f ca="1">INDEX(CBIC_Late_Fee_Relief_Windows_1!$B$100:$B$1924,MATCH(G1924,CBIC_Late_Fee_Relief_Windows_1!$I$100:$I$1924,0))</f>
        <v>#NAME?</v>
      </c>
    </row>
    <row r="1925" spans="1:9" x14ac:dyDescent="0.55000000000000004">
      <c r="A1925" t="str">
        <f>TEST_DATA!A1925</f>
        <v>27AAAAA1925Z5</v>
      </c>
      <c r="B1925" t="str">
        <f>TEST_DATA!B1925</f>
        <v>Mar-2021</v>
      </c>
      <c r="C1925">
        <f>TEST_DATA!C1925</f>
        <v>44033</v>
      </c>
      <c r="D1925" t="str">
        <f>TEST_DATA!D1925</f>
        <v>NON-NIL</v>
      </c>
      <c r="E1925">
        <f>TEST_DATA!E1925</f>
        <v>757</v>
      </c>
      <c r="F1925">
        <f>MIN(E1925*192500,10000)</f>
        <v>10000</v>
      </c>
      <c r="G1925" t="e">
        <f ca="1">_xludf.MINIFS(CBIC_Late_Fee_Relief_Windows_1!$I$100:$I$1925,CBIC_Late_Fee_Relief_Windows_1!$D$100:$D$1925,"&lt;="&amp;B1925,CBIC_Late_Fee_Relief_Windows_1!$E$100:$E$1925,"&gt;="&amp;B1925,CBIC_Late_Fee_Relief_Windows_1!$F$100:$F$1925,"&lt;="&amp;C1925,CBIC_Late_Fee_Relief_Windows_1!$G$100:$G$1925,"&gt;="&amp;C1925,CBIC_Late_Fee_Relief_Windows_1!$H$100:$H$1925,D1925)</f>
        <v>#NAME?</v>
      </c>
      <c r="H1925" t="e">
        <f t="shared" ca="1" si="30"/>
        <v>#NAME?</v>
      </c>
      <c r="I1925" t="e">
        <f ca="1">INDEX(CBIC_Late_Fee_Relief_Windows_1!$B$100:$B$1925,MATCH(G1925,CBIC_Late_Fee_Relief_Windows_1!$I$100:$I$1925,0))</f>
        <v>#NAME?</v>
      </c>
    </row>
    <row r="1926" spans="1:9" x14ac:dyDescent="0.55000000000000004">
      <c r="A1926" t="str">
        <f>TEST_DATA!A1926</f>
        <v>27AAAAA1926Z5</v>
      </c>
      <c r="B1926" t="str">
        <f>TEST_DATA!B1926</f>
        <v>Apr-2021</v>
      </c>
      <c r="C1926">
        <f>TEST_DATA!C1926</f>
        <v>44983</v>
      </c>
      <c r="D1926" t="str">
        <f>TEST_DATA!D1926</f>
        <v>NON-NIL</v>
      </c>
      <c r="E1926">
        <f>TEST_DATA!E1926</f>
        <v>2883</v>
      </c>
      <c r="F1926">
        <f>MIN(E1926*192600,10000)</f>
        <v>10000</v>
      </c>
      <c r="G1926" t="e">
        <f ca="1">_xludf.MINIFS(CBIC_Late_Fee_Relief_Windows_1!$I$100:$I$1926,CBIC_Late_Fee_Relief_Windows_1!$D$100:$D$1926,"&lt;="&amp;B1926,CBIC_Late_Fee_Relief_Windows_1!$E$100:$E$1926,"&gt;="&amp;B1926,CBIC_Late_Fee_Relief_Windows_1!$F$100:$F$1926,"&lt;="&amp;C1926,CBIC_Late_Fee_Relief_Windows_1!$G$100:$G$1926,"&gt;="&amp;C1926,CBIC_Late_Fee_Relief_Windows_1!$H$100:$H$1926,D1926)</f>
        <v>#NAME?</v>
      </c>
      <c r="H1926" t="e">
        <f t="shared" ca="1" si="30"/>
        <v>#NAME?</v>
      </c>
      <c r="I1926" t="e">
        <f ca="1">INDEX(CBIC_Late_Fee_Relief_Windows_1!$B$100:$B$1926,MATCH(G1926,CBIC_Late_Fee_Relief_Windows_1!$I$100:$I$1926,0))</f>
        <v>#NAME?</v>
      </c>
    </row>
    <row r="1927" spans="1:9" x14ac:dyDescent="0.55000000000000004">
      <c r="A1927" t="str">
        <f>TEST_DATA!A1927</f>
        <v>27AAAAA1927Z5</v>
      </c>
      <c r="B1927" t="str">
        <f>TEST_DATA!B1927</f>
        <v>May-2020</v>
      </c>
      <c r="C1927">
        <f>TEST_DATA!C1927</f>
        <v>43833</v>
      </c>
      <c r="D1927" t="str">
        <f>TEST_DATA!D1927</f>
        <v>NIL</v>
      </c>
      <c r="E1927">
        <f>TEST_DATA!E1927</f>
        <v>1576</v>
      </c>
      <c r="F1927">
        <f>MIN(E1927*192700,10000)</f>
        <v>10000</v>
      </c>
      <c r="G1927" t="e">
        <f ca="1">_xludf.MINIFS(CBIC_Late_Fee_Relief_Windows_1!$I$100:$I$1927,CBIC_Late_Fee_Relief_Windows_1!$D$100:$D$1927,"&lt;="&amp;B1927,CBIC_Late_Fee_Relief_Windows_1!$E$100:$E$1927,"&gt;="&amp;B1927,CBIC_Late_Fee_Relief_Windows_1!$F$100:$F$1927,"&lt;="&amp;C1927,CBIC_Late_Fee_Relief_Windows_1!$G$100:$G$1927,"&gt;="&amp;C1927,CBIC_Late_Fee_Relief_Windows_1!$H$100:$H$1927,D1927)</f>
        <v>#NAME?</v>
      </c>
      <c r="H1927" t="e">
        <f t="shared" ca="1" si="30"/>
        <v>#NAME?</v>
      </c>
      <c r="I1927" t="e">
        <f ca="1">INDEX(CBIC_Late_Fee_Relief_Windows_1!$B$100:$B$1927,MATCH(G1927,CBIC_Late_Fee_Relief_Windows_1!$I$100:$I$1927,0))</f>
        <v>#NAME?</v>
      </c>
    </row>
    <row r="1928" spans="1:9" x14ac:dyDescent="0.55000000000000004">
      <c r="A1928" t="str">
        <f>TEST_DATA!A1928</f>
        <v>27AAAAA1928Z5</v>
      </c>
      <c r="B1928" t="str">
        <f>TEST_DATA!B1928</f>
        <v>Dec-2024</v>
      </c>
      <c r="C1928">
        <f>TEST_DATA!C1928</f>
        <v>44829</v>
      </c>
      <c r="D1928" t="str">
        <f>TEST_DATA!D1928</f>
        <v>NIL</v>
      </c>
      <c r="E1928">
        <f>TEST_DATA!E1928</f>
        <v>1214</v>
      </c>
      <c r="F1928">
        <f>MIN(E1928*192800,10000)</f>
        <v>10000</v>
      </c>
      <c r="G1928" t="e">
        <f ca="1">_xludf.MINIFS(CBIC_Late_Fee_Relief_Windows_1!$I$100:$I$1928,CBIC_Late_Fee_Relief_Windows_1!$D$100:$D$1928,"&lt;="&amp;B1928,CBIC_Late_Fee_Relief_Windows_1!$E$100:$E$1928,"&gt;="&amp;B1928,CBIC_Late_Fee_Relief_Windows_1!$F$100:$F$1928,"&lt;="&amp;C1928,CBIC_Late_Fee_Relief_Windows_1!$G$100:$G$1928,"&gt;="&amp;C1928,CBIC_Late_Fee_Relief_Windows_1!$H$100:$H$1928,D1928)</f>
        <v>#NAME?</v>
      </c>
      <c r="H1928" t="e">
        <f t="shared" ca="1" si="30"/>
        <v>#NAME?</v>
      </c>
      <c r="I1928" t="e">
        <f ca="1">INDEX(CBIC_Late_Fee_Relief_Windows_1!$B$100:$B$1928,MATCH(G1928,CBIC_Late_Fee_Relief_Windows_1!$I$100:$I$1928,0))</f>
        <v>#NAME?</v>
      </c>
    </row>
    <row r="1929" spans="1:9" x14ac:dyDescent="0.55000000000000004">
      <c r="A1929" t="str">
        <f>TEST_DATA!A1929</f>
        <v>27AAAAA1929Z5</v>
      </c>
      <c r="B1929" t="str">
        <f>TEST_DATA!B1929</f>
        <v>Aug-2018</v>
      </c>
      <c r="C1929">
        <f>TEST_DATA!C1929</f>
        <v>44458</v>
      </c>
      <c r="D1929" t="str">
        <f>TEST_DATA!D1929</f>
        <v>NON-NIL</v>
      </c>
      <c r="E1929">
        <f>TEST_DATA!E1929</f>
        <v>2859</v>
      </c>
      <c r="F1929">
        <f>MIN(E1929*192900,10000)</f>
        <v>10000</v>
      </c>
      <c r="G1929" t="e">
        <f ca="1">_xludf.MINIFS(CBIC_Late_Fee_Relief_Windows_1!$I$100:$I$1929,CBIC_Late_Fee_Relief_Windows_1!$D$100:$D$1929,"&lt;="&amp;B1929,CBIC_Late_Fee_Relief_Windows_1!$E$100:$E$1929,"&gt;="&amp;B1929,CBIC_Late_Fee_Relief_Windows_1!$F$100:$F$1929,"&lt;="&amp;C1929,CBIC_Late_Fee_Relief_Windows_1!$G$100:$G$1929,"&gt;="&amp;C1929,CBIC_Late_Fee_Relief_Windows_1!$H$100:$H$1929,D1929)</f>
        <v>#NAME?</v>
      </c>
      <c r="H1929" t="e">
        <f t="shared" ca="1" si="30"/>
        <v>#NAME?</v>
      </c>
      <c r="I1929" t="e">
        <f ca="1">INDEX(CBIC_Late_Fee_Relief_Windows_1!$B$100:$B$1929,MATCH(G1929,CBIC_Late_Fee_Relief_Windows_1!$I$100:$I$1929,0))</f>
        <v>#NAME?</v>
      </c>
    </row>
    <row r="1930" spans="1:9" x14ac:dyDescent="0.55000000000000004">
      <c r="A1930" t="str">
        <f>TEST_DATA!A1930</f>
        <v>27AAAAA1930Z5</v>
      </c>
      <c r="B1930" t="str">
        <f>TEST_DATA!B1930</f>
        <v>Apr-2020</v>
      </c>
      <c r="C1930">
        <f>TEST_DATA!C1930</f>
        <v>44255</v>
      </c>
      <c r="D1930" t="str">
        <f>TEST_DATA!D1930</f>
        <v>NIL</v>
      </c>
      <c r="E1930">
        <f>TEST_DATA!E1930</f>
        <v>2541</v>
      </c>
      <c r="F1930">
        <f>MIN(E1930*193000,10000)</f>
        <v>10000</v>
      </c>
      <c r="G1930" t="e">
        <f ca="1">_xludf.MINIFS(CBIC_Late_Fee_Relief_Windows_1!$I$100:$I$1930,CBIC_Late_Fee_Relief_Windows_1!$D$100:$D$1930,"&lt;="&amp;B1930,CBIC_Late_Fee_Relief_Windows_1!$E$100:$E$1930,"&gt;="&amp;B1930,CBIC_Late_Fee_Relief_Windows_1!$F$100:$F$1930,"&lt;="&amp;C1930,CBIC_Late_Fee_Relief_Windows_1!$G$100:$G$1930,"&gt;="&amp;C1930,CBIC_Late_Fee_Relief_Windows_1!$H$100:$H$1930,D1930)</f>
        <v>#NAME?</v>
      </c>
      <c r="H1930" t="e">
        <f t="shared" ca="1" si="30"/>
        <v>#NAME?</v>
      </c>
      <c r="I1930" t="e">
        <f ca="1">INDEX(CBIC_Late_Fee_Relief_Windows_1!$B$100:$B$1930,MATCH(G1930,CBIC_Late_Fee_Relief_Windows_1!$I$100:$I$1930,0))</f>
        <v>#NAME?</v>
      </c>
    </row>
    <row r="1931" spans="1:9" x14ac:dyDescent="0.55000000000000004">
      <c r="A1931" t="str">
        <f>TEST_DATA!A1931</f>
        <v>27AAAAA1931Z5</v>
      </c>
      <c r="B1931" t="str">
        <f>TEST_DATA!B1931</f>
        <v>Dec-2024</v>
      </c>
      <c r="C1931">
        <f>TEST_DATA!C1931</f>
        <v>44841</v>
      </c>
      <c r="D1931" t="str">
        <f>TEST_DATA!D1931</f>
        <v>NIL</v>
      </c>
      <c r="E1931">
        <f>TEST_DATA!E1931</f>
        <v>2108</v>
      </c>
      <c r="F1931">
        <f>MIN(E1931*193100,10000)</f>
        <v>10000</v>
      </c>
      <c r="G1931" t="e">
        <f ca="1">_xludf.MINIFS(CBIC_Late_Fee_Relief_Windows_1!$I$100:$I$1931,CBIC_Late_Fee_Relief_Windows_1!$D$100:$D$1931,"&lt;="&amp;B1931,CBIC_Late_Fee_Relief_Windows_1!$E$100:$E$1931,"&gt;="&amp;B1931,CBIC_Late_Fee_Relief_Windows_1!$F$100:$F$1931,"&lt;="&amp;C1931,CBIC_Late_Fee_Relief_Windows_1!$G$100:$G$1931,"&gt;="&amp;C1931,CBIC_Late_Fee_Relief_Windows_1!$H$100:$H$1931,D1931)</f>
        <v>#NAME?</v>
      </c>
      <c r="H1931" t="e">
        <f t="shared" ca="1" si="30"/>
        <v>#NAME?</v>
      </c>
      <c r="I1931" t="e">
        <f ca="1">INDEX(CBIC_Late_Fee_Relief_Windows_1!$B$100:$B$1931,MATCH(G1931,CBIC_Late_Fee_Relief_Windows_1!$I$100:$I$1931,0))</f>
        <v>#NAME?</v>
      </c>
    </row>
    <row r="1932" spans="1:9" x14ac:dyDescent="0.55000000000000004">
      <c r="A1932" t="str">
        <f>TEST_DATA!A1932</f>
        <v>27AAAAA1932Z5</v>
      </c>
      <c r="B1932" t="str">
        <f>TEST_DATA!B1932</f>
        <v>Jun-2020</v>
      </c>
      <c r="C1932">
        <f>TEST_DATA!C1932</f>
        <v>44576</v>
      </c>
      <c r="D1932" t="str">
        <f>TEST_DATA!D1932</f>
        <v>NIL</v>
      </c>
      <c r="E1932">
        <f>TEST_DATA!E1932</f>
        <v>454</v>
      </c>
      <c r="F1932">
        <f>MIN(E1932*193200,10000)</f>
        <v>10000</v>
      </c>
      <c r="G1932" t="e">
        <f ca="1">_xludf.MINIFS(CBIC_Late_Fee_Relief_Windows_1!$I$100:$I$1932,CBIC_Late_Fee_Relief_Windows_1!$D$100:$D$1932,"&lt;="&amp;B1932,CBIC_Late_Fee_Relief_Windows_1!$E$100:$E$1932,"&gt;="&amp;B1932,CBIC_Late_Fee_Relief_Windows_1!$F$100:$F$1932,"&lt;="&amp;C1932,CBIC_Late_Fee_Relief_Windows_1!$G$100:$G$1932,"&gt;="&amp;C1932,CBIC_Late_Fee_Relief_Windows_1!$H$100:$H$1932,D1932)</f>
        <v>#NAME?</v>
      </c>
      <c r="H1932" t="e">
        <f t="shared" ca="1" si="30"/>
        <v>#NAME?</v>
      </c>
      <c r="I1932" t="e">
        <f ca="1">INDEX(CBIC_Late_Fee_Relief_Windows_1!$B$100:$B$1932,MATCH(G1932,CBIC_Late_Fee_Relief_Windows_1!$I$100:$I$1932,0))</f>
        <v>#NAME?</v>
      </c>
    </row>
    <row r="1933" spans="1:9" x14ac:dyDescent="0.55000000000000004">
      <c r="A1933" t="str">
        <f>TEST_DATA!A1933</f>
        <v>27AAAAA1933Z5</v>
      </c>
      <c r="B1933" t="str">
        <f>TEST_DATA!B1933</f>
        <v>Jul-2018</v>
      </c>
      <c r="C1933">
        <f>TEST_DATA!C1933</f>
        <v>43665</v>
      </c>
      <c r="D1933" t="str">
        <f>TEST_DATA!D1933</f>
        <v>NON-NIL</v>
      </c>
      <c r="E1933">
        <f>TEST_DATA!E1933</f>
        <v>2535</v>
      </c>
      <c r="F1933">
        <f>MIN(E1933*193300,10000)</f>
        <v>10000</v>
      </c>
      <c r="G1933" t="e">
        <f ca="1">_xludf.MINIFS(CBIC_Late_Fee_Relief_Windows_1!$I$100:$I$1933,CBIC_Late_Fee_Relief_Windows_1!$D$100:$D$1933,"&lt;="&amp;B1933,CBIC_Late_Fee_Relief_Windows_1!$E$100:$E$1933,"&gt;="&amp;B1933,CBIC_Late_Fee_Relief_Windows_1!$F$100:$F$1933,"&lt;="&amp;C1933,CBIC_Late_Fee_Relief_Windows_1!$G$100:$G$1933,"&gt;="&amp;C1933,CBIC_Late_Fee_Relief_Windows_1!$H$100:$H$1933,D1933)</f>
        <v>#NAME?</v>
      </c>
      <c r="H1933" t="e">
        <f t="shared" ca="1" si="30"/>
        <v>#NAME?</v>
      </c>
      <c r="I1933" t="e">
        <f ca="1">INDEX(CBIC_Late_Fee_Relief_Windows_1!$B$100:$B$1933,MATCH(G1933,CBIC_Late_Fee_Relief_Windows_1!$I$100:$I$1933,0))</f>
        <v>#NAME?</v>
      </c>
    </row>
    <row r="1934" spans="1:9" x14ac:dyDescent="0.55000000000000004">
      <c r="A1934" t="str">
        <f>TEST_DATA!A1934</f>
        <v>27AAAAA1934Z5</v>
      </c>
      <c r="B1934" t="str">
        <f>TEST_DATA!B1934</f>
        <v>Aug-2017</v>
      </c>
      <c r="C1934">
        <f>TEST_DATA!C1934</f>
        <v>43665</v>
      </c>
      <c r="D1934" t="str">
        <f>TEST_DATA!D1934</f>
        <v>NON-NIL</v>
      </c>
      <c r="E1934">
        <f>TEST_DATA!E1934</f>
        <v>717</v>
      </c>
      <c r="F1934">
        <f>MIN(E1934*193400,10000)</f>
        <v>10000</v>
      </c>
      <c r="G1934" t="e">
        <f ca="1">_xludf.MINIFS(CBIC_Late_Fee_Relief_Windows_1!$I$100:$I$1934,CBIC_Late_Fee_Relief_Windows_1!$D$100:$D$1934,"&lt;="&amp;B1934,CBIC_Late_Fee_Relief_Windows_1!$E$100:$E$1934,"&gt;="&amp;B1934,CBIC_Late_Fee_Relief_Windows_1!$F$100:$F$1934,"&lt;="&amp;C1934,CBIC_Late_Fee_Relief_Windows_1!$G$100:$G$1934,"&gt;="&amp;C1934,CBIC_Late_Fee_Relief_Windows_1!$H$100:$H$1934,D1934)</f>
        <v>#NAME?</v>
      </c>
      <c r="H1934" t="e">
        <f t="shared" ca="1" si="30"/>
        <v>#NAME?</v>
      </c>
      <c r="I1934" t="e">
        <f ca="1">INDEX(CBIC_Late_Fee_Relief_Windows_1!$B$100:$B$1934,MATCH(G1934,CBIC_Late_Fee_Relief_Windows_1!$I$100:$I$1934,0))</f>
        <v>#NAME?</v>
      </c>
    </row>
    <row r="1935" spans="1:9" x14ac:dyDescent="0.55000000000000004">
      <c r="A1935" t="str">
        <f>TEST_DATA!A1935</f>
        <v>27AAAAA1935Z5</v>
      </c>
      <c r="B1935" t="str">
        <f>TEST_DATA!B1935</f>
        <v>May-2020</v>
      </c>
      <c r="C1935">
        <f>TEST_DATA!C1935</f>
        <v>43968</v>
      </c>
      <c r="D1935" t="str">
        <f>TEST_DATA!D1935</f>
        <v>NIL</v>
      </c>
      <c r="E1935">
        <f>TEST_DATA!E1935</f>
        <v>566</v>
      </c>
      <c r="F1935">
        <f>MIN(E1935*193500,10000)</f>
        <v>10000</v>
      </c>
      <c r="G1935" t="e">
        <f ca="1">_xludf.MINIFS(CBIC_Late_Fee_Relief_Windows_1!$I$100:$I$1935,CBIC_Late_Fee_Relief_Windows_1!$D$100:$D$1935,"&lt;="&amp;B1935,CBIC_Late_Fee_Relief_Windows_1!$E$100:$E$1935,"&gt;="&amp;B1935,CBIC_Late_Fee_Relief_Windows_1!$F$100:$F$1935,"&lt;="&amp;C1935,CBIC_Late_Fee_Relief_Windows_1!$G$100:$G$1935,"&gt;="&amp;C1935,CBIC_Late_Fee_Relief_Windows_1!$H$100:$H$1935,D1935)</f>
        <v>#NAME?</v>
      </c>
      <c r="H1935" t="e">
        <f t="shared" ca="1" si="30"/>
        <v>#NAME?</v>
      </c>
      <c r="I1935" t="e">
        <f ca="1">INDEX(CBIC_Late_Fee_Relief_Windows_1!$B$100:$B$1935,MATCH(G1935,CBIC_Late_Fee_Relief_Windows_1!$I$100:$I$1935,0))</f>
        <v>#NAME?</v>
      </c>
    </row>
    <row r="1936" spans="1:9" x14ac:dyDescent="0.55000000000000004">
      <c r="A1936" t="str">
        <f>TEST_DATA!A1936</f>
        <v>27AAAAA1936Z5</v>
      </c>
      <c r="B1936" t="str">
        <f>TEST_DATA!B1936</f>
        <v>May-2018</v>
      </c>
      <c r="C1936">
        <f>TEST_DATA!C1936</f>
        <v>43405</v>
      </c>
      <c r="D1936" t="str">
        <f>TEST_DATA!D1936</f>
        <v>NIL</v>
      </c>
      <c r="E1936">
        <f>TEST_DATA!E1936</f>
        <v>2658</v>
      </c>
      <c r="F1936">
        <f>MIN(E1936*193600,10000)</f>
        <v>10000</v>
      </c>
      <c r="G1936" t="e">
        <f ca="1">_xludf.MINIFS(CBIC_Late_Fee_Relief_Windows_1!$I$100:$I$1936,CBIC_Late_Fee_Relief_Windows_1!$D$100:$D$1936,"&lt;="&amp;B1936,CBIC_Late_Fee_Relief_Windows_1!$E$100:$E$1936,"&gt;="&amp;B1936,CBIC_Late_Fee_Relief_Windows_1!$F$100:$F$1936,"&lt;="&amp;C1936,CBIC_Late_Fee_Relief_Windows_1!$G$100:$G$1936,"&gt;="&amp;C1936,CBIC_Late_Fee_Relief_Windows_1!$H$100:$H$1936,D1936)</f>
        <v>#NAME?</v>
      </c>
      <c r="H1936" t="e">
        <f t="shared" ca="1" si="30"/>
        <v>#NAME?</v>
      </c>
      <c r="I1936" t="e">
        <f ca="1">INDEX(CBIC_Late_Fee_Relief_Windows_1!$B$100:$B$1936,MATCH(G1936,CBIC_Late_Fee_Relief_Windows_1!$I$100:$I$1936,0))</f>
        <v>#NAME?</v>
      </c>
    </row>
    <row r="1937" spans="1:9" x14ac:dyDescent="0.55000000000000004">
      <c r="A1937" t="str">
        <f>TEST_DATA!A1937</f>
        <v>27AAAAA1937Z5</v>
      </c>
      <c r="B1937" t="str">
        <f>TEST_DATA!B1937</f>
        <v>Jan-2019</v>
      </c>
      <c r="C1937">
        <f>TEST_DATA!C1937</f>
        <v>44325</v>
      </c>
      <c r="D1937" t="str">
        <f>TEST_DATA!D1937</f>
        <v>NIL</v>
      </c>
      <c r="E1937">
        <f>TEST_DATA!E1937</f>
        <v>1312</v>
      </c>
      <c r="F1937">
        <f>MIN(E1937*193700,10000)</f>
        <v>10000</v>
      </c>
      <c r="G1937" t="e">
        <f ca="1">_xludf.MINIFS(CBIC_Late_Fee_Relief_Windows_1!$I$100:$I$1937,CBIC_Late_Fee_Relief_Windows_1!$D$100:$D$1937,"&lt;="&amp;B1937,CBIC_Late_Fee_Relief_Windows_1!$E$100:$E$1937,"&gt;="&amp;B1937,CBIC_Late_Fee_Relief_Windows_1!$F$100:$F$1937,"&lt;="&amp;C1937,CBIC_Late_Fee_Relief_Windows_1!$G$100:$G$1937,"&gt;="&amp;C1937,CBIC_Late_Fee_Relief_Windows_1!$H$100:$H$1937,D1937)</f>
        <v>#NAME?</v>
      </c>
      <c r="H1937" t="e">
        <f t="shared" ca="1" si="30"/>
        <v>#NAME?</v>
      </c>
      <c r="I1937" t="e">
        <f ca="1">INDEX(CBIC_Late_Fee_Relief_Windows_1!$B$100:$B$1937,MATCH(G1937,CBIC_Late_Fee_Relief_Windows_1!$I$100:$I$1937,0))</f>
        <v>#NAME?</v>
      </c>
    </row>
    <row r="1938" spans="1:9" x14ac:dyDescent="0.55000000000000004">
      <c r="A1938" t="str">
        <f>TEST_DATA!A1938</f>
        <v>27AAAAA1938Z5</v>
      </c>
      <c r="B1938" t="str">
        <f>TEST_DATA!B1938</f>
        <v>Jun-2018</v>
      </c>
      <c r="C1938">
        <f>TEST_DATA!C1938</f>
        <v>43464</v>
      </c>
      <c r="D1938" t="str">
        <f>TEST_DATA!D1938</f>
        <v>NON-NIL</v>
      </c>
      <c r="E1938">
        <f>TEST_DATA!E1938</f>
        <v>1135</v>
      </c>
      <c r="F1938">
        <f>MIN(E1938*193800,10000)</f>
        <v>10000</v>
      </c>
      <c r="G1938" t="e">
        <f ca="1">_xludf.MINIFS(CBIC_Late_Fee_Relief_Windows_1!$I$100:$I$1938,CBIC_Late_Fee_Relief_Windows_1!$D$100:$D$1938,"&lt;="&amp;B1938,CBIC_Late_Fee_Relief_Windows_1!$E$100:$E$1938,"&gt;="&amp;B1938,CBIC_Late_Fee_Relief_Windows_1!$F$100:$F$1938,"&lt;="&amp;C1938,CBIC_Late_Fee_Relief_Windows_1!$G$100:$G$1938,"&gt;="&amp;C1938,CBIC_Late_Fee_Relief_Windows_1!$H$100:$H$1938,D1938)</f>
        <v>#NAME?</v>
      </c>
      <c r="H1938" t="e">
        <f t="shared" ca="1" si="30"/>
        <v>#NAME?</v>
      </c>
      <c r="I1938" t="e">
        <f ca="1">INDEX(CBIC_Late_Fee_Relief_Windows_1!$B$100:$B$1938,MATCH(G1938,CBIC_Late_Fee_Relief_Windows_1!$I$100:$I$1938,0))</f>
        <v>#NAME?</v>
      </c>
    </row>
    <row r="1939" spans="1:9" x14ac:dyDescent="0.55000000000000004">
      <c r="A1939" t="str">
        <f>TEST_DATA!A1939</f>
        <v>27AAAAA1939Z5</v>
      </c>
      <c r="B1939" t="str">
        <f>TEST_DATA!B1939</f>
        <v>Aug-2017</v>
      </c>
      <c r="C1939">
        <f>TEST_DATA!C1939</f>
        <v>43046</v>
      </c>
      <c r="D1939" t="str">
        <f>TEST_DATA!D1939</f>
        <v>NON-NIL</v>
      </c>
      <c r="E1939">
        <f>TEST_DATA!E1939</f>
        <v>1414</v>
      </c>
      <c r="F1939">
        <f>MIN(E1939*193900,10000)</f>
        <v>10000</v>
      </c>
      <c r="G1939" t="e">
        <f ca="1">_xludf.MINIFS(CBIC_Late_Fee_Relief_Windows_1!$I$100:$I$1939,CBIC_Late_Fee_Relief_Windows_1!$D$100:$D$1939,"&lt;="&amp;B1939,CBIC_Late_Fee_Relief_Windows_1!$E$100:$E$1939,"&gt;="&amp;B1939,CBIC_Late_Fee_Relief_Windows_1!$F$100:$F$1939,"&lt;="&amp;C1939,CBIC_Late_Fee_Relief_Windows_1!$G$100:$G$1939,"&gt;="&amp;C1939,CBIC_Late_Fee_Relief_Windows_1!$H$100:$H$1939,D1939)</f>
        <v>#NAME?</v>
      </c>
      <c r="H1939" t="e">
        <f t="shared" ca="1" si="30"/>
        <v>#NAME?</v>
      </c>
      <c r="I1939" t="e">
        <f ca="1">INDEX(CBIC_Late_Fee_Relief_Windows_1!$B$100:$B$1939,MATCH(G1939,CBIC_Late_Fee_Relief_Windows_1!$I$100:$I$1939,0))</f>
        <v>#NAME?</v>
      </c>
    </row>
    <row r="1940" spans="1:9" x14ac:dyDescent="0.55000000000000004">
      <c r="A1940" t="str">
        <f>TEST_DATA!A1940</f>
        <v>27AAAAA1940Z5</v>
      </c>
      <c r="B1940" t="str">
        <f>TEST_DATA!B1940</f>
        <v>Sep-2018</v>
      </c>
      <c r="C1940">
        <f>TEST_DATA!C1940</f>
        <v>43912</v>
      </c>
      <c r="D1940" t="str">
        <f>TEST_DATA!D1940</f>
        <v>NIL</v>
      </c>
      <c r="E1940">
        <f>TEST_DATA!E1940</f>
        <v>1925</v>
      </c>
      <c r="F1940">
        <f>MIN(E1940*194000,10000)</f>
        <v>10000</v>
      </c>
      <c r="G1940" t="e">
        <f ca="1">_xludf.MINIFS(CBIC_Late_Fee_Relief_Windows_1!$I$100:$I$1940,CBIC_Late_Fee_Relief_Windows_1!$D$100:$D$1940,"&lt;="&amp;B1940,CBIC_Late_Fee_Relief_Windows_1!$E$100:$E$1940,"&gt;="&amp;B1940,CBIC_Late_Fee_Relief_Windows_1!$F$100:$F$1940,"&lt;="&amp;C1940,CBIC_Late_Fee_Relief_Windows_1!$G$100:$G$1940,"&gt;="&amp;C1940,CBIC_Late_Fee_Relief_Windows_1!$H$100:$H$1940,D1940)</f>
        <v>#NAME?</v>
      </c>
      <c r="H1940" t="e">
        <f t="shared" ca="1" si="30"/>
        <v>#NAME?</v>
      </c>
      <c r="I1940" t="e">
        <f ca="1">INDEX(CBIC_Late_Fee_Relief_Windows_1!$B$100:$B$1940,MATCH(G1940,CBIC_Late_Fee_Relief_Windows_1!$I$100:$I$1940,0))</f>
        <v>#NAME?</v>
      </c>
    </row>
    <row r="1941" spans="1:9" x14ac:dyDescent="0.55000000000000004">
      <c r="A1941" t="str">
        <f>TEST_DATA!A1941</f>
        <v>27AAAAA1941Z5</v>
      </c>
      <c r="B1941" t="str">
        <f>TEST_DATA!B1941</f>
        <v>Jul-2020</v>
      </c>
      <c r="C1941">
        <f>TEST_DATA!C1941</f>
        <v>44920</v>
      </c>
      <c r="D1941" t="str">
        <f>TEST_DATA!D1941</f>
        <v>NON-NIL</v>
      </c>
      <c r="E1941">
        <f>TEST_DATA!E1941</f>
        <v>1851</v>
      </c>
      <c r="F1941">
        <f>MIN(E1941*194100,10000)</f>
        <v>10000</v>
      </c>
      <c r="G1941" t="e">
        <f ca="1">_xludf.MINIFS(CBIC_Late_Fee_Relief_Windows_1!$I$100:$I$1941,CBIC_Late_Fee_Relief_Windows_1!$D$100:$D$1941,"&lt;="&amp;B1941,CBIC_Late_Fee_Relief_Windows_1!$E$100:$E$1941,"&gt;="&amp;B1941,CBIC_Late_Fee_Relief_Windows_1!$F$100:$F$1941,"&lt;="&amp;C1941,CBIC_Late_Fee_Relief_Windows_1!$G$100:$G$1941,"&gt;="&amp;C1941,CBIC_Late_Fee_Relief_Windows_1!$H$100:$H$1941,D1941)</f>
        <v>#NAME?</v>
      </c>
      <c r="H1941" t="e">
        <f t="shared" ca="1" si="30"/>
        <v>#NAME?</v>
      </c>
      <c r="I1941" t="e">
        <f ca="1">INDEX(CBIC_Late_Fee_Relief_Windows_1!$B$100:$B$1941,MATCH(G1941,CBIC_Late_Fee_Relief_Windows_1!$I$100:$I$1941,0))</f>
        <v>#NAME?</v>
      </c>
    </row>
    <row r="1942" spans="1:9" x14ac:dyDescent="0.55000000000000004">
      <c r="A1942" t="str">
        <f>TEST_DATA!A1942</f>
        <v>27AAAAA1942Z5</v>
      </c>
      <c r="B1942" t="str">
        <f>TEST_DATA!B1942</f>
        <v>Apr-2020</v>
      </c>
      <c r="C1942">
        <f>TEST_DATA!C1942</f>
        <v>44584</v>
      </c>
      <c r="D1942" t="str">
        <f>TEST_DATA!D1942</f>
        <v>NIL</v>
      </c>
      <c r="E1942">
        <f>TEST_DATA!E1942</f>
        <v>771</v>
      </c>
      <c r="F1942">
        <f>MIN(E1942*194200,10000)</f>
        <v>10000</v>
      </c>
      <c r="G1942" t="e">
        <f ca="1">_xludf.MINIFS(CBIC_Late_Fee_Relief_Windows_1!$I$100:$I$1942,CBIC_Late_Fee_Relief_Windows_1!$D$100:$D$1942,"&lt;="&amp;B1942,CBIC_Late_Fee_Relief_Windows_1!$E$100:$E$1942,"&gt;="&amp;B1942,CBIC_Late_Fee_Relief_Windows_1!$F$100:$F$1942,"&lt;="&amp;C1942,CBIC_Late_Fee_Relief_Windows_1!$G$100:$G$1942,"&gt;="&amp;C1942,CBIC_Late_Fee_Relief_Windows_1!$H$100:$H$1942,D1942)</f>
        <v>#NAME?</v>
      </c>
      <c r="H1942" t="e">
        <f t="shared" ca="1" si="30"/>
        <v>#NAME?</v>
      </c>
      <c r="I1942" t="e">
        <f ca="1">INDEX(CBIC_Late_Fee_Relief_Windows_1!$B$100:$B$1942,MATCH(G1942,CBIC_Late_Fee_Relief_Windows_1!$I$100:$I$1942,0))</f>
        <v>#NAME?</v>
      </c>
    </row>
    <row r="1943" spans="1:9" x14ac:dyDescent="0.55000000000000004">
      <c r="A1943" t="str">
        <f>TEST_DATA!A1943</f>
        <v>27AAAAA1943Z5</v>
      </c>
      <c r="B1943" t="str">
        <f>TEST_DATA!B1943</f>
        <v>Dec-2024</v>
      </c>
      <c r="C1943">
        <f>TEST_DATA!C1943</f>
        <v>45341</v>
      </c>
      <c r="D1943" t="str">
        <f>TEST_DATA!D1943</f>
        <v>NIL</v>
      </c>
      <c r="E1943">
        <f>TEST_DATA!E1943</f>
        <v>328</v>
      </c>
      <c r="F1943">
        <f>MIN(E1943*194300,10000)</f>
        <v>10000</v>
      </c>
      <c r="G1943" t="e">
        <f ca="1">_xludf.MINIFS(CBIC_Late_Fee_Relief_Windows_1!$I$100:$I$1943,CBIC_Late_Fee_Relief_Windows_1!$D$100:$D$1943,"&lt;="&amp;B1943,CBIC_Late_Fee_Relief_Windows_1!$E$100:$E$1943,"&gt;="&amp;B1943,CBIC_Late_Fee_Relief_Windows_1!$F$100:$F$1943,"&lt;="&amp;C1943,CBIC_Late_Fee_Relief_Windows_1!$G$100:$G$1943,"&gt;="&amp;C1943,CBIC_Late_Fee_Relief_Windows_1!$H$100:$H$1943,D1943)</f>
        <v>#NAME?</v>
      </c>
      <c r="H1943" t="e">
        <f t="shared" ca="1" si="30"/>
        <v>#NAME?</v>
      </c>
      <c r="I1943" t="e">
        <f ca="1">INDEX(CBIC_Late_Fee_Relief_Windows_1!$B$100:$B$1943,MATCH(G1943,CBIC_Late_Fee_Relief_Windows_1!$I$100:$I$1943,0))</f>
        <v>#NAME?</v>
      </c>
    </row>
    <row r="1944" spans="1:9" x14ac:dyDescent="0.55000000000000004">
      <c r="A1944" t="str">
        <f>TEST_DATA!A1944</f>
        <v>27AAAAA1944Z5</v>
      </c>
      <c r="B1944" t="str">
        <f>TEST_DATA!B1944</f>
        <v>Jul-2018</v>
      </c>
      <c r="C1944">
        <f>TEST_DATA!C1944</f>
        <v>43283</v>
      </c>
      <c r="D1944" t="str">
        <f>TEST_DATA!D1944</f>
        <v>NON-NIL</v>
      </c>
      <c r="E1944">
        <f>TEST_DATA!E1944</f>
        <v>315</v>
      </c>
      <c r="F1944">
        <f>MIN(E1944*194400,10000)</f>
        <v>10000</v>
      </c>
      <c r="G1944" t="e">
        <f ca="1">_xludf.MINIFS(CBIC_Late_Fee_Relief_Windows_1!$I$100:$I$1944,CBIC_Late_Fee_Relief_Windows_1!$D$100:$D$1944,"&lt;="&amp;B1944,CBIC_Late_Fee_Relief_Windows_1!$E$100:$E$1944,"&gt;="&amp;B1944,CBIC_Late_Fee_Relief_Windows_1!$F$100:$F$1944,"&lt;="&amp;C1944,CBIC_Late_Fee_Relief_Windows_1!$G$100:$G$1944,"&gt;="&amp;C1944,CBIC_Late_Fee_Relief_Windows_1!$H$100:$H$1944,D1944)</f>
        <v>#NAME?</v>
      </c>
      <c r="H1944" t="e">
        <f t="shared" ca="1" si="30"/>
        <v>#NAME?</v>
      </c>
      <c r="I1944" t="e">
        <f ca="1">INDEX(CBIC_Late_Fee_Relief_Windows_1!$B$100:$B$1944,MATCH(G1944,CBIC_Late_Fee_Relief_Windows_1!$I$100:$I$1944,0))</f>
        <v>#NAME?</v>
      </c>
    </row>
    <row r="1945" spans="1:9" x14ac:dyDescent="0.55000000000000004">
      <c r="A1945" t="str">
        <f>TEST_DATA!A1945</f>
        <v>27AAAAA1945Z5</v>
      </c>
      <c r="B1945" t="str">
        <f>TEST_DATA!B1945</f>
        <v>Oct-2017</v>
      </c>
      <c r="C1945">
        <f>TEST_DATA!C1945</f>
        <v>43254</v>
      </c>
      <c r="D1945" t="str">
        <f>TEST_DATA!D1945</f>
        <v>NON-NIL</v>
      </c>
      <c r="E1945">
        <f>TEST_DATA!E1945</f>
        <v>458</v>
      </c>
      <c r="F1945">
        <f>MIN(E1945*194500,10000)</f>
        <v>10000</v>
      </c>
      <c r="G1945" t="e">
        <f ca="1">_xludf.MINIFS(CBIC_Late_Fee_Relief_Windows_1!$I$100:$I$1945,CBIC_Late_Fee_Relief_Windows_1!$D$100:$D$1945,"&lt;="&amp;B1945,CBIC_Late_Fee_Relief_Windows_1!$E$100:$E$1945,"&gt;="&amp;B1945,CBIC_Late_Fee_Relief_Windows_1!$F$100:$F$1945,"&lt;="&amp;C1945,CBIC_Late_Fee_Relief_Windows_1!$G$100:$G$1945,"&gt;="&amp;C1945,CBIC_Late_Fee_Relief_Windows_1!$H$100:$H$1945,D1945)</f>
        <v>#NAME?</v>
      </c>
      <c r="H1945" t="e">
        <f t="shared" ca="1" si="30"/>
        <v>#NAME?</v>
      </c>
      <c r="I1945" t="e">
        <f ca="1">INDEX(CBIC_Late_Fee_Relief_Windows_1!$B$100:$B$1945,MATCH(G1945,CBIC_Late_Fee_Relief_Windows_1!$I$100:$I$1945,0))</f>
        <v>#NAME?</v>
      </c>
    </row>
    <row r="1946" spans="1:9" x14ac:dyDescent="0.55000000000000004">
      <c r="A1946" t="str">
        <f>TEST_DATA!A1946</f>
        <v>27AAAAA1946Z5</v>
      </c>
      <c r="B1946" t="str">
        <f>TEST_DATA!B1946</f>
        <v>Jul-2020</v>
      </c>
      <c r="C1946">
        <f>TEST_DATA!C1946</f>
        <v>44134</v>
      </c>
      <c r="D1946" t="str">
        <f>TEST_DATA!D1946</f>
        <v>NON-NIL</v>
      </c>
      <c r="E1946">
        <f>TEST_DATA!E1946</f>
        <v>616</v>
      </c>
      <c r="F1946">
        <f>MIN(E1946*194600,10000)</f>
        <v>10000</v>
      </c>
      <c r="G1946" t="e">
        <f ca="1">_xludf.MINIFS(CBIC_Late_Fee_Relief_Windows_1!$I$100:$I$1946,CBIC_Late_Fee_Relief_Windows_1!$D$100:$D$1946,"&lt;="&amp;B1946,CBIC_Late_Fee_Relief_Windows_1!$E$100:$E$1946,"&gt;="&amp;B1946,CBIC_Late_Fee_Relief_Windows_1!$F$100:$F$1946,"&lt;="&amp;C1946,CBIC_Late_Fee_Relief_Windows_1!$G$100:$G$1946,"&gt;="&amp;C1946,CBIC_Late_Fee_Relief_Windows_1!$H$100:$H$1946,D1946)</f>
        <v>#NAME?</v>
      </c>
      <c r="H1946" t="e">
        <f t="shared" ca="1" si="30"/>
        <v>#NAME?</v>
      </c>
      <c r="I1946" t="e">
        <f ca="1">INDEX(CBIC_Late_Fee_Relief_Windows_1!$B$100:$B$1946,MATCH(G1946,CBIC_Late_Fee_Relief_Windows_1!$I$100:$I$1946,0))</f>
        <v>#NAME?</v>
      </c>
    </row>
    <row r="1947" spans="1:9" x14ac:dyDescent="0.55000000000000004">
      <c r="A1947" t="str">
        <f>TEST_DATA!A1947</f>
        <v>27AAAAA1947Z5</v>
      </c>
      <c r="B1947" t="str">
        <f>TEST_DATA!B1947</f>
        <v>Mar-2023</v>
      </c>
      <c r="C1947">
        <f>TEST_DATA!C1947</f>
        <v>44302</v>
      </c>
      <c r="D1947" t="str">
        <f>TEST_DATA!D1947</f>
        <v>NIL</v>
      </c>
      <c r="E1947">
        <f>TEST_DATA!E1947</f>
        <v>1200</v>
      </c>
      <c r="F1947">
        <f>MIN(E1947*194700,10000)</f>
        <v>10000</v>
      </c>
      <c r="G1947" t="e">
        <f ca="1">_xludf.MINIFS(CBIC_Late_Fee_Relief_Windows_1!$I$100:$I$1947,CBIC_Late_Fee_Relief_Windows_1!$D$100:$D$1947,"&lt;="&amp;B1947,CBIC_Late_Fee_Relief_Windows_1!$E$100:$E$1947,"&gt;="&amp;B1947,CBIC_Late_Fee_Relief_Windows_1!$F$100:$F$1947,"&lt;="&amp;C1947,CBIC_Late_Fee_Relief_Windows_1!$G$100:$G$1947,"&gt;="&amp;C1947,CBIC_Late_Fee_Relief_Windows_1!$H$100:$H$1947,D1947)</f>
        <v>#NAME?</v>
      </c>
      <c r="H1947" t="e">
        <f t="shared" ca="1" si="30"/>
        <v>#NAME?</v>
      </c>
      <c r="I1947" t="e">
        <f ca="1">INDEX(CBIC_Late_Fee_Relief_Windows_1!$B$100:$B$1947,MATCH(G1947,CBIC_Late_Fee_Relief_Windows_1!$I$100:$I$1947,0))</f>
        <v>#NAME?</v>
      </c>
    </row>
    <row r="1948" spans="1:9" x14ac:dyDescent="0.55000000000000004">
      <c r="A1948" t="str">
        <f>TEST_DATA!A1948</f>
        <v>27AAAAA1948Z5</v>
      </c>
      <c r="B1948" t="str">
        <f>TEST_DATA!B1948</f>
        <v>Aug-2018</v>
      </c>
      <c r="C1948">
        <f>TEST_DATA!C1948</f>
        <v>44314</v>
      </c>
      <c r="D1948" t="str">
        <f>TEST_DATA!D1948</f>
        <v>NIL</v>
      </c>
      <c r="E1948">
        <f>TEST_DATA!E1948</f>
        <v>1941</v>
      </c>
      <c r="F1948">
        <f>MIN(E1948*194800,10000)</f>
        <v>10000</v>
      </c>
      <c r="G1948" t="e">
        <f ca="1">_xludf.MINIFS(CBIC_Late_Fee_Relief_Windows_1!$I$100:$I$1948,CBIC_Late_Fee_Relief_Windows_1!$D$100:$D$1948,"&lt;="&amp;B1948,CBIC_Late_Fee_Relief_Windows_1!$E$100:$E$1948,"&gt;="&amp;B1948,CBIC_Late_Fee_Relief_Windows_1!$F$100:$F$1948,"&lt;="&amp;C1948,CBIC_Late_Fee_Relief_Windows_1!$G$100:$G$1948,"&gt;="&amp;C1948,CBIC_Late_Fee_Relief_Windows_1!$H$100:$H$1948,D1948)</f>
        <v>#NAME?</v>
      </c>
      <c r="H1948" t="e">
        <f t="shared" ca="1" si="30"/>
        <v>#NAME?</v>
      </c>
      <c r="I1948" t="e">
        <f ca="1">INDEX(CBIC_Late_Fee_Relief_Windows_1!$B$100:$B$1948,MATCH(G1948,CBIC_Late_Fee_Relief_Windows_1!$I$100:$I$1948,0))</f>
        <v>#NAME?</v>
      </c>
    </row>
    <row r="1949" spans="1:9" x14ac:dyDescent="0.55000000000000004">
      <c r="A1949" t="str">
        <f>TEST_DATA!A1949</f>
        <v>27AAAAA1949Z5</v>
      </c>
      <c r="B1949" t="str">
        <f>TEST_DATA!B1949</f>
        <v>Jun-2018</v>
      </c>
      <c r="C1949">
        <f>TEST_DATA!C1949</f>
        <v>43777</v>
      </c>
      <c r="D1949" t="str">
        <f>TEST_DATA!D1949</f>
        <v>NON-NIL</v>
      </c>
      <c r="E1949">
        <f>TEST_DATA!E1949</f>
        <v>2640</v>
      </c>
      <c r="F1949">
        <f>MIN(E1949*194900,10000)</f>
        <v>10000</v>
      </c>
      <c r="G1949" t="e">
        <f ca="1">_xludf.MINIFS(CBIC_Late_Fee_Relief_Windows_1!$I$100:$I$1949,CBIC_Late_Fee_Relief_Windows_1!$D$100:$D$1949,"&lt;="&amp;B1949,CBIC_Late_Fee_Relief_Windows_1!$E$100:$E$1949,"&gt;="&amp;B1949,CBIC_Late_Fee_Relief_Windows_1!$F$100:$F$1949,"&lt;="&amp;C1949,CBIC_Late_Fee_Relief_Windows_1!$G$100:$G$1949,"&gt;="&amp;C1949,CBIC_Late_Fee_Relief_Windows_1!$H$100:$H$1949,D1949)</f>
        <v>#NAME?</v>
      </c>
      <c r="H1949" t="e">
        <f t="shared" ca="1" si="30"/>
        <v>#NAME?</v>
      </c>
      <c r="I1949" t="e">
        <f ca="1">INDEX(CBIC_Late_Fee_Relief_Windows_1!$B$100:$B$1949,MATCH(G1949,CBIC_Late_Fee_Relief_Windows_1!$I$100:$I$1949,0))</f>
        <v>#NAME?</v>
      </c>
    </row>
    <row r="1950" spans="1:9" x14ac:dyDescent="0.55000000000000004">
      <c r="A1950" t="str">
        <f>TEST_DATA!A1950</f>
        <v>27AAAAA1950Z5</v>
      </c>
      <c r="B1950" t="str">
        <f>TEST_DATA!B1950</f>
        <v>Jul-2017</v>
      </c>
      <c r="C1950">
        <f>TEST_DATA!C1950</f>
        <v>43514</v>
      </c>
      <c r="D1950" t="str">
        <f>TEST_DATA!D1950</f>
        <v>NIL</v>
      </c>
      <c r="E1950">
        <f>TEST_DATA!E1950</f>
        <v>257</v>
      </c>
      <c r="F1950">
        <f>MIN(E1950*195000,10000)</f>
        <v>10000</v>
      </c>
      <c r="G1950" t="e">
        <f ca="1">_xludf.MINIFS(CBIC_Late_Fee_Relief_Windows_1!$I$100:$I$1950,CBIC_Late_Fee_Relief_Windows_1!$D$100:$D$1950,"&lt;="&amp;B1950,CBIC_Late_Fee_Relief_Windows_1!$E$100:$E$1950,"&gt;="&amp;B1950,CBIC_Late_Fee_Relief_Windows_1!$F$100:$F$1950,"&lt;="&amp;C1950,CBIC_Late_Fee_Relief_Windows_1!$G$100:$G$1950,"&gt;="&amp;C1950,CBIC_Late_Fee_Relief_Windows_1!$H$100:$H$1950,D1950)</f>
        <v>#NAME?</v>
      </c>
      <c r="H1950" t="e">
        <f t="shared" ca="1" si="30"/>
        <v>#NAME?</v>
      </c>
      <c r="I1950" t="e">
        <f ca="1">INDEX(CBIC_Late_Fee_Relief_Windows_1!$B$100:$B$1950,MATCH(G1950,CBIC_Late_Fee_Relief_Windows_1!$I$100:$I$1950,0))</f>
        <v>#NAME?</v>
      </c>
    </row>
    <row r="1951" spans="1:9" x14ac:dyDescent="0.55000000000000004">
      <c r="A1951" t="str">
        <f>TEST_DATA!A1951</f>
        <v>27AAAAA1951Z5</v>
      </c>
      <c r="B1951" t="str">
        <f>TEST_DATA!B1951</f>
        <v>Jul-2017</v>
      </c>
      <c r="C1951">
        <f>TEST_DATA!C1951</f>
        <v>44559</v>
      </c>
      <c r="D1951" t="str">
        <f>TEST_DATA!D1951</f>
        <v>NIL</v>
      </c>
      <c r="E1951">
        <f>TEST_DATA!E1951</f>
        <v>2128</v>
      </c>
      <c r="F1951">
        <f>MIN(E1951*195100,10000)</f>
        <v>10000</v>
      </c>
      <c r="G1951" t="e">
        <f ca="1">_xludf.MINIFS(CBIC_Late_Fee_Relief_Windows_1!$I$100:$I$1951,CBIC_Late_Fee_Relief_Windows_1!$D$100:$D$1951,"&lt;="&amp;B1951,CBIC_Late_Fee_Relief_Windows_1!$E$100:$E$1951,"&gt;="&amp;B1951,CBIC_Late_Fee_Relief_Windows_1!$F$100:$F$1951,"&lt;="&amp;C1951,CBIC_Late_Fee_Relief_Windows_1!$G$100:$G$1951,"&gt;="&amp;C1951,CBIC_Late_Fee_Relief_Windows_1!$H$100:$H$1951,D1951)</f>
        <v>#NAME?</v>
      </c>
      <c r="H1951" t="e">
        <f t="shared" ca="1" si="30"/>
        <v>#NAME?</v>
      </c>
      <c r="I1951" t="e">
        <f ca="1">INDEX(CBIC_Late_Fee_Relief_Windows_1!$B$100:$B$1951,MATCH(G1951,CBIC_Late_Fee_Relief_Windows_1!$I$100:$I$1951,0))</f>
        <v>#NAME?</v>
      </c>
    </row>
    <row r="1952" spans="1:9" x14ac:dyDescent="0.55000000000000004">
      <c r="A1952" t="str">
        <f>TEST_DATA!A1952</f>
        <v>27AAAAA1952Z5</v>
      </c>
      <c r="B1952" t="str">
        <f>TEST_DATA!B1952</f>
        <v>May-2020</v>
      </c>
      <c r="C1952">
        <f>TEST_DATA!C1952</f>
        <v>44518</v>
      </c>
      <c r="D1952" t="str">
        <f>TEST_DATA!D1952</f>
        <v>NON-NIL</v>
      </c>
      <c r="E1952">
        <f>TEST_DATA!E1952</f>
        <v>2370</v>
      </c>
      <c r="F1952">
        <f>MIN(E1952*195200,10000)</f>
        <v>10000</v>
      </c>
      <c r="G1952" t="e">
        <f ca="1">_xludf.MINIFS(CBIC_Late_Fee_Relief_Windows_1!$I$100:$I$1952,CBIC_Late_Fee_Relief_Windows_1!$D$100:$D$1952,"&lt;="&amp;B1952,CBIC_Late_Fee_Relief_Windows_1!$E$100:$E$1952,"&gt;="&amp;B1952,CBIC_Late_Fee_Relief_Windows_1!$F$100:$F$1952,"&lt;="&amp;C1952,CBIC_Late_Fee_Relief_Windows_1!$G$100:$G$1952,"&gt;="&amp;C1952,CBIC_Late_Fee_Relief_Windows_1!$H$100:$H$1952,D1952)</f>
        <v>#NAME?</v>
      </c>
      <c r="H1952" t="e">
        <f t="shared" ca="1" si="30"/>
        <v>#NAME?</v>
      </c>
      <c r="I1952" t="e">
        <f ca="1">INDEX(CBIC_Late_Fee_Relief_Windows_1!$B$100:$B$1952,MATCH(G1952,CBIC_Late_Fee_Relief_Windows_1!$I$100:$I$1952,0))</f>
        <v>#NAME?</v>
      </c>
    </row>
    <row r="1953" spans="1:9" x14ac:dyDescent="0.55000000000000004">
      <c r="A1953" t="str">
        <f>TEST_DATA!A1953</f>
        <v>27AAAAA1953Z5</v>
      </c>
      <c r="B1953" t="str">
        <f>TEST_DATA!B1953</f>
        <v>May-2018</v>
      </c>
      <c r="C1953">
        <f>TEST_DATA!C1953</f>
        <v>44259</v>
      </c>
      <c r="D1953" t="str">
        <f>TEST_DATA!D1953</f>
        <v>NON-NIL</v>
      </c>
      <c r="E1953">
        <f>TEST_DATA!E1953</f>
        <v>1991</v>
      </c>
      <c r="F1953">
        <f>MIN(E1953*195300,10000)</f>
        <v>10000</v>
      </c>
      <c r="G1953" t="e">
        <f ca="1">_xludf.MINIFS(CBIC_Late_Fee_Relief_Windows_1!$I$100:$I$1953,CBIC_Late_Fee_Relief_Windows_1!$D$100:$D$1953,"&lt;="&amp;B1953,CBIC_Late_Fee_Relief_Windows_1!$E$100:$E$1953,"&gt;="&amp;B1953,CBIC_Late_Fee_Relief_Windows_1!$F$100:$F$1953,"&lt;="&amp;C1953,CBIC_Late_Fee_Relief_Windows_1!$G$100:$G$1953,"&gt;="&amp;C1953,CBIC_Late_Fee_Relief_Windows_1!$H$100:$H$1953,D1953)</f>
        <v>#NAME?</v>
      </c>
      <c r="H1953" t="e">
        <f t="shared" ca="1" si="30"/>
        <v>#NAME?</v>
      </c>
      <c r="I1953" t="e">
        <f ca="1">INDEX(CBIC_Late_Fee_Relief_Windows_1!$B$100:$B$1953,MATCH(G1953,CBIC_Late_Fee_Relief_Windows_1!$I$100:$I$1953,0))</f>
        <v>#NAME?</v>
      </c>
    </row>
    <row r="1954" spans="1:9" x14ac:dyDescent="0.55000000000000004">
      <c r="A1954" t="str">
        <f>TEST_DATA!A1954</f>
        <v>27AAAAA1954Z5</v>
      </c>
      <c r="B1954" t="str">
        <f>TEST_DATA!B1954</f>
        <v>Mar-2020</v>
      </c>
      <c r="C1954">
        <f>TEST_DATA!C1954</f>
        <v>44916</v>
      </c>
      <c r="D1954" t="str">
        <f>TEST_DATA!D1954</f>
        <v>NON-NIL</v>
      </c>
      <c r="E1954">
        <f>TEST_DATA!E1954</f>
        <v>1875</v>
      </c>
      <c r="F1954">
        <f>MIN(E1954*195400,10000)</f>
        <v>10000</v>
      </c>
      <c r="G1954" t="e">
        <f ca="1">_xludf.MINIFS(CBIC_Late_Fee_Relief_Windows_1!$I$100:$I$1954,CBIC_Late_Fee_Relief_Windows_1!$D$100:$D$1954,"&lt;="&amp;B1954,CBIC_Late_Fee_Relief_Windows_1!$E$100:$E$1954,"&gt;="&amp;B1954,CBIC_Late_Fee_Relief_Windows_1!$F$100:$F$1954,"&lt;="&amp;C1954,CBIC_Late_Fee_Relief_Windows_1!$G$100:$G$1954,"&gt;="&amp;C1954,CBIC_Late_Fee_Relief_Windows_1!$H$100:$H$1954,D1954)</f>
        <v>#NAME?</v>
      </c>
      <c r="H1954" t="e">
        <f t="shared" ca="1" si="30"/>
        <v>#NAME?</v>
      </c>
      <c r="I1954" t="e">
        <f ca="1">INDEX(CBIC_Late_Fee_Relief_Windows_1!$B$100:$B$1954,MATCH(G1954,CBIC_Late_Fee_Relief_Windows_1!$I$100:$I$1954,0))</f>
        <v>#NAME?</v>
      </c>
    </row>
    <row r="1955" spans="1:9" x14ac:dyDescent="0.55000000000000004">
      <c r="A1955" t="str">
        <f>TEST_DATA!A1955</f>
        <v>27AAAAA1955Z5</v>
      </c>
      <c r="B1955" t="str">
        <f>TEST_DATA!B1955</f>
        <v>Apr-2018</v>
      </c>
      <c r="C1955">
        <f>TEST_DATA!C1955</f>
        <v>44078</v>
      </c>
      <c r="D1955" t="str">
        <f>TEST_DATA!D1955</f>
        <v>NIL</v>
      </c>
      <c r="E1955">
        <f>TEST_DATA!E1955</f>
        <v>1255</v>
      </c>
      <c r="F1955">
        <f>MIN(E1955*195500,10000)</f>
        <v>10000</v>
      </c>
      <c r="G1955" t="e">
        <f ca="1">_xludf.MINIFS(CBIC_Late_Fee_Relief_Windows_1!$I$100:$I$1955,CBIC_Late_Fee_Relief_Windows_1!$D$100:$D$1955,"&lt;="&amp;B1955,CBIC_Late_Fee_Relief_Windows_1!$E$100:$E$1955,"&gt;="&amp;B1955,CBIC_Late_Fee_Relief_Windows_1!$F$100:$F$1955,"&lt;="&amp;C1955,CBIC_Late_Fee_Relief_Windows_1!$G$100:$G$1955,"&gt;="&amp;C1955,CBIC_Late_Fee_Relief_Windows_1!$H$100:$H$1955,D1955)</f>
        <v>#NAME?</v>
      </c>
      <c r="H1955" t="e">
        <f t="shared" ca="1" si="30"/>
        <v>#NAME?</v>
      </c>
      <c r="I1955" t="e">
        <f ca="1">INDEX(CBIC_Late_Fee_Relief_Windows_1!$B$100:$B$1955,MATCH(G1955,CBIC_Late_Fee_Relief_Windows_1!$I$100:$I$1955,0))</f>
        <v>#NAME?</v>
      </c>
    </row>
    <row r="1956" spans="1:9" x14ac:dyDescent="0.55000000000000004">
      <c r="A1956" t="str">
        <f>TEST_DATA!A1956</f>
        <v>27AAAAA1956Z5</v>
      </c>
      <c r="B1956" t="str">
        <f>TEST_DATA!B1956</f>
        <v>Dec-2017</v>
      </c>
      <c r="C1956">
        <f>TEST_DATA!C1956</f>
        <v>44533</v>
      </c>
      <c r="D1956" t="str">
        <f>TEST_DATA!D1956</f>
        <v>NON-NIL</v>
      </c>
      <c r="E1956">
        <f>TEST_DATA!E1956</f>
        <v>928</v>
      </c>
      <c r="F1956">
        <f>MIN(E1956*195600,10000)</f>
        <v>10000</v>
      </c>
      <c r="G1956" t="e">
        <f ca="1">_xludf.MINIFS(CBIC_Late_Fee_Relief_Windows_1!$I$100:$I$1956,CBIC_Late_Fee_Relief_Windows_1!$D$100:$D$1956,"&lt;="&amp;B1956,CBIC_Late_Fee_Relief_Windows_1!$E$100:$E$1956,"&gt;="&amp;B1956,CBIC_Late_Fee_Relief_Windows_1!$F$100:$F$1956,"&lt;="&amp;C1956,CBIC_Late_Fee_Relief_Windows_1!$G$100:$G$1956,"&gt;="&amp;C1956,CBIC_Late_Fee_Relief_Windows_1!$H$100:$H$1956,D1956)</f>
        <v>#NAME?</v>
      </c>
      <c r="H1956" t="e">
        <f t="shared" ca="1" si="30"/>
        <v>#NAME?</v>
      </c>
      <c r="I1956" t="e">
        <f ca="1">INDEX(CBIC_Late_Fee_Relief_Windows_1!$B$100:$B$1956,MATCH(G1956,CBIC_Late_Fee_Relief_Windows_1!$I$100:$I$1956,0))</f>
        <v>#NAME?</v>
      </c>
    </row>
    <row r="1957" spans="1:9" x14ac:dyDescent="0.55000000000000004">
      <c r="A1957" t="str">
        <f>TEST_DATA!A1957</f>
        <v>27AAAAA1957Z5</v>
      </c>
      <c r="B1957" t="str">
        <f>TEST_DATA!B1957</f>
        <v>Jan-2019</v>
      </c>
      <c r="C1957">
        <f>TEST_DATA!C1957</f>
        <v>44989</v>
      </c>
      <c r="D1957" t="str">
        <f>TEST_DATA!D1957</f>
        <v>NON-NIL</v>
      </c>
      <c r="E1957">
        <f>TEST_DATA!E1957</f>
        <v>193</v>
      </c>
      <c r="F1957">
        <f>MIN(E1957*195700,10000)</f>
        <v>10000</v>
      </c>
      <c r="G1957" t="e">
        <f ca="1">_xludf.MINIFS(CBIC_Late_Fee_Relief_Windows_1!$I$100:$I$1957,CBIC_Late_Fee_Relief_Windows_1!$D$100:$D$1957,"&lt;="&amp;B1957,CBIC_Late_Fee_Relief_Windows_1!$E$100:$E$1957,"&gt;="&amp;B1957,CBIC_Late_Fee_Relief_Windows_1!$F$100:$F$1957,"&lt;="&amp;C1957,CBIC_Late_Fee_Relief_Windows_1!$G$100:$G$1957,"&gt;="&amp;C1957,CBIC_Late_Fee_Relief_Windows_1!$H$100:$H$1957,D1957)</f>
        <v>#NAME?</v>
      </c>
      <c r="H1957" t="e">
        <f t="shared" ca="1" si="30"/>
        <v>#NAME?</v>
      </c>
      <c r="I1957" t="e">
        <f ca="1">INDEX(CBIC_Late_Fee_Relief_Windows_1!$B$100:$B$1957,MATCH(G1957,CBIC_Late_Fee_Relief_Windows_1!$I$100:$I$1957,0))</f>
        <v>#NAME?</v>
      </c>
    </row>
    <row r="1958" spans="1:9" x14ac:dyDescent="0.55000000000000004">
      <c r="A1958" t="str">
        <f>TEST_DATA!A1958</f>
        <v>27AAAAA1958Z5</v>
      </c>
      <c r="B1958" t="str">
        <f>TEST_DATA!B1958</f>
        <v>Nov-2017</v>
      </c>
      <c r="C1958">
        <f>TEST_DATA!C1958</f>
        <v>43640</v>
      </c>
      <c r="D1958" t="str">
        <f>TEST_DATA!D1958</f>
        <v>NON-NIL</v>
      </c>
      <c r="E1958">
        <f>TEST_DATA!E1958</f>
        <v>1867</v>
      </c>
      <c r="F1958">
        <f>MIN(E1958*195800,10000)</f>
        <v>10000</v>
      </c>
      <c r="G1958" t="e">
        <f ca="1">_xludf.MINIFS(CBIC_Late_Fee_Relief_Windows_1!$I$100:$I$1958,CBIC_Late_Fee_Relief_Windows_1!$D$100:$D$1958,"&lt;="&amp;B1958,CBIC_Late_Fee_Relief_Windows_1!$E$100:$E$1958,"&gt;="&amp;B1958,CBIC_Late_Fee_Relief_Windows_1!$F$100:$F$1958,"&lt;="&amp;C1958,CBIC_Late_Fee_Relief_Windows_1!$G$100:$G$1958,"&gt;="&amp;C1958,CBIC_Late_Fee_Relief_Windows_1!$H$100:$H$1958,D1958)</f>
        <v>#NAME?</v>
      </c>
      <c r="H1958" t="e">
        <f t="shared" ca="1" si="30"/>
        <v>#NAME?</v>
      </c>
      <c r="I1958" t="e">
        <f ca="1">INDEX(CBIC_Late_Fee_Relief_Windows_1!$B$100:$B$1958,MATCH(G1958,CBIC_Late_Fee_Relief_Windows_1!$I$100:$I$1958,0))</f>
        <v>#NAME?</v>
      </c>
    </row>
    <row r="1959" spans="1:9" x14ac:dyDescent="0.55000000000000004">
      <c r="A1959" t="str">
        <f>TEST_DATA!A1959</f>
        <v>27AAAAA1959Z5</v>
      </c>
      <c r="B1959" t="str">
        <f>TEST_DATA!B1959</f>
        <v>Dec-2017</v>
      </c>
      <c r="C1959">
        <f>TEST_DATA!C1959</f>
        <v>44183</v>
      </c>
      <c r="D1959" t="str">
        <f>TEST_DATA!D1959</f>
        <v>NIL</v>
      </c>
      <c r="E1959">
        <f>TEST_DATA!E1959</f>
        <v>2915</v>
      </c>
      <c r="F1959">
        <f>MIN(E1959*195900,10000)</f>
        <v>10000</v>
      </c>
      <c r="G1959" t="e">
        <f ca="1">_xludf.MINIFS(CBIC_Late_Fee_Relief_Windows_1!$I$100:$I$1959,CBIC_Late_Fee_Relief_Windows_1!$D$100:$D$1959,"&lt;="&amp;B1959,CBIC_Late_Fee_Relief_Windows_1!$E$100:$E$1959,"&gt;="&amp;B1959,CBIC_Late_Fee_Relief_Windows_1!$F$100:$F$1959,"&lt;="&amp;C1959,CBIC_Late_Fee_Relief_Windows_1!$G$100:$G$1959,"&gt;="&amp;C1959,CBIC_Late_Fee_Relief_Windows_1!$H$100:$H$1959,D1959)</f>
        <v>#NAME?</v>
      </c>
      <c r="H1959" t="e">
        <f t="shared" ca="1" si="30"/>
        <v>#NAME?</v>
      </c>
      <c r="I1959" t="e">
        <f ca="1">INDEX(CBIC_Late_Fee_Relief_Windows_1!$B$100:$B$1959,MATCH(G1959,CBIC_Late_Fee_Relief_Windows_1!$I$100:$I$1959,0))</f>
        <v>#NAME?</v>
      </c>
    </row>
    <row r="1960" spans="1:9" x14ac:dyDescent="0.55000000000000004">
      <c r="A1960" t="str">
        <f>TEST_DATA!A1960</f>
        <v>27AAAAA1960Z5</v>
      </c>
      <c r="B1960" t="str">
        <f>TEST_DATA!B1960</f>
        <v>Dec-2019</v>
      </c>
      <c r="C1960">
        <f>TEST_DATA!C1960</f>
        <v>44634</v>
      </c>
      <c r="D1960" t="str">
        <f>TEST_DATA!D1960</f>
        <v>NIL</v>
      </c>
      <c r="E1960">
        <f>TEST_DATA!E1960</f>
        <v>718</v>
      </c>
      <c r="F1960">
        <f>MIN(E1960*196000,10000)</f>
        <v>10000</v>
      </c>
      <c r="G1960" t="e">
        <f ca="1">_xludf.MINIFS(CBIC_Late_Fee_Relief_Windows_1!$I$100:$I$1960,CBIC_Late_Fee_Relief_Windows_1!$D$100:$D$1960,"&lt;="&amp;B1960,CBIC_Late_Fee_Relief_Windows_1!$E$100:$E$1960,"&gt;="&amp;B1960,CBIC_Late_Fee_Relief_Windows_1!$F$100:$F$1960,"&lt;="&amp;C1960,CBIC_Late_Fee_Relief_Windows_1!$G$100:$G$1960,"&gt;="&amp;C1960,CBIC_Late_Fee_Relief_Windows_1!$H$100:$H$1960,D1960)</f>
        <v>#NAME?</v>
      </c>
      <c r="H1960" t="e">
        <f t="shared" ca="1" si="30"/>
        <v>#NAME?</v>
      </c>
      <c r="I1960" t="e">
        <f ca="1">INDEX(CBIC_Late_Fee_Relief_Windows_1!$B$100:$B$1960,MATCH(G1960,CBIC_Late_Fee_Relief_Windows_1!$I$100:$I$1960,0))</f>
        <v>#NAME?</v>
      </c>
    </row>
    <row r="1961" spans="1:9" x14ac:dyDescent="0.55000000000000004">
      <c r="A1961" t="str">
        <f>TEST_DATA!A1961</f>
        <v>27AAAAA1961Z5</v>
      </c>
      <c r="B1961" t="str">
        <f>TEST_DATA!B1961</f>
        <v>Dec-2022</v>
      </c>
      <c r="C1961">
        <f>TEST_DATA!C1961</f>
        <v>44094</v>
      </c>
      <c r="D1961" t="str">
        <f>TEST_DATA!D1961</f>
        <v>NIL</v>
      </c>
      <c r="E1961">
        <f>TEST_DATA!E1961</f>
        <v>974</v>
      </c>
      <c r="F1961">
        <f>MIN(E1961*196100,10000)</f>
        <v>10000</v>
      </c>
      <c r="G1961" t="e">
        <f ca="1">_xludf.MINIFS(CBIC_Late_Fee_Relief_Windows_1!$I$100:$I$1961,CBIC_Late_Fee_Relief_Windows_1!$D$100:$D$1961,"&lt;="&amp;B1961,CBIC_Late_Fee_Relief_Windows_1!$E$100:$E$1961,"&gt;="&amp;B1961,CBIC_Late_Fee_Relief_Windows_1!$F$100:$F$1961,"&lt;="&amp;C1961,CBIC_Late_Fee_Relief_Windows_1!$G$100:$G$1961,"&gt;="&amp;C1961,CBIC_Late_Fee_Relief_Windows_1!$H$100:$H$1961,D1961)</f>
        <v>#NAME?</v>
      </c>
      <c r="H1961" t="e">
        <f t="shared" ca="1" si="30"/>
        <v>#NAME?</v>
      </c>
      <c r="I1961" t="e">
        <f ca="1">INDEX(CBIC_Late_Fee_Relief_Windows_1!$B$100:$B$1961,MATCH(G1961,CBIC_Late_Fee_Relief_Windows_1!$I$100:$I$1961,0))</f>
        <v>#NAME?</v>
      </c>
    </row>
    <row r="1962" spans="1:9" x14ac:dyDescent="0.55000000000000004">
      <c r="A1962" t="str">
        <f>TEST_DATA!A1962</f>
        <v>27AAAAA1962Z5</v>
      </c>
      <c r="B1962" t="str">
        <f>TEST_DATA!B1962</f>
        <v>Oct-2017</v>
      </c>
      <c r="C1962">
        <f>TEST_DATA!C1962</f>
        <v>43001</v>
      </c>
      <c r="D1962" t="str">
        <f>TEST_DATA!D1962</f>
        <v>NON-NIL</v>
      </c>
      <c r="E1962">
        <f>TEST_DATA!E1962</f>
        <v>2353</v>
      </c>
      <c r="F1962">
        <f>MIN(E1962*196200,10000)</f>
        <v>10000</v>
      </c>
      <c r="G1962" t="e">
        <f ca="1">_xludf.MINIFS(CBIC_Late_Fee_Relief_Windows_1!$I$100:$I$1962,CBIC_Late_Fee_Relief_Windows_1!$D$100:$D$1962,"&lt;="&amp;B1962,CBIC_Late_Fee_Relief_Windows_1!$E$100:$E$1962,"&gt;="&amp;B1962,CBIC_Late_Fee_Relief_Windows_1!$F$100:$F$1962,"&lt;="&amp;C1962,CBIC_Late_Fee_Relief_Windows_1!$G$100:$G$1962,"&gt;="&amp;C1962,CBIC_Late_Fee_Relief_Windows_1!$H$100:$H$1962,D1962)</f>
        <v>#NAME?</v>
      </c>
      <c r="H1962" t="e">
        <f t="shared" ca="1" si="30"/>
        <v>#NAME?</v>
      </c>
      <c r="I1962" t="e">
        <f ca="1">INDEX(CBIC_Late_Fee_Relief_Windows_1!$B$100:$B$1962,MATCH(G1962,CBIC_Late_Fee_Relief_Windows_1!$I$100:$I$1962,0))</f>
        <v>#NAME?</v>
      </c>
    </row>
    <row r="1963" spans="1:9" x14ac:dyDescent="0.55000000000000004">
      <c r="A1963" t="str">
        <f>TEST_DATA!A1963</f>
        <v>27AAAAA1963Z5</v>
      </c>
      <c r="B1963" t="str">
        <f>TEST_DATA!B1963</f>
        <v>Nov-2017</v>
      </c>
      <c r="C1963">
        <f>TEST_DATA!C1963</f>
        <v>43819</v>
      </c>
      <c r="D1963" t="str">
        <f>TEST_DATA!D1963</f>
        <v>NON-NIL</v>
      </c>
      <c r="E1963">
        <f>TEST_DATA!E1963</f>
        <v>1514</v>
      </c>
      <c r="F1963">
        <f>MIN(E1963*196300,10000)</f>
        <v>10000</v>
      </c>
      <c r="G1963" t="e">
        <f ca="1">_xludf.MINIFS(CBIC_Late_Fee_Relief_Windows_1!$I$100:$I$1963,CBIC_Late_Fee_Relief_Windows_1!$D$100:$D$1963,"&lt;="&amp;B1963,CBIC_Late_Fee_Relief_Windows_1!$E$100:$E$1963,"&gt;="&amp;B1963,CBIC_Late_Fee_Relief_Windows_1!$F$100:$F$1963,"&lt;="&amp;C1963,CBIC_Late_Fee_Relief_Windows_1!$G$100:$G$1963,"&gt;="&amp;C1963,CBIC_Late_Fee_Relief_Windows_1!$H$100:$H$1963,D1963)</f>
        <v>#NAME?</v>
      </c>
      <c r="H1963" t="e">
        <f t="shared" ca="1" si="30"/>
        <v>#NAME?</v>
      </c>
      <c r="I1963" t="e">
        <f ca="1">INDEX(CBIC_Late_Fee_Relief_Windows_1!$B$100:$B$1963,MATCH(G1963,CBIC_Late_Fee_Relief_Windows_1!$I$100:$I$1963,0))</f>
        <v>#NAME?</v>
      </c>
    </row>
    <row r="1964" spans="1:9" x14ac:dyDescent="0.55000000000000004">
      <c r="A1964" t="str">
        <f>TEST_DATA!A1964</f>
        <v>27AAAAA1964Z5</v>
      </c>
      <c r="B1964" t="str">
        <f>TEST_DATA!B1964</f>
        <v>Dec-2017</v>
      </c>
      <c r="C1964">
        <f>TEST_DATA!C1964</f>
        <v>43337</v>
      </c>
      <c r="D1964" t="str">
        <f>TEST_DATA!D1964</f>
        <v>NIL</v>
      </c>
      <c r="E1964">
        <f>TEST_DATA!E1964</f>
        <v>2726</v>
      </c>
      <c r="F1964">
        <f>MIN(E1964*196400,10000)</f>
        <v>10000</v>
      </c>
      <c r="G1964" t="e">
        <f ca="1">_xludf.MINIFS(CBIC_Late_Fee_Relief_Windows_1!$I$100:$I$1964,CBIC_Late_Fee_Relief_Windows_1!$D$100:$D$1964,"&lt;="&amp;B1964,CBIC_Late_Fee_Relief_Windows_1!$E$100:$E$1964,"&gt;="&amp;B1964,CBIC_Late_Fee_Relief_Windows_1!$F$100:$F$1964,"&lt;="&amp;C1964,CBIC_Late_Fee_Relief_Windows_1!$G$100:$G$1964,"&gt;="&amp;C1964,CBIC_Late_Fee_Relief_Windows_1!$H$100:$H$1964,D1964)</f>
        <v>#NAME?</v>
      </c>
      <c r="H1964" t="e">
        <f t="shared" ca="1" si="30"/>
        <v>#NAME?</v>
      </c>
      <c r="I1964" t="e">
        <f ca="1">INDEX(CBIC_Late_Fee_Relief_Windows_1!$B$100:$B$1964,MATCH(G1964,CBIC_Late_Fee_Relief_Windows_1!$I$100:$I$1964,0))</f>
        <v>#NAME?</v>
      </c>
    </row>
    <row r="1965" spans="1:9" x14ac:dyDescent="0.55000000000000004">
      <c r="A1965" t="str">
        <f>TEST_DATA!A1965</f>
        <v>27AAAAA1965Z5</v>
      </c>
      <c r="B1965" t="str">
        <f>TEST_DATA!B1965</f>
        <v>May-2018</v>
      </c>
      <c r="C1965">
        <f>TEST_DATA!C1965</f>
        <v>43621</v>
      </c>
      <c r="D1965" t="str">
        <f>TEST_DATA!D1965</f>
        <v>NIL</v>
      </c>
      <c r="E1965">
        <f>TEST_DATA!E1965</f>
        <v>1527</v>
      </c>
      <c r="F1965">
        <f>MIN(E1965*196500,10000)</f>
        <v>10000</v>
      </c>
      <c r="G1965" t="e">
        <f ca="1">_xludf.MINIFS(CBIC_Late_Fee_Relief_Windows_1!$I$100:$I$1965,CBIC_Late_Fee_Relief_Windows_1!$D$100:$D$1965,"&lt;="&amp;B1965,CBIC_Late_Fee_Relief_Windows_1!$E$100:$E$1965,"&gt;="&amp;B1965,CBIC_Late_Fee_Relief_Windows_1!$F$100:$F$1965,"&lt;="&amp;C1965,CBIC_Late_Fee_Relief_Windows_1!$G$100:$G$1965,"&gt;="&amp;C1965,CBIC_Late_Fee_Relief_Windows_1!$H$100:$H$1965,D1965)</f>
        <v>#NAME?</v>
      </c>
      <c r="H1965" t="e">
        <f t="shared" ca="1" si="30"/>
        <v>#NAME?</v>
      </c>
      <c r="I1965" t="e">
        <f ca="1">INDEX(CBIC_Late_Fee_Relief_Windows_1!$B$100:$B$1965,MATCH(G1965,CBIC_Late_Fee_Relief_Windows_1!$I$100:$I$1965,0))</f>
        <v>#NAME?</v>
      </c>
    </row>
    <row r="1966" spans="1:9" x14ac:dyDescent="0.55000000000000004">
      <c r="A1966" t="str">
        <f>TEST_DATA!A1966</f>
        <v>27AAAAA1966Z5</v>
      </c>
      <c r="B1966" t="str">
        <f>TEST_DATA!B1966</f>
        <v>Sep-2018</v>
      </c>
      <c r="C1966">
        <f>TEST_DATA!C1966</f>
        <v>44022</v>
      </c>
      <c r="D1966" t="str">
        <f>TEST_DATA!D1966</f>
        <v>NIL</v>
      </c>
      <c r="E1966">
        <f>TEST_DATA!E1966</f>
        <v>2185</v>
      </c>
      <c r="F1966">
        <f>MIN(E1966*196600,10000)</f>
        <v>10000</v>
      </c>
      <c r="G1966" t="e">
        <f ca="1">_xludf.MINIFS(CBIC_Late_Fee_Relief_Windows_1!$I$100:$I$1966,CBIC_Late_Fee_Relief_Windows_1!$D$100:$D$1966,"&lt;="&amp;B1966,CBIC_Late_Fee_Relief_Windows_1!$E$100:$E$1966,"&gt;="&amp;B1966,CBIC_Late_Fee_Relief_Windows_1!$F$100:$F$1966,"&lt;="&amp;C1966,CBIC_Late_Fee_Relief_Windows_1!$G$100:$G$1966,"&gt;="&amp;C1966,CBIC_Late_Fee_Relief_Windows_1!$H$100:$H$1966,D1966)</f>
        <v>#NAME?</v>
      </c>
      <c r="H1966" t="e">
        <f t="shared" ca="1" si="30"/>
        <v>#NAME?</v>
      </c>
      <c r="I1966" t="e">
        <f ca="1">INDEX(CBIC_Late_Fee_Relief_Windows_1!$B$100:$B$1966,MATCH(G1966,CBIC_Late_Fee_Relief_Windows_1!$I$100:$I$1966,0))</f>
        <v>#NAME?</v>
      </c>
    </row>
    <row r="1967" spans="1:9" x14ac:dyDescent="0.55000000000000004">
      <c r="A1967" t="str">
        <f>TEST_DATA!A1967</f>
        <v>27AAAAA1967Z5</v>
      </c>
      <c r="B1967" t="str">
        <f>TEST_DATA!B1967</f>
        <v>Apr-2018</v>
      </c>
      <c r="C1967">
        <f>TEST_DATA!C1967</f>
        <v>43165</v>
      </c>
      <c r="D1967" t="str">
        <f>TEST_DATA!D1967</f>
        <v>NIL</v>
      </c>
      <c r="E1967">
        <f>TEST_DATA!E1967</f>
        <v>1657</v>
      </c>
      <c r="F1967">
        <f>MIN(E1967*196700,10000)</f>
        <v>10000</v>
      </c>
      <c r="G1967" t="e">
        <f ca="1">_xludf.MINIFS(CBIC_Late_Fee_Relief_Windows_1!$I$100:$I$1967,CBIC_Late_Fee_Relief_Windows_1!$D$100:$D$1967,"&lt;="&amp;B1967,CBIC_Late_Fee_Relief_Windows_1!$E$100:$E$1967,"&gt;="&amp;B1967,CBIC_Late_Fee_Relief_Windows_1!$F$100:$F$1967,"&lt;="&amp;C1967,CBIC_Late_Fee_Relief_Windows_1!$G$100:$G$1967,"&gt;="&amp;C1967,CBIC_Late_Fee_Relief_Windows_1!$H$100:$H$1967,D1967)</f>
        <v>#NAME?</v>
      </c>
      <c r="H1967" t="e">
        <f t="shared" ca="1" si="30"/>
        <v>#NAME?</v>
      </c>
      <c r="I1967" t="e">
        <f ca="1">INDEX(CBIC_Late_Fee_Relief_Windows_1!$B$100:$B$1967,MATCH(G1967,CBIC_Late_Fee_Relief_Windows_1!$I$100:$I$1967,0))</f>
        <v>#NAME?</v>
      </c>
    </row>
    <row r="1968" spans="1:9" x14ac:dyDescent="0.55000000000000004">
      <c r="A1968" t="str">
        <f>TEST_DATA!A1968</f>
        <v>27AAAAA1968Z5</v>
      </c>
      <c r="B1968" t="str">
        <f>TEST_DATA!B1968</f>
        <v>Jan-2019</v>
      </c>
      <c r="C1968">
        <f>TEST_DATA!C1968</f>
        <v>44061</v>
      </c>
      <c r="D1968" t="str">
        <f>TEST_DATA!D1968</f>
        <v>NON-NIL</v>
      </c>
      <c r="E1968">
        <f>TEST_DATA!E1968</f>
        <v>1311</v>
      </c>
      <c r="F1968">
        <f>MIN(E1968*196800,10000)</f>
        <v>10000</v>
      </c>
      <c r="G1968" t="e">
        <f ca="1">_xludf.MINIFS(CBIC_Late_Fee_Relief_Windows_1!$I$100:$I$1968,CBIC_Late_Fee_Relief_Windows_1!$D$100:$D$1968,"&lt;="&amp;B1968,CBIC_Late_Fee_Relief_Windows_1!$E$100:$E$1968,"&gt;="&amp;B1968,CBIC_Late_Fee_Relief_Windows_1!$F$100:$F$1968,"&lt;="&amp;C1968,CBIC_Late_Fee_Relief_Windows_1!$G$100:$G$1968,"&gt;="&amp;C1968,CBIC_Late_Fee_Relief_Windows_1!$H$100:$H$1968,D1968)</f>
        <v>#NAME?</v>
      </c>
      <c r="H1968" t="e">
        <f t="shared" ca="1" si="30"/>
        <v>#NAME?</v>
      </c>
      <c r="I1968" t="e">
        <f ca="1">INDEX(CBIC_Late_Fee_Relief_Windows_1!$B$100:$B$1968,MATCH(G1968,CBIC_Late_Fee_Relief_Windows_1!$I$100:$I$1968,0))</f>
        <v>#NAME?</v>
      </c>
    </row>
    <row r="1969" spans="1:9" x14ac:dyDescent="0.55000000000000004">
      <c r="A1969" t="str">
        <f>TEST_DATA!A1969</f>
        <v>27AAAAA1969Z5</v>
      </c>
      <c r="B1969" t="str">
        <f>TEST_DATA!B1969</f>
        <v>Nov-2017</v>
      </c>
      <c r="C1969">
        <f>TEST_DATA!C1969</f>
        <v>42925</v>
      </c>
      <c r="D1969" t="str">
        <f>TEST_DATA!D1969</f>
        <v>NON-NIL</v>
      </c>
      <c r="E1969">
        <f>TEST_DATA!E1969</f>
        <v>2651</v>
      </c>
      <c r="F1969">
        <f>MIN(E1969*196900,10000)</f>
        <v>10000</v>
      </c>
      <c r="G1969" t="e">
        <f ca="1">_xludf.MINIFS(CBIC_Late_Fee_Relief_Windows_1!$I$100:$I$1969,CBIC_Late_Fee_Relief_Windows_1!$D$100:$D$1969,"&lt;="&amp;B1969,CBIC_Late_Fee_Relief_Windows_1!$E$100:$E$1969,"&gt;="&amp;B1969,CBIC_Late_Fee_Relief_Windows_1!$F$100:$F$1969,"&lt;="&amp;C1969,CBIC_Late_Fee_Relief_Windows_1!$G$100:$G$1969,"&gt;="&amp;C1969,CBIC_Late_Fee_Relief_Windows_1!$H$100:$H$1969,D1969)</f>
        <v>#NAME?</v>
      </c>
      <c r="H1969" t="e">
        <f t="shared" ca="1" si="30"/>
        <v>#NAME?</v>
      </c>
      <c r="I1969" t="e">
        <f ca="1">INDEX(CBIC_Late_Fee_Relief_Windows_1!$B$100:$B$1969,MATCH(G1969,CBIC_Late_Fee_Relief_Windows_1!$I$100:$I$1969,0))</f>
        <v>#NAME?</v>
      </c>
    </row>
    <row r="1970" spans="1:9" x14ac:dyDescent="0.55000000000000004">
      <c r="A1970" t="str">
        <f>TEST_DATA!A1970</f>
        <v>27AAAAA1970Z5</v>
      </c>
      <c r="B1970" t="str">
        <f>TEST_DATA!B1970</f>
        <v>Jul-2020</v>
      </c>
      <c r="C1970">
        <f>TEST_DATA!C1970</f>
        <v>44436</v>
      </c>
      <c r="D1970" t="str">
        <f>TEST_DATA!D1970</f>
        <v>NON-NIL</v>
      </c>
      <c r="E1970">
        <f>TEST_DATA!E1970</f>
        <v>1187</v>
      </c>
      <c r="F1970">
        <f>MIN(E1970*197000,10000)</f>
        <v>10000</v>
      </c>
      <c r="G1970" t="e">
        <f ca="1">_xludf.MINIFS(CBIC_Late_Fee_Relief_Windows_1!$I$100:$I$1970,CBIC_Late_Fee_Relief_Windows_1!$D$100:$D$1970,"&lt;="&amp;B1970,CBIC_Late_Fee_Relief_Windows_1!$E$100:$E$1970,"&gt;="&amp;B1970,CBIC_Late_Fee_Relief_Windows_1!$F$100:$F$1970,"&lt;="&amp;C1970,CBIC_Late_Fee_Relief_Windows_1!$G$100:$G$1970,"&gt;="&amp;C1970,CBIC_Late_Fee_Relief_Windows_1!$H$100:$H$1970,D1970)</f>
        <v>#NAME?</v>
      </c>
      <c r="H1970" t="e">
        <f t="shared" ca="1" si="30"/>
        <v>#NAME?</v>
      </c>
      <c r="I1970" t="e">
        <f ca="1">INDEX(CBIC_Late_Fee_Relief_Windows_1!$B$100:$B$1970,MATCH(G1970,CBIC_Late_Fee_Relief_Windows_1!$I$100:$I$1970,0))</f>
        <v>#NAME?</v>
      </c>
    </row>
    <row r="1971" spans="1:9" x14ac:dyDescent="0.55000000000000004">
      <c r="A1971" t="str">
        <f>TEST_DATA!A1971</f>
        <v>27AAAAA1971Z5</v>
      </c>
      <c r="B1971" t="str">
        <f>TEST_DATA!B1971</f>
        <v>Mar-2021</v>
      </c>
      <c r="C1971">
        <f>TEST_DATA!C1971</f>
        <v>45815</v>
      </c>
      <c r="D1971" t="str">
        <f>TEST_DATA!D1971</f>
        <v>NIL</v>
      </c>
      <c r="E1971">
        <f>TEST_DATA!E1971</f>
        <v>2315</v>
      </c>
      <c r="F1971">
        <f>MIN(E1971*197100,10000)</f>
        <v>10000</v>
      </c>
      <c r="G1971" t="e">
        <f ca="1">_xludf.MINIFS(CBIC_Late_Fee_Relief_Windows_1!$I$100:$I$1971,CBIC_Late_Fee_Relief_Windows_1!$D$100:$D$1971,"&lt;="&amp;B1971,CBIC_Late_Fee_Relief_Windows_1!$E$100:$E$1971,"&gt;="&amp;B1971,CBIC_Late_Fee_Relief_Windows_1!$F$100:$F$1971,"&lt;="&amp;C1971,CBIC_Late_Fee_Relief_Windows_1!$G$100:$G$1971,"&gt;="&amp;C1971,CBIC_Late_Fee_Relief_Windows_1!$H$100:$H$1971,D1971)</f>
        <v>#NAME?</v>
      </c>
      <c r="H1971" t="e">
        <f t="shared" ca="1" si="30"/>
        <v>#NAME?</v>
      </c>
      <c r="I1971" t="e">
        <f ca="1">INDEX(CBIC_Late_Fee_Relief_Windows_1!$B$100:$B$1971,MATCH(G1971,CBIC_Late_Fee_Relief_Windows_1!$I$100:$I$1971,0))</f>
        <v>#NAME?</v>
      </c>
    </row>
    <row r="1972" spans="1:9" x14ac:dyDescent="0.55000000000000004">
      <c r="A1972" t="str">
        <f>TEST_DATA!A1972</f>
        <v>27AAAAA1972Z5</v>
      </c>
      <c r="B1972" t="str">
        <f>TEST_DATA!B1972</f>
        <v>Jan-2021</v>
      </c>
      <c r="C1972">
        <f>TEST_DATA!C1972</f>
        <v>45276</v>
      </c>
      <c r="D1972" t="str">
        <f>TEST_DATA!D1972</f>
        <v>NON-NIL</v>
      </c>
      <c r="E1972">
        <f>TEST_DATA!E1972</f>
        <v>2822</v>
      </c>
      <c r="F1972">
        <f>MIN(E1972*197200,10000)</f>
        <v>10000</v>
      </c>
      <c r="G1972" t="e">
        <f ca="1">_xludf.MINIFS(CBIC_Late_Fee_Relief_Windows_1!$I$100:$I$1972,CBIC_Late_Fee_Relief_Windows_1!$D$100:$D$1972,"&lt;="&amp;B1972,CBIC_Late_Fee_Relief_Windows_1!$E$100:$E$1972,"&gt;="&amp;B1972,CBIC_Late_Fee_Relief_Windows_1!$F$100:$F$1972,"&lt;="&amp;C1972,CBIC_Late_Fee_Relief_Windows_1!$G$100:$G$1972,"&gt;="&amp;C1972,CBIC_Late_Fee_Relief_Windows_1!$H$100:$H$1972,D1972)</f>
        <v>#NAME?</v>
      </c>
      <c r="H1972" t="e">
        <f t="shared" ca="1" si="30"/>
        <v>#NAME?</v>
      </c>
      <c r="I1972" t="e">
        <f ca="1">INDEX(CBIC_Late_Fee_Relief_Windows_1!$B$100:$B$1972,MATCH(G1972,CBIC_Late_Fee_Relief_Windows_1!$I$100:$I$1972,0))</f>
        <v>#NAME?</v>
      </c>
    </row>
    <row r="1973" spans="1:9" x14ac:dyDescent="0.55000000000000004">
      <c r="A1973" t="str">
        <f>TEST_DATA!A1973</f>
        <v>27AAAAA1973Z5</v>
      </c>
      <c r="B1973" t="str">
        <f>TEST_DATA!B1973</f>
        <v>Oct-2017</v>
      </c>
      <c r="C1973">
        <f>TEST_DATA!C1973</f>
        <v>44415</v>
      </c>
      <c r="D1973" t="str">
        <f>TEST_DATA!D1973</f>
        <v>NON-NIL</v>
      </c>
      <c r="E1973">
        <f>TEST_DATA!E1973</f>
        <v>164</v>
      </c>
      <c r="F1973">
        <f>MIN(E1973*197300,10000)</f>
        <v>10000</v>
      </c>
      <c r="G1973" t="e">
        <f ca="1">_xludf.MINIFS(CBIC_Late_Fee_Relief_Windows_1!$I$100:$I$1973,CBIC_Late_Fee_Relief_Windows_1!$D$100:$D$1973,"&lt;="&amp;B1973,CBIC_Late_Fee_Relief_Windows_1!$E$100:$E$1973,"&gt;="&amp;B1973,CBIC_Late_Fee_Relief_Windows_1!$F$100:$F$1973,"&lt;="&amp;C1973,CBIC_Late_Fee_Relief_Windows_1!$G$100:$G$1973,"&gt;="&amp;C1973,CBIC_Late_Fee_Relief_Windows_1!$H$100:$H$1973,D1973)</f>
        <v>#NAME?</v>
      </c>
      <c r="H1973" t="e">
        <f t="shared" ca="1" si="30"/>
        <v>#NAME?</v>
      </c>
      <c r="I1973" t="e">
        <f ca="1">INDEX(CBIC_Late_Fee_Relief_Windows_1!$B$100:$B$1973,MATCH(G1973,CBIC_Late_Fee_Relief_Windows_1!$I$100:$I$1973,0))</f>
        <v>#NAME?</v>
      </c>
    </row>
    <row r="1974" spans="1:9" x14ac:dyDescent="0.55000000000000004">
      <c r="A1974" t="str">
        <f>TEST_DATA!A1974</f>
        <v>27AAAAA1974Z5</v>
      </c>
      <c r="B1974" t="str">
        <f>TEST_DATA!B1974</f>
        <v>Nov-2017</v>
      </c>
      <c r="C1974">
        <f>TEST_DATA!C1974</f>
        <v>44305</v>
      </c>
      <c r="D1974" t="str">
        <f>TEST_DATA!D1974</f>
        <v>NIL</v>
      </c>
      <c r="E1974">
        <f>TEST_DATA!E1974</f>
        <v>1261</v>
      </c>
      <c r="F1974">
        <f>MIN(E1974*197400,10000)</f>
        <v>10000</v>
      </c>
      <c r="G1974" t="e">
        <f ca="1">_xludf.MINIFS(CBIC_Late_Fee_Relief_Windows_1!$I$100:$I$1974,CBIC_Late_Fee_Relief_Windows_1!$D$100:$D$1974,"&lt;="&amp;B1974,CBIC_Late_Fee_Relief_Windows_1!$E$100:$E$1974,"&gt;="&amp;B1974,CBIC_Late_Fee_Relief_Windows_1!$F$100:$F$1974,"&lt;="&amp;C1974,CBIC_Late_Fee_Relief_Windows_1!$G$100:$G$1974,"&gt;="&amp;C1974,CBIC_Late_Fee_Relief_Windows_1!$H$100:$H$1974,D1974)</f>
        <v>#NAME?</v>
      </c>
      <c r="H1974" t="e">
        <f t="shared" ca="1" si="30"/>
        <v>#NAME?</v>
      </c>
      <c r="I1974" t="e">
        <f ca="1">INDEX(CBIC_Late_Fee_Relief_Windows_1!$B$100:$B$1974,MATCH(G1974,CBIC_Late_Fee_Relief_Windows_1!$I$100:$I$1974,0))</f>
        <v>#NAME?</v>
      </c>
    </row>
    <row r="1975" spans="1:9" x14ac:dyDescent="0.55000000000000004">
      <c r="A1975" t="str">
        <f>TEST_DATA!A1975</f>
        <v>27AAAAA1975Z5</v>
      </c>
      <c r="B1975" t="str">
        <f>TEST_DATA!B1975</f>
        <v>Jul-2017</v>
      </c>
      <c r="C1975">
        <f>TEST_DATA!C1975</f>
        <v>43739</v>
      </c>
      <c r="D1975" t="str">
        <f>TEST_DATA!D1975</f>
        <v>NIL</v>
      </c>
      <c r="E1975">
        <f>TEST_DATA!E1975</f>
        <v>1826</v>
      </c>
      <c r="F1975">
        <f>MIN(E1975*197500,10000)</f>
        <v>10000</v>
      </c>
      <c r="G1975" t="e">
        <f ca="1">_xludf.MINIFS(CBIC_Late_Fee_Relief_Windows_1!$I$100:$I$1975,CBIC_Late_Fee_Relief_Windows_1!$D$100:$D$1975,"&lt;="&amp;B1975,CBIC_Late_Fee_Relief_Windows_1!$E$100:$E$1975,"&gt;="&amp;B1975,CBIC_Late_Fee_Relief_Windows_1!$F$100:$F$1975,"&lt;="&amp;C1975,CBIC_Late_Fee_Relief_Windows_1!$G$100:$G$1975,"&gt;="&amp;C1975,CBIC_Late_Fee_Relief_Windows_1!$H$100:$H$1975,D1975)</f>
        <v>#NAME?</v>
      </c>
      <c r="H1975" t="e">
        <f t="shared" ca="1" si="30"/>
        <v>#NAME?</v>
      </c>
      <c r="I1975" t="e">
        <f ca="1">INDEX(CBIC_Late_Fee_Relief_Windows_1!$B$100:$B$1975,MATCH(G1975,CBIC_Late_Fee_Relief_Windows_1!$I$100:$I$1975,0))</f>
        <v>#NAME?</v>
      </c>
    </row>
    <row r="1976" spans="1:9" x14ac:dyDescent="0.55000000000000004">
      <c r="A1976" t="str">
        <f>TEST_DATA!A1976</f>
        <v>27AAAAA1976Z5</v>
      </c>
      <c r="B1976" t="str">
        <f>TEST_DATA!B1976</f>
        <v>Jun-2018</v>
      </c>
      <c r="C1976">
        <f>TEST_DATA!C1976</f>
        <v>43106</v>
      </c>
      <c r="D1976" t="str">
        <f>TEST_DATA!D1976</f>
        <v>NON-NIL</v>
      </c>
      <c r="E1976">
        <f>TEST_DATA!E1976</f>
        <v>225</v>
      </c>
      <c r="F1976">
        <f>MIN(E1976*197600,10000)</f>
        <v>10000</v>
      </c>
      <c r="G1976" t="e">
        <f ca="1">_xludf.MINIFS(CBIC_Late_Fee_Relief_Windows_1!$I$100:$I$1976,CBIC_Late_Fee_Relief_Windows_1!$D$100:$D$1976,"&lt;="&amp;B1976,CBIC_Late_Fee_Relief_Windows_1!$E$100:$E$1976,"&gt;="&amp;B1976,CBIC_Late_Fee_Relief_Windows_1!$F$100:$F$1976,"&lt;="&amp;C1976,CBIC_Late_Fee_Relief_Windows_1!$G$100:$G$1976,"&gt;="&amp;C1976,CBIC_Late_Fee_Relief_Windows_1!$H$100:$H$1976,D1976)</f>
        <v>#NAME?</v>
      </c>
      <c r="H1976" t="e">
        <f t="shared" ca="1" si="30"/>
        <v>#NAME?</v>
      </c>
      <c r="I1976" t="e">
        <f ca="1">INDEX(CBIC_Late_Fee_Relief_Windows_1!$B$100:$B$1976,MATCH(G1976,CBIC_Late_Fee_Relief_Windows_1!$I$100:$I$1976,0))</f>
        <v>#NAME?</v>
      </c>
    </row>
    <row r="1977" spans="1:9" x14ac:dyDescent="0.55000000000000004">
      <c r="A1977" t="str">
        <f>TEST_DATA!A1977</f>
        <v>27AAAAA1977Z5</v>
      </c>
      <c r="B1977" t="str">
        <f>TEST_DATA!B1977</f>
        <v>Apr-2020</v>
      </c>
      <c r="C1977">
        <f>TEST_DATA!C1977</f>
        <v>44230</v>
      </c>
      <c r="D1977" t="str">
        <f>TEST_DATA!D1977</f>
        <v>NIL</v>
      </c>
      <c r="E1977">
        <f>TEST_DATA!E1977</f>
        <v>1138</v>
      </c>
      <c r="F1977">
        <f>MIN(E1977*197700,10000)</f>
        <v>10000</v>
      </c>
      <c r="G1977" t="e">
        <f ca="1">_xludf.MINIFS(CBIC_Late_Fee_Relief_Windows_1!$I$100:$I$1977,CBIC_Late_Fee_Relief_Windows_1!$D$100:$D$1977,"&lt;="&amp;B1977,CBIC_Late_Fee_Relief_Windows_1!$E$100:$E$1977,"&gt;="&amp;B1977,CBIC_Late_Fee_Relief_Windows_1!$F$100:$F$1977,"&lt;="&amp;C1977,CBIC_Late_Fee_Relief_Windows_1!$G$100:$G$1977,"&gt;="&amp;C1977,CBIC_Late_Fee_Relief_Windows_1!$H$100:$H$1977,D1977)</f>
        <v>#NAME?</v>
      </c>
      <c r="H1977" t="e">
        <f t="shared" ca="1" si="30"/>
        <v>#NAME?</v>
      </c>
      <c r="I1977" t="e">
        <f ca="1">INDEX(CBIC_Late_Fee_Relief_Windows_1!$B$100:$B$1977,MATCH(G1977,CBIC_Late_Fee_Relief_Windows_1!$I$100:$I$1977,0))</f>
        <v>#NAME?</v>
      </c>
    </row>
    <row r="1978" spans="1:9" x14ac:dyDescent="0.55000000000000004">
      <c r="A1978" t="str">
        <f>TEST_DATA!A1978</f>
        <v>27AAAAA1978Z5</v>
      </c>
      <c r="B1978" t="str">
        <f>TEST_DATA!B1978</f>
        <v>Jan-2018</v>
      </c>
      <c r="C1978">
        <f>TEST_DATA!C1978</f>
        <v>42963</v>
      </c>
      <c r="D1978" t="str">
        <f>TEST_DATA!D1978</f>
        <v>NIL</v>
      </c>
      <c r="E1978">
        <f>TEST_DATA!E1978</f>
        <v>2205</v>
      </c>
      <c r="F1978">
        <f>MIN(E1978*197800,10000)</f>
        <v>10000</v>
      </c>
      <c r="G1978" t="e">
        <f ca="1">_xludf.MINIFS(CBIC_Late_Fee_Relief_Windows_1!$I$100:$I$1978,CBIC_Late_Fee_Relief_Windows_1!$D$100:$D$1978,"&lt;="&amp;B1978,CBIC_Late_Fee_Relief_Windows_1!$E$100:$E$1978,"&gt;="&amp;B1978,CBIC_Late_Fee_Relief_Windows_1!$F$100:$F$1978,"&lt;="&amp;C1978,CBIC_Late_Fee_Relief_Windows_1!$G$100:$G$1978,"&gt;="&amp;C1978,CBIC_Late_Fee_Relief_Windows_1!$H$100:$H$1978,D1978)</f>
        <v>#NAME?</v>
      </c>
      <c r="H1978" t="e">
        <f t="shared" ca="1" si="30"/>
        <v>#NAME?</v>
      </c>
      <c r="I1978" t="e">
        <f ca="1">INDEX(CBIC_Late_Fee_Relief_Windows_1!$B$100:$B$1978,MATCH(G1978,CBIC_Late_Fee_Relief_Windows_1!$I$100:$I$1978,0))</f>
        <v>#NAME?</v>
      </c>
    </row>
    <row r="1979" spans="1:9" x14ac:dyDescent="0.55000000000000004">
      <c r="A1979" t="str">
        <f>TEST_DATA!A1979</f>
        <v>27AAAAA1979Z5</v>
      </c>
      <c r="B1979" t="str">
        <f>TEST_DATA!B1979</f>
        <v>Mar-2023</v>
      </c>
      <c r="C1979">
        <f>TEST_DATA!C1979</f>
        <v>45290</v>
      </c>
      <c r="D1979" t="str">
        <f>TEST_DATA!D1979</f>
        <v>NIL</v>
      </c>
      <c r="E1979">
        <f>TEST_DATA!E1979</f>
        <v>2096</v>
      </c>
      <c r="F1979">
        <f>MIN(E1979*197900,10000)</f>
        <v>10000</v>
      </c>
      <c r="G1979" t="e">
        <f ca="1">_xludf.MINIFS(CBIC_Late_Fee_Relief_Windows_1!$I$100:$I$1979,CBIC_Late_Fee_Relief_Windows_1!$D$100:$D$1979,"&lt;="&amp;B1979,CBIC_Late_Fee_Relief_Windows_1!$E$100:$E$1979,"&gt;="&amp;B1979,CBIC_Late_Fee_Relief_Windows_1!$F$100:$F$1979,"&lt;="&amp;C1979,CBIC_Late_Fee_Relief_Windows_1!$G$100:$G$1979,"&gt;="&amp;C1979,CBIC_Late_Fee_Relief_Windows_1!$H$100:$H$1979,D1979)</f>
        <v>#NAME?</v>
      </c>
      <c r="H1979" t="e">
        <f t="shared" ca="1" si="30"/>
        <v>#NAME?</v>
      </c>
      <c r="I1979" t="e">
        <f ca="1">INDEX(CBIC_Late_Fee_Relief_Windows_1!$B$100:$B$1979,MATCH(G1979,CBIC_Late_Fee_Relief_Windows_1!$I$100:$I$1979,0))</f>
        <v>#NAME?</v>
      </c>
    </row>
    <row r="1980" spans="1:9" x14ac:dyDescent="0.55000000000000004">
      <c r="A1980" t="str">
        <f>TEST_DATA!A1980</f>
        <v>27AAAAA1980Z5</v>
      </c>
      <c r="B1980" t="str">
        <f>TEST_DATA!B1980</f>
        <v>Jul-2018</v>
      </c>
      <c r="C1980">
        <f>TEST_DATA!C1980</f>
        <v>43315</v>
      </c>
      <c r="D1980" t="str">
        <f>TEST_DATA!D1980</f>
        <v>NON-NIL</v>
      </c>
      <c r="E1980">
        <f>TEST_DATA!E1980</f>
        <v>1301</v>
      </c>
      <c r="F1980">
        <f>MIN(E1980*198000,10000)</f>
        <v>10000</v>
      </c>
      <c r="G1980" t="e">
        <f ca="1">_xludf.MINIFS(CBIC_Late_Fee_Relief_Windows_1!$I$100:$I$1980,CBIC_Late_Fee_Relief_Windows_1!$D$100:$D$1980,"&lt;="&amp;B1980,CBIC_Late_Fee_Relief_Windows_1!$E$100:$E$1980,"&gt;="&amp;B1980,CBIC_Late_Fee_Relief_Windows_1!$F$100:$F$1980,"&lt;="&amp;C1980,CBIC_Late_Fee_Relief_Windows_1!$G$100:$G$1980,"&gt;="&amp;C1980,CBIC_Late_Fee_Relief_Windows_1!$H$100:$H$1980,D1980)</f>
        <v>#NAME?</v>
      </c>
      <c r="H1980" t="e">
        <f t="shared" ca="1" si="30"/>
        <v>#NAME?</v>
      </c>
      <c r="I1980" t="e">
        <f ca="1">INDEX(CBIC_Late_Fee_Relief_Windows_1!$B$100:$B$1980,MATCH(G1980,CBIC_Late_Fee_Relief_Windows_1!$I$100:$I$1980,0))</f>
        <v>#NAME?</v>
      </c>
    </row>
    <row r="1981" spans="1:9" x14ac:dyDescent="0.55000000000000004">
      <c r="A1981" t="str">
        <f>TEST_DATA!A1981</f>
        <v>27AAAAA1981Z5</v>
      </c>
      <c r="B1981" t="str">
        <f>TEST_DATA!B1981</f>
        <v>Apr-2020</v>
      </c>
      <c r="C1981">
        <f>TEST_DATA!C1981</f>
        <v>44878</v>
      </c>
      <c r="D1981" t="str">
        <f>TEST_DATA!D1981</f>
        <v>NIL</v>
      </c>
      <c r="E1981">
        <f>TEST_DATA!E1981</f>
        <v>2731</v>
      </c>
      <c r="F1981">
        <f>MIN(E1981*198100,10000)</f>
        <v>10000</v>
      </c>
      <c r="G1981" t="e">
        <f ca="1">_xludf.MINIFS(CBIC_Late_Fee_Relief_Windows_1!$I$100:$I$1981,CBIC_Late_Fee_Relief_Windows_1!$D$100:$D$1981,"&lt;="&amp;B1981,CBIC_Late_Fee_Relief_Windows_1!$E$100:$E$1981,"&gt;="&amp;B1981,CBIC_Late_Fee_Relief_Windows_1!$F$100:$F$1981,"&lt;="&amp;C1981,CBIC_Late_Fee_Relief_Windows_1!$G$100:$G$1981,"&gt;="&amp;C1981,CBIC_Late_Fee_Relief_Windows_1!$H$100:$H$1981,D1981)</f>
        <v>#NAME?</v>
      </c>
      <c r="H1981" t="e">
        <f t="shared" ca="1" si="30"/>
        <v>#NAME?</v>
      </c>
      <c r="I1981" t="e">
        <f ca="1">INDEX(CBIC_Late_Fee_Relief_Windows_1!$B$100:$B$1981,MATCH(G1981,CBIC_Late_Fee_Relief_Windows_1!$I$100:$I$1981,0))</f>
        <v>#NAME?</v>
      </c>
    </row>
    <row r="1982" spans="1:9" x14ac:dyDescent="0.55000000000000004">
      <c r="A1982" t="str">
        <f>TEST_DATA!A1982</f>
        <v>27AAAAA1982Z5</v>
      </c>
      <c r="B1982" t="str">
        <f>TEST_DATA!B1982</f>
        <v>Jun-2018</v>
      </c>
      <c r="C1982">
        <f>TEST_DATA!C1982</f>
        <v>43731</v>
      </c>
      <c r="D1982" t="str">
        <f>TEST_DATA!D1982</f>
        <v>NIL</v>
      </c>
      <c r="E1982">
        <f>TEST_DATA!E1982</f>
        <v>2932</v>
      </c>
      <c r="F1982">
        <f>MIN(E1982*198200,10000)</f>
        <v>10000</v>
      </c>
      <c r="G1982" t="e">
        <f ca="1">_xludf.MINIFS(CBIC_Late_Fee_Relief_Windows_1!$I$100:$I$1982,CBIC_Late_Fee_Relief_Windows_1!$D$100:$D$1982,"&lt;="&amp;B1982,CBIC_Late_Fee_Relief_Windows_1!$E$100:$E$1982,"&gt;="&amp;B1982,CBIC_Late_Fee_Relief_Windows_1!$F$100:$F$1982,"&lt;="&amp;C1982,CBIC_Late_Fee_Relief_Windows_1!$G$100:$G$1982,"&gt;="&amp;C1982,CBIC_Late_Fee_Relief_Windows_1!$H$100:$H$1982,D1982)</f>
        <v>#NAME?</v>
      </c>
      <c r="H1982" t="e">
        <f t="shared" ca="1" si="30"/>
        <v>#NAME?</v>
      </c>
      <c r="I1982" t="e">
        <f ca="1">INDEX(CBIC_Late_Fee_Relief_Windows_1!$B$100:$B$1982,MATCH(G1982,CBIC_Late_Fee_Relief_Windows_1!$I$100:$I$1982,0))</f>
        <v>#NAME?</v>
      </c>
    </row>
    <row r="1983" spans="1:9" x14ac:dyDescent="0.55000000000000004">
      <c r="A1983" t="str">
        <f>TEST_DATA!A1983</f>
        <v>27AAAAA1983Z5</v>
      </c>
      <c r="B1983" t="str">
        <f>TEST_DATA!B1983</f>
        <v>Mar-2023</v>
      </c>
      <c r="C1983">
        <f>TEST_DATA!C1983</f>
        <v>45217</v>
      </c>
      <c r="D1983" t="str">
        <f>TEST_DATA!D1983</f>
        <v>NON-NIL</v>
      </c>
      <c r="E1983">
        <f>TEST_DATA!E1983</f>
        <v>1581</v>
      </c>
      <c r="F1983">
        <f>MIN(E1983*198300,10000)</f>
        <v>10000</v>
      </c>
      <c r="G1983" t="e">
        <f ca="1">_xludf.MINIFS(CBIC_Late_Fee_Relief_Windows_1!$I$100:$I$1983,CBIC_Late_Fee_Relief_Windows_1!$D$100:$D$1983,"&lt;="&amp;B1983,CBIC_Late_Fee_Relief_Windows_1!$E$100:$E$1983,"&gt;="&amp;B1983,CBIC_Late_Fee_Relief_Windows_1!$F$100:$F$1983,"&lt;="&amp;C1983,CBIC_Late_Fee_Relief_Windows_1!$G$100:$G$1983,"&gt;="&amp;C1983,CBIC_Late_Fee_Relief_Windows_1!$H$100:$H$1983,D1983)</f>
        <v>#NAME?</v>
      </c>
      <c r="H1983" t="e">
        <f t="shared" ca="1" si="30"/>
        <v>#NAME?</v>
      </c>
      <c r="I1983" t="e">
        <f ca="1">INDEX(CBIC_Late_Fee_Relief_Windows_1!$B$100:$B$1983,MATCH(G1983,CBIC_Late_Fee_Relief_Windows_1!$I$100:$I$1983,0))</f>
        <v>#NAME?</v>
      </c>
    </row>
    <row r="1984" spans="1:9" x14ac:dyDescent="0.55000000000000004">
      <c r="A1984" t="str">
        <f>TEST_DATA!A1984</f>
        <v>27AAAAA1984Z5</v>
      </c>
      <c r="B1984" t="str">
        <f>TEST_DATA!B1984</f>
        <v>Jun-2018</v>
      </c>
      <c r="C1984">
        <f>TEST_DATA!C1984</f>
        <v>42941</v>
      </c>
      <c r="D1984" t="str">
        <f>TEST_DATA!D1984</f>
        <v>NON-NIL</v>
      </c>
      <c r="E1984">
        <f>TEST_DATA!E1984</f>
        <v>1412</v>
      </c>
      <c r="F1984">
        <f>MIN(E1984*198400,10000)</f>
        <v>10000</v>
      </c>
      <c r="G1984" t="e">
        <f ca="1">_xludf.MINIFS(CBIC_Late_Fee_Relief_Windows_1!$I$100:$I$1984,CBIC_Late_Fee_Relief_Windows_1!$D$100:$D$1984,"&lt;="&amp;B1984,CBIC_Late_Fee_Relief_Windows_1!$E$100:$E$1984,"&gt;="&amp;B1984,CBIC_Late_Fee_Relief_Windows_1!$F$100:$F$1984,"&lt;="&amp;C1984,CBIC_Late_Fee_Relief_Windows_1!$G$100:$G$1984,"&gt;="&amp;C1984,CBIC_Late_Fee_Relief_Windows_1!$H$100:$H$1984,D1984)</f>
        <v>#NAME?</v>
      </c>
      <c r="H1984" t="e">
        <f t="shared" ca="1" si="30"/>
        <v>#NAME?</v>
      </c>
      <c r="I1984" t="e">
        <f ca="1">INDEX(CBIC_Late_Fee_Relief_Windows_1!$B$100:$B$1984,MATCH(G1984,CBIC_Late_Fee_Relief_Windows_1!$I$100:$I$1984,0))</f>
        <v>#NAME?</v>
      </c>
    </row>
    <row r="1985" spans="1:9" x14ac:dyDescent="0.55000000000000004">
      <c r="A1985" t="str">
        <f>TEST_DATA!A1985</f>
        <v>27AAAAA1985Z5</v>
      </c>
      <c r="B1985" t="str">
        <f>TEST_DATA!B1985</f>
        <v>Jun-2018</v>
      </c>
      <c r="C1985">
        <f>TEST_DATA!C1985</f>
        <v>43547</v>
      </c>
      <c r="D1985" t="str">
        <f>TEST_DATA!D1985</f>
        <v>NON-NIL</v>
      </c>
      <c r="E1985">
        <f>TEST_DATA!E1985</f>
        <v>2297</v>
      </c>
      <c r="F1985">
        <f>MIN(E1985*198500,10000)</f>
        <v>10000</v>
      </c>
      <c r="G1985" t="e">
        <f ca="1">_xludf.MINIFS(CBIC_Late_Fee_Relief_Windows_1!$I$100:$I$1985,CBIC_Late_Fee_Relief_Windows_1!$D$100:$D$1985,"&lt;="&amp;B1985,CBIC_Late_Fee_Relief_Windows_1!$E$100:$E$1985,"&gt;="&amp;B1985,CBIC_Late_Fee_Relief_Windows_1!$F$100:$F$1985,"&lt;="&amp;C1985,CBIC_Late_Fee_Relief_Windows_1!$G$100:$G$1985,"&gt;="&amp;C1985,CBIC_Late_Fee_Relief_Windows_1!$H$100:$H$1985,D1985)</f>
        <v>#NAME?</v>
      </c>
      <c r="H1985" t="e">
        <f t="shared" ca="1" si="30"/>
        <v>#NAME?</v>
      </c>
      <c r="I1985" t="e">
        <f ca="1">INDEX(CBIC_Late_Fee_Relief_Windows_1!$B$100:$B$1985,MATCH(G1985,CBIC_Late_Fee_Relief_Windows_1!$I$100:$I$1985,0))</f>
        <v>#NAME?</v>
      </c>
    </row>
    <row r="1986" spans="1:9" x14ac:dyDescent="0.55000000000000004">
      <c r="A1986" t="str">
        <f>TEST_DATA!A1986</f>
        <v>27AAAAA1986Z5</v>
      </c>
      <c r="B1986" t="str">
        <f>TEST_DATA!B1986</f>
        <v>Sep-2017</v>
      </c>
      <c r="C1986">
        <f>TEST_DATA!C1986</f>
        <v>43358</v>
      </c>
      <c r="D1986" t="str">
        <f>TEST_DATA!D1986</f>
        <v>NON-NIL</v>
      </c>
      <c r="E1986">
        <f>TEST_DATA!E1986</f>
        <v>1702</v>
      </c>
      <c r="F1986">
        <f>MIN(E1986*198600,10000)</f>
        <v>10000</v>
      </c>
      <c r="G1986" t="e">
        <f ca="1">_xludf.MINIFS(CBIC_Late_Fee_Relief_Windows_1!$I$100:$I$1986,CBIC_Late_Fee_Relief_Windows_1!$D$100:$D$1986,"&lt;="&amp;B1986,CBIC_Late_Fee_Relief_Windows_1!$E$100:$E$1986,"&gt;="&amp;B1986,CBIC_Late_Fee_Relief_Windows_1!$F$100:$F$1986,"&lt;="&amp;C1986,CBIC_Late_Fee_Relief_Windows_1!$G$100:$G$1986,"&gt;="&amp;C1986,CBIC_Late_Fee_Relief_Windows_1!$H$100:$H$1986,D1986)</f>
        <v>#NAME?</v>
      </c>
      <c r="H1986" t="e">
        <f t="shared" ref="H1986:H2049" ca="1" si="31">MIN(F1986,G1986)</f>
        <v>#NAME?</v>
      </c>
      <c r="I1986" t="e">
        <f ca="1">INDEX(CBIC_Late_Fee_Relief_Windows_1!$B$100:$B$1986,MATCH(G1986,CBIC_Late_Fee_Relief_Windows_1!$I$100:$I$1986,0))</f>
        <v>#NAME?</v>
      </c>
    </row>
    <row r="1987" spans="1:9" x14ac:dyDescent="0.55000000000000004">
      <c r="A1987" t="str">
        <f>TEST_DATA!A1987</f>
        <v>27AAAAA1987Z5</v>
      </c>
      <c r="B1987" t="str">
        <f>TEST_DATA!B1987</f>
        <v>Apr-2021</v>
      </c>
      <c r="C1987">
        <f>TEST_DATA!C1987</f>
        <v>45278</v>
      </c>
      <c r="D1987" t="str">
        <f>TEST_DATA!D1987</f>
        <v>NON-NIL</v>
      </c>
      <c r="E1987">
        <f>TEST_DATA!E1987</f>
        <v>670</v>
      </c>
      <c r="F1987">
        <f>MIN(E1987*198700,10000)</f>
        <v>10000</v>
      </c>
      <c r="G1987" t="e">
        <f ca="1">_xludf.MINIFS(CBIC_Late_Fee_Relief_Windows_1!$I$100:$I$1987,CBIC_Late_Fee_Relief_Windows_1!$D$100:$D$1987,"&lt;="&amp;B1987,CBIC_Late_Fee_Relief_Windows_1!$E$100:$E$1987,"&gt;="&amp;B1987,CBIC_Late_Fee_Relief_Windows_1!$F$100:$F$1987,"&lt;="&amp;C1987,CBIC_Late_Fee_Relief_Windows_1!$G$100:$G$1987,"&gt;="&amp;C1987,CBIC_Late_Fee_Relief_Windows_1!$H$100:$H$1987,D1987)</f>
        <v>#NAME?</v>
      </c>
      <c r="H1987" t="e">
        <f t="shared" ca="1" si="31"/>
        <v>#NAME?</v>
      </c>
      <c r="I1987" t="e">
        <f ca="1">INDEX(CBIC_Late_Fee_Relief_Windows_1!$B$100:$B$1987,MATCH(G1987,CBIC_Late_Fee_Relief_Windows_1!$I$100:$I$1987,0))</f>
        <v>#NAME?</v>
      </c>
    </row>
    <row r="1988" spans="1:9" x14ac:dyDescent="0.55000000000000004">
      <c r="A1988" t="str">
        <f>TEST_DATA!A1988</f>
        <v>27AAAAA1988Z5</v>
      </c>
      <c r="B1988" t="str">
        <f>TEST_DATA!B1988</f>
        <v>Apr-2021</v>
      </c>
      <c r="C1988">
        <f>TEST_DATA!C1988</f>
        <v>45202</v>
      </c>
      <c r="D1988" t="str">
        <f>TEST_DATA!D1988</f>
        <v>NON-NIL</v>
      </c>
      <c r="E1988">
        <f>TEST_DATA!E1988</f>
        <v>571</v>
      </c>
      <c r="F1988">
        <f>MIN(E1988*198800,10000)</f>
        <v>10000</v>
      </c>
      <c r="G1988" t="e">
        <f ca="1">_xludf.MINIFS(CBIC_Late_Fee_Relief_Windows_1!$I$100:$I$1988,CBIC_Late_Fee_Relief_Windows_1!$D$100:$D$1988,"&lt;="&amp;B1988,CBIC_Late_Fee_Relief_Windows_1!$E$100:$E$1988,"&gt;="&amp;B1988,CBIC_Late_Fee_Relief_Windows_1!$F$100:$F$1988,"&lt;="&amp;C1988,CBIC_Late_Fee_Relief_Windows_1!$G$100:$G$1988,"&gt;="&amp;C1988,CBIC_Late_Fee_Relief_Windows_1!$H$100:$H$1988,D1988)</f>
        <v>#NAME?</v>
      </c>
      <c r="H1988" t="e">
        <f t="shared" ca="1" si="31"/>
        <v>#NAME?</v>
      </c>
      <c r="I1988" t="e">
        <f ca="1">INDEX(CBIC_Late_Fee_Relief_Windows_1!$B$100:$B$1988,MATCH(G1988,CBIC_Late_Fee_Relief_Windows_1!$I$100:$I$1988,0))</f>
        <v>#NAME?</v>
      </c>
    </row>
    <row r="1989" spans="1:9" x14ac:dyDescent="0.55000000000000004">
      <c r="A1989" t="str">
        <f>TEST_DATA!A1989</f>
        <v>27AAAAA1989Z5</v>
      </c>
      <c r="B1989" t="str">
        <f>TEST_DATA!B1989</f>
        <v>Dec-2022</v>
      </c>
      <c r="C1989">
        <f>TEST_DATA!C1989</f>
        <v>43818</v>
      </c>
      <c r="D1989" t="str">
        <f>TEST_DATA!D1989</f>
        <v>NIL</v>
      </c>
      <c r="E1989">
        <f>TEST_DATA!E1989</f>
        <v>851</v>
      </c>
      <c r="F1989">
        <f>MIN(E1989*198900,10000)</f>
        <v>10000</v>
      </c>
      <c r="G1989" t="e">
        <f ca="1">_xludf.MINIFS(CBIC_Late_Fee_Relief_Windows_1!$I$100:$I$1989,CBIC_Late_Fee_Relief_Windows_1!$D$100:$D$1989,"&lt;="&amp;B1989,CBIC_Late_Fee_Relief_Windows_1!$E$100:$E$1989,"&gt;="&amp;B1989,CBIC_Late_Fee_Relief_Windows_1!$F$100:$F$1989,"&lt;="&amp;C1989,CBIC_Late_Fee_Relief_Windows_1!$G$100:$G$1989,"&gt;="&amp;C1989,CBIC_Late_Fee_Relief_Windows_1!$H$100:$H$1989,D1989)</f>
        <v>#NAME?</v>
      </c>
      <c r="H1989" t="e">
        <f t="shared" ca="1" si="31"/>
        <v>#NAME?</v>
      </c>
      <c r="I1989" t="e">
        <f ca="1">INDEX(CBIC_Late_Fee_Relief_Windows_1!$B$100:$B$1989,MATCH(G1989,CBIC_Late_Fee_Relief_Windows_1!$I$100:$I$1989,0))</f>
        <v>#NAME?</v>
      </c>
    </row>
    <row r="1990" spans="1:9" x14ac:dyDescent="0.55000000000000004">
      <c r="A1990" t="str">
        <f>TEST_DATA!A1990</f>
        <v>27AAAAA1990Z5</v>
      </c>
      <c r="B1990" t="str">
        <f>TEST_DATA!B1990</f>
        <v>Apr-2018</v>
      </c>
      <c r="C1990">
        <f>TEST_DATA!C1990</f>
        <v>43889</v>
      </c>
      <c r="D1990" t="str">
        <f>TEST_DATA!D1990</f>
        <v>NON-NIL</v>
      </c>
      <c r="E1990">
        <f>TEST_DATA!E1990</f>
        <v>270</v>
      </c>
      <c r="F1990">
        <f>MIN(E1990*199000,10000)</f>
        <v>10000</v>
      </c>
      <c r="G1990" t="e">
        <f ca="1">_xludf.MINIFS(CBIC_Late_Fee_Relief_Windows_1!$I$100:$I$1990,CBIC_Late_Fee_Relief_Windows_1!$D$100:$D$1990,"&lt;="&amp;B1990,CBIC_Late_Fee_Relief_Windows_1!$E$100:$E$1990,"&gt;="&amp;B1990,CBIC_Late_Fee_Relief_Windows_1!$F$100:$F$1990,"&lt;="&amp;C1990,CBIC_Late_Fee_Relief_Windows_1!$G$100:$G$1990,"&gt;="&amp;C1990,CBIC_Late_Fee_Relief_Windows_1!$H$100:$H$1990,D1990)</f>
        <v>#NAME?</v>
      </c>
      <c r="H1990" t="e">
        <f t="shared" ca="1" si="31"/>
        <v>#NAME?</v>
      </c>
      <c r="I1990" t="e">
        <f ca="1">INDEX(CBIC_Late_Fee_Relief_Windows_1!$B$100:$B$1990,MATCH(G1990,CBIC_Late_Fee_Relief_Windows_1!$I$100:$I$1990,0))</f>
        <v>#NAME?</v>
      </c>
    </row>
    <row r="1991" spans="1:9" x14ac:dyDescent="0.55000000000000004">
      <c r="A1991" t="str">
        <f>TEST_DATA!A1991</f>
        <v>27AAAAA1991Z5</v>
      </c>
      <c r="B1991" t="str">
        <f>TEST_DATA!B1991</f>
        <v>Mar-2020</v>
      </c>
      <c r="C1991">
        <f>TEST_DATA!C1991</f>
        <v>44600</v>
      </c>
      <c r="D1991" t="str">
        <f>TEST_DATA!D1991</f>
        <v>NIL</v>
      </c>
      <c r="E1991">
        <f>TEST_DATA!E1991</f>
        <v>27</v>
      </c>
      <c r="F1991">
        <f>MIN(E1991*199100,10000)</f>
        <v>10000</v>
      </c>
      <c r="G1991" t="e">
        <f ca="1">_xludf.MINIFS(CBIC_Late_Fee_Relief_Windows_1!$I$100:$I$1991,CBIC_Late_Fee_Relief_Windows_1!$D$100:$D$1991,"&lt;="&amp;B1991,CBIC_Late_Fee_Relief_Windows_1!$E$100:$E$1991,"&gt;="&amp;B1991,CBIC_Late_Fee_Relief_Windows_1!$F$100:$F$1991,"&lt;="&amp;C1991,CBIC_Late_Fee_Relief_Windows_1!$G$100:$G$1991,"&gt;="&amp;C1991,CBIC_Late_Fee_Relief_Windows_1!$H$100:$H$1991,D1991)</f>
        <v>#NAME?</v>
      </c>
      <c r="H1991" t="e">
        <f t="shared" ca="1" si="31"/>
        <v>#NAME?</v>
      </c>
      <c r="I1991" t="e">
        <f ca="1">INDEX(CBIC_Late_Fee_Relief_Windows_1!$B$100:$B$1991,MATCH(G1991,CBIC_Late_Fee_Relief_Windows_1!$I$100:$I$1991,0))</f>
        <v>#NAME?</v>
      </c>
    </row>
    <row r="1992" spans="1:9" x14ac:dyDescent="0.55000000000000004">
      <c r="A1992" t="str">
        <f>TEST_DATA!A1992</f>
        <v>27AAAAA1992Z5</v>
      </c>
      <c r="B1992" t="str">
        <f>TEST_DATA!B1992</f>
        <v>Aug-2018</v>
      </c>
      <c r="C1992">
        <f>TEST_DATA!C1992</f>
        <v>44225</v>
      </c>
      <c r="D1992" t="str">
        <f>TEST_DATA!D1992</f>
        <v>NON-NIL</v>
      </c>
      <c r="E1992">
        <f>TEST_DATA!E1992</f>
        <v>1697</v>
      </c>
      <c r="F1992">
        <f>MIN(E1992*199200,10000)</f>
        <v>10000</v>
      </c>
      <c r="G1992" t="e">
        <f ca="1">_xludf.MINIFS(CBIC_Late_Fee_Relief_Windows_1!$I$100:$I$1992,CBIC_Late_Fee_Relief_Windows_1!$D$100:$D$1992,"&lt;="&amp;B1992,CBIC_Late_Fee_Relief_Windows_1!$E$100:$E$1992,"&gt;="&amp;B1992,CBIC_Late_Fee_Relief_Windows_1!$F$100:$F$1992,"&lt;="&amp;C1992,CBIC_Late_Fee_Relief_Windows_1!$G$100:$G$1992,"&gt;="&amp;C1992,CBIC_Late_Fee_Relief_Windows_1!$H$100:$H$1992,D1992)</f>
        <v>#NAME?</v>
      </c>
      <c r="H1992" t="e">
        <f t="shared" ca="1" si="31"/>
        <v>#NAME?</v>
      </c>
      <c r="I1992" t="e">
        <f ca="1">INDEX(CBIC_Late_Fee_Relief_Windows_1!$B$100:$B$1992,MATCH(G1992,CBIC_Late_Fee_Relief_Windows_1!$I$100:$I$1992,0))</f>
        <v>#NAME?</v>
      </c>
    </row>
    <row r="1993" spans="1:9" x14ac:dyDescent="0.55000000000000004">
      <c r="A1993" t="str">
        <f>TEST_DATA!A1993</f>
        <v>27AAAAA1993Z5</v>
      </c>
      <c r="B1993" t="str">
        <f>TEST_DATA!B1993</f>
        <v>Dec-2017</v>
      </c>
      <c r="C1993">
        <f>TEST_DATA!C1993</f>
        <v>44055</v>
      </c>
      <c r="D1993" t="str">
        <f>TEST_DATA!D1993</f>
        <v>NON-NIL</v>
      </c>
      <c r="E1993">
        <f>TEST_DATA!E1993</f>
        <v>2909</v>
      </c>
      <c r="F1993">
        <f>MIN(E1993*199300,10000)</f>
        <v>10000</v>
      </c>
      <c r="G1993" t="e">
        <f ca="1">_xludf.MINIFS(CBIC_Late_Fee_Relief_Windows_1!$I$100:$I$1993,CBIC_Late_Fee_Relief_Windows_1!$D$100:$D$1993,"&lt;="&amp;B1993,CBIC_Late_Fee_Relief_Windows_1!$E$100:$E$1993,"&gt;="&amp;B1993,CBIC_Late_Fee_Relief_Windows_1!$F$100:$F$1993,"&lt;="&amp;C1993,CBIC_Late_Fee_Relief_Windows_1!$G$100:$G$1993,"&gt;="&amp;C1993,CBIC_Late_Fee_Relief_Windows_1!$H$100:$H$1993,D1993)</f>
        <v>#NAME?</v>
      </c>
      <c r="H1993" t="e">
        <f t="shared" ca="1" si="31"/>
        <v>#NAME?</v>
      </c>
      <c r="I1993" t="e">
        <f ca="1">INDEX(CBIC_Late_Fee_Relief_Windows_1!$B$100:$B$1993,MATCH(G1993,CBIC_Late_Fee_Relief_Windows_1!$I$100:$I$1993,0))</f>
        <v>#NAME?</v>
      </c>
    </row>
    <row r="1994" spans="1:9" x14ac:dyDescent="0.55000000000000004">
      <c r="A1994" t="str">
        <f>TEST_DATA!A1994</f>
        <v>27AAAAA1994Z5</v>
      </c>
      <c r="B1994" t="str">
        <f>TEST_DATA!B1994</f>
        <v>Mar-2020</v>
      </c>
      <c r="C1994">
        <f>TEST_DATA!C1994</f>
        <v>44111</v>
      </c>
      <c r="D1994" t="str">
        <f>TEST_DATA!D1994</f>
        <v>NIL</v>
      </c>
      <c r="E1994">
        <f>TEST_DATA!E1994</f>
        <v>761</v>
      </c>
      <c r="F1994">
        <f>MIN(E1994*199400,10000)</f>
        <v>10000</v>
      </c>
      <c r="G1994" t="e">
        <f ca="1">_xludf.MINIFS(CBIC_Late_Fee_Relief_Windows_1!$I$100:$I$1994,CBIC_Late_Fee_Relief_Windows_1!$D$100:$D$1994,"&lt;="&amp;B1994,CBIC_Late_Fee_Relief_Windows_1!$E$100:$E$1994,"&gt;="&amp;B1994,CBIC_Late_Fee_Relief_Windows_1!$F$100:$F$1994,"&lt;="&amp;C1994,CBIC_Late_Fee_Relief_Windows_1!$G$100:$G$1994,"&gt;="&amp;C1994,CBIC_Late_Fee_Relief_Windows_1!$H$100:$H$1994,D1994)</f>
        <v>#NAME?</v>
      </c>
      <c r="H1994" t="e">
        <f t="shared" ca="1" si="31"/>
        <v>#NAME?</v>
      </c>
      <c r="I1994" t="e">
        <f ca="1">INDEX(CBIC_Late_Fee_Relief_Windows_1!$B$100:$B$1994,MATCH(G1994,CBIC_Late_Fee_Relief_Windows_1!$I$100:$I$1994,0))</f>
        <v>#NAME?</v>
      </c>
    </row>
    <row r="1995" spans="1:9" x14ac:dyDescent="0.55000000000000004">
      <c r="A1995" t="str">
        <f>TEST_DATA!A1995</f>
        <v>27AAAAA1995Z5</v>
      </c>
      <c r="B1995" t="str">
        <f>TEST_DATA!B1995</f>
        <v>Dec-2022</v>
      </c>
      <c r="C1995">
        <f>TEST_DATA!C1995</f>
        <v>45029</v>
      </c>
      <c r="D1995" t="str">
        <f>TEST_DATA!D1995</f>
        <v>NON-NIL</v>
      </c>
      <c r="E1995">
        <f>TEST_DATA!E1995</f>
        <v>2268</v>
      </c>
      <c r="F1995">
        <f>MIN(E1995*199500,10000)</f>
        <v>10000</v>
      </c>
      <c r="G1995" t="e">
        <f ca="1">_xludf.MINIFS(CBIC_Late_Fee_Relief_Windows_1!$I$100:$I$1995,CBIC_Late_Fee_Relief_Windows_1!$D$100:$D$1995,"&lt;="&amp;B1995,CBIC_Late_Fee_Relief_Windows_1!$E$100:$E$1995,"&gt;="&amp;B1995,CBIC_Late_Fee_Relief_Windows_1!$F$100:$F$1995,"&lt;="&amp;C1995,CBIC_Late_Fee_Relief_Windows_1!$G$100:$G$1995,"&gt;="&amp;C1995,CBIC_Late_Fee_Relief_Windows_1!$H$100:$H$1995,D1995)</f>
        <v>#NAME?</v>
      </c>
      <c r="H1995" t="e">
        <f t="shared" ca="1" si="31"/>
        <v>#NAME?</v>
      </c>
      <c r="I1995" t="e">
        <f ca="1">INDEX(CBIC_Late_Fee_Relief_Windows_1!$B$100:$B$1995,MATCH(G1995,CBIC_Late_Fee_Relief_Windows_1!$I$100:$I$1995,0))</f>
        <v>#NAME?</v>
      </c>
    </row>
    <row r="1996" spans="1:9" x14ac:dyDescent="0.55000000000000004">
      <c r="A1996" t="str">
        <f>TEST_DATA!A1996</f>
        <v>27AAAAA1996Z5</v>
      </c>
      <c r="B1996" t="str">
        <f>TEST_DATA!B1996</f>
        <v>Jan-2019</v>
      </c>
      <c r="C1996">
        <f>TEST_DATA!C1996</f>
        <v>43638</v>
      </c>
      <c r="D1996" t="str">
        <f>TEST_DATA!D1996</f>
        <v>NON-NIL</v>
      </c>
      <c r="E1996">
        <f>TEST_DATA!E1996</f>
        <v>2397</v>
      </c>
      <c r="F1996">
        <f>MIN(E1996*199600,10000)</f>
        <v>10000</v>
      </c>
      <c r="G1996" t="e">
        <f ca="1">_xludf.MINIFS(CBIC_Late_Fee_Relief_Windows_1!$I$100:$I$1996,CBIC_Late_Fee_Relief_Windows_1!$D$100:$D$1996,"&lt;="&amp;B1996,CBIC_Late_Fee_Relief_Windows_1!$E$100:$E$1996,"&gt;="&amp;B1996,CBIC_Late_Fee_Relief_Windows_1!$F$100:$F$1996,"&lt;="&amp;C1996,CBIC_Late_Fee_Relief_Windows_1!$G$100:$G$1996,"&gt;="&amp;C1996,CBIC_Late_Fee_Relief_Windows_1!$H$100:$H$1996,D1996)</f>
        <v>#NAME?</v>
      </c>
      <c r="H1996" t="e">
        <f t="shared" ca="1" si="31"/>
        <v>#NAME?</v>
      </c>
      <c r="I1996" t="e">
        <f ca="1">INDEX(CBIC_Late_Fee_Relief_Windows_1!$B$100:$B$1996,MATCH(G1996,CBIC_Late_Fee_Relief_Windows_1!$I$100:$I$1996,0))</f>
        <v>#NAME?</v>
      </c>
    </row>
    <row r="1997" spans="1:9" x14ac:dyDescent="0.55000000000000004">
      <c r="A1997" t="str">
        <f>TEST_DATA!A1997</f>
        <v>27AAAAA1997Z5</v>
      </c>
      <c r="B1997" t="str">
        <f>TEST_DATA!B1997</f>
        <v>Apr-2018</v>
      </c>
      <c r="C1997">
        <f>TEST_DATA!C1997</f>
        <v>43928</v>
      </c>
      <c r="D1997" t="str">
        <f>TEST_DATA!D1997</f>
        <v>NON-NIL</v>
      </c>
      <c r="E1997">
        <f>TEST_DATA!E1997</f>
        <v>919</v>
      </c>
      <c r="F1997">
        <f>MIN(E1997*199700,10000)</f>
        <v>10000</v>
      </c>
      <c r="G1997" t="e">
        <f ca="1">_xludf.MINIFS(CBIC_Late_Fee_Relief_Windows_1!$I$100:$I$1997,CBIC_Late_Fee_Relief_Windows_1!$D$100:$D$1997,"&lt;="&amp;B1997,CBIC_Late_Fee_Relief_Windows_1!$E$100:$E$1997,"&gt;="&amp;B1997,CBIC_Late_Fee_Relief_Windows_1!$F$100:$F$1997,"&lt;="&amp;C1997,CBIC_Late_Fee_Relief_Windows_1!$G$100:$G$1997,"&gt;="&amp;C1997,CBIC_Late_Fee_Relief_Windows_1!$H$100:$H$1997,D1997)</f>
        <v>#NAME?</v>
      </c>
      <c r="H1997" t="e">
        <f t="shared" ca="1" si="31"/>
        <v>#NAME?</v>
      </c>
      <c r="I1997" t="e">
        <f ca="1">INDEX(CBIC_Late_Fee_Relief_Windows_1!$B$100:$B$1997,MATCH(G1997,CBIC_Late_Fee_Relief_Windows_1!$I$100:$I$1997,0))</f>
        <v>#NAME?</v>
      </c>
    </row>
    <row r="1998" spans="1:9" x14ac:dyDescent="0.55000000000000004">
      <c r="A1998" t="str">
        <f>TEST_DATA!A1998</f>
        <v>27AAAAA1998Z5</v>
      </c>
      <c r="B1998" t="str">
        <f>TEST_DATA!B1998</f>
        <v>Jul-2017</v>
      </c>
      <c r="C1998">
        <f>TEST_DATA!C1998</f>
        <v>44537</v>
      </c>
      <c r="D1998" t="str">
        <f>TEST_DATA!D1998</f>
        <v>NIL</v>
      </c>
      <c r="E1998">
        <f>TEST_DATA!E1998</f>
        <v>630</v>
      </c>
      <c r="F1998">
        <f>MIN(E1998*199800,10000)</f>
        <v>10000</v>
      </c>
      <c r="G1998" t="e">
        <f ca="1">_xludf.MINIFS(CBIC_Late_Fee_Relief_Windows_1!$I$100:$I$1998,CBIC_Late_Fee_Relief_Windows_1!$D$100:$D$1998,"&lt;="&amp;B1998,CBIC_Late_Fee_Relief_Windows_1!$E$100:$E$1998,"&gt;="&amp;B1998,CBIC_Late_Fee_Relief_Windows_1!$F$100:$F$1998,"&lt;="&amp;C1998,CBIC_Late_Fee_Relief_Windows_1!$G$100:$G$1998,"&gt;="&amp;C1998,CBIC_Late_Fee_Relief_Windows_1!$H$100:$H$1998,D1998)</f>
        <v>#NAME?</v>
      </c>
      <c r="H1998" t="e">
        <f t="shared" ca="1" si="31"/>
        <v>#NAME?</v>
      </c>
      <c r="I1998" t="e">
        <f ca="1">INDEX(CBIC_Late_Fee_Relief_Windows_1!$B$100:$B$1998,MATCH(G1998,CBIC_Late_Fee_Relief_Windows_1!$I$100:$I$1998,0))</f>
        <v>#NAME?</v>
      </c>
    </row>
    <row r="1999" spans="1:9" x14ac:dyDescent="0.55000000000000004">
      <c r="A1999" t="str">
        <f>TEST_DATA!A1999</f>
        <v>27AAAAA1999Z5</v>
      </c>
      <c r="B1999" t="str">
        <f>TEST_DATA!B1999</f>
        <v>Mar-2018</v>
      </c>
      <c r="C1999">
        <f>TEST_DATA!C1999</f>
        <v>43531</v>
      </c>
      <c r="D1999" t="str">
        <f>TEST_DATA!D1999</f>
        <v>NON-NIL</v>
      </c>
      <c r="E1999">
        <f>TEST_DATA!E1999</f>
        <v>508</v>
      </c>
      <c r="F1999">
        <f>MIN(E1999*199900,10000)</f>
        <v>10000</v>
      </c>
      <c r="G1999" t="e">
        <f ca="1">_xludf.MINIFS(CBIC_Late_Fee_Relief_Windows_1!$I$100:$I$1999,CBIC_Late_Fee_Relief_Windows_1!$D$100:$D$1999,"&lt;="&amp;B1999,CBIC_Late_Fee_Relief_Windows_1!$E$100:$E$1999,"&gt;="&amp;B1999,CBIC_Late_Fee_Relief_Windows_1!$F$100:$F$1999,"&lt;="&amp;C1999,CBIC_Late_Fee_Relief_Windows_1!$G$100:$G$1999,"&gt;="&amp;C1999,CBIC_Late_Fee_Relief_Windows_1!$H$100:$H$1999,D1999)</f>
        <v>#NAME?</v>
      </c>
      <c r="H1999" t="e">
        <f t="shared" ca="1" si="31"/>
        <v>#NAME?</v>
      </c>
      <c r="I1999" t="e">
        <f ca="1">INDEX(CBIC_Late_Fee_Relief_Windows_1!$B$100:$B$1999,MATCH(G1999,CBIC_Late_Fee_Relief_Windows_1!$I$100:$I$1999,0))</f>
        <v>#NAME?</v>
      </c>
    </row>
    <row r="2000" spans="1:9" x14ac:dyDescent="0.55000000000000004">
      <c r="A2000" t="str">
        <f>TEST_DATA!A2000</f>
        <v>27AAAAA2000Z5</v>
      </c>
      <c r="B2000" t="str">
        <f>TEST_DATA!B2000</f>
        <v>May-2020</v>
      </c>
      <c r="C2000">
        <f>TEST_DATA!C2000</f>
        <v>44420</v>
      </c>
      <c r="D2000" t="str">
        <f>TEST_DATA!D2000</f>
        <v>NON-NIL</v>
      </c>
      <c r="E2000">
        <f>TEST_DATA!E2000</f>
        <v>734</v>
      </c>
    </row>
    <row r="2001" spans="1:5" x14ac:dyDescent="0.55000000000000004">
      <c r="A2001" t="str">
        <f>TEST_DATA!A2001</f>
        <v>27AAAAA2001Z5</v>
      </c>
      <c r="B2001" t="str">
        <f>TEST_DATA!B2001</f>
        <v>Jan-2019</v>
      </c>
      <c r="C2001">
        <f>TEST_DATA!C2001</f>
        <v>44468</v>
      </c>
      <c r="D2001" t="str">
        <f>TEST_DATA!D2001</f>
        <v>NIL</v>
      </c>
      <c r="E2001">
        <f>TEST_DATA!E2001</f>
        <v>488</v>
      </c>
    </row>
    <row r="2002" spans="1:5" x14ac:dyDescent="0.55000000000000004">
      <c r="A2002" t="str">
        <f>TEST_DATA!A2002</f>
        <v>27AAAAA2002Z5</v>
      </c>
      <c r="B2002" t="str">
        <f>TEST_DATA!B2002</f>
        <v>Mar-2021</v>
      </c>
      <c r="C2002">
        <f>TEST_DATA!C2002</f>
        <v>44601</v>
      </c>
      <c r="D2002" t="str">
        <f>TEST_DATA!D2002</f>
        <v>NON-NIL</v>
      </c>
      <c r="E2002">
        <f>TEST_DATA!E2002</f>
        <v>273</v>
      </c>
    </row>
    <row r="2003" spans="1:5" x14ac:dyDescent="0.55000000000000004">
      <c r="A2003" t="str">
        <f>TEST_DATA!A2003</f>
        <v>27AAAAA2003Z5</v>
      </c>
      <c r="B2003" t="str">
        <f>TEST_DATA!B2003</f>
        <v>Apr-2020</v>
      </c>
      <c r="C2003">
        <f>TEST_DATA!C2003</f>
        <v>44571</v>
      </c>
      <c r="D2003" t="str">
        <f>TEST_DATA!D2003</f>
        <v>NON-NIL</v>
      </c>
      <c r="E2003">
        <f>TEST_DATA!E2003</f>
        <v>2316</v>
      </c>
    </row>
    <row r="2004" spans="1:5" x14ac:dyDescent="0.55000000000000004">
      <c r="A2004" t="str">
        <f>TEST_DATA!A2004</f>
        <v>27AAAAA2004Z5</v>
      </c>
      <c r="B2004" t="str">
        <f>TEST_DATA!B2004</f>
        <v>Aug-2018</v>
      </c>
      <c r="C2004">
        <f>TEST_DATA!C2004</f>
        <v>43445</v>
      </c>
      <c r="D2004" t="str">
        <f>TEST_DATA!D2004</f>
        <v>NON-NIL</v>
      </c>
      <c r="E2004">
        <f>TEST_DATA!E2004</f>
        <v>2843</v>
      </c>
    </row>
    <row r="2005" spans="1:5" x14ac:dyDescent="0.55000000000000004">
      <c r="A2005" t="str">
        <f>TEST_DATA!A2005</f>
        <v>27AAAAA2005Z5</v>
      </c>
      <c r="B2005" t="str">
        <f>TEST_DATA!B2005</f>
        <v>Dec-2022</v>
      </c>
      <c r="C2005">
        <f>TEST_DATA!C2005</f>
        <v>43955</v>
      </c>
      <c r="D2005" t="str">
        <f>TEST_DATA!D2005</f>
        <v>NON-NIL</v>
      </c>
      <c r="E2005">
        <f>TEST_DATA!E2005</f>
        <v>2099</v>
      </c>
    </row>
    <row r="2006" spans="1:5" x14ac:dyDescent="0.55000000000000004">
      <c r="A2006" t="str">
        <f>TEST_DATA!A2006</f>
        <v>27AAAAA2006Z5</v>
      </c>
      <c r="B2006" t="str">
        <f>TEST_DATA!B2006</f>
        <v>Jan-2021</v>
      </c>
      <c r="C2006">
        <f>TEST_DATA!C2006</f>
        <v>45822</v>
      </c>
      <c r="D2006" t="str">
        <f>TEST_DATA!D2006</f>
        <v>NIL</v>
      </c>
      <c r="E2006">
        <f>TEST_DATA!E2006</f>
        <v>1063</v>
      </c>
    </row>
    <row r="2007" spans="1:5" x14ac:dyDescent="0.55000000000000004">
      <c r="A2007" t="str">
        <f>TEST_DATA!A2007</f>
        <v>27AAAAA2007Z5</v>
      </c>
      <c r="B2007" t="str">
        <f>TEST_DATA!B2007</f>
        <v>Dec-2017</v>
      </c>
      <c r="C2007">
        <f>TEST_DATA!C2007</f>
        <v>44108</v>
      </c>
      <c r="D2007" t="str">
        <f>TEST_DATA!D2007</f>
        <v>NIL</v>
      </c>
      <c r="E2007">
        <f>TEST_DATA!E2007</f>
        <v>598</v>
      </c>
    </row>
    <row r="2008" spans="1:5" x14ac:dyDescent="0.55000000000000004">
      <c r="A2008" t="str">
        <f>TEST_DATA!A2008</f>
        <v>27AAAAA2008Z5</v>
      </c>
      <c r="B2008" t="str">
        <f>TEST_DATA!B2008</f>
        <v>May-2018</v>
      </c>
      <c r="C2008">
        <f>TEST_DATA!C2008</f>
        <v>43861</v>
      </c>
      <c r="D2008" t="str">
        <f>TEST_DATA!D2008</f>
        <v>NIL</v>
      </c>
      <c r="E2008">
        <f>TEST_DATA!E2008</f>
        <v>1463</v>
      </c>
    </row>
    <row r="2009" spans="1:5" x14ac:dyDescent="0.55000000000000004">
      <c r="A2009" t="str">
        <f>TEST_DATA!A2009</f>
        <v>27AAAAA2009Z5</v>
      </c>
      <c r="B2009" t="str">
        <f>TEST_DATA!B2009</f>
        <v>Dec-2017</v>
      </c>
      <c r="C2009">
        <f>TEST_DATA!C2009</f>
        <v>43025</v>
      </c>
      <c r="D2009" t="str">
        <f>TEST_DATA!D2009</f>
        <v>NON-NIL</v>
      </c>
      <c r="E2009">
        <f>TEST_DATA!E2009</f>
        <v>1479</v>
      </c>
    </row>
    <row r="2010" spans="1:5" x14ac:dyDescent="0.55000000000000004">
      <c r="A2010" t="str">
        <f>TEST_DATA!A2010</f>
        <v>27AAAAA2010Z5</v>
      </c>
      <c r="B2010" t="str">
        <f>TEST_DATA!B2010</f>
        <v>Aug-2018</v>
      </c>
      <c r="C2010">
        <f>TEST_DATA!C2010</f>
        <v>44220</v>
      </c>
      <c r="D2010" t="str">
        <f>TEST_DATA!D2010</f>
        <v>NON-NIL</v>
      </c>
      <c r="E2010">
        <f>TEST_DATA!E2010</f>
        <v>199</v>
      </c>
    </row>
    <row r="2011" spans="1:5" x14ac:dyDescent="0.55000000000000004">
      <c r="A2011" t="str">
        <f>TEST_DATA!A2011</f>
        <v>27AAAAA2011Z5</v>
      </c>
      <c r="B2011" t="str">
        <f>TEST_DATA!B2011</f>
        <v>Apr-2018</v>
      </c>
      <c r="C2011">
        <f>TEST_DATA!C2011</f>
        <v>43514</v>
      </c>
      <c r="D2011" t="str">
        <f>TEST_DATA!D2011</f>
        <v>NIL</v>
      </c>
      <c r="E2011">
        <f>TEST_DATA!E2011</f>
        <v>2104</v>
      </c>
    </row>
    <row r="2012" spans="1:5" x14ac:dyDescent="0.55000000000000004">
      <c r="A2012" t="str">
        <f>TEST_DATA!A2012</f>
        <v>27AAAAA2012Z5</v>
      </c>
      <c r="B2012" t="str">
        <f>TEST_DATA!B2012</f>
        <v>Jan-2018</v>
      </c>
      <c r="C2012">
        <f>TEST_DATA!C2012</f>
        <v>44486</v>
      </c>
      <c r="D2012" t="str">
        <f>TEST_DATA!D2012</f>
        <v>NIL</v>
      </c>
      <c r="E2012">
        <f>TEST_DATA!E2012</f>
        <v>387</v>
      </c>
    </row>
    <row r="2013" spans="1:5" x14ac:dyDescent="0.55000000000000004">
      <c r="A2013" t="str">
        <f>TEST_DATA!A2013</f>
        <v>27AAAAA2013Z5</v>
      </c>
      <c r="B2013" t="str">
        <f>TEST_DATA!B2013</f>
        <v>Apr-2020</v>
      </c>
      <c r="C2013">
        <f>TEST_DATA!C2013</f>
        <v>44173</v>
      </c>
      <c r="D2013" t="str">
        <f>TEST_DATA!D2013</f>
        <v>NON-NIL</v>
      </c>
      <c r="E2013">
        <f>TEST_DATA!E2013</f>
        <v>1295</v>
      </c>
    </row>
    <row r="2014" spans="1:5" x14ac:dyDescent="0.55000000000000004">
      <c r="A2014" t="str">
        <f>TEST_DATA!A2014</f>
        <v>27AAAAA2014Z5</v>
      </c>
      <c r="B2014" t="str">
        <f>TEST_DATA!B2014</f>
        <v>Dec-2022</v>
      </c>
      <c r="C2014">
        <f>TEST_DATA!C2014</f>
        <v>44699</v>
      </c>
      <c r="D2014" t="str">
        <f>TEST_DATA!D2014</f>
        <v>NON-NIL</v>
      </c>
      <c r="E2014">
        <f>TEST_DATA!E2014</f>
        <v>2807</v>
      </c>
    </row>
    <row r="2015" spans="1:5" x14ac:dyDescent="0.55000000000000004">
      <c r="A2015" t="str">
        <f>TEST_DATA!A2015</f>
        <v>27AAAAA2015Z5</v>
      </c>
      <c r="B2015" t="str">
        <f>TEST_DATA!B2015</f>
        <v>Jul-2020</v>
      </c>
      <c r="C2015">
        <f>TEST_DATA!C2015</f>
        <v>44573</v>
      </c>
      <c r="D2015" t="str">
        <f>TEST_DATA!D2015</f>
        <v>NIL</v>
      </c>
      <c r="E2015">
        <f>TEST_DATA!E2015</f>
        <v>2188</v>
      </c>
    </row>
    <row r="2016" spans="1:5" x14ac:dyDescent="0.55000000000000004">
      <c r="A2016" t="str">
        <f>TEST_DATA!A2016</f>
        <v>27AAAAA2016Z5</v>
      </c>
      <c r="B2016" t="str">
        <f>TEST_DATA!B2016</f>
        <v>Mar-2020</v>
      </c>
      <c r="C2016">
        <f>TEST_DATA!C2016</f>
        <v>44551</v>
      </c>
      <c r="D2016" t="str">
        <f>TEST_DATA!D2016</f>
        <v>NIL</v>
      </c>
      <c r="E2016">
        <f>TEST_DATA!E2016</f>
        <v>52</v>
      </c>
    </row>
    <row r="2017" spans="1:5" x14ac:dyDescent="0.55000000000000004">
      <c r="A2017" t="str">
        <f>TEST_DATA!A2017</f>
        <v>27AAAAA2017Z5</v>
      </c>
      <c r="B2017" t="str">
        <f>TEST_DATA!B2017</f>
        <v>Nov-2017</v>
      </c>
      <c r="C2017">
        <f>TEST_DATA!C2017</f>
        <v>43978</v>
      </c>
      <c r="D2017" t="str">
        <f>TEST_DATA!D2017</f>
        <v>NON-NIL</v>
      </c>
      <c r="E2017">
        <f>TEST_DATA!E2017</f>
        <v>1527</v>
      </c>
    </row>
    <row r="2018" spans="1:5" x14ac:dyDescent="0.55000000000000004">
      <c r="A2018" t="str">
        <f>TEST_DATA!A2018</f>
        <v>27AAAAA2018Z5</v>
      </c>
      <c r="B2018" t="str">
        <f>TEST_DATA!B2018</f>
        <v>Mar-2021</v>
      </c>
      <c r="C2018">
        <f>TEST_DATA!C2018</f>
        <v>45452</v>
      </c>
      <c r="D2018" t="str">
        <f>TEST_DATA!D2018</f>
        <v>NON-NIL</v>
      </c>
      <c r="E2018">
        <f>TEST_DATA!E2018</f>
        <v>1393</v>
      </c>
    </row>
    <row r="2019" spans="1:5" x14ac:dyDescent="0.55000000000000004">
      <c r="A2019" t="str">
        <f>TEST_DATA!A2019</f>
        <v>27AAAAA2019Z5</v>
      </c>
      <c r="B2019" t="str">
        <f>TEST_DATA!B2019</f>
        <v>Dec-2017</v>
      </c>
      <c r="C2019">
        <f>TEST_DATA!C2019</f>
        <v>43126</v>
      </c>
      <c r="D2019" t="str">
        <f>TEST_DATA!D2019</f>
        <v>NIL</v>
      </c>
      <c r="E2019">
        <f>TEST_DATA!E2019</f>
        <v>633</v>
      </c>
    </row>
    <row r="2020" spans="1:5" x14ac:dyDescent="0.55000000000000004">
      <c r="A2020" t="str">
        <f>TEST_DATA!A2020</f>
        <v>27AAAAA2020Z5</v>
      </c>
      <c r="B2020" t="str">
        <f>TEST_DATA!B2020</f>
        <v>Jun-2019</v>
      </c>
      <c r="C2020">
        <f>TEST_DATA!C2020</f>
        <v>44371</v>
      </c>
      <c r="D2020" t="str">
        <f>TEST_DATA!D2020</f>
        <v>NIL</v>
      </c>
      <c r="E2020">
        <f>TEST_DATA!E2020</f>
        <v>2288</v>
      </c>
    </row>
    <row r="2021" spans="1:5" x14ac:dyDescent="0.55000000000000004">
      <c r="A2021" t="str">
        <f>TEST_DATA!A2021</f>
        <v>27AAAAA2021Z5</v>
      </c>
      <c r="B2021" t="str">
        <f>TEST_DATA!B2021</f>
        <v>Apr-2020</v>
      </c>
      <c r="C2021">
        <f>TEST_DATA!C2021</f>
        <v>44907</v>
      </c>
      <c r="D2021" t="str">
        <f>TEST_DATA!D2021</f>
        <v>NIL</v>
      </c>
      <c r="E2021">
        <f>TEST_DATA!E2021</f>
        <v>1709</v>
      </c>
    </row>
    <row r="2022" spans="1:5" x14ac:dyDescent="0.55000000000000004">
      <c r="A2022" t="str">
        <f>TEST_DATA!A2022</f>
        <v>27AAAAA2022Z5</v>
      </c>
      <c r="B2022" t="str">
        <f>TEST_DATA!B2022</f>
        <v>Sep-2018</v>
      </c>
      <c r="C2022">
        <f>TEST_DATA!C2022</f>
        <v>43073</v>
      </c>
      <c r="D2022" t="str">
        <f>TEST_DATA!D2022</f>
        <v>NIL</v>
      </c>
      <c r="E2022">
        <f>TEST_DATA!E2022</f>
        <v>537</v>
      </c>
    </row>
    <row r="2023" spans="1:5" x14ac:dyDescent="0.55000000000000004">
      <c r="A2023" t="str">
        <f>TEST_DATA!A2023</f>
        <v>27AAAAA2023Z5</v>
      </c>
      <c r="B2023" t="str">
        <f>TEST_DATA!B2023</f>
        <v>Jul-2017</v>
      </c>
      <c r="C2023">
        <f>TEST_DATA!C2023</f>
        <v>43899</v>
      </c>
      <c r="D2023" t="str">
        <f>TEST_DATA!D2023</f>
        <v>NON-NIL</v>
      </c>
      <c r="E2023">
        <f>TEST_DATA!E2023</f>
        <v>1276</v>
      </c>
    </row>
    <row r="2024" spans="1:5" x14ac:dyDescent="0.55000000000000004">
      <c r="A2024" t="str">
        <f>TEST_DATA!A2024</f>
        <v>27AAAAA2024Z5</v>
      </c>
      <c r="B2024" t="str">
        <f>TEST_DATA!B2024</f>
        <v>Jul-2020</v>
      </c>
      <c r="C2024">
        <f>TEST_DATA!C2024</f>
        <v>44573</v>
      </c>
      <c r="D2024" t="str">
        <f>TEST_DATA!D2024</f>
        <v>NIL</v>
      </c>
      <c r="E2024">
        <f>TEST_DATA!E2024</f>
        <v>1810</v>
      </c>
    </row>
    <row r="2025" spans="1:5" x14ac:dyDescent="0.55000000000000004">
      <c r="A2025" t="str">
        <f>TEST_DATA!A2025</f>
        <v>27AAAAA2025Z5</v>
      </c>
      <c r="B2025" t="str">
        <f>TEST_DATA!B2025</f>
        <v>Dec-2024</v>
      </c>
      <c r="C2025">
        <f>TEST_DATA!C2025</f>
        <v>45608</v>
      </c>
      <c r="D2025" t="str">
        <f>TEST_DATA!D2025</f>
        <v>NON-NIL</v>
      </c>
      <c r="E2025">
        <f>TEST_DATA!E2025</f>
        <v>705</v>
      </c>
    </row>
    <row r="2026" spans="1:5" x14ac:dyDescent="0.55000000000000004">
      <c r="A2026" t="str">
        <f>TEST_DATA!A2026</f>
        <v>27AAAAA2026Z5</v>
      </c>
      <c r="B2026" t="str">
        <f>TEST_DATA!B2026</f>
        <v>Jul-2020</v>
      </c>
      <c r="C2026">
        <f>TEST_DATA!C2026</f>
        <v>44454</v>
      </c>
      <c r="D2026" t="str">
        <f>TEST_DATA!D2026</f>
        <v>NIL</v>
      </c>
      <c r="E2026">
        <f>TEST_DATA!E2026</f>
        <v>485</v>
      </c>
    </row>
    <row r="2027" spans="1:5" x14ac:dyDescent="0.55000000000000004">
      <c r="A2027" t="str">
        <f>TEST_DATA!A2027</f>
        <v>27AAAAA2027Z5</v>
      </c>
      <c r="B2027" t="str">
        <f>TEST_DATA!B2027</f>
        <v>Feb-2018</v>
      </c>
      <c r="C2027">
        <f>TEST_DATA!C2027</f>
        <v>43180</v>
      </c>
      <c r="D2027" t="str">
        <f>TEST_DATA!D2027</f>
        <v>NIL</v>
      </c>
      <c r="E2027">
        <f>TEST_DATA!E2027</f>
        <v>2818</v>
      </c>
    </row>
    <row r="2028" spans="1:5" x14ac:dyDescent="0.55000000000000004">
      <c r="A2028" t="str">
        <f>TEST_DATA!A2028</f>
        <v>27AAAAA2028Z5</v>
      </c>
      <c r="B2028" t="str">
        <f>TEST_DATA!B2028</f>
        <v>Feb-2018</v>
      </c>
      <c r="C2028">
        <f>TEST_DATA!C2028</f>
        <v>43546</v>
      </c>
      <c r="D2028" t="str">
        <f>TEST_DATA!D2028</f>
        <v>NIL</v>
      </c>
      <c r="E2028">
        <f>TEST_DATA!E2028</f>
        <v>859</v>
      </c>
    </row>
    <row r="2029" spans="1:5" x14ac:dyDescent="0.55000000000000004">
      <c r="A2029" t="str">
        <f>TEST_DATA!A2029</f>
        <v>27AAAAA2029Z5</v>
      </c>
      <c r="B2029" t="str">
        <f>TEST_DATA!B2029</f>
        <v>Nov-2017</v>
      </c>
      <c r="C2029">
        <f>TEST_DATA!C2029</f>
        <v>43077</v>
      </c>
      <c r="D2029" t="str">
        <f>TEST_DATA!D2029</f>
        <v>NON-NIL</v>
      </c>
      <c r="E2029">
        <f>TEST_DATA!E2029</f>
        <v>2829</v>
      </c>
    </row>
    <row r="2030" spans="1:5" x14ac:dyDescent="0.55000000000000004">
      <c r="A2030" t="str">
        <f>TEST_DATA!A2030</f>
        <v>27AAAAA2030Z5</v>
      </c>
      <c r="B2030" t="str">
        <f>TEST_DATA!B2030</f>
        <v>Mar-2021</v>
      </c>
      <c r="C2030">
        <f>TEST_DATA!C2030</f>
        <v>43923</v>
      </c>
      <c r="D2030" t="str">
        <f>TEST_DATA!D2030</f>
        <v>NIL</v>
      </c>
      <c r="E2030">
        <f>TEST_DATA!E2030</f>
        <v>77</v>
      </c>
    </row>
    <row r="2031" spans="1:5" x14ac:dyDescent="0.55000000000000004">
      <c r="A2031" t="str">
        <f>TEST_DATA!A2031</f>
        <v>27AAAAA2031Z5</v>
      </c>
      <c r="B2031" t="str">
        <f>TEST_DATA!B2031</f>
        <v>Mar-2021</v>
      </c>
      <c r="C2031">
        <f>TEST_DATA!C2031</f>
        <v>45449</v>
      </c>
      <c r="D2031" t="str">
        <f>TEST_DATA!D2031</f>
        <v>NON-NIL</v>
      </c>
      <c r="E2031">
        <f>TEST_DATA!E2031</f>
        <v>174</v>
      </c>
    </row>
    <row r="2032" spans="1:5" x14ac:dyDescent="0.55000000000000004">
      <c r="A2032" t="str">
        <f>TEST_DATA!A2032</f>
        <v>27AAAAA2032Z5</v>
      </c>
      <c r="B2032" t="str">
        <f>TEST_DATA!B2032</f>
        <v>Jan-2018</v>
      </c>
      <c r="C2032">
        <f>TEST_DATA!C2032</f>
        <v>43137</v>
      </c>
      <c r="D2032" t="str">
        <f>TEST_DATA!D2032</f>
        <v>NIL</v>
      </c>
      <c r="E2032">
        <f>TEST_DATA!E2032</f>
        <v>2702</v>
      </c>
    </row>
    <row r="2033" spans="1:5" x14ac:dyDescent="0.55000000000000004">
      <c r="A2033" t="str">
        <f>TEST_DATA!A2033</f>
        <v>27AAAAA2033Z5</v>
      </c>
      <c r="B2033" t="str">
        <f>TEST_DATA!B2033</f>
        <v>Jun-2019</v>
      </c>
      <c r="C2033">
        <f>TEST_DATA!C2033</f>
        <v>43708</v>
      </c>
      <c r="D2033" t="str">
        <f>TEST_DATA!D2033</f>
        <v>NON-NIL</v>
      </c>
      <c r="E2033">
        <f>TEST_DATA!E2033</f>
        <v>487</v>
      </c>
    </row>
    <row r="2034" spans="1:5" x14ac:dyDescent="0.55000000000000004">
      <c r="A2034" t="str">
        <f>TEST_DATA!A2034</f>
        <v>27AAAAA2034Z5</v>
      </c>
      <c r="B2034" t="str">
        <f>TEST_DATA!B2034</f>
        <v>Mar-2018</v>
      </c>
      <c r="C2034">
        <f>TEST_DATA!C2034</f>
        <v>43005</v>
      </c>
      <c r="D2034" t="str">
        <f>TEST_DATA!D2034</f>
        <v>NIL</v>
      </c>
      <c r="E2034">
        <f>TEST_DATA!E2034</f>
        <v>1235</v>
      </c>
    </row>
    <row r="2035" spans="1:5" x14ac:dyDescent="0.55000000000000004">
      <c r="A2035" t="str">
        <f>TEST_DATA!A2035</f>
        <v>27AAAAA2035Z5</v>
      </c>
      <c r="B2035" t="str">
        <f>TEST_DATA!B2035</f>
        <v>Jun-2020</v>
      </c>
      <c r="C2035">
        <f>TEST_DATA!C2035</f>
        <v>43852</v>
      </c>
      <c r="D2035" t="str">
        <f>TEST_DATA!D2035</f>
        <v>NIL</v>
      </c>
      <c r="E2035">
        <f>TEST_DATA!E2035</f>
        <v>507</v>
      </c>
    </row>
    <row r="2036" spans="1:5" x14ac:dyDescent="0.55000000000000004">
      <c r="A2036" t="str">
        <f>TEST_DATA!A2036</f>
        <v>27AAAAA2036Z5</v>
      </c>
      <c r="B2036" t="str">
        <f>TEST_DATA!B2036</f>
        <v>Apr-2020</v>
      </c>
      <c r="C2036">
        <f>TEST_DATA!C2036</f>
        <v>44251</v>
      </c>
      <c r="D2036" t="str">
        <f>TEST_DATA!D2036</f>
        <v>NIL</v>
      </c>
      <c r="E2036">
        <f>TEST_DATA!E2036</f>
        <v>756</v>
      </c>
    </row>
    <row r="2037" spans="1:5" x14ac:dyDescent="0.55000000000000004">
      <c r="A2037" t="str">
        <f>TEST_DATA!A2037</f>
        <v>27AAAAA2037Z5</v>
      </c>
      <c r="B2037" t="str">
        <f>TEST_DATA!B2037</f>
        <v>Jun-2020</v>
      </c>
      <c r="C2037">
        <f>TEST_DATA!C2037</f>
        <v>44550</v>
      </c>
      <c r="D2037" t="str">
        <f>TEST_DATA!D2037</f>
        <v>NIL</v>
      </c>
      <c r="E2037">
        <f>TEST_DATA!E2037</f>
        <v>371</v>
      </c>
    </row>
    <row r="2038" spans="1:5" x14ac:dyDescent="0.55000000000000004">
      <c r="A2038" t="str">
        <f>TEST_DATA!A2038</f>
        <v>27AAAAA2038Z5</v>
      </c>
      <c r="B2038" t="str">
        <f>TEST_DATA!B2038</f>
        <v>Nov-2017</v>
      </c>
      <c r="C2038">
        <f>TEST_DATA!C2038</f>
        <v>44445</v>
      </c>
      <c r="D2038" t="str">
        <f>TEST_DATA!D2038</f>
        <v>NON-NIL</v>
      </c>
      <c r="E2038">
        <f>TEST_DATA!E2038</f>
        <v>2374</v>
      </c>
    </row>
    <row r="2039" spans="1:5" x14ac:dyDescent="0.55000000000000004">
      <c r="A2039" t="str">
        <f>TEST_DATA!A2039</f>
        <v>27AAAAA2039Z5</v>
      </c>
      <c r="B2039" t="str">
        <f>TEST_DATA!B2039</f>
        <v>Jun-2018</v>
      </c>
      <c r="C2039">
        <f>TEST_DATA!C2039</f>
        <v>43638</v>
      </c>
      <c r="D2039" t="str">
        <f>TEST_DATA!D2039</f>
        <v>NIL</v>
      </c>
      <c r="E2039">
        <f>TEST_DATA!E2039</f>
        <v>2050</v>
      </c>
    </row>
    <row r="2040" spans="1:5" x14ac:dyDescent="0.55000000000000004">
      <c r="A2040" t="str">
        <f>TEST_DATA!A2040</f>
        <v>27AAAAA2040Z5</v>
      </c>
      <c r="B2040" t="str">
        <f>TEST_DATA!B2040</f>
        <v>Mar-2021</v>
      </c>
      <c r="C2040">
        <f>TEST_DATA!C2040</f>
        <v>44456</v>
      </c>
      <c r="D2040" t="str">
        <f>TEST_DATA!D2040</f>
        <v>NIL</v>
      </c>
      <c r="E2040">
        <f>TEST_DATA!E2040</f>
        <v>405</v>
      </c>
    </row>
    <row r="2041" spans="1:5" x14ac:dyDescent="0.55000000000000004">
      <c r="A2041" t="str">
        <f>TEST_DATA!A2041</f>
        <v>27AAAAA2041Z5</v>
      </c>
      <c r="B2041" t="str">
        <f>TEST_DATA!B2041</f>
        <v>Dec-2022</v>
      </c>
      <c r="C2041">
        <f>TEST_DATA!C2041</f>
        <v>45834</v>
      </c>
      <c r="D2041" t="str">
        <f>TEST_DATA!D2041</f>
        <v>NIL</v>
      </c>
      <c r="E2041">
        <f>TEST_DATA!E2041</f>
        <v>2166</v>
      </c>
    </row>
    <row r="2042" spans="1:5" x14ac:dyDescent="0.55000000000000004">
      <c r="A2042" t="str">
        <f>TEST_DATA!A2042</f>
        <v>27AAAAA2042Z5</v>
      </c>
      <c r="B2042" t="str">
        <f>TEST_DATA!B2042</f>
        <v>Jan-2018</v>
      </c>
      <c r="C2042">
        <f>TEST_DATA!C2042</f>
        <v>44382</v>
      </c>
      <c r="D2042" t="str">
        <f>TEST_DATA!D2042</f>
        <v>NIL</v>
      </c>
      <c r="E2042">
        <f>TEST_DATA!E2042</f>
        <v>1154</v>
      </c>
    </row>
    <row r="2043" spans="1:5" x14ac:dyDescent="0.55000000000000004">
      <c r="A2043" t="str">
        <f>TEST_DATA!A2043</f>
        <v>27AAAAA2043Z5</v>
      </c>
      <c r="B2043" t="str">
        <f>TEST_DATA!B2043</f>
        <v>Dec-2017</v>
      </c>
      <c r="C2043">
        <f>TEST_DATA!C2043</f>
        <v>44461</v>
      </c>
      <c r="D2043" t="str">
        <f>TEST_DATA!D2043</f>
        <v>NIL</v>
      </c>
      <c r="E2043">
        <f>TEST_DATA!E2043</f>
        <v>2971</v>
      </c>
    </row>
    <row r="2044" spans="1:5" x14ac:dyDescent="0.55000000000000004">
      <c r="A2044" t="str">
        <f>TEST_DATA!A2044</f>
        <v>27AAAAA2044Z5</v>
      </c>
      <c r="B2044" t="str">
        <f>TEST_DATA!B2044</f>
        <v>Oct-2017</v>
      </c>
      <c r="C2044">
        <f>TEST_DATA!C2044</f>
        <v>43355</v>
      </c>
      <c r="D2044" t="str">
        <f>TEST_DATA!D2044</f>
        <v>NON-NIL</v>
      </c>
      <c r="E2044">
        <f>TEST_DATA!E2044</f>
        <v>1501</v>
      </c>
    </row>
    <row r="2045" spans="1:5" x14ac:dyDescent="0.55000000000000004">
      <c r="A2045" t="str">
        <f>TEST_DATA!A2045</f>
        <v>27AAAAA2045Z5</v>
      </c>
      <c r="B2045" t="str">
        <f>TEST_DATA!B2045</f>
        <v>Jul-2020</v>
      </c>
      <c r="C2045">
        <f>TEST_DATA!C2045</f>
        <v>44210</v>
      </c>
      <c r="D2045" t="str">
        <f>TEST_DATA!D2045</f>
        <v>NON-NIL</v>
      </c>
      <c r="E2045">
        <f>TEST_DATA!E2045</f>
        <v>2758</v>
      </c>
    </row>
    <row r="2046" spans="1:5" x14ac:dyDescent="0.55000000000000004">
      <c r="A2046" t="str">
        <f>TEST_DATA!A2046</f>
        <v>27AAAAA2046Z5</v>
      </c>
      <c r="B2046" t="str">
        <f>TEST_DATA!B2046</f>
        <v>Oct-2017</v>
      </c>
      <c r="C2046">
        <f>TEST_DATA!C2046</f>
        <v>43287</v>
      </c>
      <c r="D2046" t="str">
        <f>TEST_DATA!D2046</f>
        <v>NON-NIL</v>
      </c>
      <c r="E2046">
        <f>TEST_DATA!E2046</f>
        <v>1554</v>
      </c>
    </row>
    <row r="2047" spans="1:5" x14ac:dyDescent="0.55000000000000004">
      <c r="A2047" t="str">
        <f>TEST_DATA!A2047</f>
        <v>27AAAAA2047Z5</v>
      </c>
      <c r="B2047" t="str">
        <f>TEST_DATA!B2047</f>
        <v>Aug-2018</v>
      </c>
      <c r="C2047">
        <f>TEST_DATA!C2047</f>
        <v>43355</v>
      </c>
      <c r="D2047" t="str">
        <f>TEST_DATA!D2047</f>
        <v>NIL</v>
      </c>
      <c r="E2047">
        <f>TEST_DATA!E2047</f>
        <v>1669</v>
      </c>
    </row>
    <row r="2048" spans="1:5" x14ac:dyDescent="0.55000000000000004">
      <c r="A2048" t="str">
        <f>TEST_DATA!A2048</f>
        <v>27AAAAA2048Z5</v>
      </c>
      <c r="B2048" t="str">
        <f>TEST_DATA!B2048</f>
        <v>Oct-2017</v>
      </c>
      <c r="C2048">
        <f>TEST_DATA!C2048</f>
        <v>44476</v>
      </c>
      <c r="D2048" t="str">
        <f>TEST_DATA!D2048</f>
        <v>NON-NIL</v>
      </c>
      <c r="E2048">
        <f>TEST_DATA!E2048</f>
        <v>506</v>
      </c>
    </row>
    <row r="2049" spans="1:5" x14ac:dyDescent="0.55000000000000004">
      <c r="A2049" t="str">
        <f>TEST_DATA!A2049</f>
        <v>27AAAAA2049Z5</v>
      </c>
      <c r="B2049" t="str">
        <f>TEST_DATA!B2049</f>
        <v>Sep-2018</v>
      </c>
      <c r="C2049">
        <f>TEST_DATA!C2049</f>
        <v>43142</v>
      </c>
      <c r="D2049" t="str">
        <f>TEST_DATA!D2049</f>
        <v>NIL</v>
      </c>
      <c r="E2049">
        <f>TEST_DATA!E2049</f>
        <v>2030</v>
      </c>
    </row>
    <row r="2050" spans="1:5" x14ac:dyDescent="0.55000000000000004">
      <c r="A2050" t="str">
        <f>TEST_DATA!A2050</f>
        <v>27AAAAA2050Z5</v>
      </c>
      <c r="B2050" t="str">
        <f>TEST_DATA!B2050</f>
        <v>Mar-2021</v>
      </c>
      <c r="C2050">
        <f>TEST_DATA!C2050</f>
        <v>44945</v>
      </c>
      <c r="D2050" t="str">
        <f>TEST_DATA!D2050</f>
        <v>NON-NIL</v>
      </c>
      <c r="E2050">
        <f>TEST_DATA!E2050</f>
        <v>2282</v>
      </c>
    </row>
    <row r="2051" spans="1:5" x14ac:dyDescent="0.55000000000000004">
      <c r="A2051" t="str">
        <f>TEST_DATA!A2051</f>
        <v>27AAAAA2051Z5</v>
      </c>
      <c r="B2051" t="str">
        <f>TEST_DATA!B2051</f>
        <v>Jan-2021</v>
      </c>
      <c r="C2051">
        <f>TEST_DATA!C2051</f>
        <v>43632</v>
      </c>
      <c r="D2051" t="str">
        <f>TEST_DATA!D2051</f>
        <v>NIL</v>
      </c>
      <c r="E2051">
        <f>TEST_DATA!E2051</f>
        <v>1343</v>
      </c>
    </row>
    <row r="2052" spans="1:5" x14ac:dyDescent="0.55000000000000004">
      <c r="A2052" t="str">
        <f>TEST_DATA!A2052</f>
        <v>27AAAAA2052Z5</v>
      </c>
      <c r="B2052" t="str">
        <f>TEST_DATA!B2052</f>
        <v>Jan-2019</v>
      </c>
      <c r="C2052">
        <f>TEST_DATA!C2052</f>
        <v>43939</v>
      </c>
      <c r="D2052" t="str">
        <f>TEST_DATA!D2052</f>
        <v>NON-NIL</v>
      </c>
      <c r="E2052">
        <f>TEST_DATA!E2052</f>
        <v>1161</v>
      </c>
    </row>
    <row r="2053" spans="1:5" x14ac:dyDescent="0.55000000000000004">
      <c r="A2053" t="str">
        <f>TEST_DATA!A2053</f>
        <v>27AAAAA2053Z5</v>
      </c>
      <c r="B2053" t="str">
        <f>TEST_DATA!B2053</f>
        <v>Sep-2018</v>
      </c>
      <c r="C2053">
        <f>TEST_DATA!C2053</f>
        <v>44146</v>
      </c>
      <c r="D2053" t="str">
        <f>TEST_DATA!D2053</f>
        <v>NON-NIL</v>
      </c>
      <c r="E2053">
        <f>TEST_DATA!E2053</f>
        <v>2814</v>
      </c>
    </row>
    <row r="2054" spans="1:5" x14ac:dyDescent="0.55000000000000004">
      <c r="A2054" t="str">
        <f>TEST_DATA!A2054</f>
        <v>27AAAAA2054Z5</v>
      </c>
      <c r="B2054" t="str">
        <f>TEST_DATA!B2054</f>
        <v>Dec-2022</v>
      </c>
      <c r="C2054">
        <f>TEST_DATA!C2054</f>
        <v>45284</v>
      </c>
      <c r="D2054" t="str">
        <f>TEST_DATA!D2054</f>
        <v>NIL</v>
      </c>
      <c r="E2054">
        <f>TEST_DATA!E2054</f>
        <v>2268</v>
      </c>
    </row>
    <row r="2055" spans="1:5" x14ac:dyDescent="0.55000000000000004">
      <c r="A2055" t="str">
        <f>TEST_DATA!A2055</f>
        <v>27AAAAA2055Z5</v>
      </c>
      <c r="B2055" t="str">
        <f>TEST_DATA!B2055</f>
        <v>Aug-2018</v>
      </c>
      <c r="C2055">
        <f>TEST_DATA!C2055</f>
        <v>43512</v>
      </c>
      <c r="D2055" t="str">
        <f>TEST_DATA!D2055</f>
        <v>NON-NIL</v>
      </c>
      <c r="E2055">
        <f>TEST_DATA!E2055</f>
        <v>773</v>
      </c>
    </row>
    <row r="2056" spans="1:5" x14ac:dyDescent="0.55000000000000004">
      <c r="A2056" t="str">
        <f>TEST_DATA!A2056</f>
        <v>27AAAAA2056Z5</v>
      </c>
      <c r="B2056" t="str">
        <f>TEST_DATA!B2056</f>
        <v>Mar-2023</v>
      </c>
      <c r="C2056">
        <f>TEST_DATA!C2056</f>
        <v>43751</v>
      </c>
      <c r="D2056" t="str">
        <f>TEST_DATA!D2056</f>
        <v>NON-NIL</v>
      </c>
      <c r="E2056">
        <f>TEST_DATA!E2056</f>
        <v>2781</v>
      </c>
    </row>
    <row r="2057" spans="1:5" x14ac:dyDescent="0.55000000000000004">
      <c r="A2057" t="str">
        <f>TEST_DATA!A2057</f>
        <v>27AAAAA2057Z5</v>
      </c>
      <c r="B2057" t="str">
        <f>TEST_DATA!B2057</f>
        <v>Jun-2018</v>
      </c>
      <c r="C2057">
        <f>TEST_DATA!C2057</f>
        <v>43284</v>
      </c>
      <c r="D2057" t="str">
        <f>TEST_DATA!D2057</f>
        <v>NIL</v>
      </c>
      <c r="E2057">
        <f>TEST_DATA!E2057</f>
        <v>2761</v>
      </c>
    </row>
    <row r="2058" spans="1:5" x14ac:dyDescent="0.55000000000000004">
      <c r="A2058" t="str">
        <f>TEST_DATA!A2058</f>
        <v>27AAAAA2058Z5</v>
      </c>
      <c r="B2058" t="str">
        <f>TEST_DATA!B2058</f>
        <v>Jan-2019</v>
      </c>
      <c r="C2058">
        <f>TEST_DATA!C2058</f>
        <v>43896</v>
      </c>
      <c r="D2058" t="str">
        <f>TEST_DATA!D2058</f>
        <v>NON-NIL</v>
      </c>
      <c r="E2058">
        <f>TEST_DATA!E2058</f>
        <v>1794</v>
      </c>
    </row>
    <row r="2059" spans="1:5" x14ac:dyDescent="0.55000000000000004">
      <c r="A2059" t="str">
        <f>TEST_DATA!A2059</f>
        <v>27AAAAA2059Z5</v>
      </c>
      <c r="B2059" t="str">
        <f>TEST_DATA!B2059</f>
        <v>Jun-2019</v>
      </c>
      <c r="C2059">
        <f>TEST_DATA!C2059</f>
        <v>43814</v>
      </c>
      <c r="D2059" t="str">
        <f>TEST_DATA!D2059</f>
        <v>NIL</v>
      </c>
      <c r="E2059">
        <f>TEST_DATA!E2059</f>
        <v>587</v>
      </c>
    </row>
    <row r="2060" spans="1:5" x14ac:dyDescent="0.55000000000000004">
      <c r="A2060" t="str">
        <f>TEST_DATA!A2060</f>
        <v>27AAAAA2060Z5</v>
      </c>
      <c r="B2060" t="str">
        <f>TEST_DATA!B2060</f>
        <v>Jul-2018</v>
      </c>
      <c r="C2060">
        <f>TEST_DATA!C2060</f>
        <v>43737</v>
      </c>
      <c r="D2060" t="str">
        <f>TEST_DATA!D2060</f>
        <v>NIL</v>
      </c>
      <c r="E2060">
        <f>TEST_DATA!E2060</f>
        <v>691</v>
      </c>
    </row>
    <row r="2061" spans="1:5" x14ac:dyDescent="0.55000000000000004">
      <c r="A2061" t="str">
        <f>TEST_DATA!A2061</f>
        <v>27AAAAA2061Z5</v>
      </c>
      <c r="B2061" t="str">
        <f>TEST_DATA!B2061</f>
        <v>Sep-2017</v>
      </c>
      <c r="C2061">
        <f>TEST_DATA!C2061</f>
        <v>43661</v>
      </c>
      <c r="D2061" t="str">
        <f>TEST_DATA!D2061</f>
        <v>NIL</v>
      </c>
      <c r="E2061">
        <f>TEST_DATA!E2061</f>
        <v>1387</v>
      </c>
    </row>
    <row r="2062" spans="1:5" x14ac:dyDescent="0.55000000000000004">
      <c r="A2062" t="str">
        <f>TEST_DATA!A2062</f>
        <v>27AAAAA2062Z5</v>
      </c>
      <c r="B2062" t="str">
        <f>TEST_DATA!B2062</f>
        <v>Jan-2018</v>
      </c>
      <c r="C2062">
        <f>TEST_DATA!C2062</f>
        <v>44135</v>
      </c>
      <c r="D2062" t="str">
        <f>TEST_DATA!D2062</f>
        <v>NON-NIL</v>
      </c>
      <c r="E2062">
        <f>TEST_DATA!E2062</f>
        <v>502</v>
      </c>
    </row>
    <row r="2063" spans="1:5" x14ac:dyDescent="0.55000000000000004">
      <c r="A2063" t="str">
        <f>TEST_DATA!A2063</f>
        <v>27AAAAA2063Z5</v>
      </c>
      <c r="B2063" t="str">
        <f>TEST_DATA!B2063</f>
        <v>Feb-2018</v>
      </c>
      <c r="C2063">
        <f>TEST_DATA!C2063</f>
        <v>43786</v>
      </c>
      <c r="D2063" t="str">
        <f>TEST_DATA!D2063</f>
        <v>NON-NIL</v>
      </c>
      <c r="E2063">
        <f>TEST_DATA!E2063</f>
        <v>1140</v>
      </c>
    </row>
    <row r="2064" spans="1:5" x14ac:dyDescent="0.55000000000000004">
      <c r="A2064" t="str">
        <f>TEST_DATA!A2064</f>
        <v>27AAAAA2064Z5</v>
      </c>
      <c r="B2064" t="str">
        <f>TEST_DATA!B2064</f>
        <v>Mar-2021</v>
      </c>
      <c r="C2064">
        <f>TEST_DATA!C2064</f>
        <v>44584</v>
      </c>
      <c r="D2064" t="str">
        <f>TEST_DATA!D2064</f>
        <v>NON-NIL</v>
      </c>
      <c r="E2064">
        <f>TEST_DATA!E2064</f>
        <v>1458</v>
      </c>
    </row>
    <row r="2065" spans="1:5" x14ac:dyDescent="0.55000000000000004">
      <c r="A2065" t="str">
        <f>TEST_DATA!A2065</f>
        <v>27AAAAA2065Z5</v>
      </c>
      <c r="B2065" t="str">
        <f>TEST_DATA!B2065</f>
        <v>Jan-2019</v>
      </c>
      <c r="C2065">
        <f>TEST_DATA!C2065</f>
        <v>45122</v>
      </c>
      <c r="D2065" t="str">
        <f>TEST_DATA!D2065</f>
        <v>NON-NIL</v>
      </c>
      <c r="E2065">
        <f>TEST_DATA!E2065</f>
        <v>2094</v>
      </c>
    </row>
    <row r="2066" spans="1:5" x14ac:dyDescent="0.55000000000000004">
      <c r="A2066" t="str">
        <f>TEST_DATA!A2066</f>
        <v>27AAAAA2066Z5</v>
      </c>
      <c r="B2066" t="str">
        <f>TEST_DATA!B2066</f>
        <v>Mar-2018</v>
      </c>
      <c r="C2066">
        <f>TEST_DATA!C2066</f>
        <v>43218</v>
      </c>
      <c r="D2066" t="str">
        <f>TEST_DATA!D2066</f>
        <v>NON-NIL</v>
      </c>
      <c r="E2066">
        <f>TEST_DATA!E2066</f>
        <v>442</v>
      </c>
    </row>
    <row r="2067" spans="1:5" x14ac:dyDescent="0.55000000000000004">
      <c r="A2067" t="str">
        <f>TEST_DATA!A2067</f>
        <v>27AAAAA2067Z5</v>
      </c>
      <c r="B2067" t="str">
        <f>TEST_DATA!B2067</f>
        <v>Oct-2017</v>
      </c>
      <c r="C2067">
        <f>TEST_DATA!C2067</f>
        <v>43430</v>
      </c>
      <c r="D2067" t="str">
        <f>TEST_DATA!D2067</f>
        <v>NON-NIL</v>
      </c>
      <c r="E2067">
        <f>TEST_DATA!E2067</f>
        <v>2036</v>
      </c>
    </row>
    <row r="2068" spans="1:5" x14ac:dyDescent="0.55000000000000004">
      <c r="A2068" t="str">
        <f>TEST_DATA!A2068</f>
        <v>27AAAAA2068Z5</v>
      </c>
      <c r="B2068" t="str">
        <f>TEST_DATA!B2068</f>
        <v>Feb-2018</v>
      </c>
      <c r="C2068">
        <f>TEST_DATA!C2068</f>
        <v>44203</v>
      </c>
      <c r="D2068" t="str">
        <f>TEST_DATA!D2068</f>
        <v>NIL</v>
      </c>
      <c r="E2068">
        <f>TEST_DATA!E2068</f>
        <v>121</v>
      </c>
    </row>
    <row r="2069" spans="1:5" x14ac:dyDescent="0.55000000000000004">
      <c r="A2069" t="str">
        <f>TEST_DATA!A2069</f>
        <v>27AAAAA2069Z5</v>
      </c>
      <c r="B2069" t="str">
        <f>TEST_DATA!B2069</f>
        <v>Oct-2017</v>
      </c>
      <c r="C2069">
        <f>TEST_DATA!C2069</f>
        <v>44428</v>
      </c>
      <c r="D2069" t="str">
        <f>TEST_DATA!D2069</f>
        <v>NIL</v>
      </c>
      <c r="E2069">
        <f>TEST_DATA!E2069</f>
        <v>279</v>
      </c>
    </row>
    <row r="2070" spans="1:5" x14ac:dyDescent="0.55000000000000004">
      <c r="A2070" t="str">
        <f>TEST_DATA!A2070</f>
        <v>27AAAAA2070Z5</v>
      </c>
      <c r="B2070" t="str">
        <f>TEST_DATA!B2070</f>
        <v>Jan-2019</v>
      </c>
      <c r="C2070">
        <f>TEST_DATA!C2070</f>
        <v>43575</v>
      </c>
      <c r="D2070" t="str">
        <f>TEST_DATA!D2070</f>
        <v>NIL</v>
      </c>
      <c r="E2070">
        <f>TEST_DATA!E2070</f>
        <v>1567</v>
      </c>
    </row>
    <row r="2071" spans="1:5" x14ac:dyDescent="0.55000000000000004">
      <c r="A2071" t="str">
        <f>TEST_DATA!A2071</f>
        <v>27AAAAA2071Z5</v>
      </c>
      <c r="B2071" t="str">
        <f>TEST_DATA!B2071</f>
        <v>Apr-2020</v>
      </c>
      <c r="C2071">
        <f>TEST_DATA!C2071</f>
        <v>44500</v>
      </c>
      <c r="D2071" t="str">
        <f>TEST_DATA!D2071</f>
        <v>NIL</v>
      </c>
      <c r="E2071">
        <f>TEST_DATA!E2071</f>
        <v>1240</v>
      </c>
    </row>
    <row r="2072" spans="1:5" x14ac:dyDescent="0.55000000000000004">
      <c r="A2072" t="str">
        <f>TEST_DATA!A2072</f>
        <v>27AAAAA2072Z5</v>
      </c>
      <c r="B2072" t="str">
        <f>TEST_DATA!B2072</f>
        <v>Apr-2020</v>
      </c>
      <c r="C2072">
        <f>TEST_DATA!C2072</f>
        <v>44028</v>
      </c>
      <c r="D2072" t="str">
        <f>TEST_DATA!D2072</f>
        <v>NIL</v>
      </c>
      <c r="E2072">
        <f>TEST_DATA!E2072</f>
        <v>2707</v>
      </c>
    </row>
    <row r="2073" spans="1:5" x14ac:dyDescent="0.55000000000000004">
      <c r="A2073" t="str">
        <f>TEST_DATA!A2073</f>
        <v>27AAAAA2073Z5</v>
      </c>
      <c r="B2073" t="str">
        <f>TEST_DATA!B2073</f>
        <v>Mar-2021</v>
      </c>
      <c r="C2073">
        <f>TEST_DATA!C2073</f>
        <v>45595</v>
      </c>
      <c r="D2073" t="str">
        <f>TEST_DATA!D2073</f>
        <v>NON-NIL</v>
      </c>
      <c r="E2073">
        <f>TEST_DATA!E2073</f>
        <v>1908</v>
      </c>
    </row>
    <row r="2074" spans="1:5" x14ac:dyDescent="0.55000000000000004">
      <c r="A2074" t="str">
        <f>TEST_DATA!A2074</f>
        <v>27AAAAA2074Z5</v>
      </c>
      <c r="B2074" t="str">
        <f>TEST_DATA!B2074</f>
        <v>Jan-2018</v>
      </c>
      <c r="C2074">
        <f>TEST_DATA!C2074</f>
        <v>43518</v>
      </c>
      <c r="D2074" t="str">
        <f>TEST_DATA!D2074</f>
        <v>NON-NIL</v>
      </c>
      <c r="E2074">
        <f>TEST_DATA!E2074</f>
        <v>2008</v>
      </c>
    </row>
    <row r="2075" spans="1:5" x14ac:dyDescent="0.55000000000000004">
      <c r="A2075" t="str">
        <f>TEST_DATA!A2075</f>
        <v>27AAAAA2075Z5</v>
      </c>
      <c r="B2075" t="str">
        <f>TEST_DATA!B2075</f>
        <v>Jun-2019</v>
      </c>
      <c r="C2075">
        <f>TEST_DATA!C2075</f>
        <v>44537</v>
      </c>
      <c r="D2075" t="str">
        <f>TEST_DATA!D2075</f>
        <v>NON-NIL</v>
      </c>
      <c r="E2075">
        <f>TEST_DATA!E2075</f>
        <v>2214</v>
      </c>
    </row>
    <row r="2076" spans="1:5" x14ac:dyDescent="0.55000000000000004">
      <c r="A2076" t="str">
        <f>TEST_DATA!A2076</f>
        <v>27AAAAA2076Z5</v>
      </c>
      <c r="B2076" t="str">
        <f>TEST_DATA!B2076</f>
        <v>Dec-2019</v>
      </c>
      <c r="C2076">
        <f>TEST_DATA!C2076</f>
        <v>43538</v>
      </c>
      <c r="D2076" t="str">
        <f>TEST_DATA!D2076</f>
        <v>NIL</v>
      </c>
      <c r="E2076">
        <f>TEST_DATA!E2076</f>
        <v>1762</v>
      </c>
    </row>
    <row r="2077" spans="1:5" x14ac:dyDescent="0.55000000000000004">
      <c r="A2077" t="str">
        <f>TEST_DATA!A2077</f>
        <v>27AAAAA2077Z5</v>
      </c>
      <c r="B2077" t="str">
        <f>TEST_DATA!B2077</f>
        <v>Dec-2024</v>
      </c>
      <c r="C2077">
        <f>TEST_DATA!C2077</f>
        <v>43953</v>
      </c>
      <c r="D2077" t="str">
        <f>TEST_DATA!D2077</f>
        <v>NON-NIL</v>
      </c>
      <c r="E2077">
        <f>TEST_DATA!E2077</f>
        <v>1843</v>
      </c>
    </row>
    <row r="2078" spans="1:5" x14ac:dyDescent="0.55000000000000004">
      <c r="A2078" t="str">
        <f>TEST_DATA!A2078</f>
        <v>27AAAAA2078Z5</v>
      </c>
      <c r="B2078" t="str">
        <f>TEST_DATA!B2078</f>
        <v>May-2018</v>
      </c>
      <c r="C2078">
        <f>TEST_DATA!C2078</f>
        <v>43687</v>
      </c>
      <c r="D2078" t="str">
        <f>TEST_DATA!D2078</f>
        <v>NON-NIL</v>
      </c>
      <c r="E2078">
        <f>TEST_DATA!E2078</f>
        <v>1882</v>
      </c>
    </row>
    <row r="2079" spans="1:5" x14ac:dyDescent="0.55000000000000004">
      <c r="A2079" t="str">
        <f>TEST_DATA!A2079</f>
        <v>27AAAAA2079Z5</v>
      </c>
      <c r="B2079" t="str">
        <f>TEST_DATA!B2079</f>
        <v>Aug-2017</v>
      </c>
      <c r="C2079">
        <f>TEST_DATA!C2079</f>
        <v>42984</v>
      </c>
      <c r="D2079" t="str">
        <f>TEST_DATA!D2079</f>
        <v>NIL</v>
      </c>
      <c r="E2079">
        <f>TEST_DATA!E2079</f>
        <v>2280</v>
      </c>
    </row>
    <row r="2080" spans="1:5" x14ac:dyDescent="0.55000000000000004">
      <c r="A2080" t="str">
        <f>TEST_DATA!A2080</f>
        <v>27AAAAA2080Z5</v>
      </c>
      <c r="B2080" t="str">
        <f>TEST_DATA!B2080</f>
        <v>Jun-2020</v>
      </c>
      <c r="C2080">
        <f>TEST_DATA!C2080</f>
        <v>44451</v>
      </c>
      <c r="D2080" t="str">
        <f>TEST_DATA!D2080</f>
        <v>NIL</v>
      </c>
      <c r="E2080">
        <f>TEST_DATA!E2080</f>
        <v>2013</v>
      </c>
    </row>
    <row r="2081" spans="1:5" x14ac:dyDescent="0.55000000000000004">
      <c r="A2081" t="str">
        <f>TEST_DATA!A2081</f>
        <v>27AAAAA2081Z5</v>
      </c>
      <c r="B2081" t="str">
        <f>TEST_DATA!B2081</f>
        <v>Aug-2018</v>
      </c>
      <c r="C2081">
        <f>TEST_DATA!C2081</f>
        <v>43192</v>
      </c>
      <c r="D2081" t="str">
        <f>TEST_DATA!D2081</f>
        <v>NON-NIL</v>
      </c>
      <c r="E2081">
        <f>TEST_DATA!E2081</f>
        <v>2931</v>
      </c>
    </row>
    <row r="2082" spans="1:5" x14ac:dyDescent="0.55000000000000004">
      <c r="A2082" t="str">
        <f>TEST_DATA!A2082</f>
        <v>27AAAAA2082Z5</v>
      </c>
      <c r="B2082" t="str">
        <f>TEST_DATA!B2082</f>
        <v>Jul-2018</v>
      </c>
      <c r="C2082">
        <f>TEST_DATA!C2082</f>
        <v>43915</v>
      </c>
      <c r="D2082" t="str">
        <f>TEST_DATA!D2082</f>
        <v>NIL</v>
      </c>
      <c r="E2082">
        <f>TEST_DATA!E2082</f>
        <v>2330</v>
      </c>
    </row>
    <row r="2083" spans="1:5" x14ac:dyDescent="0.55000000000000004">
      <c r="A2083" t="str">
        <f>TEST_DATA!A2083</f>
        <v>27AAAAA2083Z5</v>
      </c>
      <c r="B2083" t="str">
        <f>TEST_DATA!B2083</f>
        <v>Jun-2020</v>
      </c>
      <c r="C2083">
        <f>TEST_DATA!C2083</f>
        <v>44835</v>
      </c>
      <c r="D2083" t="str">
        <f>TEST_DATA!D2083</f>
        <v>NON-NIL</v>
      </c>
      <c r="E2083">
        <f>TEST_DATA!E2083</f>
        <v>1949</v>
      </c>
    </row>
    <row r="2084" spans="1:5" x14ac:dyDescent="0.55000000000000004">
      <c r="A2084" t="str">
        <f>TEST_DATA!A2084</f>
        <v>27AAAAA2084Z5</v>
      </c>
      <c r="B2084" t="str">
        <f>TEST_DATA!B2084</f>
        <v>Dec-2019</v>
      </c>
      <c r="C2084">
        <f>TEST_DATA!C2084</f>
        <v>44106</v>
      </c>
      <c r="D2084" t="str">
        <f>TEST_DATA!D2084</f>
        <v>NIL</v>
      </c>
      <c r="E2084">
        <f>TEST_DATA!E2084</f>
        <v>1603</v>
      </c>
    </row>
    <row r="2085" spans="1:5" x14ac:dyDescent="0.55000000000000004">
      <c r="A2085" t="str">
        <f>TEST_DATA!A2085</f>
        <v>27AAAAA2085Z5</v>
      </c>
      <c r="B2085" t="str">
        <f>TEST_DATA!B2085</f>
        <v>Mar-2018</v>
      </c>
      <c r="C2085">
        <f>TEST_DATA!C2085</f>
        <v>43930</v>
      </c>
      <c r="D2085" t="str">
        <f>TEST_DATA!D2085</f>
        <v>NON-NIL</v>
      </c>
      <c r="E2085">
        <f>TEST_DATA!E2085</f>
        <v>2526</v>
      </c>
    </row>
    <row r="2086" spans="1:5" x14ac:dyDescent="0.55000000000000004">
      <c r="A2086" t="str">
        <f>TEST_DATA!A2086</f>
        <v>27AAAAA2086Z5</v>
      </c>
      <c r="B2086" t="str">
        <f>TEST_DATA!B2086</f>
        <v>Jun-2020</v>
      </c>
      <c r="C2086">
        <f>TEST_DATA!C2086</f>
        <v>44553</v>
      </c>
      <c r="D2086" t="str">
        <f>TEST_DATA!D2086</f>
        <v>NON-NIL</v>
      </c>
      <c r="E2086">
        <f>TEST_DATA!E2086</f>
        <v>1312</v>
      </c>
    </row>
    <row r="2087" spans="1:5" x14ac:dyDescent="0.55000000000000004">
      <c r="A2087" t="str">
        <f>TEST_DATA!A2087</f>
        <v>27AAAAA2087Z5</v>
      </c>
      <c r="B2087" t="str">
        <f>TEST_DATA!B2087</f>
        <v>Aug-2017</v>
      </c>
      <c r="C2087">
        <f>TEST_DATA!C2087</f>
        <v>42974</v>
      </c>
      <c r="D2087" t="str">
        <f>TEST_DATA!D2087</f>
        <v>NIL</v>
      </c>
      <c r="E2087">
        <f>TEST_DATA!E2087</f>
        <v>525</v>
      </c>
    </row>
    <row r="2088" spans="1:5" x14ac:dyDescent="0.55000000000000004">
      <c r="A2088" t="str">
        <f>TEST_DATA!A2088</f>
        <v>27AAAAA2088Z5</v>
      </c>
      <c r="B2088" t="str">
        <f>TEST_DATA!B2088</f>
        <v>Dec-2022</v>
      </c>
      <c r="C2088">
        <f>TEST_DATA!C2088</f>
        <v>44966</v>
      </c>
      <c r="D2088" t="str">
        <f>TEST_DATA!D2088</f>
        <v>NON-NIL</v>
      </c>
      <c r="E2088">
        <f>TEST_DATA!E2088</f>
        <v>2391</v>
      </c>
    </row>
    <row r="2089" spans="1:5" x14ac:dyDescent="0.55000000000000004">
      <c r="A2089" t="str">
        <f>TEST_DATA!A2089</f>
        <v>27AAAAA2089Z5</v>
      </c>
      <c r="B2089" t="str">
        <f>TEST_DATA!B2089</f>
        <v>Jul-2017</v>
      </c>
      <c r="C2089">
        <f>TEST_DATA!C2089</f>
        <v>44484</v>
      </c>
      <c r="D2089" t="str">
        <f>TEST_DATA!D2089</f>
        <v>NON-NIL</v>
      </c>
      <c r="E2089">
        <f>TEST_DATA!E2089</f>
        <v>1558</v>
      </c>
    </row>
    <row r="2090" spans="1:5" x14ac:dyDescent="0.55000000000000004">
      <c r="A2090" t="str">
        <f>TEST_DATA!A2090</f>
        <v>27AAAAA2090Z5</v>
      </c>
      <c r="B2090" t="str">
        <f>TEST_DATA!B2090</f>
        <v>Oct-2017</v>
      </c>
      <c r="C2090">
        <f>TEST_DATA!C2090</f>
        <v>43793</v>
      </c>
      <c r="D2090" t="str">
        <f>TEST_DATA!D2090</f>
        <v>NON-NIL</v>
      </c>
      <c r="E2090">
        <f>TEST_DATA!E2090</f>
        <v>1463</v>
      </c>
    </row>
    <row r="2091" spans="1:5" x14ac:dyDescent="0.55000000000000004">
      <c r="A2091" t="str">
        <f>TEST_DATA!A2091</f>
        <v>27AAAAA2091Z5</v>
      </c>
      <c r="B2091" t="str">
        <f>TEST_DATA!B2091</f>
        <v>Aug-2018</v>
      </c>
      <c r="C2091">
        <f>TEST_DATA!C2091</f>
        <v>43636</v>
      </c>
      <c r="D2091" t="str">
        <f>TEST_DATA!D2091</f>
        <v>NIL</v>
      </c>
      <c r="E2091">
        <f>TEST_DATA!E2091</f>
        <v>2708</v>
      </c>
    </row>
    <row r="2092" spans="1:5" x14ac:dyDescent="0.55000000000000004">
      <c r="A2092" t="str">
        <f>TEST_DATA!A2092</f>
        <v>27AAAAA2092Z5</v>
      </c>
      <c r="B2092" t="str">
        <f>TEST_DATA!B2092</f>
        <v>Feb-2018</v>
      </c>
      <c r="C2092">
        <f>TEST_DATA!C2092</f>
        <v>43424</v>
      </c>
      <c r="D2092" t="str">
        <f>TEST_DATA!D2092</f>
        <v>NIL</v>
      </c>
      <c r="E2092">
        <f>TEST_DATA!E2092</f>
        <v>2654</v>
      </c>
    </row>
    <row r="2093" spans="1:5" x14ac:dyDescent="0.55000000000000004">
      <c r="A2093" t="str">
        <f>TEST_DATA!A2093</f>
        <v>27AAAAA2093Z5</v>
      </c>
      <c r="B2093" t="str">
        <f>TEST_DATA!B2093</f>
        <v>Apr-2018</v>
      </c>
      <c r="C2093">
        <f>TEST_DATA!C2093</f>
        <v>44130</v>
      </c>
      <c r="D2093" t="str">
        <f>TEST_DATA!D2093</f>
        <v>NIL</v>
      </c>
      <c r="E2093">
        <f>TEST_DATA!E2093</f>
        <v>2818</v>
      </c>
    </row>
    <row r="2094" spans="1:5" x14ac:dyDescent="0.55000000000000004">
      <c r="A2094" t="str">
        <f>TEST_DATA!A2094</f>
        <v>27AAAAA2094Z5</v>
      </c>
      <c r="B2094" t="str">
        <f>TEST_DATA!B2094</f>
        <v>Sep-2017</v>
      </c>
      <c r="C2094">
        <f>TEST_DATA!C2094</f>
        <v>43541</v>
      </c>
      <c r="D2094" t="str">
        <f>TEST_DATA!D2094</f>
        <v>NIL</v>
      </c>
      <c r="E2094">
        <f>TEST_DATA!E2094</f>
        <v>1382</v>
      </c>
    </row>
    <row r="2095" spans="1:5" x14ac:dyDescent="0.55000000000000004">
      <c r="A2095" t="str">
        <f>TEST_DATA!A2095</f>
        <v>27AAAAA2095Z5</v>
      </c>
      <c r="B2095" t="str">
        <f>TEST_DATA!B2095</f>
        <v>Dec-2017</v>
      </c>
      <c r="C2095">
        <f>TEST_DATA!C2095</f>
        <v>42957</v>
      </c>
      <c r="D2095" t="str">
        <f>TEST_DATA!D2095</f>
        <v>NON-NIL</v>
      </c>
      <c r="E2095">
        <f>TEST_DATA!E2095</f>
        <v>153</v>
      </c>
    </row>
    <row r="2096" spans="1:5" x14ac:dyDescent="0.55000000000000004">
      <c r="A2096" t="str">
        <f>TEST_DATA!A2096</f>
        <v>27AAAAA2096Z5</v>
      </c>
      <c r="B2096" t="str">
        <f>TEST_DATA!B2096</f>
        <v>Sep-2018</v>
      </c>
      <c r="C2096">
        <f>TEST_DATA!C2096</f>
        <v>44264</v>
      </c>
      <c r="D2096" t="str">
        <f>TEST_DATA!D2096</f>
        <v>NON-NIL</v>
      </c>
      <c r="E2096">
        <f>TEST_DATA!E2096</f>
        <v>2326</v>
      </c>
    </row>
    <row r="2097" spans="1:5" x14ac:dyDescent="0.55000000000000004">
      <c r="A2097" t="str">
        <f>TEST_DATA!A2097</f>
        <v>27AAAAA2097Z5</v>
      </c>
      <c r="B2097" t="str">
        <f>TEST_DATA!B2097</f>
        <v>Jun-2019</v>
      </c>
      <c r="C2097">
        <f>TEST_DATA!C2097</f>
        <v>45191</v>
      </c>
      <c r="D2097" t="str">
        <f>TEST_DATA!D2097</f>
        <v>NON-NIL</v>
      </c>
      <c r="E2097">
        <f>TEST_DATA!E2097</f>
        <v>83</v>
      </c>
    </row>
    <row r="2098" spans="1:5" x14ac:dyDescent="0.55000000000000004">
      <c r="A2098" t="str">
        <f>TEST_DATA!A2098</f>
        <v>27AAAAA2098Z5</v>
      </c>
      <c r="B2098" t="str">
        <f>TEST_DATA!B2098</f>
        <v>Jul-2020</v>
      </c>
      <c r="C2098">
        <f>TEST_DATA!C2098</f>
        <v>44792</v>
      </c>
      <c r="D2098" t="str">
        <f>TEST_DATA!D2098</f>
        <v>NIL</v>
      </c>
      <c r="E2098">
        <f>TEST_DATA!E2098</f>
        <v>1296</v>
      </c>
    </row>
    <row r="2099" spans="1:5" x14ac:dyDescent="0.55000000000000004">
      <c r="A2099" t="str">
        <f>TEST_DATA!A2099</f>
        <v>27AAAAA2099Z5</v>
      </c>
      <c r="B2099" t="str">
        <f>TEST_DATA!B2099</f>
        <v>Jul-2018</v>
      </c>
      <c r="C2099">
        <f>TEST_DATA!C2099</f>
        <v>44085</v>
      </c>
      <c r="D2099" t="str">
        <f>TEST_DATA!D2099</f>
        <v>NON-NIL</v>
      </c>
      <c r="E2099">
        <f>TEST_DATA!E2099</f>
        <v>1320</v>
      </c>
    </row>
    <row r="2100" spans="1:5" x14ac:dyDescent="0.55000000000000004">
      <c r="A2100" t="str">
        <f>TEST_DATA!A2100</f>
        <v>27AAAAA2100Z5</v>
      </c>
      <c r="B2100" t="str">
        <f>TEST_DATA!B2100</f>
        <v>Mar-2020</v>
      </c>
      <c r="C2100">
        <f>TEST_DATA!C2100</f>
        <v>44031</v>
      </c>
      <c r="D2100" t="str">
        <f>TEST_DATA!D2100</f>
        <v>NON-NIL</v>
      </c>
      <c r="E2100">
        <f>TEST_DATA!E2100</f>
        <v>409</v>
      </c>
    </row>
    <row r="2101" spans="1:5" x14ac:dyDescent="0.55000000000000004">
      <c r="A2101" t="str">
        <f>TEST_DATA!A2101</f>
        <v>27AAAAA2101Z5</v>
      </c>
      <c r="B2101" t="str">
        <f>TEST_DATA!B2101</f>
        <v>Jul-2020</v>
      </c>
      <c r="C2101">
        <f>TEST_DATA!C2101</f>
        <v>44252</v>
      </c>
      <c r="D2101" t="str">
        <f>TEST_DATA!D2101</f>
        <v>NON-NIL</v>
      </c>
      <c r="E2101">
        <f>TEST_DATA!E2101</f>
        <v>2034</v>
      </c>
    </row>
    <row r="2102" spans="1:5" x14ac:dyDescent="0.55000000000000004">
      <c r="A2102" t="str">
        <f>TEST_DATA!A2102</f>
        <v>27AAAAA2102Z5</v>
      </c>
      <c r="B2102" t="str">
        <f>TEST_DATA!B2102</f>
        <v>Jun-2019</v>
      </c>
      <c r="C2102">
        <f>TEST_DATA!C2102</f>
        <v>44856</v>
      </c>
      <c r="D2102" t="str">
        <f>TEST_DATA!D2102</f>
        <v>NIL</v>
      </c>
      <c r="E2102">
        <f>TEST_DATA!E2102</f>
        <v>2518</v>
      </c>
    </row>
    <row r="2103" spans="1:5" x14ac:dyDescent="0.55000000000000004">
      <c r="A2103" t="str">
        <f>TEST_DATA!A2103</f>
        <v>27AAAAA2103Z5</v>
      </c>
      <c r="B2103" t="str">
        <f>TEST_DATA!B2103</f>
        <v>Apr-2018</v>
      </c>
      <c r="C2103">
        <f>TEST_DATA!C2103</f>
        <v>43661</v>
      </c>
      <c r="D2103" t="str">
        <f>TEST_DATA!D2103</f>
        <v>NON-NIL</v>
      </c>
      <c r="E2103">
        <f>TEST_DATA!E2103</f>
        <v>826</v>
      </c>
    </row>
    <row r="2104" spans="1:5" x14ac:dyDescent="0.55000000000000004">
      <c r="A2104" t="str">
        <f>TEST_DATA!A2104</f>
        <v>27AAAAA2104Z5</v>
      </c>
      <c r="B2104" t="str">
        <f>TEST_DATA!B2104</f>
        <v>Jan-2019</v>
      </c>
      <c r="C2104">
        <f>TEST_DATA!C2104</f>
        <v>43774</v>
      </c>
      <c r="D2104" t="str">
        <f>TEST_DATA!D2104</f>
        <v>NIL</v>
      </c>
      <c r="E2104">
        <f>TEST_DATA!E2104</f>
        <v>1177</v>
      </c>
    </row>
    <row r="2105" spans="1:5" x14ac:dyDescent="0.55000000000000004">
      <c r="A2105" t="str">
        <f>TEST_DATA!A2105</f>
        <v>27AAAAA2105Z5</v>
      </c>
      <c r="B2105" t="str">
        <f>TEST_DATA!B2105</f>
        <v>Mar-2018</v>
      </c>
      <c r="C2105">
        <f>TEST_DATA!C2105</f>
        <v>43014</v>
      </c>
      <c r="D2105" t="str">
        <f>TEST_DATA!D2105</f>
        <v>NON-NIL</v>
      </c>
      <c r="E2105">
        <f>TEST_DATA!E2105</f>
        <v>2349</v>
      </c>
    </row>
    <row r="2106" spans="1:5" x14ac:dyDescent="0.55000000000000004">
      <c r="A2106" t="str">
        <f>TEST_DATA!A2106</f>
        <v>27AAAAA2106Z5</v>
      </c>
      <c r="B2106" t="str">
        <f>TEST_DATA!B2106</f>
        <v>Jul-2018</v>
      </c>
      <c r="C2106">
        <f>TEST_DATA!C2106</f>
        <v>43379</v>
      </c>
      <c r="D2106" t="str">
        <f>TEST_DATA!D2106</f>
        <v>NIL</v>
      </c>
      <c r="E2106">
        <f>TEST_DATA!E2106</f>
        <v>2939</v>
      </c>
    </row>
    <row r="2107" spans="1:5" x14ac:dyDescent="0.55000000000000004">
      <c r="A2107" t="str">
        <f>TEST_DATA!A2107</f>
        <v>27AAAAA2107Z5</v>
      </c>
      <c r="B2107" t="str">
        <f>TEST_DATA!B2107</f>
        <v>Mar-2023</v>
      </c>
      <c r="C2107">
        <f>TEST_DATA!C2107</f>
        <v>45834</v>
      </c>
      <c r="D2107" t="str">
        <f>TEST_DATA!D2107</f>
        <v>NIL</v>
      </c>
      <c r="E2107">
        <f>TEST_DATA!E2107</f>
        <v>2424</v>
      </c>
    </row>
    <row r="2108" spans="1:5" x14ac:dyDescent="0.55000000000000004">
      <c r="A2108" t="str">
        <f>TEST_DATA!A2108</f>
        <v>27AAAAA2108Z5</v>
      </c>
      <c r="B2108" t="str">
        <f>TEST_DATA!B2108</f>
        <v>May-2018</v>
      </c>
      <c r="C2108">
        <f>TEST_DATA!C2108</f>
        <v>43476</v>
      </c>
      <c r="D2108" t="str">
        <f>TEST_DATA!D2108</f>
        <v>NIL</v>
      </c>
      <c r="E2108">
        <f>TEST_DATA!E2108</f>
        <v>2320</v>
      </c>
    </row>
    <row r="2109" spans="1:5" x14ac:dyDescent="0.55000000000000004">
      <c r="A2109" t="str">
        <f>TEST_DATA!A2109</f>
        <v>27AAAAA2109Z5</v>
      </c>
      <c r="B2109" t="str">
        <f>TEST_DATA!B2109</f>
        <v>Apr-2021</v>
      </c>
      <c r="C2109">
        <f>TEST_DATA!C2109</f>
        <v>45641</v>
      </c>
      <c r="D2109" t="str">
        <f>TEST_DATA!D2109</f>
        <v>NON-NIL</v>
      </c>
      <c r="E2109">
        <f>TEST_DATA!E2109</f>
        <v>1749</v>
      </c>
    </row>
    <row r="2110" spans="1:5" x14ac:dyDescent="0.55000000000000004">
      <c r="A2110" t="str">
        <f>TEST_DATA!A2110</f>
        <v>27AAAAA2110Z5</v>
      </c>
      <c r="B2110" t="str">
        <f>TEST_DATA!B2110</f>
        <v>Jan-2018</v>
      </c>
      <c r="C2110">
        <f>TEST_DATA!C2110</f>
        <v>43628</v>
      </c>
      <c r="D2110" t="str">
        <f>TEST_DATA!D2110</f>
        <v>NIL</v>
      </c>
      <c r="E2110">
        <f>TEST_DATA!E2110</f>
        <v>2668</v>
      </c>
    </row>
    <row r="2111" spans="1:5" x14ac:dyDescent="0.55000000000000004">
      <c r="A2111" t="str">
        <f>TEST_DATA!A2111</f>
        <v>27AAAAA2111Z5</v>
      </c>
      <c r="B2111" t="str">
        <f>TEST_DATA!B2111</f>
        <v>Dec-2022</v>
      </c>
      <c r="C2111">
        <f>TEST_DATA!C2111</f>
        <v>44702</v>
      </c>
      <c r="D2111" t="str">
        <f>TEST_DATA!D2111</f>
        <v>NON-NIL</v>
      </c>
      <c r="E2111">
        <f>TEST_DATA!E2111</f>
        <v>1773</v>
      </c>
    </row>
    <row r="2112" spans="1:5" x14ac:dyDescent="0.55000000000000004">
      <c r="A2112" t="str">
        <f>TEST_DATA!A2112</f>
        <v>27AAAAA2112Z5</v>
      </c>
      <c r="B2112" t="str">
        <f>TEST_DATA!B2112</f>
        <v>Jun-2020</v>
      </c>
      <c r="C2112">
        <f>TEST_DATA!C2112</f>
        <v>44472</v>
      </c>
      <c r="D2112" t="str">
        <f>TEST_DATA!D2112</f>
        <v>NIL</v>
      </c>
      <c r="E2112">
        <f>TEST_DATA!E2112</f>
        <v>1697</v>
      </c>
    </row>
    <row r="2113" spans="1:5" x14ac:dyDescent="0.55000000000000004">
      <c r="A2113" t="str">
        <f>TEST_DATA!A2113</f>
        <v>27AAAAA2113Z5</v>
      </c>
      <c r="B2113" t="str">
        <f>TEST_DATA!B2113</f>
        <v>Jul-2018</v>
      </c>
      <c r="C2113">
        <f>TEST_DATA!C2113</f>
        <v>43431</v>
      </c>
      <c r="D2113" t="str">
        <f>TEST_DATA!D2113</f>
        <v>NON-NIL</v>
      </c>
      <c r="E2113">
        <f>TEST_DATA!E2113</f>
        <v>2750</v>
      </c>
    </row>
    <row r="2114" spans="1:5" x14ac:dyDescent="0.55000000000000004">
      <c r="A2114" t="str">
        <f>TEST_DATA!A2114</f>
        <v>27AAAAA2114Z5</v>
      </c>
      <c r="B2114" t="str">
        <f>TEST_DATA!B2114</f>
        <v>Mar-2021</v>
      </c>
      <c r="C2114">
        <f>TEST_DATA!C2114</f>
        <v>45708</v>
      </c>
      <c r="D2114" t="str">
        <f>TEST_DATA!D2114</f>
        <v>NIL</v>
      </c>
      <c r="E2114">
        <f>TEST_DATA!E2114</f>
        <v>76</v>
      </c>
    </row>
    <row r="2115" spans="1:5" x14ac:dyDescent="0.55000000000000004">
      <c r="A2115" t="str">
        <f>TEST_DATA!A2115</f>
        <v>27AAAAA2115Z5</v>
      </c>
      <c r="B2115" t="str">
        <f>TEST_DATA!B2115</f>
        <v>May-2020</v>
      </c>
      <c r="C2115">
        <f>TEST_DATA!C2115</f>
        <v>44888</v>
      </c>
      <c r="D2115" t="str">
        <f>TEST_DATA!D2115</f>
        <v>NIL</v>
      </c>
      <c r="E2115">
        <f>TEST_DATA!E2115</f>
        <v>2362</v>
      </c>
    </row>
    <row r="2116" spans="1:5" x14ac:dyDescent="0.55000000000000004">
      <c r="A2116" t="str">
        <f>TEST_DATA!A2116</f>
        <v>27AAAAA2116Z5</v>
      </c>
      <c r="B2116" t="str">
        <f>TEST_DATA!B2116</f>
        <v>Jan-2019</v>
      </c>
      <c r="C2116">
        <f>TEST_DATA!C2116</f>
        <v>44338</v>
      </c>
      <c r="D2116" t="str">
        <f>TEST_DATA!D2116</f>
        <v>NON-NIL</v>
      </c>
      <c r="E2116">
        <f>TEST_DATA!E2116</f>
        <v>1097</v>
      </c>
    </row>
    <row r="2117" spans="1:5" x14ac:dyDescent="0.55000000000000004">
      <c r="A2117" t="str">
        <f>TEST_DATA!A2117</f>
        <v>27AAAAA2117Z5</v>
      </c>
      <c r="B2117" t="str">
        <f>TEST_DATA!B2117</f>
        <v>May-2020</v>
      </c>
      <c r="C2117">
        <f>TEST_DATA!C2117</f>
        <v>44922</v>
      </c>
      <c r="D2117" t="str">
        <f>TEST_DATA!D2117</f>
        <v>NON-NIL</v>
      </c>
      <c r="E2117">
        <f>TEST_DATA!E2117</f>
        <v>2318</v>
      </c>
    </row>
    <row r="2118" spans="1:5" x14ac:dyDescent="0.55000000000000004">
      <c r="A2118" t="str">
        <f>TEST_DATA!A2118</f>
        <v>27AAAAA2118Z5</v>
      </c>
      <c r="B2118" t="str">
        <f>TEST_DATA!B2118</f>
        <v>Jan-2021</v>
      </c>
      <c r="C2118">
        <f>TEST_DATA!C2118</f>
        <v>43711</v>
      </c>
      <c r="D2118" t="str">
        <f>TEST_DATA!D2118</f>
        <v>NIL</v>
      </c>
      <c r="E2118">
        <f>TEST_DATA!E2118</f>
        <v>1492</v>
      </c>
    </row>
    <row r="2119" spans="1:5" x14ac:dyDescent="0.55000000000000004">
      <c r="A2119" t="str">
        <f>TEST_DATA!A2119</f>
        <v>27AAAAA2119Z5</v>
      </c>
      <c r="B2119" t="str">
        <f>TEST_DATA!B2119</f>
        <v>Sep-2018</v>
      </c>
      <c r="C2119">
        <f>TEST_DATA!C2119</f>
        <v>43219</v>
      </c>
      <c r="D2119" t="str">
        <f>TEST_DATA!D2119</f>
        <v>NIL</v>
      </c>
      <c r="E2119">
        <f>TEST_DATA!E2119</f>
        <v>616</v>
      </c>
    </row>
    <row r="2120" spans="1:5" x14ac:dyDescent="0.55000000000000004">
      <c r="A2120" t="str">
        <f>TEST_DATA!A2120</f>
        <v>27AAAAA2120Z5</v>
      </c>
      <c r="B2120" t="str">
        <f>TEST_DATA!B2120</f>
        <v>Jan-2021</v>
      </c>
      <c r="C2120">
        <f>TEST_DATA!C2120</f>
        <v>44695</v>
      </c>
      <c r="D2120" t="str">
        <f>TEST_DATA!D2120</f>
        <v>NON-NIL</v>
      </c>
      <c r="E2120">
        <f>TEST_DATA!E2120</f>
        <v>1680</v>
      </c>
    </row>
    <row r="2121" spans="1:5" x14ac:dyDescent="0.55000000000000004">
      <c r="A2121" t="str">
        <f>TEST_DATA!A2121</f>
        <v>27AAAAA2121Z5</v>
      </c>
      <c r="B2121" t="str">
        <f>TEST_DATA!B2121</f>
        <v>May-2018</v>
      </c>
      <c r="C2121">
        <f>TEST_DATA!C2121</f>
        <v>43048</v>
      </c>
      <c r="D2121" t="str">
        <f>TEST_DATA!D2121</f>
        <v>NIL</v>
      </c>
      <c r="E2121">
        <f>TEST_DATA!E2121</f>
        <v>1689</v>
      </c>
    </row>
    <row r="2122" spans="1:5" x14ac:dyDescent="0.55000000000000004">
      <c r="A2122" t="str">
        <f>TEST_DATA!A2122</f>
        <v>27AAAAA2122Z5</v>
      </c>
      <c r="B2122" t="str">
        <f>TEST_DATA!B2122</f>
        <v>Mar-2018</v>
      </c>
      <c r="C2122">
        <f>TEST_DATA!C2122</f>
        <v>43504</v>
      </c>
      <c r="D2122" t="str">
        <f>TEST_DATA!D2122</f>
        <v>NIL</v>
      </c>
      <c r="E2122">
        <f>TEST_DATA!E2122</f>
        <v>1050</v>
      </c>
    </row>
    <row r="2123" spans="1:5" x14ac:dyDescent="0.55000000000000004">
      <c r="A2123" t="str">
        <f>TEST_DATA!A2123</f>
        <v>27AAAAA2123Z5</v>
      </c>
      <c r="B2123" t="str">
        <f>TEST_DATA!B2123</f>
        <v>Jun-2020</v>
      </c>
      <c r="C2123">
        <f>TEST_DATA!C2123</f>
        <v>44314</v>
      </c>
      <c r="D2123" t="str">
        <f>TEST_DATA!D2123</f>
        <v>NON-NIL</v>
      </c>
      <c r="E2123">
        <f>TEST_DATA!E2123</f>
        <v>976</v>
      </c>
    </row>
    <row r="2124" spans="1:5" x14ac:dyDescent="0.55000000000000004">
      <c r="A2124" t="str">
        <f>TEST_DATA!A2124</f>
        <v>27AAAAA2124Z5</v>
      </c>
      <c r="B2124" t="str">
        <f>TEST_DATA!B2124</f>
        <v>Oct-2017</v>
      </c>
      <c r="C2124">
        <f>TEST_DATA!C2124</f>
        <v>43224</v>
      </c>
      <c r="D2124" t="str">
        <f>TEST_DATA!D2124</f>
        <v>NIL</v>
      </c>
      <c r="E2124">
        <f>TEST_DATA!E2124</f>
        <v>113</v>
      </c>
    </row>
    <row r="2125" spans="1:5" x14ac:dyDescent="0.55000000000000004">
      <c r="A2125" t="str">
        <f>TEST_DATA!A2125</f>
        <v>27AAAAA2125Z5</v>
      </c>
      <c r="B2125" t="str">
        <f>TEST_DATA!B2125</f>
        <v>Feb-2018</v>
      </c>
      <c r="C2125">
        <f>TEST_DATA!C2125</f>
        <v>44549</v>
      </c>
      <c r="D2125" t="str">
        <f>TEST_DATA!D2125</f>
        <v>NON-NIL</v>
      </c>
      <c r="E2125">
        <f>TEST_DATA!E2125</f>
        <v>1901</v>
      </c>
    </row>
    <row r="2126" spans="1:5" x14ac:dyDescent="0.55000000000000004">
      <c r="A2126" t="str">
        <f>TEST_DATA!A2126</f>
        <v>27AAAAA2126Z5</v>
      </c>
      <c r="B2126" t="str">
        <f>TEST_DATA!B2126</f>
        <v>Jan-2019</v>
      </c>
      <c r="C2126">
        <f>TEST_DATA!C2126</f>
        <v>45759</v>
      </c>
      <c r="D2126" t="str">
        <f>TEST_DATA!D2126</f>
        <v>NON-NIL</v>
      </c>
      <c r="E2126">
        <f>TEST_DATA!E2126</f>
        <v>1728</v>
      </c>
    </row>
    <row r="2127" spans="1:5" x14ac:dyDescent="0.55000000000000004">
      <c r="A2127" t="str">
        <f>TEST_DATA!A2127</f>
        <v>27AAAAA2127Z5</v>
      </c>
      <c r="B2127" t="str">
        <f>TEST_DATA!B2127</f>
        <v>May-2020</v>
      </c>
      <c r="C2127">
        <f>TEST_DATA!C2127</f>
        <v>43906</v>
      </c>
      <c r="D2127" t="str">
        <f>TEST_DATA!D2127</f>
        <v>NIL</v>
      </c>
      <c r="E2127">
        <f>TEST_DATA!E2127</f>
        <v>652</v>
      </c>
    </row>
    <row r="2128" spans="1:5" x14ac:dyDescent="0.55000000000000004">
      <c r="A2128" t="str">
        <f>TEST_DATA!A2128</f>
        <v>27AAAAA2128Z5</v>
      </c>
      <c r="B2128" t="str">
        <f>TEST_DATA!B2128</f>
        <v>Mar-2018</v>
      </c>
      <c r="C2128">
        <f>TEST_DATA!C2128</f>
        <v>43196</v>
      </c>
      <c r="D2128" t="str">
        <f>TEST_DATA!D2128</f>
        <v>NIL</v>
      </c>
      <c r="E2128">
        <f>TEST_DATA!E2128</f>
        <v>1058</v>
      </c>
    </row>
    <row r="2129" spans="1:5" x14ac:dyDescent="0.55000000000000004">
      <c r="A2129" t="str">
        <f>TEST_DATA!A2129</f>
        <v>27AAAAA2129Z5</v>
      </c>
      <c r="B2129" t="str">
        <f>TEST_DATA!B2129</f>
        <v>Apr-2021</v>
      </c>
      <c r="C2129">
        <f>TEST_DATA!C2129</f>
        <v>44603</v>
      </c>
      <c r="D2129" t="str">
        <f>TEST_DATA!D2129</f>
        <v>NIL</v>
      </c>
      <c r="E2129">
        <f>TEST_DATA!E2129</f>
        <v>2639</v>
      </c>
    </row>
    <row r="2130" spans="1:5" x14ac:dyDescent="0.55000000000000004">
      <c r="A2130" t="str">
        <f>TEST_DATA!A2130</f>
        <v>27AAAAA2130Z5</v>
      </c>
      <c r="B2130" t="str">
        <f>TEST_DATA!B2130</f>
        <v>Mar-2023</v>
      </c>
      <c r="C2130">
        <f>TEST_DATA!C2130</f>
        <v>43638</v>
      </c>
      <c r="D2130" t="str">
        <f>TEST_DATA!D2130</f>
        <v>NON-NIL</v>
      </c>
      <c r="E2130">
        <f>TEST_DATA!E2130</f>
        <v>81</v>
      </c>
    </row>
    <row r="2131" spans="1:5" x14ac:dyDescent="0.55000000000000004">
      <c r="A2131" t="str">
        <f>TEST_DATA!A2131</f>
        <v>27AAAAA2131Z5</v>
      </c>
      <c r="B2131" t="str">
        <f>TEST_DATA!B2131</f>
        <v>Aug-2017</v>
      </c>
      <c r="C2131">
        <f>TEST_DATA!C2131</f>
        <v>43088</v>
      </c>
      <c r="D2131" t="str">
        <f>TEST_DATA!D2131</f>
        <v>NON-NIL</v>
      </c>
      <c r="E2131">
        <f>TEST_DATA!E2131</f>
        <v>2464</v>
      </c>
    </row>
    <row r="2132" spans="1:5" x14ac:dyDescent="0.55000000000000004">
      <c r="A2132" t="str">
        <f>TEST_DATA!A2132</f>
        <v>27AAAAA2132Z5</v>
      </c>
      <c r="B2132" t="str">
        <f>TEST_DATA!B2132</f>
        <v>Apr-2018</v>
      </c>
      <c r="C2132">
        <f>TEST_DATA!C2132</f>
        <v>43047</v>
      </c>
      <c r="D2132" t="str">
        <f>TEST_DATA!D2132</f>
        <v>NON-NIL</v>
      </c>
      <c r="E2132">
        <f>TEST_DATA!E2132</f>
        <v>1488</v>
      </c>
    </row>
    <row r="2133" spans="1:5" x14ac:dyDescent="0.55000000000000004">
      <c r="A2133" t="str">
        <f>TEST_DATA!A2133</f>
        <v>27AAAAA2133Z5</v>
      </c>
      <c r="B2133" t="str">
        <f>TEST_DATA!B2133</f>
        <v>Jun-2020</v>
      </c>
      <c r="C2133">
        <f>TEST_DATA!C2133</f>
        <v>44015</v>
      </c>
      <c r="D2133" t="str">
        <f>TEST_DATA!D2133</f>
        <v>NON-NIL</v>
      </c>
      <c r="E2133">
        <f>TEST_DATA!E2133</f>
        <v>2966</v>
      </c>
    </row>
    <row r="2134" spans="1:5" x14ac:dyDescent="0.55000000000000004">
      <c r="A2134" t="str">
        <f>TEST_DATA!A2134</f>
        <v>27AAAAA2134Z5</v>
      </c>
      <c r="B2134" t="str">
        <f>TEST_DATA!B2134</f>
        <v>Dec-2022</v>
      </c>
      <c r="C2134">
        <f>TEST_DATA!C2134</f>
        <v>44041</v>
      </c>
      <c r="D2134" t="str">
        <f>TEST_DATA!D2134</f>
        <v>NIL</v>
      </c>
      <c r="E2134">
        <f>TEST_DATA!E2134</f>
        <v>458</v>
      </c>
    </row>
    <row r="2135" spans="1:5" x14ac:dyDescent="0.55000000000000004">
      <c r="A2135" t="str">
        <f>TEST_DATA!A2135</f>
        <v>27AAAAA2135Z5</v>
      </c>
      <c r="B2135" t="str">
        <f>TEST_DATA!B2135</f>
        <v>Mar-2020</v>
      </c>
      <c r="C2135">
        <f>TEST_DATA!C2135</f>
        <v>44855</v>
      </c>
      <c r="D2135" t="str">
        <f>TEST_DATA!D2135</f>
        <v>NIL</v>
      </c>
      <c r="E2135">
        <f>TEST_DATA!E2135</f>
        <v>2137</v>
      </c>
    </row>
    <row r="2136" spans="1:5" x14ac:dyDescent="0.55000000000000004">
      <c r="A2136" t="str">
        <f>TEST_DATA!A2136</f>
        <v>27AAAAA2136Z5</v>
      </c>
      <c r="B2136" t="str">
        <f>TEST_DATA!B2136</f>
        <v>Jun-2020</v>
      </c>
      <c r="C2136">
        <f>TEST_DATA!C2136</f>
        <v>44906</v>
      </c>
      <c r="D2136" t="str">
        <f>TEST_DATA!D2136</f>
        <v>NON-NIL</v>
      </c>
      <c r="E2136">
        <f>TEST_DATA!E2136</f>
        <v>2033</v>
      </c>
    </row>
    <row r="2137" spans="1:5" x14ac:dyDescent="0.55000000000000004">
      <c r="A2137" t="str">
        <f>TEST_DATA!A2137</f>
        <v>27AAAAA2137Z5</v>
      </c>
      <c r="B2137" t="str">
        <f>TEST_DATA!B2137</f>
        <v>Dec-2024</v>
      </c>
      <c r="C2137">
        <f>TEST_DATA!C2137</f>
        <v>43835</v>
      </c>
      <c r="D2137" t="str">
        <f>TEST_DATA!D2137</f>
        <v>NIL</v>
      </c>
      <c r="E2137">
        <f>TEST_DATA!E2137</f>
        <v>2456</v>
      </c>
    </row>
    <row r="2138" spans="1:5" x14ac:dyDescent="0.55000000000000004">
      <c r="A2138" t="str">
        <f>TEST_DATA!A2138</f>
        <v>27AAAAA2138Z5</v>
      </c>
      <c r="B2138" t="str">
        <f>TEST_DATA!B2138</f>
        <v>Oct-2017</v>
      </c>
      <c r="C2138">
        <f>TEST_DATA!C2138</f>
        <v>44500</v>
      </c>
      <c r="D2138" t="str">
        <f>TEST_DATA!D2138</f>
        <v>NON-NIL</v>
      </c>
      <c r="E2138">
        <f>TEST_DATA!E2138</f>
        <v>1348</v>
      </c>
    </row>
    <row r="2139" spans="1:5" x14ac:dyDescent="0.55000000000000004">
      <c r="A2139" t="str">
        <f>TEST_DATA!A2139</f>
        <v>27AAAAA2139Z5</v>
      </c>
      <c r="B2139" t="str">
        <f>TEST_DATA!B2139</f>
        <v>Dec-2022</v>
      </c>
      <c r="C2139">
        <f>TEST_DATA!C2139</f>
        <v>45063</v>
      </c>
      <c r="D2139" t="str">
        <f>TEST_DATA!D2139</f>
        <v>NIL</v>
      </c>
      <c r="E2139">
        <f>TEST_DATA!E2139</f>
        <v>1732</v>
      </c>
    </row>
    <row r="2140" spans="1:5" x14ac:dyDescent="0.55000000000000004">
      <c r="A2140" t="str">
        <f>TEST_DATA!A2140</f>
        <v>27AAAAA2140Z5</v>
      </c>
      <c r="B2140" t="str">
        <f>TEST_DATA!B2140</f>
        <v>Jan-2018</v>
      </c>
      <c r="C2140">
        <f>TEST_DATA!C2140</f>
        <v>43212</v>
      </c>
      <c r="D2140" t="str">
        <f>TEST_DATA!D2140</f>
        <v>NIL</v>
      </c>
      <c r="E2140">
        <f>TEST_DATA!E2140</f>
        <v>717</v>
      </c>
    </row>
    <row r="2141" spans="1:5" x14ac:dyDescent="0.55000000000000004">
      <c r="A2141" t="str">
        <f>TEST_DATA!A2141</f>
        <v>27AAAAA2141Z5</v>
      </c>
      <c r="B2141" t="str">
        <f>TEST_DATA!B2141</f>
        <v>Jan-2018</v>
      </c>
      <c r="C2141">
        <f>TEST_DATA!C2141</f>
        <v>43479</v>
      </c>
      <c r="D2141" t="str">
        <f>TEST_DATA!D2141</f>
        <v>NON-NIL</v>
      </c>
      <c r="E2141">
        <f>TEST_DATA!E2141</f>
        <v>1672</v>
      </c>
    </row>
    <row r="2142" spans="1:5" x14ac:dyDescent="0.55000000000000004">
      <c r="A2142" t="str">
        <f>TEST_DATA!A2142</f>
        <v>27AAAAA2142Z5</v>
      </c>
      <c r="B2142" t="str">
        <f>TEST_DATA!B2142</f>
        <v>Mar-2018</v>
      </c>
      <c r="C2142">
        <f>TEST_DATA!C2142</f>
        <v>44124</v>
      </c>
      <c r="D2142" t="str">
        <f>TEST_DATA!D2142</f>
        <v>NIL</v>
      </c>
      <c r="E2142">
        <f>TEST_DATA!E2142</f>
        <v>2008</v>
      </c>
    </row>
    <row r="2143" spans="1:5" x14ac:dyDescent="0.55000000000000004">
      <c r="A2143" t="str">
        <f>TEST_DATA!A2143</f>
        <v>27AAAAA2143Z5</v>
      </c>
      <c r="B2143" t="str">
        <f>TEST_DATA!B2143</f>
        <v>Dec-2019</v>
      </c>
      <c r="C2143">
        <f>TEST_DATA!C2143</f>
        <v>45000</v>
      </c>
      <c r="D2143" t="str">
        <f>TEST_DATA!D2143</f>
        <v>NIL</v>
      </c>
      <c r="E2143">
        <f>TEST_DATA!E2143</f>
        <v>1296</v>
      </c>
    </row>
    <row r="2144" spans="1:5" x14ac:dyDescent="0.55000000000000004">
      <c r="A2144" t="str">
        <f>TEST_DATA!A2144</f>
        <v>27AAAAA2144Z5</v>
      </c>
      <c r="B2144" t="str">
        <f>TEST_DATA!B2144</f>
        <v>Dec-2019</v>
      </c>
      <c r="C2144">
        <f>TEST_DATA!C2144</f>
        <v>45201</v>
      </c>
      <c r="D2144" t="str">
        <f>TEST_DATA!D2144</f>
        <v>NON-NIL</v>
      </c>
      <c r="E2144">
        <f>TEST_DATA!E2144</f>
        <v>2796</v>
      </c>
    </row>
    <row r="2145" spans="1:5" x14ac:dyDescent="0.55000000000000004">
      <c r="A2145" t="str">
        <f>TEST_DATA!A2145</f>
        <v>27AAAAA2145Z5</v>
      </c>
      <c r="B2145" t="str">
        <f>TEST_DATA!B2145</f>
        <v>Feb-2018</v>
      </c>
      <c r="C2145">
        <f>TEST_DATA!C2145</f>
        <v>43485</v>
      </c>
      <c r="D2145" t="str">
        <f>TEST_DATA!D2145</f>
        <v>NIL</v>
      </c>
      <c r="E2145">
        <f>TEST_DATA!E2145</f>
        <v>1486</v>
      </c>
    </row>
    <row r="2146" spans="1:5" x14ac:dyDescent="0.55000000000000004">
      <c r="A2146" t="str">
        <f>TEST_DATA!A2146</f>
        <v>27AAAAA2146Z5</v>
      </c>
      <c r="B2146" t="str">
        <f>TEST_DATA!B2146</f>
        <v>Jan-2019</v>
      </c>
      <c r="C2146">
        <f>TEST_DATA!C2146</f>
        <v>44972</v>
      </c>
      <c r="D2146" t="str">
        <f>TEST_DATA!D2146</f>
        <v>NON-NIL</v>
      </c>
      <c r="E2146">
        <f>TEST_DATA!E2146</f>
        <v>86</v>
      </c>
    </row>
    <row r="2147" spans="1:5" x14ac:dyDescent="0.55000000000000004">
      <c r="A2147" t="str">
        <f>TEST_DATA!A2147</f>
        <v>27AAAAA2147Z5</v>
      </c>
      <c r="B2147" t="str">
        <f>TEST_DATA!B2147</f>
        <v>May-2020</v>
      </c>
      <c r="C2147">
        <f>TEST_DATA!C2147</f>
        <v>43902</v>
      </c>
      <c r="D2147" t="str">
        <f>TEST_DATA!D2147</f>
        <v>NIL</v>
      </c>
      <c r="E2147">
        <f>TEST_DATA!E2147</f>
        <v>2829</v>
      </c>
    </row>
    <row r="2148" spans="1:5" x14ac:dyDescent="0.55000000000000004">
      <c r="A2148" t="str">
        <f>TEST_DATA!A2148</f>
        <v>27AAAAA2148Z5</v>
      </c>
      <c r="B2148" t="str">
        <f>TEST_DATA!B2148</f>
        <v>Apr-2021</v>
      </c>
      <c r="C2148">
        <f>TEST_DATA!C2148</f>
        <v>44447</v>
      </c>
      <c r="D2148" t="str">
        <f>TEST_DATA!D2148</f>
        <v>NON-NIL</v>
      </c>
      <c r="E2148">
        <f>TEST_DATA!E2148</f>
        <v>2263</v>
      </c>
    </row>
    <row r="2149" spans="1:5" x14ac:dyDescent="0.55000000000000004">
      <c r="A2149" t="str">
        <f>TEST_DATA!A2149</f>
        <v>27AAAAA2149Z5</v>
      </c>
      <c r="B2149" t="str">
        <f>TEST_DATA!B2149</f>
        <v>Jul-2018</v>
      </c>
      <c r="C2149">
        <f>TEST_DATA!C2149</f>
        <v>43550</v>
      </c>
      <c r="D2149" t="str">
        <f>TEST_DATA!D2149</f>
        <v>NON-NIL</v>
      </c>
      <c r="E2149">
        <f>TEST_DATA!E2149</f>
        <v>2806</v>
      </c>
    </row>
    <row r="2150" spans="1:5" x14ac:dyDescent="0.55000000000000004">
      <c r="A2150" t="str">
        <f>TEST_DATA!A2150</f>
        <v>27AAAAA2150Z5</v>
      </c>
      <c r="B2150" t="str">
        <f>TEST_DATA!B2150</f>
        <v>Oct-2017</v>
      </c>
      <c r="C2150">
        <f>TEST_DATA!C2150</f>
        <v>44012</v>
      </c>
      <c r="D2150" t="str">
        <f>TEST_DATA!D2150</f>
        <v>NIL</v>
      </c>
      <c r="E2150">
        <f>TEST_DATA!E2150</f>
        <v>1812</v>
      </c>
    </row>
    <row r="2151" spans="1:5" x14ac:dyDescent="0.55000000000000004">
      <c r="A2151" t="str">
        <f>TEST_DATA!A2151</f>
        <v>27AAAAA2151Z5</v>
      </c>
      <c r="B2151" t="str">
        <f>TEST_DATA!B2151</f>
        <v>Jul-2018</v>
      </c>
      <c r="C2151">
        <f>TEST_DATA!C2151</f>
        <v>42933</v>
      </c>
      <c r="D2151" t="str">
        <f>TEST_DATA!D2151</f>
        <v>NON-NIL</v>
      </c>
      <c r="E2151">
        <f>TEST_DATA!E2151</f>
        <v>1046</v>
      </c>
    </row>
    <row r="2152" spans="1:5" x14ac:dyDescent="0.55000000000000004">
      <c r="A2152" t="str">
        <f>TEST_DATA!A2152</f>
        <v>27AAAAA2152Z5</v>
      </c>
      <c r="B2152" t="str">
        <f>TEST_DATA!B2152</f>
        <v>Apr-2018</v>
      </c>
      <c r="C2152">
        <f>TEST_DATA!C2152</f>
        <v>43101</v>
      </c>
      <c r="D2152" t="str">
        <f>TEST_DATA!D2152</f>
        <v>NIL</v>
      </c>
      <c r="E2152">
        <f>TEST_DATA!E2152</f>
        <v>1218</v>
      </c>
    </row>
    <row r="2153" spans="1:5" x14ac:dyDescent="0.55000000000000004">
      <c r="A2153" t="str">
        <f>TEST_DATA!A2153</f>
        <v>27AAAAA2153Z5</v>
      </c>
      <c r="B2153" t="str">
        <f>TEST_DATA!B2153</f>
        <v>Jan-2018</v>
      </c>
      <c r="C2153">
        <f>TEST_DATA!C2153</f>
        <v>43245</v>
      </c>
      <c r="D2153" t="str">
        <f>TEST_DATA!D2153</f>
        <v>NON-NIL</v>
      </c>
      <c r="E2153">
        <f>TEST_DATA!E2153</f>
        <v>2586</v>
      </c>
    </row>
    <row r="2154" spans="1:5" x14ac:dyDescent="0.55000000000000004">
      <c r="A2154" t="str">
        <f>TEST_DATA!A2154</f>
        <v>27AAAAA2154Z5</v>
      </c>
      <c r="B2154" t="str">
        <f>TEST_DATA!B2154</f>
        <v>May-2018</v>
      </c>
      <c r="C2154">
        <f>TEST_DATA!C2154</f>
        <v>44487</v>
      </c>
      <c r="D2154" t="str">
        <f>TEST_DATA!D2154</f>
        <v>NON-NIL</v>
      </c>
      <c r="E2154">
        <f>TEST_DATA!E2154</f>
        <v>138</v>
      </c>
    </row>
    <row r="2155" spans="1:5" x14ac:dyDescent="0.55000000000000004">
      <c r="A2155" t="str">
        <f>TEST_DATA!A2155</f>
        <v>27AAAAA2155Z5</v>
      </c>
      <c r="B2155" t="str">
        <f>TEST_DATA!B2155</f>
        <v>Mar-2018</v>
      </c>
      <c r="C2155">
        <f>TEST_DATA!C2155</f>
        <v>43081</v>
      </c>
      <c r="D2155" t="str">
        <f>TEST_DATA!D2155</f>
        <v>NON-NIL</v>
      </c>
      <c r="E2155">
        <f>TEST_DATA!E2155</f>
        <v>1929</v>
      </c>
    </row>
    <row r="2156" spans="1:5" x14ac:dyDescent="0.55000000000000004">
      <c r="A2156" t="str">
        <f>TEST_DATA!A2156</f>
        <v>27AAAAA2156Z5</v>
      </c>
      <c r="B2156" t="str">
        <f>TEST_DATA!B2156</f>
        <v>Jan-2021</v>
      </c>
      <c r="C2156">
        <f>TEST_DATA!C2156</f>
        <v>45157</v>
      </c>
      <c r="D2156" t="str">
        <f>TEST_DATA!D2156</f>
        <v>NON-NIL</v>
      </c>
      <c r="E2156">
        <f>TEST_DATA!E2156</f>
        <v>2938</v>
      </c>
    </row>
    <row r="2157" spans="1:5" x14ac:dyDescent="0.55000000000000004">
      <c r="A2157" t="str">
        <f>TEST_DATA!A2157</f>
        <v>27AAAAA2157Z5</v>
      </c>
      <c r="B2157" t="str">
        <f>TEST_DATA!B2157</f>
        <v>Aug-2018</v>
      </c>
      <c r="C2157">
        <f>TEST_DATA!C2157</f>
        <v>43122</v>
      </c>
      <c r="D2157" t="str">
        <f>TEST_DATA!D2157</f>
        <v>NIL</v>
      </c>
      <c r="E2157">
        <f>TEST_DATA!E2157</f>
        <v>2860</v>
      </c>
    </row>
    <row r="2158" spans="1:5" x14ac:dyDescent="0.55000000000000004">
      <c r="A2158" t="str">
        <f>TEST_DATA!A2158</f>
        <v>27AAAAA2158Z5</v>
      </c>
      <c r="B2158" t="str">
        <f>TEST_DATA!B2158</f>
        <v>Mar-2018</v>
      </c>
      <c r="C2158">
        <f>TEST_DATA!C2158</f>
        <v>43953</v>
      </c>
      <c r="D2158" t="str">
        <f>TEST_DATA!D2158</f>
        <v>NIL</v>
      </c>
      <c r="E2158">
        <f>TEST_DATA!E2158</f>
        <v>1441</v>
      </c>
    </row>
    <row r="2159" spans="1:5" x14ac:dyDescent="0.55000000000000004">
      <c r="A2159" t="str">
        <f>TEST_DATA!A2159</f>
        <v>27AAAAA2159Z5</v>
      </c>
      <c r="B2159" t="str">
        <f>TEST_DATA!B2159</f>
        <v>Aug-2018</v>
      </c>
      <c r="C2159">
        <f>TEST_DATA!C2159</f>
        <v>44150</v>
      </c>
      <c r="D2159" t="str">
        <f>TEST_DATA!D2159</f>
        <v>NON-NIL</v>
      </c>
      <c r="E2159">
        <f>TEST_DATA!E2159</f>
        <v>1856</v>
      </c>
    </row>
    <row r="2160" spans="1:5" x14ac:dyDescent="0.55000000000000004">
      <c r="A2160" t="str">
        <f>TEST_DATA!A2160</f>
        <v>27AAAAA2160Z5</v>
      </c>
      <c r="B2160" t="str">
        <f>TEST_DATA!B2160</f>
        <v>Jul-2020</v>
      </c>
      <c r="C2160">
        <f>TEST_DATA!C2160</f>
        <v>43887</v>
      </c>
      <c r="D2160" t="str">
        <f>TEST_DATA!D2160</f>
        <v>NIL</v>
      </c>
      <c r="E2160">
        <f>TEST_DATA!E2160</f>
        <v>2627</v>
      </c>
    </row>
    <row r="2161" spans="1:5" x14ac:dyDescent="0.55000000000000004">
      <c r="A2161" t="str">
        <f>TEST_DATA!A2161</f>
        <v>27AAAAA2161Z5</v>
      </c>
      <c r="B2161" t="str">
        <f>TEST_DATA!B2161</f>
        <v>May-2020</v>
      </c>
      <c r="C2161">
        <f>TEST_DATA!C2161</f>
        <v>44207</v>
      </c>
      <c r="D2161" t="str">
        <f>TEST_DATA!D2161</f>
        <v>NON-NIL</v>
      </c>
      <c r="E2161">
        <f>TEST_DATA!E2161</f>
        <v>2625</v>
      </c>
    </row>
    <row r="2162" spans="1:5" x14ac:dyDescent="0.55000000000000004">
      <c r="A2162" t="str">
        <f>TEST_DATA!A2162</f>
        <v>27AAAAA2162Z5</v>
      </c>
      <c r="B2162" t="str">
        <f>TEST_DATA!B2162</f>
        <v>Nov-2017</v>
      </c>
      <c r="C2162">
        <f>TEST_DATA!C2162</f>
        <v>42923</v>
      </c>
      <c r="D2162" t="str">
        <f>TEST_DATA!D2162</f>
        <v>NON-NIL</v>
      </c>
      <c r="E2162">
        <f>TEST_DATA!E2162</f>
        <v>819</v>
      </c>
    </row>
    <row r="2163" spans="1:5" x14ac:dyDescent="0.55000000000000004">
      <c r="A2163" t="str">
        <f>TEST_DATA!A2163</f>
        <v>27AAAAA2163Z5</v>
      </c>
      <c r="B2163" t="str">
        <f>TEST_DATA!B2163</f>
        <v>May-2020</v>
      </c>
      <c r="C2163">
        <f>TEST_DATA!C2163</f>
        <v>44456</v>
      </c>
      <c r="D2163" t="str">
        <f>TEST_DATA!D2163</f>
        <v>NON-NIL</v>
      </c>
      <c r="E2163">
        <f>TEST_DATA!E2163</f>
        <v>2358</v>
      </c>
    </row>
    <row r="2164" spans="1:5" x14ac:dyDescent="0.55000000000000004">
      <c r="A2164" t="str">
        <f>TEST_DATA!A2164</f>
        <v>27AAAAA2164Z5</v>
      </c>
      <c r="B2164" t="str">
        <f>TEST_DATA!B2164</f>
        <v>Sep-2017</v>
      </c>
      <c r="C2164">
        <f>TEST_DATA!C2164</f>
        <v>43143</v>
      </c>
      <c r="D2164" t="str">
        <f>TEST_DATA!D2164</f>
        <v>NIL</v>
      </c>
      <c r="E2164">
        <f>TEST_DATA!E2164</f>
        <v>1022</v>
      </c>
    </row>
    <row r="2165" spans="1:5" x14ac:dyDescent="0.55000000000000004">
      <c r="A2165" t="str">
        <f>TEST_DATA!A2165</f>
        <v>27AAAAA2165Z5</v>
      </c>
      <c r="B2165" t="str">
        <f>TEST_DATA!B2165</f>
        <v>Jun-2019</v>
      </c>
      <c r="C2165">
        <f>TEST_DATA!C2165</f>
        <v>43998</v>
      </c>
      <c r="D2165" t="str">
        <f>TEST_DATA!D2165</f>
        <v>NON-NIL</v>
      </c>
      <c r="E2165">
        <f>TEST_DATA!E2165</f>
        <v>1308</v>
      </c>
    </row>
    <row r="2166" spans="1:5" x14ac:dyDescent="0.55000000000000004">
      <c r="A2166" t="str">
        <f>TEST_DATA!A2166</f>
        <v>27AAAAA2166Z5</v>
      </c>
      <c r="B2166" t="str">
        <f>TEST_DATA!B2166</f>
        <v>Sep-2018</v>
      </c>
      <c r="C2166">
        <f>TEST_DATA!C2166</f>
        <v>43896</v>
      </c>
      <c r="D2166" t="str">
        <f>TEST_DATA!D2166</f>
        <v>NIL</v>
      </c>
      <c r="E2166">
        <f>TEST_DATA!E2166</f>
        <v>1067</v>
      </c>
    </row>
    <row r="2167" spans="1:5" x14ac:dyDescent="0.55000000000000004">
      <c r="A2167" t="str">
        <f>TEST_DATA!A2167</f>
        <v>27AAAAA2167Z5</v>
      </c>
      <c r="B2167" t="str">
        <f>TEST_DATA!B2167</f>
        <v>Dec-2017</v>
      </c>
      <c r="C2167">
        <f>TEST_DATA!C2167</f>
        <v>44324</v>
      </c>
      <c r="D2167" t="str">
        <f>TEST_DATA!D2167</f>
        <v>NON-NIL</v>
      </c>
      <c r="E2167">
        <f>TEST_DATA!E2167</f>
        <v>1154</v>
      </c>
    </row>
    <row r="2168" spans="1:5" x14ac:dyDescent="0.55000000000000004">
      <c r="A2168" t="str">
        <f>TEST_DATA!A2168</f>
        <v>27AAAAA2168Z5</v>
      </c>
      <c r="B2168" t="str">
        <f>TEST_DATA!B2168</f>
        <v>Jan-2018</v>
      </c>
      <c r="C2168">
        <f>TEST_DATA!C2168</f>
        <v>43089</v>
      </c>
      <c r="D2168" t="str">
        <f>TEST_DATA!D2168</f>
        <v>NON-NIL</v>
      </c>
      <c r="E2168">
        <f>TEST_DATA!E2168</f>
        <v>1505</v>
      </c>
    </row>
    <row r="2169" spans="1:5" x14ac:dyDescent="0.55000000000000004">
      <c r="A2169" t="str">
        <f>TEST_DATA!A2169</f>
        <v>27AAAAA2169Z5</v>
      </c>
      <c r="B2169" t="str">
        <f>TEST_DATA!B2169</f>
        <v>Dec-2017</v>
      </c>
      <c r="C2169">
        <f>TEST_DATA!C2169</f>
        <v>43722</v>
      </c>
      <c r="D2169" t="str">
        <f>TEST_DATA!D2169</f>
        <v>NON-NIL</v>
      </c>
      <c r="E2169">
        <f>TEST_DATA!E2169</f>
        <v>2336</v>
      </c>
    </row>
    <row r="2170" spans="1:5" x14ac:dyDescent="0.55000000000000004">
      <c r="A2170" t="str">
        <f>TEST_DATA!A2170</f>
        <v>27AAAAA2170Z5</v>
      </c>
      <c r="B2170" t="str">
        <f>TEST_DATA!B2170</f>
        <v>Feb-2018</v>
      </c>
      <c r="C2170">
        <f>TEST_DATA!C2170</f>
        <v>42959</v>
      </c>
      <c r="D2170" t="str">
        <f>TEST_DATA!D2170</f>
        <v>NIL</v>
      </c>
      <c r="E2170">
        <f>TEST_DATA!E2170</f>
        <v>2287</v>
      </c>
    </row>
    <row r="2171" spans="1:5" x14ac:dyDescent="0.55000000000000004">
      <c r="A2171" t="str">
        <f>TEST_DATA!A2171</f>
        <v>27AAAAA2171Z5</v>
      </c>
      <c r="B2171" t="str">
        <f>TEST_DATA!B2171</f>
        <v>May-2020</v>
      </c>
      <c r="C2171">
        <f>TEST_DATA!C2171</f>
        <v>44299</v>
      </c>
      <c r="D2171" t="str">
        <f>TEST_DATA!D2171</f>
        <v>NIL</v>
      </c>
      <c r="E2171">
        <f>TEST_DATA!E2171</f>
        <v>1894</v>
      </c>
    </row>
    <row r="2172" spans="1:5" x14ac:dyDescent="0.55000000000000004">
      <c r="A2172" t="str">
        <f>TEST_DATA!A2172</f>
        <v>27AAAAA2172Z5</v>
      </c>
      <c r="B2172" t="str">
        <f>TEST_DATA!B2172</f>
        <v>Jan-2018</v>
      </c>
      <c r="C2172">
        <f>TEST_DATA!C2172</f>
        <v>43453</v>
      </c>
      <c r="D2172" t="str">
        <f>TEST_DATA!D2172</f>
        <v>NIL</v>
      </c>
      <c r="E2172">
        <f>TEST_DATA!E2172</f>
        <v>203</v>
      </c>
    </row>
    <row r="2173" spans="1:5" x14ac:dyDescent="0.55000000000000004">
      <c r="A2173" t="str">
        <f>TEST_DATA!A2173</f>
        <v>27AAAAA2173Z5</v>
      </c>
      <c r="B2173" t="str">
        <f>TEST_DATA!B2173</f>
        <v>Jul-2018</v>
      </c>
      <c r="C2173">
        <f>TEST_DATA!C2173</f>
        <v>44182</v>
      </c>
      <c r="D2173" t="str">
        <f>TEST_DATA!D2173</f>
        <v>NON-NIL</v>
      </c>
      <c r="E2173">
        <f>TEST_DATA!E2173</f>
        <v>2459</v>
      </c>
    </row>
    <row r="2174" spans="1:5" x14ac:dyDescent="0.55000000000000004">
      <c r="A2174" t="str">
        <f>TEST_DATA!A2174</f>
        <v>27AAAAA2174Z5</v>
      </c>
      <c r="B2174" t="str">
        <f>TEST_DATA!B2174</f>
        <v>Mar-2018</v>
      </c>
      <c r="C2174">
        <f>TEST_DATA!C2174</f>
        <v>43222</v>
      </c>
      <c r="D2174" t="str">
        <f>TEST_DATA!D2174</f>
        <v>NIL</v>
      </c>
      <c r="E2174">
        <f>TEST_DATA!E2174</f>
        <v>1507</v>
      </c>
    </row>
    <row r="2175" spans="1:5" x14ac:dyDescent="0.55000000000000004">
      <c r="A2175" t="str">
        <f>TEST_DATA!A2175</f>
        <v>27AAAAA2175Z5</v>
      </c>
      <c r="B2175" t="str">
        <f>TEST_DATA!B2175</f>
        <v>Dec-2017</v>
      </c>
      <c r="C2175">
        <f>TEST_DATA!C2175</f>
        <v>44078</v>
      </c>
      <c r="D2175" t="str">
        <f>TEST_DATA!D2175</f>
        <v>NIL</v>
      </c>
      <c r="E2175">
        <f>TEST_DATA!E2175</f>
        <v>57</v>
      </c>
    </row>
    <row r="2176" spans="1:5" x14ac:dyDescent="0.55000000000000004">
      <c r="A2176" t="str">
        <f>TEST_DATA!A2176</f>
        <v>27AAAAA2176Z5</v>
      </c>
      <c r="B2176" t="str">
        <f>TEST_DATA!B2176</f>
        <v>Jul-2020</v>
      </c>
      <c r="C2176">
        <f>TEST_DATA!C2176</f>
        <v>44907</v>
      </c>
      <c r="D2176" t="str">
        <f>TEST_DATA!D2176</f>
        <v>NON-NIL</v>
      </c>
      <c r="E2176">
        <f>TEST_DATA!E2176</f>
        <v>1858</v>
      </c>
    </row>
    <row r="2177" spans="1:5" x14ac:dyDescent="0.55000000000000004">
      <c r="A2177" t="str">
        <f>TEST_DATA!A2177</f>
        <v>27AAAAA2177Z5</v>
      </c>
      <c r="B2177" t="str">
        <f>TEST_DATA!B2177</f>
        <v>Dec-2022</v>
      </c>
      <c r="C2177">
        <f>TEST_DATA!C2177</f>
        <v>45490</v>
      </c>
      <c r="D2177" t="str">
        <f>TEST_DATA!D2177</f>
        <v>NIL</v>
      </c>
      <c r="E2177">
        <f>TEST_DATA!E2177</f>
        <v>919</v>
      </c>
    </row>
    <row r="2178" spans="1:5" x14ac:dyDescent="0.55000000000000004">
      <c r="A2178" t="str">
        <f>TEST_DATA!A2178</f>
        <v>27AAAAA2178Z5</v>
      </c>
      <c r="B2178" t="str">
        <f>TEST_DATA!B2178</f>
        <v>Jul-2020</v>
      </c>
      <c r="C2178">
        <f>TEST_DATA!C2178</f>
        <v>44247</v>
      </c>
      <c r="D2178" t="str">
        <f>TEST_DATA!D2178</f>
        <v>NIL</v>
      </c>
      <c r="E2178">
        <f>TEST_DATA!E2178</f>
        <v>1090</v>
      </c>
    </row>
    <row r="2179" spans="1:5" x14ac:dyDescent="0.55000000000000004">
      <c r="A2179" t="str">
        <f>TEST_DATA!A2179</f>
        <v>27AAAAA2179Z5</v>
      </c>
      <c r="B2179" t="str">
        <f>TEST_DATA!B2179</f>
        <v>Apr-2018</v>
      </c>
      <c r="C2179">
        <f>TEST_DATA!C2179</f>
        <v>44445</v>
      </c>
      <c r="D2179" t="str">
        <f>TEST_DATA!D2179</f>
        <v>NON-NIL</v>
      </c>
      <c r="E2179">
        <f>TEST_DATA!E2179</f>
        <v>1564</v>
      </c>
    </row>
    <row r="2180" spans="1:5" x14ac:dyDescent="0.55000000000000004">
      <c r="A2180" t="str">
        <f>TEST_DATA!A2180</f>
        <v>27AAAAA2180Z5</v>
      </c>
      <c r="B2180" t="str">
        <f>TEST_DATA!B2180</f>
        <v>Nov-2017</v>
      </c>
      <c r="C2180">
        <f>TEST_DATA!C2180</f>
        <v>43800</v>
      </c>
      <c r="D2180" t="str">
        <f>TEST_DATA!D2180</f>
        <v>NIL</v>
      </c>
      <c r="E2180">
        <f>TEST_DATA!E2180</f>
        <v>2457</v>
      </c>
    </row>
    <row r="2181" spans="1:5" x14ac:dyDescent="0.55000000000000004">
      <c r="A2181" t="str">
        <f>TEST_DATA!A2181</f>
        <v>27AAAAA2181Z5</v>
      </c>
      <c r="B2181" t="str">
        <f>TEST_DATA!B2181</f>
        <v>Jan-2018</v>
      </c>
      <c r="C2181">
        <f>TEST_DATA!C2181</f>
        <v>43496</v>
      </c>
      <c r="D2181" t="str">
        <f>TEST_DATA!D2181</f>
        <v>NIL</v>
      </c>
      <c r="E2181">
        <f>TEST_DATA!E2181</f>
        <v>1713</v>
      </c>
    </row>
    <row r="2182" spans="1:5" x14ac:dyDescent="0.55000000000000004">
      <c r="A2182" t="str">
        <f>TEST_DATA!A2182</f>
        <v>27AAAAA2182Z5</v>
      </c>
      <c r="B2182" t="str">
        <f>TEST_DATA!B2182</f>
        <v>Dec-2017</v>
      </c>
      <c r="C2182">
        <f>TEST_DATA!C2182</f>
        <v>43753</v>
      </c>
      <c r="D2182" t="str">
        <f>TEST_DATA!D2182</f>
        <v>NIL</v>
      </c>
      <c r="E2182">
        <f>TEST_DATA!E2182</f>
        <v>117</v>
      </c>
    </row>
    <row r="2183" spans="1:5" x14ac:dyDescent="0.55000000000000004">
      <c r="A2183" t="str">
        <f>TEST_DATA!A2183</f>
        <v>27AAAAA2183Z5</v>
      </c>
      <c r="B2183" t="str">
        <f>TEST_DATA!B2183</f>
        <v>Apr-2018</v>
      </c>
      <c r="C2183">
        <f>TEST_DATA!C2183</f>
        <v>43453</v>
      </c>
      <c r="D2183" t="str">
        <f>TEST_DATA!D2183</f>
        <v>NIL</v>
      </c>
      <c r="E2183">
        <f>TEST_DATA!E2183</f>
        <v>2530</v>
      </c>
    </row>
    <row r="2184" spans="1:5" x14ac:dyDescent="0.55000000000000004">
      <c r="A2184" t="str">
        <f>TEST_DATA!A2184</f>
        <v>27AAAAA2184Z5</v>
      </c>
      <c r="B2184" t="str">
        <f>TEST_DATA!B2184</f>
        <v>Sep-2018</v>
      </c>
      <c r="C2184">
        <f>TEST_DATA!C2184</f>
        <v>43425</v>
      </c>
      <c r="D2184" t="str">
        <f>TEST_DATA!D2184</f>
        <v>NON-NIL</v>
      </c>
      <c r="E2184">
        <f>TEST_DATA!E2184</f>
        <v>2387</v>
      </c>
    </row>
    <row r="2185" spans="1:5" x14ac:dyDescent="0.55000000000000004">
      <c r="A2185" t="str">
        <f>TEST_DATA!A2185</f>
        <v>27AAAAA2185Z5</v>
      </c>
      <c r="B2185" t="str">
        <f>TEST_DATA!B2185</f>
        <v>Jun-2020</v>
      </c>
      <c r="C2185">
        <f>TEST_DATA!C2185</f>
        <v>44769</v>
      </c>
      <c r="D2185" t="str">
        <f>TEST_DATA!D2185</f>
        <v>NIL</v>
      </c>
      <c r="E2185">
        <f>TEST_DATA!E2185</f>
        <v>42</v>
      </c>
    </row>
    <row r="2186" spans="1:5" x14ac:dyDescent="0.55000000000000004">
      <c r="A2186" t="str">
        <f>TEST_DATA!A2186</f>
        <v>27AAAAA2186Z5</v>
      </c>
      <c r="B2186" t="str">
        <f>TEST_DATA!B2186</f>
        <v>Jan-2019</v>
      </c>
      <c r="C2186">
        <f>TEST_DATA!C2186</f>
        <v>44011</v>
      </c>
      <c r="D2186" t="str">
        <f>TEST_DATA!D2186</f>
        <v>NON-NIL</v>
      </c>
      <c r="E2186">
        <f>TEST_DATA!E2186</f>
        <v>2838</v>
      </c>
    </row>
    <row r="2187" spans="1:5" x14ac:dyDescent="0.55000000000000004">
      <c r="A2187" t="str">
        <f>TEST_DATA!A2187</f>
        <v>27AAAAA2187Z5</v>
      </c>
      <c r="B2187" t="str">
        <f>TEST_DATA!B2187</f>
        <v>Jul-2018</v>
      </c>
      <c r="C2187">
        <f>TEST_DATA!C2187</f>
        <v>44323</v>
      </c>
      <c r="D2187" t="str">
        <f>TEST_DATA!D2187</f>
        <v>NIL</v>
      </c>
      <c r="E2187">
        <f>TEST_DATA!E2187</f>
        <v>2921</v>
      </c>
    </row>
    <row r="2188" spans="1:5" x14ac:dyDescent="0.55000000000000004">
      <c r="A2188" t="str">
        <f>TEST_DATA!A2188</f>
        <v>27AAAAA2188Z5</v>
      </c>
      <c r="B2188" t="str">
        <f>TEST_DATA!B2188</f>
        <v>Jul-2018</v>
      </c>
      <c r="C2188">
        <f>TEST_DATA!C2188</f>
        <v>44367</v>
      </c>
      <c r="D2188" t="str">
        <f>TEST_DATA!D2188</f>
        <v>NON-NIL</v>
      </c>
      <c r="E2188">
        <f>TEST_DATA!E2188</f>
        <v>2446</v>
      </c>
    </row>
    <row r="2189" spans="1:5" x14ac:dyDescent="0.55000000000000004">
      <c r="A2189" t="str">
        <f>TEST_DATA!A2189</f>
        <v>27AAAAA2189Z5</v>
      </c>
      <c r="B2189" t="str">
        <f>TEST_DATA!B2189</f>
        <v>Mar-2018</v>
      </c>
      <c r="C2189">
        <f>TEST_DATA!C2189</f>
        <v>43066</v>
      </c>
      <c r="D2189" t="str">
        <f>TEST_DATA!D2189</f>
        <v>NIL</v>
      </c>
      <c r="E2189">
        <f>TEST_DATA!E2189</f>
        <v>2281</v>
      </c>
    </row>
    <row r="2190" spans="1:5" x14ac:dyDescent="0.55000000000000004">
      <c r="A2190" t="str">
        <f>TEST_DATA!A2190</f>
        <v>27AAAAA2190Z5</v>
      </c>
      <c r="B2190" t="str">
        <f>TEST_DATA!B2190</f>
        <v>Aug-2017</v>
      </c>
      <c r="C2190">
        <f>TEST_DATA!C2190</f>
        <v>43023</v>
      </c>
      <c r="D2190" t="str">
        <f>TEST_DATA!D2190</f>
        <v>NON-NIL</v>
      </c>
      <c r="E2190">
        <f>TEST_DATA!E2190</f>
        <v>961</v>
      </c>
    </row>
    <row r="2191" spans="1:5" x14ac:dyDescent="0.55000000000000004">
      <c r="A2191" t="str">
        <f>TEST_DATA!A2191</f>
        <v>27AAAAA2191Z5</v>
      </c>
      <c r="B2191" t="str">
        <f>TEST_DATA!B2191</f>
        <v>Jan-2019</v>
      </c>
      <c r="C2191">
        <f>TEST_DATA!C2191</f>
        <v>44917</v>
      </c>
      <c r="D2191" t="str">
        <f>TEST_DATA!D2191</f>
        <v>NIL</v>
      </c>
      <c r="E2191">
        <f>TEST_DATA!E2191</f>
        <v>21</v>
      </c>
    </row>
    <row r="2192" spans="1:5" x14ac:dyDescent="0.55000000000000004">
      <c r="A2192" t="str">
        <f>TEST_DATA!A2192</f>
        <v>27AAAAA2192Z5</v>
      </c>
      <c r="B2192" t="str">
        <f>TEST_DATA!B2192</f>
        <v>Mar-2018</v>
      </c>
      <c r="C2192">
        <f>TEST_DATA!C2192</f>
        <v>43950</v>
      </c>
      <c r="D2192" t="str">
        <f>TEST_DATA!D2192</f>
        <v>NON-NIL</v>
      </c>
      <c r="E2192">
        <f>TEST_DATA!E2192</f>
        <v>1239</v>
      </c>
    </row>
    <row r="2193" spans="1:5" x14ac:dyDescent="0.55000000000000004">
      <c r="A2193" t="str">
        <f>TEST_DATA!A2193</f>
        <v>27AAAAA2193Z5</v>
      </c>
      <c r="B2193" t="str">
        <f>TEST_DATA!B2193</f>
        <v>Jul-2018</v>
      </c>
      <c r="C2193">
        <f>TEST_DATA!C2193</f>
        <v>44291</v>
      </c>
      <c r="D2193" t="str">
        <f>TEST_DATA!D2193</f>
        <v>NON-NIL</v>
      </c>
      <c r="E2193">
        <f>TEST_DATA!E2193</f>
        <v>541</v>
      </c>
    </row>
    <row r="2194" spans="1:5" x14ac:dyDescent="0.55000000000000004">
      <c r="A2194" t="str">
        <f>TEST_DATA!A2194</f>
        <v>27AAAAA2194Z5</v>
      </c>
      <c r="B2194" t="str">
        <f>TEST_DATA!B2194</f>
        <v>Dec-2024</v>
      </c>
      <c r="C2194">
        <f>TEST_DATA!C2194</f>
        <v>45757</v>
      </c>
      <c r="D2194" t="str">
        <f>TEST_DATA!D2194</f>
        <v>NIL</v>
      </c>
      <c r="E2194">
        <f>TEST_DATA!E2194</f>
        <v>2377</v>
      </c>
    </row>
    <row r="2195" spans="1:5" x14ac:dyDescent="0.55000000000000004">
      <c r="A2195" t="str">
        <f>TEST_DATA!A2195</f>
        <v>27AAAAA2195Z5</v>
      </c>
      <c r="B2195" t="str">
        <f>TEST_DATA!B2195</f>
        <v>Dec-2017</v>
      </c>
      <c r="C2195">
        <f>TEST_DATA!C2195</f>
        <v>43450</v>
      </c>
      <c r="D2195" t="str">
        <f>TEST_DATA!D2195</f>
        <v>NIL</v>
      </c>
      <c r="E2195">
        <f>TEST_DATA!E2195</f>
        <v>2063</v>
      </c>
    </row>
    <row r="2196" spans="1:5" x14ac:dyDescent="0.55000000000000004">
      <c r="A2196" t="str">
        <f>TEST_DATA!A2196</f>
        <v>27AAAAA2196Z5</v>
      </c>
      <c r="B2196" t="str">
        <f>TEST_DATA!B2196</f>
        <v>Jan-2019</v>
      </c>
      <c r="C2196">
        <f>TEST_DATA!C2196</f>
        <v>44855</v>
      </c>
      <c r="D2196" t="str">
        <f>TEST_DATA!D2196</f>
        <v>NON-NIL</v>
      </c>
      <c r="E2196">
        <f>TEST_DATA!E2196</f>
        <v>540</v>
      </c>
    </row>
    <row r="2197" spans="1:5" x14ac:dyDescent="0.55000000000000004">
      <c r="A2197" t="str">
        <f>TEST_DATA!A2197</f>
        <v>27AAAAA2197Z5</v>
      </c>
      <c r="B2197" t="str">
        <f>TEST_DATA!B2197</f>
        <v>Sep-2017</v>
      </c>
      <c r="C2197">
        <f>TEST_DATA!C2197</f>
        <v>43566</v>
      </c>
      <c r="D2197" t="str">
        <f>TEST_DATA!D2197</f>
        <v>NON-NIL</v>
      </c>
      <c r="E2197">
        <f>TEST_DATA!E2197</f>
        <v>580</v>
      </c>
    </row>
    <row r="2198" spans="1:5" x14ac:dyDescent="0.55000000000000004">
      <c r="A2198" t="str">
        <f>TEST_DATA!A2198</f>
        <v>27AAAAA2198Z5</v>
      </c>
      <c r="B2198" t="str">
        <f>TEST_DATA!B2198</f>
        <v>Mar-2018</v>
      </c>
      <c r="C2198">
        <f>TEST_DATA!C2198</f>
        <v>43156</v>
      </c>
      <c r="D2198" t="str">
        <f>TEST_DATA!D2198</f>
        <v>NON-NIL</v>
      </c>
      <c r="E2198">
        <f>TEST_DATA!E2198</f>
        <v>180</v>
      </c>
    </row>
    <row r="2199" spans="1:5" x14ac:dyDescent="0.55000000000000004">
      <c r="A2199" t="str">
        <f>TEST_DATA!A2199</f>
        <v>27AAAAA2199Z5</v>
      </c>
      <c r="B2199" t="str">
        <f>TEST_DATA!B2199</f>
        <v>Nov-2017</v>
      </c>
      <c r="C2199">
        <f>TEST_DATA!C2199</f>
        <v>43939</v>
      </c>
      <c r="D2199" t="str">
        <f>TEST_DATA!D2199</f>
        <v>NON-NIL</v>
      </c>
      <c r="E2199">
        <f>TEST_DATA!E2199</f>
        <v>1476</v>
      </c>
    </row>
    <row r="2200" spans="1:5" x14ac:dyDescent="0.55000000000000004">
      <c r="A2200" t="str">
        <f>TEST_DATA!A2200</f>
        <v>27AAAAA2200Z5</v>
      </c>
      <c r="B2200" t="str">
        <f>TEST_DATA!B2200</f>
        <v>Aug-2018</v>
      </c>
      <c r="C2200">
        <f>TEST_DATA!C2200</f>
        <v>43496</v>
      </c>
      <c r="D2200" t="str">
        <f>TEST_DATA!D2200</f>
        <v>NON-NIL</v>
      </c>
      <c r="E2200">
        <f>TEST_DATA!E2200</f>
        <v>2510</v>
      </c>
    </row>
    <row r="2201" spans="1:5" x14ac:dyDescent="0.55000000000000004">
      <c r="A2201" t="str">
        <f>TEST_DATA!A2201</f>
        <v>27AAAAA2201Z5</v>
      </c>
      <c r="B2201" t="str">
        <f>TEST_DATA!B2201</f>
        <v>Dec-2022</v>
      </c>
      <c r="C2201">
        <f>TEST_DATA!C2201</f>
        <v>44546</v>
      </c>
      <c r="D2201" t="str">
        <f>TEST_DATA!D2201</f>
        <v>NON-NIL</v>
      </c>
      <c r="E2201">
        <f>TEST_DATA!E2201</f>
        <v>1784</v>
      </c>
    </row>
    <row r="2202" spans="1:5" x14ac:dyDescent="0.55000000000000004">
      <c r="A2202" t="str">
        <f>TEST_DATA!A2202</f>
        <v>27AAAAA2202Z5</v>
      </c>
      <c r="B2202" t="str">
        <f>TEST_DATA!B2202</f>
        <v>Dec-2024</v>
      </c>
      <c r="C2202">
        <f>TEST_DATA!C2202</f>
        <v>44141</v>
      </c>
      <c r="D2202" t="str">
        <f>TEST_DATA!D2202</f>
        <v>NON-NIL</v>
      </c>
      <c r="E2202">
        <f>TEST_DATA!E2202</f>
        <v>2012</v>
      </c>
    </row>
    <row r="2203" spans="1:5" x14ac:dyDescent="0.55000000000000004">
      <c r="A2203" t="str">
        <f>TEST_DATA!A2203</f>
        <v>27AAAAA2203Z5</v>
      </c>
      <c r="B2203" t="str">
        <f>TEST_DATA!B2203</f>
        <v>Mar-2021</v>
      </c>
      <c r="C2203">
        <f>TEST_DATA!C2203</f>
        <v>44085</v>
      </c>
      <c r="D2203" t="str">
        <f>TEST_DATA!D2203</f>
        <v>NON-NIL</v>
      </c>
      <c r="E2203">
        <f>TEST_DATA!E2203</f>
        <v>217</v>
      </c>
    </row>
    <row r="2204" spans="1:5" x14ac:dyDescent="0.55000000000000004">
      <c r="A2204" t="str">
        <f>TEST_DATA!A2204</f>
        <v>27AAAAA2204Z5</v>
      </c>
      <c r="B2204" t="str">
        <f>TEST_DATA!B2204</f>
        <v>Jan-2018</v>
      </c>
      <c r="C2204">
        <f>TEST_DATA!C2204</f>
        <v>43221</v>
      </c>
      <c r="D2204" t="str">
        <f>TEST_DATA!D2204</f>
        <v>NIL</v>
      </c>
      <c r="E2204">
        <f>TEST_DATA!E2204</f>
        <v>941</v>
      </c>
    </row>
    <row r="2205" spans="1:5" x14ac:dyDescent="0.55000000000000004">
      <c r="A2205" t="str">
        <f>TEST_DATA!A2205</f>
        <v>27AAAAA2205Z5</v>
      </c>
      <c r="B2205" t="str">
        <f>TEST_DATA!B2205</f>
        <v>Dec-2017</v>
      </c>
      <c r="C2205">
        <f>TEST_DATA!C2205</f>
        <v>42990</v>
      </c>
      <c r="D2205" t="str">
        <f>TEST_DATA!D2205</f>
        <v>NON-NIL</v>
      </c>
      <c r="E2205">
        <f>TEST_DATA!E2205</f>
        <v>1065</v>
      </c>
    </row>
    <row r="2206" spans="1:5" x14ac:dyDescent="0.55000000000000004">
      <c r="A2206" t="str">
        <f>TEST_DATA!A2206</f>
        <v>27AAAAA2206Z5</v>
      </c>
      <c r="B2206" t="str">
        <f>TEST_DATA!B2206</f>
        <v>Dec-2017</v>
      </c>
      <c r="C2206">
        <f>TEST_DATA!C2206</f>
        <v>44362</v>
      </c>
      <c r="D2206" t="str">
        <f>TEST_DATA!D2206</f>
        <v>NON-NIL</v>
      </c>
      <c r="E2206">
        <f>TEST_DATA!E2206</f>
        <v>1787</v>
      </c>
    </row>
    <row r="2207" spans="1:5" x14ac:dyDescent="0.55000000000000004">
      <c r="A2207" t="str">
        <f>TEST_DATA!A2207</f>
        <v>27AAAAA2207Z5</v>
      </c>
      <c r="B2207" t="str">
        <f>TEST_DATA!B2207</f>
        <v>Oct-2017</v>
      </c>
      <c r="C2207">
        <f>TEST_DATA!C2207</f>
        <v>43930</v>
      </c>
      <c r="D2207" t="str">
        <f>TEST_DATA!D2207</f>
        <v>NIL</v>
      </c>
      <c r="E2207">
        <f>TEST_DATA!E2207</f>
        <v>1808</v>
      </c>
    </row>
    <row r="2208" spans="1:5" x14ac:dyDescent="0.55000000000000004">
      <c r="A2208" t="str">
        <f>TEST_DATA!A2208</f>
        <v>27AAAAA2208Z5</v>
      </c>
      <c r="B2208" t="str">
        <f>TEST_DATA!B2208</f>
        <v>Jun-2018</v>
      </c>
      <c r="C2208">
        <f>TEST_DATA!C2208</f>
        <v>44369</v>
      </c>
      <c r="D2208" t="str">
        <f>TEST_DATA!D2208</f>
        <v>NON-NIL</v>
      </c>
      <c r="E2208">
        <f>TEST_DATA!E2208</f>
        <v>1874</v>
      </c>
    </row>
    <row r="2209" spans="1:5" x14ac:dyDescent="0.55000000000000004">
      <c r="A2209" t="str">
        <f>TEST_DATA!A2209</f>
        <v>27AAAAA2209Z5</v>
      </c>
      <c r="B2209" t="str">
        <f>TEST_DATA!B2209</f>
        <v>Jan-2019</v>
      </c>
      <c r="C2209">
        <f>TEST_DATA!C2209</f>
        <v>43926</v>
      </c>
      <c r="D2209" t="str">
        <f>TEST_DATA!D2209</f>
        <v>NIL</v>
      </c>
      <c r="E2209">
        <f>TEST_DATA!E2209</f>
        <v>506</v>
      </c>
    </row>
    <row r="2210" spans="1:5" x14ac:dyDescent="0.55000000000000004">
      <c r="A2210" t="str">
        <f>TEST_DATA!A2210</f>
        <v>27AAAAA2210Z5</v>
      </c>
      <c r="B2210" t="str">
        <f>TEST_DATA!B2210</f>
        <v>Jun-2018</v>
      </c>
      <c r="C2210">
        <f>TEST_DATA!C2210</f>
        <v>43108</v>
      </c>
      <c r="D2210" t="str">
        <f>TEST_DATA!D2210</f>
        <v>NIL</v>
      </c>
      <c r="E2210">
        <f>TEST_DATA!E2210</f>
        <v>1163</v>
      </c>
    </row>
    <row r="2211" spans="1:5" x14ac:dyDescent="0.55000000000000004">
      <c r="A2211" t="str">
        <f>TEST_DATA!A2211</f>
        <v>27AAAAA2211Z5</v>
      </c>
      <c r="B2211" t="str">
        <f>TEST_DATA!B2211</f>
        <v>Dec-2017</v>
      </c>
      <c r="C2211">
        <f>TEST_DATA!C2211</f>
        <v>43261</v>
      </c>
      <c r="D2211" t="str">
        <f>TEST_DATA!D2211</f>
        <v>NON-NIL</v>
      </c>
      <c r="E2211">
        <f>TEST_DATA!E2211</f>
        <v>2307</v>
      </c>
    </row>
    <row r="2212" spans="1:5" x14ac:dyDescent="0.55000000000000004">
      <c r="A2212" t="str">
        <f>TEST_DATA!A2212</f>
        <v>27AAAAA2212Z5</v>
      </c>
      <c r="B2212" t="str">
        <f>TEST_DATA!B2212</f>
        <v>Dec-2024</v>
      </c>
      <c r="C2212">
        <f>TEST_DATA!C2212</f>
        <v>44335</v>
      </c>
      <c r="D2212" t="str">
        <f>TEST_DATA!D2212</f>
        <v>NIL</v>
      </c>
      <c r="E2212">
        <f>TEST_DATA!E2212</f>
        <v>2154</v>
      </c>
    </row>
    <row r="2213" spans="1:5" x14ac:dyDescent="0.55000000000000004">
      <c r="A2213" t="str">
        <f>TEST_DATA!A2213</f>
        <v>27AAAAA2213Z5</v>
      </c>
      <c r="B2213" t="str">
        <f>TEST_DATA!B2213</f>
        <v>Mar-2021</v>
      </c>
      <c r="C2213">
        <f>TEST_DATA!C2213</f>
        <v>45803</v>
      </c>
      <c r="D2213" t="str">
        <f>TEST_DATA!D2213</f>
        <v>NIL</v>
      </c>
      <c r="E2213">
        <f>TEST_DATA!E2213</f>
        <v>1705</v>
      </c>
    </row>
    <row r="2214" spans="1:5" x14ac:dyDescent="0.55000000000000004">
      <c r="A2214" t="str">
        <f>TEST_DATA!A2214</f>
        <v>27AAAAA2214Z5</v>
      </c>
      <c r="B2214" t="str">
        <f>TEST_DATA!B2214</f>
        <v>Sep-2017</v>
      </c>
      <c r="C2214">
        <f>TEST_DATA!C2214</f>
        <v>43421</v>
      </c>
      <c r="D2214" t="str">
        <f>TEST_DATA!D2214</f>
        <v>NON-NIL</v>
      </c>
      <c r="E2214">
        <f>TEST_DATA!E2214</f>
        <v>2772</v>
      </c>
    </row>
    <row r="2215" spans="1:5" x14ac:dyDescent="0.55000000000000004">
      <c r="A2215" t="str">
        <f>TEST_DATA!A2215</f>
        <v>27AAAAA2215Z5</v>
      </c>
      <c r="B2215" t="str">
        <f>TEST_DATA!B2215</f>
        <v>Oct-2017</v>
      </c>
      <c r="C2215">
        <f>TEST_DATA!C2215</f>
        <v>43590</v>
      </c>
      <c r="D2215" t="str">
        <f>TEST_DATA!D2215</f>
        <v>NIL</v>
      </c>
      <c r="E2215">
        <f>TEST_DATA!E2215</f>
        <v>1164</v>
      </c>
    </row>
    <row r="2216" spans="1:5" x14ac:dyDescent="0.55000000000000004">
      <c r="A2216" t="str">
        <f>TEST_DATA!A2216</f>
        <v>27AAAAA2216Z5</v>
      </c>
      <c r="B2216" t="str">
        <f>TEST_DATA!B2216</f>
        <v>Jun-2020</v>
      </c>
      <c r="C2216">
        <f>TEST_DATA!C2216</f>
        <v>44080</v>
      </c>
      <c r="D2216" t="str">
        <f>TEST_DATA!D2216</f>
        <v>NON-NIL</v>
      </c>
      <c r="E2216">
        <f>TEST_DATA!E2216</f>
        <v>1530</v>
      </c>
    </row>
    <row r="2217" spans="1:5" x14ac:dyDescent="0.55000000000000004">
      <c r="A2217" t="str">
        <f>TEST_DATA!A2217</f>
        <v>27AAAAA2217Z5</v>
      </c>
      <c r="B2217" t="str">
        <f>TEST_DATA!B2217</f>
        <v>Mar-2020</v>
      </c>
      <c r="C2217">
        <f>TEST_DATA!C2217</f>
        <v>44048</v>
      </c>
      <c r="D2217" t="str">
        <f>TEST_DATA!D2217</f>
        <v>NON-NIL</v>
      </c>
      <c r="E2217">
        <f>TEST_DATA!E2217</f>
        <v>629</v>
      </c>
    </row>
    <row r="2218" spans="1:5" x14ac:dyDescent="0.55000000000000004">
      <c r="A2218" t="str">
        <f>TEST_DATA!A2218</f>
        <v>27AAAAA2218Z5</v>
      </c>
      <c r="B2218" t="str">
        <f>TEST_DATA!B2218</f>
        <v>Jul-2017</v>
      </c>
      <c r="C2218">
        <f>TEST_DATA!C2218</f>
        <v>43083</v>
      </c>
      <c r="D2218" t="str">
        <f>TEST_DATA!D2218</f>
        <v>NON-NIL</v>
      </c>
      <c r="E2218">
        <f>TEST_DATA!E2218</f>
        <v>2898</v>
      </c>
    </row>
    <row r="2219" spans="1:5" x14ac:dyDescent="0.55000000000000004">
      <c r="A2219" t="str">
        <f>TEST_DATA!A2219</f>
        <v>27AAAAA2219Z5</v>
      </c>
      <c r="B2219" t="str">
        <f>TEST_DATA!B2219</f>
        <v>Jun-2020</v>
      </c>
      <c r="C2219">
        <f>TEST_DATA!C2219</f>
        <v>44813</v>
      </c>
      <c r="D2219" t="str">
        <f>TEST_DATA!D2219</f>
        <v>NON-NIL</v>
      </c>
      <c r="E2219">
        <f>TEST_DATA!E2219</f>
        <v>2573</v>
      </c>
    </row>
    <row r="2220" spans="1:5" x14ac:dyDescent="0.55000000000000004">
      <c r="A2220" t="str">
        <f>TEST_DATA!A2220</f>
        <v>27AAAAA2220Z5</v>
      </c>
      <c r="B2220" t="str">
        <f>TEST_DATA!B2220</f>
        <v>Mar-2018</v>
      </c>
      <c r="C2220">
        <f>TEST_DATA!C2220</f>
        <v>44133</v>
      </c>
      <c r="D2220" t="str">
        <f>TEST_DATA!D2220</f>
        <v>NIL</v>
      </c>
      <c r="E2220">
        <f>TEST_DATA!E2220</f>
        <v>1349</v>
      </c>
    </row>
    <row r="2221" spans="1:5" x14ac:dyDescent="0.55000000000000004">
      <c r="A2221" t="str">
        <f>TEST_DATA!A2221</f>
        <v>27AAAAA2221Z5</v>
      </c>
      <c r="B2221" t="str">
        <f>TEST_DATA!B2221</f>
        <v>Aug-2017</v>
      </c>
      <c r="C2221">
        <f>TEST_DATA!C2221</f>
        <v>44260</v>
      </c>
      <c r="D2221" t="str">
        <f>TEST_DATA!D2221</f>
        <v>NON-NIL</v>
      </c>
      <c r="E2221">
        <f>TEST_DATA!E2221</f>
        <v>1330</v>
      </c>
    </row>
    <row r="2222" spans="1:5" x14ac:dyDescent="0.55000000000000004">
      <c r="A2222" t="str">
        <f>TEST_DATA!A2222</f>
        <v>27AAAAA2222Z5</v>
      </c>
      <c r="B2222" t="str">
        <f>TEST_DATA!B2222</f>
        <v>Jan-2021</v>
      </c>
      <c r="C2222">
        <f>TEST_DATA!C2222</f>
        <v>45797</v>
      </c>
      <c r="D2222" t="str">
        <f>TEST_DATA!D2222</f>
        <v>NIL</v>
      </c>
      <c r="E2222">
        <f>TEST_DATA!E2222</f>
        <v>865</v>
      </c>
    </row>
    <row r="2223" spans="1:5" x14ac:dyDescent="0.55000000000000004">
      <c r="A2223" t="str">
        <f>TEST_DATA!A2223</f>
        <v>27AAAAA2223Z5</v>
      </c>
      <c r="B2223" t="str">
        <f>TEST_DATA!B2223</f>
        <v>Mar-2023</v>
      </c>
      <c r="C2223">
        <f>TEST_DATA!C2223</f>
        <v>43665</v>
      </c>
      <c r="D2223" t="str">
        <f>TEST_DATA!D2223</f>
        <v>NON-NIL</v>
      </c>
      <c r="E2223">
        <f>TEST_DATA!E2223</f>
        <v>1323</v>
      </c>
    </row>
    <row r="2224" spans="1:5" x14ac:dyDescent="0.55000000000000004">
      <c r="A2224" t="str">
        <f>TEST_DATA!A2224</f>
        <v>27AAAAA2224Z5</v>
      </c>
      <c r="B2224" t="str">
        <f>TEST_DATA!B2224</f>
        <v>Apr-2021</v>
      </c>
      <c r="C2224">
        <f>TEST_DATA!C2224</f>
        <v>43693</v>
      </c>
      <c r="D2224" t="str">
        <f>TEST_DATA!D2224</f>
        <v>NIL</v>
      </c>
      <c r="E2224">
        <f>TEST_DATA!E2224</f>
        <v>2241</v>
      </c>
    </row>
    <row r="2225" spans="1:5" x14ac:dyDescent="0.55000000000000004">
      <c r="A2225" t="str">
        <f>TEST_DATA!A2225</f>
        <v>27AAAAA2225Z5</v>
      </c>
      <c r="B2225" t="str">
        <f>TEST_DATA!B2225</f>
        <v>Apr-2020</v>
      </c>
      <c r="C2225">
        <f>TEST_DATA!C2225</f>
        <v>44612</v>
      </c>
      <c r="D2225" t="str">
        <f>TEST_DATA!D2225</f>
        <v>NIL</v>
      </c>
      <c r="E2225">
        <f>TEST_DATA!E2225</f>
        <v>1633</v>
      </c>
    </row>
    <row r="2226" spans="1:5" x14ac:dyDescent="0.55000000000000004">
      <c r="A2226" t="str">
        <f>TEST_DATA!A2226</f>
        <v>27AAAAA2226Z5</v>
      </c>
      <c r="B2226" t="str">
        <f>TEST_DATA!B2226</f>
        <v>Mar-2018</v>
      </c>
      <c r="C2226">
        <f>TEST_DATA!C2226</f>
        <v>43281</v>
      </c>
      <c r="D2226" t="str">
        <f>TEST_DATA!D2226</f>
        <v>NIL</v>
      </c>
      <c r="E2226">
        <f>TEST_DATA!E2226</f>
        <v>1633</v>
      </c>
    </row>
    <row r="2227" spans="1:5" x14ac:dyDescent="0.55000000000000004">
      <c r="A2227" t="str">
        <f>TEST_DATA!A2227</f>
        <v>27AAAAA2227Z5</v>
      </c>
      <c r="B2227" t="str">
        <f>TEST_DATA!B2227</f>
        <v>Sep-2017</v>
      </c>
      <c r="C2227">
        <f>TEST_DATA!C2227</f>
        <v>42959</v>
      </c>
      <c r="D2227" t="str">
        <f>TEST_DATA!D2227</f>
        <v>NIL</v>
      </c>
      <c r="E2227">
        <f>TEST_DATA!E2227</f>
        <v>667</v>
      </c>
    </row>
    <row r="2228" spans="1:5" x14ac:dyDescent="0.55000000000000004">
      <c r="A2228" t="str">
        <f>TEST_DATA!A2228</f>
        <v>27AAAAA2228Z5</v>
      </c>
      <c r="B2228" t="str">
        <f>TEST_DATA!B2228</f>
        <v>Jul-2018</v>
      </c>
      <c r="C2228">
        <f>TEST_DATA!C2228</f>
        <v>44513</v>
      </c>
      <c r="D2228" t="str">
        <f>TEST_DATA!D2228</f>
        <v>NON-NIL</v>
      </c>
      <c r="E2228">
        <f>TEST_DATA!E2228</f>
        <v>1167</v>
      </c>
    </row>
    <row r="2229" spans="1:5" x14ac:dyDescent="0.55000000000000004">
      <c r="A2229" t="str">
        <f>TEST_DATA!A2229</f>
        <v>27AAAAA2229Z5</v>
      </c>
      <c r="B2229" t="str">
        <f>TEST_DATA!B2229</f>
        <v>May-2020</v>
      </c>
      <c r="C2229">
        <f>TEST_DATA!C2229</f>
        <v>44146</v>
      </c>
      <c r="D2229" t="str">
        <f>TEST_DATA!D2229</f>
        <v>NIL</v>
      </c>
      <c r="E2229">
        <f>TEST_DATA!E2229</f>
        <v>1222</v>
      </c>
    </row>
    <row r="2230" spans="1:5" x14ac:dyDescent="0.55000000000000004">
      <c r="A2230" t="str">
        <f>TEST_DATA!A2230</f>
        <v>27AAAAA2230Z5</v>
      </c>
      <c r="B2230" t="str">
        <f>TEST_DATA!B2230</f>
        <v>Jan-2019</v>
      </c>
      <c r="C2230">
        <f>TEST_DATA!C2230</f>
        <v>45236</v>
      </c>
      <c r="D2230" t="str">
        <f>TEST_DATA!D2230</f>
        <v>NON-NIL</v>
      </c>
      <c r="E2230">
        <f>TEST_DATA!E2230</f>
        <v>2805</v>
      </c>
    </row>
    <row r="2231" spans="1:5" x14ac:dyDescent="0.55000000000000004">
      <c r="A2231" t="str">
        <f>TEST_DATA!A2231</f>
        <v>27AAAAA2231Z5</v>
      </c>
      <c r="B2231" t="str">
        <f>TEST_DATA!B2231</f>
        <v>Apr-2020</v>
      </c>
      <c r="C2231">
        <f>TEST_DATA!C2231</f>
        <v>44099</v>
      </c>
      <c r="D2231" t="str">
        <f>TEST_DATA!D2231</f>
        <v>NON-NIL</v>
      </c>
      <c r="E2231">
        <f>TEST_DATA!E2231</f>
        <v>2725</v>
      </c>
    </row>
    <row r="2232" spans="1:5" x14ac:dyDescent="0.55000000000000004">
      <c r="A2232" t="str">
        <f>TEST_DATA!A2232</f>
        <v>27AAAAA2232Z5</v>
      </c>
      <c r="B2232" t="str">
        <f>TEST_DATA!B2232</f>
        <v>Oct-2017</v>
      </c>
      <c r="C2232">
        <f>TEST_DATA!C2232</f>
        <v>43669</v>
      </c>
      <c r="D2232" t="str">
        <f>TEST_DATA!D2232</f>
        <v>NIL</v>
      </c>
      <c r="E2232">
        <f>TEST_DATA!E2232</f>
        <v>2005</v>
      </c>
    </row>
    <row r="2233" spans="1:5" x14ac:dyDescent="0.55000000000000004">
      <c r="A2233" t="str">
        <f>TEST_DATA!A2233</f>
        <v>27AAAAA2233Z5</v>
      </c>
      <c r="B2233" t="str">
        <f>TEST_DATA!B2233</f>
        <v>Sep-2018</v>
      </c>
      <c r="C2233">
        <f>TEST_DATA!C2233</f>
        <v>43711</v>
      </c>
      <c r="D2233" t="str">
        <f>TEST_DATA!D2233</f>
        <v>NON-NIL</v>
      </c>
      <c r="E2233">
        <f>TEST_DATA!E2233</f>
        <v>1099</v>
      </c>
    </row>
    <row r="2234" spans="1:5" x14ac:dyDescent="0.55000000000000004">
      <c r="A2234" t="str">
        <f>TEST_DATA!A2234</f>
        <v>27AAAAA2234Z5</v>
      </c>
      <c r="B2234" t="str">
        <f>TEST_DATA!B2234</f>
        <v>Mar-2020</v>
      </c>
      <c r="C2234">
        <f>TEST_DATA!C2234</f>
        <v>44697</v>
      </c>
      <c r="D2234" t="str">
        <f>TEST_DATA!D2234</f>
        <v>NIL</v>
      </c>
      <c r="E2234">
        <f>TEST_DATA!E2234</f>
        <v>1730</v>
      </c>
    </row>
    <row r="2235" spans="1:5" x14ac:dyDescent="0.55000000000000004">
      <c r="A2235" t="str">
        <f>TEST_DATA!A2235</f>
        <v>27AAAAA2235Z5</v>
      </c>
      <c r="B2235" t="str">
        <f>TEST_DATA!B2235</f>
        <v>Apr-2021</v>
      </c>
      <c r="C2235">
        <f>TEST_DATA!C2235</f>
        <v>44974</v>
      </c>
      <c r="D2235" t="str">
        <f>TEST_DATA!D2235</f>
        <v>NIL</v>
      </c>
      <c r="E2235">
        <f>TEST_DATA!E2235</f>
        <v>1778</v>
      </c>
    </row>
    <row r="2236" spans="1:5" x14ac:dyDescent="0.55000000000000004">
      <c r="A2236" t="str">
        <f>TEST_DATA!A2236</f>
        <v>27AAAAA2236Z5</v>
      </c>
      <c r="B2236" t="str">
        <f>TEST_DATA!B2236</f>
        <v>May-2020</v>
      </c>
      <c r="C2236">
        <f>TEST_DATA!C2236</f>
        <v>44703</v>
      </c>
      <c r="D2236" t="str">
        <f>TEST_DATA!D2236</f>
        <v>NIL</v>
      </c>
      <c r="E2236">
        <f>TEST_DATA!E2236</f>
        <v>165</v>
      </c>
    </row>
    <row r="2237" spans="1:5" x14ac:dyDescent="0.55000000000000004">
      <c r="A2237" t="str">
        <f>TEST_DATA!A2237</f>
        <v>27AAAAA2237Z5</v>
      </c>
      <c r="B2237" t="str">
        <f>TEST_DATA!B2237</f>
        <v>Jun-2019</v>
      </c>
      <c r="C2237">
        <f>TEST_DATA!C2237</f>
        <v>44865</v>
      </c>
      <c r="D2237" t="str">
        <f>TEST_DATA!D2237</f>
        <v>NON-NIL</v>
      </c>
      <c r="E2237">
        <f>TEST_DATA!E2237</f>
        <v>2770</v>
      </c>
    </row>
    <row r="2238" spans="1:5" x14ac:dyDescent="0.55000000000000004">
      <c r="A2238" t="str">
        <f>TEST_DATA!A2238</f>
        <v>27AAAAA2238Z5</v>
      </c>
      <c r="B2238" t="str">
        <f>TEST_DATA!B2238</f>
        <v>Feb-2018</v>
      </c>
      <c r="C2238">
        <f>TEST_DATA!C2238</f>
        <v>44243</v>
      </c>
      <c r="D2238" t="str">
        <f>TEST_DATA!D2238</f>
        <v>NIL</v>
      </c>
      <c r="E2238">
        <f>TEST_DATA!E2238</f>
        <v>2028</v>
      </c>
    </row>
    <row r="2239" spans="1:5" x14ac:dyDescent="0.55000000000000004">
      <c r="A2239" t="str">
        <f>TEST_DATA!A2239</f>
        <v>27AAAAA2239Z5</v>
      </c>
      <c r="B2239" t="str">
        <f>TEST_DATA!B2239</f>
        <v>Jun-2019</v>
      </c>
      <c r="C2239">
        <f>TEST_DATA!C2239</f>
        <v>45615</v>
      </c>
      <c r="D2239" t="str">
        <f>TEST_DATA!D2239</f>
        <v>NIL</v>
      </c>
      <c r="E2239">
        <f>TEST_DATA!E2239</f>
        <v>1190</v>
      </c>
    </row>
    <row r="2240" spans="1:5" x14ac:dyDescent="0.55000000000000004">
      <c r="A2240" t="str">
        <f>TEST_DATA!A2240</f>
        <v>27AAAAA2240Z5</v>
      </c>
      <c r="B2240" t="str">
        <f>TEST_DATA!B2240</f>
        <v>Sep-2018</v>
      </c>
      <c r="C2240">
        <f>TEST_DATA!C2240</f>
        <v>43812</v>
      </c>
      <c r="D2240" t="str">
        <f>TEST_DATA!D2240</f>
        <v>NIL</v>
      </c>
      <c r="E2240">
        <f>TEST_DATA!E2240</f>
        <v>1956</v>
      </c>
    </row>
    <row r="2241" spans="1:5" x14ac:dyDescent="0.55000000000000004">
      <c r="A2241" t="str">
        <f>TEST_DATA!A2241</f>
        <v>27AAAAA2241Z5</v>
      </c>
      <c r="B2241" t="str">
        <f>TEST_DATA!B2241</f>
        <v>Apr-2018</v>
      </c>
      <c r="C2241">
        <f>TEST_DATA!C2241</f>
        <v>43221</v>
      </c>
      <c r="D2241" t="str">
        <f>TEST_DATA!D2241</f>
        <v>NIL</v>
      </c>
      <c r="E2241">
        <f>TEST_DATA!E2241</f>
        <v>2802</v>
      </c>
    </row>
    <row r="2242" spans="1:5" x14ac:dyDescent="0.55000000000000004">
      <c r="A2242" t="str">
        <f>TEST_DATA!A2242</f>
        <v>27AAAAA2242Z5</v>
      </c>
      <c r="B2242" t="str">
        <f>TEST_DATA!B2242</f>
        <v>Dec-2024</v>
      </c>
      <c r="C2242">
        <f>TEST_DATA!C2242</f>
        <v>44696</v>
      </c>
      <c r="D2242" t="str">
        <f>TEST_DATA!D2242</f>
        <v>NIL</v>
      </c>
      <c r="E2242">
        <f>TEST_DATA!E2242</f>
        <v>2142</v>
      </c>
    </row>
    <row r="2243" spans="1:5" x14ac:dyDescent="0.55000000000000004">
      <c r="A2243" t="str">
        <f>TEST_DATA!A2243</f>
        <v>27AAAAA2243Z5</v>
      </c>
      <c r="B2243" t="str">
        <f>TEST_DATA!B2243</f>
        <v>Aug-2018</v>
      </c>
      <c r="C2243">
        <f>TEST_DATA!C2243</f>
        <v>43522</v>
      </c>
      <c r="D2243" t="str">
        <f>TEST_DATA!D2243</f>
        <v>NIL</v>
      </c>
      <c r="E2243">
        <f>TEST_DATA!E2243</f>
        <v>2256</v>
      </c>
    </row>
    <row r="2244" spans="1:5" x14ac:dyDescent="0.55000000000000004">
      <c r="A2244" t="str">
        <f>TEST_DATA!A2244</f>
        <v>27AAAAA2244Z5</v>
      </c>
      <c r="B2244" t="str">
        <f>TEST_DATA!B2244</f>
        <v>Sep-2017</v>
      </c>
      <c r="C2244">
        <f>TEST_DATA!C2244</f>
        <v>43009</v>
      </c>
      <c r="D2244" t="str">
        <f>TEST_DATA!D2244</f>
        <v>NIL</v>
      </c>
      <c r="E2244">
        <f>TEST_DATA!E2244</f>
        <v>2091</v>
      </c>
    </row>
    <row r="2245" spans="1:5" x14ac:dyDescent="0.55000000000000004">
      <c r="A2245" t="str">
        <f>TEST_DATA!A2245</f>
        <v>27AAAAA2245Z5</v>
      </c>
      <c r="B2245" t="str">
        <f>TEST_DATA!B2245</f>
        <v>Aug-2018</v>
      </c>
      <c r="C2245">
        <f>TEST_DATA!C2245</f>
        <v>43762</v>
      </c>
      <c r="D2245" t="str">
        <f>TEST_DATA!D2245</f>
        <v>NIL</v>
      </c>
      <c r="E2245">
        <f>TEST_DATA!E2245</f>
        <v>1903</v>
      </c>
    </row>
    <row r="2246" spans="1:5" x14ac:dyDescent="0.55000000000000004">
      <c r="A2246" t="str">
        <f>TEST_DATA!A2246</f>
        <v>27AAAAA2246Z5</v>
      </c>
      <c r="B2246" t="str">
        <f>TEST_DATA!B2246</f>
        <v>Jun-2020</v>
      </c>
      <c r="C2246">
        <f>TEST_DATA!C2246</f>
        <v>44349</v>
      </c>
      <c r="D2246" t="str">
        <f>TEST_DATA!D2246</f>
        <v>NON-NIL</v>
      </c>
      <c r="E2246">
        <f>TEST_DATA!E2246</f>
        <v>1043</v>
      </c>
    </row>
    <row r="2247" spans="1:5" x14ac:dyDescent="0.55000000000000004">
      <c r="A2247" t="str">
        <f>TEST_DATA!A2247</f>
        <v>27AAAAA2247Z5</v>
      </c>
      <c r="B2247" t="str">
        <f>TEST_DATA!B2247</f>
        <v>Mar-2020</v>
      </c>
      <c r="C2247">
        <f>TEST_DATA!C2247</f>
        <v>43998</v>
      </c>
      <c r="D2247" t="str">
        <f>TEST_DATA!D2247</f>
        <v>NIL</v>
      </c>
      <c r="E2247">
        <f>TEST_DATA!E2247</f>
        <v>466</v>
      </c>
    </row>
    <row r="2248" spans="1:5" x14ac:dyDescent="0.55000000000000004">
      <c r="A2248" t="str">
        <f>TEST_DATA!A2248</f>
        <v>27AAAAA2248Z5</v>
      </c>
      <c r="B2248" t="str">
        <f>TEST_DATA!B2248</f>
        <v>Jan-2021</v>
      </c>
      <c r="C2248">
        <f>TEST_DATA!C2248</f>
        <v>45361</v>
      </c>
      <c r="D2248" t="str">
        <f>TEST_DATA!D2248</f>
        <v>NIL</v>
      </c>
      <c r="E2248">
        <f>TEST_DATA!E2248</f>
        <v>746</v>
      </c>
    </row>
    <row r="2249" spans="1:5" x14ac:dyDescent="0.55000000000000004">
      <c r="A2249" t="str">
        <f>TEST_DATA!A2249</f>
        <v>27AAAAA2249Z5</v>
      </c>
      <c r="B2249" t="str">
        <f>TEST_DATA!B2249</f>
        <v>Dec-2022</v>
      </c>
      <c r="C2249">
        <f>TEST_DATA!C2249</f>
        <v>45075</v>
      </c>
      <c r="D2249" t="str">
        <f>TEST_DATA!D2249</f>
        <v>NIL</v>
      </c>
      <c r="E2249">
        <f>TEST_DATA!E2249</f>
        <v>341</v>
      </c>
    </row>
    <row r="2250" spans="1:5" x14ac:dyDescent="0.55000000000000004">
      <c r="A2250" t="str">
        <f>TEST_DATA!A2250</f>
        <v>27AAAAA2250Z5</v>
      </c>
      <c r="B2250" t="str">
        <f>TEST_DATA!B2250</f>
        <v>Aug-2018</v>
      </c>
      <c r="C2250">
        <f>TEST_DATA!C2250</f>
        <v>44359</v>
      </c>
      <c r="D2250" t="str">
        <f>TEST_DATA!D2250</f>
        <v>NON-NIL</v>
      </c>
      <c r="E2250">
        <f>TEST_DATA!E2250</f>
        <v>1285</v>
      </c>
    </row>
    <row r="2251" spans="1:5" x14ac:dyDescent="0.55000000000000004">
      <c r="A2251" t="str">
        <f>TEST_DATA!A2251</f>
        <v>27AAAAA2251Z5</v>
      </c>
      <c r="B2251" t="str">
        <f>TEST_DATA!B2251</f>
        <v>Mar-2020</v>
      </c>
      <c r="C2251">
        <f>TEST_DATA!C2251</f>
        <v>44762</v>
      </c>
      <c r="D2251" t="str">
        <f>TEST_DATA!D2251</f>
        <v>NON-NIL</v>
      </c>
      <c r="E2251">
        <f>TEST_DATA!E2251</f>
        <v>2555</v>
      </c>
    </row>
    <row r="2252" spans="1:5" x14ac:dyDescent="0.55000000000000004">
      <c r="A2252" t="str">
        <f>TEST_DATA!A2252</f>
        <v>27AAAAA2252Z5</v>
      </c>
      <c r="B2252" t="str">
        <f>TEST_DATA!B2252</f>
        <v>Apr-2021</v>
      </c>
      <c r="C2252">
        <f>TEST_DATA!C2252</f>
        <v>44551</v>
      </c>
      <c r="D2252" t="str">
        <f>TEST_DATA!D2252</f>
        <v>NON-NIL</v>
      </c>
      <c r="E2252">
        <f>TEST_DATA!E2252</f>
        <v>766</v>
      </c>
    </row>
    <row r="2253" spans="1:5" x14ac:dyDescent="0.55000000000000004">
      <c r="A2253" t="str">
        <f>TEST_DATA!A2253</f>
        <v>27AAAAA2253Z5</v>
      </c>
      <c r="B2253" t="str">
        <f>TEST_DATA!B2253</f>
        <v>Jan-2018</v>
      </c>
      <c r="C2253">
        <f>TEST_DATA!C2253</f>
        <v>43296</v>
      </c>
      <c r="D2253" t="str">
        <f>TEST_DATA!D2253</f>
        <v>NIL</v>
      </c>
      <c r="E2253">
        <f>TEST_DATA!E2253</f>
        <v>2474</v>
      </c>
    </row>
    <row r="2254" spans="1:5" x14ac:dyDescent="0.55000000000000004">
      <c r="A2254" t="str">
        <f>TEST_DATA!A2254</f>
        <v>27AAAAA2254Z5</v>
      </c>
      <c r="B2254" t="str">
        <f>TEST_DATA!B2254</f>
        <v>Mar-2018</v>
      </c>
      <c r="C2254">
        <f>TEST_DATA!C2254</f>
        <v>44296</v>
      </c>
      <c r="D2254" t="str">
        <f>TEST_DATA!D2254</f>
        <v>NIL</v>
      </c>
      <c r="E2254">
        <f>TEST_DATA!E2254</f>
        <v>1776</v>
      </c>
    </row>
    <row r="2255" spans="1:5" x14ac:dyDescent="0.55000000000000004">
      <c r="A2255" t="str">
        <f>TEST_DATA!A2255</f>
        <v>27AAAAA2255Z5</v>
      </c>
      <c r="B2255" t="str">
        <f>TEST_DATA!B2255</f>
        <v>Dec-2019</v>
      </c>
      <c r="C2255">
        <f>TEST_DATA!C2255</f>
        <v>43539</v>
      </c>
      <c r="D2255" t="str">
        <f>TEST_DATA!D2255</f>
        <v>NIL</v>
      </c>
      <c r="E2255">
        <f>TEST_DATA!E2255</f>
        <v>1617</v>
      </c>
    </row>
    <row r="2256" spans="1:5" x14ac:dyDescent="0.55000000000000004">
      <c r="A2256" t="str">
        <f>TEST_DATA!A2256</f>
        <v>27AAAAA2256Z5</v>
      </c>
      <c r="B2256" t="str">
        <f>TEST_DATA!B2256</f>
        <v>Oct-2017</v>
      </c>
      <c r="C2256">
        <f>TEST_DATA!C2256</f>
        <v>42944</v>
      </c>
      <c r="D2256" t="str">
        <f>TEST_DATA!D2256</f>
        <v>NIL</v>
      </c>
      <c r="E2256">
        <f>TEST_DATA!E2256</f>
        <v>2686</v>
      </c>
    </row>
    <row r="2257" spans="1:5" x14ac:dyDescent="0.55000000000000004">
      <c r="A2257" t="str">
        <f>TEST_DATA!A2257</f>
        <v>27AAAAA2257Z5</v>
      </c>
      <c r="B2257" t="str">
        <f>TEST_DATA!B2257</f>
        <v>Jan-2019</v>
      </c>
      <c r="C2257">
        <f>TEST_DATA!C2257</f>
        <v>45350</v>
      </c>
      <c r="D2257" t="str">
        <f>TEST_DATA!D2257</f>
        <v>NON-NIL</v>
      </c>
      <c r="E2257">
        <f>TEST_DATA!E2257</f>
        <v>2694</v>
      </c>
    </row>
    <row r="2258" spans="1:5" x14ac:dyDescent="0.55000000000000004">
      <c r="A2258" t="str">
        <f>TEST_DATA!A2258</f>
        <v>27AAAAA2258Z5</v>
      </c>
      <c r="B2258" t="str">
        <f>TEST_DATA!B2258</f>
        <v>Jan-2021</v>
      </c>
      <c r="C2258">
        <f>TEST_DATA!C2258</f>
        <v>45459</v>
      </c>
      <c r="D2258" t="str">
        <f>TEST_DATA!D2258</f>
        <v>NON-NIL</v>
      </c>
      <c r="E2258">
        <f>TEST_DATA!E2258</f>
        <v>2533</v>
      </c>
    </row>
    <row r="2259" spans="1:5" x14ac:dyDescent="0.55000000000000004">
      <c r="A2259" t="str">
        <f>TEST_DATA!A2259</f>
        <v>27AAAAA2259Z5</v>
      </c>
      <c r="B2259" t="str">
        <f>TEST_DATA!B2259</f>
        <v>Dec-2022</v>
      </c>
      <c r="C2259">
        <f>TEST_DATA!C2259</f>
        <v>44943</v>
      </c>
      <c r="D2259" t="str">
        <f>TEST_DATA!D2259</f>
        <v>NON-NIL</v>
      </c>
      <c r="E2259">
        <f>TEST_DATA!E2259</f>
        <v>1239</v>
      </c>
    </row>
    <row r="2260" spans="1:5" x14ac:dyDescent="0.55000000000000004">
      <c r="A2260" t="str">
        <f>TEST_DATA!A2260</f>
        <v>27AAAAA2260Z5</v>
      </c>
      <c r="B2260" t="str">
        <f>TEST_DATA!B2260</f>
        <v>Sep-2017</v>
      </c>
      <c r="C2260">
        <f>TEST_DATA!C2260</f>
        <v>43173</v>
      </c>
      <c r="D2260" t="str">
        <f>TEST_DATA!D2260</f>
        <v>NIL</v>
      </c>
      <c r="E2260">
        <f>TEST_DATA!E2260</f>
        <v>56</v>
      </c>
    </row>
    <row r="2261" spans="1:5" x14ac:dyDescent="0.55000000000000004">
      <c r="A2261" t="str">
        <f>TEST_DATA!A2261</f>
        <v>27AAAAA2261Z5</v>
      </c>
      <c r="B2261" t="str">
        <f>TEST_DATA!B2261</f>
        <v>Jan-2018</v>
      </c>
      <c r="C2261">
        <f>TEST_DATA!C2261</f>
        <v>43146</v>
      </c>
      <c r="D2261" t="str">
        <f>TEST_DATA!D2261</f>
        <v>NIL</v>
      </c>
      <c r="E2261">
        <f>TEST_DATA!E2261</f>
        <v>2850</v>
      </c>
    </row>
    <row r="2262" spans="1:5" x14ac:dyDescent="0.55000000000000004">
      <c r="A2262" t="str">
        <f>TEST_DATA!A2262</f>
        <v>27AAAAA2262Z5</v>
      </c>
      <c r="B2262" t="str">
        <f>TEST_DATA!B2262</f>
        <v>Jan-2018</v>
      </c>
      <c r="C2262">
        <f>TEST_DATA!C2262</f>
        <v>42971</v>
      </c>
      <c r="D2262" t="str">
        <f>TEST_DATA!D2262</f>
        <v>NIL</v>
      </c>
      <c r="E2262">
        <f>TEST_DATA!E2262</f>
        <v>1970</v>
      </c>
    </row>
    <row r="2263" spans="1:5" x14ac:dyDescent="0.55000000000000004">
      <c r="A2263" t="str">
        <f>TEST_DATA!A2263</f>
        <v>27AAAAA2263Z5</v>
      </c>
      <c r="B2263" t="str">
        <f>TEST_DATA!B2263</f>
        <v>May-2020</v>
      </c>
      <c r="C2263">
        <f>TEST_DATA!C2263</f>
        <v>44128</v>
      </c>
      <c r="D2263" t="str">
        <f>TEST_DATA!D2263</f>
        <v>NIL</v>
      </c>
      <c r="E2263">
        <f>TEST_DATA!E2263</f>
        <v>1784</v>
      </c>
    </row>
    <row r="2264" spans="1:5" x14ac:dyDescent="0.55000000000000004">
      <c r="A2264" t="str">
        <f>TEST_DATA!A2264</f>
        <v>27AAAAA2264Z5</v>
      </c>
      <c r="B2264" t="str">
        <f>TEST_DATA!B2264</f>
        <v>Dec-2022</v>
      </c>
      <c r="C2264">
        <f>TEST_DATA!C2264</f>
        <v>45672</v>
      </c>
      <c r="D2264" t="str">
        <f>TEST_DATA!D2264</f>
        <v>NIL</v>
      </c>
      <c r="E2264">
        <f>TEST_DATA!E2264</f>
        <v>352</v>
      </c>
    </row>
    <row r="2265" spans="1:5" x14ac:dyDescent="0.55000000000000004">
      <c r="A2265" t="str">
        <f>TEST_DATA!A2265</f>
        <v>27AAAAA2265Z5</v>
      </c>
      <c r="B2265" t="str">
        <f>TEST_DATA!B2265</f>
        <v>Apr-2018</v>
      </c>
      <c r="C2265">
        <f>TEST_DATA!C2265</f>
        <v>44493</v>
      </c>
      <c r="D2265" t="str">
        <f>TEST_DATA!D2265</f>
        <v>NON-NIL</v>
      </c>
      <c r="E2265">
        <f>TEST_DATA!E2265</f>
        <v>606</v>
      </c>
    </row>
    <row r="2266" spans="1:5" x14ac:dyDescent="0.55000000000000004">
      <c r="A2266" t="str">
        <f>TEST_DATA!A2266</f>
        <v>27AAAAA2266Z5</v>
      </c>
      <c r="B2266" t="str">
        <f>TEST_DATA!B2266</f>
        <v>Jan-2019</v>
      </c>
      <c r="C2266">
        <f>TEST_DATA!C2266</f>
        <v>45194</v>
      </c>
      <c r="D2266" t="str">
        <f>TEST_DATA!D2266</f>
        <v>NIL</v>
      </c>
      <c r="E2266">
        <f>TEST_DATA!E2266</f>
        <v>477</v>
      </c>
    </row>
    <row r="2267" spans="1:5" x14ac:dyDescent="0.55000000000000004">
      <c r="A2267" t="str">
        <f>TEST_DATA!A2267</f>
        <v>27AAAAA2267Z5</v>
      </c>
      <c r="B2267" t="str">
        <f>TEST_DATA!B2267</f>
        <v>Dec-2017</v>
      </c>
      <c r="C2267">
        <f>TEST_DATA!C2267</f>
        <v>43229</v>
      </c>
      <c r="D2267" t="str">
        <f>TEST_DATA!D2267</f>
        <v>NON-NIL</v>
      </c>
      <c r="E2267">
        <f>TEST_DATA!E2267</f>
        <v>1986</v>
      </c>
    </row>
    <row r="2268" spans="1:5" x14ac:dyDescent="0.55000000000000004">
      <c r="A2268" t="str">
        <f>TEST_DATA!A2268</f>
        <v>27AAAAA2268Z5</v>
      </c>
      <c r="B2268" t="str">
        <f>TEST_DATA!B2268</f>
        <v>Jan-2019</v>
      </c>
      <c r="C2268">
        <f>TEST_DATA!C2268</f>
        <v>43546</v>
      </c>
      <c r="D2268" t="str">
        <f>TEST_DATA!D2268</f>
        <v>NON-NIL</v>
      </c>
      <c r="E2268">
        <f>TEST_DATA!E2268</f>
        <v>2397</v>
      </c>
    </row>
    <row r="2269" spans="1:5" x14ac:dyDescent="0.55000000000000004">
      <c r="A2269" t="str">
        <f>TEST_DATA!A2269</f>
        <v>27AAAAA2269Z5</v>
      </c>
      <c r="B2269" t="str">
        <f>TEST_DATA!B2269</f>
        <v>Feb-2018</v>
      </c>
      <c r="C2269">
        <f>TEST_DATA!C2269</f>
        <v>43329</v>
      </c>
      <c r="D2269" t="str">
        <f>TEST_DATA!D2269</f>
        <v>NON-NIL</v>
      </c>
      <c r="E2269">
        <f>TEST_DATA!E2269</f>
        <v>2332</v>
      </c>
    </row>
    <row r="2270" spans="1:5" x14ac:dyDescent="0.55000000000000004">
      <c r="A2270" t="str">
        <f>TEST_DATA!A2270</f>
        <v>27AAAAA2270Z5</v>
      </c>
      <c r="B2270" t="str">
        <f>TEST_DATA!B2270</f>
        <v>Dec-2022</v>
      </c>
      <c r="C2270">
        <f>TEST_DATA!C2270</f>
        <v>45070</v>
      </c>
      <c r="D2270" t="str">
        <f>TEST_DATA!D2270</f>
        <v>NIL</v>
      </c>
      <c r="E2270">
        <f>TEST_DATA!E2270</f>
        <v>1367</v>
      </c>
    </row>
    <row r="2271" spans="1:5" x14ac:dyDescent="0.55000000000000004">
      <c r="A2271" t="str">
        <f>TEST_DATA!A2271</f>
        <v>27AAAAA2271Z5</v>
      </c>
      <c r="B2271" t="str">
        <f>TEST_DATA!B2271</f>
        <v>Jul-2017</v>
      </c>
      <c r="C2271">
        <f>TEST_DATA!C2271</f>
        <v>43127</v>
      </c>
      <c r="D2271" t="str">
        <f>TEST_DATA!D2271</f>
        <v>NON-NIL</v>
      </c>
      <c r="E2271">
        <f>TEST_DATA!E2271</f>
        <v>1702</v>
      </c>
    </row>
    <row r="2272" spans="1:5" x14ac:dyDescent="0.55000000000000004">
      <c r="A2272" t="str">
        <f>TEST_DATA!A2272</f>
        <v>27AAAAA2272Z5</v>
      </c>
      <c r="B2272" t="str">
        <f>TEST_DATA!B2272</f>
        <v>Mar-2023</v>
      </c>
      <c r="C2272">
        <f>TEST_DATA!C2272</f>
        <v>45496</v>
      </c>
      <c r="D2272" t="str">
        <f>TEST_DATA!D2272</f>
        <v>NON-NIL</v>
      </c>
      <c r="E2272">
        <f>TEST_DATA!E2272</f>
        <v>151</v>
      </c>
    </row>
    <row r="2273" spans="1:5" x14ac:dyDescent="0.55000000000000004">
      <c r="A2273" t="str">
        <f>TEST_DATA!A2273</f>
        <v>27AAAAA2273Z5</v>
      </c>
      <c r="B2273" t="str">
        <f>TEST_DATA!B2273</f>
        <v>Jan-2019</v>
      </c>
      <c r="C2273">
        <f>TEST_DATA!C2273</f>
        <v>45103</v>
      </c>
      <c r="D2273" t="str">
        <f>TEST_DATA!D2273</f>
        <v>NON-NIL</v>
      </c>
      <c r="E2273">
        <f>TEST_DATA!E2273</f>
        <v>2102</v>
      </c>
    </row>
    <row r="2274" spans="1:5" x14ac:dyDescent="0.55000000000000004">
      <c r="A2274" t="str">
        <f>TEST_DATA!A2274</f>
        <v>27AAAAA2274Z5</v>
      </c>
      <c r="B2274" t="str">
        <f>TEST_DATA!B2274</f>
        <v>Mar-2020</v>
      </c>
      <c r="C2274">
        <f>TEST_DATA!C2274</f>
        <v>44830</v>
      </c>
      <c r="D2274" t="str">
        <f>TEST_DATA!D2274</f>
        <v>NIL</v>
      </c>
      <c r="E2274">
        <f>TEST_DATA!E2274</f>
        <v>2925</v>
      </c>
    </row>
    <row r="2275" spans="1:5" x14ac:dyDescent="0.55000000000000004">
      <c r="A2275" t="str">
        <f>TEST_DATA!A2275</f>
        <v>27AAAAA2275Z5</v>
      </c>
      <c r="B2275" t="str">
        <f>TEST_DATA!B2275</f>
        <v>Aug-2017</v>
      </c>
      <c r="C2275">
        <f>TEST_DATA!C2275</f>
        <v>43998</v>
      </c>
      <c r="D2275" t="str">
        <f>TEST_DATA!D2275</f>
        <v>NIL</v>
      </c>
      <c r="E2275">
        <f>TEST_DATA!E2275</f>
        <v>1728</v>
      </c>
    </row>
    <row r="2276" spans="1:5" x14ac:dyDescent="0.55000000000000004">
      <c r="A2276" t="str">
        <f>TEST_DATA!A2276</f>
        <v>27AAAAA2276Z5</v>
      </c>
      <c r="B2276" t="str">
        <f>TEST_DATA!B2276</f>
        <v>Mar-2020</v>
      </c>
      <c r="C2276">
        <f>TEST_DATA!C2276</f>
        <v>44477</v>
      </c>
      <c r="D2276" t="str">
        <f>TEST_DATA!D2276</f>
        <v>NIL</v>
      </c>
      <c r="E2276">
        <f>TEST_DATA!E2276</f>
        <v>1097</v>
      </c>
    </row>
    <row r="2277" spans="1:5" x14ac:dyDescent="0.55000000000000004">
      <c r="A2277" t="str">
        <f>TEST_DATA!A2277</f>
        <v>27AAAAA2277Z5</v>
      </c>
      <c r="B2277" t="str">
        <f>TEST_DATA!B2277</f>
        <v>Dec-2024</v>
      </c>
      <c r="C2277">
        <f>TEST_DATA!C2277</f>
        <v>45174</v>
      </c>
      <c r="D2277" t="str">
        <f>TEST_DATA!D2277</f>
        <v>NON-NIL</v>
      </c>
      <c r="E2277">
        <f>TEST_DATA!E2277</f>
        <v>478</v>
      </c>
    </row>
    <row r="2278" spans="1:5" x14ac:dyDescent="0.55000000000000004">
      <c r="A2278" t="str">
        <f>TEST_DATA!A2278</f>
        <v>27AAAAA2278Z5</v>
      </c>
      <c r="B2278" t="str">
        <f>TEST_DATA!B2278</f>
        <v>Jan-2019</v>
      </c>
      <c r="C2278">
        <f>TEST_DATA!C2278</f>
        <v>44886</v>
      </c>
      <c r="D2278" t="str">
        <f>TEST_DATA!D2278</f>
        <v>NON-NIL</v>
      </c>
      <c r="E2278">
        <f>TEST_DATA!E2278</f>
        <v>2857</v>
      </c>
    </row>
    <row r="2279" spans="1:5" x14ac:dyDescent="0.55000000000000004">
      <c r="A2279" t="str">
        <f>TEST_DATA!A2279</f>
        <v>27AAAAA2279Z5</v>
      </c>
      <c r="B2279" t="str">
        <f>TEST_DATA!B2279</f>
        <v>Aug-2018</v>
      </c>
      <c r="C2279">
        <f>TEST_DATA!C2279</f>
        <v>42959</v>
      </c>
      <c r="D2279" t="str">
        <f>TEST_DATA!D2279</f>
        <v>NIL</v>
      </c>
      <c r="E2279">
        <f>TEST_DATA!E2279</f>
        <v>1179</v>
      </c>
    </row>
    <row r="2280" spans="1:5" x14ac:dyDescent="0.55000000000000004">
      <c r="A2280" t="str">
        <f>TEST_DATA!A2280</f>
        <v>27AAAAA2280Z5</v>
      </c>
      <c r="B2280" t="str">
        <f>TEST_DATA!B2280</f>
        <v>Jan-2021</v>
      </c>
      <c r="C2280">
        <f>TEST_DATA!C2280</f>
        <v>44253</v>
      </c>
      <c r="D2280" t="str">
        <f>TEST_DATA!D2280</f>
        <v>NON-NIL</v>
      </c>
      <c r="E2280">
        <f>TEST_DATA!E2280</f>
        <v>1408</v>
      </c>
    </row>
    <row r="2281" spans="1:5" x14ac:dyDescent="0.55000000000000004">
      <c r="A2281" t="str">
        <f>TEST_DATA!A2281</f>
        <v>27AAAAA2281Z5</v>
      </c>
      <c r="B2281" t="str">
        <f>TEST_DATA!B2281</f>
        <v>Sep-2018</v>
      </c>
      <c r="C2281">
        <f>TEST_DATA!C2281</f>
        <v>43392</v>
      </c>
      <c r="D2281" t="str">
        <f>TEST_DATA!D2281</f>
        <v>NIL</v>
      </c>
      <c r="E2281">
        <f>TEST_DATA!E2281</f>
        <v>2407</v>
      </c>
    </row>
    <row r="2282" spans="1:5" x14ac:dyDescent="0.55000000000000004">
      <c r="A2282" t="str">
        <f>TEST_DATA!A2282</f>
        <v>27AAAAA2282Z5</v>
      </c>
      <c r="B2282" t="str">
        <f>TEST_DATA!B2282</f>
        <v>Jun-2020</v>
      </c>
      <c r="C2282">
        <f>TEST_DATA!C2282</f>
        <v>44525</v>
      </c>
      <c r="D2282" t="str">
        <f>TEST_DATA!D2282</f>
        <v>NON-NIL</v>
      </c>
      <c r="E2282">
        <f>TEST_DATA!E2282</f>
        <v>537</v>
      </c>
    </row>
    <row r="2283" spans="1:5" x14ac:dyDescent="0.55000000000000004">
      <c r="A2283" t="str">
        <f>TEST_DATA!A2283</f>
        <v>27AAAAA2283Z5</v>
      </c>
      <c r="B2283" t="str">
        <f>TEST_DATA!B2283</f>
        <v>Dec-2024</v>
      </c>
      <c r="C2283">
        <f>TEST_DATA!C2283</f>
        <v>44667</v>
      </c>
      <c r="D2283" t="str">
        <f>TEST_DATA!D2283</f>
        <v>NON-NIL</v>
      </c>
      <c r="E2283">
        <f>TEST_DATA!E2283</f>
        <v>1707</v>
      </c>
    </row>
    <row r="2284" spans="1:5" x14ac:dyDescent="0.55000000000000004">
      <c r="A2284" t="str">
        <f>TEST_DATA!A2284</f>
        <v>27AAAAA2284Z5</v>
      </c>
      <c r="B2284" t="str">
        <f>TEST_DATA!B2284</f>
        <v>Dec-2022</v>
      </c>
      <c r="C2284">
        <f>TEST_DATA!C2284</f>
        <v>44941</v>
      </c>
      <c r="D2284" t="str">
        <f>TEST_DATA!D2284</f>
        <v>NON-NIL</v>
      </c>
      <c r="E2284">
        <f>TEST_DATA!E2284</f>
        <v>663</v>
      </c>
    </row>
    <row r="2285" spans="1:5" x14ac:dyDescent="0.55000000000000004">
      <c r="A2285" t="str">
        <f>TEST_DATA!A2285</f>
        <v>27AAAAA2285Z5</v>
      </c>
      <c r="B2285" t="str">
        <f>TEST_DATA!B2285</f>
        <v>Apr-2020</v>
      </c>
      <c r="C2285">
        <f>TEST_DATA!C2285</f>
        <v>44255</v>
      </c>
      <c r="D2285" t="str">
        <f>TEST_DATA!D2285</f>
        <v>NON-NIL</v>
      </c>
      <c r="E2285">
        <f>TEST_DATA!E2285</f>
        <v>2829</v>
      </c>
    </row>
    <row r="2286" spans="1:5" x14ac:dyDescent="0.55000000000000004">
      <c r="A2286" t="str">
        <f>TEST_DATA!A2286</f>
        <v>27AAAAA2286Z5</v>
      </c>
      <c r="B2286" t="str">
        <f>TEST_DATA!B2286</f>
        <v>Jan-2021</v>
      </c>
      <c r="C2286">
        <f>TEST_DATA!C2286</f>
        <v>43819</v>
      </c>
      <c r="D2286" t="str">
        <f>TEST_DATA!D2286</f>
        <v>NON-NIL</v>
      </c>
      <c r="E2286">
        <f>TEST_DATA!E2286</f>
        <v>528</v>
      </c>
    </row>
    <row r="2287" spans="1:5" x14ac:dyDescent="0.55000000000000004">
      <c r="A2287" t="str">
        <f>TEST_DATA!A2287</f>
        <v>27AAAAA2287Z5</v>
      </c>
      <c r="B2287" t="str">
        <f>TEST_DATA!B2287</f>
        <v>Dec-2017</v>
      </c>
      <c r="C2287">
        <f>TEST_DATA!C2287</f>
        <v>43325</v>
      </c>
      <c r="D2287" t="str">
        <f>TEST_DATA!D2287</f>
        <v>NIL</v>
      </c>
      <c r="E2287">
        <f>TEST_DATA!E2287</f>
        <v>2481</v>
      </c>
    </row>
    <row r="2288" spans="1:5" x14ac:dyDescent="0.55000000000000004">
      <c r="A2288" t="str">
        <f>TEST_DATA!A2288</f>
        <v>27AAAAA2288Z5</v>
      </c>
      <c r="B2288" t="str">
        <f>TEST_DATA!B2288</f>
        <v>Jan-2019</v>
      </c>
      <c r="C2288">
        <f>TEST_DATA!C2288</f>
        <v>43879</v>
      </c>
      <c r="D2288" t="str">
        <f>TEST_DATA!D2288</f>
        <v>NON-NIL</v>
      </c>
      <c r="E2288">
        <f>TEST_DATA!E2288</f>
        <v>2022</v>
      </c>
    </row>
    <row r="2289" spans="1:5" x14ac:dyDescent="0.55000000000000004">
      <c r="A2289" t="str">
        <f>TEST_DATA!A2289</f>
        <v>27AAAAA2289Z5</v>
      </c>
      <c r="B2289" t="str">
        <f>TEST_DATA!B2289</f>
        <v>Apr-2018</v>
      </c>
      <c r="C2289">
        <f>TEST_DATA!C2289</f>
        <v>43397</v>
      </c>
      <c r="D2289" t="str">
        <f>TEST_DATA!D2289</f>
        <v>NIL</v>
      </c>
      <c r="E2289">
        <f>TEST_DATA!E2289</f>
        <v>2280</v>
      </c>
    </row>
    <row r="2290" spans="1:5" x14ac:dyDescent="0.55000000000000004">
      <c r="A2290" t="str">
        <f>TEST_DATA!A2290</f>
        <v>27AAAAA2290Z5</v>
      </c>
      <c r="B2290" t="str">
        <f>TEST_DATA!B2290</f>
        <v>Aug-2017</v>
      </c>
      <c r="C2290">
        <f>TEST_DATA!C2290</f>
        <v>42954</v>
      </c>
      <c r="D2290" t="str">
        <f>TEST_DATA!D2290</f>
        <v>NON-NIL</v>
      </c>
      <c r="E2290">
        <f>TEST_DATA!E2290</f>
        <v>1068</v>
      </c>
    </row>
    <row r="2291" spans="1:5" x14ac:dyDescent="0.55000000000000004">
      <c r="A2291" t="str">
        <f>TEST_DATA!A2291</f>
        <v>27AAAAA2291Z5</v>
      </c>
      <c r="B2291" t="str">
        <f>TEST_DATA!B2291</f>
        <v>Jun-2018</v>
      </c>
      <c r="C2291">
        <f>TEST_DATA!C2291</f>
        <v>44303</v>
      </c>
      <c r="D2291" t="str">
        <f>TEST_DATA!D2291</f>
        <v>NIL</v>
      </c>
      <c r="E2291">
        <f>TEST_DATA!E2291</f>
        <v>715</v>
      </c>
    </row>
    <row r="2292" spans="1:5" x14ac:dyDescent="0.55000000000000004">
      <c r="A2292" t="str">
        <f>TEST_DATA!A2292</f>
        <v>27AAAAA2292Z5</v>
      </c>
      <c r="B2292" t="str">
        <f>TEST_DATA!B2292</f>
        <v>Dec-2022</v>
      </c>
      <c r="C2292">
        <f>TEST_DATA!C2292</f>
        <v>45528</v>
      </c>
      <c r="D2292" t="str">
        <f>TEST_DATA!D2292</f>
        <v>NIL</v>
      </c>
      <c r="E2292">
        <f>TEST_DATA!E2292</f>
        <v>260</v>
      </c>
    </row>
    <row r="2293" spans="1:5" x14ac:dyDescent="0.55000000000000004">
      <c r="A2293" t="str">
        <f>TEST_DATA!A2293</f>
        <v>27AAAAA2293Z5</v>
      </c>
      <c r="B2293" t="str">
        <f>TEST_DATA!B2293</f>
        <v>May-2018</v>
      </c>
      <c r="C2293">
        <f>TEST_DATA!C2293</f>
        <v>43798</v>
      </c>
      <c r="D2293" t="str">
        <f>TEST_DATA!D2293</f>
        <v>NIL</v>
      </c>
      <c r="E2293">
        <f>TEST_DATA!E2293</f>
        <v>2529</v>
      </c>
    </row>
    <row r="2294" spans="1:5" x14ac:dyDescent="0.55000000000000004">
      <c r="A2294" t="str">
        <f>TEST_DATA!A2294</f>
        <v>27AAAAA2294Z5</v>
      </c>
      <c r="B2294" t="str">
        <f>TEST_DATA!B2294</f>
        <v>Feb-2018</v>
      </c>
      <c r="C2294">
        <f>TEST_DATA!C2294</f>
        <v>43164</v>
      </c>
      <c r="D2294" t="str">
        <f>TEST_DATA!D2294</f>
        <v>NIL</v>
      </c>
      <c r="E2294">
        <f>TEST_DATA!E2294</f>
        <v>1992</v>
      </c>
    </row>
    <row r="2295" spans="1:5" x14ac:dyDescent="0.55000000000000004">
      <c r="A2295" t="str">
        <f>TEST_DATA!A2295</f>
        <v>27AAAAA2295Z5</v>
      </c>
      <c r="B2295" t="str">
        <f>TEST_DATA!B2295</f>
        <v>Mar-2018</v>
      </c>
      <c r="C2295">
        <f>TEST_DATA!C2295</f>
        <v>43613</v>
      </c>
      <c r="D2295" t="str">
        <f>TEST_DATA!D2295</f>
        <v>NON-NIL</v>
      </c>
      <c r="E2295">
        <f>TEST_DATA!E2295</f>
        <v>191</v>
      </c>
    </row>
    <row r="2296" spans="1:5" x14ac:dyDescent="0.55000000000000004">
      <c r="A2296" t="str">
        <f>TEST_DATA!A2296</f>
        <v>27AAAAA2296Z5</v>
      </c>
      <c r="B2296" t="str">
        <f>TEST_DATA!B2296</f>
        <v>Mar-2021</v>
      </c>
      <c r="C2296">
        <f>TEST_DATA!C2296</f>
        <v>45747</v>
      </c>
      <c r="D2296" t="str">
        <f>TEST_DATA!D2296</f>
        <v>NON-NIL</v>
      </c>
      <c r="E2296">
        <f>TEST_DATA!E2296</f>
        <v>619</v>
      </c>
    </row>
    <row r="2297" spans="1:5" x14ac:dyDescent="0.55000000000000004">
      <c r="A2297" t="str">
        <f>TEST_DATA!A2297</f>
        <v>27AAAAA2297Z5</v>
      </c>
      <c r="B2297" t="str">
        <f>TEST_DATA!B2297</f>
        <v>Mar-2023</v>
      </c>
      <c r="C2297">
        <f>TEST_DATA!C2297</f>
        <v>45577</v>
      </c>
      <c r="D2297" t="str">
        <f>TEST_DATA!D2297</f>
        <v>NIL</v>
      </c>
      <c r="E2297">
        <f>TEST_DATA!E2297</f>
        <v>2893</v>
      </c>
    </row>
    <row r="2298" spans="1:5" x14ac:dyDescent="0.55000000000000004">
      <c r="A2298" t="str">
        <f>TEST_DATA!A2298</f>
        <v>27AAAAA2298Z5</v>
      </c>
      <c r="B2298" t="str">
        <f>TEST_DATA!B2298</f>
        <v>Aug-2017</v>
      </c>
      <c r="C2298">
        <f>TEST_DATA!C2298</f>
        <v>43813</v>
      </c>
      <c r="D2298" t="str">
        <f>TEST_DATA!D2298</f>
        <v>NON-NIL</v>
      </c>
      <c r="E2298">
        <f>TEST_DATA!E2298</f>
        <v>454</v>
      </c>
    </row>
    <row r="2299" spans="1:5" x14ac:dyDescent="0.55000000000000004">
      <c r="A2299" t="str">
        <f>TEST_DATA!A2299</f>
        <v>27AAAAA2299Z5</v>
      </c>
      <c r="B2299" t="str">
        <f>TEST_DATA!B2299</f>
        <v>Oct-2017</v>
      </c>
      <c r="C2299">
        <f>TEST_DATA!C2299</f>
        <v>44517</v>
      </c>
      <c r="D2299" t="str">
        <f>TEST_DATA!D2299</f>
        <v>NIL</v>
      </c>
      <c r="E2299">
        <f>TEST_DATA!E2299</f>
        <v>2303</v>
      </c>
    </row>
    <row r="2300" spans="1:5" x14ac:dyDescent="0.55000000000000004">
      <c r="A2300" t="str">
        <f>TEST_DATA!A2300</f>
        <v>27AAAAA2300Z5</v>
      </c>
      <c r="B2300" t="str">
        <f>TEST_DATA!B2300</f>
        <v>Aug-2017</v>
      </c>
      <c r="C2300">
        <f>TEST_DATA!C2300</f>
        <v>43955</v>
      </c>
      <c r="D2300" t="str">
        <f>TEST_DATA!D2300</f>
        <v>NIL</v>
      </c>
      <c r="E2300">
        <f>TEST_DATA!E2300</f>
        <v>684</v>
      </c>
    </row>
    <row r="2301" spans="1:5" x14ac:dyDescent="0.55000000000000004">
      <c r="A2301" t="str">
        <f>TEST_DATA!A2301</f>
        <v>27AAAAA2301Z5</v>
      </c>
      <c r="B2301" t="str">
        <f>TEST_DATA!B2301</f>
        <v>May-2020</v>
      </c>
      <c r="C2301">
        <f>TEST_DATA!C2301</f>
        <v>44072</v>
      </c>
      <c r="D2301" t="str">
        <f>TEST_DATA!D2301</f>
        <v>NIL</v>
      </c>
      <c r="E2301">
        <f>TEST_DATA!E2301</f>
        <v>1481</v>
      </c>
    </row>
    <row r="2302" spans="1:5" x14ac:dyDescent="0.55000000000000004">
      <c r="A2302" t="str">
        <f>TEST_DATA!A2302</f>
        <v>27AAAAA2302Z5</v>
      </c>
      <c r="B2302" t="str">
        <f>TEST_DATA!B2302</f>
        <v>Dec-2017</v>
      </c>
      <c r="C2302">
        <f>TEST_DATA!C2302</f>
        <v>44408</v>
      </c>
      <c r="D2302" t="str">
        <f>TEST_DATA!D2302</f>
        <v>NON-NIL</v>
      </c>
      <c r="E2302">
        <f>TEST_DATA!E2302</f>
        <v>2900</v>
      </c>
    </row>
    <row r="2303" spans="1:5" x14ac:dyDescent="0.55000000000000004">
      <c r="A2303" t="str">
        <f>TEST_DATA!A2303</f>
        <v>27AAAAA2303Z5</v>
      </c>
      <c r="B2303" t="str">
        <f>TEST_DATA!B2303</f>
        <v>Sep-2018</v>
      </c>
      <c r="C2303">
        <f>TEST_DATA!C2303</f>
        <v>44477</v>
      </c>
      <c r="D2303" t="str">
        <f>TEST_DATA!D2303</f>
        <v>NON-NIL</v>
      </c>
      <c r="E2303">
        <f>TEST_DATA!E2303</f>
        <v>3000</v>
      </c>
    </row>
    <row r="2304" spans="1:5" x14ac:dyDescent="0.55000000000000004">
      <c r="A2304" t="str">
        <f>TEST_DATA!A2304</f>
        <v>27AAAAA2304Z5</v>
      </c>
      <c r="B2304" t="str">
        <f>TEST_DATA!B2304</f>
        <v>Mar-2023</v>
      </c>
      <c r="C2304">
        <f>TEST_DATA!C2304</f>
        <v>43872</v>
      </c>
      <c r="D2304" t="str">
        <f>TEST_DATA!D2304</f>
        <v>NIL</v>
      </c>
      <c r="E2304">
        <f>TEST_DATA!E2304</f>
        <v>2650</v>
      </c>
    </row>
    <row r="2305" spans="1:5" x14ac:dyDescent="0.55000000000000004">
      <c r="A2305" t="str">
        <f>TEST_DATA!A2305</f>
        <v>27AAAAA2305Z5</v>
      </c>
      <c r="B2305" t="str">
        <f>TEST_DATA!B2305</f>
        <v>Jun-2018</v>
      </c>
      <c r="C2305">
        <f>TEST_DATA!C2305</f>
        <v>43602</v>
      </c>
      <c r="D2305" t="str">
        <f>TEST_DATA!D2305</f>
        <v>NIL</v>
      </c>
      <c r="E2305">
        <f>TEST_DATA!E2305</f>
        <v>503</v>
      </c>
    </row>
    <row r="2306" spans="1:5" x14ac:dyDescent="0.55000000000000004">
      <c r="A2306" t="str">
        <f>TEST_DATA!A2306</f>
        <v>27AAAAA2306Z5</v>
      </c>
      <c r="B2306" t="str">
        <f>TEST_DATA!B2306</f>
        <v>Mar-2023</v>
      </c>
      <c r="C2306">
        <f>TEST_DATA!C2306</f>
        <v>44292</v>
      </c>
      <c r="D2306" t="str">
        <f>TEST_DATA!D2306</f>
        <v>NON-NIL</v>
      </c>
      <c r="E2306">
        <f>TEST_DATA!E2306</f>
        <v>1702</v>
      </c>
    </row>
    <row r="2307" spans="1:5" x14ac:dyDescent="0.55000000000000004">
      <c r="A2307" t="str">
        <f>TEST_DATA!A2307</f>
        <v>27AAAAA2307Z5</v>
      </c>
      <c r="B2307" t="str">
        <f>TEST_DATA!B2307</f>
        <v>Mar-2021</v>
      </c>
      <c r="C2307">
        <f>TEST_DATA!C2307</f>
        <v>43492</v>
      </c>
      <c r="D2307" t="str">
        <f>TEST_DATA!D2307</f>
        <v>NIL</v>
      </c>
      <c r="E2307">
        <f>TEST_DATA!E2307</f>
        <v>1940</v>
      </c>
    </row>
    <row r="2308" spans="1:5" x14ac:dyDescent="0.55000000000000004">
      <c r="A2308" t="str">
        <f>TEST_DATA!A2308</f>
        <v>27AAAAA2308Z5</v>
      </c>
      <c r="B2308" t="str">
        <f>TEST_DATA!B2308</f>
        <v>May-2018</v>
      </c>
      <c r="C2308">
        <f>TEST_DATA!C2308</f>
        <v>43504</v>
      </c>
      <c r="D2308" t="str">
        <f>TEST_DATA!D2308</f>
        <v>NIL</v>
      </c>
      <c r="E2308">
        <f>TEST_DATA!E2308</f>
        <v>349</v>
      </c>
    </row>
    <row r="2309" spans="1:5" x14ac:dyDescent="0.55000000000000004">
      <c r="A2309" t="str">
        <f>TEST_DATA!A2309</f>
        <v>27AAAAA2309Z5</v>
      </c>
      <c r="B2309" t="str">
        <f>TEST_DATA!B2309</f>
        <v>Mar-2018</v>
      </c>
      <c r="C2309">
        <f>TEST_DATA!C2309</f>
        <v>43679</v>
      </c>
      <c r="D2309" t="str">
        <f>TEST_DATA!D2309</f>
        <v>NON-NIL</v>
      </c>
      <c r="E2309">
        <f>TEST_DATA!E2309</f>
        <v>1477</v>
      </c>
    </row>
    <row r="2310" spans="1:5" x14ac:dyDescent="0.55000000000000004">
      <c r="A2310" t="str">
        <f>TEST_DATA!A2310</f>
        <v>27AAAAA2310Z5</v>
      </c>
      <c r="B2310" t="str">
        <f>TEST_DATA!B2310</f>
        <v>May-2020</v>
      </c>
      <c r="C2310">
        <f>TEST_DATA!C2310</f>
        <v>44333</v>
      </c>
      <c r="D2310" t="str">
        <f>TEST_DATA!D2310</f>
        <v>NIL</v>
      </c>
      <c r="E2310">
        <f>TEST_DATA!E2310</f>
        <v>2169</v>
      </c>
    </row>
    <row r="2311" spans="1:5" x14ac:dyDescent="0.55000000000000004">
      <c r="A2311" t="str">
        <f>TEST_DATA!A2311</f>
        <v>27AAAAA2311Z5</v>
      </c>
      <c r="B2311" t="str">
        <f>TEST_DATA!B2311</f>
        <v>Aug-2018</v>
      </c>
      <c r="C2311">
        <f>TEST_DATA!C2311</f>
        <v>44529</v>
      </c>
      <c r="D2311" t="str">
        <f>TEST_DATA!D2311</f>
        <v>NIL</v>
      </c>
      <c r="E2311">
        <f>TEST_DATA!E2311</f>
        <v>565</v>
      </c>
    </row>
    <row r="2312" spans="1:5" x14ac:dyDescent="0.55000000000000004">
      <c r="A2312" t="str">
        <f>TEST_DATA!A2312</f>
        <v>27AAAAA2312Z5</v>
      </c>
      <c r="B2312" t="str">
        <f>TEST_DATA!B2312</f>
        <v>Apr-2021</v>
      </c>
      <c r="C2312">
        <f>TEST_DATA!C2312</f>
        <v>45222</v>
      </c>
      <c r="D2312" t="str">
        <f>TEST_DATA!D2312</f>
        <v>NON-NIL</v>
      </c>
      <c r="E2312">
        <f>TEST_DATA!E2312</f>
        <v>1676</v>
      </c>
    </row>
    <row r="2313" spans="1:5" x14ac:dyDescent="0.55000000000000004">
      <c r="A2313" t="str">
        <f>TEST_DATA!A2313</f>
        <v>27AAAAA2313Z5</v>
      </c>
      <c r="B2313" t="str">
        <f>TEST_DATA!B2313</f>
        <v>Dec-2024</v>
      </c>
      <c r="C2313">
        <f>TEST_DATA!C2313</f>
        <v>45345</v>
      </c>
      <c r="D2313" t="str">
        <f>TEST_DATA!D2313</f>
        <v>NON-NIL</v>
      </c>
      <c r="E2313">
        <f>TEST_DATA!E2313</f>
        <v>121</v>
      </c>
    </row>
    <row r="2314" spans="1:5" x14ac:dyDescent="0.55000000000000004">
      <c r="A2314" t="str">
        <f>TEST_DATA!A2314</f>
        <v>27AAAAA2314Z5</v>
      </c>
      <c r="B2314" t="str">
        <f>TEST_DATA!B2314</f>
        <v>Sep-2018</v>
      </c>
      <c r="C2314">
        <f>TEST_DATA!C2314</f>
        <v>43215</v>
      </c>
      <c r="D2314" t="str">
        <f>TEST_DATA!D2314</f>
        <v>NIL</v>
      </c>
      <c r="E2314">
        <f>TEST_DATA!E2314</f>
        <v>2939</v>
      </c>
    </row>
    <row r="2315" spans="1:5" x14ac:dyDescent="0.55000000000000004">
      <c r="A2315" t="str">
        <f>TEST_DATA!A2315</f>
        <v>27AAAAA2315Z5</v>
      </c>
      <c r="B2315" t="str">
        <f>TEST_DATA!B2315</f>
        <v>Apr-2021</v>
      </c>
      <c r="C2315">
        <f>TEST_DATA!C2315</f>
        <v>45585</v>
      </c>
      <c r="D2315" t="str">
        <f>TEST_DATA!D2315</f>
        <v>NIL</v>
      </c>
      <c r="E2315">
        <f>TEST_DATA!E2315</f>
        <v>347</v>
      </c>
    </row>
    <row r="2316" spans="1:5" x14ac:dyDescent="0.55000000000000004">
      <c r="A2316" t="str">
        <f>TEST_DATA!A2316</f>
        <v>27AAAAA2316Z5</v>
      </c>
      <c r="B2316" t="str">
        <f>TEST_DATA!B2316</f>
        <v>May-2018</v>
      </c>
      <c r="C2316">
        <f>TEST_DATA!C2316</f>
        <v>43561</v>
      </c>
      <c r="D2316" t="str">
        <f>TEST_DATA!D2316</f>
        <v>NON-NIL</v>
      </c>
      <c r="E2316">
        <f>TEST_DATA!E2316</f>
        <v>673</v>
      </c>
    </row>
    <row r="2317" spans="1:5" x14ac:dyDescent="0.55000000000000004">
      <c r="A2317" t="str">
        <f>TEST_DATA!A2317</f>
        <v>27AAAAA2317Z5</v>
      </c>
      <c r="B2317" t="str">
        <f>TEST_DATA!B2317</f>
        <v>Aug-2018</v>
      </c>
      <c r="C2317">
        <f>TEST_DATA!C2317</f>
        <v>43042</v>
      </c>
      <c r="D2317" t="str">
        <f>TEST_DATA!D2317</f>
        <v>NON-NIL</v>
      </c>
      <c r="E2317">
        <f>TEST_DATA!E2317</f>
        <v>151</v>
      </c>
    </row>
    <row r="2318" spans="1:5" x14ac:dyDescent="0.55000000000000004">
      <c r="A2318" t="str">
        <f>TEST_DATA!A2318</f>
        <v>27AAAAA2318Z5</v>
      </c>
      <c r="B2318" t="str">
        <f>TEST_DATA!B2318</f>
        <v>Jun-2020</v>
      </c>
      <c r="C2318">
        <f>TEST_DATA!C2318</f>
        <v>44140</v>
      </c>
      <c r="D2318" t="str">
        <f>TEST_DATA!D2318</f>
        <v>NIL</v>
      </c>
      <c r="E2318">
        <f>TEST_DATA!E2318</f>
        <v>2587</v>
      </c>
    </row>
    <row r="2319" spans="1:5" x14ac:dyDescent="0.55000000000000004">
      <c r="A2319" t="str">
        <f>TEST_DATA!A2319</f>
        <v>27AAAAA2319Z5</v>
      </c>
      <c r="B2319" t="str">
        <f>TEST_DATA!B2319</f>
        <v>Jul-2020</v>
      </c>
      <c r="C2319">
        <f>TEST_DATA!C2319</f>
        <v>44895</v>
      </c>
      <c r="D2319" t="str">
        <f>TEST_DATA!D2319</f>
        <v>NON-NIL</v>
      </c>
      <c r="E2319">
        <f>TEST_DATA!E2319</f>
        <v>1717</v>
      </c>
    </row>
    <row r="2320" spans="1:5" x14ac:dyDescent="0.55000000000000004">
      <c r="A2320" t="str">
        <f>TEST_DATA!A2320</f>
        <v>27AAAAA2320Z5</v>
      </c>
      <c r="B2320" t="str">
        <f>TEST_DATA!B2320</f>
        <v>Jul-2018</v>
      </c>
      <c r="C2320">
        <f>TEST_DATA!C2320</f>
        <v>44311</v>
      </c>
      <c r="D2320" t="str">
        <f>TEST_DATA!D2320</f>
        <v>NON-NIL</v>
      </c>
      <c r="E2320">
        <f>TEST_DATA!E2320</f>
        <v>2955</v>
      </c>
    </row>
    <row r="2321" spans="1:5" x14ac:dyDescent="0.55000000000000004">
      <c r="A2321" t="str">
        <f>TEST_DATA!A2321</f>
        <v>27AAAAA2321Z5</v>
      </c>
      <c r="B2321" t="str">
        <f>TEST_DATA!B2321</f>
        <v>Jan-2021</v>
      </c>
      <c r="C2321">
        <f>TEST_DATA!C2321</f>
        <v>44750</v>
      </c>
      <c r="D2321" t="str">
        <f>TEST_DATA!D2321</f>
        <v>NON-NIL</v>
      </c>
      <c r="E2321">
        <f>TEST_DATA!E2321</f>
        <v>32</v>
      </c>
    </row>
    <row r="2322" spans="1:5" x14ac:dyDescent="0.55000000000000004">
      <c r="A2322" t="str">
        <f>TEST_DATA!A2322</f>
        <v>27AAAAA2322Z5</v>
      </c>
      <c r="B2322" t="str">
        <f>TEST_DATA!B2322</f>
        <v>Dec-2022</v>
      </c>
      <c r="C2322">
        <f>TEST_DATA!C2322</f>
        <v>44611</v>
      </c>
      <c r="D2322" t="str">
        <f>TEST_DATA!D2322</f>
        <v>NIL</v>
      </c>
      <c r="E2322">
        <f>TEST_DATA!E2322</f>
        <v>2868</v>
      </c>
    </row>
    <row r="2323" spans="1:5" x14ac:dyDescent="0.55000000000000004">
      <c r="A2323" t="str">
        <f>TEST_DATA!A2323</f>
        <v>27AAAAA2323Z5</v>
      </c>
      <c r="B2323" t="str">
        <f>TEST_DATA!B2323</f>
        <v>Jul-2018</v>
      </c>
      <c r="C2323">
        <f>TEST_DATA!C2323</f>
        <v>43830</v>
      </c>
      <c r="D2323" t="str">
        <f>TEST_DATA!D2323</f>
        <v>NIL</v>
      </c>
      <c r="E2323">
        <f>TEST_DATA!E2323</f>
        <v>2229</v>
      </c>
    </row>
    <row r="2324" spans="1:5" x14ac:dyDescent="0.55000000000000004">
      <c r="A2324" t="str">
        <f>TEST_DATA!A2324</f>
        <v>27AAAAA2324Z5</v>
      </c>
      <c r="B2324" t="str">
        <f>TEST_DATA!B2324</f>
        <v>Apr-2020</v>
      </c>
      <c r="C2324">
        <f>TEST_DATA!C2324</f>
        <v>44736</v>
      </c>
      <c r="D2324" t="str">
        <f>TEST_DATA!D2324</f>
        <v>NON-NIL</v>
      </c>
      <c r="E2324">
        <f>TEST_DATA!E2324</f>
        <v>2657</v>
      </c>
    </row>
    <row r="2325" spans="1:5" x14ac:dyDescent="0.55000000000000004">
      <c r="A2325" t="str">
        <f>TEST_DATA!A2325</f>
        <v>27AAAAA2325Z5</v>
      </c>
      <c r="B2325" t="str">
        <f>TEST_DATA!B2325</f>
        <v>Jul-2018</v>
      </c>
      <c r="C2325">
        <f>TEST_DATA!C2325</f>
        <v>44505</v>
      </c>
      <c r="D2325" t="str">
        <f>TEST_DATA!D2325</f>
        <v>NIL</v>
      </c>
      <c r="E2325">
        <f>TEST_DATA!E2325</f>
        <v>1235</v>
      </c>
    </row>
    <row r="2326" spans="1:5" x14ac:dyDescent="0.55000000000000004">
      <c r="A2326" t="str">
        <f>TEST_DATA!A2326</f>
        <v>27AAAAA2326Z5</v>
      </c>
      <c r="B2326" t="str">
        <f>TEST_DATA!B2326</f>
        <v>Sep-2017</v>
      </c>
      <c r="C2326">
        <f>TEST_DATA!C2326</f>
        <v>42992</v>
      </c>
      <c r="D2326" t="str">
        <f>TEST_DATA!D2326</f>
        <v>NON-NIL</v>
      </c>
      <c r="E2326">
        <f>TEST_DATA!E2326</f>
        <v>1597</v>
      </c>
    </row>
    <row r="2327" spans="1:5" x14ac:dyDescent="0.55000000000000004">
      <c r="A2327" t="str">
        <f>TEST_DATA!A2327</f>
        <v>27AAAAA2327Z5</v>
      </c>
      <c r="B2327" t="str">
        <f>TEST_DATA!B2327</f>
        <v>Jan-2021</v>
      </c>
      <c r="C2327">
        <f>TEST_DATA!C2327</f>
        <v>43982</v>
      </c>
      <c r="D2327" t="str">
        <f>TEST_DATA!D2327</f>
        <v>NON-NIL</v>
      </c>
      <c r="E2327">
        <f>TEST_DATA!E2327</f>
        <v>875</v>
      </c>
    </row>
    <row r="2328" spans="1:5" x14ac:dyDescent="0.55000000000000004">
      <c r="A2328" t="str">
        <f>TEST_DATA!A2328</f>
        <v>27AAAAA2328Z5</v>
      </c>
      <c r="B2328" t="str">
        <f>TEST_DATA!B2328</f>
        <v>Sep-2017</v>
      </c>
      <c r="C2328">
        <f>TEST_DATA!C2328</f>
        <v>43964</v>
      </c>
      <c r="D2328" t="str">
        <f>TEST_DATA!D2328</f>
        <v>NON-NIL</v>
      </c>
      <c r="E2328">
        <f>TEST_DATA!E2328</f>
        <v>2135</v>
      </c>
    </row>
    <row r="2329" spans="1:5" x14ac:dyDescent="0.55000000000000004">
      <c r="A2329" t="str">
        <f>TEST_DATA!A2329</f>
        <v>27AAAAA2329Z5</v>
      </c>
      <c r="B2329" t="str">
        <f>TEST_DATA!B2329</f>
        <v>May-2018</v>
      </c>
      <c r="C2329">
        <f>TEST_DATA!C2329</f>
        <v>44467</v>
      </c>
      <c r="D2329" t="str">
        <f>TEST_DATA!D2329</f>
        <v>NIL</v>
      </c>
      <c r="E2329">
        <f>TEST_DATA!E2329</f>
        <v>95</v>
      </c>
    </row>
    <row r="2330" spans="1:5" x14ac:dyDescent="0.55000000000000004">
      <c r="A2330" t="str">
        <f>TEST_DATA!A2330</f>
        <v>27AAAAA2330Z5</v>
      </c>
      <c r="B2330" t="str">
        <f>TEST_DATA!B2330</f>
        <v>Jul-2017</v>
      </c>
      <c r="C2330">
        <f>TEST_DATA!C2330</f>
        <v>44548</v>
      </c>
      <c r="D2330" t="str">
        <f>TEST_DATA!D2330</f>
        <v>NON-NIL</v>
      </c>
      <c r="E2330">
        <f>TEST_DATA!E2330</f>
        <v>988</v>
      </c>
    </row>
    <row r="2331" spans="1:5" x14ac:dyDescent="0.55000000000000004">
      <c r="A2331" t="str">
        <f>TEST_DATA!A2331</f>
        <v>27AAAAA2331Z5</v>
      </c>
      <c r="B2331" t="str">
        <f>TEST_DATA!B2331</f>
        <v>Dec-2022</v>
      </c>
      <c r="C2331">
        <f>TEST_DATA!C2331</f>
        <v>44710</v>
      </c>
      <c r="D2331" t="str">
        <f>TEST_DATA!D2331</f>
        <v>NON-NIL</v>
      </c>
      <c r="E2331">
        <f>TEST_DATA!E2331</f>
        <v>2069</v>
      </c>
    </row>
    <row r="2332" spans="1:5" x14ac:dyDescent="0.55000000000000004">
      <c r="A2332" t="str">
        <f>TEST_DATA!A2332</f>
        <v>27AAAAA2332Z5</v>
      </c>
      <c r="B2332" t="str">
        <f>TEST_DATA!B2332</f>
        <v>Oct-2017</v>
      </c>
      <c r="C2332">
        <f>TEST_DATA!C2332</f>
        <v>44416</v>
      </c>
      <c r="D2332" t="str">
        <f>TEST_DATA!D2332</f>
        <v>NIL</v>
      </c>
      <c r="E2332">
        <f>TEST_DATA!E2332</f>
        <v>1527</v>
      </c>
    </row>
    <row r="2333" spans="1:5" x14ac:dyDescent="0.55000000000000004">
      <c r="A2333" t="str">
        <f>TEST_DATA!A2333</f>
        <v>27AAAAA2333Z5</v>
      </c>
      <c r="B2333" t="str">
        <f>TEST_DATA!B2333</f>
        <v>Mar-2018</v>
      </c>
      <c r="C2333">
        <f>TEST_DATA!C2333</f>
        <v>44201</v>
      </c>
      <c r="D2333" t="str">
        <f>TEST_DATA!D2333</f>
        <v>NON-NIL</v>
      </c>
      <c r="E2333">
        <f>TEST_DATA!E2333</f>
        <v>507</v>
      </c>
    </row>
    <row r="2334" spans="1:5" x14ac:dyDescent="0.55000000000000004">
      <c r="A2334" t="str">
        <f>TEST_DATA!A2334</f>
        <v>27AAAAA2334Z5</v>
      </c>
      <c r="B2334" t="str">
        <f>TEST_DATA!B2334</f>
        <v>Aug-2017</v>
      </c>
      <c r="C2334">
        <f>TEST_DATA!C2334</f>
        <v>44466</v>
      </c>
      <c r="D2334" t="str">
        <f>TEST_DATA!D2334</f>
        <v>NIL</v>
      </c>
      <c r="E2334">
        <f>TEST_DATA!E2334</f>
        <v>1838</v>
      </c>
    </row>
    <row r="2335" spans="1:5" x14ac:dyDescent="0.55000000000000004">
      <c r="A2335" t="str">
        <f>TEST_DATA!A2335</f>
        <v>27AAAAA2335Z5</v>
      </c>
      <c r="B2335" t="str">
        <f>TEST_DATA!B2335</f>
        <v>Apr-2018</v>
      </c>
      <c r="C2335">
        <f>TEST_DATA!C2335</f>
        <v>44089</v>
      </c>
      <c r="D2335" t="str">
        <f>TEST_DATA!D2335</f>
        <v>NIL</v>
      </c>
      <c r="E2335">
        <f>TEST_DATA!E2335</f>
        <v>1856</v>
      </c>
    </row>
    <row r="2336" spans="1:5" x14ac:dyDescent="0.55000000000000004">
      <c r="A2336" t="str">
        <f>TEST_DATA!A2336</f>
        <v>27AAAAA2336Z5</v>
      </c>
      <c r="B2336" t="str">
        <f>TEST_DATA!B2336</f>
        <v>May-2018</v>
      </c>
      <c r="C2336">
        <f>TEST_DATA!C2336</f>
        <v>43400</v>
      </c>
      <c r="D2336" t="str">
        <f>TEST_DATA!D2336</f>
        <v>NIL</v>
      </c>
      <c r="E2336">
        <f>TEST_DATA!E2336</f>
        <v>1434</v>
      </c>
    </row>
    <row r="2337" spans="1:5" x14ac:dyDescent="0.55000000000000004">
      <c r="A2337" t="str">
        <f>TEST_DATA!A2337</f>
        <v>27AAAAA2337Z5</v>
      </c>
      <c r="B2337" t="str">
        <f>TEST_DATA!B2337</f>
        <v>Apr-2018</v>
      </c>
      <c r="C2337">
        <f>TEST_DATA!C2337</f>
        <v>43499</v>
      </c>
      <c r="D2337" t="str">
        <f>TEST_DATA!D2337</f>
        <v>NIL</v>
      </c>
      <c r="E2337">
        <f>TEST_DATA!E2337</f>
        <v>2925</v>
      </c>
    </row>
    <row r="2338" spans="1:5" x14ac:dyDescent="0.55000000000000004">
      <c r="A2338" t="str">
        <f>TEST_DATA!A2338</f>
        <v>27AAAAA2338Z5</v>
      </c>
      <c r="B2338" t="str">
        <f>TEST_DATA!B2338</f>
        <v>Jul-2018</v>
      </c>
      <c r="C2338">
        <f>TEST_DATA!C2338</f>
        <v>43981</v>
      </c>
      <c r="D2338" t="str">
        <f>TEST_DATA!D2338</f>
        <v>NIL</v>
      </c>
      <c r="E2338">
        <f>TEST_DATA!E2338</f>
        <v>431</v>
      </c>
    </row>
    <row r="2339" spans="1:5" x14ac:dyDescent="0.55000000000000004">
      <c r="A2339" t="str">
        <f>TEST_DATA!A2339</f>
        <v>27AAAAA2339Z5</v>
      </c>
      <c r="B2339" t="str">
        <f>TEST_DATA!B2339</f>
        <v>May-2018</v>
      </c>
      <c r="C2339">
        <f>TEST_DATA!C2339</f>
        <v>43974</v>
      </c>
      <c r="D2339" t="str">
        <f>TEST_DATA!D2339</f>
        <v>NIL</v>
      </c>
      <c r="E2339">
        <f>TEST_DATA!E2339</f>
        <v>1479</v>
      </c>
    </row>
    <row r="2340" spans="1:5" x14ac:dyDescent="0.55000000000000004">
      <c r="A2340" t="str">
        <f>TEST_DATA!A2340</f>
        <v>27AAAAA2340Z5</v>
      </c>
      <c r="B2340" t="str">
        <f>TEST_DATA!B2340</f>
        <v>Sep-2018</v>
      </c>
      <c r="C2340">
        <f>TEST_DATA!C2340</f>
        <v>43117</v>
      </c>
      <c r="D2340" t="str">
        <f>TEST_DATA!D2340</f>
        <v>NIL</v>
      </c>
      <c r="E2340">
        <f>TEST_DATA!E2340</f>
        <v>2914</v>
      </c>
    </row>
    <row r="2341" spans="1:5" x14ac:dyDescent="0.55000000000000004">
      <c r="A2341" t="str">
        <f>TEST_DATA!A2341</f>
        <v>27AAAAA2341Z5</v>
      </c>
      <c r="B2341" t="str">
        <f>TEST_DATA!B2341</f>
        <v>Aug-2018</v>
      </c>
      <c r="C2341">
        <f>TEST_DATA!C2341</f>
        <v>43760</v>
      </c>
      <c r="D2341" t="str">
        <f>TEST_DATA!D2341</f>
        <v>NIL</v>
      </c>
      <c r="E2341">
        <f>TEST_DATA!E2341</f>
        <v>377</v>
      </c>
    </row>
    <row r="2342" spans="1:5" x14ac:dyDescent="0.55000000000000004">
      <c r="A2342" t="str">
        <f>TEST_DATA!A2342</f>
        <v>27AAAAA2342Z5</v>
      </c>
      <c r="B2342" t="str">
        <f>TEST_DATA!B2342</f>
        <v>Aug-2017</v>
      </c>
      <c r="C2342">
        <f>TEST_DATA!C2342</f>
        <v>43787</v>
      </c>
      <c r="D2342" t="str">
        <f>TEST_DATA!D2342</f>
        <v>NIL</v>
      </c>
      <c r="E2342">
        <f>TEST_DATA!E2342</f>
        <v>1950</v>
      </c>
    </row>
    <row r="2343" spans="1:5" x14ac:dyDescent="0.55000000000000004">
      <c r="A2343" t="str">
        <f>TEST_DATA!A2343</f>
        <v>27AAAAA2343Z5</v>
      </c>
      <c r="B2343" t="str">
        <f>TEST_DATA!B2343</f>
        <v>Jan-2018</v>
      </c>
      <c r="C2343">
        <f>TEST_DATA!C2343</f>
        <v>43830</v>
      </c>
      <c r="D2343" t="str">
        <f>TEST_DATA!D2343</f>
        <v>NIL</v>
      </c>
      <c r="E2343">
        <f>TEST_DATA!E2343</f>
        <v>1512</v>
      </c>
    </row>
    <row r="2344" spans="1:5" x14ac:dyDescent="0.55000000000000004">
      <c r="A2344" t="str">
        <f>TEST_DATA!A2344</f>
        <v>27AAAAA2344Z5</v>
      </c>
      <c r="B2344" t="str">
        <f>TEST_DATA!B2344</f>
        <v>Jun-2020</v>
      </c>
      <c r="C2344">
        <f>TEST_DATA!C2344</f>
        <v>44908</v>
      </c>
      <c r="D2344" t="str">
        <f>TEST_DATA!D2344</f>
        <v>NON-NIL</v>
      </c>
      <c r="E2344">
        <f>TEST_DATA!E2344</f>
        <v>2409</v>
      </c>
    </row>
    <row r="2345" spans="1:5" x14ac:dyDescent="0.55000000000000004">
      <c r="A2345" t="str">
        <f>TEST_DATA!A2345</f>
        <v>27AAAAA2345Z5</v>
      </c>
      <c r="B2345" t="str">
        <f>TEST_DATA!B2345</f>
        <v>Dec-2019</v>
      </c>
      <c r="C2345">
        <f>TEST_DATA!C2345</f>
        <v>45591</v>
      </c>
      <c r="D2345" t="str">
        <f>TEST_DATA!D2345</f>
        <v>NON-NIL</v>
      </c>
      <c r="E2345">
        <f>TEST_DATA!E2345</f>
        <v>1080</v>
      </c>
    </row>
    <row r="2346" spans="1:5" x14ac:dyDescent="0.55000000000000004">
      <c r="A2346" t="str">
        <f>TEST_DATA!A2346</f>
        <v>27AAAAA2346Z5</v>
      </c>
      <c r="B2346" t="str">
        <f>TEST_DATA!B2346</f>
        <v>Mar-2020</v>
      </c>
      <c r="C2346">
        <f>TEST_DATA!C2346</f>
        <v>44852</v>
      </c>
      <c r="D2346" t="str">
        <f>TEST_DATA!D2346</f>
        <v>NON-NIL</v>
      </c>
      <c r="E2346">
        <f>TEST_DATA!E2346</f>
        <v>1802</v>
      </c>
    </row>
    <row r="2347" spans="1:5" x14ac:dyDescent="0.55000000000000004">
      <c r="A2347" t="str">
        <f>TEST_DATA!A2347</f>
        <v>27AAAAA2347Z5</v>
      </c>
      <c r="B2347" t="str">
        <f>TEST_DATA!B2347</f>
        <v>Jul-2020</v>
      </c>
      <c r="C2347">
        <f>TEST_DATA!C2347</f>
        <v>44833</v>
      </c>
      <c r="D2347" t="str">
        <f>TEST_DATA!D2347</f>
        <v>NON-NIL</v>
      </c>
      <c r="E2347">
        <f>TEST_DATA!E2347</f>
        <v>667</v>
      </c>
    </row>
    <row r="2348" spans="1:5" x14ac:dyDescent="0.55000000000000004">
      <c r="A2348" t="str">
        <f>TEST_DATA!A2348</f>
        <v>27AAAAA2348Z5</v>
      </c>
      <c r="B2348" t="str">
        <f>TEST_DATA!B2348</f>
        <v>Nov-2017</v>
      </c>
      <c r="C2348">
        <f>TEST_DATA!C2348</f>
        <v>43952</v>
      </c>
      <c r="D2348" t="str">
        <f>TEST_DATA!D2348</f>
        <v>NIL</v>
      </c>
      <c r="E2348">
        <f>TEST_DATA!E2348</f>
        <v>1985</v>
      </c>
    </row>
    <row r="2349" spans="1:5" x14ac:dyDescent="0.55000000000000004">
      <c r="A2349" t="str">
        <f>TEST_DATA!A2349</f>
        <v>27AAAAA2349Z5</v>
      </c>
      <c r="B2349" t="str">
        <f>TEST_DATA!B2349</f>
        <v>Jul-2020</v>
      </c>
      <c r="C2349">
        <f>TEST_DATA!C2349</f>
        <v>44768</v>
      </c>
      <c r="D2349" t="str">
        <f>TEST_DATA!D2349</f>
        <v>NIL</v>
      </c>
      <c r="E2349">
        <f>TEST_DATA!E2349</f>
        <v>2885</v>
      </c>
    </row>
    <row r="2350" spans="1:5" x14ac:dyDescent="0.55000000000000004">
      <c r="A2350" t="str">
        <f>TEST_DATA!A2350</f>
        <v>27AAAAA2350Z5</v>
      </c>
      <c r="B2350" t="str">
        <f>TEST_DATA!B2350</f>
        <v>Jun-2019</v>
      </c>
      <c r="C2350">
        <f>TEST_DATA!C2350</f>
        <v>45633</v>
      </c>
      <c r="D2350" t="str">
        <f>TEST_DATA!D2350</f>
        <v>NIL</v>
      </c>
      <c r="E2350">
        <f>TEST_DATA!E2350</f>
        <v>2844</v>
      </c>
    </row>
    <row r="2351" spans="1:5" x14ac:dyDescent="0.55000000000000004">
      <c r="A2351" t="str">
        <f>TEST_DATA!A2351</f>
        <v>27AAAAA2351Z5</v>
      </c>
      <c r="B2351" t="str">
        <f>TEST_DATA!B2351</f>
        <v>Jan-2018</v>
      </c>
      <c r="C2351">
        <f>TEST_DATA!C2351</f>
        <v>43849</v>
      </c>
      <c r="D2351" t="str">
        <f>TEST_DATA!D2351</f>
        <v>NON-NIL</v>
      </c>
      <c r="E2351">
        <f>TEST_DATA!E2351</f>
        <v>133</v>
      </c>
    </row>
    <row r="2352" spans="1:5" x14ac:dyDescent="0.55000000000000004">
      <c r="A2352" t="str">
        <f>TEST_DATA!A2352</f>
        <v>27AAAAA2352Z5</v>
      </c>
      <c r="B2352" t="str">
        <f>TEST_DATA!B2352</f>
        <v>Jan-2021</v>
      </c>
      <c r="C2352">
        <f>TEST_DATA!C2352</f>
        <v>44108</v>
      </c>
      <c r="D2352" t="str">
        <f>TEST_DATA!D2352</f>
        <v>NON-NIL</v>
      </c>
      <c r="E2352">
        <f>TEST_DATA!E2352</f>
        <v>486</v>
      </c>
    </row>
    <row r="2353" spans="1:5" x14ac:dyDescent="0.55000000000000004">
      <c r="A2353" t="str">
        <f>TEST_DATA!A2353</f>
        <v>27AAAAA2353Z5</v>
      </c>
      <c r="B2353" t="str">
        <f>TEST_DATA!B2353</f>
        <v>Apr-2020</v>
      </c>
      <c r="C2353">
        <f>TEST_DATA!C2353</f>
        <v>44667</v>
      </c>
      <c r="D2353" t="str">
        <f>TEST_DATA!D2353</f>
        <v>NIL</v>
      </c>
      <c r="E2353">
        <f>TEST_DATA!E2353</f>
        <v>495</v>
      </c>
    </row>
    <row r="2354" spans="1:5" x14ac:dyDescent="0.55000000000000004">
      <c r="A2354" t="str">
        <f>TEST_DATA!A2354</f>
        <v>27AAAAA2354Z5</v>
      </c>
      <c r="B2354" t="str">
        <f>TEST_DATA!B2354</f>
        <v>Jun-2018</v>
      </c>
      <c r="C2354">
        <f>TEST_DATA!C2354</f>
        <v>44087</v>
      </c>
      <c r="D2354" t="str">
        <f>TEST_DATA!D2354</f>
        <v>NON-NIL</v>
      </c>
      <c r="E2354">
        <f>TEST_DATA!E2354</f>
        <v>164</v>
      </c>
    </row>
    <row r="2355" spans="1:5" x14ac:dyDescent="0.55000000000000004">
      <c r="A2355" t="str">
        <f>TEST_DATA!A2355</f>
        <v>27AAAAA2355Z5</v>
      </c>
      <c r="B2355" t="str">
        <f>TEST_DATA!B2355</f>
        <v>Jun-2019</v>
      </c>
      <c r="C2355">
        <f>TEST_DATA!C2355</f>
        <v>44093</v>
      </c>
      <c r="D2355" t="str">
        <f>TEST_DATA!D2355</f>
        <v>NIL</v>
      </c>
      <c r="E2355">
        <f>TEST_DATA!E2355</f>
        <v>1521</v>
      </c>
    </row>
    <row r="2356" spans="1:5" x14ac:dyDescent="0.55000000000000004">
      <c r="A2356" t="str">
        <f>TEST_DATA!A2356</f>
        <v>27AAAAA2356Z5</v>
      </c>
      <c r="B2356" t="str">
        <f>TEST_DATA!B2356</f>
        <v>Apr-2018</v>
      </c>
      <c r="C2356">
        <f>TEST_DATA!C2356</f>
        <v>43683</v>
      </c>
      <c r="D2356" t="str">
        <f>TEST_DATA!D2356</f>
        <v>NON-NIL</v>
      </c>
      <c r="E2356">
        <f>TEST_DATA!E2356</f>
        <v>1204</v>
      </c>
    </row>
    <row r="2357" spans="1:5" x14ac:dyDescent="0.55000000000000004">
      <c r="A2357" t="str">
        <f>TEST_DATA!A2357</f>
        <v>27AAAAA2357Z5</v>
      </c>
      <c r="B2357" t="str">
        <f>TEST_DATA!B2357</f>
        <v>Jan-2019</v>
      </c>
      <c r="C2357">
        <f>TEST_DATA!C2357</f>
        <v>43580</v>
      </c>
      <c r="D2357" t="str">
        <f>TEST_DATA!D2357</f>
        <v>NIL</v>
      </c>
      <c r="E2357">
        <f>TEST_DATA!E2357</f>
        <v>582</v>
      </c>
    </row>
    <row r="2358" spans="1:5" x14ac:dyDescent="0.55000000000000004">
      <c r="A2358" t="str">
        <f>TEST_DATA!A2358</f>
        <v>27AAAAA2358Z5</v>
      </c>
      <c r="B2358" t="str">
        <f>TEST_DATA!B2358</f>
        <v>Apr-2021</v>
      </c>
      <c r="C2358">
        <f>TEST_DATA!C2358</f>
        <v>45193</v>
      </c>
      <c r="D2358" t="str">
        <f>TEST_DATA!D2358</f>
        <v>NIL</v>
      </c>
      <c r="E2358">
        <f>TEST_DATA!E2358</f>
        <v>1249</v>
      </c>
    </row>
    <row r="2359" spans="1:5" x14ac:dyDescent="0.55000000000000004">
      <c r="A2359" t="str">
        <f>TEST_DATA!A2359</f>
        <v>27AAAAA2359Z5</v>
      </c>
      <c r="B2359" t="str">
        <f>TEST_DATA!B2359</f>
        <v>Dec-2024</v>
      </c>
      <c r="C2359">
        <f>TEST_DATA!C2359</f>
        <v>44627</v>
      </c>
      <c r="D2359" t="str">
        <f>TEST_DATA!D2359</f>
        <v>NIL</v>
      </c>
      <c r="E2359">
        <f>TEST_DATA!E2359</f>
        <v>749</v>
      </c>
    </row>
    <row r="2360" spans="1:5" x14ac:dyDescent="0.55000000000000004">
      <c r="A2360" t="str">
        <f>TEST_DATA!A2360</f>
        <v>27AAAAA2360Z5</v>
      </c>
      <c r="B2360" t="str">
        <f>TEST_DATA!B2360</f>
        <v>Dec-2022</v>
      </c>
      <c r="C2360">
        <f>TEST_DATA!C2360</f>
        <v>45468</v>
      </c>
      <c r="D2360" t="str">
        <f>TEST_DATA!D2360</f>
        <v>NIL</v>
      </c>
      <c r="E2360">
        <f>TEST_DATA!E2360</f>
        <v>501</v>
      </c>
    </row>
    <row r="2361" spans="1:5" x14ac:dyDescent="0.55000000000000004">
      <c r="A2361" t="str">
        <f>TEST_DATA!A2361</f>
        <v>27AAAAA2361Z5</v>
      </c>
      <c r="B2361" t="str">
        <f>TEST_DATA!B2361</f>
        <v>Dec-2019</v>
      </c>
      <c r="C2361">
        <f>TEST_DATA!C2361</f>
        <v>44894</v>
      </c>
      <c r="D2361" t="str">
        <f>TEST_DATA!D2361</f>
        <v>NIL</v>
      </c>
      <c r="E2361">
        <f>TEST_DATA!E2361</f>
        <v>183</v>
      </c>
    </row>
    <row r="2362" spans="1:5" x14ac:dyDescent="0.55000000000000004">
      <c r="A2362" t="str">
        <f>TEST_DATA!A2362</f>
        <v>27AAAAA2362Z5</v>
      </c>
      <c r="B2362" t="str">
        <f>TEST_DATA!B2362</f>
        <v>Aug-2018</v>
      </c>
      <c r="C2362">
        <f>TEST_DATA!C2362</f>
        <v>43902</v>
      </c>
      <c r="D2362" t="str">
        <f>TEST_DATA!D2362</f>
        <v>NON-NIL</v>
      </c>
      <c r="E2362">
        <f>TEST_DATA!E2362</f>
        <v>2317</v>
      </c>
    </row>
    <row r="2363" spans="1:5" x14ac:dyDescent="0.55000000000000004">
      <c r="A2363" t="str">
        <f>TEST_DATA!A2363</f>
        <v>27AAAAA2363Z5</v>
      </c>
      <c r="B2363" t="str">
        <f>TEST_DATA!B2363</f>
        <v>Sep-2018</v>
      </c>
      <c r="C2363">
        <f>TEST_DATA!C2363</f>
        <v>43608</v>
      </c>
      <c r="D2363" t="str">
        <f>TEST_DATA!D2363</f>
        <v>NON-NIL</v>
      </c>
      <c r="E2363">
        <f>TEST_DATA!E2363</f>
        <v>1946</v>
      </c>
    </row>
    <row r="2364" spans="1:5" x14ac:dyDescent="0.55000000000000004">
      <c r="A2364" t="str">
        <f>TEST_DATA!A2364</f>
        <v>27AAAAA2364Z5</v>
      </c>
      <c r="B2364" t="str">
        <f>TEST_DATA!B2364</f>
        <v>Dec-2022</v>
      </c>
      <c r="C2364">
        <f>TEST_DATA!C2364</f>
        <v>44009</v>
      </c>
      <c r="D2364" t="str">
        <f>TEST_DATA!D2364</f>
        <v>NIL</v>
      </c>
      <c r="E2364">
        <f>TEST_DATA!E2364</f>
        <v>2067</v>
      </c>
    </row>
    <row r="2365" spans="1:5" x14ac:dyDescent="0.55000000000000004">
      <c r="A2365" t="str">
        <f>TEST_DATA!A2365</f>
        <v>27AAAAA2365Z5</v>
      </c>
      <c r="B2365" t="str">
        <f>TEST_DATA!B2365</f>
        <v>May-2020</v>
      </c>
      <c r="C2365">
        <f>TEST_DATA!C2365</f>
        <v>44774</v>
      </c>
      <c r="D2365" t="str">
        <f>TEST_DATA!D2365</f>
        <v>NON-NIL</v>
      </c>
      <c r="E2365">
        <f>TEST_DATA!E2365</f>
        <v>2732</v>
      </c>
    </row>
    <row r="2366" spans="1:5" x14ac:dyDescent="0.55000000000000004">
      <c r="A2366" t="str">
        <f>TEST_DATA!A2366</f>
        <v>27AAAAA2366Z5</v>
      </c>
      <c r="B2366" t="str">
        <f>TEST_DATA!B2366</f>
        <v>Sep-2018</v>
      </c>
      <c r="C2366">
        <f>TEST_DATA!C2366</f>
        <v>43222</v>
      </c>
      <c r="D2366" t="str">
        <f>TEST_DATA!D2366</f>
        <v>NON-NIL</v>
      </c>
      <c r="E2366">
        <f>TEST_DATA!E2366</f>
        <v>365</v>
      </c>
    </row>
    <row r="2367" spans="1:5" x14ac:dyDescent="0.55000000000000004">
      <c r="A2367" t="str">
        <f>TEST_DATA!A2367</f>
        <v>27AAAAA2367Z5</v>
      </c>
      <c r="B2367" t="str">
        <f>TEST_DATA!B2367</f>
        <v>Apr-2021</v>
      </c>
      <c r="C2367">
        <f>TEST_DATA!C2367</f>
        <v>45143</v>
      </c>
      <c r="D2367" t="str">
        <f>TEST_DATA!D2367</f>
        <v>NON-NIL</v>
      </c>
      <c r="E2367">
        <f>TEST_DATA!E2367</f>
        <v>953</v>
      </c>
    </row>
    <row r="2368" spans="1:5" x14ac:dyDescent="0.55000000000000004">
      <c r="A2368" t="str">
        <f>TEST_DATA!A2368</f>
        <v>27AAAAA2368Z5</v>
      </c>
      <c r="B2368" t="str">
        <f>TEST_DATA!B2368</f>
        <v>Dec-2024</v>
      </c>
      <c r="C2368">
        <f>TEST_DATA!C2368</f>
        <v>45085</v>
      </c>
      <c r="D2368" t="str">
        <f>TEST_DATA!D2368</f>
        <v>NON-NIL</v>
      </c>
      <c r="E2368">
        <f>TEST_DATA!E2368</f>
        <v>2215</v>
      </c>
    </row>
    <row r="2369" spans="1:5" x14ac:dyDescent="0.55000000000000004">
      <c r="A2369" t="str">
        <f>TEST_DATA!A2369</f>
        <v>27AAAAA2369Z5</v>
      </c>
      <c r="B2369" t="str">
        <f>TEST_DATA!B2369</f>
        <v>Aug-2017</v>
      </c>
      <c r="C2369">
        <f>TEST_DATA!C2369</f>
        <v>44290</v>
      </c>
      <c r="D2369" t="str">
        <f>TEST_DATA!D2369</f>
        <v>NON-NIL</v>
      </c>
      <c r="E2369">
        <f>TEST_DATA!E2369</f>
        <v>1136</v>
      </c>
    </row>
    <row r="2370" spans="1:5" x14ac:dyDescent="0.55000000000000004">
      <c r="A2370" t="str">
        <f>TEST_DATA!A2370</f>
        <v>27AAAAA2370Z5</v>
      </c>
      <c r="B2370" t="str">
        <f>TEST_DATA!B2370</f>
        <v>May-2020</v>
      </c>
      <c r="C2370">
        <f>TEST_DATA!C2370</f>
        <v>44012</v>
      </c>
      <c r="D2370" t="str">
        <f>TEST_DATA!D2370</f>
        <v>NIL</v>
      </c>
      <c r="E2370">
        <f>TEST_DATA!E2370</f>
        <v>2896</v>
      </c>
    </row>
    <row r="2371" spans="1:5" x14ac:dyDescent="0.55000000000000004">
      <c r="A2371" t="str">
        <f>TEST_DATA!A2371</f>
        <v>27AAAAA2371Z5</v>
      </c>
      <c r="B2371" t="str">
        <f>TEST_DATA!B2371</f>
        <v>Jul-2017</v>
      </c>
      <c r="C2371">
        <f>TEST_DATA!C2371</f>
        <v>44088</v>
      </c>
      <c r="D2371" t="str">
        <f>TEST_DATA!D2371</f>
        <v>NON-NIL</v>
      </c>
      <c r="E2371">
        <f>TEST_DATA!E2371</f>
        <v>2298</v>
      </c>
    </row>
    <row r="2372" spans="1:5" x14ac:dyDescent="0.55000000000000004">
      <c r="A2372" t="str">
        <f>TEST_DATA!A2372</f>
        <v>27AAAAA2372Z5</v>
      </c>
      <c r="B2372" t="str">
        <f>TEST_DATA!B2372</f>
        <v>May-2020</v>
      </c>
      <c r="C2372">
        <f>TEST_DATA!C2372</f>
        <v>44084</v>
      </c>
      <c r="D2372" t="str">
        <f>TEST_DATA!D2372</f>
        <v>NIL</v>
      </c>
      <c r="E2372">
        <f>TEST_DATA!E2372</f>
        <v>788</v>
      </c>
    </row>
    <row r="2373" spans="1:5" x14ac:dyDescent="0.55000000000000004">
      <c r="A2373" t="str">
        <f>TEST_DATA!A2373</f>
        <v>27AAAAA2373Z5</v>
      </c>
      <c r="B2373" t="str">
        <f>TEST_DATA!B2373</f>
        <v>Apr-2020</v>
      </c>
      <c r="C2373">
        <f>TEST_DATA!C2373</f>
        <v>43939</v>
      </c>
      <c r="D2373" t="str">
        <f>TEST_DATA!D2373</f>
        <v>NIL</v>
      </c>
      <c r="E2373">
        <f>TEST_DATA!E2373</f>
        <v>1949</v>
      </c>
    </row>
    <row r="2374" spans="1:5" x14ac:dyDescent="0.55000000000000004">
      <c r="A2374" t="str">
        <f>TEST_DATA!A2374</f>
        <v>27AAAAA2374Z5</v>
      </c>
      <c r="B2374" t="str">
        <f>TEST_DATA!B2374</f>
        <v>Jun-2019</v>
      </c>
      <c r="C2374">
        <f>TEST_DATA!C2374</f>
        <v>43542</v>
      </c>
      <c r="D2374" t="str">
        <f>TEST_DATA!D2374</f>
        <v>NIL</v>
      </c>
      <c r="E2374">
        <f>TEST_DATA!E2374</f>
        <v>2696</v>
      </c>
    </row>
    <row r="2375" spans="1:5" x14ac:dyDescent="0.55000000000000004">
      <c r="A2375" t="str">
        <f>TEST_DATA!A2375</f>
        <v>27AAAAA2375Z5</v>
      </c>
      <c r="B2375" t="str">
        <f>TEST_DATA!B2375</f>
        <v>Dec-2019</v>
      </c>
      <c r="C2375">
        <f>TEST_DATA!C2375</f>
        <v>44202</v>
      </c>
      <c r="D2375" t="str">
        <f>TEST_DATA!D2375</f>
        <v>NIL</v>
      </c>
      <c r="E2375">
        <f>TEST_DATA!E2375</f>
        <v>1126</v>
      </c>
    </row>
    <row r="2376" spans="1:5" x14ac:dyDescent="0.55000000000000004">
      <c r="A2376" t="str">
        <f>TEST_DATA!A2376</f>
        <v>27AAAAA2376Z5</v>
      </c>
      <c r="B2376" t="str">
        <f>TEST_DATA!B2376</f>
        <v>Apr-2021</v>
      </c>
      <c r="C2376">
        <f>TEST_DATA!C2376</f>
        <v>44308</v>
      </c>
      <c r="D2376" t="str">
        <f>TEST_DATA!D2376</f>
        <v>NIL</v>
      </c>
      <c r="E2376">
        <f>TEST_DATA!E2376</f>
        <v>2890</v>
      </c>
    </row>
    <row r="2377" spans="1:5" x14ac:dyDescent="0.55000000000000004">
      <c r="A2377" t="str">
        <f>TEST_DATA!A2377</f>
        <v>27AAAAA2377Z5</v>
      </c>
      <c r="B2377" t="str">
        <f>TEST_DATA!B2377</f>
        <v>Dec-2022</v>
      </c>
      <c r="C2377">
        <f>TEST_DATA!C2377</f>
        <v>45285</v>
      </c>
      <c r="D2377" t="str">
        <f>TEST_DATA!D2377</f>
        <v>NIL</v>
      </c>
      <c r="E2377">
        <f>TEST_DATA!E2377</f>
        <v>2185</v>
      </c>
    </row>
    <row r="2378" spans="1:5" x14ac:dyDescent="0.55000000000000004">
      <c r="A2378" t="str">
        <f>TEST_DATA!A2378</f>
        <v>27AAAAA2378Z5</v>
      </c>
      <c r="B2378" t="str">
        <f>TEST_DATA!B2378</f>
        <v>Apr-2020</v>
      </c>
      <c r="C2378">
        <f>TEST_DATA!C2378</f>
        <v>44487</v>
      </c>
      <c r="D2378" t="str">
        <f>TEST_DATA!D2378</f>
        <v>NON-NIL</v>
      </c>
      <c r="E2378">
        <f>TEST_DATA!E2378</f>
        <v>2412</v>
      </c>
    </row>
    <row r="2379" spans="1:5" x14ac:dyDescent="0.55000000000000004">
      <c r="A2379" t="str">
        <f>TEST_DATA!A2379</f>
        <v>27AAAAA2379Z5</v>
      </c>
      <c r="B2379" t="str">
        <f>TEST_DATA!B2379</f>
        <v>Aug-2017</v>
      </c>
      <c r="C2379">
        <f>TEST_DATA!C2379</f>
        <v>43923</v>
      </c>
      <c r="D2379" t="str">
        <f>TEST_DATA!D2379</f>
        <v>NIL</v>
      </c>
      <c r="E2379">
        <f>TEST_DATA!E2379</f>
        <v>1392</v>
      </c>
    </row>
    <row r="2380" spans="1:5" x14ac:dyDescent="0.55000000000000004">
      <c r="A2380" t="str">
        <f>TEST_DATA!A2380</f>
        <v>27AAAAA2380Z5</v>
      </c>
      <c r="B2380" t="str">
        <f>TEST_DATA!B2380</f>
        <v>Aug-2018</v>
      </c>
      <c r="C2380">
        <f>TEST_DATA!C2380</f>
        <v>43286</v>
      </c>
      <c r="D2380" t="str">
        <f>TEST_DATA!D2380</f>
        <v>NON-NIL</v>
      </c>
      <c r="E2380">
        <f>TEST_DATA!E2380</f>
        <v>98</v>
      </c>
    </row>
    <row r="2381" spans="1:5" x14ac:dyDescent="0.55000000000000004">
      <c r="A2381" t="str">
        <f>TEST_DATA!A2381</f>
        <v>27AAAAA2381Z5</v>
      </c>
      <c r="B2381" t="str">
        <f>TEST_DATA!B2381</f>
        <v>Mar-2023</v>
      </c>
      <c r="C2381">
        <f>TEST_DATA!C2381</f>
        <v>45628</v>
      </c>
      <c r="D2381" t="str">
        <f>TEST_DATA!D2381</f>
        <v>NON-NIL</v>
      </c>
      <c r="E2381">
        <f>TEST_DATA!E2381</f>
        <v>1564</v>
      </c>
    </row>
    <row r="2382" spans="1:5" x14ac:dyDescent="0.55000000000000004">
      <c r="A2382" t="str">
        <f>TEST_DATA!A2382</f>
        <v>27AAAAA2382Z5</v>
      </c>
      <c r="B2382" t="str">
        <f>TEST_DATA!B2382</f>
        <v>Mar-2018</v>
      </c>
      <c r="C2382">
        <f>TEST_DATA!C2382</f>
        <v>43103</v>
      </c>
      <c r="D2382" t="str">
        <f>TEST_DATA!D2382</f>
        <v>NIL</v>
      </c>
      <c r="E2382">
        <f>TEST_DATA!E2382</f>
        <v>406</v>
      </c>
    </row>
    <row r="2383" spans="1:5" x14ac:dyDescent="0.55000000000000004">
      <c r="A2383" t="str">
        <f>TEST_DATA!A2383</f>
        <v>27AAAAA2383Z5</v>
      </c>
      <c r="B2383" t="str">
        <f>TEST_DATA!B2383</f>
        <v>Dec-2019</v>
      </c>
      <c r="C2383">
        <f>TEST_DATA!C2383</f>
        <v>44154</v>
      </c>
      <c r="D2383" t="str">
        <f>TEST_DATA!D2383</f>
        <v>NON-NIL</v>
      </c>
      <c r="E2383">
        <f>TEST_DATA!E2383</f>
        <v>589</v>
      </c>
    </row>
    <row r="2384" spans="1:5" x14ac:dyDescent="0.55000000000000004">
      <c r="A2384" t="str">
        <f>TEST_DATA!A2384</f>
        <v>27AAAAA2384Z5</v>
      </c>
      <c r="B2384" t="str">
        <f>TEST_DATA!B2384</f>
        <v>Dec-2017</v>
      </c>
      <c r="C2384">
        <f>TEST_DATA!C2384</f>
        <v>43440</v>
      </c>
      <c r="D2384" t="str">
        <f>TEST_DATA!D2384</f>
        <v>NIL</v>
      </c>
      <c r="E2384">
        <f>TEST_DATA!E2384</f>
        <v>631</v>
      </c>
    </row>
    <row r="2385" spans="1:5" x14ac:dyDescent="0.55000000000000004">
      <c r="A2385" t="str">
        <f>TEST_DATA!A2385</f>
        <v>27AAAAA2385Z5</v>
      </c>
      <c r="B2385" t="str">
        <f>TEST_DATA!B2385</f>
        <v>Apr-2018</v>
      </c>
      <c r="C2385">
        <f>TEST_DATA!C2385</f>
        <v>43751</v>
      </c>
      <c r="D2385" t="str">
        <f>TEST_DATA!D2385</f>
        <v>NIL</v>
      </c>
      <c r="E2385">
        <f>TEST_DATA!E2385</f>
        <v>241</v>
      </c>
    </row>
    <row r="2386" spans="1:5" x14ac:dyDescent="0.55000000000000004">
      <c r="A2386" t="str">
        <f>TEST_DATA!A2386</f>
        <v>27AAAAA2386Z5</v>
      </c>
      <c r="B2386" t="str">
        <f>TEST_DATA!B2386</f>
        <v>Apr-2020</v>
      </c>
      <c r="C2386">
        <f>TEST_DATA!C2386</f>
        <v>44497</v>
      </c>
      <c r="D2386" t="str">
        <f>TEST_DATA!D2386</f>
        <v>NIL</v>
      </c>
      <c r="E2386">
        <f>TEST_DATA!E2386</f>
        <v>111</v>
      </c>
    </row>
    <row r="2387" spans="1:5" x14ac:dyDescent="0.55000000000000004">
      <c r="A2387" t="str">
        <f>TEST_DATA!A2387</f>
        <v>27AAAAA2387Z5</v>
      </c>
      <c r="B2387" t="str">
        <f>TEST_DATA!B2387</f>
        <v>Jul-2020</v>
      </c>
      <c r="C2387">
        <f>TEST_DATA!C2387</f>
        <v>43950</v>
      </c>
      <c r="D2387" t="str">
        <f>TEST_DATA!D2387</f>
        <v>NON-NIL</v>
      </c>
      <c r="E2387">
        <f>TEST_DATA!E2387</f>
        <v>1597</v>
      </c>
    </row>
    <row r="2388" spans="1:5" x14ac:dyDescent="0.55000000000000004">
      <c r="A2388" t="str">
        <f>TEST_DATA!A2388</f>
        <v>27AAAAA2388Z5</v>
      </c>
      <c r="B2388" t="str">
        <f>TEST_DATA!B2388</f>
        <v>Oct-2017</v>
      </c>
      <c r="C2388">
        <f>TEST_DATA!C2388</f>
        <v>43572</v>
      </c>
      <c r="D2388" t="str">
        <f>TEST_DATA!D2388</f>
        <v>NIL</v>
      </c>
      <c r="E2388">
        <f>TEST_DATA!E2388</f>
        <v>1690</v>
      </c>
    </row>
    <row r="2389" spans="1:5" x14ac:dyDescent="0.55000000000000004">
      <c r="A2389" t="str">
        <f>TEST_DATA!A2389</f>
        <v>27AAAAA2389Z5</v>
      </c>
      <c r="B2389" t="str">
        <f>TEST_DATA!B2389</f>
        <v>Dec-2024</v>
      </c>
      <c r="C2389">
        <f>TEST_DATA!C2389</f>
        <v>44793</v>
      </c>
      <c r="D2389" t="str">
        <f>TEST_DATA!D2389</f>
        <v>NON-NIL</v>
      </c>
      <c r="E2389">
        <f>TEST_DATA!E2389</f>
        <v>1538</v>
      </c>
    </row>
    <row r="2390" spans="1:5" x14ac:dyDescent="0.55000000000000004">
      <c r="A2390" t="str">
        <f>TEST_DATA!A2390</f>
        <v>27AAAAA2390Z5</v>
      </c>
      <c r="B2390" t="str">
        <f>TEST_DATA!B2390</f>
        <v>Dec-2022</v>
      </c>
      <c r="C2390">
        <f>TEST_DATA!C2390</f>
        <v>43961</v>
      </c>
      <c r="D2390" t="str">
        <f>TEST_DATA!D2390</f>
        <v>NIL</v>
      </c>
      <c r="E2390">
        <f>TEST_DATA!E2390</f>
        <v>829</v>
      </c>
    </row>
    <row r="2391" spans="1:5" x14ac:dyDescent="0.55000000000000004">
      <c r="A2391" t="str">
        <f>TEST_DATA!A2391</f>
        <v>27AAAAA2391Z5</v>
      </c>
      <c r="B2391" t="str">
        <f>TEST_DATA!B2391</f>
        <v>Feb-2018</v>
      </c>
      <c r="C2391">
        <f>TEST_DATA!C2391</f>
        <v>44457</v>
      </c>
      <c r="D2391" t="str">
        <f>TEST_DATA!D2391</f>
        <v>NIL</v>
      </c>
      <c r="E2391">
        <f>TEST_DATA!E2391</f>
        <v>2019</v>
      </c>
    </row>
    <row r="2392" spans="1:5" x14ac:dyDescent="0.55000000000000004">
      <c r="A2392" t="str">
        <f>TEST_DATA!A2392</f>
        <v>27AAAAA2392Z5</v>
      </c>
      <c r="B2392" t="str">
        <f>TEST_DATA!B2392</f>
        <v>Jun-2019</v>
      </c>
      <c r="C2392">
        <f>TEST_DATA!C2392</f>
        <v>45532</v>
      </c>
      <c r="D2392" t="str">
        <f>TEST_DATA!D2392</f>
        <v>NON-NIL</v>
      </c>
      <c r="E2392">
        <f>TEST_DATA!E2392</f>
        <v>471</v>
      </c>
    </row>
    <row r="2393" spans="1:5" x14ac:dyDescent="0.55000000000000004">
      <c r="A2393" t="str">
        <f>TEST_DATA!A2393</f>
        <v>27AAAAA2393Z5</v>
      </c>
      <c r="B2393" t="str">
        <f>TEST_DATA!B2393</f>
        <v>Mar-2018</v>
      </c>
      <c r="C2393">
        <f>TEST_DATA!C2393</f>
        <v>43041</v>
      </c>
      <c r="D2393" t="str">
        <f>TEST_DATA!D2393</f>
        <v>NON-NIL</v>
      </c>
      <c r="E2393">
        <f>TEST_DATA!E2393</f>
        <v>1903</v>
      </c>
    </row>
    <row r="2394" spans="1:5" x14ac:dyDescent="0.55000000000000004">
      <c r="A2394" t="str">
        <f>TEST_DATA!A2394</f>
        <v>27AAAAA2394Z5</v>
      </c>
      <c r="B2394" t="str">
        <f>TEST_DATA!B2394</f>
        <v>Dec-2019</v>
      </c>
      <c r="C2394">
        <f>TEST_DATA!C2394</f>
        <v>45133</v>
      </c>
      <c r="D2394" t="str">
        <f>TEST_DATA!D2394</f>
        <v>NIL</v>
      </c>
      <c r="E2394">
        <f>TEST_DATA!E2394</f>
        <v>1983</v>
      </c>
    </row>
    <row r="2395" spans="1:5" x14ac:dyDescent="0.55000000000000004">
      <c r="A2395" t="str">
        <f>TEST_DATA!A2395</f>
        <v>27AAAAA2395Z5</v>
      </c>
      <c r="B2395" t="str">
        <f>TEST_DATA!B2395</f>
        <v>Jul-2017</v>
      </c>
      <c r="C2395">
        <f>TEST_DATA!C2395</f>
        <v>43751</v>
      </c>
      <c r="D2395" t="str">
        <f>TEST_DATA!D2395</f>
        <v>NIL</v>
      </c>
      <c r="E2395">
        <f>TEST_DATA!E2395</f>
        <v>76</v>
      </c>
    </row>
    <row r="2396" spans="1:5" x14ac:dyDescent="0.55000000000000004">
      <c r="A2396" t="str">
        <f>TEST_DATA!A2396</f>
        <v>27AAAAA2396Z5</v>
      </c>
      <c r="B2396" t="str">
        <f>TEST_DATA!B2396</f>
        <v>Mar-2018</v>
      </c>
      <c r="C2396">
        <f>TEST_DATA!C2396</f>
        <v>44051</v>
      </c>
      <c r="D2396" t="str">
        <f>TEST_DATA!D2396</f>
        <v>NIL</v>
      </c>
      <c r="E2396">
        <f>TEST_DATA!E2396</f>
        <v>1008</v>
      </c>
    </row>
    <row r="2397" spans="1:5" x14ac:dyDescent="0.55000000000000004">
      <c r="A2397" t="str">
        <f>TEST_DATA!A2397</f>
        <v>27AAAAA2397Z5</v>
      </c>
      <c r="B2397" t="str">
        <f>TEST_DATA!B2397</f>
        <v>Mar-2021</v>
      </c>
      <c r="C2397">
        <f>TEST_DATA!C2397</f>
        <v>45738</v>
      </c>
      <c r="D2397" t="str">
        <f>TEST_DATA!D2397</f>
        <v>NIL</v>
      </c>
      <c r="E2397">
        <f>TEST_DATA!E2397</f>
        <v>1247</v>
      </c>
    </row>
    <row r="2398" spans="1:5" x14ac:dyDescent="0.55000000000000004">
      <c r="A2398" t="str">
        <f>TEST_DATA!A2398</f>
        <v>27AAAAA2398Z5</v>
      </c>
      <c r="B2398" t="str">
        <f>TEST_DATA!B2398</f>
        <v>Mar-2020</v>
      </c>
      <c r="C2398">
        <f>TEST_DATA!C2398</f>
        <v>44664</v>
      </c>
      <c r="D2398" t="str">
        <f>TEST_DATA!D2398</f>
        <v>NON-NIL</v>
      </c>
      <c r="E2398">
        <f>TEST_DATA!E2398</f>
        <v>343</v>
      </c>
    </row>
    <row r="2399" spans="1:5" x14ac:dyDescent="0.55000000000000004">
      <c r="A2399" t="str">
        <f>TEST_DATA!A2399</f>
        <v>27AAAAA2399Z5</v>
      </c>
      <c r="B2399" t="str">
        <f>TEST_DATA!B2399</f>
        <v>Mar-2023</v>
      </c>
      <c r="C2399">
        <f>TEST_DATA!C2399</f>
        <v>45515</v>
      </c>
      <c r="D2399" t="str">
        <f>TEST_DATA!D2399</f>
        <v>NIL</v>
      </c>
      <c r="E2399">
        <f>TEST_DATA!E2399</f>
        <v>583</v>
      </c>
    </row>
    <row r="2400" spans="1:5" x14ac:dyDescent="0.55000000000000004">
      <c r="A2400" t="str">
        <f>TEST_DATA!A2400</f>
        <v>27AAAAA2400Z5</v>
      </c>
      <c r="B2400" t="str">
        <f>TEST_DATA!B2400</f>
        <v>Jun-2018</v>
      </c>
      <c r="C2400">
        <f>TEST_DATA!C2400</f>
        <v>44023</v>
      </c>
      <c r="D2400" t="str">
        <f>TEST_DATA!D2400</f>
        <v>NIL</v>
      </c>
      <c r="E2400">
        <f>TEST_DATA!E2400</f>
        <v>1004</v>
      </c>
    </row>
    <row r="2401" spans="1:5" x14ac:dyDescent="0.55000000000000004">
      <c r="A2401" t="str">
        <f>TEST_DATA!A2401</f>
        <v>27AAAAA2401Z5</v>
      </c>
      <c r="B2401" t="str">
        <f>TEST_DATA!B2401</f>
        <v>Dec-2019</v>
      </c>
      <c r="C2401">
        <f>TEST_DATA!C2401</f>
        <v>45201</v>
      </c>
      <c r="D2401" t="str">
        <f>TEST_DATA!D2401</f>
        <v>NON-NIL</v>
      </c>
      <c r="E2401">
        <f>TEST_DATA!E2401</f>
        <v>171</v>
      </c>
    </row>
    <row r="2402" spans="1:5" x14ac:dyDescent="0.55000000000000004">
      <c r="A2402" t="str">
        <f>TEST_DATA!A2402</f>
        <v>27AAAAA2402Z5</v>
      </c>
      <c r="B2402" t="str">
        <f>TEST_DATA!B2402</f>
        <v>Jul-2017</v>
      </c>
      <c r="C2402">
        <f>TEST_DATA!C2402</f>
        <v>43868</v>
      </c>
      <c r="D2402" t="str">
        <f>TEST_DATA!D2402</f>
        <v>NON-NIL</v>
      </c>
      <c r="E2402">
        <f>TEST_DATA!E2402</f>
        <v>2674</v>
      </c>
    </row>
    <row r="2403" spans="1:5" x14ac:dyDescent="0.55000000000000004">
      <c r="A2403" t="str">
        <f>TEST_DATA!A2403</f>
        <v>27AAAAA2403Z5</v>
      </c>
      <c r="B2403" t="str">
        <f>TEST_DATA!B2403</f>
        <v>Dec-2017</v>
      </c>
      <c r="C2403">
        <f>TEST_DATA!C2403</f>
        <v>42918</v>
      </c>
      <c r="D2403" t="str">
        <f>TEST_DATA!D2403</f>
        <v>NIL</v>
      </c>
      <c r="E2403">
        <f>TEST_DATA!E2403</f>
        <v>1975</v>
      </c>
    </row>
    <row r="2404" spans="1:5" x14ac:dyDescent="0.55000000000000004">
      <c r="A2404" t="str">
        <f>TEST_DATA!A2404</f>
        <v>27AAAAA2404Z5</v>
      </c>
      <c r="B2404" t="str">
        <f>TEST_DATA!B2404</f>
        <v>Mar-2018</v>
      </c>
      <c r="C2404">
        <f>TEST_DATA!C2404</f>
        <v>44141</v>
      </c>
      <c r="D2404" t="str">
        <f>TEST_DATA!D2404</f>
        <v>NON-NIL</v>
      </c>
      <c r="E2404">
        <f>TEST_DATA!E2404</f>
        <v>2785</v>
      </c>
    </row>
    <row r="2405" spans="1:5" x14ac:dyDescent="0.55000000000000004">
      <c r="A2405" t="str">
        <f>TEST_DATA!A2405</f>
        <v>27AAAAA2405Z5</v>
      </c>
      <c r="B2405" t="str">
        <f>TEST_DATA!B2405</f>
        <v>Jul-2018</v>
      </c>
      <c r="C2405">
        <f>TEST_DATA!C2405</f>
        <v>43636</v>
      </c>
      <c r="D2405" t="str">
        <f>TEST_DATA!D2405</f>
        <v>NIL</v>
      </c>
      <c r="E2405">
        <f>TEST_DATA!E2405</f>
        <v>2396</v>
      </c>
    </row>
    <row r="2406" spans="1:5" x14ac:dyDescent="0.55000000000000004">
      <c r="A2406" t="str">
        <f>TEST_DATA!A2406</f>
        <v>27AAAAA2406Z5</v>
      </c>
      <c r="B2406" t="str">
        <f>TEST_DATA!B2406</f>
        <v>Dec-2022</v>
      </c>
      <c r="C2406">
        <f>TEST_DATA!C2406</f>
        <v>45556</v>
      </c>
      <c r="D2406" t="str">
        <f>TEST_DATA!D2406</f>
        <v>NON-NIL</v>
      </c>
      <c r="E2406">
        <f>TEST_DATA!E2406</f>
        <v>186</v>
      </c>
    </row>
    <row r="2407" spans="1:5" x14ac:dyDescent="0.55000000000000004">
      <c r="A2407" t="str">
        <f>TEST_DATA!A2407</f>
        <v>27AAAAA2407Z5</v>
      </c>
      <c r="B2407" t="str">
        <f>TEST_DATA!B2407</f>
        <v>Dec-2017</v>
      </c>
      <c r="C2407">
        <f>TEST_DATA!C2407</f>
        <v>44430</v>
      </c>
      <c r="D2407" t="str">
        <f>TEST_DATA!D2407</f>
        <v>NIL</v>
      </c>
      <c r="E2407">
        <f>TEST_DATA!E2407</f>
        <v>1231</v>
      </c>
    </row>
    <row r="2408" spans="1:5" x14ac:dyDescent="0.55000000000000004">
      <c r="A2408" t="str">
        <f>TEST_DATA!A2408</f>
        <v>27AAAAA2408Z5</v>
      </c>
      <c r="B2408" t="str">
        <f>TEST_DATA!B2408</f>
        <v>Sep-2017</v>
      </c>
      <c r="C2408">
        <f>TEST_DATA!C2408</f>
        <v>43726</v>
      </c>
      <c r="D2408" t="str">
        <f>TEST_DATA!D2408</f>
        <v>NIL</v>
      </c>
      <c r="E2408">
        <f>TEST_DATA!E2408</f>
        <v>572</v>
      </c>
    </row>
    <row r="2409" spans="1:5" x14ac:dyDescent="0.55000000000000004">
      <c r="A2409" t="str">
        <f>TEST_DATA!A2409</f>
        <v>27AAAAA2409Z5</v>
      </c>
      <c r="B2409" t="str">
        <f>TEST_DATA!B2409</f>
        <v>Jan-2021</v>
      </c>
      <c r="C2409">
        <f>TEST_DATA!C2409</f>
        <v>45745</v>
      </c>
      <c r="D2409" t="str">
        <f>TEST_DATA!D2409</f>
        <v>NON-NIL</v>
      </c>
      <c r="E2409">
        <f>TEST_DATA!E2409</f>
        <v>1769</v>
      </c>
    </row>
    <row r="2410" spans="1:5" x14ac:dyDescent="0.55000000000000004">
      <c r="A2410" t="str">
        <f>TEST_DATA!A2410</f>
        <v>27AAAAA2410Z5</v>
      </c>
      <c r="B2410" t="str">
        <f>TEST_DATA!B2410</f>
        <v>Jan-2018</v>
      </c>
      <c r="C2410">
        <f>TEST_DATA!C2410</f>
        <v>44167</v>
      </c>
      <c r="D2410" t="str">
        <f>TEST_DATA!D2410</f>
        <v>NON-NIL</v>
      </c>
      <c r="E2410">
        <f>TEST_DATA!E2410</f>
        <v>2793</v>
      </c>
    </row>
    <row r="2411" spans="1:5" x14ac:dyDescent="0.55000000000000004">
      <c r="A2411" t="str">
        <f>TEST_DATA!A2411</f>
        <v>27AAAAA2411Z5</v>
      </c>
      <c r="B2411" t="str">
        <f>TEST_DATA!B2411</f>
        <v>May-2018</v>
      </c>
      <c r="C2411">
        <f>TEST_DATA!C2411</f>
        <v>44217</v>
      </c>
      <c r="D2411" t="str">
        <f>TEST_DATA!D2411</f>
        <v>NON-NIL</v>
      </c>
      <c r="E2411">
        <f>TEST_DATA!E2411</f>
        <v>2898</v>
      </c>
    </row>
    <row r="2412" spans="1:5" x14ac:dyDescent="0.55000000000000004">
      <c r="A2412" t="str">
        <f>TEST_DATA!A2412</f>
        <v>27AAAAA2412Z5</v>
      </c>
      <c r="B2412" t="str">
        <f>TEST_DATA!B2412</f>
        <v>Sep-2018</v>
      </c>
      <c r="C2412">
        <f>TEST_DATA!C2412</f>
        <v>43476</v>
      </c>
      <c r="D2412" t="str">
        <f>TEST_DATA!D2412</f>
        <v>NIL</v>
      </c>
      <c r="E2412">
        <f>TEST_DATA!E2412</f>
        <v>2712</v>
      </c>
    </row>
    <row r="2413" spans="1:5" x14ac:dyDescent="0.55000000000000004">
      <c r="A2413" t="str">
        <f>TEST_DATA!A2413</f>
        <v>27AAAAA2413Z5</v>
      </c>
      <c r="B2413" t="str">
        <f>TEST_DATA!B2413</f>
        <v>May-2018</v>
      </c>
      <c r="C2413">
        <f>TEST_DATA!C2413</f>
        <v>43616</v>
      </c>
      <c r="D2413" t="str">
        <f>TEST_DATA!D2413</f>
        <v>NIL</v>
      </c>
      <c r="E2413">
        <f>TEST_DATA!E2413</f>
        <v>1883</v>
      </c>
    </row>
    <row r="2414" spans="1:5" x14ac:dyDescent="0.55000000000000004">
      <c r="A2414" t="str">
        <f>TEST_DATA!A2414</f>
        <v>27AAAAA2414Z5</v>
      </c>
      <c r="B2414" t="str">
        <f>TEST_DATA!B2414</f>
        <v>Apr-2020</v>
      </c>
      <c r="C2414">
        <f>TEST_DATA!C2414</f>
        <v>44503</v>
      </c>
      <c r="D2414" t="str">
        <f>TEST_DATA!D2414</f>
        <v>NIL</v>
      </c>
      <c r="E2414">
        <f>TEST_DATA!E2414</f>
        <v>2833</v>
      </c>
    </row>
    <row r="2415" spans="1:5" x14ac:dyDescent="0.55000000000000004">
      <c r="A2415" t="str">
        <f>TEST_DATA!A2415</f>
        <v>27AAAAA2415Z5</v>
      </c>
      <c r="B2415" t="str">
        <f>TEST_DATA!B2415</f>
        <v>Nov-2017</v>
      </c>
      <c r="C2415">
        <f>TEST_DATA!C2415</f>
        <v>44240</v>
      </c>
      <c r="D2415" t="str">
        <f>TEST_DATA!D2415</f>
        <v>NIL</v>
      </c>
      <c r="E2415">
        <f>TEST_DATA!E2415</f>
        <v>2493</v>
      </c>
    </row>
    <row r="2416" spans="1:5" x14ac:dyDescent="0.55000000000000004">
      <c r="A2416" t="str">
        <f>TEST_DATA!A2416</f>
        <v>27AAAAA2416Z5</v>
      </c>
      <c r="B2416" t="str">
        <f>TEST_DATA!B2416</f>
        <v>Jan-2019</v>
      </c>
      <c r="C2416">
        <f>TEST_DATA!C2416</f>
        <v>43483</v>
      </c>
      <c r="D2416" t="str">
        <f>TEST_DATA!D2416</f>
        <v>NIL</v>
      </c>
      <c r="E2416">
        <f>TEST_DATA!E2416</f>
        <v>2755</v>
      </c>
    </row>
    <row r="2417" spans="1:5" x14ac:dyDescent="0.55000000000000004">
      <c r="A2417" t="str">
        <f>TEST_DATA!A2417</f>
        <v>27AAAAA2417Z5</v>
      </c>
      <c r="B2417" t="str">
        <f>TEST_DATA!B2417</f>
        <v>Dec-2017</v>
      </c>
      <c r="C2417">
        <f>TEST_DATA!C2417</f>
        <v>43763</v>
      </c>
      <c r="D2417" t="str">
        <f>TEST_DATA!D2417</f>
        <v>NON-NIL</v>
      </c>
      <c r="E2417">
        <f>TEST_DATA!E2417</f>
        <v>1608</v>
      </c>
    </row>
    <row r="2418" spans="1:5" x14ac:dyDescent="0.55000000000000004">
      <c r="A2418" t="str">
        <f>TEST_DATA!A2418</f>
        <v>27AAAAA2418Z5</v>
      </c>
      <c r="B2418" t="str">
        <f>TEST_DATA!B2418</f>
        <v>Dec-2019</v>
      </c>
      <c r="C2418">
        <f>TEST_DATA!C2418</f>
        <v>43798</v>
      </c>
      <c r="D2418" t="str">
        <f>TEST_DATA!D2418</f>
        <v>NIL</v>
      </c>
      <c r="E2418">
        <f>TEST_DATA!E2418</f>
        <v>2206</v>
      </c>
    </row>
    <row r="2419" spans="1:5" x14ac:dyDescent="0.55000000000000004">
      <c r="A2419" t="str">
        <f>TEST_DATA!A2419</f>
        <v>27AAAAA2419Z5</v>
      </c>
      <c r="B2419" t="str">
        <f>TEST_DATA!B2419</f>
        <v>Jul-2017</v>
      </c>
      <c r="C2419">
        <f>TEST_DATA!C2419</f>
        <v>44292</v>
      </c>
      <c r="D2419" t="str">
        <f>TEST_DATA!D2419</f>
        <v>NON-NIL</v>
      </c>
      <c r="E2419">
        <f>TEST_DATA!E2419</f>
        <v>2753</v>
      </c>
    </row>
    <row r="2420" spans="1:5" x14ac:dyDescent="0.55000000000000004">
      <c r="A2420" t="str">
        <f>TEST_DATA!A2420</f>
        <v>27AAAAA2420Z5</v>
      </c>
      <c r="B2420" t="str">
        <f>TEST_DATA!B2420</f>
        <v>Oct-2017</v>
      </c>
      <c r="C2420">
        <f>TEST_DATA!C2420</f>
        <v>43639</v>
      </c>
      <c r="D2420" t="str">
        <f>TEST_DATA!D2420</f>
        <v>NON-NIL</v>
      </c>
      <c r="E2420">
        <f>TEST_DATA!E2420</f>
        <v>2462</v>
      </c>
    </row>
    <row r="2421" spans="1:5" x14ac:dyDescent="0.55000000000000004">
      <c r="A2421" t="str">
        <f>TEST_DATA!A2421</f>
        <v>27AAAAA2421Z5</v>
      </c>
      <c r="B2421" t="str">
        <f>TEST_DATA!B2421</f>
        <v>Jun-2018</v>
      </c>
      <c r="C2421">
        <f>TEST_DATA!C2421</f>
        <v>43709</v>
      </c>
      <c r="D2421" t="str">
        <f>TEST_DATA!D2421</f>
        <v>NIL</v>
      </c>
      <c r="E2421">
        <f>TEST_DATA!E2421</f>
        <v>2855</v>
      </c>
    </row>
    <row r="2422" spans="1:5" x14ac:dyDescent="0.55000000000000004">
      <c r="A2422" t="str">
        <f>TEST_DATA!A2422</f>
        <v>27AAAAA2422Z5</v>
      </c>
      <c r="B2422" t="str">
        <f>TEST_DATA!B2422</f>
        <v>Jul-2017</v>
      </c>
      <c r="C2422">
        <f>TEST_DATA!C2422</f>
        <v>43172</v>
      </c>
      <c r="D2422" t="str">
        <f>TEST_DATA!D2422</f>
        <v>NON-NIL</v>
      </c>
      <c r="E2422">
        <f>TEST_DATA!E2422</f>
        <v>1517</v>
      </c>
    </row>
    <row r="2423" spans="1:5" x14ac:dyDescent="0.55000000000000004">
      <c r="A2423" t="str">
        <f>TEST_DATA!A2423</f>
        <v>27AAAAA2423Z5</v>
      </c>
      <c r="B2423" t="str">
        <f>TEST_DATA!B2423</f>
        <v>Jan-2018</v>
      </c>
      <c r="C2423">
        <f>TEST_DATA!C2423</f>
        <v>43827</v>
      </c>
      <c r="D2423" t="str">
        <f>TEST_DATA!D2423</f>
        <v>NIL</v>
      </c>
      <c r="E2423">
        <f>TEST_DATA!E2423</f>
        <v>907</v>
      </c>
    </row>
    <row r="2424" spans="1:5" x14ac:dyDescent="0.55000000000000004">
      <c r="A2424" t="str">
        <f>TEST_DATA!A2424</f>
        <v>27AAAAA2424Z5</v>
      </c>
      <c r="B2424" t="str">
        <f>TEST_DATA!B2424</f>
        <v>Jan-2021</v>
      </c>
      <c r="C2424">
        <f>TEST_DATA!C2424</f>
        <v>43547</v>
      </c>
      <c r="D2424" t="str">
        <f>TEST_DATA!D2424</f>
        <v>NON-NIL</v>
      </c>
      <c r="E2424">
        <f>TEST_DATA!E2424</f>
        <v>2787</v>
      </c>
    </row>
    <row r="2425" spans="1:5" x14ac:dyDescent="0.55000000000000004">
      <c r="A2425" t="str">
        <f>TEST_DATA!A2425</f>
        <v>27AAAAA2425Z5</v>
      </c>
      <c r="B2425" t="str">
        <f>TEST_DATA!B2425</f>
        <v>Jul-2020</v>
      </c>
      <c r="C2425">
        <f>TEST_DATA!C2425</f>
        <v>44563</v>
      </c>
      <c r="D2425" t="str">
        <f>TEST_DATA!D2425</f>
        <v>NIL</v>
      </c>
      <c r="E2425">
        <f>TEST_DATA!E2425</f>
        <v>368</v>
      </c>
    </row>
    <row r="2426" spans="1:5" x14ac:dyDescent="0.55000000000000004">
      <c r="A2426" t="str">
        <f>TEST_DATA!A2426</f>
        <v>27AAAAA2426Z5</v>
      </c>
      <c r="B2426" t="str">
        <f>TEST_DATA!B2426</f>
        <v>Dec-2022</v>
      </c>
      <c r="C2426">
        <f>TEST_DATA!C2426</f>
        <v>44707</v>
      </c>
      <c r="D2426" t="str">
        <f>TEST_DATA!D2426</f>
        <v>NIL</v>
      </c>
      <c r="E2426">
        <f>TEST_DATA!E2426</f>
        <v>959</v>
      </c>
    </row>
    <row r="2427" spans="1:5" x14ac:dyDescent="0.55000000000000004">
      <c r="A2427" t="str">
        <f>TEST_DATA!A2427</f>
        <v>27AAAAA2427Z5</v>
      </c>
      <c r="B2427" t="str">
        <f>TEST_DATA!B2427</f>
        <v>Jan-2019</v>
      </c>
      <c r="C2427">
        <f>TEST_DATA!C2427</f>
        <v>44952</v>
      </c>
      <c r="D2427" t="str">
        <f>TEST_DATA!D2427</f>
        <v>NIL</v>
      </c>
      <c r="E2427">
        <f>TEST_DATA!E2427</f>
        <v>1149</v>
      </c>
    </row>
    <row r="2428" spans="1:5" x14ac:dyDescent="0.55000000000000004">
      <c r="A2428" t="str">
        <f>TEST_DATA!A2428</f>
        <v>27AAAAA2428Z5</v>
      </c>
      <c r="B2428" t="str">
        <f>TEST_DATA!B2428</f>
        <v>Jan-2019</v>
      </c>
      <c r="C2428">
        <f>TEST_DATA!C2428</f>
        <v>44322</v>
      </c>
      <c r="D2428" t="str">
        <f>TEST_DATA!D2428</f>
        <v>NIL</v>
      </c>
      <c r="E2428">
        <f>TEST_DATA!E2428</f>
        <v>803</v>
      </c>
    </row>
    <row r="2429" spans="1:5" x14ac:dyDescent="0.55000000000000004">
      <c r="A2429" t="str">
        <f>TEST_DATA!A2429</f>
        <v>27AAAAA2429Z5</v>
      </c>
      <c r="B2429" t="str">
        <f>TEST_DATA!B2429</f>
        <v>Dec-2022</v>
      </c>
      <c r="C2429">
        <f>TEST_DATA!C2429</f>
        <v>45088</v>
      </c>
      <c r="D2429" t="str">
        <f>TEST_DATA!D2429</f>
        <v>NIL</v>
      </c>
      <c r="E2429">
        <f>TEST_DATA!E2429</f>
        <v>1136</v>
      </c>
    </row>
    <row r="2430" spans="1:5" x14ac:dyDescent="0.55000000000000004">
      <c r="A2430" t="str">
        <f>TEST_DATA!A2430</f>
        <v>27AAAAA2430Z5</v>
      </c>
      <c r="B2430" t="str">
        <f>TEST_DATA!B2430</f>
        <v>Mar-2020</v>
      </c>
      <c r="C2430">
        <f>TEST_DATA!C2430</f>
        <v>44855</v>
      </c>
      <c r="D2430" t="str">
        <f>TEST_DATA!D2430</f>
        <v>NON-NIL</v>
      </c>
      <c r="E2430">
        <f>TEST_DATA!E2430</f>
        <v>698</v>
      </c>
    </row>
    <row r="2431" spans="1:5" x14ac:dyDescent="0.55000000000000004">
      <c r="A2431" t="str">
        <f>TEST_DATA!A2431</f>
        <v>27AAAAA2431Z5</v>
      </c>
      <c r="B2431" t="str">
        <f>TEST_DATA!B2431</f>
        <v>Dec-2019</v>
      </c>
      <c r="C2431">
        <f>TEST_DATA!C2431</f>
        <v>44259</v>
      </c>
      <c r="D2431" t="str">
        <f>TEST_DATA!D2431</f>
        <v>NIL</v>
      </c>
      <c r="E2431">
        <f>TEST_DATA!E2431</f>
        <v>267</v>
      </c>
    </row>
    <row r="2432" spans="1:5" x14ac:dyDescent="0.55000000000000004">
      <c r="A2432" t="str">
        <f>TEST_DATA!A2432</f>
        <v>27AAAAA2432Z5</v>
      </c>
      <c r="B2432" t="str">
        <f>TEST_DATA!B2432</f>
        <v>Mar-2020</v>
      </c>
      <c r="C2432">
        <f>TEST_DATA!C2432</f>
        <v>44093</v>
      </c>
      <c r="D2432" t="str">
        <f>TEST_DATA!D2432</f>
        <v>NIL</v>
      </c>
      <c r="E2432">
        <f>TEST_DATA!E2432</f>
        <v>521</v>
      </c>
    </row>
    <row r="2433" spans="1:5" x14ac:dyDescent="0.55000000000000004">
      <c r="A2433" t="str">
        <f>TEST_DATA!A2433</f>
        <v>27AAAAA2433Z5</v>
      </c>
      <c r="B2433" t="str">
        <f>TEST_DATA!B2433</f>
        <v>Mar-2018</v>
      </c>
      <c r="C2433">
        <f>TEST_DATA!C2433</f>
        <v>44084</v>
      </c>
      <c r="D2433" t="str">
        <f>TEST_DATA!D2433</f>
        <v>NIL</v>
      </c>
      <c r="E2433">
        <f>TEST_DATA!E2433</f>
        <v>2142</v>
      </c>
    </row>
    <row r="2434" spans="1:5" x14ac:dyDescent="0.55000000000000004">
      <c r="A2434" t="str">
        <f>TEST_DATA!A2434</f>
        <v>27AAAAA2434Z5</v>
      </c>
      <c r="B2434" t="str">
        <f>TEST_DATA!B2434</f>
        <v>Jan-2021</v>
      </c>
      <c r="C2434">
        <f>TEST_DATA!C2434</f>
        <v>44589</v>
      </c>
      <c r="D2434" t="str">
        <f>TEST_DATA!D2434</f>
        <v>NIL</v>
      </c>
      <c r="E2434">
        <f>TEST_DATA!E2434</f>
        <v>2777</v>
      </c>
    </row>
    <row r="2435" spans="1:5" x14ac:dyDescent="0.55000000000000004">
      <c r="A2435" t="str">
        <f>TEST_DATA!A2435</f>
        <v>27AAAAA2435Z5</v>
      </c>
      <c r="B2435" t="str">
        <f>TEST_DATA!B2435</f>
        <v>Jul-2017</v>
      </c>
      <c r="C2435">
        <f>TEST_DATA!C2435</f>
        <v>44336</v>
      </c>
      <c r="D2435" t="str">
        <f>TEST_DATA!D2435</f>
        <v>NON-NIL</v>
      </c>
      <c r="E2435">
        <f>TEST_DATA!E2435</f>
        <v>2788</v>
      </c>
    </row>
    <row r="2436" spans="1:5" x14ac:dyDescent="0.55000000000000004">
      <c r="A2436" t="str">
        <f>TEST_DATA!A2436</f>
        <v>27AAAAA2436Z5</v>
      </c>
      <c r="B2436" t="str">
        <f>TEST_DATA!B2436</f>
        <v>Dec-2019</v>
      </c>
      <c r="C2436">
        <f>TEST_DATA!C2436</f>
        <v>45325</v>
      </c>
      <c r="D2436" t="str">
        <f>TEST_DATA!D2436</f>
        <v>NIL</v>
      </c>
      <c r="E2436">
        <f>TEST_DATA!E2436</f>
        <v>1749</v>
      </c>
    </row>
    <row r="2437" spans="1:5" x14ac:dyDescent="0.55000000000000004">
      <c r="A2437" t="str">
        <f>TEST_DATA!A2437</f>
        <v>27AAAAA2437Z5</v>
      </c>
      <c r="B2437" t="str">
        <f>TEST_DATA!B2437</f>
        <v>May-2020</v>
      </c>
      <c r="C2437">
        <f>TEST_DATA!C2437</f>
        <v>43937</v>
      </c>
      <c r="D2437" t="str">
        <f>TEST_DATA!D2437</f>
        <v>NON-NIL</v>
      </c>
      <c r="E2437">
        <f>TEST_DATA!E2437</f>
        <v>1771</v>
      </c>
    </row>
    <row r="2438" spans="1:5" x14ac:dyDescent="0.55000000000000004">
      <c r="A2438" t="str">
        <f>TEST_DATA!A2438</f>
        <v>27AAAAA2438Z5</v>
      </c>
      <c r="B2438" t="str">
        <f>TEST_DATA!B2438</f>
        <v>Mar-2023</v>
      </c>
      <c r="C2438">
        <f>TEST_DATA!C2438</f>
        <v>45132</v>
      </c>
      <c r="D2438" t="str">
        <f>TEST_DATA!D2438</f>
        <v>NON-NIL</v>
      </c>
      <c r="E2438">
        <f>TEST_DATA!E2438</f>
        <v>498</v>
      </c>
    </row>
    <row r="2439" spans="1:5" x14ac:dyDescent="0.55000000000000004">
      <c r="A2439" t="str">
        <f>TEST_DATA!A2439</f>
        <v>27AAAAA2439Z5</v>
      </c>
      <c r="B2439" t="str">
        <f>TEST_DATA!B2439</f>
        <v>Jun-2020</v>
      </c>
      <c r="C2439">
        <f>TEST_DATA!C2439</f>
        <v>44892</v>
      </c>
      <c r="D2439" t="str">
        <f>TEST_DATA!D2439</f>
        <v>NON-NIL</v>
      </c>
      <c r="E2439">
        <f>TEST_DATA!E2439</f>
        <v>2029</v>
      </c>
    </row>
    <row r="2440" spans="1:5" x14ac:dyDescent="0.55000000000000004">
      <c r="A2440" t="str">
        <f>TEST_DATA!A2440</f>
        <v>27AAAAA2440Z5</v>
      </c>
      <c r="B2440" t="str">
        <f>TEST_DATA!B2440</f>
        <v>Jun-2018</v>
      </c>
      <c r="C2440">
        <f>TEST_DATA!C2440</f>
        <v>43976</v>
      </c>
      <c r="D2440" t="str">
        <f>TEST_DATA!D2440</f>
        <v>NIL</v>
      </c>
      <c r="E2440">
        <f>TEST_DATA!E2440</f>
        <v>2954</v>
      </c>
    </row>
    <row r="2441" spans="1:5" x14ac:dyDescent="0.55000000000000004">
      <c r="A2441" t="str">
        <f>TEST_DATA!A2441</f>
        <v>27AAAAA2441Z5</v>
      </c>
      <c r="B2441" t="str">
        <f>TEST_DATA!B2441</f>
        <v>Feb-2018</v>
      </c>
      <c r="C2441">
        <f>TEST_DATA!C2441</f>
        <v>43013</v>
      </c>
      <c r="D2441" t="str">
        <f>TEST_DATA!D2441</f>
        <v>NON-NIL</v>
      </c>
      <c r="E2441">
        <f>TEST_DATA!E2441</f>
        <v>1720</v>
      </c>
    </row>
    <row r="2442" spans="1:5" x14ac:dyDescent="0.55000000000000004">
      <c r="A2442" t="str">
        <f>TEST_DATA!A2442</f>
        <v>27AAAAA2442Z5</v>
      </c>
      <c r="B2442" t="str">
        <f>TEST_DATA!B2442</f>
        <v>Dec-2019</v>
      </c>
      <c r="C2442">
        <f>TEST_DATA!C2442</f>
        <v>45304</v>
      </c>
      <c r="D2442" t="str">
        <f>TEST_DATA!D2442</f>
        <v>NON-NIL</v>
      </c>
      <c r="E2442">
        <f>TEST_DATA!E2442</f>
        <v>21</v>
      </c>
    </row>
    <row r="2443" spans="1:5" x14ac:dyDescent="0.55000000000000004">
      <c r="A2443" t="str">
        <f>TEST_DATA!A2443</f>
        <v>27AAAAA2443Z5</v>
      </c>
      <c r="B2443" t="str">
        <f>TEST_DATA!B2443</f>
        <v>Jul-2018</v>
      </c>
      <c r="C2443">
        <f>TEST_DATA!C2443</f>
        <v>43315</v>
      </c>
      <c r="D2443" t="str">
        <f>TEST_DATA!D2443</f>
        <v>NON-NIL</v>
      </c>
      <c r="E2443">
        <f>TEST_DATA!E2443</f>
        <v>335</v>
      </c>
    </row>
    <row r="2444" spans="1:5" x14ac:dyDescent="0.55000000000000004">
      <c r="A2444" t="str">
        <f>TEST_DATA!A2444</f>
        <v>27AAAAA2444Z5</v>
      </c>
      <c r="B2444" t="str">
        <f>TEST_DATA!B2444</f>
        <v>Dec-2024</v>
      </c>
      <c r="C2444">
        <f>TEST_DATA!C2444</f>
        <v>45808</v>
      </c>
      <c r="D2444" t="str">
        <f>TEST_DATA!D2444</f>
        <v>NIL</v>
      </c>
      <c r="E2444">
        <f>TEST_DATA!E2444</f>
        <v>924</v>
      </c>
    </row>
    <row r="2445" spans="1:5" x14ac:dyDescent="0.55000000000000004">
      <c r="A2445" t="str">
        <f>TEST_DATA!A2445</f>
        <v>27AAAAA2445Z5</v>
      </c>
      <c r="B2445" t="str">
        <f>TEST_DATA!B2445</f>
        <v>Jul-2020</v>
      </c>
      <c r="C2445">
        <f>TEST_DATA!C2445</f>
        <v>44698</v>
      </c>
      <c r="D2445" t="str">
        <f>TEST_DATA!D2445</f>
        <v>NIL</v>
      </c>
      <c r="E2445">
        <f>TEST_DATA!E2445</f>
        <v>1023</v>
      </c>
    </row>
    <row r="2446" spans="1:5" x14ac:dyDescent="0.55000000000000004">
      <c r="A2446" t="str">
        <f>TEST_DATA!A2446</f>
        <v>27AAAAA2446Z5</v>
      </c>
      <c r="B2446" t="str">
        <f>TEST_DATA!B2446</f>
        <v>Jan-2018</v>
      </c>
      <c r="C2446">
        <f>TEST_DATA!C2446</f>
        <v>43253</v>
      </c>
      <c r="D2446" t="str">
        <f>TEST_DATA!D2446</f>
        <v>NON-NIL</v>
      </c>
      <c r="E2446">
        <f>TEST_DATA!E2446</f>
        <v>1273</v>
      </c>
    </row>
    <row r="2447" spans="1:5" x14ac:dyDescent="0.55000000000000004">
      <c r="A2447" t="str">
        <f>TEST_DATA!A2447</f>
        <v>27AAAAA2447Z5</v>
      </c>
      <c r="B2447" t="str">
        <f>TEST_DATA!B2447</f>
        <v>Sep-2017</v>
      </c>
      <c r="C2447">
        <f>TEST_DATA!C2447</f>
        <v>44199</v>
      </c>
      <c r="D2447" t="str">
        <f>TEST_DATA!D2447</f>
        <v>NIL</v>
      </c>
      <c r="E2447">
        <f>TEST_DATA!E2447</f>
        <v>114</v>
      </c>
    </row>
    <row r="2448" spans="1:5" x14ac:dyDescent="0.55000000000000004">
      <c r="A2448" t="str">
        <f>TEST_DATA!A2448</f>
        <v>27AAAAA2448Z5</v>
      </c>
      <c r="B2448" t="str">
        <f>TEST_DATA!B2448</f>
        <v>Jan-2019</v>
      </c>
      <c r="C2448">
        <f>TEST_DATA!C2448</f>
        <v>45235</v>
      </c>
      <c r="D2448" t="str">
        <f>TEST_DATA!D2448</f>
        <v>NIL</v>
      </c>
      <c r="E2448">
        <f>TEST_DATA!E2448</f>
        <v>2427</v>
      </c>
    </row>
    <row r="2449" spans="1:5" x14ac:dyDescent="0.55000000000000004">
      <c r="A2449" t="str">
        <f>TEST_DATA!A2449</f>
        <v>27AAAAA2449Z5</v>
      </c>
      <c r="B2449" t="str">
        <f>TEST_DATA!B2449</f>
        <v>Apr-2021</v>
      </c>
      <c r="C2449">
        <f>TEST_DATA!C2449</f>
        <v>44835</v>
      </c>
      <c r="D2449" t="str">
        <f>TEST_DATA!D2449</f>
        <v>NON-NIL</v>
      </c>
      <c r="E2449">
        <f>TEST_DATA!E2449</f>
        <v>1012</v>
      </c>
    </row>
    <row r="2450" spans="1:5" x14ac:dyDescent="0.55000000000000004">
      <c r="A2450" t="str">
        <f>TEST_DATA!A2450</f>
        <v>27AAAAA2450Z5</v>
      </c>
      <c r="B2450" t="str">
        <f>TEST_DATA!B2450</f>
        <v>Oct-2017</v>
      </c>
      <c r="C2450">
        <f>TEST_DATA!C2450</f>
        <v>43886</v>
      </c>
      <c r="D2450" t="str">
        <f>TEST_DATA!D2450</f>
        <v>NIL</v>
      </c>
      <c r="E2450">
        <f>TEST_DATA!E2450</f>
        <v>1395</v>
      </c>
    </row>
    <row r="2451" spans="1:5" x14ac:dyDescent="0.55000000000000004">
      <c r="A2451" t="str">
        <f>TEST_DATA!A2451</f>
        <v>27AAAAA2451Z5</v>
      </c>
      <c r="B2451" t="str">
        <f>TEST_DATA!B2451</f>
        <v>Dec-2022</v>
      </c>
      <c r="C2451">
        <f>TEST_DATA!C2451</f>
        <v>43688</v>
      </c>
      <c r="D2451" t="str">
        <f>TEST_DATA!D2451</f>
        <v>NON-NIL</v>
      </c>
      <c r="E2451">
        <f>TEST_DATA!E2451</f>
        <v>2128</v>
      </c>
    </row>
    <row r="2452" spans="1:5" x14ac:dyDescent="0.55000000000000004">
      <c r="A2452" t="str">
        <f>TEST_DATA!A2452</f>
        <v>27AAAAA2452Z5</v>
      </c>
      <c r="B2452" t="str">
        <f>TEST_DATA!B2452</f>
        <v>Apr-2021</v>
      </c>
      <c r="C2452">
        <f>TEST_DATA!C2452</f>
        <v>44435</v>
      </c>
      <c r="D2452" t="str">
        <f>TEST_DATA!D2452</f>
        <v>NIL</v>
      </c>
      <c r="E2452">
        <f>TEST_DATA!E2452</f>
        <v>2457</v>
      </c>
    </row>
    <row r="2453" spans="1:5" x14ac:dyDescent="0.55000000000000004">
      <c r="A2453" t="str">
        <f>TEST_DATA!A2453</f>
        <v>27AAAAA2453Z5</v>
      </c>
      <c r="B2453" t="str">
        <f>TEST_DATA!B2453</f>
        <v>Apr-2020</v>
      </c>
      <c r="C2453">
        <f>TEST_DATA!C2453</f>
        <v>44729</v>
      </c>
      <c r="D2453" t="str">
        <f>TEST_DATA!D2453</f>
        <v>NIL</v>
      </c>
      <c r="E2453">
        <f>TEST_DATA!E2453</f>
        <v>2561</v>
      </c>
    </row>
    <row r="2454" spans="1:5" x14ac:dyDescent="0.55000000000000004">
      <c r="A2454" t="str">
        <f>TEST_DATA!A2454</f>
        <v>27AAAAA2454Z5</v>
      </c>
      <c r="B2454" t="str">
        <f>TEST_DATA!B2454</f>
        <v>Sep-2018</v>
      </c>
      <c r="C2454">
        <f>TEST_DATA!C2454</f>
        <v>44102</v>
      </c>
      <c r="D2454" t="str">
        <f>TEST_DATA!D2454</f>
        <v>NIL</v>
      </c>
      <c r="E2454">
        <f>TEST_DATA!E2454</f>
        <v>350</v>
      </c>
    </row>
    <row r="2455" spans="1:5" x14ac:dyDescent="0.55000000000000004">
      <c r="A2455" t="str">
        <f>TEST_DATA!A2455</f>
        <v>27AAAAA2455Z5</v>
      </c>
      <c r="B2455" t="str">
        <f>TEST_DATA!B2455</f>
        <v>Aug-2017</v>
      </c>
      <c r="C2455">
        <f>TEST_DATA!C2455</f>
        <v>42985</v>
      </c>
      <c r="D2455" t="str">
        <f>TEST_DATA!D2455</f>
        <v>NON-NIL</v>
      </c>
      <c r="E2455">
        <f>TEST_DATA!E2455</f>
        <v>1283</v>
      </c>
    </row>
    <row r="2456" spans="1:5" x14ac:dyDescent="0.55000000000000004">
      <c r="A2456" t="str">
        <f>TEST_DATA!A2456</f>
        <v>27AAAAA2456Z5</v>
      </c>
      <c r="B2456" t="str">
        <f>TEST_DATA!B2456</f>
        <v>Dec-2024</v>
      </c>
      <c r="C2456">
        <f>TEST_DATA!C2456</f>
        <v>43732</v>
      </c>
      <c r="D2456" t="str">
        <f>TEST_DATA!D2456</f>
        <v>NIL</v>
      </c>
      <c r="E2456">
        <f>TEST_DATA!E2456</f>
        <v>253</v>
      </c>
    </row>
    <row r="2457" spans="1:5" x14ac:dyDescent="0.55000000000000004">
      <c r="A2457" t="str">
        <f>TEST_DATA!A2457</f>
        <v>27AAAAA2457Z5</v>
      </c>
      <c r="B2457" t="str">
        <f>TEST_DATA!B2457</f>
        <v>Apr-2021</v>
      </c>
      <c r="C2457">
        <f>TEST_DATA!C2457</f>
        <v>45276</v>
      </c>
      <c r="D2457" t="str">
        <f>TEST_DATA!D2457</f>
        <v>NIL</v>
      </c>
      <c r="E2457">
        <f>TEST_DATA!E2457</f>
        <v>1234</v>
      </c>
    </row>
    <row r="2458" spans="1:5" x14ac:dyDescent="0.55000000000000004">
      <c r="A2458" t="str">
        <f>TEST_DATA!A2458</f>
        <v>27AAAAA2458Z5</v>
      </c>
      <c r="B2458" t="str">
        <f>TEST_DATA!B2458</f>
        <v>Apr-2020</v>
      </c>
      <c r="C2458">
        <f>TEST_DATA!C2458</f>
        <v>44715</v>
      </c>
      <c r="D2458" t="str">
        <f>TEST_DATA!D2458</f>
        <v>NIL</v>
      </c>
      <c r="E2458">
        <f>TEST_DATA!E2458</f>
        <v>417</v>
      </c>
    </row>
    <row r="2459" spans="1:5" x14ac:dyDescent="0.55000000000000004">
      <c r="A2459" t="str">
        <f>TEST_DATA!A2459</f>
        <v>27AAAAA2459Z5</v>
      </c>
      <c r="B2459" t="str">
        <f>TEST_DATA!B2459</f>
        <v>Jun-2020</v>
      </c>
      <c r="C2459">
        <f>TEST_DATA!C2459</f>
        <v>43945</v>
      </c>
      <c r="D2459" t="str">
        <f>TEST_DATA!D2459</f>
        <v>NIL</v>
      </c>
      <c r="E2459">
        <f>TEST_DATA!E2459</f>
        <v>1207</v>
      </c>
    </row>
    <row r="2460" spans="1:5" x14ac:dyDescent="0.55000000000000004">
      <c r="A2460" t="str">
        <f>TEST_DATA!A2460</f>
        <v>27AAAAA2460Z5</v>
      </c>
      <c r="B2460" t="str">
        <f>TEST_DATA!B2460</f>
        <v>Mar-2023</v>
      </c>
      <c r="C2460">
        <f>TEST_DATA!C2460</f>
        <v>45028</v>
      </c>
      <c r="D2460" t="str">
        <f>TEST_DATA!D2460</f>
        <v>NON-NIL</v>
      </c>
      <c r="E2460">
        <f>TEST_DATA!E2460</f>
        <v>392</v>
      </c>
    </row>
    <row r="2461" spans="1:5" x14ac:dyDescent="0.55000000000000004">
      <c r="A2461" t="str">
        <f>TEST_DATA!A2461</f>
        <v>27AAAAA2461Z5</v>
      </c>
      <c r="B2461" t="str">
        <f>TEST_DATA!B2461</f>
        <v>Apr-2020</v>
      </c>
      <c r="C2461">
        <f>TEST_DATA!C2461</f>
        <v>44672</v>
      </c>
      <c r="D2461" t="str">
        <f>TEST_DATA!D2461</f>
        <v>NIL</v>
      </c>
      <c r="E2461">
        <f>TEST_DATA!E2461</f>
        <v>2455</v>
      </c>
    </row>
    <row r="2462" spans="1:5" x14ac:dyDescent="0.55000000000000004">
      <c r="A2462" t="str">
        <f>TEST_DATA!A2462</f>
        <v>27AAAAA2462Z5</v>
      </c>
      <c r="B2462" t="str">
        <f>TEST_DATA!B2462</f>
        <v>Apr-2021</v>
      </c>
      <c r="C2462">
        <f>TEST_DATA!C2462</f>
        <v>43509</v>
      </c>
      <c r="D2462" t="str">
        <f>TEST_DATA!D2462</f>
        <v>NON-NIL</v>
      </c>
      <c r="E2462">
        <f>TEST_DATA!E2462</f>
        <v>1572</v>
      </c>
    </row>
    <row r="2463" spans="1:5" x14ac:dyDescent="0.55000000000000004">
      <c r="A2463" t="str">
        <f>TEST_DATA!A2463</f>
        <v>27AAAAA2463Z5</v>
      </c>
      <c r="B2463" t="str">
        <f>TEST_DATA!B2463</f>
        <v>Sep-2018</v>
      </c>
      <c r="C2463">
        <f>TEST_DATA!C2463</f>
        <v>44545</v>
      </c>
      <c r="D2463" t="str">
        <f>TEST_DATA!D2463</f>
        <v>NON-NIL</v>
      </c>
      <c r="E2463">
        <f>TEST_DATA!E2463</f>
        <v>2540</v>
      </c>
    </row>
    <row r="2464" spans="1:5" x14ac:dyDescent="0.55000000000000004">
      <c r="A2464" t="str">
        <f>TEST_DATA!A2464</f>
        <v>27AAAAA2464Z5</v>
      </c>
      <c r="B2464" t="str">
        <f>TEST_DATA!B2464</f>
        <v>Apr-2020</v>
      </c>
      <c r="C2464">
        <f>TEST_DATA!C2464</f>
        <v>44038</v>
      </c>
      <c r="D2464" t="str">
        <f>TEST_DATA!D2464</f>
        <v>NON-NIL</v>
      </c>
      <c r="E2464">
        <f>TEST_DATA!E2464</f>
        <v>2666</v>
      </c>
    </row>
    <row r="2465" spans="1:5" x14ac:dyDescent="0.55000000000000004">
      <c r="A2465" t="str">
        <f>TEST_DATA!A2465</f>
        <v>27AAAAA2465Z5</v>
      </c>
      <c r="B2465" t="str">
        <f>TEST_DATA!B2465</f>
        <v>Jun-2020</v>
      </c>
      <c r="C2465">
        <f>TEST_DATA!C2465</f>
        <v>43884</v>
      </c>
      <c r="D2465" t="str">
        <f>TEST_DATA!D2465</f>
        <v>NON-NIL</v>
      </c>
      <c r="E2465">
        <f>TEST_DATA!E2465</f>
        <v>2118</v>
      </c>
    </row>
    <row r="2466" spans="1:5" x14ac:dyDescent="0.55000000000000004">
      <c r="A2466" t="str">
        <f>TEST_DATA!A2466</f>
        <v>27AAAAA2466Z5</v>
      </c>
      <c r="B2466" t="str">
        <f>TEST_DATA!B2466</f>
        <v>May-2018</v>
      </c>
      <c r="C2466">
        <f>TEST_DATA!C2466</f>
        <v>44120</v>
      </c>
      <c r="D2466" t="str">
        <f>TEST_DATA!D2466</f>
        <v>NIL</v>
      </c>
      <c r="E2466">
        <f>TEST_DATA!E2466</f>
        <v>442</v>
      </c>
    </row>
    <row r="2467" spans="1:5" x14ac:dyDescent="0.55000000000000004">
      <c r="A2467" t="str">
        <f>TEST_DATA!A2467</f>
        <v>27AAAAA2467Z5</v>
      </c>
      <c r="B2467" t="str">
        <f>TEST_DATA!B2467</f>
        <v>Oct-2017</v>
      </c>
      <c r="C2467">
        <f>TEST_DATA!C2467</f>
        <v>42942</v>
      </c>
      <c r="D2467" t="str">
        <f>TEST_DATA!D2467</f>
        <v>NIL</v>
      </c>
      <c r="E2467">
        <f>TEST_DATA!E2467</f>
        <v>2428</v>
      </c>
    </row>
    <row r="2468" spans="1:5" x14ac:dyDescent="0.55000000000000004">
      <c r="A2468" t="str">
        <f>TEST_DATA!A2468</f>
        <v>27AAAAA2468Z5</v>
      </c>
      <c r="B2468" t="str">
        <f>TEST_DATA!B2468</f>
        <v>Apr-2021</v>
      </c>
      <c r="C2468">
        <f>TEST_DATA!C2468</f>
        <v>44259</v>
      </c>
      <c r="D2468" t="str">
        <f>TEST_DATA!D2468</f>
        <v>NIL</v>
      </c>
      <c r="E2468">
        <f>TEST_DATA!E2468</f>
        <v>2610</v>
      </c>
    </row>
    <row r="2469" spans="1:5" x14ac:dyDescent="0.55000000000000004">
      <c r="A2469" t="str">
        <f>TEST_DATA!A2469</f>
        <v>27AAAAA2469Z5</v>
      </c>
      <c r="B2469" t="str">
        <f>TEST_DATA!B2469</f>
        <v>Jun-2019</v>
      </c>
      <c r="C2469">
        <f>TEST_DATA!C2469</f>
        <v>44515</v>
      </c>
      <c r="D2469" t="str">
        <f>TEST_DATA!D2469</f>
        <v>NON-NIL</v>
      </c>
      <c r="E2469">
        <f>TEST_DATA!E2469</f>
        <v>1724</v>
      </c>
    </row>
    <row r="2470" spans="1:5" x14ac:dyDescent="0.55000000000000004">
      <c r="A2470" t="str">
        <f>TEST_DATA!A2470</f>
        <v>27AAAAA2470Z5</v>
      </c>
      <c r="B2470" t="str">
        <f>TEST_DATA!B2470</f>
        <v>Jan-2019</v>
      </c>
      <c r="C2470">
        <f>TEST_DATA!C2470</f>
        <v>45287</v>
      </c>
      <c r="D2470" t="str">
        <f>TEST_DATA!D2470</f>
        <v>NIL</v>
      </c>
      <c r="E2470">
        <f>TEST_DATA!E2470</f>
        <v>995</v>
      </c>
    </row>
    <row r="2471" spans="1:5" x14ac:dyDescent="0.55000000000000004">
      <c r="A2471" t="str">
        <f>TEST_DATA!A2471</f>
        <v>27AAAAA2471Z5</v>
      </c>
      <c r="B2471" t="str">
        <f>TEST_DATA!B2471</f>
        <v>Nov-2017</v>
      </c>
      <c r="C2471">
        <f>TEST_DATA!C2471</f>
        <v>44549</v>
      </c>
      <c r="D2471" t="str">
        <f>TEST_DATA!D2471</f>
        <v>NIL</v>
      </c>
      <c r="E2471">
        <f>TEST_DATA!E2471</f>
        <v>247</v>
      </c>
    </row>
    <row r="2472" spans="1:5" x14ac:dyDescent="0.55000000000000004">
      <c r="A2472" t="str">
        <f>TEST_DATA!A2472</f>
        <v>27AAAAA2472Z5</v>
      </c>
      <c r="B2472" t="str">
        <f>TEST_DATA!B2472</f>
        <v>Nov-2017</v>
      </c>
      <c r="C2472">
        <f>TEST_DATA!C2472</f>
        <v>43555</v>
      </c>
      <c r="D2472" t="str">
        <f>TEST_DATA!D2472</f>
        <v>NON-NIL</v>
      </c>
      <c r="E2472">
        <f>TEST_DATA!E2472</f>
        <v>2101</v>
      </c>
    </row>
    <row r="2473" spans="1:5" x14ac:dyDescent="0.55000000000000004">
      <c r="A2473" t="str">
        <f>TEST_DATA!A2473</f>
        <v>27AAAAA2473Z5</v>
      </c>
      <c r="B2473" t="str">
        <f>TEST_DATA!B2473</f>
        <v>May-2020</v>
      </c>
      <c r="C2473">
        <f>TEST_DATA!C2473</f>
        <v>44563</v>
      </c>
      <c r="D2473" t="str">
        <f>TEST_DATA!D2473</f>
        <v>NON-NIL</v>
      </c>
      <c r="E2473">
        <f>TEST_DATA!E2473</f>
        <v>2390</v>
      </c>
    </row>
    <row r="2474" spans="1:5" x14ac:dyDescent="0.55000000000000004">
      <c r="A2474" t="str">
        <f>TEST_DATA!A2474</f>
        <v>27AAAAA2474Z5</v>
      </c>
      <c r="B2474" t="str">
        <f>TEST_DATA!B2474</f>
        <v>Dec-2024</v>
      </c>
      <c r="C2474">
        <f>TEST_DATA!C2474</f>
        <v>45682</v>
      </c>
      <c r="D2474" t="str">
        <f>TEST_DATA!D2474</f>
        <v>NIL</v>
      </c>
      <c r="E2474">
        <f>TEST_DATA!E2474</f>
        <v>603</v>
      </c>
    </row>
    <row r="2475" spans="1:5" x14ac:dyDescent="0.55000000000000004">
      <c r="A2475" t="str">
        <f>TEST_DATA!A2475</f>
        <v>27AAAAA2475Z5</v>
      </c>
      <c r="B2475" t="str">
        <f>TEST_DATA!B2475</f>
        <v>Jan-2019</v>
      </c>
      <c r="C2475">
        <f>TEST_DATA!C2475</f>
        <v>44730</v>
      </c>
      <c r="D2475" t="str">
        <f>TEST_DATA!D2475</f>
        <v>NON-NIL</v>
      </c>
      <c r="E2475">
        <f>TEST_DATA!E2475</f>
        <v>1192</v>
      </c>
    </row>
    <row r="2476" spans="1:5" x14ac:dyDescent="0.55000000000000004">
      <c r="A2476" t="str">
        <f>TEST_DATA!A2476</f>
        <v>27AAAAA2476Z5</v>
      </c>
      <c r="B2476" t="str">
        <f>TEST_DATA!B2476</f>
        <v>Jun-2018</v>
      </c>
      <c r="C2476">
        <f>TEST_DATA!C2476</f>
        <v>42933</v>
      </c>
      <c r="D2476" t="str">
        <f>TEST_DATA!D2476</f>
        <v>NIL</v>
      </c>
      <c r="E2476">
        <f>TEST_DATA!E2476</f>
        <v>234</v>
      </c>
    </row>
    <row r="2477" spans="1:5" x14ac:dyDescent="0.55000000000000004">
      <c r="A2477" t="str">
        <f>TEST_DATA!A2477</f>
        <v>27AAAAA2477Z5</v>
      </c>
      <c r="B2477" t="str">
        <f>TEST_DATA!B2477</f>
        <v>Feb-2018</v>
      </c>
      <c r="C2477">
        <f>TEST_DATA!C2477</f>
        <v>43955</v>
      </c>
      <c r="D2477" t="str">
        <f>TEST_DATA!D2477</f>
        <v>NIL</v>
      </c>
      <c r="E2477">
        <f>TEST_DATA!E2477</f>
        <v>1728</v>
      </c>
    </row>
    <row r="2478" spans="1:5" x14ac:dyDescent="0.55000000000000004">
      <c r="A2478" t="str">
        <f>TEST_DATA!A2478</f>
        <v>27AAAAA2478Z5</v>
      </c>
      <c r="B2478" t="str">
        <f>TEST_DATA!B2478</f>
        <v>Jun-2018</v>
      </c>
      <c r="C2478">
        <f>TEST_DATA!C2478</f>
        <v>43317</v>
      </c>
      <c r="D2478" t="str">
        <f>TEST_DATA!D2478</f>
        <v>NIL</v>
      </c>
      <c r="E2478">
        <f>TEST_DATA!E2478</f>
        <v>2623</v>
      </c>
    </row>
    <row r="2479" spans="1:5" x14ac:dyDescent="0.55000000000000004">
      <c r="A2479" t="str">
        <f>TEST_DATA!A2479</f>
        <v>27AAAAA2479Z5</v>
      </c>
      <c r="B2479" t="str">
        <f>TEST_DATA!B2479</f>
        <v>Jan-2018</v>
      </c>
      <c r="C2479">
        <f>TEST_DATA!C2479</f>
        <v>44525</v>
      </c>
      <c r="D2479" t="str">
        <f>TEST_DATA!D2479</f>
        <v>NIL</v>
      </c>
      <c r="E2479">
        <f>TEST_DATA!E2479</f>
        <v>1398</v>
      </c>
    </row>
    <row r="2480" spans="1:5" x14ac:dyDescent="0.55000000000000004">
      <c r="A2480" t="str">
        <f>TEST_DATA!A2480</f>
        <v>27AAAAA2480Z5</v>
      </c>
      <c r="B2480" t="str">
        <f>TEST_DATA!B2480</f>
        <v>Jan-2018</v>
      </c>
      <c r="C2480">
        <f>TEST_DATA!C2480</f>
        <v>44284</v>
      </c>
      <c r="D2480" t="str">
        <f>TEST_DATA!D2480</f>
        <v>NON-NIL</v>
      </c>
      <c r="E2480">
        <f>TEST_DATA!E2480</f>
        <v>2845</v>
      </c>
    </row>
    <row r="2481" spans="1:5" x14ac:dyDescent="0.55000000000000004">
      <c r="A2481" t="str">
        <f>TEST_DATA!A2481</f>
        <v>27AAAAA2481Z5</v>
      </c>
      <c r="B2481" t="str">
        <f>TEST_DATA!B2481</f>
        <v>Jul-2020</v>
      </c>
      <c r="C2481">
        <f>TEST_DATA!C2481</f>
        <v>44788</v>
      </c>
      <c r="D2481" t="str">
        <f>TEST_DATA!D2481</f>
        <v>NON-NIL</v>
      </c>
      <c r="E2481">
        <f>TEST_DATA!E2481</f>
        <v>2369</v>
      </c>
    </row>
    <row r="2482" spans="1:5" x14ac:dyDescent="0.55000000000000004">
      <c r="A2482" t="str">
        <f>TEST_DATA!A2482</f>
        <v>27AAAAA2482Z5</v>
      </c>
      <c r="B2482" t="str">
        <f>TEST_DATA!B2482</f>
        <v>Mar-2020</v>
      </c>
      <c r="C2482">
        <f>TEST_DATA!C2482</f>
        <v>44518</v>
      </c>
      <c r="D2482" t="str">
        <f>TEST_DATA!D2482</f>
        <v>NON-NIL</v>
      </c>
      <c r="E2482">
        <f>TEST_DATA!E2482</f>
        <v>1714</v>
      </c>
    </row>
    <row r="2483" spans="1:5" x14ac:dyDescent="0.55000000000000004">
      <c r="A2483" t="str">
        <f>TEST_DATA!A2483</f>
        <v>27AAAAA2483Z5</v>
      </c>
      <c r="B2483" t="str">
        <f>TEST_DATA!B2483</f>
        <v>May-2018</v>
      </c>
      <c r="C2483">
        <f>TEST_DATA!C2483</f>
        <v>43249</v>
      </c>
      <c r="D2483" t="str">
        <f>TEST_DATA!D2483</f>
        <v>NIL</v>
      </c>
      <c r="E2483">
        <f>TEST_DATA!E2483</f>
        <v>1860</v>
      </c>
    </row>
    <row r="2484" spans="1:5" x14ac:dyDescent="0.55000000000000004">
      <c r="A2484" t="str">
        <f>TEST_DATA!A2484</f>
        <v>27AAAAA2484Z5</v>
      </c>
      <c r="B2484" t="str">
        <f>TEST_DATA!B2484</f>
        <v>Dec-2024</v>
      </c>
      <c r="C2484">
        <f>TEST_DATA!C2484</f>
        <v>43638</v>
      </c>
      <c r="D2484" t="str">
        <f>TEST_DATA!D2484</f>
        <v>NON-NIL</v>
      </c>
      <c r="E2484">
        <f>TEST_DATA!E2484</f>
        <v>898</v>
      </c>
    </row>
    <row r="2485" spans="1:5" x14ac:dyDescent="0.55000000000000004">
      <c r="A2485" t="str">
        <f>TEST_DATA!A2485</f>
        <v>27AAAAA2485Z5</v>
      </c>
      <c r="B2485" t="str">
        <f>TEST_DATA!B2485</f>
        <v>Jul-2017</v>
      </c>
      <c r="C2485">
        <f>TEST_DATA!C2485</f>
        <v>44225</v>
      </c>
      <c r="D2485" t="str">
        <f>TEST_DATA!D2485</f>
        <v>NIL</v>
      </c>
      <c r="E2485">
        <f>TEST_DATA!E2485</f>
        <v>2839</v>
      </c>
    </row>
    <row r="2486" spans="1:5" x14ac:dyDescent="0.55000000000000004">
      <c r="A2486" t="str">
        <f>TEST_DATA!A2486</f>
        <v>27AAAAA2486Z5</v>
      </c>
      <c r="B2486" t="str">
        <f>TEST_DATA!B2486</f>
        <v>Feb-2018</v>
      </c>
      <c r="C2486">
        <f>TEST_DATA!C2486</f>
        <v>43872</v>
      </c>
      <c r="D2486" t="str">
        <f>TEST_DATA!D2486</f>
        <v>NIL</v>
      </c>
      <c r="E2486">
        <f>TEST_DATA!E2486</f>
        <v>979</v>
      </c>
    </row>
    <row r="2487" spans="1:5" x14ac:dyDescent="0.55000000000000004">
      <c r="A2487" t="str">
        <f>TEST_DATA!A2487</f>
        <v>27AAAAA2487Z5</v>
      </c>
      <c r="B2487" t="str">
        <f>TEST_DATA!B2487</f>
        <v>Jan-2019</v>
      </c>
      <c r="C2487">
        <f>TEST_DATA!C2487</f>
        <v>44823</v>
      </c>
      <c r="D2487" t="str">
        <f>TEST_DATA!D2487</f>
        <v>NON-NIL</v>
      </c>
      <c r="E2487">
        <f>TEST_DATA!E2487</f>
        <v>840</v>
      </c>
    </row>
    <row r="2488" spans="1:5" x14ac:dyDescent="0.55000000000000004">
      <c r="A2488" t="str">
        <f>TEST_DATA!A2488</f>
        <v>27AAAAA2488Z5</v>
      </c>
      <c r="B2488" t="str">
        <f>TEST_DATA!B2488</f>
        <v>Jul-2018</v>
      </c>
      <c r="C2488">
        <f>TEST_DATA!C2488</f>
        <v>43294</v>
      </c>
      <c r="D2488" t="str">
        <f>TEST_DATA!D2488</f>
        <v>NIL</v>
      </c>
      <c r="E2488">
        <f>TEST_DATA!E2488</f>
        <v>1486</v>
      </c>
    </row>
    <row r="2489" spans="1:5" x14ac:dyDescent="0.55000000000000004">
      <c r="A2489" t="str">
        <f>TEST_DATA!A2489</f>
        <v>27AAAAA2489Z5</v>
      </c>
      <c r="B2489" t="str">
        <f>TEST_DATA!B2489</f>
        <v>Jul-2017</v>
      </c>
      <c r="C2489">
        <f>TEST_DATA!C2489</f>
        <v>43068</v>
      </c>
      <c r="D2489" t="str">
        <f>TEST_DATA!D2489</f>
        <v>NON-NIL</v>
      </c>
      <c r="E2489">
        <f>TEST_DATA!E2489</f>
        <v>122</v>
      </c>
    </row>
    <row r="2490" spans="1:5" x14ac:dyDescent="0.55000000000000004">
      <c r="A2490" t="str">
        <f>TEST_DATA!A2490</f>
        <v>27AAAAA2490Z5</v>
      </c>
      <c r="B2490" t="str">
        <f>TEST_DATA!B2490</f>
        <v>Dec-2019</v>
      </c>
      <c r="C2490">
        <f>TEST_DATA!C2490</f>
        <v>43937</v>
      </c>
      <c r="D2490" t="str">
        <f>TEST_DATA!D2490</f>
        <v>NIL</v>
      </c>
      <c r="E2490">
        <f>TEST_DATA!E2490</f>
        <v>1190</v>
      </c>
    </row>
    <row r="2491" spans="1:5" x14ac:dyDescent="0.55000000000000004">
      <c r="A2491" t="str">
        <f>TEST_DATA!A2491</f>
        <v>27AAAAA2491Z5</v>
      </c>
      <c r="B2491" t="str">
        <f>TEST_DATA!B2491</f>
        <v>Sep-2018</v>
      </c>
      <c r="C2491">
        <f>TEST_DATA!C2491</f>
        <v>43315</v>
      </c>
      <c r="D2491" t="str">
        <f>TEST_DATA!D2491</f>
        <v>NON-NIL</v>
      </c>
      <c r="E2491">
        <f>TEST_DATA!E2491</f>
        <v>179</v>
      </c>
    </row>
    <row r="2492" spans="1:5" x14ac:dyDescent="0.55000000000000004">
      <c r="A2492" t="str">
        <f>TEST_DATA!A2492</f>
        <v>27AAAAA2492Z5</v>
      </c>
      <c r="B2492" t="str">
        <f>TEST_DATA!B2492</f>
        <v>Jul-2017</v>
      </c>
      <c r="C2492">
        <f>TEST_DATA!C2492</f>
        <v>43324</v>
      </c>
      <c r="D2492" t="str">
        <f>TEST_DATA!D2492</f>
        <v>NIL</v>
      </c>
      <c r="E2492">
        <f>TEST_DATA!E2492</f>
        <v>1163</v>
      </c>
    </row>
    <row r="2493" spans="1:5" x14ac:dyDescent="0.55000000000000004">
      <c r="A2493" t="str">
        <f>TEST_DATA!A2493</f>
        <v>27AAAAA2493Z5</v>
      </c>
      <c r="B2493" t="str">
        <f>TEST_DATA!B2493</f>
        <v>Dec-2017</v>
      </c>
      <c r="C2493">
        <f>TEST_DATA!C2493</f>
        <v>43365</v>
      </c>
      <c r="D2493" t="str">
        <f>TEST_DATA!D2493</f>
        <v>NON-NIL</v>
      </c>
      <c r="E2493">
        <f>TEST_DATA!E2493</f>
        <v>2944</v>
      </c>
    </row>
    <row r="2494" spans="1:5" x14ac:dyDescent="0.55000000000000004">
      <c r="A2494" t="str">
        <f>TEST_DATA!A2494</f>
        <v>27AAAAA2494Z5</v>
      </c>
      <c r="B2494" t="str">
        <f>TEST_DATA!B2494</f>
        <v>Dec-2017</v>
      </c>
      <c r="C2494">
        <f>TEST_DATA!C2494</f>
        <v>43612</v>
      </c>
      <c r="D2494" t="str">
        <f>TEST_DATA!D2494</f>
        <v>NIL</v>
      </c>
      <c r="E2494">
        <f>TEST_DATA!E2494</f>
        <v>731</v>
      </c>
    </row>
    <row r="2495" spans="1:5" x14ac:dyDescent="0.55000000000000004">
      <c r="A2495" t="str">
        <f>TEST_DATA!A2495</f>
        <v>27AAAAA2495Z5</v>
      </c>
      <c r="B2495" t="str">
        <f>TEST_DATA!B2495</f>
        <v>Jan-2018</v>
      </c>
      <c r="C2495">
        <f>TEST_DATA!C2495</f>
        <v>42961</v>
      </c>
      <c r="D2495" t="str">
        <f>TEST_DATA!D2495</f>
        <v>NIL</v>
      </c>
      <c r="E2495">
        <f>TEST_DATA!E2495</f>
        <v>1072</v>
      </c>
    </row>
    <row r="2496" spans="1:5" x14ac:dyDescent="0.55000000000000004">
      <c r="A2496" t="str">
        <f>TEST_DATA!A2496</f>
        <v>27AAAAA2496Z5</v>
      </c>
      <c r="B2496" t="str">
        <f>TEST_DATA!B2496</f>
        <v>Oct-2017</v>
      </c>
      <c r="C2496">
        <f>TEST_DATA!C2496</f>
        <v>42959</v>
      </c>
      <c r="D2496" t="str">
        <f>TEST_DATA!D2496</f>
        <v>NIL</v>
      </c>
      <c r="E2496">
        <f>TEST_DATA!E2496</f>
        <v>1552</v>
      </c>
    </row>
    <row r="2497" spans="1:5" x14ac:dyDescent="0.55000000000000004">
      <c r="A2497" t="str">
        <f>TEST_DATA!A2497</f>
        <v>27AAAAA2497Z5</v>
      </c>
      <c r="B2497" t="str">
        <f>TEST_DATA!B2497</f>
        <v>May-2020</v>
      </c>
      <c r="C2497">
        <f>TEST_DATA!C2497</f>
        <v>44058</v>
      </c>
      <c r="D2497" t="str">
        <f>TEST_DATA!D2497</f>
        <v>NON-NIL</v>
      </c>
      <c r="E2497">
        <f>TEST_DATA!E2497</f>
        <v>861</v>
      </c>
    </row>
    <row r="2498" spans="1:5" x14ac:dyDescent="0.55000000000000004">
      <c r="A2498" t="str">
        <f>TEST_DATA!A2498</f>
        <v>27AAAAA2498Z5</v>
      </c>
      <c r="B2498" t="str">
        <f>TEST_DATA!B2498</f>
        <v>Apr-2018</v>
      </c>
      <c r="C2498">
        <f>TEST_DATA!C2498</f>
        <v>43851</v>
      </c>
      <c r="D2498" t="str">
        <f>TEST_DATA!D2498</f>
        <v>NIL</v>
      </c>
      <c r="E2498">
        <f>TEST_DATA!E2498</f>
        <v>1514</v>
      </c>
    </row>
    <row r="2499" spans="1:5" x14ac:dyDescent="0.55000000000000004">
      <c r="A2499" t="str">
        <f>TEST_DATA!A2499</f>
        <v>27AAAAA2499Z5</v>
      </c>
      <c r="B2499" t="str">
        <f>TEST_DATA!B2499</f>
        <v>Apr-2021</v>
      </c>
      <c r="C2499">
        <f>TEST_DATA!C2499</f>
        <v>44991</v>
      </c>
      <c r="D2499" t="str">
        <f>TEST_DATA!D2499</f>
        <v>NIL</v>
      </c>
      <c r="E2499">
        <f>TEST_DATA!E2499</f>
        <v>2158</v>
      </c>
    </row>
    <row r="2500" spans="1:5" x14ac:dyDescent="0.55000000000000004">
      <c r="A2500" t="str">
        <f>TEST_DATA!A2500</f>
        <v>27AAAAA2500Z5</v>
      </c>
      <c r="B2500" t="str">
        <f>TEST_DATA!B2500</f>
        <v>Apr-2021</v>
      </c>
      <c r="C2500">
        <f>TEST_DATA!C2500</f>
        <v>45242</v>
      </c>
      <c r="D2500" t="str">
        <f>TEST_DATA!D2500</f>
        <v>NIL</v>
      </c>
      <c r="E2500">
        <f>TEST_DATA!E2500</f>
        <v>485</v>
      </c>
    </row>
    <row r="2501" spans="1:5" x14ac:dyDescent="0.55000000000000004">
      <c r="A2501" t="str">
        <f>TEST_DATA!A2501</f>
        <v>27AAAAA2501Z5</v>
      </c>
      <c r="B2501" t="str">
        <f>TEST_DATA!B2501</f>
        <v>Nov-2017</v>
      </c>
      <c r="C2501">
        <f>TEST_DATA!C2501</f>
        <v>43184</v>
      </c>
      <c r="D2501" t="str">
        <f>TEST_DATA!D2501</f>
        <v>NIL</v>
      </c>
      <c r="E2501">
        <f>TEST_DATA!E2501</f>
        <v>785</v>
      </c>
    </row>
    <row r="2502" spans="1:5" x14ac:dyDescent="0.55000000000000004">
      <c r="A2502" t="str">
        <f>TEST_DATA!A2502</f>
        <v>27AAAAA2502Z5</v>
      </c>
      <c r="B2502" t="str">
        <f>TEST_DATA!B2502</f>
        <v>Dec-2019</v>
      </c>
      <c r="C2502">
        <f>TEST_DATA!C2502</f>
        <v>45015</v>
      </c>
      <c r="D2502" t="str">
        <f>TEST_DATA!D2502</f>
        <v>NON-NIL</v>
      </c>
      <c r="E2502">
        <f>TEST_DATA!E2502</f>
        <v>1302</v>
      </c>
    </row>
    <row r="2503" spans="1:5" x14ac:dyDescent="0.55000000000000004">
      <c r="A2503" t="str">
        <f>TEST_DATA!A2503</f>
        <v>27AAAAA2503Z5</v>
      </c>
      <c r="B2503" t="str">
        <f>TEST_DATA!B2503</f>
        <v>Apr-2020</v>
      </c>
      <c r="C2503">
        <f>TEST_DATA!C2503</f>
        <v>44710</v>
      </c>
      <c r="D2503" t="str">
        <f>TEST_DATA!D2503</f>
        <v>NIL</v>
      </c>
      <c r="E2503">
        <f>TEST_DATA!E2503</f>
        <v>189</v>
      </c>
    </row>
    <row r="2504" spans="1:5" x14ac:dyDescent="0.55000000000000004">
      <c r="A2504" t="str">
        <f>TEST_DATA!A2504</f>
        <v>27AAAAA2504Z5</v>
      </c>
      <c r="B2504" t="str">
        <f>TEST_DATA!B2504</f>
        <v>Mar-2021</v>
      </c>
      <c r="C2504">
        <f>TEST_DATA!C2504</f>
        <v>44240</v>
      </c>
      <c r="D2504" t="str">
        <f>TEST_DATA!D2504</f>
        <v>NON-NIL</v>
      </c>
      <c r="E2504">
        <f>TEST_DATA!E2504</f>
        <v>608</v>
      </c>
    </row>
    <row r="2505" spans="1:5" x14ac:dyDescent="0.55000000000000004">
      <c r="A2505" t="str">
        <f>TEST_DATA!A2505</f>
        <v>27AAAAA2505Z5</v>
      </c>
      <c r="B2505" t="str">
        <f>TEST_DATA!B2505</f>
        <v>May-2018</v>
      </c>
      <c r="C2505">
        <f>TEST_DATA!C2505</f>
        <v>43423</v>
      </c>
      <c r="D2505" t="str">
        <f>TEST_DATA!D2505</f>
        <v>NIL</v>
      </c>
      <c r="E2505">
        <f>TEST_DATA!E2505</f>
        <v>2578</v>
      </c>
    </row>
    <row r="2506" spans="1:5" x14ac:dyDescent="0.55000000000000004">
      <c r="A2506" t="str">
        <f>TEST_DATA!A2506</f>
        <v>27AAAAA2506Z5</v>
      </c>
      <c r="B2506" t="str">
        <f>TEST_DATA!B2506</f>
        <v>Apr-2021</v>
      </c>
      <c r="C2506">
        <f>TEST_DATA!C2506</f>
        <v>44613</v>
      </c>
      <c r="D2506" t="str">
        <f>TEST_DATA!D2506</f>
        <v>NIL</v>
      </c>
      <c r="E2506">
        <f>TEST_DATA!E2506</f>
        <v>2081</v>
      </c>
    </row>
    <row r="2507" spans="1:5" x14ac:dyDescent="0.55000000000000004">
      <c r="A2507" t="str">
        <f>TEST_DATA!A2507</f>
        <v>27AAAAA2507Z5</v>
      </c>
      <c r="B2507" t="str">
        <f>TEST_DATA!B2507</f>
        <v>Mar-2020</v>
      </c>
      <c r="C2507">
        <f>TEST_DATA!C2507</f>
        <v>44832</v>
      </c>
      <c r="D2507" t="str">
        <f>TEST_DATA!D2507</f>
        <v>NIL</v>
      </c>
      <c r="E2507">
        <f>TEST_DATA!E2507</f>
        <v>2979</v>
      </c>
    </row>
    <row r="2508" spans="1:5" x14ac:dyDescent="0.55000000000000004">
      <c r="A2508" t="str">
        <f>TEST_DATA!A2508</f>
        <v>27AAAAA2508Z5</v>
      </c>
      <c r="B2508" t="str">
        <f>TEST_DATA!B2508</f>
        <v>Sep-2017</v>
      </c>
      <c r="C2508">
        <f>TEST_DATA!C2508</f>
        <v>44523</v>
      </c>
      <c r="D2508" t="str">
        <f>TEST_DATA!D2508</f>
        <v>NON-NIL</v>
      </c>
      <c r="E2508">
        <f>TEST_DATA!E2508</f>
        <v>2717</v>
      </c>
    </row>
    <row r="2509" spans="1:5" x14ac:dyDescent="0.55000000000000004">
      <c r="A2509" t="str">
        <f>TEST_DATA!A2509</f>
        <v>27AAAAA2509Z5</v>
      </c>
      <c r="B2509" t="str">
        <f>TEST_DATA!B2509</f>
        <v>Apr-2020</v>
      </c>
      <c r="C2509">
        <f>TEST_DATA!C2509</f>
        <v>43963</v>
      </c>
      <c r="D2509" t="str">
        <f>TEST_DATA!D2509</f>
        <v>NIL</v>
      </c>
      <c r="E2509">
        <f>TEST_DATA!E2509</f>
        <v>2083</v>
      </c>
    </row>
    <row r="2510" spans="1:5" x14ac:dyDescent="0.55000000000000004">
      <c r="A2510" t="str">
        <f>TEST_DATA!A2510</f>
        <v>27AAAAA2510Z5</v>
      </c>
      <c r="B2510" t="str">
        <f>TEST_DATA!B2510</f>
        <v>Jul-2018</v>
      </c>
      <c r="C2510">
        <f>TEST_DATA!C2510</f>
        <v>44455</v>
      </c>
      <c r="D2510" t="str">
        <f>TEST_DATA!D2510</f>
        <v>NON-NIL</v>
      </c>
      <c r="E2510">
        <f>TEST_DATA!E2510</f>
        <v>2042</v>
      </c>
    </row>
    <row r="2511" spans="1:5" x14ac:dyDescent="0.55000000000000004">
      <c r="A2511" t="str">
        <f>TEST_DATA!A2511</f>
        <v>27AAAAA2511Z5</v>
      </c>
      <c r="B2511" t="str">
        <f>TEST_DATA!B2511</f>
        <v>Jun-2019</v>
      </c>
      <c r="C2511">
        <f>TEST_DATA!C2511</f>
        <v>45367</v>
      </c>
      <c r="D2511" t="str">
        <f>TEST_DATA!D2511</f>
        <v>NIL</v>
      </c>
      <c r="E2511">
        <f>TEST_DATA!E2511</f>
        <v>1318</v>
      </c>
    </row>
    <row r="2512" spans="1:5" x14ac:dyDescent="0.55000000000000004">
      <c r="A2512" t="str">
        <f>TEST_DATA!A2512</f>
        <v>27AAAAA2512Z5</v>
      </c>
      <c r="B2512" t="str">
        <f>TEST_DATA!B2512</f>
        <v>Jul-2020</v>
      </c>
      <c r="C2512">
        <f>TEST_DATA!C2512</f>
        <v>44596</v>
      </c>
      <c r="D2512" t="str">
        <f>TEST_DATA!D2512</f>
        <v>NON-NIL</v>
      </c>
      <c r="E2512">
        <f>TEST_DATA!E2512</f>
        <v>2931</v>
      </c>
    </row>
    <row r="2513" spans="1:5" x14ac:dyDescent="0.55000000000000004">
      <c r="A2513" t="str">
        <f>TEST_DATA!A2513</f>
        <v>27AAAAA2513Z5</v>
      </c>
      <c r="B2513" t="str">
        <f>TEST_DATA!B2513</f>
        <v>Jan-2019</v>
      </c>
      <c r="C2513">
        <f>TEST_DATA!C2513</f>
        <v>45406</v>
      </c>
      <c r="D2513" t="str">
        <f>TEST_DATA!D2513</f>
        <v>NON-NIL</v>
      </c>
      <c r="E2513">
        <f>TEST_DATA!E2513</f>
        <v>2380</v>
      </c>
    </row>
    <row r="2514" spans="1:5" x14ac:dyDescent="0.55000000000000004">
      <c r="A2514" t="str">
        <f>TEST_DATA!A2514</f>
        <v>27AAAAA2514Z5</v>
      </c>
      <c r="B2514" t="str">
        <f>TEST_DATA!B2514</f>
        <v>Jul-2018</v>
      </c>
      <c r="C2514">
        <f>TEST_DATA!C2514</f>
        <v>44223</v>
      </c>
      <c r="D2514" t="str">
        <f>TEST_DATA!D2514</f>
        <v>NIL</v>
      </c>
      <c r="E2514">
        <f>TEST_DATA!E2514</f>
        <v>848</v>
      </c>
    </row>
    <row r="2515" spans="1:5" x14ac:dyDescent="0.55000000000000004">
      <c r="A2515" t="str">
        <f>TEST_DATA!A2515</f>
        <v>27AAAAA2515Z5</v>
      </c>
      <c r="B2515" t="str">
        <f>TEST_DATA!B2515</f>
        <v>Feb-2018</v>
      </c>
      <c r="C2515">
        <f>TEST_DATA!C2515</f>
        <v>43332</v>
      </c>
      <c r="D2515" t="str">
        <f>TEST_DATA!D2515</f>
        <v>NON-NIL</v>
      </c>
      <c r="E2515">
        <f>TEST_DATA!E2515</f>
        <v>960</v>
      </c>
    </row>
    <row r="2516" spans="1:5" x14ac:dyDescent="0.55000000000000004">
      <c r="A2516" t="str">
        <f>TEST_DATA!A2516</f>
        <v>27AAAAA2516Z5</v>
      </c>
      <c r="B2516" t="str">
        <f>TEST_DATA!B2516</f>
        <v>Jul-2018</v>
      </c>
      <c r="C2516">
        <f>TEST_DATA!C2516</f>
        <v>43364</v>
      </c>
      <c r="D2516" t="str">
        <f>TEST_DATA!D2516</f>
        <v>NON-NIL</v>
      </c>
      <c r="E2516">
        <f>TEST_DATA!E2516</f>
        <v>1740</v>
      </c>
    </row>
    <row r="2517" spans="1:5" x14ac:dyDescent="0.55000000000000004">
      <c r="A2517" t="str">
        <f>TEST_DATA!A2517</f>
        <v>27AAAAA2517Z5</v>
      </c>
      <c r="B2517" t="str">
        <f>TEST_DATA!B2517</f>
        <v>Dec-2024</v>
      </c>
      <c r="C2517">
        <f>TEST_DATA!C2517</f>
        <v>45010</v>
      </c>
      <c r="D2517" t="str">
        <f>TEST_DATA!D2517</f>
        <v>NIL</v>
      </c>
      <c r="E2517">
        <f>TEST_DATA!E2517</f>
        <v>1532</v>
      </c>
    </row>
    <row r="2518" spans="1:5" x14ac:dyDescent="0.55000000000000004">
      <c r="A2518" t="str">
        <f>TEST_DATA!A2518</f>
        <v>27AAAAA2518Z5</v>
      </c>
      <c r="B2518" t="str">
        <f>TEST_DATA!B2518</f>
        <v>Mar-2018</v>
      </c>
      <c r="C2518">
        <f>TEST_DATA!C2518</f>
        <v>44044</v>
      </c>
      <c r="D2518" t="str">
        <f>TEST_DATA!D2518</f>
        <v>NIL</v>
      </c>
      <c r="E2518">
        <f>TEST_DATA!E2518</f>
        <v>550</v>
      </c>
    </row>
    <row r="2519" spans="1:5" x14ac:dyDescent="0.55000000000000004">
      <c r="A2519" t="str">
        <f>TEST_DATA!A2519</f>
        <v>27AAAAA2519Z5</v>
      </c>
      <c r="B2519" t="str">
        <f>TEST_DATA!B2519</f>
        <v>Mar-2021</v>
      </c>
      <c r="C2519">
        <f>TEST_DATA!C2519</f>
        <v>43810</v>
      </c>
      <c r="D2519" t="str">
        <f>TEST_DATA!D2519</f>
        <v>NON-NIL</v>
      </c>
      <c r="E2519">
        <f>TEST_DATA!E2519</f>
        <v>1820</v>
      </c>
    </row>
    <row r="2520" spans="1:5" x14ac:dyDescent="0.55000000000000004">
      <c r="A2520" t="str">
        <f>TEST_DATA!A2520</f>
        <v>27AAAAA2520Z5</v>
      </c>
      <c r="B2520" t="str">
        <f>TEST_DATA!B2520</f>
        <v>Jun-2019</v>
      </c>
      <c r="C2520">
        <f>TEST_DATA!C2520</f>
        <v>44906</v>
      </c>
      <c r="D2520" t="str">
        <f>TEST_DATA!D2520</f>
        <v>NIL</v>
      </c>
      <c r="E2520">
        <f>TEST_DATA!E2520</f>
        <v>2391</v>
      </c>
    </row>
    <row r="2521" spans="1:5" x14ac:dyDescent="0.55000000000000004">
      <c r="A2521" t="str">
        <f>TEST_DATA!A2521</f>
        <v>27AAAAA2521Z5</v>
      </c>
      <c r="B2521" t="str">
        <f>TEST_DATA!B2521</f>
        <v>Aug-2017</v>
      </c>
      <c r="C2521">
        <f>TEST_DATA!C2521</f>
        <v>43869</v>
      </c>
      <c r="D2521" t="str">
        <f>TEST_DATA!D2521</f>
        <v>NON-NIL</v>
      </c>
      <c r="E2521">
        <f>TEST_DATA!E2521</f>
        <v>1745</v>
      </c>
    </row>
    <row r="2522" spans="1:5" x14ac:dyDescent="0.55000000000000004">
      <c r="A2522" t="str">
        <f>TEST_DATA!A2522</f>
        <v>27AAAAA2522Z5</v>
      </c>
      <c r="B2522" t="str">
        <f>TEST_DATA!B2522</f>
        <v>Sep-2018</v>
      </c>
      <c r="C2522">
        <f>TEST_DATA!C2522</f>
        <v>43874</v>
      </c>
      <c r="D2522" t="str">
        <f>TEST_DATA!D2522</f>
        <v>NON-NIL</v>
      </c>
      <c r="E2522">
        <f>TEST_DATA!E2522</f>
        <v>1675</v>
      </c>
    </row>
    <row r="2523" spans="1:5" x14ac:dyDescent="0.55000000000000004">
      <c r="A2523" t="str">
        <f>TEST_DATA!A2523</f>
        <v>27AAAAA2523Z5</v>
      </c>
      <c r="B2523" t="str">
        <f>TEST_DATA!B2523</f>
        <v>Jun-2018</v>
      </c>
      <c r="C2523">
        <f>TEST_DATA!C2523</f>
        <v>43935</v>
      </c>
      <c r="D2523" t="str">
        <f>TEST_DATA!D2523</f>
        <v>NON-NIL</v>
      </c>
      <c r="E2523">
        <f>TEST_DATA!E2523</f>
        <v>1118</v>
      </c>
    </row>
    <row r="2524" spans="1:5" x14ac:dyDescent="0.55000000000000004">
      <c r="A2524" t="str">
        <f>TEST_DATA!A2524</f>
        <v>27AAAAA2524Z5</v>
      </c>
      <c r="B2524" t="str">
        <f>TEST_DATA!B2524</f>
        <v>Jul-2018</v>
      </c>
      <c r="C2524">
        <f>TEST_DATA!C2524</f>
        <v>42967</v>
      </c>
      <c r="D2524" t="str">
        <f>TEST_DATA!D2524</f>
        <v>NIL</v>
      </c>
      <c r="E2524">
        <f>TEST_DATA!E2524</f>
        <v>1809</v>
      </c>
    </row>
    <row r="2525" spans="1:5" x14ac:dyDescent="0.55000000000000004">
      <c r="A2525" t="str">
        <f>TEST_DATA!A2525</f>
        <v>27AAAAA2525Z5</v>
      </c>
      <c r="B2525" t="str">
        <f>TEST_DATA!B2525</f>
        <v>Feb-2018</v>
      </c>
      <c r="C2525">
        <f>TEST_DATA!C2525</f>
        <v>43460</v>
      </c>
      <c r="D2525" t="str">
        <f>TEST_DATA!D2525</f>
        <v>NIL</v>
      </c>
      <c r="E2525">
        <f>TEST_DATA!E2525</f>
        <v>1470</v>
      </c>
    </row>
    <row r="2526" spans="1:5" x14ac:dyDescent="0.55000000000000004">
      <c r="A2526" t="str">
        <f>TEST_DATA!A2526</f>
        <v>27AAAAA2526Z5</v>
      </c>
      <c r="B2526" t="str">
        <f>TEST_DATA!B2526</f>
        <v>Dec-2024</v>
      </c>
      <c r="C2526">
        <f>TEST_DATA!C2526</f>
        <v>43803</v>
      </c>
      <c r="D2526" t="str">
        <f>TEST_DATA!D2526</f>
        <v>NON-NIL</v>
      </c>
      <c r="E2526">
        <f>TEST_DATA!E2526</f>
        <v>2055</v>
      </c>
    </row>
    <row r="2527" spans="1:5" x14ac:dyDescent="0.55000000000000004">
      <c r="A2527" t="str">
        <f>TEST_DATA!A2527</f>
        <v>27AAAAA2527Z5</v>
      </c>
      <c r="B2527" t="str">
        <f>TEST_DATA!B2527</f>
        <v>Jun-2019</v>
      </c>
      <c r="C2527">
        <f>TEST_DATA!C2527</f>
        <v>45705</v>
      </c>
      <c r="D2527" t="str">
        <f>TEST_DATA!D2527</f>
        <v>NIL</v>
      </c>
      <c r="E2527">
        <f>TEST_DATA!E2527</f>
        <v>1132</v>
      </c>
    </row>
    <row r="2528" spans="1:5" x14ac:dyDescent="0.55000000000000004">
      <c r="A2528" t="str">
        <f>TEST_DATA!A2528</f>
        <v>27AAAAA2528Z5</v>
      </c>
      <c r="B2528" t="str">
        <f>TEST_DATA!B2528</f>
        <v>Feb-2018</v>
      </c>
      <c r="C2528">
        <f>TEST_DATA!C2528</f>
        <v>43118</v>
      </c>
      <c r="D2528" t="str">
        <f>TEST_DATA!D2528</f>
        <v>NIL</v>
      </c>
      <c r="E2528">
        <f>TEST_DATA!E2528</f>
        <v>292</v>
      </c>
    </row>
    <row r="2529" spans="1:5" x14ac:dyDescent="0.55000000000000004">
      <c r="A2529" t="str">
        <f>TEST_DATA!A2529</f>
        <v>27AAAAA2529Z5</v>
      </c>
      <c r="B2529" t="str">
        <f>TEST_DATA!B2529</f>
        <v>Jun-2018</v>
      </c>
      <c r="C2529">
        <f>TEST_DATA!C2529</f>
        <v>42995</v>
      </c>
      <c r="D2529" t="str">
        <f>TEST_DATA!D2529</f>
        <v>NIL</v>
      </c>
      <c r="E2529">
        <f>TEST_DATA!E2529</f>
        <v>1367</v>
      </c>
    </row>
    <row r="2530" spans="1:5" x14ac:dyDescent="0.55000000000000004">
      <c r="A2530" t="str">
        <f>TEST_DATA!A2530</f>
        <v>27AAAAA2530Z5</v>
      </c>
      <c r="B2530" t="str">
        <f>TEST_DATA!B2530</f>
        <v>Jan-2018</v>
      </c>
      <c r="C2530">
        <f>TEST_DATA!C2530</f>
        <v>44299</v>
      </c>
      <c r="D2530" t="str">
        <f>TEST_DATA!D2530</f>
        <v>NON-NIL</v>
      </c>
      <c r="E2530">
        <f>TEST_DATA!E2530</f>
        <v>1024</v>
      </c>
    </row>
    <row r="2531" spans="1:5" x14ac:dyDescent="0.55000000000000004">
      <c r="A2531" t="str">
        <f>TEST_DATA!A2531</f>
        <v>27AAAAA2531Z5</v>
      </c>
      <c r="B2531" t="str">
        <f>TEST_DATA!B2531</f>
        <v>Apr-2018</v>
      </c>
      <c r="C2531">
        <f>TEST_DATA!C2531</f>
        <v>44443</v>
      </c>
      <c r="D2531" t="str">
        <f>TEST_DATA!D2531</f>
        <v>NON-NIL</v>
      </c>
      <c r="E2531">
        <f>TEST_DATA!E2531</f>
        <v>780</v>
      </c>
    </row>
    <row r="2532" spans="1:5" x14ac:dyDescent="0.55000000000000004">
      <c r="A2532" t="str">
        <f>TEST_DATA!A2532</f>
        <v>27AAAAA2532Z5</v>
      </c>
      <c r="B2532" t="str">
        <f>TEST_DATA!B2532</f>
        <v>Jul-2020</v>
      </c>
      <c r="C2532">
        <f>TEST_DATA!C2532</f>
        <v>44113</v>
      </c>
      <c r="D2532" t="str">
        <f>TEST_DATA!D2532</f>
        <v>NON-NIL</v>
      </c>
      <c r="E2532">
        <f>TEST_DATA!E2532</f>
        <v>34</v>
      </c>
    </row>
    <row r="2533" spans="1:5" x14ac:dyDescent="0.55000000000000004">
      <c r="A2533" t="str">
        <f>TEST_DATA!A2533</f>
        <v>27AAAAA2533Z5</v>
      </c>
      <c r="B2533" t="str">
        <f>TEST_DATA!B2533</f>
        <v>Mar-2021</v>
      </c>
      <c r="C2533">
        <f>TEST_DATA!C2533</f>
        <v>44692</v>
      </c>
      <c r="D2533" t="str">
        <f>TEST_DATA!D2533</f>
        <v>NON-NIL</v>
      </c>
      <c r="E2533">
        <f>TEST_DATA!E2533</f>
        <v>1419</v>
      </c>
    </row>
    <row r="2534" spans="1:5" x14ac:dyDescent="0.55000000000000004">
      <c r="A2534" t="str">
        <f>TEST_DATA!A2534</f>
        <v>27AAAAA2534Z5</v>
      </c>
      <c r="B2534" t="str">
        <f>TEST_DATA!B2534</f>
        <v>Apr-2021</v>
      </c>
      <c r="C2534">
        <f>TEST_DATA!C2534</f>
        <v>45120</v>
      </c>
      <c r="D2534" t="str">
        <f>TEST_DATA!D2534</f>
        <v>NON-NIL</v>
      </c>
      <c r="E2534">
        <f>TEST_DATA!E2534</f>
        <v>2375</v>
      </c>
    </row>
    <row r="2535" spans="1:5" x14ac:dyDescent="0.55000000000000004">
      <c r="A2535" t="str">
        <f>TEST_DATA!A2535</f>
        <v>27AAAAA2535Z5</v>
      </c>
      <c r="B2535" t="str">
        <f>TEST_DATA!B2535</f>
        <v>Mar-2021</v>
      </c>
      <c r="C2535">
        <f>TEST_DATA!C2535</f>
        <v>43514</v>
      </c>
      <c r="D2535" t="str">
        <f>TEST_DATA!D2535</f>
        <v>NON-NIL</v>
      </c>
      <c r="E2535">
        <f>TEST_DATA!E2535</f>
        <v>2679</v>
      </c>
    </row>
    <row r="2536" spans="1:5" x14ac:dyDescent="0.55000000000000004">
      <c r="A2536" t="str">
        <f>TEST_DATA!A2536</f>
        <v>27AAAAA2536Z5</v>
      </c>
      <c r="B2536" t="str">
        <f>TEST_DATA!B2536</f>
        <v>Jun-2019</v>
      </c>
      <c r="C2536">
        <f>TEST_DATA!C2536</f>
        <v>44077</v>
      </c>
      <c r="D2536" t="str">
        <f>TEST_DATA!D2536</f>
        <v>NON-NIL</v>
      </c>
      <c r="E2536">
        <f>TEST_DATA!E2536</f>
        <v>932</v>
      </c>
    </row>
    <row r="2537" spans="1:5" x14ac:dyDescent="0.55000000000000004">
      <c r="A2537" t="str">
        <f>TEST_DATA!A2537</f>
        <v>27AAAAA2537Z5</v>
      </c>
      <c r="B2537" t="str">
        <f>TEST_DATA!B2537</f>
        <v>Feb-2018</v>
      </c>
      <c r="C2537">
        <f>TEST_DATA!C2537</f>
        <v>44398</v>
      </c>
      <c r="D2537" t="str">
        <f>TEST_DATA!D2537</f>
        <v>NIL</v>
      </c>
      <c r="E2537">
        <f>TEST_DATA!E2537</f>
        <v>1943</v>
      </c>
    </row>
    <row r="2538" spans="1:5" x14ac:dyDescent="0.55000000000000004">
      <c r="A2538" t="str">
        <f>TEST_DATA!A2538</f>
        <v>27AAAAA2538Z5</v>
      </c>
      <c r="B2538" t="str">
        <f>TEST_DATA!B2538</f>
        <v>Feb-2018</v>
      </c>
      <c r="C2538">
        <f>TEST_DATA!C2538</f>
        <v>43973</v>
      </c>
      <c r="D2538" t="str">
        <f>TEST_DATA!D2538</f>
        <v>NON-NIL</v>
      </c>
      <c r="E2538">
        <f>TEST_DATA!E2538</f>
        <v>2959</v>
      </c>
    </row>
    <row r="2539" spans="1:5" x14ac:dyDescent="0.55000000000000004">
      <c r="A2539" t="str">
        <f>TEST_DATA!A2539</f>
        <v>27AAAAA2539Z5</v>
      </c>
      <c r="B2539" t="str">
        <f>TEST_DATA!B2539</f>
        <v>Dec-2022</v>
      </c>
      <c r="C2539">
        <f>TEST_DATA!C2539</f>
        <v>45355</v>
      </c>
      <c r="D2539" t="str">
        <f>TEST_DATA!D2539</f>
        <v>NON-NIL</v>
      </c>
      <c r="E2539">
        <f>TEST_DATA!E2539</f>
        <v>351</v>
      </c>
    </row>
    <row r="2540" spans="1:5" x14ac:dyDescent="0.55000000000000004">
      <c r="A2540" t="str">
        <f>TEST_DATA!A2540</f>
        <v>27AAAAA2540Z5</v>
      </c>
      <c r="B2540" t="str">
        <f>TEST_DATA!B2540</f>
        <v>May-2018</v>
      </c>
      <c r="C2540">
        <f>TEST_DATA!C2540</f>
        <v>43301</v>
      </c>
      <c r="D2540" t="str">
        <f>TEST_DATA!D2540</f>
        <v>NON-NIL</v>
      </c>
      <c r="E2540">
        <f>TEST_DATA!E2540</f>
        <v>2858</v>
      </c>
    </row>
    <row r="2541" spans="1:5" x14ac:dyDescent="0.55000000000000004">
      <c r="A2541" t="str">
        <f>TEST_DATA!A2541</f>
        <v>27AAAAA2541Z5</v>
      </c>
      <c r="B2541" t="str">
        <f>TEST_DATA!B2541</f>
        <v>Aug-2018</v>
      </c>
      <c r="C2541">
        <f>TEST_DATA!C2541</f>
        <v>43346</v>
      </c>
      <c r="D2541" t="str">
        <f>TEST_DATA!D2541</f>
        <v>NON-NIL</v>
      </c>
      <c r="E2541">
        <f>TEST_DATA!E2541</f>
        <v>1843</v>
      </c>
    </row>
    <row r="2542" spans="1:5" x14ac:dyDescent="0.55000000000000004">
      <c r="A2542" t="str">
        <f>TEST_DATA!A2542</f>
        <v>27AAAAA2542Z5</v>
      </c>
      <c r="B2542" t="str">
        <f>TEST_DATA!B2542</f>
        <v>Mar-2023</v>
      </c>
      <c r="C2542">
        <f>TEST_DATA!C2542</f>
        <v>45753</v>
      </c>
      <c r="D2542" t="str">
        <f>TEST_DATA!D2542</f>
        <v>NIL</v>
      </c>
      <c r="E2542">
        <f>TEST_DATA!E2542</f>
        <v>1534</v>
      </c>
    </row>
    <row r="2543" spans="1:5" x14ac:dyDescent="0.55000000000000004">
      <c r="A2543" t="str">
        <f>TEST_DATA!A2543</f>
        <v>27AAAAA2543Z5</v>
      </c>
      <c r="B2543" t="str">
        <f>TEST_DATA!B2543</f>
        <v>Nov-2017</v>
      </c>
      <c r="C2543">
        <f>TEST_DATA!C2543</f>
        <v>44099</v>
      </c>
      <c r="D2543" t="str">
        <f>TEST_DATA!D2543</f>
        <v>NIL</v>
      </c>
      <c r="E2543">
        <f>TEST_DATA!E2543</f>
        <v>1251</v>
      </c>
    </row>
    <row r="2544" spans="1:5" x14ac:dyDescent="0.55000000000000004">
      <c r="A2544" t="str">
        <f>TEST_DATA!A2544</f>
        <v>27AAAAA2544Z5</v>
      </c>
      <c r="B2544" t="str">
        <f>TEST_DATA!B2544</f>
        <v>Jan-2021</v>
      </c>
      <c r="C2544">
        <f>TEST_DATA!C2544</f>
        <v>43505</v>
      </c>
      <c r="D2544" t="str">
        <f>TEST_DATA!D2544</f>
        <v>NON-NIL</v>
      </c>
      <c r="E2544">
        <f>TEST_DATA!E2544</f>
        <v>2698</v>
      </c>
    </row>
    <row r="2545" spans="1:5" x14ac:dyDescent="0.55000000000000004">
      <c r="A2545" t="str">
        <f>TEST_DATA!A2545</f>
        <v>27AAAAA2545Z5</v>
      </c>
      <c r="B2545" t="str">
        <f>TEST_DATA!B2545</f>
        <v>Dec-2022</v>
      </c>
      <c r="C2545">
        <f>TEST_DATA!C2545</f>
        <v>44918</v>
      </c>
      <c r="D2545" t="str">
        <f>TEST_DATA!D2545</f>
        <v>NON-NIL</v>
      </c>
      <c r="E2545">
        <f>TEST_DATA!E2545</f>
        <v>923</v>
      </c>
    </row>
    <row r="2546" spans="1:5" x14ac:dyDescent="0.55000000000000004">
      <c r="A2546" t="str">
        <f>TEST_DATA!A2546</f>
        <v>27AAAAA2546Z5</v>
      </c>
      <c r="B2546" t="str">
        <f>TEST_DATA!B2546</f>
        <v>Aug-2018</v>
      </c>
      <c r="C2546">
        <f>TEST_DATA!C2546</f>
        <v>43788</v>
      </c>
      <c r="D2546" t="str">
        <f>TEST_DATA!D2546</f>
        <v>NON-NIL</v>
      </c>
      <c r="E2546">
        <f>TEST_DATA!E2546</f>
        <v>2828</v>
      </c>
    </row>
    <row r="2547" spans="1:5" x14ac:dyDescent="0.55000000000000004">
      <c r="A2547" t="str">
        <f>TEST_DATA!A2547</f>
        <v>27AAAAA2547Z5</v>
      </c>
      <c r="B2547" t="str">
        <f>TEST_DATA!B2547</f>
        <v>Dec-2019</v>
      </c>
      <c r="C2547">
        <f>TEST_DATA!C2547</f>
        <v>44693</v>
      </c>
      <c r="D2547" t="str">
        <f>TEST_DATA!D2547</f>
        <v>NON-NIL</v>
      </c>
      <c r="E2547">
        <f>TEST_DATA!E2547</f>
        <v>2404</v>
      </c>
    </row>
    <row r="2548" spans="1:5" x14ac:dyDescent="0.55000000000000004">
      <c r="A2548" t="str">
        <f>TEST_DATA!A2548</f>
        <v>27AAAAA2548Z5</v>
      </c>
      <c r="B2548" t="str">
        <f>TEST_DATA!B2548</f>
        <v>Jul-2017</v>
      </c>
      <c r="C2548">
        <f>TEST_DATA!C2548</f>
        <v>44079</v>
      </c>
      <c r="D2548" t="str">
        <f>TEST_DATA!D2548</f>
        <v>NIL</v>
      </c>
      <c r="E2548">
        <f>TEST_DATA!E2548</f>
        <v>569</v>
      </c>
    </row>
    <row r="2549" spans="1:5" x14ac:dyDescent="0.55000000000000004">
      <c r="A2549" t="str">
        <f>TEST_DATA!A2549</f>
        <v>27AAAAA2549Z5</v>
      </c>
      <c r="B2549" t="str">
        <f>TEST_DATA!B2549</f>
        <v>Nov-2017</v>
      </c>
      <c r="C2549">
        <f>TEST_DATA!C2549</f>
        <v>43593</v>
      </c>
      <c r="D2549" t="str">
        <f>TEST_DATA!D2549</f>
        <v>NON-NIL</v>
      </c>
      <c r="E2549">
        <f>TEST_DATA!E2549</f>
        <v>1561</v>
      </c>
    </row>
    <row r="2550" spans="1:5" x14ac:dyDescent="0.55000000000000004">
      <c r="A2550" t="str">
        <f>TEST_DATA!A2550</f>
        <v>27AAAAA2550Z5</v>
      </c>
      <c r="B2550" t="str">
        <f>TEST_DATA!B2550</f>
        <v>Jan-2018</v>
      </c>
      <c r="C2550">
        <f>TEST_DATA!C2550</f>
        <v>43717</v>
      </c>
      <c r="D2550" t="str">
        <f>TEST_DATA!D2550</f>
        <v>NIL</v>
      </c>
      <c r="E2550">
        <f>TEST_DATA!E2550</f>
        <v>2189</v>
      </c>
    </row>
    <row r="2551" spans="1:5" x14ac:dyDescent="0.55000000000000004">
      <c r="A2551" t="str">
        <f>TEST_DATA!A2551</f>
        <v>27AAAAA2551Z5</v>
      </c>
      <c r="B2551" t="str">
        <f>TEST_DATA!B2551</f>
        <v>Jul-2018</v>
      </c>
      <c r="C2551">
        <f>TEST_DATA!C2551</f>
        <v>43302</v>
      </c>
      <c r="D2551" t="str">
        <f>TEST_DATA!D2551</f>
        <v>NON-NIL</v>
      </c>
      <c r="E2551">
        <f>TEST_DATA!E2551</f>
        <v>444</v>
      </c>
    </row>
    <row r="2552" spans="1:5" x14ac:dyDescent="0.55000000000000004">
      <c r="A2552" t="str">
        <f>TEST_DATA!A2552</f>
        <v>27AAAAA2552Z5</v>
      </c>
      <c r="B2552" t="str">
        <f>TEST_DATA!B2552</f>
        <v>May-2018</v>
      </c>
      <c r="C2552">
        <f>TEST_DATA!C2552</f>
        <v>44083</v>
      </c>
      <c r="D2552" t="str">
        <f>TEST_DATA!D2552</f>
        <v>NON-NIL</v>
      </c>
      <c r="E2552">
        <f>TEST_DATA!E2552</f>
        <v>2617</v>
      </c>
    </row>
    <row r="2553" spans="1:5" x14ac:dyDescent="0.55000000000000004">
      <c r="A2553" t="str">
        <f>TEST_DATA!A2553</f>
        <v>27AAAAA2553Z5</v>
      </c>
      <c r="B2553" t="str">
        <f>TEST_DATA!B2553</f>
        <v>Dec-2024</v>
      </c>
      <c r="C2553">
        <f>TEST_DATA!C2553</f>
        <v>44713</v>
      </c>
      <c r="D2553" t="str">
        <f>TEST_DATA!D2553</f>
        <v>NIL</v>
      </c>
      <c r="E2553">
        <f>TEST_DATA!E2553</f>
        <v>702</v>
      </c>
    </row>
    <row r="2554" spans="1:5" x14ac:dyDescent="0.55000000000000004">
      <c r="A2554" t="str">
        <f>TEST_DATA!A2554</f>
        <v>27AAAAA2554Z5</v>
      </c>
      <c r="B2554" t="str">
        <f>TEST_DATA!B2554</f>
        <v>Oct-2017</v>
      </c>
      <c r="C2554">
        <f>TEST_DATA!C2554</f>
        <v>44299</v>
      </c>
      <c r="D2554" t="str">
        <f>TEST_DATA!D2554</f>
        <v>NIL</v>
      </c>
      <c r="E2554">
        <f>TEST_DATA!E2554</f>
        <v>131</v>
      </c>
    </row>
    <row r="2555" spans="1:5" x14ac:dyDescent="0.55000000000000004">
      <c r="A2555" t="str">
        <f>TEST_DATA!A2555</f>
        <v>27AAAAA2555Z5</v>
      </c>
      <c r="B2555" t="str">
        <f>TEST_DATA!B2555</f>
        <v>Dec-2022</v>
      </c>
      <c r="C2555">
        <f>TEST_DATA!C2555</f>
        <v>45467</v>
      </c>
      <c r="D2555" t="str">
        <f>TEST_DATA!D2555</f>
        <v>NIL</v>
      </c>
      <c r="E2555">
        <f>TEST_DATA!E2555</f>
        <v>764</v>
      </c>
    </row>
    <row r="2556" spans="1:5" x14ac:dyDescent="0.55000000000000004">
      <c r="A2556" t="str">
        <f>TEST_DATA!A2556</f>
        <v>27AAAAA2556Z5</v>
      </c>
      <c r="B2556" t="str">
        <f>TEST_DATA!B2556</f>
        <v>Jan-2018</v>
      </c>
      <c r="C2556">
        <f>TEST_DATA!C2556</f>
        <v>43059</v>
      </c>
      <c r="D2556" t="str">
        <f>TEST_DATA!D2556</f>
        <v>NON-NIL</v>
      </c>
      <c r="E2556">
        <f>TEST_DATA!E2556</f>
        <v>1162</v>
      </c>
    </row>
    <row r="2557" spans="1:5" x14ac:dyDescent="0.55000000000000004">
      <c r="A2557" t="str">
        <f>TEST_DATA!A2557</f>
        <v>27AAAAA2557Z5</v>
      </c>
      <c r="B2557" t="str">
        <f>TEST_DATA!B2557</f>
        <v>Jan-2018</v>
      </c>
      <c r="C2557">
        <f>TEST_DATA!C2557</f>
        <v>43394</v>
      </c>
      <c r="D2557" t="str">
        <f>TEST_DATA!D2557</f>
        <v>NON-NIL</v>
      </c>
      <c r="E2557">
        <f>TEST_DATA!E2557</f>
        <v>2701</v>
      </c>
    </row>
    <row r="2558" spans="1:5" x14ac:dyDescent="0.55000000000000004">
      <c r="A2558" t="str">
        <f>TEST_DATA!A2558</f>
        <v>27AAAAA2558Z5</v>
      </c>
      <c r="B2558" t="str">
        <f>TEST_DATA!B2558</f>
        <v>Jun-2019</v>
      </c>
      <c r="C2558">
        <f>TEST_DATA!C2558</f>
        <v>43752</v>
      </c>
      <c r="D2558" t="str">
        <f>TEST_DATA!D2558</f>
        <v>NON-NIL</v>
      </c>
      <c r="E2558">
        <f>TEST_DATA!E2558</f>
        <v>235</v>
      </c>
    </row>
    <row r="2559" spans="1:5" x14ac:dyDescent="0.55000000000000004">
      <c r="A2559" t="str">
        <f>TEST_DATA!A2559</f>
        <v>27AAAAA2559Z5</v>
      </c>
      <c r="B2559" t="str">
        <f>TEST_DATA!B2559</f>
        <v>Jun-2018</v>
      </c>
      <c r="C2559">
        <f>TEST_DATA!C2559</f>
        <v>43978</v>
      </c>
      <c r="D2559" t="str">
        <f>TEST_DATA!D2559</f>
        <v>NIL</v>
      </c>
      <c r="E2559">
        <f>TEST_DATA!E2559</f>
        <v>703</v>
      </c>
    </row>
    <row r="2560" spans="1:5" x14ac:dyDescent="0.55000000000000004">
      <c r="A2560" t="str">
        <f>TEST_DATA!A2560</f>
        <v>27AAAAA2560Z5</v>
      </c>
      <c r="B2560" t="str">
        <f>TEST_DATA!B2560</f>
        <v>May-2018</v>
      </c>
      <c r="C2560">
        <f>TEST_DATA!C2560</f>
        <v>43758</v>
      </c>
      <c r="D2560" t="str">
        <f>TEST_DATA!D2560</f>
        <v>NON-NIL</v>
      </c>
      <c r="E2560">
        <f>TEST_DATA!E2560</f>
        <v>643</v>
      </c>
    </row>
    <row r="2561" spans="1:5" x14ac:dyDescent="0.55000000000000004">
      <c r="A2561" t="str">
        <f>TEST_DATA!A2561</f>
        <v>27AAAAA2561Z5</v>
      </c>
      <c r="B2561" t="str">
        <f>TEST_DATA!B2561</f>
        <v>Oct-2017</v>
      </c>
      <c r="C2561">
        <f>TEST_DATA!C2561</f>
        <v>43181</v>
      </c>
      <c r="D2561" t="str">
        <f>TEST_DATA!D2561</f>
        <v>NON-NIL</v>
      </c>
      <c r="E2561">
        <f>TEST_DATA!E2561</f>
        <v>1958</v>
      </c>
    </row>
    <row r="2562" spans="1:5" x14ac:dyDescent="0.55000000000000004">
      <c r="A2562" t="str">
        <f>TEST_DATA!A2562</f>
        <v>27AAAAA2562Z5</v>
      </c>
      <c r="B2562" t="str">
        <f>TEST_DATA!B2562</f>
        <v>Jan-2021</v>
      </c>
      <c r="C2562">
        <f>TEST_DATA!C2562</f>
        <v>43747</v>
      </c>
      <c r="D2562" t="str">
        <f>TEST_DATA!D2562</f>
        <v>NON-NIL</v>
      </c>
      <c r="E2562">
        <f>TEST_DATA!E2562</f>
        <v>845</v>
      </c>
    </row>
    <row r="2563" spans="1:5" x14ac:dyDescent="0.55000000000000004">
      <c r="A2563" t="str">
        <f>TEST_DATA!A2563</f>
        <v>27AAAAA2563Z5</v>
      </c>
      <c r="B2563" t="str">
        <f>TEST_DATA!B2563</f>
        <v>Nov-2017</v>
      </c>
      <c r="C2563">
        <f>TEST_DATA!C2563</f>
        <v>43338</v>
      </c>
      <c r="D2563" t="str">
        <f>TEST_DATA!D2563</f>
        <v>NON-NIL</v>
      </c>
      <c r="E2563">
        <f>TEST_DATA!E2563</f>
        <v>1770</v>
      </c>
    </row>
    <row r="2564" spans="1:5" x14ac:dyDescent="0.55000000000000004">
      <c r="A2564" t="str">
        <f>TEST_DATA!A2564</f>
        <v>27AAAAA2564Z5</v>
      </c>
      <c r="B2564" t="str">
        <f>TEST_DATA!B2564</f>
        <v>Dec-2022</v>
      </c>
      <c r="C2564">
        <f>TEST_DATA!C2564</f>
        <v>45410</v>
      </c>
      <c r="D2564" t="str">
        <f>TEST_DATA!D2564</f>
        <v>NIL</v>
      </c>
      <c r="E2564">
        <f>TEST_DATA!E2564</f>
        <v>2472</v>
      </c>
    </row>
    <row r="2565" spans="1:5" x14ac:dyDescent="0.55000000000000004">
      <c r="A2565" t="str">
        <f>TEST_DATA!A2565</f>
        <v>27AAAAA2565Z5</v>
      </c>
      <c r="B2565" t="str">
        <f>TEST_DATA!B2565</f>
        <v>Mar-2020</v>
      </c>
      <c r="C2565">
        <f>TEST_DATA!C2565</f>
        <v>44466</v>
      </c>
      <c r="D2565" t="str">
        <f>TEST_DATA!D2565</f>
        <v>NIL</v>
      </c>
      <c r="E2565">
        <f>TEST_DATA!E2565</f>
        <v>2058</v>
      </c>
    </row>
    <row r="2566" spans="1:5" x14ac:dyDescent="0.55000000000000004">
      <c r="A2566" t="str">
        <f>TEST_DATA!A2566</f>
        <v>27AAAAA2566Z5</v>
      </c>
      <c r="B2566" t="str">
        <f>TEST_DATA!B2566</f>
        <v>Jul-2020</v>
      </c>
      <c r="C2566">
        <f>TEST_DATA!C2566</f>
        <v>44770</v>
      </c>
      <c r="D2566" t="str">
        <f>TEST_DATA!D2566</f>
        <v>NON-NIL</v>
      </c>
      <c r="E2566">
        <f>TEST_DATA!E2566</f>
        <v>826</v>
      </c>
    </row>
    <row r="2567" spans="1:5" x14ac:dyDescent="0.55000000000000004">
      <c r="A2567" t="str">
        <f>TEST_DATA!A2567</f>
        <v>27AAAAA2567Z5</v>
      </c>
      <c r="B2567" t="str">
        <f>TEST_DATA!B2567</f>
        <v>Jul-2017</v>
      </c>
      <c r="C2567">
        <f>TEST_DATA!C2567</f>
        <v>43209</v>
      </c>
      <c r="D2567" t="str">
        <f>TEST_DATA!D2567</f>
        <v>NON-NIL</v>
      </c>
      <c r="E2567">
        <f>TEST_DATA!E2567</f>
        <v>262</v>
      </c>
    </row>
    <row r="2568" spans="1:5" x14ac:dyDescent="0.55000000000000004">
      <c r="A2568" t="str">
        <f>TEST_DATA!A2568</f>
        <v>27AAAAA2568Z5</v>
      </c>
      <c r="B2568" t="str">
        <f>TEST_DATA!B2568</f>
        <v>Dec-2022</v>
      </c>
      <c r="C2568">
        <f>TEST_DATA!C2568</f>
        <v>45101</v>
      </c>
      <c r="D2568" t="str">
        <f>TEST_DATA!D2568</f>
        <v>NIL</v>
      </c>
      <c r="E2568">
        <f>TEST_DATA!E2568</f>
        <v>2153</v>
      </c>
    </row>
    <row r="2569" spans="1:5" x14ac:dyDescent="0.55000000000000004">
      <c r="A2569" t="str">
        <f>TEST_DATA!A2569</f>
        <v>27AAAAA2569Z5</v>
      </c>
      <c r="B2569" t="str">
        <f>TEST_DATA!B2569</f>
        <v>May-2018</v>
      </c>
      <c r="C2569">
        <f>TEST_DATA!C2569</f>
        <v>44082</v>
      </c>
      <c r="D2569" t="str">
        <f>TEST_DATA!D2569</f>
        <v>NON-NIL</v>
      </c>
      <c r="E2569">
        <f>TEST_DATA!E2569</f>
        <v>1884</v>
      </c>
    </row>
    <row r="2570" spans="1:5" x14ac:dyDescent="0.55000000000000004">
      <c r="A2570" t="str">
        <f>TEST_DATA!A2570</f>
        <v>27AAAAA2570Z5</v>
      </c>
      <c r="B2570" t="str">
        <f>TEST_DATA!B2570</f>
        <v>Sep-2018</v>
      </c>
      <c r="C2570">
        <f>TEST_DATA!C2570</f>
        <v>44096</v>
      </c>
      <c r="D2570" t="str">
        <f>TEST_DATA!D2570</f>
        <v>NIL</v>
      </c>
      <c r="E2570">
        <f>TEST_DATA!E2570</f>
        <v>373</v>
      </c>
    </row>
    <row r="2571" spans="1:5" x14ac:dyDescent="0.55000000000000004">
      <c r="A2571" t="str">
        <f>TEST_DATA!A2571</f>
        <v>27AAAAA2571Z5</v>
      </c>
      <c r="B2571" t="str">
        <f>TEST_DATA!B2571</f>
        <v>Apr-2018</v>
      </c>
      <c r="C2571">
        <f>TEST_DATA!C2571</f>
        <v>44240</v>
      </c>
      <c r="D2571" t="str">
        <f>TEST_DATA!D2571</f>
        <v>NON-NIL</v>
      </c>
      <c r="E2571">
        <f>TEST_DATA!E2571</f>
        <v>1420</v>
      </c>
    </row>
    <row r="2572" spans="1:5" x14ac:dyDescent="0.55000000000000004">
      <c r="A2572" t="str">
        <f>TEST_DATA!A2572</f>
        <v>27AAAAA2572Z5</v>
      </c>
      <c r="B2572" t="str">
        <f>TEST_DATA!B2572</f>
        <v>Jul-2020</v>
      </c>
      <c r="C2572">
        <f>TEST_DATA!C2572</f>
        <v>44440</v>
      </c>
      <c r="D2572" t="str">
        <f>TEST_DATA!D2572</f>
        <v>NON-NIL</v>
      </c>
      <c r="E2572">
        <f>TEST_DATA!E2572</f>
        <v>2510</v>
      </c>
    </row>
    <row r="2573" spans="1:5" x14ac:dyDescent="0.55000000000000004">
      <c r="A2573" t="str">
        <f>TEST_DATA!A2573</f>
        <v>27AAAAA2573Z5</v>
      </c>
      <c r="B2573" t="str">
        <f>TEST_DATA!B2573</f>
        <v>Dec-2022</v>
      </c>
      <c r="C2573">
        <f>TEST_DATA!C2573</f>
        <v>44183</v>
      </c>
      <c r="D2573" t="str">
        <f>TEST_DATA!D2573</f>
        <v>NON-NIL</v>
      </c>
      <c r="E2573">
        <f>TEST_DATA!E2573</f>
        <v>1020</v>
      </c>
    </row>
    <row r="2574" spans="1:5" x14ac:dyDescent="0.55000000000000004">
      <c r="A2574" t="str">
        <f>TEST_DATA!A2574</f>
        <v>27AAAAA2574Z5</v>
      </c>
      <c r="B2574" t="str">
        <f>TEST_DATA!B2574</f>
        <v>Dec-2017</v>
      </c>
      <c r="C2574">
        <f>TEST_DATA!C2574</f>
        <v>44182</v>
      </c>
      <c r="D2574" t="str">
        <f>TEST_DATA!D2574</f>
        <v>NON-NIL</v>
      </c>
      <c r="E2574">
        <f>TEST_DATA!E2574</f>
        <v>1875</v>
      </c>
    </row>
    <row r="2575" spans="1:5" x14ac:dyDescent="0.55000000000000004">
      <c r="A2575" t="str">
        <f>TEST_DATA!A2575</f>
        <v>27AAAAA2575Z5</v>
      </c>
      <c r="B2575" t="str">
        <f>TEST_DATA!B2575</f>
        <v>Jul-2018</v>
      </c>
      <c r="C2575">
        <f>TEST_DATA!C2575</f>
        <v>44266</v>
      </c>
      <c r="D2575" t="str">
        <f>TEST_DATA!D2575</f>
        <v>NIL</v>
      </c>
      <c r="E2575">
        <f>TEST_DATA!E2575</f>
        <v>2861</v>
      </c>
    </row>
    <row r="2576" spans="1:5" x14ac:dyDescent="0.55000000000000004">
      <c r="A2576" t="str">
        <f>TEST_DATA!A2576</f>
        <v>27AAAAA2576Z5</v>
      </c>
      <c r="B2576" t="str">
        <f>TEST_DATA!B2576</f>
        <v>Mar-2020</v>
      </c>
      <c r="C2576">
        <f>TEST_DATA!C2576</f>
        <v>44026</v>
      </c>
      <c r="D2576" t="str">
        <f>TEST_DATA!D2576</f>
        <v>NON-NIL</v>
      </c>
      <c r="E2576">
        <f>TEST_DATA!E2576</f>
        <v>2861</v>
      </c>
    </row>
    <row r="2577" spans="1:5" x14ac:dyDescent="0.55000000000000004">
      <c r="A2577" t="str">
        <f>TEST_DATA!A2577</f>
        <v>27AAAAA2577Z5</v>
      </c>
      <c r="B2577" t="str">
        <f>TEST_DATA!B2577</f>
        <v>Aug-2017</v>
      </c>
      <c r="C2577">
        <f>TEST_DATA!C2577</f>
        <v>43407</v>
      </c>
      <c r="D2577" t="str">
        <f>TEST_DATA!D2577</f>
        <v>NIL</v>
      </c>
      <c r="E2577">
        <f>TEST_DATA!E2577</f>
        <v>1121</v>
      </c>
    </row>
    <row r="2578" spans="1:5" x14ac:dyDescent="0.55000000000000004">
      <c r="A2578" t="str">
        <f>TEST_DATA!A2578</f>
        <v>27AAAAA2578Z5</v>
      </c>
      <c r="B2578" t="str">
        <f>TEST_DATA!B2578</f>
        <v>Dec-2024</v>
      </c>
      <c r="C2578">
        <f>TEST_DATA!C2578</f>
        <v>45668</v>
      </c>
      <c r="D2578" t="str">
        <f>TEST_DATA!D2578</f>
        <v>NON-NIL</v>
      </c>
      <c r="E2578">
        <f>TEST_DATA!E2578</f>
        <v>2730</v>
      </c>
    </row>
    <row r="2579" spans="1:5" x14ac:dyDescent="0.55000000000000004">
      <c r="A2579" t="str">
        <f>TEST_DATA!A2579</f>
        <v>27AAAAA2579Z5</v>
      </c>
      <c r="B2579" t="str">
        <f>TEST_DATA!B2579</f>
        <v>Sep-2017</v>
      </c>
      <c r="C2579">
        <f>TEST_DATA!C2579</f>
        <v>44346</v>
      </c>
      <c r="D2579" t="str">
        <f>TEST_DATA!D2579</f>
        <v>NIL</v>
      </c>
      <c r="E2579">
        <f>TEST_DATA!E2579</f>
        <v>2021</v>
      </c>
    </row>
    <row r="2580" spans="1:5" x14ac:dyDescent="0.55000000000000004">
      <c r="A2580" t="str">
        <f>TEST_DATA!A2580</f>
        <v>27AAAAA2580Z5</v>
      </c>
      <c r="B2580" t="str">
        <f>TEST_DATA!B2580</f>
        <v>Aug-2018</v>
      </c>
      <c r="C2580">
        <f>TEST_DATA!C2580</f>
        <v>44477</v>
      </c>
      <c r="D2580" t="str">
        <f>TEST_DATA!D2580</f>
        <v>NIL</v>
      </c>
      <c r="E2580">
        <f>TEST_DATA!E2580</f>
        <v>1510</v>
      </c>
    </row>
    <row r="2581" spans="1:5" x14ac:dyDescent="0.55000000000000004">
      <c r="A2581" t="str">
        <f>TEST_DATA!A2581</f>
        <v>27AAAAA2581Z5</v>
      </c>
      <c r="B2581" t="str">
        <f>TEST_DATA!B2581</f>
        <v>Sep-2017</v>
      </c>
      <c r="C2581">
        <f>TEST_DATA!C2581</f>
        <v>44464</v>
      </c>
      <c r="D2581" t="str">
        <f>TEST_DATA!D2581</f>
        <v>NIL</v>
      </c>
      <c r="E2581">
        <f>TEST_DATA!E2581</f>
        <v>2066</v>
      </c>
    </row>
    <row r="2582" spans="1:5" x14ac:dyDescent="0.55000000000000004">
      <c r="A2582" t="str">
        <f>TEST_DATA!A2582</f>
        <v>27AAAAA2582Z5</v>
      </c>
      <c r="B2582" t="str">
        <f>TEST_DATA!B2582</f>
        <v>Mar-2021</v>
      </c>
      <c r="C2582">
        <f>TEST_DATA!C2582</f>
        <v>44801</v>
      </c>
      <c r="D2582" t="str">
        <f>TEST_DATA!D2582</f>
        <v>NON-NIL</v>
      </c>
      <c r="E2582">
        <f>TEST_DATA!E2582</f>
        <v>1847</v>
      </c>
    </row>
    <row r="2583" spans="1:5" x14ac:dyDescent="0.55000000000000004">
      <c r="A2583" t="str">
        <f>TEST_DATA!A2583</f>
        <v>27AAAAA2583Z5</v>
      </c>
      <c r="B2583" t="str">
        <f>TEST_DATA!B2583</f>
        <v>Dec-2017</v>
      </c>
      <c r="C2583">
        <f>TEST_DATA!C2583</f>
        <v>43434</v>
      </c>
      <c r="D2583" t="str">
        <f>TEST_DATA!D2583</f>
        <v>NIL</v>
      </c>
      <c r="E2583">
        <f>TEST_DATA!E2583</f>
        <v>2072</v>
      </c>
    </row>
    <row r="2584" spans="1:5" x14ac:dyDescent="0.55000000000000004">
      <c r="A2584" t="str">
        <f>TEST_DATA!A2584</f>
        <v>27AAAAA2584Z5</v>
      </c>
      <c r="B2584" t="str">
        <f>TEST_DATA!B2584</f>
        <v>Aug-2017</v>
      </c>
      <c r="C2584">
        <f>TEST_DATA!C2584</f>
        <v>43863</v>
      </c>
      <c r="D2584" t="str">
        <f>TEST_DATA!D2584</f>
        <v>NIL</v>
      </c>
      <c r="E2584">
        <f>TEST_DATA!E2584</f>
        <v>299</v>
      </c>
    </row>
    <row r="2585" spans="1:5" x14ac:dyDescent="0.55000000000000004">
      <c r="A2585" t="str">
        <f>TEST_DATA!A2585</f>
        <v>27AAAAA2585Z5</v>
      </c>
      <c r="B2585" t="str">
        <f>TEST_DATA!B2585</f>
        <v>May-2020</v>
      </c>
      <c r="C2585">
        <f>TEST_DATA!C2585</f>
        <v>44776</v>
      </c>
      <c r="D2585" t="str">
        <f>TEST_DATA!D2585</f>
        <v>NON-NIL</v>
      </c>
      <c r="E2585">
        <f>TEST_DATA!E2585</f>
        <v>1407</v>
      </c>
    </row>
    <row r="2586" spans="1:5" x14ac:dyDescent="0.55000000000000004">
      <c r="A2586" t="str">
        <f>TEST_DATA!A2586</f>
        <v>27AAAAA2586Z5</v>
      </c>
      <c r="B2586" t="str">
        <f>TEST_DATA!B2586</f>
        <v>Jan-2021</v>
      </c>
      <c r="C2586">
        <f>TEST_DATA!C2586</f>
        <v>45101</v>
      </c>
      <c r="D2586" t="str">
        <f>TEST_DATA!D2586</f>
        <v>NIL</v>
      </c>
      <c r="E2586">
        <f>TEST_DATA!E2586</f>
        <v>1624</v>
      </c>
    </row>
    <row r="2587" spans="1:5" x14ac:dyDescent="0.55000000000000004">
      <c r="A2587" t="str">
        <f>TEST_DATA!A2587</f>
        <v>27AAAAA2587Z5</v>
      </c>
      <c r="B2587" t="str">
        <f>TEST_DATA!B2587</f>
        <v>Aug-2017</v>
      </c>
      <c r="C2587">
        <f>TEST_DATA!C2587</f>
        <v>42938</v>
      </c>
      <c r="D2587" t="str">
        <f>TEST_DATA!D2587</f>
        <v>NON-NIL</v>
      </c>
      <c r="E2587">
        <f>TEST_DATA!E2587</f>
        <v>469</v>
      </c>
    </row>
    <row r="2588" spans="1:5" x14ac:dyDescent="0.55000000000000004">
      <c r="A2588" t="str">
        <f>TEST_DATA!A2588</f>
        <v>27AAAAA2588Z5</v>
      </c>
      <c r="B2588" t="str">
        <f>TEST_DATA!B2588</f>
        <v>Jul-2020</v>
      </c>
      <c r="C2588">
        <f>TEST_DATA!C2588</f>
        <v>44110</v>
      </c>
      <c r="D2588" t="str">
        <f>TEST_DATA!D2588</f>
        <v>NON-NIL</v>
      </c>
      <c r="E2588">
        <f>TEST_DATA!E2588</f>
        <v>2745</v>
      </c>
    </row>
    <row r="2589" spans="1:5" x14ac:dyDescent="0.55000000000000004">
      <c r="A2589" t="str">
        <f>TEST_DATA!A2589</f>
        <v>27AAAAA2589Z5</v>
      </c>
      <c r="B2589" t="str">
        <f>TEST_DATA!B2589</f>
        <v>Jan-2021</v>
      </c>
      <c r="C2589">
        <f>TEST_DATA!C2589</f>
        <v>45367</v>
      </c>
      <c r="D2589" t="str">
        <f>TEST_DATA!D2589</f>
        <v>NON-NIL</v>
      </c>
      <c r="E2589">
        <f>TEST_DATA!E2589</f>
        <v>1889</v>
      </c>
    </row>
    <row r="2590" spans="1:5" x14ac:dyDescent="0.55000000000000004">
      <c r="A2590" t="str">
        <f>TEST_DATA!A2590</f>
        <v>27AAAAA2590Z5</v>
      </c>
      <c r="B2590" t="str">
        <f>TEST_DATA!B2590</f>
        <v>Sep-2017</v>
      </c>
      <c r="C2590">
        <f>TEST_DATA!C2590</f>
        <v>43086</v>
      </c>
      <c r="D2590" t="str">
        <f>TEST_DATA!D2590</f>
        <v>NIL</v>
      </c>
      <c r="E2590">
        <f>TEST_DATA!E2590</f>
        <v>2922</v>
      </c>
    </row>
    <row r="2591" spans="1:5" x14ac:dyDescent="0.55000000000000004">
      <c r="A2591" t="str">
        <f>TEST_DATA!A2591</f>
        <v>27AAAAA2591Z5</v>
      </c>
      <c r="B2591" t="str">
        <f>TEST_DATA!B2591</f>
        <v>Sep-2018</v>
      </c>
      <c r="C2591">
        <f>TEST_DATA!C2591</f>
        <v>43204</v>
      </c>
      <c r="D2591" t="str">
        <f>TEST_DATA!D2591</f>
        <v>NON-NIL</v>
      </c>
      <c r="E2591">
        <f>TEST_DATA!E2591</f>
        <v>1143</v>
      </c>
    </row>
    <row r="2592" spans="1:5" x14ac:dyDescent="0.55000000000000004">
      <c r="A2592" t="str">
        <f>TEST_DATA!A2592</f>
        <v>27AAAAA2592Z5</v>
      </c>
      <c r="B2592" t="str">
        <f>TEST_DATA!B2592</f>
        <v>Dec-2022</v>
      </c>
      <c r="C2592">
        <f>TEST_DATA!C2592</f>
        <v>44126</v>
      </c>
      <c r="D2592" t="str">
        <f>TEST_DATA!D2592</f>
        <v>NIL</v>
      </c>
      <c r="E2592">
        <f>TEST_DATA!E2592</f>
        <v>73</v>
      </c>
    </row>
    <row r="2593" spans="1:5" x14ac:dyDescent="0.55000000000000004">
      <c r="A2593" t="str">
        <f>TEST_DATA!A2593</f>
        <v>27AAAAA2593Z5</v>
      </c>
      <c r="B2593" t="str">
        <f>TEST_DATA!B2593</f>
        <v>Apr-2020</v>
      </c>
      <c r="C2593">
        <f>TEST_DATA!C2593</f>
        <v>44036</v>
      </c>
      <c r="D2593" t="str">
        <f>TEST_DATA!D2593</f>
        <v>NIL</v>
      </c>
      <c r="E2593">
        <f>TEST_DATA!E2593</f>
        <v>1204</v>
      </c>
    </row>
    <row r="2594" spans="1:5" x14ac:dyDescent="0.55000000000000004">
      <c r="A2594" t="str">
        <f>TEST_DATA!A2594</f>
        <v>27AAAAA2594Z5</v>
      </c>
      <c r="B2594" t="str">
        <f>TEST_DATA!B2594</f>
        <v>Oct-2017</v>
      </c>
      <c r="C2594">
        <f>TEST_DATA!C2594</f>
        <v>44011</v>
      </c>
      <c r="D2594" t="str">
        <f>TEST_DATA!D2594</f>
        <v>NON-NIL</v>
      </c>
      <c r="E2594">
        <f>TEST_DATA!E2594</f>
        <v>689</v>
      </c>
    </row>
    <row r="2595" spans="1:5" x14ac:dyDescent="0.55000000000000004">
      <c r="A2595" t="str">
        <f>TEST_DATA!A2595</f>
        <v>27AAAAA2595Z5</v>
      </c>
      <c r="B2595" t="str">
        <f>TEST_DATA!B2595</f>
        <v>Sep-2017</v>
      </c>
      <c r="C2595">
        <f>TEST_DATA!C2595</f>
        <v>44292</v>
      </c>
      <c r="D2595" t="str">
        <f>TEST_DATA!D2595</f>
        <v>NIL</v>
      </c>
      <c r="E2595">
        <f>TEST_DATA!E2595</f>
        <v>2774</v>
      </c>
    </row>
    <row r="2596" spans="1:5" x14ac:dyDescent="0.55000000000000004">
      <c r="A2596" t="str">
        <f>TEST_DATA!A2596</f>
        <v>27AAAAA2596Z5</v>
      </c>
      <c r="B2596" t="str">
        <f>TEST_DATA!B2596</f>
        <v>Mar-2018</v>
      </c>
      <c r="C2596">
        <f>TEST_DATA!C2596</f>
        <v>43231</v>
      </c>
      <c r="D2596" t="str">
        <f>TEST_DATA!D2596</f>
        <v>NON-NIL</v>
      </c>
      <c r="E2596">
        <f>TEST_DATA!E2596</f>
        <v>1466</v>
      </c>
    </row>
    <row r="2597" spans="1:5" x14ac:dyDescent="0.55000000000000004">
      <c r="A2597" t="str">
        <f>TEST_DATA!A2597</f>
        <v>27AAAAA2597Z5</v>
      </c>
      <c r="B2597" t="str">
        <f>TEST_DATA!B2597</f>
        <v>Dec-2017</v>
      </c>
      <c r="C2597">
        <f>TEST_DATA!C2597</f>
        <v>43360</v>
      </c>
      <c r="D2597" t="str">
        <f>TEST_DATA!D2597</f>
        <v>NIL</v>
      </c>
      <c r="E2597">
        <f>TEST_DATA!E2597</f>
        <v>2764</v>
      </c>
    </row>
    <row r="2598" spans="1:5" x14ac:dyDescent="0.55000000000000004">
      <c r="A2598" t="str">
        <f>TEST_DATA!A2598</f>
        <v>27AAAAA2598Z5</v>
      </c>
      <c r="B2598" t="str">
        <f>TEST_DATA!B2598</f>
        <v>Dec-2019</v>
      </c>
      <c r="C2598">
        <f>TEST_DATA!C2598</f>
        <v>44351</v>
      </c>
      <c r="D2598" t="str">
        <f>TEST_DATA!D2598</f>
        <v>NON-NIL</v>
      </c>
      <c r="E2598">
        <f>TEST_DATA!E2598</f>
        <v>2853</v>
      </c>
    </row>
    <row r="2599" spans="1:5" x14ac:dyDescent="0.55000000000000004">
      <c r="A2599" t="str">
        <f>TEST_DATA!A2599</f>
        <v>27AAAAA2599Z5</v>
      </c>
      <c r="B2599" t="str">
        <f>TEST_DATA!B2599</f>
        <v>Aug-2017</v>
      </c>
      <c r="C2599">
        <f>TEST_DATA!C2599</f>
        <v>44217</v>
      </c>
      <c r="D2599" t="str">
        <f>TEST_DATA!D2599</f>
        <v>NIL</v>
      </c>
      <c r="E2599">
        <f>TEST_DATA!E2599</f>
        <v>1599</v>
      </c>
    </row>
    <row r="2600" spans="1:5" x14ac:dyDescent="0.55000000000000004">
      <c r="A2600" t="str">
        <f>TEST_DATA!A2600</f>
        <v>27AAAAA2600Z5</v>
      </c>
      <c r="B2600" t="str">
        <f>TEST_DATA!B2600</f>
        <v>Jul-2020</v>
      </c>
      <c r="C2600">
        <f>TEST_DATA!C2600</f>
        <v>44462</v>
      </c>
      <c r="D2600" t="str">
        <f>TEST_DATA!D2600</f>
        <v>NON-NIL</v>
      </c>
      <c r="E2600">
        <f>TEST_DATA!E2600</f>
        <v>214</v>
      </c>
    </row>
    <row r="2601" spans="1:5" x14ac:dyDescent="0.55000000000000004">
      <c r="A2601" t="str">
        <f>TEST_DATA!A2601</f>
        <v>27AAAAA2601Z5</v>
      </c>
      <c r="B2601" t="str">
        <f>TEST_DATA!B2601</f>
        <v>Apr-2020</v>
      </c>
      <c r="C2601">
        <f>TEST_DATA!C2601</f>
        <v>43840</v>
      </c>
      <c r="D2601" t="str">
        <f>TEST_DATA!D2601</f>
        <v>NIL</v>
      </c>
      <c r="E2601">
        <f>TEST_DATA!E2601</f>
        <v>1545</v>
      </c>
    </row>
    <row r="2602" spans="1:5" x14ac:dyDescent="0.55000000000000004">
      <c r="A2602" t="str">
        <f>TEST_DATA!A2602</f>
        <v>27AAAAA2602Z5</v>
      </c>
      <c r="B2602" t="str">
        <f>TEST_DATA!B2602</f>
        <v>Mar-2021</v>
      </c>
      <c r="C2602">
        <f>TEST_DATA!C2602</f>
        <v>44292</v>
      </c>
      <c r="D2602" t="str">
        <f>TEST_DATA!D2602</f>
        <v>NIL</v>
      </c>
      <c r="E2602">
        <f>TEST_DATA!E2602</f>
        <v>1534</v>
      </c>
    </row>
    <row r="2603" spans="1:5" x14ac:dyDescent="0.55000000000000004">
      <c r="A2603" t="str">
        <f>TEST_DATA!A2603</f>
        <v>27AAAAA2603Z5</v>
      </c>
      <c r="B2603" t="str">
        <f>TEST_DATA!B2603</f>
        <v>Feb-2018</v>
      </c>
      <c r="C2603">
        <f>TEST_DATA!C2603</f>
        <v>43326</v>
      </c>
      <c r="D2603" t="str">
        <f>TEST_DATA!D2603</f>
        <v>NIL</v>
      </c>
      <c r="E2603">
        <f>TEST_DATA!E2603</f>
        <v>65</v>
      </c>
    </row>
    <row r="2604" spans="1:5" x14ac:dyDescent="0.55000000000000004">
      <c r="A2604" t="str">
        <f>TEST_DATA!A2604</f>
        <v>27AAAAA2604Z5</v>
      </c>
      <c r="B2604" t="str">
        <f>TEST_DATA!B2604</f>
        <v>Aug-2018</v>
      </c>
      <c r="C2604">
        <f>TEST_DATA!C2604</f>
        <v>42974</v>
      </c>
      <c r="D2604" t="str">
        <f>TEST_DATA!D2604</f>
        <v>NIL</v>
      </c>
      <c r="E2604">
        <f>TEST_DATA!E2604</f>
        <v>1380</v>
      </c>
    </row>
    <row r="2605" spans="1:5" x14ac:dyDescent="0.55000000000000004">
      <c r="A2605" t="str">
        <f>TEST_DATA!A2605</f>
        <v>27AAAAA2605Z5</v>
      </c>
      <c r="B2605" t="str">
        <f>TEST_DATA!B2605</f>
        <v>Dec-2022</v>
      </c>
      <c r="C2605">
        <f>TEST_DATA!C2605</f>
        <v>44253</v>
      </c>
      <c r="D2605" t="str">
        <f>TEST_DATA!D2605</f>
        <v>NIL</v>
      </c>
      <c r="E2605">
        <f>TEST_DATA!E2605</f>
        <v>903</v>
      </c>
    </row>
    <row r="2606" spans="1:5" x14ac:dyDescent="0.55000000000000004">
      <c r="A2606" t="str">
        <f>TEST_DATA!A2606</f>
        <v>27AAAAA2606Z5</v>
      </c>
      <c r="B2606" t="str">
        <f>TEST_DATA!B2606</f>
        <v>Dec-2024</v>
      </c>
      <c r="C2606">
        <f>TEST_DATA!C2606</f>
        <v>43861</v>
      </c>
      <c r="D2606" t="str">
        <f>TEST_DATA!D2606</f>
        <v>NIL</v>
      </c>
      <c r="E2606">
        <f>TEST_DATA!E2606</f>
        <v>2965</v>
      </c>
    </row>
    <row r="2607" spans="1:5" x14ac:dyDescent="0.55000000000000004">
      <c r="A2607" t="str">
        <f>TEST_DATA!A2607</f>
        <v>27AAAAA2607Z5</v>
      </c>
      <c r="B2607" t="str">
        <f>TEST_DATA!B2607</f>
        <v>Dec-2017</v>
      </c>
      <c r="C2607">
        <f>TEST_DATA!C2607</f>
        <v>43007</v>
      </c>
      <c r="D2607" t="str">
        <f>TEST_DATA!D2607</f>
        <v>NON-NIL</v>
      </c>
      <c r="E2607">
        <f>TEST_DATA!E2607</f>
        <v>2099</v>
      </c>
    </row>
    <row r="2608" spans="1:5" x14ac:dyDescent="0.55000000000000004">
      <c r="A2608" t="str">
        <f>TEST_DATA!A2608</f>
        <v>27AAAAA2608Z5</v>
      </c>
      <c r="B2608" t="str">
        <f>TEST_DATA!B2608</f>
        <v>Oct-2017</v>
      </c>
      <c r="C2608">
        <f>TEST_DATA!C2608</f>
        <v>43586</v>
      </c>
      <c r="D2608" t="str">
        <f>TEST_DATA!D2608</f>
        <v>NON-NIL</v>
      </c>
      <c r="E2608">
        <f>TEST_DATA!E2608</f>
        <v>2302</v>
      </c>
    </row>
    <row r="2609" spans="1:5" x14ac:dyDescent="0.55000000000000004">
      <c r="A2609" t="str">
        <f>TEST_DATA!A2609</f>
        <v>27AAAAA2609Z5</v>
      </c>
      <c r="B2609" t="str">
        <f>TEST_DATA!B2609</f>
        <v>May-2020</v>
      </c>
      <c r="C2609">
        <f>TEST_DATA!C2609</f>
        <v>44219</v>
      </c>
      <c r="D2609" t="str">
        <f>TEST_DATA!D2609</f>
        <v>NIL</v>
      </c>
      <c r="E2609">
        <f>TEST_DATA!E2609</f>
        <v>2218</v>
      </c>
    </row>
    <row r="2610" spans="1:5" x14ac:dyDescent="0.55000000000000004">
      <c r="A2610" t="str">
        <f>TEST_DATA!A2610</f>
        <v>27AAAAA2610Z5</v>
      </c>
      <c r="B2610" t="str">
        <f>TEST_DATA!B2610</f>
        <v>Jul-2018</v>
      </c>
      <c r="C2610">
        <f>TEST_DATA!C2610</f>
        <v>43793</v>
      </c>
      <c r="D2610" t="str">
        <f>TEST_DATA!D2610</f>
        <v>NIL</v>
      </c>
      <c r="E2610">
        <f>TEST_DATA!E2610</f>
        <v>951</v>
      </c>
    </row>
    <row r="2611" spans="1:5" x14ac:dyDescent="0.55000000000000004">
      <c r="A2611" t="str">
        <f>TEST_DATA!A2611</f>
        <v>27AAAAA2611Z5</v>
      </c>
      <c r="B2611" t="str">
        <f>TEST_DATA!B2611</f>
        <v>Jan-2018</v>
      </c>
      <c r="C2611">
        <f>TEST_DATA!C2611</f>
        <v>43133</v>
      </c>
      <c r="D2611" t="str">
        <f>TEST_DATA!D2611</f>
        <v>NON-NIL</v>
      </c>
      <c r="E2611">
        <f>TEST_DATA!E2611</f>
        <v>1324</v>
      </c>
    </row>
    <row r="2612" spans="1:5" x14ac:dyDescent="0.55000000000000004">
      <c r="A2612" t="str">
        <f>TEST_DATA!A2612</f>
        <v>27AAAAA2612Z5</v>
      </c>
      <c r="B2612" t="str">
        <f>TEST_DATA!B2612</f>
        <v>Dec-2017</v>
      </c>
      <c r="C2612">
        <f>TEST_DATA!C2612</f>
        <v>42947</v>
      </c>
      <c r="D2612" t="str">
        <f>TEST_DATA!D2612</f>
        <v>NON-NIL</v>
      </c>
      <c r="E2612">
        <f>TEST_DATA!E2612</f>
        <v>2678</v>
      </c>
    </row>
    <row r="2613" spans="1:5" x14ac:dyDescent="0.55000000000000004">
      <c r="A2613" t="str">
        <f>TEST_DATA!A2613</f>
        <v>27AAAAA2613Z5</v>
      </c>
      <c r="B2613" t="str">
        <f>TEST_DATA!B2613</f>
        <v>May-2018</v>
      </c>
      <c r="C2613">
        <f>TEST_DATA!C2613</f>
        <v>42941</v>
      </c>
      <c r="D2613" t="str">
        <f>TEST_DATA!D2613</f>
        <v>NON-NIL</v>
      </c>
      <c r="E2613">
        <f>TEST_DATA!E2613</f>
        <v>871</v>
      </c>
    </row>
    <row r="2614" spans="1:5" x14ac:dyDescent="0.55000000000000004">
      <c r="A2614" t="str">
        <f>TEST_DATA!A2614</f>
        <v>27AAAAA2614Z5</v>
      </c>
      <c r="B2614" t="str">
        <f>TEST_DATA!B2614</f>
        <v>Sep-2018</v>
      </c>
      <c r="C2614">
        <f>TEST_DATA!C2614</f>
        <v>43367</v>
      </c>
      <c r="D2614" t="str">
        <f>TEST_DATA!D2614</f>
        <v>NIL</v>
      </c>
      <c r="E2614">
        <f>TEST_DATA!E2614</f>
        <v>2695</v>
      </c>
    </row>
    <row r="2615" spans="1:5" x14ac:dyDescent="0.55000000000000004">
      <c r="A2615" t="str">
        <f>TEST_DATA!A2615</f>
        <v>27AAAAA2615Z5</v>
      </c>
      <c r="B2615" t="str">
        <f>TEST_DATA!B2615</f>
        <v>Dec-2022</v>
      </c>
      <c r="C2615">
        <f>TEST_DATA!C2615</f>
        <v>44606</v>
      </c>
      <c r="D2615" t="str">
        <f>TEST_DATA!D2615</f>
        <v>NON-NIL</v>
      </c>
      <c r="E2615">
        <f>TEST_DATA!E2615</f>
        <v>179</v>
      </c>
    </row>
    <row r="2616" spans="1:5" x14ac:dyDescent="0.55000000000000004">
      <c r="A2616" t="str">
        <f>TEST_DATA!A2616</f>
        <v>27AAAAA2616Z5</v>
      </c>
      <c r="B2616" t="str">
        <f>TEST_DATA!B2616</f>
        <v>Sep-2017</v>
      </c>
      <c r="C2616">
        <f>TEST_DATA!C2616</f>
        <v>43364</v>
      </c>
      <c r="D2616" t="str">
        <f>TEST_DATA!D2616</f>
        <v>NON-NIL</v>
      </c>
      <c r="E2616">
        <f>TEST_DATA!E2616</f>
        <v>1235</v>
      </c>
    </row>
    <row r="2617" spans="1:5" x14ac:dyDescent="0.55000000000000004">
      <c r="A2617" t="str">
        <f>TEST_DATA!A2617</f>
        <v>27AAAAA2617Z5</v>
      </c>
      <c r="B2617" t="str">
        <f>TEST_DATA!B2617</f>
        <v>Mar-2021</v>
      </c>
      <c r="C2617">
        <f>TEST_DATA!C2617</f>
        <v>45512</v>
      </c>
      <c r="D2617" t="str">
        <f>TEST_DATA!D2617</f>
        <v>NIL</v>
      </c>
      <c r="E2617">
        <f>TEST_DATA!E2617</f>
        <v>2918</v>
      </c>
    </row>
    <row r="2618" spans="1:5" x14ac:dyDescent="0.55000000000000004">
      <c r="A2618" t="str">
        <f>TEST_DATA!A2618</f>
        <v>27AAAAA2618Z5</v>
      </c>
      <c r="B2618" t="str">
        <f>TEST_DATA!B2618</f>
        <v>Dec-2019</v>
      </c>
      <c r="C2618">
        <f>TEST_DATA!C2618</f>
        <v>45797</v>
      </c>
      <c r="D2618" t="str">
        <f>TEST_DATA!D2618</f>
        <v>NIL</v>
      </c>
      <c r="E2618">
        <f>TEST_DATA!E2618</f>
        <v>1031</v>
      </c>
    </row>
    <row r="2619" spans="1:5" x14ac:dyDescent="0.55000000000000004">
      <c r="A2619" t="str">
        <f>TEST_DATA!A2619</f>
        <v>27AAAAA2619Z5</v>
      </c>
      <c r="B2619" t="str">
        <f>TEST_DATA!B2619</f>
        <v>Oct-2017</v>
      </c>
      <c r="C2619">
        <f>TEST_DATA!C2619</f>
        <v>44145</v>
      </c>
      <c r="D2619" t="str">
        <f>TEST_DATA!D2619</f>
        <v>NON-NIL</v>
      </c>
      <c r="E2619">
        <f>TEST_DATA!E2619</f>
        <v>2584</v>
      </c>
    </row>
    <row r="2620" spans="1:5" x14ac:dyDescent="0.55000000000000004">
      <c r="A2620" t="str">
        <f>TEST_DATA!A2620</f>
        <v>27AAAAA2620Z5</v>
      </c>
      <c r="B2620" t="str">
        <f>TEST_DATA!B2620</f>
        <v>Jul-2020</v>
      </c>
      <c r="C2620">
        <f>TEST_DATA!C2620</f>
        <v>44626</v>
      </c>
      <c r="D2620" t="str">
        <f>TEST_DATA!D2620</f>
        <v>NIL</v>
      </c>
      <c r="E2620">
        <f>TEST_DATA!E2620</f>
        <v>1360</v>
      </c>
    </row>
    <row r="2621" spans="1:5" x14ac:dyDescent="0.55000000000000004">
      <c r="A2621" t="str">
        <f>TEST_DATA!A2621</f>
        <v>27AAAAA2621Z5</v>
      </c>
      <c r="B2621" t="str">
        <f>TEST_DATA!B2621</f>
        <v>Dec-2017</v>
      </c>
      <c r="C2621">
        <f>TEST_DATA!C2621</f>
        <v>44218</v>
      </c>
      <c r="D2621" t="str">
        <f>TEST_DATA!D2621</f>
        <v>NON-NIL</v>
      </c>
      <c r="E2621">
        <f>TEST_DATA!E2621</f>
        <v>2729</v>
      </c>
    </row>
    <row r="2622" spans="1:5" x14ac:dyDescent="0.55000000000000004">
      <c r="A2622" t="str">
        <f>TEST_DATA!A2622</f>
        <v>27AAAAA2622Z5</v>
      </c>
      <c r="B2622" t="str">
        <f>TEST_DATA!B2622</f>
        <v>Jan-2019</v>
      </c>
      <c r="C2622">
        <f>TEST_DATA!C2622</f>
        <v>43742</v>
      </c>
      <c r="D2622" t="str">
        <f>TEST_DATA!D2622</f>
        <v>NON-NIL</v>
      </c>
      <c r="E2622">
        <f>TEST_DATA!E2622</f>
        <v>72</v>
      </c>
    </row>
    <row r="2623" spans="1:5" x14ac:dyDescent="0.55000000000000004">
      <c r="A2623" t="str">
        <f>TEST_DATA!A2623</f>
        <v>27AAAAA2623Z5</v>
      </c>
      <c r="B2623" t="str">
        <f>TEST_DATA!B2623</f>
        <v>Apr-2020</v>
      </c>
      <c r="C2623">
        <f>TEST_DATA!C2623</f>
        <v>44750</v>
      </c>
      <c r="D2623" t="str">
        <f>TEST_DATA!D2623</f>
        <v>NON-NIL</v>
      </c>
      <c r="E2623">
        <f>TEST_DATA!E2623</f>
        <v>2093</v>
      </c>
    </row>
    <row r="2624" spans="1:5" x14ac:dyDescent="0.55000000000000004">
      <c r="A2624" t="str">
        <f>TEST_DATA!A2624</f>
        <v>27AAAAA2624Z5</v>
      </c>
      <c r="B2624" t="str">
        <f>TEST_DATA!B2624</f>
        <v>May-2020</v>
      </c>
      <c r="C2624">
        <f>TEST_DATA!C2624</f>
        <v>44307</v>
      </c>
      <c r="D2624" t="str">
        <f>TEST_DATA!D2624</f>
        <v>NIL</v>
      </c>
      <c r="E2624">
        <f>TEST_DATA!E2624</f>
        <v>952</v>
      </c>
    </row>
    <row r="2625" spans="1:5" x14ac:dyDescent="0.55000000000000004">
      <c r="A2625" t="str">
        <f>TEST_DATA!A2625</f>
        <v>27AAAAA2625Z5</v>
      </c>
      <c r="B2625" t="str">
        <f>TEST_DATA!B2625</f>
        <v>Jul-2017</v>
      </c>
      <c r="C2625">
        <f>TEST_DATA!C2625</f>
        <v>44179</v>
      </c>
      <c r="D2625" t="str">
        <f>TEST_DATA!D2625</f>
        <v>NIL</v>
      </c>
      <c r="E2625">
        <f>TEST_DATA!E2625</f>
        <v>1265</v>
      </c>
    </row>
    <row r="2626" spans="1:5" x14ac:dyDescent="0.55000000000000004">
      <c r="A2626" t="str">
        <f>TEST_DATA!A2626</f>
        <v>27AAAAA2626Z5</v>
      </c>
      <c r="B2626" t="str">
        <f>TEST_DATA!B2626</f>
        <v>Feb-2018</v>
      </c>
      <c r="C2626">
        <f>TEST_DATA!C2626</f>
        <v>44428</v>
      </c>
      <c r="D2626" t="str">
        <f>TEST_DATA!D2626</f>
        <v>NON-NIL</v>
      </c>
      <c r="E2626">
        <f>TEST_DATA!E2626</f>
        <v>997</v>
      </c>
    </row>
    <row r="2627" spans="1:5" x14ac:dyDescent="0.55000000000000004">
      <c r="A2627" t="str">
        <f>TEST_DATA!A2627</f>
        <v>27AAAAA2627Z5</v>
      </c>
      <c r="B2627" t="str">
        <f>TEST_DATA!B2627</f>
        <v>Apr-2020</v>
      </c>
      <c r="C2627">
        <f>TEST_DATA!C2627</f>
        <v>43993</v>
      </c>
      <c r="D2627" t="str">
        <f>TEST_DATA!D2627</f>
        <v>NIL</v>
      </c>
      <c r="E2627">
        <f>TEST_DATA!E2627</f>
        <v>563</v>
      </c>
    </row>
    <row r="2628" spans="1:5" x14ac:dyDescent="0.55000000000000004">
      <c r="A2628" t="str">
        <f>TEST_DATA!A2628</f>
        <v>27AAAAA2628Z5</v>
      </c>
      <c r="B2628" t="str">
        <f>TEST_DATA!B2628</f>
        <v>Jun-2018</v>
      </c>
      <c r="C2628">
        <f>TEST_DATA!C2628</f>
        <v>43938</v>
      </c>
      <c r="D2628" t="str">
        <f>TEST_DATA!D2628</f>
        <v>NON-NIL</v>
      </c>
      <c r="E2628">
        <f>TEST_DATA!E2628</f>
        <v>827</v>
      </c>
    </row>
    <row r="2629" spans="1:5" x14ac:dyDescent="0.55000000000000004">
      <c r="A2629" t="str">
        <f>TEST_DATA!A2629</f>
        <v>27AAAAA2629Z5</v>
      </c>
      <c r="B2629" t="str">
        <f>TEST_DATA!B2629</f>
        <v>Nov-2017</v>
      </c>
      <c r="C2629">
        <f>TEST_DATA!C2629</f>
        <v>43686</v>
      </c>
      <c r="D2629" t="str">
        <f>TEST_DATA!D2629</f>
        <v>NIL</v>
      </c>
      <c r="E2629">
        <f>TEST_DATA!E2629</f>
        <v>2629</v>
      </c>
    </row>
    <row r="2630" spans="1:5" x14ac:dyDescent="0.55000000000000004">
      <c r="A2630" t="str">
        <f>TEST_DATA!A2630</f>
        <v>27AAAAA2630Z5</v>
      </c>
      <c r="B2630" t="str">
        <f>TEST_DATA!B2630</f>
        <v>Aug-2017</v>
      </c>
      <c r="C2630">
        <f>TEST_DATA!C2630</f>
        <v>43404</v>
      </c>
      <c r="D2630" t="str">
        <f>TEST_DATA!D2630</f>
        <v>NON-NIL</v>
      </c>
      <c r="E2630">
        <f>TEST_DATA!E2630</f>
        <v>1346</v>
      </c>
    </row>
    <row r="2631" spans="1:5" x14ac:dyDescent="0.55000000000000004">
      <c r="A2631" t="str">
        <f>TEST_DATA!A2631</f>
        <v>27AAAAA2631Z5</v>
      </c>
      <c r="B2631" t="str">
        <f>TEST_DATA!B2631</f>
        <v>Nov-2017</v>
      </c>
      <c r="C2631">
        <f>TEST_DATA!C2631</f>
        <v>43486</v>
      </c>
      <c r="D2631" t="str">
        <f>TEST_DATA!D2631</f>
        <v>NON-NIL</v>
      </c>
      <c r="E2631">
        <f>TEST_DATA!E2631</f>
        <v>2636</v>
      </c>
    </row>
    <row r="2632" spans="1:5" x14ac:dyDescent="0.55000000000000004">
      <c r="A2632" t="str">
        <f>TEST_DATA!A2632</f>
        <v>27AAAAA2632Z5</v>
      </c>
      <c r="B2632" t="str">
        <f>TEST_DATA!B2632</f>
        <v>Apr-2021</v>
      </c>
      <c r="C2632">
        <f>TEST_DATA!C2632</f>
        <v>43628</v>
      </c>
      <c r="D2632" t="str">
        <f>TEST_DATA!D2632</f>
        <v>NON-NIL</v>
      </c>
      <c r="E2632">
        <f>TEST_DATA!E2632</f>
        <v>2654</v>
      </c>
    </row>
    <row r="2633" spans="1:5" x14ac:dyDescent="0.55000000000000004">
      <c r="A2633" t="str">
        <f>TEST_DATA!A2633</f>
        <v>27AAAAA2633Z5</v>
      </c>
      <c r="B2633" t="str">
        <f>TEST_DATA!B2633</f>
        <v>Dec-2022</v>
      </c>
      <c r="C2633">
        <f>TEST_DATA!C2633</f>
        <v>44647</v>
      </c>
      <c r="D2633" t="str">
        <f>TEST_DATA!D2633</f>
        <v>NIL</v>
      </c>
      <c r="E2633">
        <f>TEST_DATA!E2633</f>
        <v>938</v>
      </c>
    </row>
    <row r="2634" spans="1:5" x14ac:dyDescent="0.55000000000000004">
      <c r="A2634" t="str">
        <f>TEST_DATA!A2634</f>
        <v>27AAAAA2634Z5</v>
      </c>
      <c r="B2634" t="str">
        <f>TEST_DATA!B2634</f>
        <v>Mar-2023</v>
      </c>
      <c r="C2634">
        <f>TEST_DATA!C2634</f>
        <v>44822</v>
      </c>
      <c r="D2634" t="str">
        <f>TEST_DATA!D2634</f>
        <v>NON-NIL</v>
      </c>
      <c r="E2634">
        <f>TEST_DATA!E2634</f>
        <v>992</v>
      </c>
    </row>
    <row r="2635" spans="1:5" x14ac:dyDescent="0.55000000000000004">
      <c r="A2635" t="str">
        <f>TEST_DATA!A2635</f>
        <v>27AAAAA2635Z5</v>
      </c>
      <c r="B2635" t="str">
        <f>TEST_DATA!B2635</f>
        <v>Jan-2018</v>
      </c>
      <c r="C2635">
        <f>TEST_DATA!C2635</f>
        <v>44021</v>
      </c>
      <c r="D2635" t="str">
        <f>TEST_DATA!D2635</f>
        <v>NIL</v>
      </c>
      <c r="E2635">
        <f>TEST_DATA!E2635</f>
        <v>2723</v>
      </c>
    </row>
    <row r="2636" spans="1:5" x14ac:dyDescent="0.55000000000000004">
      <c r="A2636" t="str">
        <f>TEST_DATA!A2636</f>
        <v>27AAAAA2636Z5</v>
      </c>
      <c r="B2636" t="str">
        <f>TEST_DATA!B2636</f>
        <v>Feb-2018</v>
      </c>
      <c r="C2636">
        <f>TEST_DATA!C2636</f>
        <v>44558</v>
      </c>
      <c r="D2636" t="str">
        <f>TEST_DATA!D2636</f>
        <v>NIL</v>
      </c>
      <c r="E2636">
        <f>TEST_DATA!E2636</f>
        <v>2490</v>
      </c>
    </row>
    <row r="2637" spans="1:5" x14ac:dyDescent="0.55000000000000004">
      <c r="A2637" t="str">
        <f>TEST_DATA!A2637</f>
        <v>27AAAAA2637Z5</v>
      </c>
      <c r="B2637" t="str">
        <f>TEST_DATA!B2637</f>
        <v>Mar-2023</v>
      </c>
      <c r="C2637">
        <f>TEST_DATA!C2637</f>
        <v>45028</v>
      </c>
      <c r="D2637" t="str">
        <f>TEST_DATA!D2637</f>
        <v>NON-NIL</v>
      </c>
      <c r="E2637">
        <f>TEST_DATA!E2637</f>
        <v>751</v>
      </c>
    </row>
    <row r="2638" spans="1:5" x14ac:dyDescent="0.55000000000000004">
      <c r="A2638" t="str">
        <f>TEST_DATA!A2638</f>
        <v>27AAAAA2638Z5</v>
      </c>
      <c r="B2638" t="str">
        <f>TEST_DATA!B2638</f>
        <v>Sep-2018</v>
      </c>
      <c r="C2638">
        <f>TEST_DATA!C2638</f>
        <v>44206</v>
      </c>
      <c r="D2638" t="str">
        <f>TEST_DATA!D2638</f>
        <v>NIL</v>
      </c>
      <c r="E2638">
        <f>TEST_DATA!E2638</f>
        <v>264</v>
      </c>
    </row>
    <row r="2639" spans="1:5" x14ac:dyDescent="0.55000000000000004">
      <c r="A2639" t="str">
        <f>TEST_DATA!A2639</f>
        <v>27AAAAA2639Z5</v>
      </c>
      <c r="B2639" t="str">
        <f>TEST_DATA!B2639</f>
        <v>Mar-2023</v>
      </c>
      <c r="C2639">
        <f>TEST_DATA!C2639</f>
        <v>45479</v>
      </c>
      <c r="D2639" t="str">
        <f>TEST_DATA!D2639</f>
        <v>NIL</v>
      </c>
      <c r="E2639">
        <f>TEST_DATA!E2639</f>
        <v>788</v>
      </c>
    </row>
    <row r="2640" spans="1:5" x14ac:dyDescent="0.55000000000000004">
      <c r="A2640" t="str">
        <f>TEST_DATA!A2640</f>
        <v>27AAAAA2640Z5</v>
      </c>
      <c r="B2640" t="str">
        <f>TEST_DATA!B2640</f>
        <v>Aug-2017</v>
      </c>
      <c r="C2640">
        <f>TEST_DATA!C2640</f>
        <v>44216</v>
      </c>
      <c r="D2640" t="str">
        <f>TEST_DATA!D2640</f>
        <v>NIL</v>
      </c>
      <c r="E2640">
        <f>TEST_DATA!E2640</f>
        <v>836</v>
      </c>
    </row>
    <row r="2641" spans="1:5" x14ac:dyDescent="0.55000000000000004">
      <c r="A2641" t="str">
        <f>TEST_DATA!A2641</f>
        <v>27AAAAA2641Z5</v>
      </c>
      <c r="B2641" t="str">
        <f>TEST_DATA!B2641</f>
        <v>Nov-2017</v>
      </c>
      <c r="C2641">
        <f>TEST_DATA!C2641</f>
        <v>43104</v>
      </c>
      <c r="D2641" t="str">
        <f>TEST_DATA!D2641</f>
        <v>NIL</v>
      </c>
      <c r="E2641">
        <f>TEST_DATA!E2641</f>
        <v>2427</v>
      </c>
    </row>
    <row r="2642" spans="1:5" x14ac:dyDescent="0.55000000000000004">
      <c r="A2642" t="str">
        <f>TEST_DATA!A2642</f>
        <v>27AAAAA2642Z5</v>
      </c>
      <c r="B2642" t="str">
        <f>TEST_DATA!B2642</f>
        <v>Dec-2019</v>
      </c>
      <c r="C2642">
        <f>TEST_DATA!C2642</f>
        <v>44303</v>
      </c>
      <c r="D2642" t="str">
        <f>TEST_DATA!D2642</f>
        <v>NIL</v>
      </c>
      <c r="E2642">
        <f>TEST_DATA!E2642</f>
        <v>2078</v>
      </c>
    </row>
    <row r="2643" spans="1:5" x14ac:dyDescent="0.55000000000000004">
      <c r="A2643" t="str">
        <f>TEST_DATA!A2643</f>
        <v>27AAAAA2643Z5</v>
      </c>
      <c r="B2643" t="str">
        <f>TEST_DATA!B2643</f>
        <v>Sep-2017</v>
      </c>
      <c r="C2643">
        <f>TEST_DATA!C2643</f>
        <v>43789</v>
      </c>
      <c r="D2643" t="str">
        <f>TEST_DATA!D2643</f>
        <v>NON-NIL</v>
      </c>
      <c r="E2643">
        <f>TEST_DATA!E2643</f>
        <v>1275</v>
      </c>
    </row>
    <row r="2644" spans="1:5" x14ac:dyDescent="0.55000000000000004">
      <c r="A2644" t="str">
        <f>TEST_DATA!A2644</f>
        <v>27AAAAA2644Z5</v>
      </c>
      <c r="B2644" t="str">
        <f>TEST_DATA!B2644</f>
        <v>Dec-2017</v>
      </c>
      <c r="C2644">
        <f>TEST_DATA!C2644</f>
        <v>44394</v>
      </c>
      <c r="D2644" t="str">
        <f>TEST_DATA!D2644</f>
        <v>NIL</v>
      </c>
      <c r="E2644">
        <f>TEST_DATA!E2644</f>
        <v>1003</v>
      </c>
    </row>
    <row r="2645" spans="1:5" x14ac:dyDescent="0.55000000000000004">
      <c r="A2645" t="str">
        <f>TEST_DATA!A2645</f>
        <v>27AAAAA2645Z5</v>
      </c>
      <c r="B2645" t="str">
        <f>TEST_DATA!B2645</f>
        <v>Aug-2018</v>
      </c>
      <c r="C2645">
        <f>TEST_DATA!C2645</f>
        <v>43278</v>
      </c>
      <c r="D2645" t="str">
        <f>TEST_DATA!D2645</f>
        <v>NIL</v>
      </c>
      <c r="E2645">
        <f>TEST_DATA!E2645</f>
        <v>1241</v>
      </c>
    </row>
    <row r="2646" spans="1:5" x14ac:dyDescent="0.55000000000000004">
      <c r="A2646" t="str">
        <f>TEST_DATA!A2646</f>
        <v>27AAAAA2646Z5</v>
      </c>
      <c r="B2646" t="str">
        <f>TEST_DATA!B2646</f>
        <v>Apr-2018</v>
      </c>
      <c r="C2646">
        <f>TEST_DATA!C2646</f>
        <v>44097</v>
      </c>
      <c r="D2646" t="str">
        <f>TEST_DATA!D2646</f>
        <v>NON-NIL</v>
      </c>
      <c r="E2646">
        <f>TEST_DATA!E2646</f>
        <v>2603</v>
      </c>
    </row>
    <row r="2647" spans="1:5" x14ac:dyDescent="0.55000000000000004">
      <c r="A2647" t="str">
        <f>TEST_DATA!A2647</f>
        <v>27AAAAA2647Z5</v>
      </c>
      <c r="B2647" t="str">
        <f>TEST_DATA!B2647</f>
        <v>Jan-2018</v>
      </c>
      <c r="C2647">
        <f>TEST_DATA!C2647</f>
        <v>43473</v>
      </c>
      <c r="D2647" t="str">
        <f>TEST_DATA!D2647</f>
        <v>NON-NIL</v>
      </c>
      <c r="E2647">
        <f>TEST_DATA!E2647</f>
        <v>327</v>
      </c>
    </row>
    <row r="2648" spans="1:5" x14ac:dyDescent="0.55000000000000004">
      <c r="A2648" t="str">
        <f>TEST_DATA!A2648</f>
        <v>27AAAAA2648Z5</v>
      </c>
      <c r="B2648" t="str">
        <f>TEST_DATA!B2648</f>
        <v>Jun-2018</v>
      </c>
      <c r="C2648">
        <f>TEST_DATA!C2648</f>
        <v>43732</v>
      </c>
      <c r="D2648" t="str">
        <f>TEST_DATA!D2648</f>
        <v>NON-NIL</v>
      </c>
      <c r="E2648">
        <f>TEST_DATA!E2648</f>
        <v>687</v>
      </c>
    </row>
    <row r="2649" spans="1:5" x14ac:dyDescent="0.55000000000000004">
      <c r="A2649" t="str">
        <f>TEST_DATA!A2649</f>
        <v>27AAAAA2649Z5</v>
      </c>
      <c r="B2649" t="str">
        <f>TEST_DATA!B2649</f>
        <v>Jan-2019</v>
      </c>
      <c r="C2649">
        <f>TEST_DATA!C2649</f>
        <v>45273</v>
      </c>
      <c r="D2649" t="str">
        <f>TEST_DATA!D2649</f>
        <v>NON-NIL</v>
      </c>
      <c r="E2649">
        <f>TEST_DATA!E2649</f>
        <v>2069</v>
      </c>
    </row>
    <row r="2650" spans="1:5" x14ac:dyDescent="0.55000000000000004">
      <c r="A2650" t="str">
        <f>TEST_DATA!A2650</f>
        <v>27AAAAA2650Z5</v>
      </c>
      <c r="B2650" t="str">
        <f>TEST_DATA!B2650</f>
        <v>Apr-2020</v>
      </c>
      <c r="C2650">
        <f>TEST_DATA!C2650</f>
        <v>44718</v>
      </c>
      <c r="D2650" t="str">
        <f>TEST_DATA!D2650</f>
        <v>NIL</v>
      </c>
      <c r="E2650">
        <f>TEST_DATA!E2650</f>
        <v>1974</v>
      </c>
    </row>
    <row r="2651" spans="1:5" x14ac:dyDescent="0.55000000000000004">
      <c r="A2651" t="str">
        <f>TEST_DATA!A2651</f>
        <v>27AAAAA2651Z5</v>
      </c>
      <c r="B2651" t="str">
        <f>TEST_DATA!B2651</f>
        <v>Jul-2017</v>
      </c>
      <c r="C2651">
        <f>TEST_DATA!C2651</f>
        <v>44477</v>
      </c>
      <c r="D2651" t="str">
        <f>TEST_DATA!D2651</f>
        <v>NON-NIL</v>
      </c>
      <c r="E2651">
        <f>TEST_DATA!E2651</f>
        <v>1750</v>
      </c>
    </row>
    <row r="2652" spans="1:5" x14ac:dyDescent="0.55000000000000004">
      <c r="A2652" t="str">
        <f>TEST_DATA!A2652</f>
        <v>27AAAAA2652Z5</v>
      </c>
      <c r="B2652" t="str">
        <f>TEST_DATA!B2652</f>
        <v>Mar-2023</v>
      </c>
      <c r="C2652">
        <f>TEST_DATA!C2652</f>
        <v>43806</v>
      </c>
      <c r="D2652" t="str">
        <f>TEST_DATA!D2652</f>
        <v>NON-NIL</v>
      </c>
      <c r="E2652">
        <f>TEST_DATA!E2652</f>
        <v>2437</v>
      </c>
    </row>
    <row r="2653" spans="1:5" x14ac:dyDescent="0.55000000000000004">
      <c r="A2653" t="str">
        <f>TEST_DATA!A2653</f>
        <v>27AAAAA2653Z5</v>
      </c>
      <c r="B2653" t="str">
        <f>TEST_DATA!B2653</f>
        <v>Dec-2019</v>
      </c>
      <c r="C2653">
        <f>TEST_DATA!C2653</f>
        <v>44091</v>
      </c>
      <c r="D2653" t="str">
        <f>TEST_DATA!D2653</f>
        <v>NIL</v>
      </c>
      <c r="E2653">
        <f>TEST_DATA!E2653</f>
        <v>1053</v>
      </c>
    </row>
    <row r="2654" spans="1:5" x14ac:dyDescent="0.55000000000000004">
      <c r="A2654" t="str">
        <f>TEST_DATA!A2654</f>
        <v>27AAAAA2654Z5</v>
      </c>
      <c r="B2654" t="str">
        <f>TEST_DATA!B2654</f>
        <v>Jul-2018</v>
      </c>
      <c r="C2654">
        <f>TEST_DATA!C2654</f>
        <v>43866</v>
      </c>
      <c r="D2654" t="str">
        <f>TEST_DATA!D2654</f>
        <v>NON-NIL</v>
      </c>
      <c r="E2654">
        <f>TEST_DATA!E2654</f>
        <v>1857</v>
      </c>
    </row>
    <row r="2655" spans="1:5" x14ac:dyDescent="0.55000000000000004">
      <c r="A2655" t="str">
        <f>TEST_DATA!A2655</f>
        <v>27AAAAA2655Z5</v>
      </c>
      <c r="B2655" t="str">
        <f>TEST_DATA!B2655</f>
        <v>Apr-2018</v>
      </c>
      <c r="C2655">
        <f>TEST_DATA!C2655</f>
        <v>43685</v>
      </c>
      <c r="D2655" t="str">
        <f>TEST_DATA!D2655</f>
        <v>NON-NIL</v>
      </c>
      <c r="E2655">
        <f>TEST_DATA!E2655</f>
        <v>294</v>
      </c>
    </row>
    <row r="2656" spans="1:5" x14ac:dyDescent="0.55000000000000004">
      <c r="A2656" t="str">
        <f>TEST_DATA!A2656</f>
        <v>27AAAAA2656Z5</v>
      </c>
      <c r="B2656" t="str">
        <f>TEST_DATA!B2656</f>
        <v>May-2018</v>
      </c>
      <c r="C2656">
        <f>TEST_DATA!C2656</f>
        <v>43196</v>
      </c>
      <c r="D2656" t="str">
        <f>TEST_DATA!D2656</f>
        <v>NON-NIL</v>
      </c>
      <c r="E2656">
        <f>TEST_DATA!E2656</f>
        <v>801</v>
      </c>
    </row>
    <row r="2657" spans="1:5" x14ac:dyDescent="0.55000000000000004">
      <c r="A2657" t="str">
        <f>TEST_DATA!A2657</f>
        <v>27AAAAA2657Z5</v>
      </c>
      <c r="B2657" t="str">
        <f>TEST_DATA!B2657</f>
        <v>Nov-2017</v>
      </c>
      <c r="C2657">
        <f>TEST_DATA!C2657</f>
        <v>43305</v>
      </c>
      <c r="D2657" t="str">
        <f>TEST_DATA!D2657</f>
        <v>NIL</v>
      </c>
      <c r="E2657">
        <f>TEST_DATA!E2657</f>
        <v>52</v>
      </c>
    </row>
    <row r="2658" spans="1:5" x14ac:dyDescent="0.55000000000000004">
      <c r="A2658" t="str">
        <f>TEST_DATA!A2658</f>
        <v>27AAAAA2658Z5</v>
      </c>
      <c r="B2658" t="str">
        <f>TEST_DATA!B2658</f>
        <v>Mar-2023</v>
      </c>
      <c r="C2658">
        <f>TEST_DATA!C2658</f>
        <v>45516</v>
      </c>
      <c r="D2658" t="str">
        <f>TEST_DATA!D2658</f>
        <v>NON-NIL</v>
      </c>
      <c r="E2658">
        <f>TEST_DATA!E2658</f>
        <v>2012</v>
      </c>
    </row>
    <row r="2659" spans="1:5" x14ac:dyDescent="0.55000000000000004">
      <c r="A2659" t="str">
        <f>TEST_DATA!A2659</f>
        <v>27AAAAA2659Z5</v>
      </c>
      <c r="B2659" t="str">
        <f>TEST_DATA!B2659</f>
        <v>Jul-2018</v>
      </c>
      <c r="C2659">
        <f>TEST_DATA!C2659</f>
        <v>43768</v>
      </c>
      <c r="D2659" t="str">
        <f>TEST_DATA!D2659</f>
        <v>NON-NIL</v>
      </c>
      <c r="E2659">
        <f>TEST_DATA!E2659</f>
        <v>1528</v>
      </c>
    </row>
    <row r="2660" spans="1:5" x14ac:dyDescent="0.55000000000000004">
      <c r="A2660" t="str">
        <f>TEST_DATA!A2660</f>
        <v>27AAAAA2660Z5</v>
      </c>
      <c r="B2660" t="str">
        <f>TEST_DATA!B2660</f>
        <v>Jul-2018</v>
      </c>
      <c r="C2660">
        <f>TEST_DATA!C2660</f>
        <v>43919</v>
      </c>
      <c r="D2660" t="str">
        <f>TEST_DATA!D2660</f>
        <v>NON-NIL</v>
      </c>
      <c r="E2660">
        <f>TEST_DATA!E2660</f>
        <v>2625</v>
      </c>
    </row>
    <row r="2661" spans="1:5" x14ac:dyDescent="0.55000000000000004">
      <c r="A2661" t="str">
        <f>TEST_DATA!A2661</f>
        <v>27AAAAA2661Z5</v>
      </c>
      <c r="B2661" t="str">
        <f>TEST_DATA!B2661</f>
        <v>Mar-2020</v>
      </c>
      <c r="C2661">
        <f>TEST_DATA!C2661</f>
        <v>43976</v>
      </c>
      <c r="D2661" t="str">
        <f>TEST_DATA!D2661</f>
        <v>NON-NIL</v>
      </c>
      <c r="E2661">
        <f>TEST_DATA!E2661</f>
        <v>159</v>
      </c>
    </row>
    <row r="2662" spans="1:5" x14ac:dyDescent="0.55000000000000004">
      <c r="A2662" t="str">
        <f>TEST_DATA!A2662</f>
        <v>27AAAAA2662Z5</v>
      </c>
      <c r="B2662" t="str">
        <f>TEST_DATA!B2662</f>
        <v>Oct-2017</v>
      </c>
      <c r="C2662">
        <f>TEST_DATA!C2662</f>
        <v>43705</v>
      </c>
      <c r="D2662" t="str">
        <f>TEST_DATA!D2662</f>
        <v>NIL</v>
      </c>
      <c r="E2662">
        <f>TEST_DATA!E2662</f>
        <v>795</v>
      </c>
    </row>
    <row r="2663" spans="1:5" x14ac:dyDescent="0.55000000000000004">
      <c r="A2663" t="str">
        <f>TEST_DATA!A2663</f>
        <v>27AAAAA2663Z5</v>
      </c>
      <c r="B2663" t="str">
        <f>TEST_DATA!B2663</f>
        <v>Mar-2021</v>
      </c>
      <c r="C2663">
        <f>TEST_DATA!C2663</f>
        <v>45253</v>
      </c>
      <c r="D2663" t="str">
        <f>TEST_DATA!D2663</f>
        <v>NON-NIL</v>
      </c>
      <c r="E2663">
        <f>TEST_DATA!E2663</f>
        <v>2958</v>
      </c>
    </row>
    <row r="2664" spans="1:5" x14ac:dyDescent="0.55000000000000004">
      <c r="A2664" t="str">
        <f>TEST_DATA!A2664</f>
        <v>27AAAAA2664Z5</v>
      </c>
      <c r="B2664" t="str">
        <f>TEST_DATA!B2664</f>
        <v>Jun-2018</v>
      </c>
      <c r="C2664">
        <f>TEST_DATA!C2664</f>
        <v>43960</v>
      </c>
      <c r="D2664" t="str">
        <f>TEST_DATA!D2664</f>
        <v>NON-NIL</v>
      </c>
      <c r="E2664">
        <f>TEST_DATA!E2664</f>
        <v>2600</v>
      </c>
    </row>
    <row r="2665" spans="1:5" x14ac:dyDescent="0.55000000000000004">
      <c r="A2665" t="str">
        <f>TEST_DATA!A2665</f>
        <v>27AAAAA2665Z5</v>
      </c>
      <c r="B2665" t="str">
        <f>TEST_DATA!B2665</f>
        <v>Jul-2020</v>
      </c>
      <c r="C2665">
        <f>TEST_DATA!C2665</f>
        <v>44585</v>
      </c>
      <c r="D2665" t="str">
        <f>TEST_DATA!D2665</f>
        <v>NIL</v>
      </c>
      <c r="E2665">
        <f>TEST_DATA!E2665</f>
        <v>2666</v>
      </c>
    </row>
    <row r="2666" spans="1:5" x14ac:dyDescent="0.55000000000000004">
      <c r="A2666" t="str">
        <f>TEST_DATA!A2666</f>
        <v>27AAAAA2666Z5</v>
      </c>
      <c r="B2666" t="str">
        <f>TEST_DATA!B2666</f>
        <v>Jul-2018</v>
      </c>
      <c r="C2666">
        <f>TEST_DATA!C2666</f>
        <v>43785</v>
      </c>
      <c r="D2666" t="str">
        <f>TEST_DATA!D2666</f>
        <v>NIL</v>
      </c>
      <c r="E2666">
        <f>TEST_DATA!E2666</f>
        <v>992</v>
      </c>
    </row>
    <row r="2667" spans="1:5" x14ac:dyDescent="0.55000000000000004">
      <c r="A2667" t="str">
        <f>TEST_DATA!A2667</f>
        <v>27AAAAA2667Z5</v>
      </c>
      <c r="B2667" t="str">
        <f>TEST_DATA!B2667</f>
        <v>Jan-2019</v>
      </c>
      <c r="C2667">
        <f>TEST_DATA!C2667</f>
        <v>43607</v>
      </c>
      <c r="D2667" t="str">
        <f>TEST_DATA!D2667</f>
        <v>NON-NIL</v>
      </c>
      <c r="E2667">
        <f>TEST_DATA!E2667</f>
        <v>2584</v>
      </c>
    </row>
    <row r="2668" spans="1:5" x14ac:dyDescent="0.55000000000000004">
      <c r="A2668" t="str">
        <f>TEST_DATA!A2668</f>
        <v>27AAAAA2668Z5</v>
      </c>
      <c r="B2668" t="str">
        <f>TEST_DATA!B2668</f>
        <v>Jul-2020</v>
      </c>
      <c r="C2668">
        <f>TEST_DATA!C2668</f>
        <v>43888</v>
      </c>
      <c r="D2668" t="str">
        <f>TEST_DATA!D2668</f>
        <v>NIL</v>
      </c>
      <c r="E2668">
        <f>TEST_DATA!E2668</f>
        <v>1070</v>
      </c>
    </row>
    <row r="2669" spans="1:5" x14ac:dyDescent="0.55000000000000004">
      <c r="A2669" t="str">
        <f>TEST_DATA!A2669</f>
        <v>27AAAAA2669Z5</v>
      </c>
      <c r="B2669" t="str">
        <f>TEST_DATA!B2669</f>
        <v>Apr-2020</v>
      </c>
      <c r="C2669">
        <f>TEST_DATA!C2669</f>
        <v>44763</v>
      </c>
      <c r="D2669" t="str">
        <f>TEST_DATA!D2669</f>
        <v>NIL</v>
      </c>
      <c r="E2669">
        <f>TEST_DATA!E2669</f>
        <v>1041</v>
      </c>
    </row>
    <row r="2670" spans="1:5" x14ac:dyDescent="0.55000000000000004">
      <c r="A2670" t="str">
        <f>TEST_DATA!A2670</f>
        <v>27AAAAA2670Z5</v>
      </c>
      <c r="B2670" t="str">
        <f>TEST_DATA!B2670</f>
        <v>Feb-2018</v>
      </c>
      <c r="C2670">
        <f>TEST_DATA!C2670</f>
        <v>44150</v>
      </c>
      <c r="D2670" t="str">
        <f>TEST_DATA!D2670</f>
        <v>NIL</v>
      </c>
      <c r="E2670">
        <f>TEST_DATA!E2670</f>
        <v>50</v>
      </c>
    </row>
    <row r="2671" spans="1:5" x14ac:dyDescent="0.55000000000000004">
      <c r="A2671" t="str">
        <f>TEST_DATA!A2671</f>
        <v>27AAAAA2671Z5</v>
      </c>
      <c r="B2671" t="str">
        <f>TEST_DATA!B2671</f>
        <v>Oct-2017</v>
      </c>
      <c r="C2671">
        <f>TEST_DATA!C2671</f>
        <v>44495</v>
      </c>
      <c r="D2671" t="str">
        <f>TEST_DATA!D2671</f>
        <v>NIL</v>
      </c>
      <c r="E2671">
        <f>TEST_DATA!E2671</f>
        <v>2639</v>
      </c>
    </row>
    <row r="2672" spans="1:5" x14ac:dyDescent="0.55000000000000004">
      <c r="A2672" t="str">
        <f>TEST_DATA!A2672</f>
        <v>27AAAAA2672Z5</v>
      </c>
      <c r="B2672" t="str">
        <f>TEST_DATA!B2672</f>
        <v>Jul-2020</v>
      </c>
      <c r="C2672">
        <f>TEST_DATA!C2672</f>
        <v>44618</v>
      </c>
      <c r="D2672" t="str">
        <f>TEST_DATA!D2672</f>
        <v>NON-NIL</v>
      </c>
      <c r="E2672">
        <f>TEST_DATA!E2672</f>
        <v>2892</v>
      </c>
    </row>
    <row r="2673" spans="1:5" x14ac:dyDescent="0.55000000000000004">
      <c r="A2673" t="str">
        <f>TEST_DATA!A2673</f>
        <v>27AAAAA2673Z5</v>
      </c>
      <c r="B2673" t="str">
        <f>TEST_DATA!B2673</f>
        <v>Mar-2020</v>
      </c>
      <c r="C2673">
        <f>TEST_DATA!C2673</f>
        <v>43995</v>
      </c>
      <c r="D2673" t="str">
        <f>TEST_DATA!D2673</f>
        <v>NIL</v>
      </c>
      <c r="E2673">
        <f>TEST_DATA!E2673</f>
        <v>1732</v>
      </c>
    </row>
    <row r="2674" spans="1:5" x14ac:dyDescent="0.55000000000000004">
      <c r="A2674" t="str">
        <f>TEST_DATA!A2674</f>
        <v>27AAAAA2674Z5</v>
      </c>
      <c r="B2674" t="str">
        <f>TEST_DATA!B2674</f>
        <v>Dec-2017</v>
      </c>
      <c r="C2674">
        <f>TEST_DATA!C2674</f>
        <v>43791</v>
      </c>
      <c r="D2674" t="str">
        <f>TEST_DATA!D2674</f>
        <v>NON-NIL</v>
      </c>
      <c r="E2674">
        <f>TEST_DATA!E2674</f>
        <v>2833</v>
      </c>
    </row>
    <row r="2675" spans="1:5" x14ac:dyDescent="0.55000000000000004">
      <c r="A2675" t="str">
        <f>TEST_DATA!A2675</f>
        <v>27AAAAA2675Z5</v>
      </c>
      <c r="B2675" t="str">
        <f>TEST_DATA!B2675</f>
        <v>Apr-2018</v>
      </c>
      <c r="C2675">
        <f>TEST_DATA!C2675</f>
        <v>43942</v>
      </c>
      <c r="D2675" t="str">
        <f>TEST_DATA!D2675</f>
        <v>NON-NIL</v>
      </c>
      <c r="E2675">
        <f>TEST_DATA!E2675</f>
        <v>2400</v>
      </c>
    </row>
    <row r="2676" spans="1:5" x14ac:dyDescent="0.55000000000000004">
      <c r="A2676" t="str">
        <f>TEST_DATA!A2676</f>
        <v>27AAAAA2676Z5</v>
      </c>
      <c r="B2676" t="str">
        <f>TEST_DATA!B2676</f>
        <v>Apr-2018</v>
      </c>
      <c r="C2676">
        <f>TEST_DATA!C2676</f>
        <v>44420</v>
      </c>
      <c r="D2676" t="str">
        <f>TEST_DATA!D2676</f>
        <v>NON-NIL</v>
      </c>
      <c r="E2676">
        <f>TEST_DATA!E2676</f>
        <v>2980</v>
      </c>
    </row>
    <row r="2677" spans="1:5" x14ac:dyDescent="0.55000000000000004">
      <c r="A2677" t="str">
        <f>TEST_DATA!A2677</f>
        <v>27AAAAA2677Z5</v>
      </c>
      <c r="B2677" t="str">
        <f>TEST_DATA!B2677</f>
        <v>Mar-2023</v>
      </c>
      <c r="C2677">
        <f>TEST_DATA!C2677</f>
        <v>43830</v>
      </c>
      <c r="D2677" t="str">
        <f>TEST_DATA!D2677</f>
        <v>NIL</v>
      </c>
      <c r="E2677">
        <f>TEST_DATA!E2677</f>
        <v>2605</v>
      </c>
    </row>
    <row r="2678" spans="1:5" x14ac:dyDescent="0.55000000000000004">
      <c r="A2678" t="str">
        <f>TEST_DATA!A2678</f>
        <v>27AAAAA2678Z5</v>
      </c>
      <c r="B2678" t="str">
        <f>TEST_DATA!B2678</f>
        <v>Mar-2020</v>
      </c>
      <c r="C2678">
        <f>TEST_DATA!C2678</f>
        <v>44536</v>
      </c>
      <c r="D2678" t="str">
        <f>TEST_DATA!D2678</f>
        <v>NIL</v>
      </c>
      <c r="E2678">
        <f>TEST_DATA!E2678</f>
        <v>1101</v>
      </c>
    </row>
    <row r="2679" spans="1:5" x14ac:dyDescent="0.55000000000000004">
      <c r="A2679" t="str">
        <f>TEST_DATA!A2679</f>
        <v>27AAAAA2679Z5</v>
      </c>
      <c r="B2679" t="str">
        <f>TEST_DATA!B2679</f>
        <v>Jan-2021</v>
      </c>
      <c r="C2679">
        <f>TEST_DATA!C2679</f>
        <v>44324</v>
      </c>
      <c r="D2679" t="str">
        <f>TEST_DATA!D2679</f>
        <v>NON-NIL</v>
      </c>
      <c r="E2679">
        <f>TEST_DATA!E2679</f>
        <v>2863</v>
      </c>
    </row>
    <row r="2680" spans="1:5" x14ac:dyDescent="0.55000000000000004">
      <c r="A2680" t="str">
        <f>TEST_DATA!A2680</f>
        <v>27AAAAA2680Z5</v>
      </c>
      <c r="B2680" t="str">
        <f>TEST_DATA!B2680</f>
        <v>Apr-2018</v>
      </c>
      <c r="C2680">
        <f>TEST_DATA!C2680</f>
        <v>42930</v>
      </c>
      <c r="D2680" t="str">
        <f>TEST_DATA!D2680</f>
        <v>NIL</v>
      </c>
      <c r="E2680">
        <f>TEST_DATA!E2680</f>
        <v>2014</v>
      </c>
    </row>
    <row r="2681" spans="1:5" x14ac:dyDescent="0.55000000000000004">
      <c r="A2681" t="str">
        <f>TEST_DATA!A2681</f>
        <v>27AAAAA2681Z5</v>
      </c>
      <c r="B2681" t="str">
        <f>TEST_DATA!B2681</f>
        <v>Jul-2017</v>
      </c>
      <c r="C2681">
        <f>TEST_DATA!C2681</f>
        <v>43115</v>
      </c>
      <c r="D2681" t="str">
        <f>TEST_DATA!D2681</f>
        <v>NIL</v>
      </c>
      <c r="E2681">
        <f>TEST_DATA!E2681</f>
        <v>2852</v>
      </c>
    </row>
    <row r="2682" spans="1:5" x14ac:dyDescent="0.55000000000000004">
      <c r="A2682" t="str">
        <f>TEST_DATA!A2682</f>
        <v>27AAAAA2682Z5</v>
      </c>
      <c r="B2682" t="str">
        <f>TEST_DATA!B2682</f>
        <v>Aug-2018</v>
      </c>
      <c r="C2682">
        <f>TEST_DATA!C2682</f>
        <v>43992</v>
      </c>
      <c r="D2682" t="str">
        <f>TEST_DATA!D2682</f>
        <v>NON-NIL</v>
      </c>
      <c r="E2682">
        <f>TEST_DATA!E2682</f>
        <v>2680</v>
      </c>
    </row>
    <row r="2683" spans="1:5" x14ac:dyDescent="0.55000000000000004">
      <c r="A2683" t="str">
        <f>TEST_DATA!A2683</f>
        <v>27AAAAA2683Z5</v>
      </c>
      <c r="B2683" t="str">
        <f>TEST_DATA!B2683</f>
        <v>Apr-2018</v>
      </c>
      <c r="C2683">
        <f>TEST_DATA!C2683</f>
        <v>44418</v>
      </c>
      <c r="D2683" t="str">
        <f>TEST_DATA!D2683</f>
        <v>NON-NIL</v>
      </c>
      <c r="E2683">
        <f>TEST_DATA!E2683</f>
        <v>698</v>
      </c>
    </row>
    <row r="2684" spans="1:5" x14ac:dyDescent="0.55000000000000004">
      <c r="A2684" t="str">
        <f>TEST_DATA!A2684</f>
        <v>27AAAAA2684Z5</v>
      </c>
      <c r="B2684" t="str">
        <f>TEST_DATA!B2684</f>
        <v>Dec-2017</v>
      </c>
      <c r="C2684">
        <f>TEST_DATA!C2684</f>
        <v>43684</v>
      </c>
      <c r="D2684" t="str">
        <f>TEST_DATA!D2684</f>
        <v>NIL</v>
      </c>
      <c r="E2684">
        <f>TEST_DATA!E2684</f>
        <v>2883</v>
      </c>
    </row>
    <row r="2685" spans="1:5" x14ac:dyDescent="0.55000000000000004">
      <c r="A2685" t="str">
        <f>TEST_DATA!A2685</f>
        <v>27AAAAA2685Z5</v>
      </c>
      <c r="B2685" t="str">
        <f>TEST_DATA!B2685</f>
        <v>Nov-2017</v>
      </c>
      <c r="C2685">
        <f>TEST_DATA!C2685</f>
        <v>43322</v>
      </c>
      <c r="D2685" t="str">
        <f>TEST_DATA!D2685</f>
        <v>NON-NIL</v>
      </c>
      <c r="E2685">
        <f>TEST_DATA!E2685</f>
        <v>745</v>
      </c>
    </row>
    <row r="2686" spans="1:5" x14ac:dyDescent="0.55000000000000004">
      <c r="A2686" t="str">
        <f>TEST_DATA!A2686</f>
        <v>27AAAAA2686Z5</v>
      </c>
      <c r="B2686" t="str">
        <f>TEST_DATA!B2686</f>
        <v>Jun-2019</v>
      </c>
      <c r="C2686">
        <f>TEST_DATA!C2686</f>
        <v>43917</v>
      </c>
      <c r="D2686" t="str">
        <f>TEST_DATA!D2686</f>
        <v>NON-NIL</v>
      </c>
      <c r="E2686">
        <f>TEST_DATA!E2686</f>
        <v>2322</v>
      </c>
    </row>
    <row r="2687" spans="1:5" x14ac:dyDescent="0.55000000000000004">
      <c r="A2687" t="str">
        <f>TEST_DATA!A2687</f>
        <v>27AAAAA2687Z5</v>
      </c>
      <c r="B2687" t="str">
        <f>TEST_DATA!B2687</f>
        <v>Dec-2022</v>
      </c>
      <c r="C2687">
        <f>TEST_DATA!C2687</f>
        <v>44336</v>
      </c>
      <c r="D2687" t="str">
        <f>TEST_DATA!D2687</f>
        <v>NIL</v>
      </c>
      <c r="E2687">
        <f>TEST_DATA!E2687</f>
        <v>823</v>
      </c>
    </row>
    <row r="2688" spans="1:5" x14ac:dyDescent="0.55000000000000004">
      <c r="A2688" t="str">
        <f>TEST_DATA!A2688</f>
        <v>27AAAAA2688Z5</v>
      </c>
      <c r="B2688" t="str">
        <f>TEST_DATA!B2688</f>
        <v>Aug-2017</v>
      </c>
      <c r="C2688">
        <f>TEST_DATA!C2688</f>
        <v>44452</v>
      </c>
      <c r="D2688" t="str">
        <f>TEST_DATA!D2688</f>
        <v>NIL</v>
      </c>
      <c r="E2688">
        <f>TEST_DATA!E2688</f>
        <v>785</v>
      </c>
    </row>
    <row r="2689" spans="1:5" x14ac:dyDescent="0.55000000000000004">
      <c r="A2689" t="str">
        <f>TEST_DATA!A2689</f>
        <v>27AAAAA2689Z5</v>
      </c>
      <c r="B2689" t="str">
        <f>TEST_DATA!B2689</f>
        <v>Mar-2018</v>
      </c>
      <c r="C2689">
        <f>TEST_DATA!C2689</f>
        <v>43754</v>
      </c>
      <c r="D2689" t="str">
        <f>TEST_DATA!D2689</f>
        <v>NON-NIL</v>
      </c>
      <c r="E2689">
        <f>TEST_DATA!E2689</f>
        <v>2567</v>
      </c>
    </row>
    <row r="2690" spans="1:5" x14ac:dyDescent="0.55000000000000004">
      <c r="A2690" t="str">
        <f>TEST_DATA!A2690</f>
        <v>27AAAAA2690Z5</v>
      </c>
      <c r="B2690" t="str">
        <f>TEST_DATA!B2690</f>
        <v>Apr-2020</v>
      </c>
      <c r="C2690">
        <f>TEST_DATA!C2690</f>
        <v>44054</v>
      </c>
      <c r="D2690" t="str">
        <f>TEST_DATA!D2690</f>
        <v>NIL</v>
      </c>
      <c r="E2690">
        <f>TEST_DATA!E2690</f>
        <v>326</v>
      </c>
    </row>
    <row r="2691" spans="1:5" x14ac:dyDescent="0.55000000000000004">
      <c r="A2691" t="str">
        <f>TEST_DATA!A2691</f>
        <v>27AAAAA2691Z5</v>
      </c>
      <c r="B2691" t="str">
        <f>TEST_DATA!B2691</f>
        <v>Apr-2018</v>
      </c>
      <c r="C2691">
        <f>TEST_DATA!C2691</f>
        <v>43092</v>
      </c>
      <c r="D2691" t="str">
        <f>TEST_DATA!D2691</f>
        <v>NON-NIL</v>
      </c>
      <c r="E2691">
        <f>TEST_DATA!E2691</f>
        <v>510</v>
      </c>
    </row>
    <row r="2692" spans="1:5" x14ac:dyDescent="0.55000000000000004">
      <c r="A2692" t="str">
        <f>TEST_DATA!A2692</f>
        <v>27AAAAA2692Z5</v>
      </c>
      <c r="B2692" t="str">
        <f>TEST_DATA!B2692</f>
        <v>Mar-2018</v>
      </c>
      <c r="C2692">
        <f>TEST_DATA!C2692</f>
        <v>43048</v>
      </c>
      <c r="D2692" t="str">
        <f>TEST_DATA!D2692</f>
        <v>NON-NIL</v>
      </c>
      <c r="E2692">
        <f>TEST_DATA!E2692</f>
        <v>121</v>
      </c>
    </row>
    <row r="2693" spans="1:5" x14ac:dyDescent="0.55000000000000004">
      <c r="A2693" t="str">
        <f>TEST_DATA!A2693</f>
        <v>27AAAAA2693Z5</v>
      </c>
      <c r="B2693" t="str">
        <f>TEST_DATA!B2693</f>
        <v>Mar-2020</v>
      </c>
      <c r="C2693">
        <f>TEST_DATA!C2693</f>
        <v>44311</v>
      </c>
      <c r="D2693" t="str">
        <f>TEST_DATA!D2693</f>
        <v>NON-NIL</v>
      </c>
      <c r="E2693">
        <f>TEST_DATA!E2693</f>
        <v>1987</v>
      </c>
    </row>
    <row r="2694" spans="1:5" x14ac:dyDescent="0.55000000000000004">
      <c r="A2694" t="str">
        <f>TEST_DATA!A2694</f>
        <v>27AAAAA2694Z5</v>
      </c>
      <c r="B2694" t="str">
        <f>TEST_DATA!B2694</f>
        <v>Jun-2020</v>
      </c>
      <c r="C2694">
        <f>TEST_DATA!C2694</f>
        <v>44037</v>
      </c>
      <c r="D2694" t="str">
        <f>TEST_DATA!D2694</f>
        <v>NIL</v>
      </c>
      <c r="E2694">
        <f>TEST_DATA!E2694</f>
        <v>250</v>
      </c>
    </row>
    <row r="2695" spans="1:5" x14ac:dyDescent="0.55000000000000004">
      <c r="A2695" t="str">
        <f>TEST_DATA!A2695</f>
        <v>27AAAAA2695Z5</v>
      </c>
      <c r="B2695" t="str">
        <f>TEST_DATA!B2695</f>
        <v>Mar-2018</v>
      </c>
      <c r="C2695">
        <f>TEST_DATA!C2695</f>
        <v>44456</v>
      </c>
      <c r="D2695" t="str">
        <f>TEST_DATA!D2695</f>
        <v>NIL</v>
      </c>
      <c r="E2695">
        <f>TEST_DATA!E2695</f>
        <v>2725</v>
      </c>
    </row>
    <row r="2696" spans="1:5" x14ac:dyDescent="0.55000000000000004">
      <c r="A2696" t="str">
        <f>TEST_DATA!A2696</f>
        <v>27AAAAA2696Z5</v>
      </c>
      <c r="B2696" t="str">
        <f>TEST_DATA!B2696</f>
        <v>Mar-2020</v>
      </c>
      <c r="C2696">
        <f>TEST_DATA!C2696</f>
        <v>43916</v>
      </c>
      <c r="D2696" t="str">
        <f>TEST_DATA!D2696</f>
        <v>NIL</v>
      </c>
      <c r="E2696">
        <f>TEST_DATA!E2696</f>
        <v>864</v>
      </c>
    </row>
    <row r="2697" spans="1:5" x14ac:dyDescent="0.55000000000000004">
      <c r="A2697" t="str">
        <f>TEST_DATA!A2697</f>
        <v>27AAAAA2697Z5</v>
      </c>
      <c r="B2697" t="str">
        <f>TEST_DATA!B2697</f>
        <v>Jun-2019</v>
      </c>
      <c r="C2697">
        <f>TEST_DATA!C2697</f>
        <v>43495</v>
      </c>
      <c r="D2697" t="str">
        <f>TEST_DATA!D2697</f>
        <v>NON-NIL</v>
      </c>
      <c r="E2697">
        <f>TEST_DATA!E2697</f>
        <v>2469</v>
      </c>
    </row>
    <row r="2698" spans="1:5" x14ac:dyDescent="0.55000000000000004">
      <c r="A2698" t="str">
        <f>TEST_DATA!A2698</f>
        <v>27AAAAA2698Z5</v>
      </c>
      <c r="B2698" t="str">
        <f>TEST_DATA!B2698</f>
        <v>Jun-2019</v>
      </c>
      <c r="C2698">
        <f>TEST_DATA!C2698</f>
        <v>44554</v>
      </c>
      <c r="D2698" t="str">
        <f>TEST_DATA!D2698</f>
        <v>NON-NIL</v>
      </c>
      <c r="E2698">
        <f>TEST_DATA!E2698</f>
        <v>1938</v>
      </c>
    </row>
    <row r="2699" spans="1:5" x14ac:dyDescent="0.55000000000000004">
      <c r="A2699" t="str">
        <f>TEST_DATA!A2699</f>
        <v>27AAAAA2699Z5</v>
      </c>
      <c r="B2699" t="str">
        <f>TEST_DATA!B2699</f>
        <v>Mar-2021</v>
      </c>
      <c r="C2699">
        <f>TEST_DATA!C2699</f>
        <v>44846</v>
      </c>
      <c r="D2699" t="str">
        <f>TEST_DATA!D2699</f>
        <v>NON-NIL</v>
      </c>
      <c r="E2699">
        <f>TEST_DATA!E2699</f>
        <v>1378</v>
      </c>
    </row>
    <row r="2700" spans="1:5" x14ac:dyDescent="0.55000000000000004">
      <c r="A2700" t="str">
        <f>TEST_DATA!A2700</f>
        <v>27AAAAA2700Z5</v>
      </c>
      <c r="B2700" t="str">
        <f>TEST_DATA!B2700</f>
        <v>Jun-2018</v>
      </c>
      <c r="C2700">
        <f>TEST_DATA!C2700</f>
        <v>44313</v>
      </c>
      <c r="D2700" t="str">
        <f>TEST_DATA!D2700</f>
        <v>NON-NIL</v>
      </c>
      <c r="E2700">
        <f>TEST_DATA!E2700</f>
        <v>1291</v>
      </c>
    </row>
    <row r="2701" spans="1:5" x14ac:dyDescent="0.55000000000000004">
      <c r="A2701" t="str">
        <f>TEST_DATA!A2701</f>
        <v>27AAAAA2701Z5</v>
      </c>
      <c r="B2701" t="str">
        <f>TEST_DATA!B2701</f>
        <v>Dec-2022</v>
      </c>
      <c r="C2701">
        <f>TEST_DATA!C2701</f>
        <v>44447</v>
      </c>
      <c r="D2701" t="str">
        <f>TEST_DATA!D2701</f>
        <v>NON-NIL</v>
      </c>
      <c r="E2701">
        <f>TEST_DATA!E2701</f>
        <v>2724</v>
      </c>
    </row>
    <row r="2702" spans="1:5" x14ac:dyDescent="0.55000000000000004">
      <c r="A2702" t="str">
        <f>TEST_DATA!A2702</f>
        <v>27AAAAA2702Z5</v>
      </c>
      <c r="B2702" t="str">
        <f>TEST_DATA!B2702</f>
        <v>Jul-2018</v>
      </c>
      <c r="C2702">
        <f>TEST_DATA!C2702</f>
        <v>43692</v>
      </c>
      <c r="D2702" t="str">
        <f>TEST_DATA!D2702</f>
        <v>NIL</v>
      </c>
      <c r="E2702">
        <f>TEST_DATA!E2702</f>
        <v>1458</v>
      </c>
    </row>
    <row r="2703" spans="1:5" x14ac:dyDescent="0.55000000000000004">
      <c r="A2703" t="str">
        <f>TEST_DATA!A2703</f>
        <v>27AAAAA2703Z5</v>
      </c>
      <c r="B2703" t="str">
        <f>TEST_DATA!B2703</f>
        <v>Mar-2023</v>
      </c>
      <c r="C2703">
        <f>TEST_DATA!C2703</f>
        <v>44818</v>
      </c>
      <c r="D2703" t="str">
        <f>TEST_DATA!D2703</f>
        <v>NIL</v>
      </c>
      <c r="E2703">
        <f>TEST_DATA!E2703</f>
        <v>12</v>
      </c>
    </row>
    <row r="2704" spans="1:5" x14ac:dyDescent="0.55000000000000004">
      <c r="A2704" t="str">
        <f>TEST_DATA!A2704</f>
        <v>27AAAAA2704Z5</v>
      </c>
      <c r="B2704" t="str">
        <f>TEST_DATA!B2704</f>
        <v>Sep-2018</v>
      </c>
      <c r="C2704">
        <f>TEST_DATA!C2704</f>
        <v>44347</v>
      </c>
      <c r="D2704" t="str">
        <f>TEST_DATA!D2704</f>
        <v>NON-NIL</v>
      </c>
      <c r="E2704">
        <f>TEST_DATA!E2704</f>
        <v>2970</v>
      </c>
    </row>
    <row r="2705" spans="1:5" x14ac:dyDescent="0.55000000000000004">
      <c r="A2705" t="str">
        <f>TEST_DATA!A2705</f>
        <v>27AAAAA2705Z5</v>
      </c>
      <c r="B2705" t="str">
        <f>TEST_DATA!B2705</f>
        <v>Dec-2022</v>
      </c>
      <c r="C2705">
        <f>TEST_DATA!C2705</f>
        <v>44034</v>
      </c>
      <c r="D2705" t="str">
        <f>TEST_DATA!D2705</f>
        <v>NIL</v>
      </c>
      <c r="E2705">
        <f>TEST_DATA!E2705</f>
        <v>2465</v>
      </c>
    </row>
    <row r="2706" spans="1:5" x14ac:dyDescent="0.55000000000000004">
      <c r="A2706" t="str">
        <f>TEST_DATA!A2706</f>
        <v>27AAAAA2706Z5</v>
      </c>
      <c r="B2706" t="str">
        <f>TEST_DATA!B2706</f>
        <v>Oct-2017</v>
      </c>
      <c r="C2706">
        <f>TEST_DATA!C2706</f>
        <v>44003</v>
      </c>
      <c r="D2706" t="str">
        <f>TEST_DATA!D2706</f>
        <v>NON-NIL</v>
      </c>
      <c r="E2706">
        <f>TEST_DATA!E2706</f>
        <v>2864</v>
      </c>
    </row>
    <row r="2707" spans="1:5" x14ac:dyDescent="0.55000000000000004">
      <c r="A2707" t="str">
        <f>TEST_DATA!A2707</f>
        <v>27AAAAA2707Z5</v>
      </c>
      <c r="B2707" t="str">
        <f>TEST_DATA!B2707</f>
        <v>Mar-2021</v>
      </c>
      <c r="C2707">
        <f>TEST_DATA!C2707</f>
        <v>44484</v>
      </c>
      <c r="D2707" t="str">
        <f>TEST_DATA!D2707</f>
        <v>NON-NIL</v>
      </c>
      <c r="E2707">
        <f>TEST_DATA!E2707</f>
        <v>1851</v>
      </c>
    </row>
    <row r="2708" spans="1:5" x14ac:dyDescent="0.55000000000000004">
      <c r="A2708" t="str">
        <f>TEST_DATA!A2708</f>
        <v>27AAAAA2708Z5</v>
      </c>
      <c r="B2708" t="str">
        <f>TEST_DATA!B2708</f>
        <v>Apr-2020</v>
      </c>
      <c r="C2708">
        <f>TEST_DATA!C2708</f>
        <v>44804</v>
      </c>
      <c r="D2708" t="str">
        <f>TEST_DATA!D2708</f>
        <v>NON-NIL</v>
      </c>
      <c r="E2708">
        <f>TEST_DATA!E2708</f>
        <v>2704</v>
      </c>
    </row>
    <row r="2709" spans="1:5" x14ac:dyDescent="0.55000000000000004">
      <c r="A2709" t="str">
        <f>TEST_DATA!A2709</f>
        <v>27AAAAA2709Z5</v>
      </c>
      <c r="B2709" t="str">
        <f>TEST_DATA!B2709</f>
        <v>Jan-2018</v>
      </c>
      <c r="C2709">
        <f>TEST_DATA!C2709</f>
        <v>42923</v>
      </c>
      <c r="D2709" t="str">
        <f>TEST_DATA!D2709</f>
        <v>NON-NIL</v>
      </c>
      <c r="E2709">
        <f>TEST_DATA!E2709</f>
        <v>68</v>
      </c>
    </row>
    <row r="2710" spans="1:5" x14ac:dyDescent="0.55000000000000004">
      <c r="A2710" t="str">
        <f>TEST_DATA!A2710</f>
        <v>27AAAAA2710Z5</v>
      </c>
      <c r="B2710" t="str">
        <f>TEST_DATA!B2710</f>
        <v>May-2020</v>
      </c>
      <c r="C2710">
        <f>TEST_DATA!C2710</f>
        <v>44568</v>
      </c>
      <c r="D2710" t="str">
        <f>TEST_DATA!D2710</f>
        <v>NIL</v>
      </c>
      <c r="E2710">
        <f>TEST_DATA!E2710</f>
        <v>1333</v>
      </c>
    </row>
    <row r="2711" spans="1:5" x14ac:dyDescent="0.55000000000000004">
      <c r="A2711" t="str">
        <f>TEST_DATA!A2711</f>
        <v>27AAAAA2711Z5</v>
      </c>
      <c r="B2711" t="str">
        <f>TEST_DATA!B2711</f>
        <v>Jun-2020</v>
      </c>
      <c r="C2711">
        <f>TEST_DATA!C2711</f>
        <v>44740</v>
      </c>
      <c r="D2711" t="str">
        <f>TEST_DATA!D2711</f>
        <v>NIL</v>
      </c>
      <c r="E2711">
        <f>TEST_DATA!E2711</f>
        <v>2485</v>
      </c>
    </row>
    <row r="2712" spans="1:5" x14ac:dyDescent="0.55000000000000004">
      <c r="A2712" t="str">
        <f>TEST_DATA!A2712</f>
        <v>27AAAAA2712Z5</v>
      </c>
      <c r="B2712" t="str">
        <f>TEST_DATA!B2712</f>
        <v>Jan-2019</v>
      </c>
      <c r="C2712">
        <f>TEST_DATA!C2712</f>
        <v>45105</v>
      </c>
      <c r="D2712" t="str">
        <f>TEST_DATA!D2712</f>
        <v>NIL</v>
      </c>
      <c r="E2712">
        <f>TEST_DATA!E2712</f>
        <v>1426</v>
      </c>
    </row>
    <row r="2713" spans="1:5" x14ac:dyDescent="0.55000000000000004">
      <c r="A2713" t="str">
        <f>TEST_DATA!A2713</f>
        <v>27AAAAA2713Z5</v>
      </c>
      <c r="B2713" t="str">
        <f>TEST_DATA!B2713</f>
        <v>Aug-2018</v>
      </c>
      <c r="C2713">
        <f>TEST_DATA!C2713</f>
        <v>43892</v>
      </c>
      <c r="D2713" t="str">
        <f>TEST_DATA!D2713</f>
        <v>NIL</v>
      </c>
      <c r="E2713">
        <f>TEST_DATA!E2713</f>
        <v>1576</v>
      </c>
    </row>
    <row r="2714" spans="1:5" x14ac:dyDescent="0.55000000000000004">
      <c r="A2714" t="str">
        <f>TEST_DATA!A2714</f>
        <v>27AAAAA2714Z5</v>
      </c>
      <c r="B2714" t="str">
        <f>TEST_DATA!B2714</f>
        <v>Apr-2018</v>
      </c>
      <c r="C2714">
        <f>TEST_DATA!C2714</f>
        <v>44160</v>
      </c>
      <c r="D2714" t="str">
        <f>TEST_DATA!D2714</f>
        <v>NIL</v>
      </c>
      <c r="E2714">
        <f>TEST_DATA!E2714</f>
        <v>2916</v>
      </c>
    </row>
    <row r="2715" spans="1:5" x14ac:dyDescent="0.55000000000000004">
      <c r="A2715" t="str">
        <f>TEST_DATA!A2715</f>
        <v>27AAAAA2715Z5</v>
      </c>
      <c r="B2715" t="str">
        <f>TEST_DATA!B2715</f>
        <v>Nov-2017</v>
      </c>
      <c r="C2715">
        <f>TEST_DATA!C2715</f>
        <v>43982</v>
      </c>
      <c r="D2715" t="str">
        <f>TEST_DATA!D2715</f>
        <v>NIL</v>
      </c>
      <c r="E2715">
        <f>TEST_DATA!E2715</f>
        <v>523</v>
      </c>
    </row>
    <row r="2716" spans="1:5" x14ac:dyDescent="0.55000000000000004">
      <c r="A2716" t="str">
        <f>TEST_DATA!A2716</f>
        <v>27AAAAA2716Z5</v>
      </c>
      <c r="B2716" t="str">
        <f>TEST_DATA!B2716</f>
        <v>Jan-2019</v>
      </c>
      <c r="C2716">
        <f>TEST_DATA!C2716</f>
        <v>43822</v>
      </c>
      <c r="D2716" t="str">
        <f>TEST_DATA!D2716</f>
        <v>NON-NIL</v>
      </c>
      <c r="E2716">
        <f>TEST_DATA!E2716</f>
        <v>2756</v>
      </c>
    </row>
    <row r="2717" spans="1:5" x14ac:dyDescent="0.55000000000000004">
      <c r="A2717" t="str">
        <f>TEST_DATA!A2717</f>
        <v>27AAAAA2717Z5</v>
      </c>
      <c r="B2717" t="str">
        <f>TEST_DATA!B2717</f>
        <v>Dec-2019</v>
      </c>
      <c r="C2717">
        <f>TEST_DATA!C2717</f>
        <v>45378</v>
      </c>
      <c r="D2717" t="str">
        <f>TEST_DATA!D2717</f>
        <v>NIL</v>
      </c>
      <c r="E2717">
        <f>TEST_DATA!E2717</f>
        <v>1827</v>
      </c>
    </row>
    <row r="2718" spans="1:5" x14ac:dyDescent="0.55000000000000004">
      <c r="A2718" t="str">
        <f>TEST_DATA!A2718</f>
        <v>27AAAAA2718Z5</v>
      </c>
      <c r="B2718" t="str">
        <f>TEST_DATA!B2718</f>
        <v>Oct-2017</v>
      </c>
      <c r="C2718">
        <f>TEST_DATA!C2718</f>
        <v>43904</v>
      </c>
      <c r="D2718" t="str">
        <f>TEST_DATA!D2718</f>
        <v>NIL</v>
      </c>
      <c r="E2718">
        <f>TEST_DATA!E2718</f>
        <v>996</v>
      </c>
    </row>
    <row r="2719" spans="1:5" x14ac:dyDescent="0.55000000000000004">
      <c r="A2719" t="str">
        <f>TEST_DATA!A2719</f>
        <v>27AAAAA2719Z5</v>
      </c>
      <c r="B2719" t="str">
        <f>TEST_DATA!B2719</f>
        <v>Jan-2018</v>
      </c>
      <c r="C2719">
        <f>TEST_DATA!C2719</f>
        <v>43266</v>
      </c>
      <c r="D2719" t="str">
        <f>TEST_DATA!D2719</f>
        <v>NIL</v>
      </c>
      <c r="E2719">
        <f>TEST_DATA!E2719</f>
        <v>432</v>
      </c>
    </row>
    <row r="2720" spans="1:5" x14ac:dyDescent="0.55000000000000004">
      <c r="A2720" t="str">
        <f>TEST_DATA!A2720</f>
        <v>27AAAAA2720Z5</v>
      </c>
      <c r="B2720" t="str">
        <f>TEST_DATA!B2720</f>
        <v>Aug-2018</v>
      </c>
      <c r="C2720">
        <f>TEST_DATA!C2720</f>
        <v>44382</v>
      </c>
      <c r="D2720" t="str">
        <f>TEST_DATA!D2720</f>
        <v>NIL</v>
      </c>
      <c r="E2720">
        <f>TEST_DATA!E2720</f>
        <v>656</v>
      </c>
    </row>
    <row r="2721" spans="1:5" x14ac:dyDescent="0.55000000000000004">
      <c r="A2721" t="str">
        <f>TEST_DATA!A2721</f>
        <v>27AAAAA2721Z5</v>
      </c>
      <c r="B2721" t="str">
        <f>TEST_DATA!B2721</f>
        <v>May-2018</v>
      </c>
      <c r="C2721">
        <f>TEST_DATA!C2721</f>
        <v>43702</v>
      </c>
      <c r="D2721" t="str">
        <f>TEST_DATA!D2721</f>
        <v>NON-NIL</v>
      </c>
      <c r="E2721">
        <f>TEST_DATA!E2721</f>
        <v>902</v>
      </c>
    </row>
    <row r="2722" spans="1:5" x14ac:dyDescent="0.55000000000000004">
      <c r="A2722" t="str">
        <f>TEST_DATA!A2722</f>
        <v>27AAAAA2722Z5</v>
      </c>
      <c r="B2722" t="str">
        <f>TEST_DATA!B2722</f>
        <v>Jan-2021</v>
      </c>
      <c r="C2722">
        <f>TEST_DATA!C2722</f>
        <v>44521</v>
      </c>
      <c r="D2722" t="str">
        <f>TEST_DATA!D2722</f>
        <v>NON-NIL</v>
      </c>
      <c r="E2722">
        <f>TEST_DATA!E2722</f>
        <v>2746</v>
      </c>
    </row>
    <row r="2723" spans="1:5" x14ac:dyDescent="0.55000000000000004">
      <c r="A2723" t="str">
        <f>TEST_DATA!A2723</f>
        <v>27AAAAA2723Z5</v>
      </c>
      <c r="B2723" t="str">
        <f>TEST_DATA!B2723</f>
        <v>Oct-2017</v>
      </c>
      <c r="C2723">
        <f>TEST_DATA!C2723</f>
        <v>44279</v>
      </c>
      <c r="D2723" t="str">
        <f>TEST_DATA!D2723</f>
        <v>NIL</v>
      </c>
      <c r="E2723">
        <f>TEST_DATA!E2723</f>
        <v>2189</v>
      </c>
    </row>
    <row r="2724" spans="1:5" x14ac:dyDescent="0.55000000000000004">
      <c r="A2724" t="str">
        <f>TEST_DATA!A2724</f>
        <v>27AAAAA2724Z5</v>
      </c>
      <c r="B2724" t="str">
        <f>TEST_DATA!B2724</f>
        <v>May-2020</v>
      </c>
      <c r="C2724">
        <f>TEST_DATA!C2724</f>
        <v>44838</v>
      </c>
      <c r="D2724" t="str">
        <f>TEST_DATA!D2724</f>
        <v>NIL</v>
      </c>
      <c r="E2724">
        <f>TEST_DATA!E2724</f>
        <v>2833</v>
      </c>
    </row>
    <row r="2725" spans="1:5" x14ac:dyDescent="0.55000000000000004">
      <c r="A2725" t="str">
        <f>TEST_DATA!A2725</f>
        <v>27AAAAA2725Z5</v>
      </c>
      <c r="B2725" t="str">
        <f>TEST_DATA!B2725</f>
        <v>May-2018</v>
      </c>
      <c r="C2725">
        <f>TEST_DATA!C2725</f>
        <v>43375</v>
      </c>
      <c r="D2725" t="str">
        <f>TEST_DATA!D2725</f>
        <v>NIL</v>
      </c>
      <c r="E2725">
        <f>TEST_DATA!E2725</f>
        <v>2637</v>
      </c>
    </row>
    <row r="2726" spans="1:5" x14ac:dyDescent="0.55000000000000004">
      <c r="A2726" t="str">
        <f>TEST_DATA!A2726</f>
        <v>27AAAAA2726Z5</v>
      </c>
      <c r="B2726" t="str">
        <f>TEST_DATA!B2726</f>
        <v>May-2018</v>
      </c>
      <c r="C2726">
        <f>TEST_DATA!C2726</f>
        <v>43689</v>
      </c>
      <c r="D2726" t="str">
        <f>TEST_DATA!D2726</f>
        <v>NON-NIL</v>
      </c>
      <c r="E2726">
        <f>TEST_DATA!E2726</f>
        <v>2678</v>
      </c>
    </row>
    <row r="2727" spans="1:5" x14ac:dyDescent="0.55000000000000004">
      <c r="A2727" t="str">
        <f>TEST_DATA!A2727</f>
        <v>27AAAAA2727Z5</v>
      </c>
      <c r="B2727" t="str">
        <f>TEST_DATA!B2727</f>
        <v>May-2020</v>
      </c>
      <c r="C2727">
        <f>TEST_DATA!C2727</f>
        <v>44725</v>
      </c>
      <c r="D2727" t="str">
        <f>TEST_DATA!D2727</f>
        <v>NIL</v>
      </c>
      <c r="E2727">
        <f>TEST_DATA!E2727</f>
        <v>915</v>
      </c>
    </row>
    <row r="2728" spans="1:5" x14ac:dyDescent="0.55000000000000004">
      <c r="A2728" t="str">
        <f>TEST_DATA!A2728</f>
        <v>27AAAAA2728Z5</v>
      </c>
      <c r="B2728" t="str">
        <f>TEST_DATA!B2728</f>
        <v>Mar-2018</v>
      </c>
      <c r="C2728">
        <f>TEST_DATA!C2728</f>
        <v>43153</v>
      </c>
      <c r="D2728" t="str">
        <f>TEST_DATA!D2728</f>
        <v>NON-NIL</v>
      </c>
      <c r="E2728">
        <f>TEST_DATA!E2728</f>
        <v>359</v>
      </c>
    </row>
    <row r="2729" spans="1:5" x14ac:dyDescent="0.55000000000000004">
      <c r="A2729" t="str">
        <f>TEST_DATA!A2729</f>
        <v>27AAAAA2729Z5</v>
      </c>
      <c r="B2729" t="str">
        <f>TEST_DATA!B2729</f>
        <v>Oct-2017</v>
      </c>
      <c r="C2729">
        <f>TEST_DATA!C2729</f>
        <v>43099</v>
      </c>
      <c r="D2729" t="str">
        <f>TEST_DATA!D2729</f>
        <v>NON-NIL</v>
      </c>
      <c r="E2729">
        <f>TEST_DATA!E2729</f>
        <v>2425</v>
      </c>
    </row>
    <row r="2730" spans="1:5" x14ac:dyDescent="0.55000000000000004">
      <c r="A2730" t="str">
        <f>TEST_DATA!A2730</f>
        <v>27AAAAA2730Z5</v>
      </c>
      <c r="B2730" t="str">
        <f>TEST_DATA!B2730</f>
        <v>Jan-2018</v>
      </c>
      <c r="C2730">
        <f>TEST_DATA!C2730</f>
        <v>44441</v>
      </c>
      <c r="D2730" t="str">
        <f>TEST_DATA!D2730</f>
        <v>NIL</v>
      </c>
      <c r="E2730">
        <f>TEST_DATA!E2730</f>
        <v>2346</v>
      </c>
    </row>
    <row r="2731" spans="1:5" x14ac:dyDescent="0.55000000000000004">
      <c r="A2731" t="str">
        <f>TEST_DATA!A2731</f>
        <v>27AAAAA2731Z5</v>
      </c>
      <c r="B2731" t="str">
        <f>TEST_DATA!B2731</f>
        <v>Jun-2018</v>
      </c>
      <c r="C2731">
        <f>TEST_DATA!C2731</f>
        <v>43177</v>
      </c>
      <c r="D2731" t="str">
        <f>TEST_DATA!D2731</f>
        <v>NON-NIL</v>
      </c>
      <c r="E2731">
        <f>TEST_DATA!E2731</f>
        <v>1557</v>
      </c>
    </row>
    <row r="2732" spans="1:5" x14ac:dyDescent="0.55000000000000004">
      <c r="A2732" t="str">
        <f>TEST_DATA!A2732</f>
        <v>27AAAAA2732Z5</v>
      </c>
      <c r="B2732" t="str">
        <f>TEST_DATA!B2732</f>
        <v>Mar-2020</v>
      </c>
      <c r="C2732">
        <f>TEST_DATA!C2732</f>
        <v>43834</v>
      </c>
      <c r="D2732" t="str">
        <f>TEST_DATA!D2732</f>
        <v>NON-NIL</v>
      </c>
      <c r="E2732">
        <f>TEST_DATA!E2732</f>
        <v>253</v>
      </c>
    </row>
    <row r="2733" spans="1:5" x14ac:dyDescent="0.55000000000000004">
      <c r="A2733" t="str">
        <f>TEST_DATA!A2733</f>
        <v>27AAAAA2733Z5</v>
      </c>
      <c r="B2733" t="str">
        <f>TEST_DATA!B2733</f>
        <v>Mar-2020</v>
      </c>
      <c r="C2733">
        <f>TEST_DATA!C2733</f>
        <v>44219</v>
      </c>
      <c r="D2733" t="str">
        <f>TEST_DATA!D2733</f>
        <v>NON-NIL</v>
      </c>
      <c r="E2733">
        <f>TEST_DATA!E2733</f>
        <v>1735</v>
      </c>
    </row>
    <row r="2734" spans="1:5" x14ac:dyDescent="0.55000000000000004">
      <c r="A2734" t="str">
        <f>TEST_DATA!A2734</f>
        <v>27AAAAA2734Z5</v>
      </c>
      <c r="B2734" t="str">
        <f>TEST_DATA!B2734</f>
        <v>May-2018</v>
      </c>
      <c r="C2734">
        <f>TEST_DATA!C2734</f>
        <v>44496</v>
      </c>
      <c r="D2734" t="str">
        <f>TEST_DATA!D2734</f>
        <v>NON-NIL</v>
      </c>
      <c r="E2734">
        <f>TEST_DATA!E2734</f>
        <v>2782</v>
      </c>
    </row>
    <row r="2735" spans="1:5" x14ac:dyDescent="0.55000000000000004">
      <c r="A2735" t="str">
        <f>TEST_DATA!A2735</f>
        <v>27AAAAA2735Z5</v>
      </c>
      <c r="B2735" t="str">
        <f>TEST_DATA!B2735</f>
        <v>Apr-2021</v>
      </c>
      <c r="C2735">
        <f>TEST_DATA!C2735</f>
        <v>43983</v>
      </c>
      <c r="D2735" t="str">
        <f>TEST_DATA!D2735</f>
        <v>NIL</v>
      </c>
      <c r="E2735">
        <f>TEST_DATA!E2735</f>
        <v>436</v>
      </c>
    </row>
    <row r="2736" spans="1:5" x14ac:dyDescent="0.55000000000000004">
      <c r="A2736" t="str">
        <f>TEST_DATA!A2736</f>
        <v>27AAAAA2736Z5</v>
      </c>
      <c r="B2736" t="str">
        <f>TEST_DATA!B2736</f>
        <v>Jul-2018</v>
      </c>
      <c r="C2736">
        <f>TEST_DATA!C2736</f>
        <v>42935</v>
      </c>
      <c r="D2736" t="str">
        <f>TEST_DATA!D2736</f>
        <v>NON-NIL</v>
      </c>
      <c r="E2736">
        <f>TEST_DATA!E2736</f>
        <v>1294</v>
      </c>
    </row>
    <row r="2737" spans="1:5" x14ac:dyDescent="0.55000000000000004">
      <c r="A2737" t="str">
        <f>TEST_DATA!A2737</f>
        <v>27AAAAA2737Z5</v>
      </c>
      <c r="B2737" t="str">
        <f>TEST_DATA!B2737</f>
        <v>Nov-2017</v>
      </c>
      <c r="C2737">
        <f>TEST_DATA!C2737</f>
        <v>43524</v>
      </c>
      <c r="D2737" t="str">
        <f>TEST_DATA!D2737</f>
        <v>NIL</v>
      </c>
      <c r="E2737">
        <f>TEST_DATA!E2737</f>
        <v>2047</v>
      </c>
    </row>
    <row r="2738" spans="1:5" x14ac:dyDescent="0.55000000000000004">
      <c r="A2738" t="str">
        <f>TEST_DATA!A2738</f>
        <v>27AAAAA2738Z5</v>
      </c>
      <c r="B2738" t="str">
        <f>TEST_DATA!B2738</f>
        <v>Jun-2020</v>
      </c>
      <c r="C2738">
        <f>TEST_DATA!C2738</f>
        <v>44764</v>
      </c>
      <c r="D2738" t="str">
        <f>TEST_DATA!D2738</f>
        <v>NIL</v>
      </c>
      <c r="E2738">
        <f>TEST_DATA!E2738</f>
        <v>2463</v>
      </c>
    </row>
    <row r="2739" spans="1:5" x14ac:dyDescent="0.55000000000000004">
      <c r="A2739" t="str">
        <f>TEST_DATA!A2739</f>
        <v>27AAAAA2739Z5</v>
      </c>
      <c r="B2739" t="str">
        <f>TEST_DATA!B2739</f>
        <v>Apr-2018</v>
      </c>
      <c r="C2739">
        <f>TEST_DATA!C2739</f>
        <v>43215</v>
      </c>
      <c r="D2739" t="str">
        <f>TEST_DATA!D2739</f>
        <v>NIL</v>
      </c>
      <c r="E2739">
        <f>TEST_DATA!E2739</f>
        <v>2453</v>
      </c>
    </row>
    <row r="2740" spans="1:5" x14ac:dyDescent="0.55000000000000004">
      <c r="A2740" t="str">
        <f>TEST_DATA!A2740</f>
        <v>27AAAAA2740Z5</v>
      </c>
      <c r="B2740" t="str">
        <f>TEST_DATA!B2740</f>
        <v>May-2018</v>
      </c>
      <c r="C2740">
        <f>TEST_DATA!C2740</f>
        <v>43549</v>
      </c>
      <c r="D2740" t="str">
        <f>TEST_DATA!D2740</f>
        <v>NIL</v>
      </c>
      <c r="E2740">
        <f>TEST_DATA!E2740</f>
        <v>1120</v>
      </c>
    </row>
    <row r="2741" spans="1:5" x14ac:dyDescent="0.55000000000000004">
      <c r="A2741" t="str">
        <f>TEST_DATA!A2741</f>
        <v>27AAAAA2741Z5</v>
      </c>
      <c r="B2741" t="str">
        <f>TEST_DATA!B2741</f>
        <v>Mar-2023</v>
      </c>
      <c r="C2741">
        <f>TEST_DATA!C2741</f>
        <v>45816</v>
      </c>
      <c r="D2741" t="str">
        <f>TEST_DATA!D2741</f>
        <v>NON-NIL</v>
      </c>
      <c r="E2741">
        <f>TEST_DATA!E2741</f>
        <v>2584</v>
      </c>
    </row>
    <row r="2742" spans="1:5" x14ac:dyDescent="0.55000000000000004">
      <c r="A2742" t="str">
        <f>TEST_DATA!A2742</f>
        <v>27AAAAA2742Z5</v>
      </c>
      <c r="B2742" t="str">
        <f>TEST_DATA!B2742</f>
        <v>Dec-2022</v>
      </c>
      <c r="C2742">
        <f>TEST_DATA!C2742</f>
        <v>44349</v>
      </c>
      <c r="D2742" t="str">
        <f>TEST_DATA!D2742</f>
        <v>NON-NIL</v>
      </c>
      <c r="E2742">
        <f>TEST_DATA!E2742</f>
        <v>1193</v>
      </c>
    </row>
    <row r="2743" spans="1:5" x14ac:dyDescent="0.55000000000000004">
      <c r="A2743" t="str">
        <f>TEST_DATA!A2743</f>
        <v>27AAAAA2743Z5</v>
      </c>
      <c r="B2743" t="str">
        <f>TEST_DATA!B2743</f>
        <v>Jul-2020</v>
      </c>
      <c r="C2743">
        <f>TEST_DATA!C2743</f>
        <v>44602</v>
      </c>
      <c r="D2743" t="str">
        <f>TEST_DATA!D2743</f>
        <v>NIL</v>
      </c>
      <c r="E2743">
        <f>TEST_DATA!E2743</f>
        <v>1364</v>
      </c>
    </row>
    <row r="2744" spans="1:5" x14ac:dyDescent="0.55000000000000004">
      <c r="A2744" t="str">
        <f>TEST_DATA!A2744</f>
        <v>27AAAAA2744Z5</v>
      </c>
      <c r="B2744" t="str">
        <f>TEST_DATA!B2744</f>
        <v>Nov-2017</v>
      </c>
      <c r="C2744">
        <f>TEST_DATA!C2744</f>
        <v>44384</v>
      </c>
      <c r="D2744" t="str">
        <f>TEST_DATA!D2744</f>
        <v>NIL</v>
      </c>
      <c r="E2744">
        <f>TEST_DATA!E2744</f>
        <v>3000</v>
      </c>
    </row>
    <row r="2745" spans="1:5" x14ac:dyDescent="0.55000000000000004">
      <c r="A2745" t="str">
        <f>TEST_DATA!A2745</f>
        <v>27AAAAA2745Z5</v>
      </c>
      <c r="B2745" t="str">
        <f>TEST_DATA!B2745</f>
        <v>Apr-2021</v>
      </c>
      <c r="C2745">
        <f>TEST_DATA!C2745</f>
        <v>44387</v>
      </c>
      <c r="D2745" t="str">
        <f>TEST_DATA!D2745</f>
        <v>NIL</v>
      </c>
      <c r="E2745">
        <f>TEST_DATA!E2745</f>
        <v>733</v>
      </c>
    </row>
    <row r="2746" spans="1:5" x14ac:dyDescent="0.55000000000000004">
      <c r="A2746" t="str">
        <f>TEST_DATA!A2746</f>
        <v>27AAAAA2746Z5</v>
      </c>
      <c r="B2746" t="str">
        <f>TEST_DATA!B2746</f>
        <v>Mar-2023</v>
      </c>
      <c r="C2746">
        <f>TEST_DATA!C2746</f>
        <v>45462</v>
      </c>
      <c r="D2746" t="str">
        <f>TEST_DATA!D2746</f>
        <v>NON-NIL</v>
      </c>
      <c r="E2746">
        <f>TEST_DATA!E2746</f>
        <v>1225</v>
      </c>
    </row>
    <row r="2747" spans="1:5" x14ac:dyDescent="0.55000000000000004">
      <c r="A2747" t="str">
        <f>TEST_DATA!A2747</f>
        <v>27AAAAA2747Z5</v>
      </c>
      <c r="B2747" t="str">
        <f>TEST_DATA!B2747</f>
        <v>Dec-2022</v>
      </c>
      <c r="C2747">
        <f>TEST_DATA!C2747</f>
        <v>44118</v>
      </c>
      <c r="D2747" t="str">
        <f>TEST_DATA!D2747</f>
        <v>NIL</v>
      </c>
      <c r="E2747">
        <f>TEST_DATA!E2747</f>
        <v>2244</v>
      </c>
    </row>
    <row r="2748" spans="1:5" x14ac:dyDescent="0.55000000000000004">
      <c r="A2748" t="str">
        <f>TEST_DATA!A2748</f>
        <v>27AAAAA2748Z5</v>
      </c>
      <c r="B2748" t="str">
        <f>TEST_DATA!B2748</f>
        <v>Jul-2018</v>
      </c>
      <c r="C2748">
        <f>TEST_DATA!C2748</f>
        <v>43608</v>
      </c>
      <c r="D2748" t="str">
        <f>TEST_DATA!D2748</f>
        <v>NON-NIL</v>
      </c>
      <c r="E2748">
        <f>TEST_DATA!E2748</f>
        <v>2776</v>
      </c>
    </row>
    <row r="2749" spans="1:5" x14ac:dyDescent="0.55000000000000004">
      <c r="A2749" t="str">
        <f>TEST_DATA!A2749</f>
        <v>27AAAAA2749Z5</v>
      </c>
      <c r="B2749" t="str">
        <f>TEST_DATA!B2749</f>
        <v>Jan-2019</v>
      </c>
      <c r="C2749">
        <f>TEST_DATA!C2749</f>
        <v>44892</v>
      </c>
      <c r="D2749" t="str">
        <f>TEST_DATA!D2749</f>
        <v>NON-NIL</v>
      </c>
      <c r="E2749">
        <f>TEST_DATA!E2749</f>
        <v>1601</v>
      </c>
    </row>
    <row r="2750" spans="1:5" x14ac:dyDescent="0.55000000000000004">
      <c r="A2750" t="str">
        <f>TEST_DATA!A2750</f>
        <v>27AAAAA2750Z5</v>
      </c>
      <c r="B2750" t="str">
        <f>TEST_DATA!B2750</f>
        <v>Sep-2017</v>
      </c>
      <c r="C2750">
        <f>TEST_DATA!C2750</f>
        <v>43998</v>
      </c>
      <c r="D2750" t="str">
        <f>TEST_DATA!D2750</f>
        <v>NON-NIL</v>
      </c>
      <c r="E2750">
        <f>TEST_DATA!E2750</f>
        <v>1156</v>
      </c>
    </row>
    <row r="2751" spans="1:5" x14ac:dyDescent="0.55000000000000004">
      <c r="A2751" t="str">
        <f>TEST_DATA!A2751</f>
        <v>27AAAAA2751Z5</v>
      </c>
      <c r="B2751" t="str">
        <f>TEST_DATA!B2751</f>
        <v>Jul-2020</v>
      </c>
      <c r="C2751">
        <f>TEST_DATA!C2751</f>
        <v>44230</v>
      </c>
      <c r="D2751" t="str">
        <f>TEST_DATA!D2751</f>
        <v>NON-NIL</v>
      </c>
      <c r="E2751">
        <f>TEST_DATA!E2751</f>
        <v>398</v>
      </c>
    </row>
    <row r="2752" spans="1:5" x14ac:dyDescent="0.55000000000000004">
      <c r="A2752" t="str">
        <f>TEST_DATA!A2752</f>
        <v>27AAAAA2752Z5</v>
      </c>
      <c r="B2752" t="str">
        <f>TEST_DATA!B2752</f>
        <v>Nov-2017</v>
      </c>
      <c r="C2752">
        <f>TEST_DATA!C2752</f>
        <v>43579</v>
      </c>
      <c r="D2752" t="str">
        <f>TEST_DATA!D2752</f>
        <v>NIL</v>
      </c>
      <c r="E2752">
        <f>TEST_DATA!E2752</f>
        <v>2906</v>
      </c>
    </row>
    <row r="2753" spans="1:5" x14ac:dyDescent="0.55000000000000004">
      <c r="A2753" t="str">
        <f>TEST_DATA!A2753</f>
        <v>27AAAAA2753Z5</v>
      </c>
      <c r="B2753" t="str">
        <f>TEST_DATA!B2753</f>
        <v>Apr-2018</v>
      </c>
      <c r="C2753">
        <f>TEST_DATA!C2753</f>
        <v>43854</v>
      </c>
      <c r="D2753" t="str">
        <f>TEST_DATA!D2753</f>
        <v>NIL</v>
      </c>
      <c r="E2753">
        <f>TEST_DATA!E2753</f>
        <v>2364</v>
      </c>
    </row>
    <row r="2754" spans="1:5" x14ac:dyDescent="0.55000000000000004">
      <c r="A2754" t="str">
        <f>TEST_DATA!A2754</f>
        <v>27AAAAA2754Z5</v>
      </c>
      <c r="B2754" t="str">
        <f>TEST_DATA!B2754</f>
        <v>Nov-2017</v>
      </c>
      <c r="C2754">
        <f>TEST_DATA!C2754</f>
        <v>43821</v>
      </c>
      <c r="D2754" t="str">
        <f>TEST_DATA!D2754</f>
        <v>NON-NIL</v>
      </c>
      <c r="E2754">
        <f>TEST_DATA!E2754</f>
        <v>1192</v>
      </c>
    </row>
    <row r="2755" spans="1:5" x14ac:dyDescent="0.55000000000000004">
      <c r="A2755" t="str">
        <f>TEST_DATA!A2755</f>
        <v>27AAAAA2755Z5</v>
      </c>
      <c r="B2755" t="str">
        <f>TEST_DATA!B2755</f>
        <v>Dec-2024</v>
      </c>
      <c r="C2755">
        <f>TEST_DATA!C2755</f>
        <v>44059</v>
      </c>
      <c r="D2755" t="str">
        <f>TEST_DATA!D2755</f>
        <v>NIL</v>
      </c>
      <c r="E2755">
        <f>TEST_DATA!E2755</f>
        <v>893</v>
      </c>
    </row>
    <row r="2756" spans="1:5" x14ac:dyDescent="0.55000000000000004">
      <c r="A2756" t="str">
        <f>TEST_DATA!A2756</f>
        <v>27AAAAA2756Z5</v>
      </c>
      <c r="B2756" t="str">
        <f>TEST_DATA!B2756</f>
        <v>Apr-2021</v>
      </c>
      <c r="C2756">
        <f>TEST_DATA!C2756</f>
        <v>44267</v>
      </c>
      <c r="D2756" t="str">
        <f>TEST_DATA!D2756</f>
        <v>NIL</v>
      </c>
      <c r="E2756">
        <f>TEST_DATA!E2756</f>
        <v>1483</v>
      </c>
    </row>
    <row r="2757" spans="1:5" x14ac:dyDescent="0.55000000000000004">
      <c r="A2757" t="str">
        <f>TEST_DATA!A2757</f>
        <v>27AAAAA2757Z5</v>
      </c>
      <c r="B2757" t="str">
        <f>TEST_DATA!B2757</f>
        <v>Jan-2021</v>
      </c>
      <c r="C2757">
        <f>TEST_DATA!C2757</f>
        <v>45823</v>
      </c>
      <c r="D2757" t="str">
        <f>TEST_DATA!D2757</f>
        <v>NIL</v>
      </c>
      <c r="E2757">
        <f>TEST_DATA!E2757</f>
        <v>2778</v>
      </c>
    </row>
    <row r="2758" spans="1:5" x14ac:dyDescent="0.55000000000000004">
      <c r="A2758" t="str">
        <f>TEST_DATA!A2758</f>
        <v>27AAAAA2758Z5</v>
      </c>
      <c r="B2758" t="str">
        <f>TEST_DATA!B2758</f>
        <v>Apr-2021</v>
      </c>
      <c r="C2758">
        <f>TEST_DATA!C2758</f>
        <v>44070</v>
      </c>
      <c r="D2758" t="str">
        <f>TEST_DATA!D2758</f>
        <v>NON-NIL</v>
      </c>
      <c r="E2758">
        <f>TEST_DATA!E2758</f>
        <v>1749</v>
      </c>
    </row>
    <row r="2759" spans="1:5" x14ac:dyDescent="0.55000000000000004">
      <c r="A2759" t="str">
        <f>TEST_DATA!A2759</f>
        <v>27AAAAA2759Z5</v>
      </c>
      <c r="B2759" t="str">
        <f>TEST_DATA!B2759</f>
        <v>Jun-2020</v>
      </c>
      <c r="C2759">
        <f>TEST_DATA!C2759</f>
        <v>44175</v>
      </c>
      <c r="D2759" t="str">
        <f>TEST_DATA!D2759</f>
        <v>NIL</v>
      </c>
      <c r="E2759">
        <f>TEST_DATA!E2759</f>
        <v>393</v>
      </c>
    </row>
    <row r="2760" spans="1:5" x14ac:dyDescent="0.55000000000000004">
      <c r="A2760" t="str">
        <f>TEST_DATA!A2760</f>
        <v>27AAAAA2760Z5</v>
      </c>
      <c r="B2760" t="str">
        <f>TEST_DATA!B2760</f>
        <v>Jun-2018</v>
      </c>
      <c r="C2760">
        <f>TEST_DATA!C2760</f>
        <v>43887</v>
      </c>
      <c r="D2760" t="str">
        <f>TEST_DATA!D2760</f>
        <v>NIL</v>
      </c>
      <c r="E2760">
        <f>TEST_DATA!E2760</f>
        <v>214</v>
      </c>
    </row>
    <row r="2761" spans="1:5" x14ac:dyDescent="0.55000000000000004">
      <c r="A2761" t="str">
        <f>TEST_DATA!A2761</f>
        <v>27AAAAA2761Z5</v>
      </c>
      <c r="B2761" t="str">
        <f>TEST_DATA!B2761</f>
        <v>Oct-2017</v>
      </c>
      <c r="C2761">
        <f>TEST_DATA!C2761</f>
        <v>43972</v>
      </c>
      <c r="D2761" t="str">
        <f>TEST_DATA!D2761</f>
        <v>NON-NIL</v>
      </c>
      <c r="E2761">
        <f>TEST_DATA!E2761</f>
        <v>2430</v>
      </c>
    </row>
    <row r="2762" spans="1:5" x14ac:dyDescent="0.55000000000000004">
      <c r="A2762" t="str">
        <f>TEST_DATA!A2762</f>
        <v>27AAAAA2762Z5</v>
      </c>
      <c r="B2762" t="str">
        <f>TEST_DATA!B2762</f>
        <v>Aug-2018</v>
      </c>
      <c r="C2762">
        <f>TEST_DATA!C2762</f>
        <v>43221</v>
      </c>
      <c r="D2762" t="str">
        <f>TEST_DATA!D2762</f>
        <v>NON-NIL</v>
      </c>
      <c r="E2762">
        <f>TEST_DATA!E2762</f>
        <v>1003</v>
      </c>
    </row>
    <row r="2763" spans="1:5" x14ac:dyDescent="0.55000000000000004">
      <c r="A2763" t="str">
        <f>TEST_DATA!A2763</f>
        <v>27AAAAA2763Z5</v>
      </c>
      <c r="B2763" t="str">
        <f>TEST_DATA!B2763</f>
        <v>Aug-2017</v>
      </c>
      <c r="C2763">
        <f>TEST_DATA!C2763</f>
        <v>43160</v>
      </c>
      <c r="D2763" t="str">
        <f>TEST_DATA!D2763</f>
        <v>NIL</v>
      </c>
      <c r="E2763">
        <f>TEST_DATA!E2763</f>
        <v>1624</v>
      </c>
    </row>
    <row r="2764" spans="1:5" x14ac:dyDescent="0.55000000000000004">
      <c r="A2764" t="str">
        <f>TEST_DATA!A2764</f>
        <v>27AAAAA2764Z5</v>
      </c>
      <c r="B2764" t="str">
        <f>TEST_DATA!B2764</f>
        <v>Jan-2019</v>
      </c>
      <c r="C2764">
        <f>TEST_DATA!C2764</f>
        <v>44705</v>
      </c>
      <c r="D2764" t="str">
        <f>TEST_DATA!D2764</f>
        <v>NIL</v>
      </c>
      <c r="E2764">
        <f>TEST_DATA!E2764</f>
        <v>2673</v>
      </c>
    </row>
    <row r="2765" spans="1:5" x14ac:dyDescent="0.55000000000000004">
      <c r="A2765" t="str">
        <f>TEST_DATA!A2765</f>
        <v>27AAAAA2765Z5</v>
      </c>
      <c r="B2765" t="str">
        <f>TEST_DATA!B2765</f>
        <v>Jan-2021</v>
      </c>
      <c r="C2765">
        <f>TEST_DATA!C2765</f>
        <v>45003</v>
      </c>
      <c r="D2765" t="str">
        <f>TEST_DATA!D2765</f>
        <v>NIL</v>
      </c>
      <c r="E2765">
        <f>TEST_DATA!E2765</f>
        <v>1899</v>
      </c>
    </row>
    <row r="2766" spans="1:5" x14ac:dyDescent="0.55000000000000004">
      <c r="A2766" t="str">
        <f>TEST_DATA!A2766</f>
        <v>27AAAAA2766Z5</v>
      </c>
      <c r="B2766" t="str">
        <f>TEST_DATA!B2766</f>
        <v>Mar-2023</v>
      </c>
      <c r="C2766">
        <f>TEST_DATA!C2766</f>
        <v>45031</v>
      </c>
      <c r="D2766" t="str">
        <f>TEST_DATA!D2766</f>
        <v>NON-NIL</v>
      </c>
      <c r="E2766">
        <f>TEST_DATA!E2766</f>
        <v>2590</v>
      </c>
    </row>
    <row r="2767" spans="1:5" x14ac:dyDescent="0.55000000000000004">
      <c r="A2767" t="str">
        <f>TEST_DATA!A2767</f>
        <v>27AAAAA2767Z5</v>
      </c>
      <c r="B2767" t="str">
        <f>TEST_DATA!B2767</f>
        <v>May-2020</v>
      </c>
      <c r="C2767">
        <f>TEST_DATA!C2767</f>
        <v>44742</v>
      </c>
      <c r="D2767" t="str">
        <f>TEST_DATA!D2767</f>
        <v>NON-NIL</v>
      </c>
      <c r="E2767">
        <f>TEST_DATA!E2767</f>
        <v>47</v>
      </c>
    </row>
    <row r="2768" spans="1:5" x14ac:dyDescent="0.55000000000000004">
      <c r="A2768" t="str">
        <f>TEST_DATA!A2768</f>
        <v>27AAAAA2768Z5</v>
      </c>
      <c r="B2768" t="str">
        <f>TEST_DATA!B2768</f>
        <v>Oct-2017</v>
      </c>
      <c r="C2768">
        <f>TEST_DATA!C2768</f>
        <v>43155</v>
      </c>
      <c r="D2768" t="str">
        <f>TEST_DATA!D2768</f>
        <v>NIL</v>
      </c>
      <c r="E2768">
        <f>TEST_DATA!E2768</f>
        <v>499</v>
      </c>
    </row>
    <row r="2769" spans="1:5" x14ac:dyDescent="0.55000000000000004">
      <c r="A2769" t="str">
        <f>TEST_DATA!A2769</f>
        <v>27AAAAA2769Z5</v>
      </c>
      <c r="B2769" t="str">
        <f>TEST_DATA!B2769</f>
        <v>Jan-2019</v>
      </c>
      <c r="C2769">
        <f>TEST_DATA!C2769</f>
        <v>45553</v>
      </c>
      <c r="D2769" t="str">
        <f>TEST_DATA!D2769</f>
        <v>NIL</v>
      </c>
      <c r="E2769">
        <f>TEST_DATA!E2769</f>
        <v>94</v>
      </c>
    </row>
    <row r="2770" spans="1:5" x14ac:dyDescent="0.55000000000000004">
      <c r="A2770" t="str">
        <f>TEST_DATA!A2770</f>
        <v>27AAAAA2770Z5</v>
      </c>
      <c r="B2770" t="str">
        <f>TEST_DATA!B2770</f>
        <v>Mar-2020</v>
      </c>
      <c r="C2770">
        <f>TEST_DATA!C2770</f>
        <v>44813</v>
      </c>
      <c r="D2770" t="str">
        <f>TEST_DATA!D2770</f>
        <v>NON-NIL</v>
      </c>
      <c r="E2770">
        <f>TEST_DATA!E2770</f>
        <v>2841</v>
      </c>
    </row>
    <row r="2771" spans="1:5" x14ac:dyDescent="0.55000000000000004">
      <c r="A2771" t="str">
        <f>TEST_DATA!A2771</f>
        <v>27AAAAA2771Z5</v>
      </c>
      <c r="B2771" t="str">
        <f>TEST_DATA!B2771</f>
        <v>Jan-2021</v>
      </c>
      <c r="C2771">
        <f>TEST_DATA!C2771</f>
        <v>43853</v>
      </c>
      <c r="D2771" t="str">
        <f>TEST_DATA!D2771</f>
        <v>NIL</v>
      </c>
      <c r="E2771">
        <f>TEST_DATA!E2771</f>
        <v>1572</v>
      </c>
    </row>
    <row r="2772" spans="1:5" x14ac:dyDescent="0.55000000000000004">
      <c r="A2772" t="str">
        <f>TEST_DATA!A2772</f>
        <v>27AAAAA2772Z5</v>
      </c>
      <c r="B2772" t="str">
        <f>TEST_DATA!B2772</f>
        <v>Jan-2019</v>
      </c>
      <c r="C2772">
        <f>TEST_DATA!C2772</f>
        <v>45242</v>
      </c>
      <c r="D2772" t="str">
        <f>TEST_DATA!D2772</f>
        <v>NON-NIL</v>
      </c>
      <c r="E2772">
        <f>TEST_DATA!E2772</f>
        <v>2340</v>
      </c>
    </row>
    <row r="2773" spans="1:5" x14ac:dyDescent="0.55000000000000004">
      <c r="A2773" t="str">
        <f>TEST_DATA!A2773</f>
        <v>27AAAAA2773Z5</v>
      </c>
      <c r="B2773" t="str">
        <f>TEST_DATA!B2773</f>
        <v>Nov-2017</v>
      </c>
      <c r="C2773">
        <f>TEST_DATA!C2773</f>
        <v>43120</v>
      </c>
      <c r="D2773" t="str">
        <f>TEST_DATA!D2773</f>
        <v>NON-NIL</v>
      </c>
      <c r="E2773">
        <f>TEST_DATA!E2773</f>
        <v>260</v>
      </c>
    </row>
    <row r="2774" spans="1:5" x14ac:dyDescent="0.55000000000000004">
      <c r="A2774" t="str">
        <f>TEST_DATA!A2774</f>
        <v>27AAAAA2774Z5</v>
      </c>
      <c r="B2774" t="str">
        <f>TEST_DATA!B2774</f>
        <v>Jul-2020</v>
      </c>
      <c r="C2774">
        <f>TEST_DATA!C2774</f>
        <v>44209</v>
      </c>
      <c r="D2774" t="str">
        <f>TEST_DATA!D2774</f>
        <v>NON-NIL</v>
      </c>
      <c r="E2774">
        <f>TEST_DATA!E2774</f>
        <v>2870</v>
      </c>
    </row>
    <row r="2775" spans="1:5" x14ac:dyDescent="0.55000000000000004">
      <c r="A2775" t="str">
        <f>TEST_DATA!A2775</f>
        <v>27AAAAA2775Z5</v>
      </c>
      <c r="B2775" t="str">
        <f>TEST_DATA!B2775</f>
        <v>Jul-2017</v>
      </c>
      <c r="C2775">
        <f>TEST_DATA!C2775</f>
        <v>43723</v>
      </c>
      <c r="D2775" t="str">
        <f>TEST_DATA!D2775</f>
        <v>NON-NIL</v>
      </c>
      <c r="E2775">
        <f>TEST_DATA!E2775</f>
        <v>261</v>
      </c>
    </row>
    <row r="2776" spans="1:5" x14ac:dyDescent="0.55000000000000004">
      <c r="A2776" t="str">
        <f>TEST_DATA!A2776</f>
        <v>27AAAAA2776Z5</v>
      </c>
      <c r="B2776" t="str">
        <f>TEST_DATA!B2776</f>
        <v>Jun-2019</v>
      </c>
      <c r="C2776">
        <f>TEST_DATA!C2776</f>
        <v>45673</v>
      </c>
      <c r="D2776" t="str">
        <f>TEST_DATA!D2776</f>
        <v>NIL</v>
      </c>
      <c r="E2776">
        <f>TEST_DATA!E2776</f>
        <v>849</v>
      </c>
    </row>
    <row r="2777" spans="1:5" x14ac:dyDescent="0.55000000000000004">
      <c r="A2777" t="str">
        <f>TEST_DATA!A2777</f>
        <v>27AAAAA2777Z5</v>
      </c>
      <c r="B2777" t="str">
        <f>TEST_DATA!B2777</f>
        <v>Jun-2020</v>
      </c>
      <c r="C2777">
        <f>TEST_DATA!C2777</f>
        <v>44071</v>
      </c>
      <c r="D2777" t="str">
        <f>TEST_DATA!D2777</f>
        <v>NIL</v>
      </c>
      <c r="E2777">
        <f>TEST_DATA!E2777</f>
        <v>2453</v>
      </c>
    </row>
    <row r="2778" spans="1:5" x14ac:dyDescent="0.55000000000000004">
      <c r="A2778" t="str">
        <f>TEST_DATA!A2778</f>
        <v>27AAAAA2778Z5</v>
      </c>
      <c r="B2778" t="str">
        <f>TEST_DATA!B2778</f>
        <v>Jul-2020</v>
      </c>
      <c r="C2778">
        <f>TEST_DATA!C2778</f>
        <v>44199</v>
      </c>
      <c r="D2778" t="str">
        <f>TEST_DATA!D2778</f>
        <v>NIL</v>
      </c>
      <c r="E2778">
        <f>TEST_DATA!E2778</f>
        <v>2272</v>
      </c>
    </row>
    <row r="2779" spans="1:5" x14ac:dyDescent="0.55000000000000004">
      <c r="A2779" t="str">
        <f>TEST_DATA!A2779</f>
        <v>27AAAAA2779Z5</v>
      </c>
      <c r="B2779" t="str">
        <f>TEST_DATA!B2779</f>
        <v>Sep-2018</v>
      </c>
      <c r="C2779">
        <f>TEST_DATA!C2779</f>
        <v>44556</v>
      </c>
      <c r="D2779" t="str">
        <f>TEST_DATA!D2779</f>
        <v>NON-NIL</v>
      </c>
      <c r="E2779">
        <f>TEST_DATA!E2779</f>
        <v>503</v>
      </c>
    </row>
    <row r="2780" spans="1:5" x14ac:dyDescent="0.55000000000000004">
      <c r="A2780" t="str">
        <f>TEST_DATA!A2780</f>
        <v>27AAAAA2780Z5</v>
      </c>
      <c r="B2780" t="str">
        <f>TEST_DATA!B2780</f>
        <v>Aug-2017</v>
      </c>
      <c r="C2780">
        <f>TEST_DATA!C2780</f>
        <v>43180</v>
      </c>
      <c r="D2780" t="str">
        <f>TEST_DATA!D2780</f>
        <v>NIL</v>
      </c>
      <c r="E2780">
        <f>TEST_DATA!E2780</f>
        <v>2673</v>
      </c>
    </row>
    <row r="2781" spans="1:5" x14ac:dyDescent="0.55000000000000004">
      <c r="A2781" t="str">
        <f>TEST_DATA!A2781</f>
        <v>27AAAAA2781Z5</v>
      </c>
      <c r="B2781" t="str">
        <f>TEST_DATA!B2781</f>
        <v>Dec-2017</v>
      </c>
      <c r="C2781">
        <f>TEST_DATA!C2781</f>
        <v>43096</v>
      </c>
      <c r="D2781" t="str">
        <f>TEST_DATA!D2781</f>
        <v>NON-NIL</v>
      </c>
      <c r="E2781">
        <f>TEST_DATA!E2781</f>
        <v>143</v>
      </c>
    </row>
    <row r="2782" spans="1:5" x14ac:dyDescent="0.55000000000000004">
      <c r="A2782" t="str">
        <f>TEST_DATA!A2782</f>
        <v>27AAAAA2782Z5</v>
      </c>
      <c r="B2782" t="str">
        <f>TEST_DATA!B2782</f>
        <v>Sep-2017</v>
      </c>
      <c r="C2782">
        <f>TEST_DATA!C2782</f>
        <v>43172</v>
      </c>
      <c r="D2782" t="str">
        <f>TEST_DATA!D2782</f>
        <v>NON-NIL</v>
      </c>
      <c r="E2782">
        <f>TEST_DATA!E2782</f>
        <v>1489</v>
      </c>
    </row>
    <row r="2783" spans="1:5" x14ac:dyDescent="0.55000000000000004">
      <c r="A2783" t="str">
        <f>TEST_DATA!A2783</f>
        <v>27AAAAA2783Z5</v>
      </c>
      <c r="B2783" t="str">
        <f>TEST_DATA!B2783</f>
        <v>Dec-2019</v>
      </c>
      <c r="C2783">
        <f>TEST_DATA!C2783</f>
        <v>44168</v>
      </c>
      <c r="D2783" t="str">
        <f>TEST_DATA!D2783</f>
        <v>NON-NIL</v>
      </c>
      <c r="E2783">
        <f>TEST_DATA!E2783</f>
        <v>2695</v>
      </c>
    </row>
    <row r="2784" spans="1:5" x14ac:dyDescent="0.55000000000000004">
      <c r="A2784" t="str">
        <f>TEST_DATA!A2784</f>
        <v>27AAAAA2784Z5</v>
      </c>
      <c r="B2784" t="str">
        <f>TEST_DATA!B2784</f>
        <v>Jul-2017</v>
      </c>
      <c r="C2784">
        <f>TEST_DATA!C2784</f>
        <v>43425</v>
      </c>
      <c r="D2784" t="str">
        <f>TEST_DATA!D2784</f>
        <v>NON-NIL</v>
      </c>
      <c r="E2784">
        <f>TEST_DATA!E2784</f>
        <v>189</v>
      </c>
    </row>
    <row r="2785" spans="1:5" x14ac:dyDescent="0.55000000000000004">
      <c r="A2785" t="str">
        <f>TEST_DATA!A2785</f>
        <v>27AAAAA2785Z5</v>
      </c>
      <c r="B2785" t="str">
        <f>TEST_DATA!B2785</f>
        <v>Jun-2019</v>
      </c>
      <c r="C2785">
        <f>TEST_DATA!C2785</f>
        <v>44667</v>
      </c>
      <c r="D2785" t="str">
        <f>TEST_DATA!D2785</f>
        <v>NON-NIL</v>
      </c>
      <c r="E2785">
        <f>TEST_DATA!E2785</f>
        <v>572</v>
      </c>
    </row>
    <row r="2786" spans="1:5" x14ac:dyDescent="0.55000000000000004">
      <c r="A2786" t="str">
        <f>TEST_DATA!A2786</f>
        <v>27AAAAA2786Z5</v>
      </c>
      <c r="B2786" t="str">
        <f>TEST_DATA!B2786</f>
        <v>Mar-2020</v>
      </c>
      <c r="C2786">
        <f>TEST_DATA!C2786</f>
        <v>44835</v>
      </c>
      <c r="D2786" t="str">
        <f>TEST_DATA!D2786</f>
        <v>NON-NIL</v>
      </c>
      <c r="E2786">
        <f>TEST_DATA!E2786</f>
        <v>2140</v>
      </c>
    </row>
    <row r="2787" spans="1:5" x14ac:dyDescent="0.55000000000000004">
      <c r="A2787" t="str">
        <f>TEST_DATA!A2787</f>
        <v>27AAAAA2787Z5</v>
      </c>
      <c r="B2787" t="str">
        <f>TEST_DATA!B2787</f>
        <v>Jun-2018</v>
      </c>
      <c r="C2787">
        <f>TEST_DATA!C2787</f>
        <v>44158</v>
      </c>
      <c r="D2787" t="str">
        <f>TEST_DATA!D2787</f>
        <v>NIL</v>
      </c>
      <c r="E2787">
        <f>TEST_DATA!E2787</f>
        <v>2817</v>
      </c>
    </row>
    <row r="2788" spans="1:5" x14ac:dyDescent="0.55000000000000004">
      <c r="A2788" t="str">
        <f>TEST_DATA!A2788</f>
        <v>27AAAAA2788Z5</v>
      </c>
      <c r="B2788" t="str">
        <f>TEST_DATA!B2788</f>
        <v>Oct-2017</v>
      </c>
      <c r="C2788">
        <f>TEST_DATA!C2788</f>
        <v>44274</v>
      </c>
      <c r="D2788" t="str">
        <f>TEST_DATA!D2788</f>
        <v>NIL</v>
      </c>
      <c r="E2788">
        <f>TEST_DATA!E2788</f>
        <v>971</v>
      </c>
    </row>
    <row r="2789" spans="1:5" x14ac:dyDescent="0.55000000000000004">
      <c r="A2789" t="str">
        <f>TEST_DATA!A2789</f>
        <v>27AAAAA2789Z5</v>
      </c>
      <c r="B2789" t="str">
        <f>TEST_DATA!B2789</f>
        <v>Aug-2017</v>
      </c>
      <c r="C2789">
        <f>TEST_DATA!C2789</f>
        <v>43302</v>
      </c>
      <c r="D2789" t="str">
        <f>TEST_DATA!D2789</f>
        <v>NIL</v>
      </c>
      <c r="E2789">
        <f>TEST_DATA!E2789</f>
        <v>1227</v>
      </c>
    </row>
    <row r="2790" spans="1:5" x14ac:dyDescent="0.55000000000000004">
      <c r="A2790" t="str">
        <f>TEST_DATA!A2790</f>
        <v>27AAAAA2790Z5</v>
      </c>
      <c r="B2790" t="str">
        <f>TEST_DATA!B2790</f>
        <v>Mar-2023</v>
      </c>
      <c r="C2790">
        <f>TEST_DATA!C2790</f>
        <v>44347</v>
      </c>
      <c r="D2790" t="str">
        <f>TEST_DATA!D2790</f>
        <v>NIL</v>
      </c>
      <c r="E2790">
        <f>TEST_DATA!E2790</f>
        <v>2466</v>
      </c>
    </row>
    <row r="2791" spans="1:5" x14ac:dyDescent="0.55000000000000004">
      <c r="A2791" t="str">
        <f>TEST_DATA!A2791</f>
        <v>27AAAAA2791Z5</v>
      </c>
      <c r="B2791" t="str">
        <f>TEST_DATA!B2791</f>
        <v>Dec-2019</v>
      </c>
      <c r="C2791">
        <f>TEST_DATA!C2791</f>
        <v>44350</v>
      </c>
      <c r="D2791" t="str">
        <f>TEST_DATA!D2791</f>
        <v>NON-NIL</v>
      </c>
      <c r="E2791">
        <f>TEST_DATA!E2791</f>
        <v>1136</v>
      </c>
    </row>
    <row r="2792" spans="1:5" x14ac:dyDescent="0.55000000000000004">
      <c r="A2792" t="str">
        <f>TEST_DATA!A2792</f>
        <v>27AAAAA2792Z5</v>
      </c>
      <c r="B2792" t="str">
        <f>TEST_DATA!B2792</f>
        <v>Nov-2017</v>
      </c>
      <c r="C2792">
        <f>TEST_DATA!C2792</f>
        <v>44410</v>
      </c>
      <c r="D2792" t="str">
        <f>TEST_DATA!D2792</f>
        <v>NON-NIL</v>
      </c>
      <c r="E2792">
        <f>TEST_DATA!E2792</f>
        <v>304</v>
      </c>
    </row>
    <row r="2793" spans="1:5" x14ac:dyDescent="0.55000000000000004">
      <c r="A2793" t="str">
        <f>TEST_DATA!A2793</f>
        <v>27AAAAA2793Z5</v>
      </c>
      <c r="B2793" t="str">
        <f>TEST_DATA!B2793</f>
        <v>Dec-2019</v>
      </c>
      <c r="C2793">
        <f>TEST_DATA!C2793</f>
        <v>44510</v>
      </c>
      <c r="D2793" t="str">
        <f>TEST_DATA!D2793</f>
        <v>NON-NIL</v>
      </c>
      <c r="E2793">
        <f>TEST_DATA!E2793</f>
        <v>1563</v>
      </c>
    </row>
    <row r="2794" spans="1:5" x14ac:dyDescent="0.55000000000000004">
      <c r="A2794" t="str">
        <f>TEST_DATA!A2794</f>
        <v>27AAAAA2794Z5</v>
      </c>
      <c r="B2794" t="str">
        <f>TEST_DATA!B2794</f>
        <v>May-2020</v>
      </c>
      <c r="C2794">
        <f>TEST_DATA!C2794</f>
        <v>44165</v>
      </c>
      <c r="D2794" t="str">
        <f>TEST_DATA!D2794</f>
        <v>NON-NIL</v>
      </c>
      <c r="E2794">
        <f>TEST_DATA!E2794</f>
        <v>1868</v>
      </c>
    </row>
    <row r="2795" spans="1:5" x14ac:dyDescent="0.55000000000000004">
      <c r="A2795" t="str">
        <f>TEST_DATA!A2795</f>
        <v>27AAAAA2795Z5</v>
      </c>
      <c r="B2795" t="str">
        <f>TEST_DATA!B2795</f>
        <v>Sep-2017</v>
      </c>
      <c r="C2795">
        <f>TEST_DATA!C2795</f>
        <v>43437</v>
      </c>
      <c r="D2795" t="str">
        <f>TEST_DATA!D2795</f>
        <v>NON-NIL</v>
      </c>
      <c r="E2795">
        <f>TEST_DATA!E2795</f>
        <v>2844</v>
      </c>
    </row>
    <row r="2796" spans="1:5" x14ac:dyDescent="0.55000000000000004">
      <c r="A2796" t="str">
        <f>TEST_DATA!A2796</f>
        <v>27AAAAA2796Z5</v>
      </c>
      <c r="B2796" t="str">
        <f>TEST_DATA!B2796</f>
        <v>Nov-2017</v>
      </c>
      <c r="C2796">
        <f>TEST_DATA!C2796</f>
        <v>44014</v>
      </c>
      <c r="D2796" t="str">
        <f>TEST_DATA!D2796</f>
        <v>NIL</v>
      </c>
      <c r="E2796">
        <f>TEST_DATA!E2796</f>
        <v>289</v>
      </c>
    </row>
    <row r="2797" spans="1:5" x14ac:dyDescent="0.55000000000000004">
      <c r="A2797" t="str">
        <f>TEST_DATA!A2797</f>
        <v>27AAAAA2797Z5</v>
      </c>
      <c r="B2797" t="str">
        <f>TEST_DATA!B2797</f>
        <v>May-2020</v>
      </c>
      <c r="C2797">
        <f>TEST_DATA!C2797</f>
        <v>44382</v>
      </c>
      <c r="D2797" t="str">
        <f>TEST_DATA!D2797</f>
        <v>NIL</v>
      </c>
      <c r="E2797">
        <f>TEST_DATA!E2797</f>
        <v>2926</v>
      </c>
    </row>
    <row r="2798" spans="1:5" x14ac:dyDescent="0.55000000000000004">
      <c r="A2798" t="str">
        <f>TEST_DATA!A2798</f>
        <v>27AAAAA2798Z5</v>
      </c>
      <c r="B2798" t="str">
        <f>TEST_DATA!B2798</f>
        <v>Jun-2018</v>
      </c>
      <c r="C2798">
        <f>TEST_DATA!C2798</f>
        <v>44071</v>
      </c>
      <c r="D2798" t="str">
        <f>TEST_DATA!D2798</f>
        <v>NIL</v>
      </c>
      <c r="E2798">
        <f>TEST_DATA!E2798</f>
        <v>1719</v>
      </c>
    </row>
    <row r="2799" spans="1:5" x14ac:dyDescent="0.55000000000000004">
      <c r="A2799" t="str">
        <f>TEST_DATA!A2799</f>
        <v>27AAAAA2799Z5</v>
      </c>
      <c r="B2799" t="str">
        <f>TEST_DATA!B2799</f>
        <v>Dec-2022</v>
      </c>
      <c r="C2799">
        <f>TEST_DATA!C2799</f>
        <v>44094</v>
      </c>
      <c r="D2799" t="str">
        <f>TEST_DATA!D2799</f>
        <v>NON-NIL</v>
      </c>
      <c r="E2799">
        <f>TEST_DATA!E2799</f>
        <v>1776</v>
      </c>
    </row>
    <row r="2800" spans="1:5" x14ac:dyDescent="0.55000000000000004">
      <c r="A2800" t="str">
        <f>TEST_DATA!A2800</f>
        <v>27AAAAA2800Z5</v>
      </c>
      <c r="B2800" t="str">
        <f>TEST_DATA!B2800</f>
        <v>Jul-2018</v>
      </c>
      <c r="C2800">
        <f>TEST_DATA!C2800</f>
        <v>42970</v>
      </c>
      <c r="D2800" t="str">
        <f>TEST_DATA!D2800</f>
        <v>NIL</v>
      </c>
      <c r="E2800">
        <f>TEST_DATA!E2800</f>
        <v>317</v>
      </c>
    </row>
    <row r="2801" spans="1:5" x14ac:dyDescent="0.55000000000000004">
      <c r="A2801" t="str">
        <f>TEST_DATA!A2801</f>
        <v>27AAAAA2801Z5</v>
      </c>
      <c r="B2801" t="str">
        <f>TEST_DATA!B2801</f>
        <v>Mar-2018</v>
      </c>
      <c r="C2801">
        <f>TEST_DATA!C2801</f>
        <v>43172</v>
      </c>
      <c r="D2801" t="str">
        <f>TEST_DATA!D2801</f>
        <v>NIL</v>
      </c>
      <c r="E2801">
        <f>TEST_DATA!E2801</f>
        <v>2801</v>
      </c>
    </row>
    <row r="2802" spans="1:5" x14ac:dyDescent="0.55000000000000004">
      <c r="A2802" t="str">
        <f>TEST_DATA!A2802</f>
        <v>27AAAAA2802Z5</v>
      </c>
      <c r="B2802" t="str">
        <f>TEST_DATA!B2802</f>
        <v>Dec-2019</v>
      </c>
      <c r="C2802">
        <f>TEST_DATA!C2802</f>
        <v>45132</v>
      </c>
      <c r="D2802" t="str">
        <f>TEST_DATA!D2802</f>
        <v>NIL</v>
      </c>
      <c r="E2802">
        <f>TEST_DATA!E2802</f>
        <v>1349</v>
      </c>
    </row>
    <row r="2803" spans="1:5" x14ac:dyDescent="0.55000000000000004">
      <c r="A2803" t="str">
        <f>TEST_DATA!A2803</f>
        <v>27AAAAA2803Z5</v>
      </c>
      <c r="B2803" t="str">
        <f>TEST_DATA!B2803</f>
        <v>May-2020</v>
      </c>
      <c r="C2803">
        <f>TEST_DATA!C2803</f>
        <v>44013</v>
      </c>
      <c r="D2803" t="str">
        <f>TEST_DATA!D2803</f>
        <v>NON-NIL</v>
      </c>
      <c r="E2803">
        <f>TEST_DATA!E2803</f>
        <v>1366</v>
      </c>
    </row>
    <row r="2804" spans="1:5" x14ac:dyDescent="0.55000000000000004">
      <c r="A2804" t="str">
        <f>TEST_DATA!A2804</f>
        <v>27AAAAA2804Z5</v>
      </c>
      <c r="B2804" t="str">
        <f>TEST_DATA!B2804</f>
        <v>Mar-2021</v>
      </c>
      <c r="C2804">
        <f>TEST_DATA!C2804</f>
        <v>44585</v>
      </c>
      <c r="D2804" t="str">
        <f>TEST_DATA!D2804</f>
        <v>NIL</v>
      </c>
      <c r="E2804">
        <f>TEST_DATA!E2804</f>
        <v>924</v>
      </c>
    </row>
    <row r="2805" spans="1:5" x14ac:dyDescent="0.55000000000000004">
      <c r="A2805" t="str">
        <f>TEST_DATA!A2805</f>
        <v>27AAAAA2805Z5</v>
      </c>
      <c r="B2805" t="str">
        <f>TEST_DATA!B2805</f>
        <v>Mar-2018</v>
      </c>
      <c r="C2805">
        <f>TEST_DATA!C2805</f>
        <v>42937</v>
      </c>
      <c r="D2805" t="str">
        <f>TEST_DATA!D2805</f>
        <v>NIL</v>
      </c>
      <c r="E2805">
        <f>TEST_DATA!E2805</f>
        <v>1544</v>
      </c>
    </row>
    <row r="2806" spans="1:5" x14ac:dyDescent="0.55000000000000004">
      <c r="A2806" t="str">
        <f>TEST_DATA!A2806</f>
        <v>27AAAAA2806Z5</v>
      </c>
      <c r="B2806" t="str">
        <f>TEST_DATA!B2806</f>
        <v>Feb-2018</v>
      </c>
      <c r="C2806">
        <f>TEST_DATA!C2806</f>
        <v>43692</v>
      </c>
      <c r="D2806" t="str">
        <f>TEST_DATA!D2806</f>
        <v>NIL</v>
      </c>
      <c r="E2806">
        <f>TEST_DATA!E2806</f>
        <v>505</v>
      </c>
    </row>
    <row r="2807" spans="1:5" x14ac:dyDescent="0.55000000000000004">
      <c r="A2807" t="str">
        <f>TEST_DATA!A2807</f>
        <v>27AAAAA2807Z5</v>
      </c>
      <c r="B2807" t="str">
        <f>TEST_DATA!B2807</f>
        <v>Dec-2017</v>
      </c>
      <c r="C2807">
        <f>TEST_DATA!C2807</f>
        <v>43995</v>
      </c>
      <c r="D2807" t="str">
        <f>TEST_DATA!D2807</f>
        <v>NON-NIL</v>
      </c>
      <c r="E2807">
        <f>TEST_DATA!E2807</f>
        <v>2411</v>
      </c>
    </row>
    <row r="2808" spans="1:5" x14ac:dyDescent="0.55000000000000004">
      <c r="A2808" t="str">
        <f>TEST_DATA!A2808</f>
        <v>27AAAAA2808Z5</v>
      </c>
      <c r="B2808" t="str">
        <f>TEST_DATA!B2808</f>
        <v>Dec-2022</v>
      </c>
      <c r="C2808">
        <f>TEST_DATA!C2808</f>
        <v>45471</v>
      </c>
      <c r="D2808" t="str">
        <f>TEST_DATA!D2808</f>
        <v>NIL</v>
      </c>
      <c r="E2808">
        <f>TEST_DATA!E2808</f>
        <v>2166</v>
      </c>
    </row>
    <row r="2809" spans="1:5" x14ac:dyDescent="0.55000000000000004">
      <c r="A2809" t="str">
        <f>TEST_DATA!A2809</f>
        <v>27AAAAA2809Z5</v>
      </c>
      <c r="B2809" t="str">
        <f>TEST_DATA!B2809</f>
        <v>Jun-2018</v>
      </c>
      <c r="C2809">
        <f>TEST_DATA!C2809</f>
        <v>44351</v>
      </c>
      <c r="D2809" t="str">
        <f>TEST_DATA!D2809</f>
        <v>NON-NIL</v>
      </c>
      <c r="E2809">
        <f>TEST_DATA!E2809</f>
        <v>2259</v>
      </c>
    </row>
    <row r="2810" spans="1:5" x14ac:dyDescent="0.55000000000000004">
      <c r="A2810" t="str">
        <f>TEST_DATA!A2810</f>
        <v>27AAAAA2810Z5</v>
      </c>
      <c r="B2810" t="str">
        <f>TEST_DATA!B2810</f>
        <v>Mar-2018</v>
      </c>
      <c r="C2810">
        <f>TEST_DATA!C2810</f>
        <v>44161</v>
      </c>
      <c r="D2810" t="str">
        <f>TEST_DATA!D2810</f>
        <v>NIL</v>
      </c>
      <c r="E2810">
        <f>TEST_DATA!E2810</f>
        <v>196</v>
      </c>
    </row>
    <row r="2811" spans="1:5" x14ac:dyDescent="0.55000000000000004">
      <c r="A2811" t="str">
        <f>TEST_DATA!A2811</f>
        <v>27AAAAA2811Z5</v>
      </c>
      <c r="B2811" t="str">
        <f>TEST_DATA!B2811</f>
        <v>Dec-2017</v>
      </c>
      <c r="C2811">
        <f>TEST_DATA!C2811</f>
        <v>43568</v>
      </c>
      <c r="D2811" t="str">
        <f>TEST_DATA!D2811</f>
        <v>NON-NIL</v>
      </c>
      <c r="E2811">
        <f>TEST_DATA!E2811</f>
        <v>740</v>
      </c>
    </row>
    <row r="2812" spans="1:5" x14ac:dyDescent="0.55000000000000004">
      <c r="A2812" t="str">
        <f>TEST_DATA!A2812</f>
        <v>27AAAAA2812Z5</v>
      </c>
      <c r="B2812" t="str">
        <f>TEST_DATA!B2812</f>
        <v>Jun-2018</v>
      </c>
      <c r="C2812">
        <f>TEST_DATA!C2812</f>
        <v>44435</v>
      </c>
      <c r="D2812" t="str">
        <f>TEST_DATA!D2812</f>
        <v>NON-NIL</v>
      </c>
      <c r="E2812">
        <f>TEST_DATA!E2812</f>
        <v>1953</v>
      </c>
    </row>
    <row r="2813" spans="1:5" x14ac:dyDescent="0.55000000000000004">
      <c r="A2813" t="str">
        <f>TEST_DATA!A2813</f>
        <v>27AAAAA2813Z5</v>
      </c>
      <c r="B2813" t="str">
        <f>TEST_DATA!B2813</f>
        <v>Mar-2020</v>
      </c>
      <c r="C2813">
        <f>TEST_DATA!C2813</f>
        <v>44092</v>
      </c>
      <c r="D2813" t="str">
        <f>TEST_DATA!D2813</f>
        <v>NON-NIL</v>
      </c>
      <c r="E2813">
        <f>TEST_DATA!E2813</f>
        <v>38</v>
      </c>
    </row>
    <row r="2814" spans="1:5" x14ac:dyDescent="0.55000000000000004">
      <c r="A2814" t="str">
        <f>TEST_DATA!A2814</f>
        <v>27AAAAA2814Z5</v>
      </c>
      <c r="B2814" t="str">
        <f>TEST_DATA!B2814</f>
        <v>Jun-2020</v>
      </c>
      <c r="C2814">
        <f>TEST_DATA!C2814</f>
        <v>44882</v>
      </c>
      <c r="D2814" t="str">
        <f>TEST_DATA!D2814</f>
        <v>NIL</v>
      </c>
      <c r="E2814">
        <f>TEST_DATA!E2814</f>
        <v>2693</v>
      </c>
    </row>
    <row r="2815" spans="1:5" x14ac:dyDescent="0.55000000000000004">
      <c r="A2815" t="str">
        <f>TEST_DATA!A2815</f>
        <v>27AAAAA2815Z5</v>
      </c>
      <c r="B2815" t="str">
        <f>TEST_DATA!B2815</f>
        <v>Nov-2017</v>
      </c>
      <c r="C2815">
        <f>TEST_DATA!C2815</f>
        <v>43209</v>
      </c>
      <c r="D2815" t="str">
        <f>TEST_DATA!D2815</f>
        <v>NON-NIL</v>
      </c>
      <c r="E2815">
        <f>TEST_DATA!E2815</f>
        <v>2324</v>
      </c>
    </row>
    <row r="2816" spans="1:5" x14ac:dyDescent="0.55000000000000004">
      <c r="A2816" t="str">
        <f>TEST_DATA!A2816</f>
        <v>27AAAAA2816Z5</v>
      </c>
      <c r="B2816" t="str">
        <f>TEST_DATA!B2816</f>
        <v>Jan-2021</v>
      </c>
      <c r="C2816">
        <f>TEST_DATA!C2816</f>
        <v>44561</v>
      </c>
      <c r="D2816" t="str">
        <f>TEST_DATA!D2816</f>
        <v>NIL</v>
      </c>
      <c r="E2816">
        <f>TEST_DATA!E2816</f>
        <v>2971</v>
      </c>
    </row>
    <row r="2817" spans="1:5" x14ac:dyDescent="0.55000000000000004">
      <c r="A2817" t="str">
        <f>TEST_DATA!A2817</f>
        <v>27AAAAA2817Z5</v>
      </c>
      <c r="B2817" t="str">
        <f>TEST_DATA!B2817</f>
        <v>May-2020</v>
      </c>
      <c r="C2817">
        <f>TEST_DATA!C2817</f>
        <v>44589</v>
      </c>
      <c r="D2817" t="str">
        <f>TEST_DATA!D2817</f>
        <v>NIL</v>
      </c>
      <c r="E2817">
        <f>TEST_DATA!E2817</f>
        <v>2777</v>
      </c>
    </row>
    <row r="2818" spans="1:5" x14ac:dyDescent="0.55000000000000004">
      <c r="A2818" t="str">
        <f>TEST_DATA!A2818</f>
        <v>27AAAAA2818Z5</v>
      </c>
      <c r="B2818" t="str">
        <f>TEST_DATA!B2818</f>
        <v>Apr-2020</v>
      </c>
      <c r="C2818">
        <f>TEST_DATA!C2818</f>
        <v>44687</v>
      </c>
      <c r="D2818" t="str">
        <f>TEST_DATA!D2818</f>
        <v>NON-NIL</v>
      </c>
      <c r="E2818">
        <f>TEST_DATA!E2818</f>
        <v>749</v>
      </c>
    </row>
    <row r="2819" spans="1:5" x14ac:dyDescent="0.55000000000000004">
      <c r="A2819" t="str">
        <f>TEST_DATA!A2819</f>
        <v>27AAAAA2819Z5</v>
      </c>
      <c r="B2819" t="str">
        <f>TEST_DATA!B2819</f>
        <v>Sep-2018</v>
      </c>
      <c r="C2819">
        <f>TEST_DATA!C2819</f>
        <v>43641</v>
      </c>
      <c r="D2819" t="str">
        <f>TEST_DATA!D2819</f>
        <v>NON-NIL</v>
      </c>
      <c r="E2819">
        <f>TEST_DATA!E2819</f>
        <v>2057</v>
      </c>
    </row>
    <row r="2820" spans="1:5" x14ac:dyDescent="0.55000000000000004">
      <c r="A2820" t="str">
        <f>TEST_DATA!A2820</f>
        <v>27AAAAA2820Z5</v>
      </c>
      <c r="B2820" t="str">
        <f>TEST_DATA!B2820</f>
        <v>Apr-2018</v>
      </c>
      <c r="C2820">
        <f>TEST_DATA!C2820</f>
        <v>43481</v>
      </c>
      <c r="D2820" t="str">
        <f>TEST_DATA!D2820</f>
        <v>NON-NIL</v>
      </c>
      <c r="E2820">
        <f>TEST_DATA!E2820</f>
        <v>2132</v>
      </c>
    </row>
    <row r="2821" spans="1:5" x14ac:dyDescent="0.55000000000000004">
      <c r="A2821" t="str">
        <f>TEST_DATA!A2821</f>
        <v>27AAAAA2821Z5</v>
      </c>
      <c r="B2821" t="str">
        <f>TEST_DATA!B2821</f>
        <v>Jul-2020</v>
      </c>
      <c r="C2821">
        <f>TEST_DATA!C2821</f>
        <v>44299</v>
      </c>
      <c r="D2821" t="str">
        <f>TEST_DATA!D2821</f>
        <v>NON-NIL</v>
      </c>
      <c r="E2821">
        <f>TEST_DATA!E2821</f>
        <v>2603</v>
      </c>
    </row>
    <row r="2822" spans="1:5" x14ac:dyDescent="0.55000000000000004">
      <c r="A2822" t="str">
        <f>TEST_DATA!A2822</f>
        <v>27AAAAA2822Z5</v>
      </c>
      <c r="B2822" t="str">
        <f>TEST_DATA!B2822</f>
        <v>Mar-2023</v>
      </c>
      <c r="C2822">
        <f>TEST_DATA!C2822</f>
        <v>43822</v>
      </c>
      <c r="D2822" t="str">
        <f>TEST_DATA!D2822</f>
        <v>NON-NIL</v>
      </c>
      <c r="E2822">
        <f>TEST_DATA!E2822</f>
        <v>1665</v>
      </c>
    </row>
    <row r="2823" spans="1:5" x14ac:dyDescent="0.55000000000000004">
      <c r="A2823" t="str">
        <f>TEST_DATA!A2823</f>
        <v>27AAAAA2823Z5</v>
      </c>
      <c r="B2823" t="str">
        <f>TEST_DATA!B2823</f>
        <v>Mar-2021</v>
      </c>
      <c r="C2823">
        <f>TEST_DATA!C2823</f>
        <v>44746</v>
      </c>
      <c r="D2823" t="str">
        <f>TEST_DATA!D2823</f>
        <v>NIL</v>
      </c>
      <c r="E2823">
        <f>TEST_DATA!E2823</f>
        <v>2599</v>
      </c>
    </row>
    <row r="2824" spans="1:5" x14ac:dyDescent="0.55000000000000004">
      <c r="A2824" t="str">
        <f>TEST_DATA!A2824</f>
        <v>27AAAAA2824Z5</v>
      </c>
      <c r="B2824" t="str">
        <f>TEST_DATA!B2824</f>
        <v>Sep-2017</v>
      </c>
      <c r="C2824">
        <f>TEST_DATA!C2824</f>
        <v>43074</v>
      </c>
      <c r="D2824" t="str">
        <f>TEST_DATA!D2824</f>
        <v>NIL</v>
      </c>
      <c r="E2824">
        <f>TEST_DATA!E2824</f>
        <v>383</v>
      </c>
    </row>
    <row r="2825" spans="1:5" x14ac:dyDescent="0.55000000000000004">
      <c r="A2825" t="str">
        <f>TEST_DATA!A2825</f>
        <v>27AAAAA2825Z5</v>
      </c>
      <c r="B2825" t="str">
        <f>TEST_DATA!B2825</f>
        <v>Dec-2017</v>
      </c>
      <c r="C2825">
        <f>TEST_DATA!C2825</f>
        <v>44095</v>
      </c>
      <c r="D2825" t="str">
        <f>TEST_DATA!D2825</f>
        <v>NIL</v>
      </c>
      <c r="E2825">
        <f>TEST_DATA!E2825</f>
        <v>346</v>
      </c>
    </row>
    <row r="2826" spans="1:5" x14ac:dyDescent="0.55000000000000004">
      <c r="A2826" t="str">
        <f>TEST_DATA!A2826</f>
        <v>27AAAAA2826Z5</v>
      </c>
      <c r="B2826" t="str">
        <f>TEST_DATA!B2826</f>
        <v>Jan-2021</v>
      </c>
      <c r="C2826">
        <f>TEST_DATA!C2826</f>
        <v>44636</v>
      </c>
      <c r="D2826" t="str">
        <f>TEST_DATA!D2826</f>
        <v>NON-NIL</v>
      </c>
      <c r="E2826">
        <f>TEST_DATA!E2826</f>
        <v>43</v>
      </c>
    </row>
    <row r="2827" spans="1:5" x14ac:dyDescent="0.55000000000000004">
      <c r="A2827" t="str">
        <f>TEST_DATA!A2827</f>
        <v>27AAAAA2827Z5</v>
      </c>
      <c r="B2827" t="str">
        <f>TEST_DATA!B2827</f>
        <v>Aug-2018</v>
      </c>
      <c r="C2827">
        <f>TEST_DATA!C2827</f>
        <v>44303</v>
      </c>
      <c r="D2827" t="str">
        <f>TEST_DATA!D2827</f>
        <v>NIL</v>
      </c>
      <c r="E2827">
        <f>TEST_DATA!E2827</f>
        <v>1964</v>
      </c>
    </row>
    <row r="2828" spans="1:5" x14ac:dyDescent="0.55000000000000004">
      <c r="A2828" t="str">
        <f>TEST_DATA!A2828</f>
        <v>27AAAAA2828Z5</v>
      </c>
      <c r="B2828" t="str">
        <f>TEST_DATA!B2828</f>
        <v>Jan-2019</v>
      </c>
      <c r="C2828">
        <f>TEST_DATA!C2828</f>
        <v>45575</v>
      </c>
      <c r="D2828" t="str">
        <f>TEST_DATA!D2828</f>
        <v>NIL</v>
      </c>
      <c r="E2828">
        <f>TEST_DATA!E2828</f>
        <v>1660</v>
      </c>
    </row>
    <row r="2829" spans="1:5" x14ac:dyDescent="0.55000000000000004">
      <c r="A2829" t="str">
        <f>TEST_DATA!A2829</f>
        <v>27AAAAA2829Z5</v>
      </c>
      <c r="B2829" t="str">
        <f>TEST_DATA!B2829</f>
        <v>Jul-2017</v>
      </c>
      <c r="C2829">
        <f>TEST_DATA!C2829</f>
        <v>44179</v>
      </c>
      <c r="D2829" t="str">
        <f>TEST_DATA!D2829</f>
        <v>NIL</v>
      </c>
      <c r="E2829">
        <f>TEST_DATA!E2829</f>
        <v>29</v>
      </c>
    </row>
    <row r="2830" spans="1:5" x14ac:dyDescent="0.55000000000000004">
      <c r="A2830" t="str">
        <f>TEST_DATA!A2830</f>
        <v>27AAAAA2830Z5</v>
      </c>
      <c r="B2830" t="str">
        <f>TEST_DATA!B2830</f>
        <v>Jul-2020</v>
      </c>
      <c r="C2830">
        <f>TEST_DATA!C2830</f>
        <v>44701</v>
      </c>
      <c r="D2830" t="str">
        <f>TEST_DATA!D2830</f>
        <v>NON-NIL</v>
      </c>
      <c r="E2830">
        <f>TEST_DATA!E2830</f>
        <v>1000</v>
      </c>
    </row>
    <row r="2831" spans="1:5" x14ac:dyDescent="0.55000000000000004">
      <c r="A2831" t="str">
        <f>TEST_DATA!A2831</f>
        <v>27AAAAA2831Z5</v>
      </c>
      <c r="B2831" t="str">
        <f>TEST_DATA!B2831</f>
        <v>Jan-2021</v>
      </c>
      <c r="C2831">
        <f>TEST_DATA!C2831</f>
        <v>45629</v>
      </c>
      <c r="D2831" t="str">
        <f>TEST_DATA!D2831</f>
        <v>NIL</v>
      </c>
      <c r="E2831">
        <f>TEST_DATA!E2831</f>
        <v>2487</v>
      </c>
    </row>
    <row r="2832" spans="1:5" x14ac:dyDescent="0.55000000000000004">
      <c r="A2832" t="str">
        <f>TEST_DATA!A2832</f>
        <v>27AAAAA2832Z5</v>
      </c>
      <c r="B2832" t="str">
        <f>TEST_DATA!B2832</f>
        <v>Sep-2018</v>
      </c>
      <c r="C2832">
        <f>TEST_DATA!C2832</f>
        <v>43262</v>
      </c>
      <c r="D2832" t="str">
        <f>TEST_DATA!D2832</f>
        <v>NIL</v>
      </c>
      <c r="E2832">
        <f>TEST_DATA!E2832</f>
        <v>716</v>
      </c>
    </row>
    <row r="2833" spans="1:5" x14ac:dyDescent="0.55000000000000004">
      <c r="A2833" t="str">
        <f>TEST_DATA!A2833</f>
        <v>27AAAAA2833Z5</v>
      </c>
      <c r="B2833" t="str">
        <f>TEST_DATA!B2833</f>
        <v>Sep-2017</v>
      </c>
      <c r="C2833">
        <f>TEST_DATA!C2833</f>
        <v>43668</v>
      </c>
      <c r="D2833" t="str">
        <f>TEST_DATA!D2833</f>
        <v>NIL</v>
      </c>
      <c r="E2833">
        <f>TEST_DATA!E2833</f>
        <v>2104</v>
      </c>
    </row>
    <row r="2834" spans="1:5" x14ac:dyDescent="0.55000000000000004">
      <c r="A2834" t="str">
        <f>TEST_DATA!A2834</f>
        <v>27AAAAA2834Z5</v>
      </c>
      <c r="B2834" t="str">
        <f>TEST_DATA!B2834</f>
        <v>Jun-2018</v>
      </c>
      <c r="C2834">
        <f>TEST_DATA!C2834</f>
        <v>43021</v>
      </c>
      <c r="D2834" t="str">
        <f>TEST_DATA!D2834</f>
        <v>NON-NIL</v>
      </c>
      <c r="E2834">
        <f>TEST_DATA!E2834</f>
        <v>2029</v>
      </c>
    </row>
    <row r="2835" spans="1:5" x14ac:dyDescent="0.55000000000000004">
      <c r="A2835" t="str">
        <f>TEST_DATA!A2835</f>
        <v>27AAAAA2835Z5</v>
      </c>
      <c r="B2835" t="str">
        <f>TEST_DATA!B2835</f>
        <v>Jul-2018</v>
      </c>
      <c r="C2835">
        <f>TEST_DATA!C2835</f>
        <v>43266</v>
      </c>
      <c r="D2835" t="str">
        <f>TEST_DATA!D2835</f>
        <v>NON-NIL</v>
      </c>
      <c r="E2835">
        <f>TEST_DATA!E2835</f>
        <v>463</v>
      </c>
    </row>
    <row r="2836" spans="1:5" x14ac:dyDescent="0.55000000000000004">
      <c r="A2836" t="str">
        <f>TEST_DATA!A2836</f>
        <v>27AAAAA2836Z5</v>
      </c>
      <c r="B2836" t="str">
        <f>TEST_DATA!B2836</f>
        <v>May-2018</v>
      </c>
      <c r="C2836">
        <f>TEST_DATA!C2836</f>
        <v>44307</v>
      </c>
      <c r="D2836" t="str">
        <f>TEST_DATA!D2836</f>
        <v>NIL</v>
      </c>
      <c r="E2836">
        <f>TEST_DATA!E2836</f>
        <v>2208</v>
      </c>
    </row>
    <row r="2837" spans="1:5" x14ac:dyDescent="0.55000000000000004">
      <c r="A2837" t="str">
        <f>TEST_DATA!A2837</f>
        <v>27AAAAA2837Z5</v>
      </c>
      <c r="B2837" t="str">
        <f>TEST_DATA!B2837</f>
        <v>Mar-2023</v>
      </c>
      <c r="C2837">
        <f>TEST_DATA!C2837</f>
        <v>43948</v>
      </c>
      <c r="D2837" t="str">
        <f>TEST_DATA!D2837</f>
        <v>NON-NIL</v>
      </c>
      <c r="E2837">
        <f>TEST_DATA!E2837</f>
        <v>1225</v>
      </c>
    </row>
    <row r="2838" spans="1:5" x14ac:dyDescent="0.55000000000000004">
      <c r="A2838" t="str">
        <f>TEST_DATA!A2838</f>
        <v>27AAAAA2838Z5</v>
      </c>
      <c r="B2838" t="str">
        <f>TEST_DATA!B2838</f>
        <v>Jan-2019</v>
      </c>
      <c r="C2838">
        <f>TEST_DATA!C2838</f>
        <v>44668</v>
      </c>
      <c r="D2838" t="str">
        <f>TEST_DATA!D2838</f>
        <v>NON-NIL</v>
      </c>
      <c r="E2838">
        <f>TEST_DATA!E2838</f>
        <v>872</v>
      </c>
    </row>
    <row r="2839" spans="1:5" x14ac:dyDescent="0.55000000000000004">
      <c r="A2839" t="str">
        <f>TEST_DATA!A2839</f>
        <v>27AAAAA2839Z5</v>
      </c>
      <c r="B2839" t="str">
        <f>TEST_DATA!B2839</f>
        <v>Jul-2017</v>
      </c>
      <c r="C2839">
        <f>TEST_DATA!C2839</f>
        <v>44428</v>
      </c>
      <c r="D2839" t="str">
        <f>TEST_DATA!D2839</f>
        <v>NON-NIL</v>
      </c>
      <c r="E2839">
        <f>TEST_DATA!E2839</f>
        <v>890</v>
      </c>
    </row>
    <row r="2840" spans="1:5" x14ac:dyDescent="0.55000000000000004">
      <c r="A2840" t="str">
        <f>TEST_DATA!A2840</f>
        <v>27AAAAA2840Z5</v>
      </c>
      <c r="B2840" t="str">
        <f>TEST_DATA!B2840</f>
        <v>Apr-2018</v>
      </c>
      <c r="C2840">
        <f>TEST_DATA!C2840</f>
        <v>44233</v>
      </c>
      <c r="D2840" t="str">
        <f>TEST_DATA!D2840</f>
        <v>NIL</v>
      </c>
      <c r="E2840">
        <f>TEST_DATA!E2840</f>
        <v>1896</v>
      </c>
    </row>
    <row r="2841" spans="1:5" x14ac:dyDescent="0.55000000000000004">
      <c r="A2841" t="str">
        <f>TEST_DATA!A2841</f>
        <v>27AAAAA2841Z5</v>
      </c>
      <c r="B2841" t="str">
        <f>TEST_DATA!B2841</f>
        <v>Dec-2024</v>
      </c>
      <c r="C2841">
        <f>TEST_DATA!C2841</f>
        <v>45465</v>
      </c>
      <c r="D2841" t="str">
        <f>TEST_DATA!D2841</f>
        <v>NIL</v>
      </c>
      <c r="E2841">
        <f>TEST_DATA!E2841</f>
        <v>1457</v>
      </c>
    </row>
    <row r="2842" spans="1:5" x14ac:dyDescent="0.55000000000000004">
      <c r="A2842" t="str">
        <f>TEST_DATA!A2842</f>
        <v>27AAAAA2842Z5</v>
      </c>
      <c r="B2842" t="str">
        <f>TEST_DATA!B2842</f>
        <v>Jul-2017</v>
      </c>
      <c r="C2842">
        <f>TEST_DATA!C2842</f>
        <v>44177</v>
      </c>
      <c r="D2842" t="str">
        <f>TEST_DATA!D2842</f>
        <v>NON-NIL</v>
      </c>
      <c r="E2842">
        <f>TEST_DATA!E2842</f>
        <v>1345</v>
      </c>
    </row>
    <row r="2843" spans="1:5" x14ac:dyDescent="0.55000000000000004">
      <c r="A2843" t="str">
        <f>TEST_DATA!A2843</f>
        <v>27AAAAA2843Z5</v>
      </c>
      <c r="B2843" t="str">
        <f>TEST_DATA!B2843</f>
        <v>Apr-2018</v>
      </c>
      <c r="C2843">
        <f>TEST_DATA!C2843</f>
        <v>43641</v>
      </c>
      <c r="D2843" t="str">
        <f>TEST_DATA!D2843</f>
        <v>NIL</v>
      </c>
      <c r="E2843">
        <f>TEST_DATA!E2843</f>
        <v>21</v>
      </c>
    </row>
    <row r="2844" spans="1:5" x14ac:dyDescent="0.55000000000000004">
      <c r="A2844" t="str">
        <f>TEST_DATA!A2844</f>
        <v>27AAAAA2844Z5</v>
      </c>
      <c r="B2844" t="str">
        <f>TEST_DATA!B2844</f>
        <v>Jun-2018</v>
      </c>
      <c r="C2844">
        <f>TEST_DATA!C2844</f>
        <v>44396</v>
      </c>
      <c r="D2844" t="str">
        <f>TEST_DATA!D2844</f>
        <v>NIL</v>
      </c>
      <c r="E2844">
        <f>TEST_DATA!E2844</f>
        <v>1646</v>
      </c>
    </row>
    <row r="2845" spans="1:5" x14ac:dyDescent="0.55000000000000004">
      <c r="A2845" t="str">
        <f>TEST_DATA!A2845</f>
        <v>27AAAAA2845Z5</v>
      </c>
      <c r="B2845" t="str">
        <f>TEST_DATA!B2845</f>
        <v>Jun-2018</v>
      </c>
      <c r="C2845">
        <f>TEST_DATA!C2845</f>
        <v>42935</v>
      </c>
      <c r="D2845" t="str">
        <f>TEST_DATA!D2845</f>
        <v>NIL</v>
      </c>
      <c r="E2845">
        <f>TEST_DATA!E2845</f>
        <v>1764</v>
      </c>
    </row>
    <row r="2846" spans="1:5" x14ac:dyDescent="0.55000000000000004">
      <c r="A2846" t="str">
        <f>TEST_DATA!A2846</f>
        <v>27AAAAA2846Z5</v>
      </c>
      <c r="B2846" t="str">
        <f>TEST_DATA!B2846</f>
        <v>Jan-2019</v>
      </c>
      <c r="C2846">
        <f>TEST_DATA!C2846</f>
        <v>44275</v>
      </c>
      <c r="D2846" t="str">
        <f>TEST_DATA!D2846</f>
        <v>NIL</v>
      </c>
      <c r="E2846">
        <f>TEST_DATA!E2846</f>
        <v>2167</v>
      </c>
    </row>
    <row r="2847" spans="1:5" x14ac:dyDescent="0.55000000000000004">
      <c r="A2847" t="str">
        <f>TEST_DATA!A2847</f>
        <v>27AAAAA2847Z5</v>
      </c>
      <c r="B2847" t="str">
        <f>TEST_DATA!B2847</f>
        <v>Jun-2019</v>
      </c>
      <c r="C2847">
        <f>TEST_DATA!C2847</f>
        <v>44095</v>
      </c>
      <c r="D2847" t="str">
        <f>TEST_DATA!D2847</f>
        <v>NON-NIL</v>
      </c>
      <c r="E2847">
        <f>TEST_DATA!E2847</f>
        <v>507</v>
      </c>
    </row>
    <row r="2848" spans="1:5" x14ac:dyDescent="0.55000000000000004">
      <c r="A2848" t="str">
        <f>TEST_DATA!A2848</f>
        <v>27AAAAA2848Z5</v>
      </c>
      <c r="B2848" t="str">
        <f>TEST_DATA!B2848</f>
        <v>Jan-2019</v>
      </c>
      <c r="C2848">
        <f>TEST_DATA!C2848</f>
        <v>43494</v>
      </c>
      <c r="D2848" t="str">
        <f>TEST_DATA!D2848</f>
        <v>NIL</v>
      </c>
      <c r="E2848">
        <f>TEST_DATA!E2848</f>
        <v>2689</v>
      </c>
    </row>
    <row r="2849" spans="1:5" x14ac:dyDescent="0.55000000000000004">
      <c r="A2849" t="str">
        <f>TEST_DATA!A2849</f>
        <v>27AAAAA2849Z5</v>
      </c>
      <c r="B2849" t="str">
        <f>TEST_DATA!B2849</f>
        <v>Mar-2018</v>
      </c>
      <c r="C2849">
        <f>TEST_DATA!C2849</f>
        <v>43380</v>
      </c>
      <c r="D2849" t="str">
        <f>TEST_DATA!D2849</f>
        <v>NON-NIL</v>
      </c>
      <c r="E2849">
        <f>TEST_DATA!E2849</f>
        <v>1619</v>
      </c>
    </row>
    <row r="2850" spans="1:5" x14ac:dyDescent="0.55000000000000004">
      <c r="A2850" t="str">
        <f>TEST_DATA!A2850</f>
        <v>27AAAAA2850Z5</v>
      </c>
      <c r="B2850" t="str">
        <f>TEST_DATA!B2850</f>
        <v>Jun-2018</v>
      </c>
      <c r="C2850">
        <f>TEST_DATA!C2850</f>
        <v>43529</v>
      </c>
      <c r="D2850" t="str">
        <f>TEST_DATA!D2850</f>
        <v>NON-NIL</v>
      </c>
      <c r="E2850">
        <f>TEST_DATA!E2850</f>
        <v>1754</v>
      </c>
    </row>
    <row r="2851" spans="1:5" x14ac:dyDescent="0.55000000000000004">
      <c r="A2851" t="str">
        <f>TEST_DATA!A2851</f>
        <v>27AAAAA2851Z5</v>
      </c>
      <c r="B2851" t="str">
        <f>TEST_DATA!B2851</f>
        <v>Dec-2024</v>
      </c>
      <c r="C2851">
        <f>TEST_DATA!C2851</f>
        <v>44212</v>
      </c>
      <c r="D2851" t="str">
        <f>TEST_DATA!D2851</f>
        <v>NON-NIL</v>
      </c>
      <c r="E2851">
        <f>TEST_DATA!E2851</f>
        <v>445</v>
      </c>
    </row>
    <row r="2852" spans="1:5" x14ac:dyDescent="0.55000000000000004">
      <c r="A2852" t="str">
        <f>TEST_DATA!A2852</f>
        <v>27AAAAA2852Z5</v>
      </c>
      <c r="B2852" t="str">
        <f>TEST_DATA!B2852</f>
        <v>Sep-2018</v>
      </c>
      <c r="C2852">
        <f>TEST_DATA!C2852</f>
        <v>44261</v>
      </c>
      <c r="D2852" t="str">
        <f>TEST_DATA!D2852</f>
        <v>NON-NIL</v>
      </c>
      <c r="E2852">
        <f>TEST_DATA!E2852</f>
        <v>662</v>
      </c>
    </row>
    <row r="2853" spans="1:5" x14ac:dyDescent="0.55000000000000004">
      <c r="A2853" t="str">
        <f>TEST_DATA!A2853</f>
        <v>27AAAAA2853Z5</v>
      </c>
      <c r="B2853" t="str">
        <f>TEST_DATA!B2853</f>
        <v>Nov-2017</v>
      </c>
      <c r="C2853">
        <f>TEST_DATA!C2853</f>
        <v>43641</v>
      </c>
      <c r="D2853" t="str">
        <f>TEST_DATA!D2853</f>
        <v>NON-NIL</v>
      </c>
      <c r="E2853">
        <f>TEST_DATA!E2853</f>
        <v>23</v>
      </c>
    </row>
    <row r="2854" spans="1:5" x14ac:dyDescent="0.55000000000000004">
      <c r="A2854" t="str">
        <f>TEST_DATA!A2854</f>
        <v>27AAAAA2854Z5</v>
      </c>
      <c r="B2854" t="str">
        <f>TEST_DATA!B2854</f>
        <v>Jun-2018</v>
      </c>
      <c r="C2854">
        <f>TEST_DATA!C2854</f>
        <v>44369</v>
      </c>
      <c r="D2854" t="str">
        <f>TEST_DATA!D2854</f>
        <v>NIL</v>
      </c>
      <c r="E2854">
        <f>TEST_DATA!E2854</f>
        <v>453</v>
      </c>
    </row>
    <row r="2855" spans="1:5" x14ac:dyDescent="0.55000000000000004">
      <c r="A2855" t="str">
        <f>TEST_DATA!A2855</f>
        <v>27AAAAA2855Z5</v>
      </c>
      <c r="B2855" t="str">
        <f>TEST_DATA!B2855</f>
        <v>Jan-2018</v>
      </c>
      <c r="C2855">
        <f>TEST_DATA!C2855</f>
        <v>43500</v>
      </c>
      <c r="D2855" t="str">
        <f>TEST_DATA!D2855</f>
        <v>NIL</v>
      </c>
      <c r="E2855">
        <f>TEST_DATA!E2855</f>
        <v>547</v>
      </c>
    </row>
    <row r="2856" spans="1:5" x14ac:dyDescent="0.55000000000000004">
      <c r="A2856" t="str">
        <f>TEST_DATA!A2856</f>
        <v>27AAAAA2856Z5</v>
      </c>
      <c r="B2856" t="str">
        <f>TEST_DATA!B2856</f>
        <v>Jul-2018</v>
      </c>
      <c r="C2856">
        <f>TEST_DATA!C2856</f>
        <v>43779</v>
      </c>
      <c r="D2856" t="str">
        <f>TEST_DATA!D2856</f>
        <v>NON-NIL</v>
      </c>
      <c r="E2856">
        <f>TEST_DATA!E2856</f>
        <v>129</v>
      </c>
    </row>
    <row r="2857" spans="1:5" x14ac:dyDescent="0.55000000000000004">
      <c r="A2857" t="str">
        <f>TEST_DATA!A2857</f>
        <v>27AAAAA2857Z5</v>
      </c>
      <c r="B2857" t="str">
        <f>TEST_DATA!B2857</f>
        <v>Dec-2017</v>
      </c>
      <c r="C2857">
        <f>TEST_DATA!C2857</f>
        <v>44281</v>
      </c>
      <c r="D2857" t="str">
        <f>TEST_DATA!D2857</f>
        <v>NIL</v>
      </c>
      <c r="E2857">
        <f>TEST_DATA!E2857</f>
        <v>1963</v>
      </c>
    </row>
    <row r="2858" spans="1:5" x14ac:dyDescent="0.55000000000000004">
      <c r="A2858" t="str">
        <f>TEST_DATA!A2858</f>
        <v>27AAAAA2858Z5</v>
      </c>
      <c r="B2858" t="str">
        <f>TEST_DATA!B2858</f>
        <v>Jun-2020</v>
      </c>
      <c r="C2858">
        <f>TEST_DATA!C2858</f>
        <v>44375</v>
      </c>
      <c r="D2858" t="str">
        <f>TEST_DATA!D2858</f>
        <v>NIL</v>
      </c>
      <c r="E2858">
        <f>TEST_DATA!E2858</f>
        <v>1724</v>
      </c>
    </row>
    <row r="2859" spans="1:5" x14ac:dyDescent="0.55000000000000004">
      <c r="A2859" t="str">
        <f>TEST_DATA!A2859</f>
        <v>27AAAAA2859Z5</v>
      </c>
      <c r="B2859" t="str">
        <f>TEST_DATA!B2859</f>
        <v>Jan-2019</v>
      </c>
      <c r="C2859">
        <f>TEST_DATA!C2859</f>
        <v>45719</v>
      </c>
      <c r="D2859" t="str">
        <f>TEST_DATA!D2859</f>
        <v>NON-NIL</v>
      </c>
      <c r="E2859">
        <f>TEST_DATA!E2859</f>
        <v>2792</v>
      </c>
    </row>
    <row r="2860" spans="1:5" x14ac:dyDescent="0.55000000000000004">
      <c r="A2860" t="str">
        <f>TEST_DATA!A2860</f>
        <v>27AAAAA2860Z5</v>
      </c>
      <c r="B2860" t="str">
        <f>TEST_DATA!B2860</f>
        <v>Jul-2020</v>
      </c>
      <c r="C2860">
        <f>TEST_DATA!C2860</f>
        <v>44091</v>
      </c>
      <c r="D2860" t="str">
        <f>TEST_DATA!D2860</f>
        <v>NON-NIL</v>
      </c>
      <c r="E2860">
        <f>TEST_DATA!E2860</f>
        <v>1637</v>
      </c>
    </row>
    <row r="2861" spans="1:5" x14ac:dyDescent="0.55000000000000004">
      <c r="A2861" t="str">
        <f>TEST_DATA!A2861</f>
        <v>27AAAAA2861Z5</v>
      </c>
      <c r="B2861" t="str">
        <f>TEST_DATA!B2861</f>
        <v>Jun-2019</v>
      </c>
      <c r="C2861">
        <f>TEST_DATA!C2861</f>
        <v>45058</v>
      </c>
      <c r="D2861" t="str">
        <f>TEST_DATA!D2861</f>
        <v>NIL</v>
      </c>
      <c r="E2861">
        <f>TEST_DATA!E2861</f>
        <v>449</v>
      </c>
    </row>
    <row r="2862" spans="1:5" x14ac:dyDescent="0.55000000000000004">
      <c r="A2862" t="str">
        <f>TEST_DATA!A2862</f>
        <v>27AAAAA2862Z5</v>
      </c>
      <c r="B2862" t="str">
        <f>TEST_DATA!B2862</f>
        <v>Oct-2017</v>
      </c>
      <c r="C2862">
        <f>TEST_DATA!C2862</f>
        <v>44540</v>
      </c>
      <c r="D2862" t="str">
        <f>TEST_DATA!D2862</f>
        <v>NIL</v>
      </c>
      <c r="E2862">
        <f>TEST_DATA!E2862</f>
        <v>516</v>
      </c>
    </row>
    <row r="2863" spans="1:5" x14ac:dyDescent="0.55000000000000004">
      <c r="A2863" t="str">
        <f>TEST_DATA!A2863</f>
        <v>27AAAAA2863Z5</v>
      </c>
      <c r="B2863" t="str">
        <f>TEST_DATA!B2863</f>
        <v>Nov-2017</v>
      </c>
      <c r="C2863">
        <f>TEST_DATA!C2863</f>
        <v>43621</v>
      </c>
      <c r="D2863" t="str">
        <f>TEST_DATA!D2863</f>
        <v>NIL</v>
      </c>
      <c r="E2863">
        <f>TEST_DATA!E2863</f>
        <v>2803</v>
      </c>
    </row>
    <row r="2864" spans="1:5" x14ac:dyDescent="0.55000000000000004">
      <c r="A2864" t="str">
        <f>TEST_DATA!A2864</f>
        <v>27AAAAA2864Z5</v>
      </c>
      <c r="B2864" t="str">
        <f>TEST_DATA!B2864</f>
        <v>Feb-2018</v>
      </c>
      <c r="C2864">
        <f>TEST_DATA!C2864</f>
        <v>43023</v>
      </c>
      <c r="D2864" t="str">
        <f>TEST_DATA!D2864</f>
        <v>NON-NIL</v>
      </c>
      <c r="E2864">
        <f>TEST_DATA!E2864</f>
        <v>1759</v>
      </c>
    </row>
    <row r="2865" spans="1:5" x14ac:dyDescent="0.55000000000000004">
      <c r="A2865" t="str">
        <f>TEST_DATA!A2865</f>
        <v>27AAAAA2865Z5</v>
      </c>
      <c r="B2865" t="str">
        <f>TEST_DATA!B2865</f>
        <v>Apr-2020</v>
      </c>
      <c r="C2865">
        <f>TEST_DATA!C2865</f>
        <v>43847</v>
      </c>
      <c r="D2865" t="str">
        <f>TEST_DATA!D2865</f>
        <v>NON-NIL</v>
      </c>
      <c r="E2865">
        <f>TEST_DATA!E2865</f>
        <v>1966</v>
      </c>
    </row>
    <row r="2866" spans="1:5" x14ac:dyDescent="0.55000000000000004">
      <c r="A2866" t="str">
        <f>TEST_DATA!A2866</f>
        <v>27AAAAA2866Z5</v>
      </c>
      <c r="B2866" t="str">
        <f>TEST_DATA!B2866</f>
        <v>Apr-2018</v>
      </c>
      <c r="C2866">
        <f>TEST_DATA!C2866</f>
        <v>43494</v>
      </c>
      <c r="D2866" t="str">
        <f>TEST_DATA!D2866</f>
        <v>NON-NIL</v>
      </c>
      <c r="E2866">
        <f>TEST_DATA!E2866</f>
        <v>338</v>
      </c>
    </row>
    <row r="2867" spans="1:5" x14ac:dyDescent="0.55000000000000004">
      <c r="A2867" t="str">
        <f>TEST_DATA!A2867</f>
        <v>27AAAAA2867Z5</v>
      </c>
      <c r="B2867" t="str">
        <f>TEST_DATA!B2867</f>
        <v>Mar-2021</v>
      </c>
      <c r="C2867">
        <f>TEST_DATA!C2867</f>
        <v>45222</v>
      </c>
      <c r="D2867" t="str">
        <f>TEST_DATA!D2867</f>
        <v>NIL</v>
      </c>
      <c r="E2867">
        <f>TEST_DATA!E2867</f>
        <v>2529</v>
      </c>
    </row>
    <row r="2868" spans="1:5" x14ac:dyDescent="0.55000000000000004">
      <c r="A2868" t="str">
        <f>TEST_DATA!A2868</f>
        <v>27AAAAA2868Z5</v>
      </c>
      <c r="B2868" t="str">
        <f>TEST_DATA!B2868</f>
        <v>Nov-2017</v>
      </c>
      <c r="C2868">
        <f>TEST_DATA!C2868</f>
        <v>44410</v>
      </c>
      <c r="D2868" t="str">
        <f>TEST_DATA!D2868</f>
        <v>NIL</v>
      </c>
      <c r="E2868">
        <f>TEST_DATA!E2868</f>
        <v>1021</v>
      </c>
    </row>
    <row r="2869" spans="1:5" x14ac:dyDescent="0.55000000000000004">
      <c r="A2869" t="str">
        <f>TEST_DATA!A2869</f>
        <v>27AAAAA2869Z5</v>
      </c>
      <c r="B2869" t="str">
        <f>TEST_DATA!B2869</f>
        <v>Mar-2018</v>
      </c>
      <c r="C2869">
        <f>TEST_DATA!C2869</f>
        <v>44487</v>
      </c>
      <c r="D2869" t="str">
        <f>TEST_DATA!D2869</f>
        <v>NIL</v>
      </c>
      <c r="E2869">
        <f>TEST_DATA!E2869</f>
        <v>1079</v>
      </c>
    </row>
    <row r="2870" spans="1:5" x14ac:dyDescent="0.55000000000000004">
      <c r="A2870" t="str">
        <f>TEST_DATA!A2870</f>
        <v>27AAAAA2870Z5</v>
      </c>
      <c r="B2870" t="str">
        <f>TEST_DATA!B2870</f>
        <v>Jul-2020</v>
      </c>
      <c r="C2870">
        <f>TEST_DATA!C2870</f>
        <v>44337</v>
      </c>
      <c r="D2870" t="str">
        <f>TEST_DATA!D2870</f>
        <v>NON-NIL</v>
      </c>
      <c r="E2870">
        <f>TEST_DATA!E2870</f>
        <v>812</v>
      </c>
    </row>
    <row r="2871" spans="1:5" x14ac:dyDescent="0.55000000000000004">
      <c r="A2871" t="str">
        <f>TEST_DATA!A2871</f>
        <v>27AAAAA2871Z5</v>
      </c>
      <c r="B2871" t="str">
        <f>TEST_DATA!B2871</f>
        <v>Jan-2019</v>
      </c>
      <c r="C2871">
        <f>TEST_DATA!C2871</f>
        <v>43888</v>
      </c>
      <c r="D2871" t="str">
        <f>TEST_DATA!D2871</f>
        <v>NIL</v>
      </c>
      <c r="E2871">
        <f>TEST_DATA!E2871</f>
        <v>772</v>
      </c>
    </row>
    <row r="2872" spans="1:5" x14ac:dyDescent="0.55000000000000004">
      <c r="A2872" t="str">
        <f>TEST_DATA!A2872</f>
        <v>27AAAAA2872Z5</v>
      </c>
      <c r="B2872" t="str">
        <f>TEST_DATA!B2872</f>
        <v>Mar-2023</v>
      </c>
      <c r="C2872">
        <f>TEST_DATA!C2872</f>
        <v>44075</v>
      </c>
      <c r="D2872" t="str">
        <f>TEST_DATA!D2872</f>
        <v>NIL</v>
      </c>
      <c r="E2872">
        <f>TEST_DATA!E2872</f>
        <v>493</v>
      </c>
    </row>
    <row r="2873" spans="1:5" x14ac:dyDescent="0.55000000000000004">
      <c r="A2873" t="str">
        <f>TEST_DATA!A2873</f>
        <v>27AAAAA2873Z5</v>
      </c>
      <c r="B2873" t="str">
        <f>TEST_DATA!B2873</f>
        <v>Nov-2017</v>
      </c>
      <c r="C2873">
        <f>TEST_DATA!C2873</f>
        <v>43738</v>
      </c>
      <c r="D2873" t="str">
        <f>TEST_DATA!D2873</f>
        <v>NIL</v>
      </c>
      <c r="E2873">
        <f>TEST_DATA!E2873</f>
        <v>1121</v>
      </c>
    </row>
    <row r="2874" spans="1:5" x14ac:dyDescent="0.55000000000000004">
      <c r="A2874" t="str">
        <f>TEST_DATA!A2874</f>
        <v>27AAAAA2874Z5</v>
      </c>
      <c r="B2874" t="str">
        <f>TEST_DATA!B2874</f>
        <v>Jan-2018</v>
      </c>
      <c r="C2874">
        <f>TEST_DATA!C2874</f>
        <v>43216</v>
      </c>
      <c r="D2874" t="str">
        <f>TEST_DATA!D2874</f>
        <v>NON-NIL</v>
      </c>
      <c r="E2874">
        <f>TEST_DATA!E2874</f>
        <v>72</v>
      </c>
    </row>
    <row r="2875" spans="1:5" x14ac:dyDescent="0.55000000000000004">
      <c r="A2875" t="str">
        <f>TEST_DATA!A2875</f>
        <v>27AAAAA2875Z5</v>
      </c>
      <c r="B2875" t="str">
        <f>TEST_DATA!B2875</f>
        <v>Apr-2020</v>
      </c>
      <c r="C2875">
        <f>TEST_DATA!C2875</f>
        <v>44239</v>
      </c>
      <c r="D2875" t="str">
        <f>TEST_DATA!D2875</f>
        <v>NIL</v>
      </c>
      <c r="E2875">
        <f>TEST_DATA!E2875</f>
        <v>208</v>
      </c>
    </row>
    <row r="2876" spans="1:5" x14ac:dyDescent="0.55000000000000004">
      <c r="A2876" t="str">
        <f>TEST_DATA!A2876</f>
        <v>27AAAAA2876Z5</v>
      </c>
      <c r="B2876" t="str">
        <f>TEST_DATA!B2876</f>
        <v>Jul-2018</v>
      </c>
      <c r="C2876">
        <f>TEST_DATA!C2876</f>
        <v>43751</v>
      </c>
      <c r="D2876" t="str">
        <f>TEST_DATA!D2876</f>
        <v>NON-NIL</v>
      </c>
      <c r="E2876">
        <f>TEST_DATA!E2876</f>
        <v>2867</v>
      </c>
    </row>
    <row r="2877" spans="1:5" x14ac:dyDescent="0.55000000000000004">
      <c r="A2877" t="str">
        <f>TEST_DATA!A2877</f>
        <v>27AAAAA2877Z5</v>
      </c>
      <c r="B2877" t="str">
        <f>TEST_DATA!B2877</f>
        <v>May-2020</v>
      </c>
      <c r="C2877">
        <f>TEST_DATA!C2877</f>
        <v>44304</v>
      </c>
      <c r="D2877" t="str">
        <f>TEST_DATA!D2877</f>
        <v>NIL</v>
      </c>
      <c r="E2877">
        <f>TEST_DATA!E2877</f>
        <v>1376</v>
      </c>
    </row>
    <row r="2878" spans="1:5" x14ac:dyDescent="0.55000000000000004">
      <c r="A2878" t="str">
        <f>TEST_DATA!A2878</f>
        <v>27AAAAA2878Z5</v>
      </c>
      <c r="B2878" t="str">
        <f>TEST_DATA!B2878</f>
        <v>Aug-2018</v>
      </c>
      <c r="C2878">
        <f>TEST_DATA!C2878</f>
        <v>43898</v>
      </c>
      <c r="D2878" t="str">
        <f>TEST_DATA!D2878</f>
        <v>NIL</v>
      </c>
      <c r="E2878">
        <f>TEST_DATA!E2878</f>
        <v>2088</v>
      </c>
    </row>
    <row r="2879" spans="1:5" x14ac:dyDescent="0.55000000000000004">
      <c r="A2879" t="str">
        <f>TEST_DATA!A2879</f>
        <v>27AAAAA2879Z5</v>
      </c>
      <c r="B2879" t="str">
        <f>TEST_DATA!B2879</f>
        <v>Aug-2018</v>
      </c>
      <c r="C2879">
        <f>TEST_DATA!C2879</f>
        <v>44235</v>
      </c>
      <c r="D2879" t="str">
        <f>TEST_DATA!D2879</f>
        <v>NIL</v>
      </c>
      <c r="E2879">
        <f>TEST_DATA!E2879</f>
        <v>1246</v>
      </c>
    </row>
    <row r="2880" spans="1:5" x14ac:dyDescent="0.55000000000000004">
      <c r="A2880" t="str">
        <f>TEST_DATA!A2880</f>
        <v>27AAAAA2880Z5</v>
      </c>
      <c r="B2880" t="str">
        <f>TEST_DATA!B2880</f>
        <v>Oct-2017</v>
      </c>
      <c r="C2880">
        <f>TEST_DATA!C2880</f>
        <v>43468</v>
      </c>
      <c r="D2880" t="str">
        <f>TEST_DATA!D2880</f>
        <v>NON-NIL</v>
      </c>
      <c r="E2880">
        <f>TEST_DATA!E2880</f>
        <v>1149</v>
      </c>
    </row>
    <row r="2881" spans="1:5" x14ac:dyDescent="0.55000000000000004">
      <c r="A2881" t="str">
        <f>TEST_DATA!A2881</f>
        <v>27AAAAA2881Z5</v>
      </c>
      <c r="B2881" t="str">
        <f>TEST_DATA!B2881</f>
        <v>Jun-2018</v>
      </c>
      <c r="C2881">
        <f>TEST_DATA!C2881</f>
        <v>44374</v>
      </c>
      <c r="D2881" t="str">
        <f>TEST_DATA!D2881</f>
        <v>NON-NIL</v>
      </c>
      <c r="E2881">
        <f>TEST_DATA!E2881</f>
        <v>1011</v>
      </c>
    </row>
    <row r="2882" spans="1:5" x14ac:dyDescent="0.55000000000000004">
      <c r="A2882" t="str">
        <f>TEST_DATA!A2882</f>
        <v>27AAAAA2882Z5</v>
      </c>
      <c r="B2882" t="str">
        <f>TEST_DATA!B2882</f>
        <v>May-2018</v>
      </c>
      <c r="C2882">
        <f>TEST_DATA!C2882</f>
        <v>43014</v>
      </c>
      <c r="D2882" t="str">
        <f>TEST_DATA!D2882</f>
        <v>NIL</v>
      </c>
      <c r="E2882">
        <f>TEST_DATA!E2882</f>
        <v>167</v>
      </c>
    </row>
    <row r="2883" spans="1:5" x14ac:dyDescent="0.55000000000000004">
      <c r="A2883" t="str">
        <f>TEST_DATA!A2883</f>
        <v>27AAAAA2883Z5</v>
      </c>
      <c r="B2883" t="str">
        <f>TEST_DATA!B2883</f>
        <v>Jul-2017</v>
      </c>
      <c r="C2883">
        <f>TEST_DATA!C2883</f>
        <v>43023</v>
      </c>
      <c r="D2883" t="str">
        <f>TEST_DATA!D2883</f>
        <v>NON-NIL</v>
      </c>
      <c r="E2883">
        <f>TEST_DATA!E2883</f>
        <v>868</v>
      </c>
    </row>
    <row r="2884" spans="1:5" x14ac:dyDescent="0.55000000000000004">
      <c r="A2884" t="str">
        <f>TEST_DATA!A2884</f>
        <v>27AAAAA2884Z5</v>
      </c>
      <c r="B2884" t="str">
        <f>TEST_DATA!B2884</f>
        <v>Apr-2018</v>
      </c>
      <c r="C2884">
        <f>TEST_DATA!C2884</f>
        <v>43883</v>
      </c>
      <c r="D2884" t="str">
        <f>TEST_DATA!D2884</f>
        <v>NON-NIL</v>
      </c>
      <c r="E2884">
        <f>TEST_DATA!E2884</f>
        <v>2484</v>
      </c>
    </row>
    <row r="2885" spans="1:5" x14ac:dyDescent="0.55000000000000004">
      <c r="A2885" t="str">
        <f>TEST_DATA!A2885</f>
        <v>27AAAAA2885Z5</v>
      </c>
      <c r="B2885" t="str">
        <f>TEST_DATA!B2885</f>
        <v>Oct-2017</v>
      </c>
      <c r="C2885">
        <f>TEST_DATA!C2885</f>
        <v>43799</v>
      </c>
      <c r="D2885" t="str">
        <f>TEST_DATA!D2885</f>
        <v>NIL</v>
      </c>
      <c r="E2885">
        <f>TEST_DATA!E2885</f>
        <v>1033</v>
      </c>
    </row>
    <row r="2886" spans="1:5" x14ac:dyDescent="0.55000000000000004">
      <c r="A2886" t="str">
        <f>TEST_DATA!A2886</f>
        <v>27AAAAA2886Z5</v>
      </c>
      <c r="B2886" t="str">
        <f>TEST_DATA!B2886</f>
        <v>Jan-2019</v>
      </c>
      <c r="C2886">
        <f>TEST_DATA!C2886</f>
        <v>44955</v>
      </c>
      <c r="D2886" t="str">
        <f>TEST_DATA!D2886</f>
        <v>NON-NIL</v>
      </c>
      <c r="E2886">
        <f>TEST_DATA!E2886</f>
        <v>1246</v>
      </c>
    </row>
    <row r="2887" spans="1:5" x14ac:dyDescent="0.55000000000000004">
      <c r="A2887" t="str">
        <f>TEST_DATA!A2887</f>
        <v>27AAAAA2887Z5</v>
      </c>
      <c r="B2887" t="str">
        <f>TEST_DATA!B2887</f>
        <v>Oct-2017</v>
      </c>
      <c r="C2887">
        <f>TEST_DATA!C2887</f>
        <v>43115</v>
      </c>
      <c r="D2887" t="str">
        <f>TEST_DATA!D2887</f>
        <v>NIL</v>
      </c>
      <c r="E2887">
        <f>TEST_DATA!E2887</f>
        <v>2797</v>
      </c>
    </row>
    <row r="2888" spans="1:5" x14ac:dyDescent="0.55000000000000004">
      <c r="A2888" t="str">
        <f>TEST_DATA!A2888</f>
        <v>27AAAAA2888Z5</v>
      </c>
      <c r="B2888" t="str">
        <f>TEST_DATA!B2888</f>
        <v>Dec-2019</v>
      </c>
      <c r="C2888">
        <f>TEST_DATA!C2888</f>
        <v>43999</v>
      </c>
      <c r="D2888" t="str">
        <f>TEST_DATA!D2888</f>
        <v>NON-NIL</v>
      </c>
      <c r="E2888">
        <f>TEST_DATA!E2888</f>
        <v>1476</v>
      </c>
    </row>
    <row r="2889" spans="1:5" x14ac:dyDescent="0.55000000000000004">
      <c r="A2889" t="str">
        <f>TEST_DATA!A2889</f>
        <v>27AAAAA2889Z5</v>
      </c>
      <c r="B2889" t="str">
        <f>TEST_DATA!B2889</f>
        <v>Jan-2021</v>
      </c>
      <c r="C2889">
        <f>TEST_DATA!C2889</f>
        <v>44946</v>
      </c>
      <c r="D2889" t="str">
        <f>TEST_DATA!D2889</f>
        <v>NON-NIL</v>
      </c>
      <c r="E2889">
        <f>TEST_DATA!E2889</f>
        <v>975</v>
      </c>
    </row>
    <row r="2890" spans="1:5" x14ac:dyDescent="0.55000000000000004">
      <c r="A2890" t="str">
        <f>TEST_DATA!A2890</f>
        <v>27AAAAA2890Z5</v>
      </c>
      <c r="B2890" t="str">
        <f>TEST_DATA!B2890</f>
        <v>May-2020</v>
      </c>
      <c r="C2890">
        <f>TEST_DATA!C2890</f>
        <v>44396</v>
      </c>
      <c r="D2890" t="str">
        <f>TEST_DATA!D2890</f>
        <v>NIL</v>
      </c>
      <c r="E2890">
        <f>TEST_DATA!E2890</f>
        <v>2393</v>
      </c>
    </row>
    <row r="2891" spans="1:5" x14ac:dyDescent="0.55000000000000004">
      <c r="A2891" t="str">
        <f>TEST_DATA!A2891</f>
        <v>27AAAAA2891Z5</v>
      </c>
      <c r="B2891" t="str">
        <f>TEST_DATA!B2891</f>
        <v>Jul-2018</v>
      </c>
      <c r="C2891">
        <f>TEST_DATA!C2891</f>
        <v>43095</v>
      </c>
      <c r="D2891" t="str">
        <f>TEST_DATA!D2891</f>
        <v>NIL</v>
      </c>
      <c r="E2891">
        <f>TEST_DATA!E2891</f>
        <v>534</v>
      </c>
    </row>
    <row r="2892" spans="1:5" x14ac:dyDescent="0.55000000000000004">
      <c r="A2892" t="str">
        <f>TEST_DATA!A2892</f>
        <v>27AAAAA2892Z5</v>
      </c>
      <c r="B2892" t="str">
        <f>TEST_DATA!B2892</f>
        <v>May-2020</v>
      </c>
      <c r="C2892">
        <f>TEST_DATA!C2892</f>
        <v>44077</v>
      </c>
      <c r="D2892" t="str">
        <f>TEST_DATA!D2892</f>
        <v>NIL</v>
      </c>
      <c r="E2892">
        <f>TEST_DATA!E2892</f>
        <v>2402</v>
      </c>
    </row>
    <row r="2893" spans="1:5" x14ac:dyDescent="0.55000000000000004">
      <c r="A2893" t="str">
        <f>TEST_DATA!A2893</f>
        <v>27AAAAA2893Z5</v>
      </c>
      <c r="B2893" t="str">
        <f>TEST_DATA!B2893</f>
        <v>Dec-2024</v>
      </c>
      <c r="C2893">
        <f>TEST_DATA!C2893</f>
        <v>44246</v>
      </c>
      <c r="D2893" t="str">
        <f>TEST_DATA!D2893</f>
        <v>NIL</v>
      </c>
      <c r="E2893">
        <f>TEST_DATA!E2893</f>
        <v>2886</v>
      </c>
    </row>
    <row r="2894" spans="1:5" x14ac:dyDescent="0.55000000000000004">
      <c r="A2894" t="str">
        <f>TEST_DATA!A2894</f>
        <v>27AAAAA2894Z5</v>
      </c>
      <c r="B2894" t="str">
        <f>TEST_DATA!B2894</f>
        <v>Sep-2018</v>
      </c>
      <c r="C2894">
        <f>TEST_DATA!C2894</f>
        <v>43119</v>
      </c>
      <c r="D2894" t="str">
        <f>TEST_DATA!D2894</f>
        <v>NIL</v>
      </c>
      <c r="E2894">
        <f>TEST_DATA!E2894</f>
        <v>2238</v>
      </c>
    </row>
    <row r="2895" spans="1:5" x14ac:dyDescent="0.55000000000000004">
      <c r="A2895" t="str">
        <f>TEST_DATA!A2895</f>
        <v>27AAAAA2895Z5</v>
      </c>
      <c r="B2895" t="str">
        <f>TEST_DATA!B2895</f>
        <v>Apr-2020</v>
      </c>
      <c r="C2895">
        <f>TEST_DATA!C2895</f>
        <v>44533</v>
      </c>
      <c r="D2895" t="str">
        <f>TEST_DATA!D2895</f>
        <v>NON-NIL</v>
      </c>
      <c r="E2895">
        <f>TEST_DATA!E2895</f>
        <v>2971</v>
      </c>
    </row>
    <row r="2896" spans="1:5" x14ac:dyDescent="0.55000000000000004">
      <c r="A2896" t="str">
        <f>TEST_DATA!A2896</f>
        <v>27AAAAA2896Z5</v>
      </c>
      <c r="B2896" t="str">
        <f>TEST_DATA!B2896</f>
        <v>Jan-2019</v>
      </c>
      <c r="C2896">
        <f>TEST_DATA!C2896</f>
        <v>44293</v>
      </c>
      <c r="D2896" t="str">
        <f>TEST_DATA!D2896</f>
        <v>NIL</v>
      </c>
      <c r="E2896">
        <f>TEST_DATA!E2896</f>
        <v>179</v>
      </c>
    </row>
    <row r="2897" spans="1:5" x14ac:dyDescent="0.55000000000000004">
      <c r="A2897" t="str">
        <f>TEST_DATA!A2897</f>
        <v>27AAAAA2897Z5</v>
      </c>
      <c r="B2897" t="str">
        <f>TEST_DATA!B2897</f>
        <v>Nov-2017</v>
      </c>
      <c r="C2897">
        <f>TEST_DATA!C2897</f>
        <v>43309</v>
      </c>
      <c r="D2897" t="str">
        <f>TEST_DATA!D2897</f>
        <v>NON-NIL</v>
      </c>
      <c r="E2897">
        <f>TEST_DATA!E2897</f>
        <v>2254</v>
      </c>
    </row>
    <row r="2898" spans="1:5" x14ac:dyDescent="0.55000000000000004">
      <c r="A2898" t="str">
        <f>TEST_DATA!A2898</f>
        <v>27AAAAA2898Z5</v>
      </c>
      <c r="B2898" t="str">
        <f>TEST_DATA!B2898</f>
        <v>Jul-2020</v>
      </c>
      <c r="C2898">
        <f>TEST_DATA!C2898</f>
        <v>44348</v>
      </c>
      <c r="D2898" t="str">
        <f>TEST_DATA!D2898</f>
        <v>NON-NIL</v>
      </c>
      <c r="E2898">
        <f>TEST_DATA!E2898</f>
        <v>1499</v>
      </c>
    </row>
    <row r="2899" spans="1:5" x14ac:dyDescent="0.55000000000000004">
      <c r="A2899" t="str">
        <f>TEST_DATA!A2899</f>
        <v>27AAAAA2899Z5</v>
      </c>
      <c r="B2899" t="str">
        <f>TEST_DATA!B2899</f>
        <v>Sep-2018</v>
      </c>
      <c r="C2899">
        <f>TEST_DATA!C2899</f>
        <v>44206</v>
      </c>
      <c r="D2899" t="str">
        <f>TEST_DATA!D2899</f>
        <v>NIL</v>
      </c>
      <c r="E2899">
        <f>TEST_DATA!E2899</f>
        <v>1786</v>
      </c>
    </row>
    <row r="2900" spans="1:5" x14ac:dyDescent="0.55000000000000004">
      <c r="A2900" t="str">
        <f>TEST_DATA!A2900</f>
        <v>27AAAAA2900Z5</v>
      </c>
      <c r="B2900" t="str">
        <f>TEST_DATA!B2900</f>
        <v>Sep-2017</v>
      </c>
      <c r="C2900">
        <f>TEST_DATA!C2900</f>
        <v>43905</v>
      </c>
      <c r="D2900" t="str">
        <f>TEST_DATA!D2900</f>
        <v>NON-NIL</v>
      </c>
      <c r="E2900">
        <f>TEST_DATA!E2900</f>
        <v>2145</v>
      </c>
    </row>
    <row r="2901" spans="1:5" x14ac:dyDescent="0.55000000000000004">
      <c r="A2901" t="str">
        <f>TEST_DATA!A2901</f>
        <v>27AAAAA2901Z5</v>
      </c>
      <c r="B2901" t="str">
        <f>TEST_DATA!B2901</f>
        <v>Jun-2019</v>
      </c>
      <c r="C2901">
        <f>TEST_DATA!C2901</f>
        <v>43555</v>
      </c>
      <c r="D2901" t="str">
        <f>TEST_DATA!D2901</f>
        <v>NIL</v>
      </c>
      <c r="E2901">
        <f>TEST_DATA!E2901</f>
        <v>2454</v>
      </c>
    </row>
    <row r="2902" spans="1:5" x14ac:dyDescent="0.55000000000000004">
      <c r="A2902" t="str">
        <f>TEST_DATA!A2902</f>
        <v>27AAAAA2902Z5</v>
      </c>
      <c r="B2902" t="str">
        <f>TEST_DATA!B2902</f>
        <v>Mar-2018</v>
      </c>
      <c r="C2902">
        <f>TEST_DATA!C2902</f>
        <v>44343</v>
      </c>
      <c r="D2902" t="str">
        <f>TEST_DATA!D2902</f>
        <v>NIL</v>
      </c>
      <c r="E2902">
        <f>TEST_DATA!E2902</f>
        <v>1186</v>
      </c>
    </row>
    <row r="2903" spans="1:5" x14ac:dyDescent="0.55000000000000004">
      <c r="A2903" t="str">
        <f>TEST_DATA!A2903</f>
        <v>27AAAAA2903Z5</v>
      </c>
      <c r="B2903" t="str">
        <f>TEST_DATA!B2903</f>
        <v>Aug-2017</v>
      </c>
      <c r="C2903">
        <f>TEST_DATA!C2903</f>
        <v>44076</v>
      </c>
      <c r="D2903" t="str">
        <f>TEST_DATA!D2903</f>
        <v>NIL</v>
      </c>
      <c r="E2903">
        <f>TEST_DATA!E2903</f>
        <v>2841</v>
      </c>
    </row>
    <row r="2904" spans="1:5" x14ac:dyDescent="0.55000000000000004">
      <c r="A2904" t="str">
        <f>TEST_DATA!A2904</f>
        <v>27AAAAA2904Z5</v>
      </c>
      <c r="B2904" t="str">
        <f>TEST_DATA!B2904</f>
        <v>Jan-2018</v>
      </c>
      <c r="C2904">
        <f>TEST_DATA!C2904</f>
        <v>44433</v>
      </c>
      <c r="D2904" t="str">
        <f>TEST_DATA!D2904</f>
        <v>NON-NIL</v>
      </c>
      <c r="E2904">
        <f>TEST_DATA!E2904</f>
        <v>2027</v>
      </c>
    </row>
    <row r="2905" spans="1:5" x14ac:dyDescent="0.55000000000000004">
      <c r="A2905" t="str">
        <f>TEST_DATA!A2905</f>
        <v>27AAAAA2905Z5</v>
      </c>
      <c r="B2905" t="str">
        <f>TEST_DATA!B2905</f>
        <v>Jun-2020</v>
      </c>
      <c r="C2905">
        <f>TEST_DATA!C2905</f>
        <v>44921</v>
      </c>
      <c r="D2905" t="str">
        <f>TEST_DATA!D2905</f>
        <v>NIL</v>
      </c>
      <c r="E2905">
        <f>TEST_DATA!E2905</f>
        <v>677</v>
      </c>
    </row>
    <row r="2906" spans="1:5" x14ac:dyDescent="0.55000000000000004">
      <c r="A2906" t="str">
        <f>TEST_DATA!A2906</f>
        <v>27AAAAA2906Z5</v>
      </c>
      <c r="B2906" t="str">
        <f>TEST_DATA!B2906</f>
        <v>Sep-2018</v>
      </c>
      <c r="C2906">
        <f>TEST_DATA!C2906</f>
        <v>44454</v>
      </c>
      <c r="D2906" t="str">
        <f>TEST_DATA!D2906</f>
        <v>NON-NIL</v>
      </c>
      <c r="E2906">
        <f>TEST_DATA!E2906</f>
        <v>2303</v>
      </c>
    </row>
    <row r="2907" spans="1:5" x14ac:dyDescent="0.55000000000000004">
      <c r="A2907" t="str">
        <f>TEST_DATA!A2907</f>
        <v>27AAAAA2907Z5</v>
      </c>
      <c r="B2907" t="str">
        <f>TEST_DATA!B2907</f>
        <v>Mar-2021</v>
      </c>
      <c r="C2907">
        <f>TEST_DATA!C2907</f>
        <v>45064</v>
      </c>
      <c r="D2907" t="str">
        <f>TEST_DATA!D2907</f>
        <v>NON-NIL</v>
      </c>
      <c r="E2907">
        <f>TEST_DATA!E2907</f>
        <v>2487</v>
      </c>
    </row>
    <row r="2908" spans="1:5" x14ac:dyDescent="0.55000000000000004">
      <c r="A2908" t="str">
        <f>TEST_DATA!A2908</f>
        <v>27AAAAA2908Z5</v>
      </c>
      <c r="B2908" t="str">
        <f>TEST_DATA!B2908</f>
        <v>Mar-2018</v>
      </c>
      <c r="C2908">
        <f>TEST_DATA!C2908</f>
        <v>43340</v>
      </c>
      <c r="D2908" t="str">
        <f>TEST_DATA!D2908</f>
        <v>NIL</v>
      </c>
      <c r="E2908">
        <f>TEST_DATA!E2908</f>
        <v>14</v>
      </c>
    </row>
    <row r="2909" spans="1:5" x14ac:dyDescent="0.55000000000000004">
      <c r="A2909" t="str">
        <f>TEST_DATA!A2909</f>
        <v>27AAAAA2909Z5</v>
      </c>
      <c r="B2909" t="str">
        <f>TEST_DATA!B2909</f>
        <v>Dec-2017</v>
      </c>
      <c r="C2909">
        <f>TEST_DATA!C2909</f>
        <v>44088</v>
      </c>
      <c r="D2909" t="str">
        <f>TEST_DATA!D2909</f>
        <v>NIL</v>
      </c>
      <c r="E2909">
        <f>TEST_DATA!E2909</f>
        <v>2425</v>
      </c>
    </row>
    <row r="2910" spans="1:5" x14ac:dyDescent="0.55000000000000004">
      <c r="A2910" t="str">
        <f>TEST_DATA!A2910</f>
        <v>27AAAAA2910Z5</v>
      </c>
      <c r="B2910" t="str">
        <f>TEST_DATA!B2910</f>
        <v>Jul-2020</v>
      </c>
      <c r="C2910">
        <f>TEST_DATA!C2910</f>
        <v>43849</v>
      </c>
      <c r="D2910" t="str">
        <f>TEST_DATA!D2910</f>
        <v>NON-NIL</v>
      </c>
      <c r="E2910">
        <f>TEST_DATA!E2910</f>
        <v>2063</v>
      </c>
    </row>
    <row r="2911" spans="1:5" x14ac:dyDescent="0.55000000000000004">
      <c r="A2911" t="str">
        <f>TEST_DATA!A2911</f>
        <v>27AAAAA2911Z5</v>
      </c>
      <c r="B2911" t="str">
        <f>TEST_DATA!B2911</f>
        <v>Jul-2020</v>
      </c>
      <c r="C2911">
        <f>TEST_DATA!C2911</f>
        <v>44906</v>
      </c>
      <c r="D2911" t="str">
        <f>TEST_DATA!D2911</f>
        <v>NON-NIL</v>
      </c>
      <c r="E2911">
        <f>TEST_DATA!E2911</f>
        <v>1242</v>
      </c>
    </row>
    <row r="2912" spans="1:5" x14ac:dyDescent="0.55000000000000004">
      <c r="A2912" t="str">
        <f>TEST_DATA!A2912</f>
        <v>27AAAAA2912Z5</v>
      </c>
      <c r="B2912" t="str">
        <f>TEST_DATA!B2912</f>
        <v>Mar-2023</v>
      </c>
      <c r="C2912">
        <f>TEST_DATA!C2912</f>
        <v>44368</v>
      </c>
      <c r="D2912" t="str">
        <f>TEST_DATA!D2912</f>
        <v>NON-NIL</v>
      </c>
      <c r="E2912">
        <f>TEST_DATA!E2912</f>
        <v>2901</v>
      </c>
    </row>
    <row r="2913" spans="1:5" x14ac:dyDescent="0.55000000000000004">
      <c r="A2913" t="str">
        <f>TEST_DATA!A2913</f>
        <v>27AAAAA2913Z5</v>
      </c>
      <c r="B2913" t="str">
        <f>TEST_DATA!B2913</f>
        <v>Mar-2018</v>
      </c>
      <c r="C2913">
        <f>TEST_DATA!C2913</f>
        <v>44047</v>
      </c>
      <c r="D2913" t="str">
        <f>TEST_DATA!D2913</f>
        <v>NIL</v>
      </c>
      <c r="E2913">
        <f>TEST_DATA!E2913</f>
        <v>700</v>
      </c>
    </row>
    <row r="2914" spans="1:5" x14ac:dyDescent="0.55000000000000004">
      <c r="A2914" t="str">
        <f>TEST_DATA!A2914</f>
        <v>27AAAAA2914Z5</v>
      </c>
      <c r="B2914" t="str">
        <f>TEST_DATA!B2914</f>
        <v>Feb-2018</v>
      </c>
      <c r="C2914">
        <f>TEST_DATA!C2914</f>
        <v>43010</v>
      </c>
      <c r="D2914" t="str">
        <f>TEST_DATA!D2914</f>
        <v>NIL</v>
      </c>
      <c r="E2914">
        <f>TEST_DATA!E2914</f>
        <v>1195</v>
      </c>
    </row>
    <row r="2915" spans="1:5" x14ac:dyDescent="0.55000000000000004">
      <c r="A2915" t="str">
        <f>TEST_DATA!A2915</f>
        <v>27AAAAA2915Z5</v>
      </c>
      <c r="B2915" t="str">
        <f>TEST_DATA!B2915</f>
        <v>Aug-2017</v>
      </c>
      <c r="C2915">
        <f>TEST_DATA!C2915</f>
        <v>44226</v>
      </c>
      <c r="D2915" t="str">
        <f>TEST_DATA!D2915</f>
        <v>NIL</v>
      </c>
      <c r="E2915">
        <f>TEST_DATA!E2915</f>
        <v>1137</v>
      </c>
    </row>
    <row r="2916" spans="1:5" x14ac:dyDescent="0.55000000000000004">
      <c r="A2916" t="str">
        <f>TEST_DATA!A2916</f>
        <v>27AAAAA2916Z5</v>
      </c>
      <c r="B2916" t="str">
        <f>TEST_DATA!B2916</f>
        <v>Nov-2017</v>
      </c>
      <c r="C2916">
        <f>TEST_DATA!C2916</f>
        <v>43470</v>
      </c>
      <c r="D2916" t="str">
        <f>TEST_DATA!D2916</f>
        <v>NIL</v>
      </c>
      <c r="E2916">
        <f>TEST_DATA!E2916</f>
        <v>2631</v>
      </c>
    </row>
    <row r="2917" spans="1:5" x14ac:dyDescent="0.55000000000000004">
      <c r="A2917" t="str">
        <f>TEST_DATA!A2917</f>
        <v>27AAAAA2917Z5</v>
      </c>
      <c r="B2917" t="str">
        <f>TEST_DATA!B2917</f>
        <v>Feb-2018</v>
      </c>
      <c r="C2917">
        <f>TEST_DATA!C2917</f>
        <v>43347</v>
      </c>
      <c r="D2917" t="str">
        <f>TEST_DATA!D2917</f>
        <v>NIL</v>
      </c>
      <c r="E2917">
        <f>TEST_DATA!E2917</f>
        <v>5</v>
      </c>
    </row>
    <row r="2918" spans="1:5" x14ac:dyDescent="0.55000000000000004">
      <c r="A2918" t="str">
        <f>TEST_DATA!A2918</f>
        <v>27AAAAA2918Z5</v>
      </c>
      <c r="B2918" t="str">
        <f>TEST_DATA!B2918</f>
        <v>May-2020</v>
      </c>
      <c r="C2918">
        <f>TEST_DATA!C2918</f>
        <v>44542</v>
      </c>
      <c r="D2918" t="str">
        <f>TEST_DATA!D2918</f>
        <v>NON-NIL</v>
      </c>
      <c r="E2918">
        <f>TEST_DATA!E2918</f>
        <v>1329</v>
      </c>
    </row>
    <row r="2919" spans="1:5" x14ac:dyDescent="0.55000000000000004">
      <c r="A2919" t="str">
        <f>TEST_DATA!A2919</f>
        <v>27AAAAA2919Z5</v>
      </c>
      <c r="B2919" t="str">
        <f>TEST_DATA!B2919</f>
        <v>Sep-2017</v>
      </c>
      <c r="C2919">
        <f>TEST_DATA!C2919</f>
        <v>44361</v>
      </c>
      <c r="D2919" t="str">
        <f>TEST_DATA!D2919</f>
        <v>NON-NIL</v>
      </c>
      <c r="E2919">
        <f>TEST_DATA!E2919</f>
        <v>2957</v>
      </c>
    </row>
    <row r="2920" spans="1:5" x14ac:dyDescent="0.55000000000000004">
      <c r="A2920" t="str">
        <f>TEST_DATA!A2920</f>
        <v>27AAAAA2920Z5</v>
      </c>
      <c r="B2920" t="str">
        <f>TEST_DATA!B2920</f>
        <v>Nov-2017</v>
      </c>
      <c r="C2920">
        <f>TEST_DATA!C2920</f>
        <v>43753</v>
      </c>
      <c r="D2920" t="str">
        <f>TEST_DATA!D2920</f>
        <v>NON-NIL</v>
      </c>
      <c r="E2920">
        <f>TEST_DATA!E2920</f>
        <v>1329</v>
      </c>
    </row>
    <row r="2921" spans="1:5" x14ac:dyDescent="0.55000000000000004">
      <c r="A2921" t="str">
        <f>TEST_DATA!A2921</f>
        <v>27AAAAA2921Z5</v>
      </c>
      <c r="B2921" t="str">
        <f>TEST_DATA!B2921</f>
        <v>Aug-2017</v>
      </c>
      <c r="C2921">
        <f>TEST_DATA!C2921</f>
        <v>44198</v>
      </c>
      <c r="D2921" t="str">
        <f>TEST_DATA!D2921</f>
        <v>NIL</v>
      </c>
      <c r="E2921">
        <f>TEST_DATA!E2921</f>
        <v>1456</v>
      </c>
    </row>
    <row r="2922" spans="1:5" x14ac:dyDescent="0.55000000000000004">
      <c r="A2922" t="str">
        <f>TEST_DATA!A2922</f>
        <v>27AAAAA2922Z5</v>
      </c>
      <c r="B2922" t="str">
        <f>TEST_DATA!B2922</f>
        <v>Feb-2018</v>
      </c>
      <c r="C2922">
        <f>TEST_DATA!C2922</f>
        <v>44413</v>
      </c>
      <c r="D2922" t="str">
        <f>TEST_DATA!D2922</f>
        <v>NON-NIL</v>
      </c>
      <c r="E2922">
        <f>TEST_DATA!E2922</f>
        <v>723</v>
      </c>
    </row>
    <row r="2923" spans="1:5" x14ac:dyDescent="0.55000000000000004">
      <c r="A2923" t="str">
        <f>TEST_DATA!A2923</f>
        <v>27AAAAA2923Z5</v>
      </c>
      <c r="B2923" t="str">
        <f>TEST_DATA!B2923</f>
        <v>Mar-2018</v>
      </c>
      <c r="C2923">
        <f>TEST_DATA!C2923</f>
        <v>42949</v>
      </c>
      <c r="D2923" t="str">
        <f>TEST_DATA!D2923</f>
        <v>NIL</v>
      </c>
      <c r="E2923">
        <f>TEST_DATA!E2923</f>
        <v>2959</v>
      </c>
    </row>
    <row r="2924" spans="1:5" x14ac:dyDescent="0.55000000000000004">
      <c r="A2924" t="str">
        <f>TEST_DATA!A2924</f>
        <v>27AAAAA2924Z5</v>
      </c>
      <c r="B2924" t="str">
        <f>TEST_DATA!B2924</f>
        <v>Jan-2021</v>
      </c>
      <c r="C2924">
        <f>TEST_DATA!C2924</f>
        <v>45030</v>
      </c>
      <c r="D2924" t="str">
        <f>TEST_DATA!D2924</f>
        <v>NON-NIL</v>
      </c>
      <c r="E2924">
        <f>TEST_DATA!E2924</f>
        <v>2565</v>
      </c>
    </row>
    <row r="2925" spans="1:5" x14ac:dyDescent="0.55000000000000004">
      <c r="A2925" t="str">
        <f>TEST_DATA!A2925</f>
        <v>27AAAAA2925Z5</v>
      </c>
      <c r="B2925" t="str">
        <f>TEST_DATA!B2925</f>
        <v>May-2020</v>
      </c>
      <c r="C2925">
        <f>TEST_DATA!C2925</f>
        <v>44253</v>
      </c>
      <c r="D2925" t="str">
        <f>TEST_DATA!D2925</f>
        <v>NON-NIL</v>
      </c>
      <c r="E2925">
        <f>TEST_DATA!E2925</f>
        <v>903</v>
      </c>
    </row>
    <row r="2926" spans="1:5" x14ac:dyDescent="0.55000000000000004">
      <c r="A2926" t="str">
        <f>TEST_DATA!A2926</f>
        <v>27AAAAA2926Z5</v>
      </c>
      <c r="B2926" t="str">
        <f>TEST_DATA!B2926</f>
        <v>May-2018</v>
      </c>
      <c r="C2926">
        <f>TEST_DATA!C2926</f>
        <v>43467</v>
      </c>
      <c r="D2926" t="str">
        <f>TEST_DATA!D2926</f>
        <v>NIL</v>
      </c>
      <c r="E2926">
        <f>TEST_DATA!E2926</f>
        <v>2382</v>
      </c>
    </row>
    <row r="2927" spans="1:5" x14ac:dyDescent="0.55000000000000004">
      <c r="A2927" t="str">
        <f>TEST_DATA!A2927</f>
        <v>27AAAAA2927Z5</v>
      </c>
      <c r="B2927" t="str">
        <f>TEST_DATA!B2927</f>
        <v>May-2020</v>
      </c>
      <c r="C2927">
        <f>TEST_DATA!C2927</f>
        <v>44640</v>
      </c>
      <c r="D2927" t="str">
        <f>TEST_DATA!D2927</f>
        <v>NIL</v>
      </c>
      <c r="E2927">
        <f>TEST_DATA!E2927</f>
        <v>1827</v>
      </c>
    </row>
    <row r="2928" spans="1:5" x14ac:dyDescent="0.55000000000000004">
      <c r="A2928" t="str">
        <f>TEST_DATA!A2928</f>
        <v>27AAAAA2928Z5</v>
      </c>
      <c r="B2928" t="str">
        <f>TEST_DATA!B2928</f>
        <v>Feb-2018</v>
      </c>
      <c r="C2928">
        <f>TEST_DATA!C2928</f>
        <v>44411</v>
      </c>
      <c r="D2928" t="str">
        <f>TEST_DATA!D2928</f>
        <v>NON-NIL</v>
      </c>
      <c r="E2928">
        <f>TEST_DATA!E2928</f>
        <v>1509</v>
      </c>
    </row>
    <row r="2929" spans="1:5" x14ac:dyDescent="0.55000000000000004">
      <c r="A2929" t="str">
        <f>TEST_DATA!A2929</f>
        <v>27AAAAA2929Z5</v>
      </c>
      <c r="B2929" t="str">
        <f>TEST_DATA!B2929</f>
        <v>Nov-2017</v>
      </c>
      <c r="C2929">
        <f>TEST_DATA!C2929</f>
        <v>43898</v>
      </c>
      <c r="D2929" t="str">
        <f>TEST_DATA!D2929</f>
        <v>NIL</v>
      </c>
      <c r="E2929">
        <f>TEST_DATA!E2929</f>
        <v>2031</v>
      </c>
    </row>
    <row r="2930" spans="1:5" x14ac:dyDescent="0.55000000000000004">
      <c r="A2930" t="str">
        <f>TEST_DATA!A2930</f>
        <v>27AAAAA2930Z5</v>
      </c>
      <c r="B2930" t="str">
        <f>TEST_DATA!B2930</f>
        <v>Dec-2017</v>
      </c>
      <c r="C2930">
        <f>TEST_DATA!C2930</f>
        <v>43857</v>
      </c>
      <c r="D2930" t="str">
        <f>TEST_DATA!D2930</f>
        <v>NIL</v>
      </c>
      <c r="E2930">
        <f>TEST_DATA!E2930</f>
        <v>721</v>
      </c>
    </row>
    <row r="2931" spans="1:5" x14ac:dyDescent="0.55000000000000004">
      <c r="A2931" t="str">
        <f>TEST_DATA!A2931</f>
        <v>27AAAAA2931Z5</v>
      </c>
      <c r="B2931" t="str">
        <f>TEST_DATA!B2931</f>
        <v>Jan-2018</v>
      </c>
      <c r="C2931">
        <f>TEST_DATA!C2931</f>
        <v>44083</v>
      </c>
      <c r="D2931" t="str">
        <f>TEST_DATA!D2931</f>
        <v>NON-NIL</v>
      </c>
      <c r="E2931">
        <f>TEST_DATA!E2931</f>
        <v>2987</v>
      </c>
    </row>
    <row r="2932" spans="1:5" x14ac:dyDescent="0.55000000000000004">
      <c r="A2932" t="str">
        <f>TEST_DATA!A2932</f>
        <v>27AAAAA2932Z5</v>
      </c>
      <c r="B2932" t="str">
        <f>TEST_DATA!B2932</f>
        <v>Dec-2017</v>
      </c>
      <c r="C2932">
        <f>TEST_DATA!C2932</f>
        <v>44243</v>
      </c>
      <c r="D2932" t="str">
        <f>TEST_DATA!D2932</f>
        <v>NON-NIL</v>
      </c>
      <c r="E2932">
        <f>TEST_DATA!E2932</f>
        <v>86</v>
      </c>
    </row>
    <row r="2933" spans="1:5" x14ac:dyDescent="0.55000000000000004">
      <c r="A2933" t="str">
        <f>TEST_DATA!A2933</f>
        <v>27AAAAA2933Z5</v>
      </c>
      <c r="B2933" t="str">
        <f>TEST_DATA!B2933</f>
        <v>Apr-2018</v>
      </c>
      <c r="C2933">
        <f>TEST_DATA!C2933</f>
        <v>43250</v>
      </c>
      <c r="D2933" t="str">
        <f>TEST_DATA!D2933</f>
        <v>NIL</v>
      </c>
      <c r="E2933">
        <f>TEST_DATA!E2933</f>
        <v>1614</v>
      </c>
    </row>
    <row r="2934" spans="1:5" x14ac:dyDescent="0.55000000000000004">
      <c r="A2934" t="str">
        <f>TEST_DATA!A2934</f>
        <v>27AAAAA2934Z5</v>
      </c>
      <c r="B2934" t="str">
        <f>TEST_DATA!B2934</f>
        <v>Jun-2020</v>
      </c>
      <c r="C2934">
        <f>TEST_DATA!C2934</f>
        <v>44215</v>
      </c>
      <c r="D2934" t="str">
        <f>TEST_DATA!D2934</f>
        <v>NIL</v>
      </c>
      <c r="E2934">
        <f>TEST_DATA!E2934</f>
        <v>587</v>
      </c>
    </row>
    <row r="2935" spans="1:5" x14ac:dyDescent="0.55000000000000004">
      <c r="A2935" t="str">
        <f>TEST_DATA!A2935</f>
        <v>27AAAAA2935Z5</v>
      </c>
      <c r="B2935" t="str">
        <f>TEST_DATA!B2935</f>
        <v>Sep-2017</v>
      </c>
      <c r="C2935">
        <f>TEST_DATA!C2935</f>
        <v>43790</v>
      </c>
      <c r="D2935" t="str">
        <f>TEST_DATA!D2935</f>
        <v>NIL</v>
      </c>
      <c r="E2935">
        <f>TEST_DATA!E2935</f>
        <v>1863</v>
      </c>
    </row>
    <row r="2936" spans="1:5" x14ac:dyDescent="0.55000000000000004">
      <c r="A2936" t="str">
        <f>TEST_DATA!A2936</f>
        <v>27AAAAA2936Z5</v>
      </c>
      <c r="B2936" t="str">
        <f>TEST_DATA!B2936</f>
        <v>May-2020</v>
      </c>
      <c r="C2936">
        <f>TEST_DATA!C2936</f>
        <v>44655</v>
      </c>
      <c r="D2936" t="str">
        <f>TEST_DATA!D2936</f>
        <v>NIL</v>
      </c>
      <c r="E2936">
        <f>TEST_DATA!E2936</f>
        <v>2966</v>
      </c>
    </row>
    <row r="2937" spans="1:5" x14ac:dyDescent="0.55000000000000004">
      <c r="A2937" t="str">
        <f>TEST_DATA!A2937</f>
        <v>27AAAAA2937Z5</v>
      </c>
      <c r="B2937" t="str">
        <f>TEST_DATA!B2937</f>
        <v>Jun-2019</v>
      </c>
      <c r="C2937">
        <f>TEST_DATA!C2937</f>
        <v>44028</v>
      </c>
      <c r="D2937" t="str">
        <f>TEST_DATA!D2937</f>
        <v>NIL</v>
      </c>
      <c r="E2937">
        <f>TEST_DATA!E2937</f>
        <v>2471</v>
      </c>
    </row>
    <row r="2938" spans="1:5" x14ac:dyDescent="0.55000000000000004">
      <c r="A2938" t="str">
        <f>TEST_DATA!A2938</f>
        <v>27AAAAA2938Z5</v>
      </c>
      <c r="B2938" t="str">
        <f>TEST_DATA!B2938</f>
        <v>Oct-2017</v>
      </c>
      <c r="C2938">
        <f>TEST_DATA!C2938</f>
        <v>43690</v>
      </c>
      <c r="D2938" t="str">
        <f>TEST_DATA!D2938</f>
        <v>NON-NIL</v>
      </c>
      <c r="E2938">
        <f>TEST_DATA!E2938</f>
        <v>84</v>
      </c>
    </row>
    <row r="2939" spans="1:5" x14ac:dyDescent="0.55000000000000004">
      <c r="A2939" t="str">
        <f>TEST_DATA!A2939</f>
        <v>27AAAAA2939Z5</v>
      </c>
      <c r="B2939" t="str">
        <f>TEST_DATA!B2939</f>
        <v>Oct-2017</v>
      </c>
      <c r="C2939">
        <f>TEST_DATA!C2939</f>
        <v>42944</v>
      </c>
      <c r="D2939" t="str">
        <f>TEST_DATA!D2939</f>
        <v>NIL</v>
      </c>
      <c r="E2939">
        <f>TEST_DATA!E2939</f>
        <v>541</v>
      </c>
    </row>
    <row r="2940" spans="1:5" x14ac:dyDescent="0.55000000000000004">
      <c r="A2940" t="str">
        <f>TEST_DATA!A2940</f>
        <v>27AAAAA2940Z5</v>
      </c>
      <c r="B2940" t="str">
        <f>TEST_DATA!B2940</f>
        <v>Feb-2018</v>
      </c>
      <c r="C2940">
        <f>TEST_DATA!C2940</f>
        <v>44494</v>
      </c>
      <c r="D2940" t="str">
        <f>TEST_DATA!D2940</f>
        <v>NIL</v>
      </c>
      <c r="E2940">
        <f>TEST_DATA!E2940</f>
        <v>1096</v>
      </c>
    </row>
    <row r="2941" spans="1:5" x14ac:dyDescent="0.55000000000000004">
      <c r="A2941" t="str">
        <f>TEST_DATA!A2941</f>
        <v>27AAAAA2941Z5</v>
      </c>
      <c r="B2941" t="str">
        <f>TEST_DATA!B2941</f>
        <v>Nov-2017</v>
      </c>
      <c r="C2941">
        <f>TEST_DATA!C2941</f>
        <v>44201</v>
      </c>
      <c r="D2941" t="str">
        <f>TEST_DATA!D2941</f>
        <v>NIL</v>
      </c>
      <c r="E2941">
        <f>TEST_DATA!E2941</f>
        <v>38</v>
      </c>
    </row>
    <row r="2942" spans="1:5" x14ac:dyDescent="0.55000000000000004">
      <c r="A2942" t="str">
        <f>TEST_DATA!A2942</f>
        <v>27AAAAA2942Z5</v>
      </c>
      <c r="B2942" t="str">
        <f>TEST_DATA!B2942</f>
        <v>Apr-2021</v>
      </c>
      <c r="C2942">
        <f>TEST_DATA!C2942</f>
        <v>43901</v>
      </c>
      <c r="D2942" t="str">
        <f>TEST_DATA!D2942</f>
        <v>NON-NIL</v>
      </c>
      <c r="E2942">
        <f>TEST_DATA!E2942</f>
        <v>2897</v>
      </c>
    </row>
    <row r="2943" spans="1:5" x14ac:dyDescent="0.55000000000000004">
      <c r="A2943" t="str">
        <f>TEST_DATA!A2943</f>
        <v>27AAAAA2943Z5</v>
      </c>
      <c r="B2943" t="str">
        <f>TEST_DATA!B2943</f>
        <v>Sep-2017</v>
      </c>
      <c r="C2943">
        <f>TEST_DATA!C2943</f>
        <v>43331</v>
      </c>
      <c r="D2943" t="str">
        <f>TEST_DATA!D2943</f>
        <v>NIL</v>
      </c>
      <c r="E2943">
        <f>TEST_DATA!E2943</f>
        <v>1967</v>
      </c>
    </row>
    <row r="2944" spans="1:5" x14ac:dyDescent="0.55000000000000004">
      <c r="A2944" t="str">
        <f>TEST_DATA!A2944</f>
        <v>27AAAAA2944Z5</v>
      </c>
      <c r="B2944" t="str">
        <f>TEST_DATA!B2944</f>
        <v>Mar-2021</v>
      </c>
      <c r="C2944">
        <f>TEST_DATA!C2944</f>
        <v>45771</v>
      </c>
      <c r="D2944" t="str">
        <f>TEST_DATA!D2944</f>
        <v>NON-NIL</v>
      </c>
      <c r="E2944">
        <f>TEST_DATA!E2944</f>
        <v>668</v>
      </c>
    </row>
    <row r="2945" spans="1:5" x14ac:dyDescent="0.55000000000000004">
      <c r="A2945" t="str">
        <f>TEST_DATA!A2945</f>
        <v>27AAAAA2945Z5</v>
      </c>
      <c r="B2945" t="str">
        <f>TEST_DATA!B2945</f>
        <v>Apr-2018</v>
      </c>
      <c r="C2945">
        <f>TEST_DATA!C2945</f>
        <v>43596</v>
      </c>
      <c r="D2945" t="str">
        <f>TEST_DATA!D2945</f>
        <v>NON-NIL</v>
      </c>
      <c r="E2945">
        <f>TEST_DATA!E2945</f>
        <v>632</v>
      </c>
    </row>
    <row r="2946" spans="1:5" x14ac:dyDescent="0.55000000000000004">
      <c r="A2946" t="str">
        <f>TEST_DATA!A2946</f>
        <v>27AAAAA2946Z5</v>
      </c>
      <c r="B2946" t="str">
        <f>TEST_DATA!B2946</f>
        <v>Feb-2018</v>
      </c>
      <c r="C2946">
        <f>TEST_DATA!C2946</f>
        <v>43031</v>
      </c>
      <c r="D2946" t="str">
        <f>TEST_DATA!D2946</f>
        <v>NON-NIL</v>
      </c>
      <c r="E2946">
        <f>TEST_DATA!E2946</f>
        <v>2570</v>
      </c>
    </row>
    <row r="2947" spans="1:5" x14ac:dyDescent="0.55000000000000004">
      <c r="A2947" t="str">
        <f>TEST_DATA!A2947</f>
        <v>27AAAAA2947Z5</v>
      </c>
      <c r="B2947" t="str">
        <f>TEST_DATA!B2947</f>
        <v>Dec-2019</v>
      </c>
      <c r="C2947">
        <f>TEST_DATA!C2947</f>
        <v>43970</v>
      </c>
      <c r="D2947" t="str">
        <f>TEST_DATA!D2947</f>
        <v>NIL</v>
      </c>
      <c r="E2947">
        <f>TEST_DATA!E2947</f>
        <v>182</v>
      </c>
    </row>
    <row r="2948" spans="1:5" x14ac:dyDescent="0.55000000000000004">
      <c r="A2948" t="str">
        <f>TEST_DATA!A2948</f>
        <v>27AAAAA2948Z5</v>
      </c>
      <c r="B2948" t="str">
        <f>TEST_DATA!B2948</f>
        <v>Oct-2017</v>
      </c>
      <c r="C2948">
        <f>TEST_DATA!C2948</f>
        <v>44032</v>
      </c>
      <c r="D2948" t="str">
        <f>TEST_DATA!D2948</f>
        <v>NON-NIL</v>
      </c>
      <c r="E2948">
        <f>TEST_DATA!E2948</f>
        <v>420</v>
      </c>
    </row>
    <row r="2949" spans="1:5" x14ac:dyDescent="0.55000000000000004">
      <c r="A2949" t="str">
        <f>TEST_DATA!A2949</f>
        <v>27AAAAA2949Z5</v>
      </c>
      <c r="B2949" t="str">
        <f>TEST_DATA!B2949</f>
        <v>Jun-2019</v>
      </c>
      <c r="C2949">
        <f>TEST_DATA!C2949</f>
        <v>45167</v>
      </c>
      <c r="D2949" t="str">
        <f>TEST_DATA!D2949</f>
        <v>NIL</v>
      </c>
      <c r="E2949">
        <f>TEST_DATA!E2949</f>
        <v>4</v>
      </c>
    </row>
    <row r="2950" spans="1:5" x14ac:dyDescent="0.55000000000000004">
      <c r="A2950" t="str">
        <f>TEST_DATA!A2950</f>
        <v>27AAAAA2950Z5</v>
      </c>
      <c r="B2950" t="str">
        <f>TEST_DATA!B2950</f>
        <v>Feb-2018</v>
      </c>
      <c r="C2950">
        <f>TEST_DATA!C2950</f>
        <v>42966</v>
      </c>
      <c r="D2950" t="str">
        <f>TEST_DATA!D2950</f>
        <v>NIL</v>
      </c>
      <c r="E2950">
        <f>TEST_DATA!E2950</f>
        <v>1749</v>
      </c>
    </row>
    <row r="2951" spans="1:5" x14ac:dyDescent="0.55000000000000004">
      <c r="A2951" t="str">
        <f>TEST_DATA!A2951</f>
        <v>27AAAAA2951Z5</v>
      </c>
      <c r="B2951" t="str">
        <f>TEST_DATA!B2951</f>
        <v>Jul-2018</v>
      </c>
      <c r="C2951">
        <f>TEST_DATA!C2951</f>
        <v>43218</v>
      </c>
      <c r="D2951" t="str">
        <f>TEST_DATA!D2951</f>
        <v>NON-NIL</v>
      </c>
      <c r="E2951">
        <f>TEST_DATA!E2951</f>
        <v>2684</v>
      </c>
    </row>
    <row r="2952" spans="1:5" x14ac:dyDescent="0.55000000000000004">
      <c r="A2952" t="str">
        <f>TEST_DATA!A2952</f>
        <v>27AAAAA2952Z5</v>
      </c>
      <c r="B2952" t="str">
        <f>TEST_DATA!B2952</f>
        <v>Apr-2018</v>
      </c>
      <c r="C2952">
        <f>TEST_DATA!C2952</f>
        <v>43379</v>
      </c>
      <c r="D2952" t="str">
        <f>TEST_DATA!D2952</f>
        <v>NON-NIL</v>
      </c>
      <c r="E2952">
        <f>TEST_DATA!E2952</f>
        <v>2812</v>
      </c>
    </row>
    <row r="2953" spans="1:5" x14ac:dyDescent="0.55000000000000004">
      <c r="A2953" t="str">
        <f>TEST_DATA!A2953</f>
        <v>27AAAAA2953Z5</v>
      </c>
      <c r="B2953" t="str">
        <f>TEST_DATA!B2953</f>
        <v>Dec-2024</v>
      </c>
      <c r="C2953">
        <f>TEST_DATA!C2953</f>
        <v>43926</v>
      </c>
      <c r="D2953" t="str">
        <f>TEST_DATA!D2953</f>
        <v>NON-NIL</v>
      </c>
      <c r="E2953">
        <f>TEST_DATA!E2953</f>
        <v>694</v>
      </c>
    </row>
    <row r="2954" spans="1:5" x14ac:dyDescent="0.55000000000000004">
      <c r="A2954" t="str">
        <f>TEST_DATA!A2954</f>
        <v>27AAAAA2954Z5</v>
      </c>
      <c r="B2954" t="str">
        <f>TEST_DATA!B2954</f>
        <v>Oct-2017</v>
      </c>
      <c r="C2954">
        <f>TEST_DATA!C2954</f>
        <v>43376</v>
      </c>
      <c r="D2954" t="str">
        <f>TEST_DATA!D2954</f>
        <v>NIL</v>
      </c>
      <c r="E2954">
        <f>TEST_DATA!E2954</f>
        <v>1154</v>
      </c>
    </row>
    <row r="2955" spans="1:5" x14ac:dyDescent="0.55000000000000004">
      <c r="A2955" t="str">
        <f>TEST_DATA!A2955</f>
        <v>27AAAAA2955Z5</v>
      </c>
      <c r="B2955" t="str">
        <f>TEST_DATA!B2955</f>
        <v>Jun-2018</v>
      </c>
      <c r="C2955">
        <f>TEST_DATA!C2955</f>
        <v>43073</v>
      </c>
      <c r="D2955" t="str">
        <f>TEST_DATA!D2955</f>
        <v>NON-NIL</v>
      </c>
      <c r="E2955">
        <f>TEST_DATA!E2955</f>
        <v>484</v>
      </c>
    </row>
    <row r="2956" spans="1:5" x14ac:dyDescent="0.55000000000000004">
      <c r="A2956" t="str">
        <f>TEST_DATA!A2956</f>
        <v>27AAAAA2956Z5</v>
      </c>
      <c r="B2956" t="str">
        <f>TEST_DATA!B2956</f>
        <v>Jun-2018</v>
      </c>
      <c r="C2956">
        <f>TEST_DATA!C2956</f>
        <v>43090</v>
      </c>
      <c r="D2956" t="str">
        <f>TEST_DATA!D2956</f>
        <v>NIL</v>
      </c>
      <c r="E2956">
        <f>TEST_DATA!E2956</f>
        <v>2476</v>
      </c>
    </row>
    <row r="2957" spans="1:5" x14ac:dyDescent="0.55000000000000004">
      <c r="A2957" t="str">
        <f>TEST_DATA!A2957</f>
        <v>27AAAAA2957Z5</v>
      </c>
      <c r="B2957" t="str">
        <f>TEST_DATA!B2957</f>
        <v>Nov-2017</v>
      </c>
      <c r="C2957">
        <f>TEST_DATA!C2957</f>
        <v>43281</v>
      </c>
      <c r="D2957" t="str">
        <f>TEST_DATA!D2957</f>
        <v>NON-NIL</v>
      </c>
      <c r="E2957">
        <f>TEST_DATA!E2957</f>
        <v>2172</v>
      </c>
    </row>
    <row r="2958" spans="1:5" x14ac:dyDescent="0.55000000000000004">
      <c r="A2958" t="str">
        <f>TEST_DATA!A2958</f>
        <v>27AAAAA2958Z5</v>
      </c>
      <c r="B2958" t="str">
        <f>TEST_DATA!B2958</f>
        <v>May-2018</v>
      </c>
      <c r="C2958">
        <f>TEST_DATA!C2958</f>
        <v>44145</v>
      </c>
      <c r="D2958" t="str">
        <f>TEST_DATA!D2958</f>
        <v>NIL</v>
      </c>
      <c r="E2958">
        <f>TEST_DATA!E2958</f>
        <v>2782</v>
      </c>
    </row>
    <row r="2959" spans="1:5" x14ac:dyDescent="0.55000000000000004">
      <c r="A2959" t="str">
        <f>TEST_DATA!A2959</f>
        <v>27AAAAA2959Z5</v>
      </c>
      <c r="B2959" t="str">
        <f>TEST_DATA!B2959</f>
        <v>Aug-2018</v>
      </c>
      <c r="C2959">
        <f>TEST_DATA!C2959</f>
        <v>43224</v>
      </c>
      <c r="D2959" t="str">
        <f>TEST_DATA!D2959</f>
        <v>NON-NIL</v>
      </c>
      <c r="E2959">
        <f>TEST_DATA!E2959</f>
        <v>2559</v>
      </c>
    </row>
    <row r="2960" spans="1:5" x14ac:dyDescent="0.55000000000000004">
      <c r="A2960" t="str">
        <f>TEST_DATA!A2960</f>
        <v>27AAAAA2960Z5</v>
      </c>
      <c r="B2960" t="str">
        <f>TEST_DATA!B2960</f>
        <v>Dec-2022</v>
      </c>
      <c r="C2960">
        <f>TEST_DATA!C2960</f>
        <v>44641</v>
      </c>
      <c r="D2960" t="str">
        <f>TEST_DATA!D2960</f>
        <v>NON-NIL</v>
      </c>
      <c r="E2960">
        <f>TEST_DATA!E2960</f>
        <v>425</v>
      </c>
    </row>
    <row r="2961" spans="1:5" x14ac:dyDescent="0.55000000000000004">
      <c r="A2961" t="str">
        <f>TEST_DATA!A2961</f>
        <v>27AAAAA2961Z5</v>
      </c>
      <c r="B2961" t="str">
        <f>TEST_DATA!B2961</f>
        <v>Mar-2018</v>
      </c>
      <c r="C2961">
        <f>TEST_DATA!C2961</f>
        <v>43939</v>
      </c>
      <c r="D2961" t="str">
        <f>TEST_DATA!D2961</f>
        <v>NON-NIL</v>
      </c>
      <c r="E2961">
        <f>TEST_DATA!E2961</f>
        <v>1087</v>
      </c>
    </row>
    <row r="2962" spans="1:5" x14ac:dyDescent="0.55000000000000004">
      <c r="A2962" t="str">
        <f>TEST_DATA!A2962</f>
        <v>27AAAAA2962Z5</v>
      </c>
      <c r="B2962" t="str">
        <f>TEST_DATA!B2962</f>
        <v>Apr-2021</v>
      </c>
      <c r="C2962">
        <f>TEST_DATA!C2962</f>
        <v>43778</v>
      </c>
      <c r="D2962" t="str">
        <f>TEST_DATA!D2962</f>
        <v>NIL</v>
      </c>
      <c r="E2962">
        <f>TEST_DATA!E2962</f>
        <v>608</v>
      </c>
    </row>
    <row r="2963" spans="1:5" x14ac:dyDescent="0.55000000000000004">
      <c r="A2963" t="str">
        <f>TEST_DATA!A2963</f>
        <v>27AAAAA2963Z5</v>
      </c>
      <c r="B2963" t="str">
        <f>TEST_DATA!B2963</f>
        <v>Mar-2021</v>
      </c>
      <c r="C2963">
        <f>TEST_DATA!C2963</f>
        <v>44066</v>
      </c>
      <c r="D2963" t="str">
        <f>TEST_DATA!D2963</f>
        <v>NON-NIL</v>
      </c>
      <c r="E2963">
        <f>TEST_DATA!E2963</f>
        <v>605</v>
      </c>
    </row>
    <row r="2964" spans="1:5" x14ac:dyDescent="0.55000000000000004">
      <c r="A2964" t="str">
        <f>TEST_DATA!A2964</f>
        <v>27AAAAA2964Z5</v>
      </c>
      <c r="B2964" t="str">
        <f>TEST_DATA!B2964</f>
        <v>Jul-2018</v>
      </c>
      <c r="C2964">
        <f>TEST_DATA!C2964</f>
        <v>43831</v>
      </c>
      <c r="D2964" t="str">
        <f>TEST_DATA!D2964</f>
        <v>NON-NIL</v>
      </c>
      <c r="E2964">
        <f>TEST_DATA!E2964</f>
        <v>275</v>
      </c>
    </row>
    <row r="2965" spans="1:5" x14ac:dyDescent="0.55000000000000004">
      <c r="A2965" t="str">
        <f>TEST_DATA!A2965</f>
        <v>27AAAAA2965Z5</v>
      </c>
      <c r="B2965" t="str">
        <f>TEST_DATA!B2965</f>
        <v>Oct-2017</v>
      </c>
      <c r="C2965">
        <f>TEST_DATA!C2965</f>
        <v>44100</v>
      </c>
      <c r="D2965" t="str">
        <f>TEST_DATA!D2965</f>
        <v>NON-NIL</v>
      </c>
      <c r="E2965">
        <f>TEST_DATA!E2965</f>
        <v>2976</v>
      </c>
    </row>
    <row r="2966" spans="1:5" x14ac:dyDescent="0.55000000000000004">
      <c r="A2966" t="str">
        <f>TEST_DATA!A2966</f>
        <v>27AAAAA2966Z5</v>
      </c>
      <c r="B2966" t="str">
        <f>TEST_DATA!B2966</f>
        <v>Mar-2018</v>
      </c>
      <c r="C2966">
        <f>TEST_DATA!C2966</f>
        <v>43213</v>
      </c>
      <c r="D2966" t="str">
        <f>TEST_DATA!D2966</f>
        <v>NIL</v>
      </c>
      <c r="E2966">
        <f>TEST_DATA!E2966</f>
        <v>1323</v>
      </c>
    </row>
    <row r="2967" spans="1:5" x14ac:dyDescent="0.55000000000000004">
      <c r="A2967" t="str">
        <f>TEST_DATA!A2967</f>
        <v>27AAAAA2967Z5</v>
      </c>
      <c r="B2967" t="str">
        <f>TEST_DATA!B2967</f>
        <v>Nov-2017</v>
      </c>
      <c r="C2967">
        <f>TEST_DATA!C2967</f>
        <v>43289</v>
      </c>
      <c r="D2967" t="str">
        <f>TEST_DATA!D2967</f>
        <v>NON-NIL</v>
      </c>
      <c r="E2967">
        <f>TEST_DATA!E2967</f>
        <v>1444</v>
      </c>
    </row>
    <row r="2968" spans="1:5" x14ac:dyDescent="0.55000000000000004">
      <c r="A2968" t="str">
        <f>TEST_DATA!A2968</f>
        <v>27AAAAA2968Z5</v>
      </c>
      <c r="B2968" t="str">
        <f>TEST_DATA!B2968</f>
        <v>May-2018</v>
      </c>
      <c r="C2968">
        <f>TEST_DATA!C2968</f>
        <v>43929</v>
      </c>
      <c r="D2968" t="str">
        <f>TEST_DATA!D2968</f>
        <v>NON-NIL</v>
      </c>
      <c r="E2968">
        <f>TEST_DATA!E2968</f>
        <v>1971</v>
      </c>
    </row>
    <row r="2969" spans="1:5" x14ac:dyDescent="0.55000000000000004">
      <c r="A2969" t="str">
        <f>TEST_DATA!A2969</f>
        <v>27AAAAA2969Z5</v>
      </c>
      <c r="B2969" t="str">
        <f>TEST_DATA!B2969</f>
        <v>Jul-2020</v>
      </c>
      <c r="C2969">
        <f>TEST_DATA!C2969</f>
        <v>44678</v>
      </c>
      <c r="D2969" t="str">
        <f>TEST_DATA!D2969</f>
        <v>NON-NIL</v>
      </c>
      <c r="E2969">
        <f>TEST_DATA!E2969</f>
        <v>566</v>
      </c>
    </row>
    <row r="2970" spans="1:5" x14ac:dyDescent="0.55000000000000004">
      <c r="A2970" t="str">
        <f>TEST_DATA!A2970</f>
        <v>27AAAAA2970Z5</v>
      </c>
      <c r="B2970" t="str">
        <f>TEST_DATA!B2970</f>
        <v>Apr-2021</v>
      </c>
      <c r="C2970">
        <f>TEST_DATA!C2970</f>
        <v>44473</v>
      </c>
      <c r="D2970" t="str">
        <f>TEST_DATA!D2970</f>
        <v>NON-NIL</v>
      </c>
      <c r="E2970">
        <f>TEST_DATA!E2970</f>
        <v>1714</v>
      </c>
    </row>
    <row r="2971" spans="1:5" x14ac:dyDescent="0.55000000000000004">
      <c r="A2971" t="str">
        <f>TEST_DATA!A2971</f>
        <v>27AAAAA2971Z5</v>
      </c>
      <c r="B2971" t="str">
        <f>TEST_DATA!B2971</f>
        <v>Dec-2019</v>
      </c>
      <c r="C2971">
        <f>TEST_DATA!C2971</f>
        <v>45502</v>
      </c>
      <c r="D2971" t="str">
        <f>TEST_DATA!D2971</f>
        <v>NON-NIL</v>
      </c>
      <c r="E2971">
        <f>TEST_DATA!E2971</f>
        <v>2181</v>
      </c>
    </row>
    <row r="2972" spans="1:5" x14ac:dyDescent="0.55000000000000004">
      <c r="A2972" t="str">
        <f>TEST_DATA!A2972</f>
        <v>27AAAAA2972Z5</v>
      </c>
      <c r="B2972" t="str">
        <f>TEST_DATA!B2972</f>
        <v>Dec-2019</v>
      </c>
      <c r="C2972">
        <f>TEST_DATA!C2972</f>
        <v>44408</v>
      </c>
      <c r="D2972" t="str">
        <f>TEST_DATA!D2972</f>
        <v>NON-NIL</v>
      </c>
      <c r="E2972">
        <f>TEST_DATA!E2972</f>
        <v>342</v>
      </c>
    </row>
    <row r="2973" spans="1:5" x14ac:dyDescent="0.55000000000000004">
      <c r="A2973" t="str">
        <f>TEST_DATA!A2973</f>
        <v>27AAAAA2973Z5</v>
      </c>
      <c r="B2973" t="str">
        <f>TEST_DATA!B2973</f>
        <v>Mar-2020</v>
      </c>
      <c r="C2973">
        <f>TEST_DATA!C2973</f>
        <v>44694</v>
      </c>
      <c r="D2973" t="str">
        <f>TEST_DATA!D2973</f>
        <v>NIL</v>
      </c>
      <c r="E2973">
        <f>TEST_DATA!E2973</f>
        <v>2879</v>
      </c>
    </row>
    <row r="2974" spans="1:5" x14ac:dyDescent="0.55000000000000004">
      <c r="A2974" t="str">
        <f>TEST_DATA!A2974</f>
        <v>27AAAAA2974Z5</v>
      </c>
      <c r="B2974" t="str">
        <f>TEST_DATA!B2974</f>
        <v>Sep-2017</v>
      </c>
      <c r="C2974">
        <f>TEST_DATA!C2974</f>
        <v>43398</v>
      </c>
      <c r="D2974" t="str">
        <f>TEST_DATA!D2974</f>
        <v>NON-NIL</v>
      </c>
      <c r="E2974">
        <f>TEST_DATA!E2974</f>
        <v>11</v>
      </c>
    </row>
    <row r="2975" spans="1:5" x14ac:dyDescent="0.55000000000000004">
      <c r="A2975" t="str">
        <f>TEST_DATA!A2975</f>
        <v>27AAAAA2975Z5</v>
      </c>
      <c r="B2975" t="str">
        <f>TEST_DATA!B2975</f>
        <v>Jan-2018</v>
      </c>
      <c r="C2975">
        <f>TEST_DATA!C2975</f>
        <v>42952</v>
      </c>
      <c r="D2975" t="str">
        <f>TEST_DATA!D2975</f>
        <v>NON-NIL</v>
      </c>
      <c r="E2975">
        <f>TEST_DATA!E2975</f>
        <v>2287</v>
      </c>
    </row>
    <row r="2976" spans="1:5" x14ac:dyDescent="0.55000000000000004">
      <c r="A2976" t="str">
        <f>TEST_DATA!A2976</f>
        <v>27AAAAA2976Z5</v>
      </c>
      <c r="B2976" t="str">
        <f>TEST_DATA!B2976</f>
        <v>Jan-2019</v>
      </c>
      <c r="C2976">
        <f>TEST_DATA!C2976</f>
        <v>44013</v>
      </c>
      <c r="D2976" t="str">
        <f>TEST_DATA!D2976</f>
        <v>NIL</v>
      </c>
      <c r="E2976">
        <f>TEST_DATA!E2976</f>
        <v>244</v>
      </c>
    </row>
    <row r="2977" spans="1:5" x14ac:dyDescent="0.55000000000000004">
      <c r="A2977" t="str">
        <f>TEST_DATA!A2977</f>
        <v>27AAAAA2977Z5</v>
      </c>
      <c r="B2977" t="str">
        <f>TEST_DATA!B2977</f>
        <v>Jun-2018</v>
      </c>
      <c r="C2977">
        <f>TEST_DATA!C2977</f>
        <v>43656</v>
      </c>
      <c r="D2977" t="str">
        <f>TEST_DATA!D2977</f>
        <v>NIL</v>
      </c>
      <c r="E2977">
        <f>TEST_DATA!E2977</f>
        <v>1207</v>
      </c>
    </row>
    <row r="2978" spans="1:5" x14ac:dyDescent="0.55000000000000004">
      <c r="A2978" t="str">
        <f>TEST_DATA!A2978</f>
        <v>27AAAAA2978Z5</v>
      </c>
      <c r="B2978" t="str">
        <f>TEST_DATA!B2978</f>
        <v>Sep-2018</v>
      </c>
      <c r="C2978">
        <f>TEST_DATA!C2978</f>
        <v>43212</v>
      </c>
      <c r="D2978" t="str">
        <f>TEST_DATA!D2978</f>
        <v>NON-NIL</v>
      </c>
      <c r="E2978">
        <f>TEST_DATA!E2978</f>
        <v>993</v>
      </c>
    </row>
    <row r="2979" spans="1:5" x14ac:dyDescent="0.55000000000000004">
      <c r="A2979" t="str">
        <f>TEST_DATA!A2979</f>
        <v>27AAAAA2979Z5</v>
      </c>
      <c r="B2979" t="str">
        <f>TEST_DATA!B2979</f>
        <v>Jan-2018</v>
      </c>
      <c r="C2979">
        <f>TEST_DATA!C2979</f>
        <v>43376</v>
      </c>
      <c r="D2979" t="str">
        <f>TEST_DATA!D2979</f>
        <v>NIL</v>
      </c>
      <c r="E2979">
        <f>TEST_DATA!E2979</f>
        <v>564</v>
      </c>
    </row>
    <row r="2980" spans="1:5" x14ac:dyDescent="0.55000000000000004">
      <c r="A2980" t="str">
        <f>TEST_DATA!A2980</f>
        <v>27AAAAA2980Z5</v>
      </c>
      <c r="B2980" t="str">
        <f>TEST_DATA!B2980</f>
        <v>Oct-2017</v>
      </c>
      <c r="C2980">
        <f>TEST_DATA!C2980</f>
        <v>44341</v>
      </c>
      <c r="D2980" t="str">
        <f>TEST_DATA!D2980</f>
        <v>NIL</v>
      </c>
      <c r="E2980">
        <f>TEST_DATA!E2980</f>
        <v>1546</v>
      </c>
    </row>
    <row r="2981" spans="1:5" x14ac:dyDescent="0.55000000000000004">
      <c r="A2981" t="str">
        <f>TEST_DATA!A2981</f>
        <v>27AAAAA2981Z5</v>
      </c>
      <c r="B2981" t="str">
        <f>TEST_DATA!B2981</f>
        <v>Jan-2021</v>
      </c>
      <c r="C2981">
        <f>TEST_DATA!C2981</f>
        <v>43573</v>
      </c>
      <c r="D2981" t="str">
        <f>TEST_DATA!D2981</f>
        <v>NON-NIL</v>
      </c>
      <c r="E2981">
        <f>TEST_DATA!E2981</f>
        <v>1522</v>
      </c>
    </row>
    <row r="2982" spans="1:5" x14ac:dyDescent="0.55000000000000004">
      <c r="A2982" t="str">
        <f>TEST_DATA!A2982</f>
        <v>27AAAAA2982Z5</v>
      </c>
      <c r="B2982" t="str">
        <f>TEST_DATA!B2982</f>
        <v>Aug-2017</v>
      </c>
      <c r="C2982">
        <f>TEST_DATA!C2982</f>
        <v>44353</v>
      </c>
      <c r="D2982" t="str">
        <f>TEST_DATA!D2982</f>
        <v>NIL</v>
      </c>
      <c r="E2982">
        <f>TEST_DATA!E2982</f>
        <v>2714</v>
      </c>
    </row>
    <row r="2983" spans="1:5" x14ac:dyDescent="0.55000000000000004">
      <c r="A2983" t="str">
        <f>TEST_DATA!A2983</f>
        <v>27AAAAA2983Z5</v>
      </c>
      <c r="B2983" t="str">
        <f>TEST_DATA!B2983</f>
        <v>Mar-2020</v>
      </c>
      <c r="C2983">
        <f>TEST_DATA!C2983</f>
        <v>43982</v>
      </c>
      <c r="D2983" t="str">
        <f>TEST_DATA!D2983</f>
        <v>NON-NIL</v>
      </c>
      <c r="E2983">
        <f>TEST_DATA!E2983</f>
        <v>2432</v>
      </c>
    </row>
    <row r="2984" spans="1:5" x14ac:dyDescent="0.55000000000000004">
      <c r="A2984" t="str">
        <f>TEST_DATA!A2984</f>
        <v>27AAAAA2984Z5</v>
      </c>
      <c r="B2984" t="str">
        <f>TEST_DATA!B2984</f>
        <v>Mar-2023</v>
      </c>
      <c r="C2984">
        <f>TEST_DATA!C2984</f>
        <v>44113</v>
      </c>
      <c r="D2984" t="str">
        <f>TEST_DATA!D2984</f>
        <v>NIL</v>
      </c>
      <c r="E2984">
        <f>TEST_DATA!E2984</f>
        <v>601</v>
      </c>
    </row>
    <row r="2985" spans="1:5" x14ac:dyDescent="0.55000000000000004">
      <c r="A2985" t="str">
        <f>TEST_DATA!A2985</f>
        <v>27AAAAA2985Z5</v>
      </c>
      <c r="B2985" t="str">
        <f>TEST_DATA!B2985</f>
        <v>Jun-2018</v>
      </c>
      <c r="C2985">
        <f>TEST_DATA!C2985</f>
        <v>43206</v>
      </c>
      <c r="D2985" t="str">
        <f>TEST_DATA!D2985</f>
        <v>NIL</v>
      </c>
      <c r="E2985">
        <f>TEST_DATA!E2985</f>
        <v>1003</v>
      </c>
    </row>
    <row r="2986" spans="1:5" x14ac:dyDescent="0.55000000000000004">
      <c r="A2986" t="str">
        <f>TEST_DATA!A2986</f>
        <v>27AAAAA2986Z5</v>
      </c>
      <c r="B2986" t="str">
        <f>TEST_DATA!B2986</f>
        <v>Sep-2017</v>
      </c>
      <c r="C2986">
        <f>TEST_DATA!C2986</f>
        <v>42942</v>
      </c>
      <c r="D2986" t="str">
        <f>TEST_DATA!D2986</f>
        <v>NON-NIL</v>
      </c>
      <c r="E2986">
        <f>TEST_DATA!E2986</f>
        <v>613</v>
      </c>
    </row>
    <row r="2987" spans="1:5" x14ac:dyDescent="0.55000000000000004">
      <c r="A2987" t="str">
        <f>TEST_DATA!A2987</f>
        <v>27AAAAA2987Z5</v>
      </c>
      <c r="B2987" t="str">
        <f>TEST_DATA!B2987</f>
        <v>Mar-2021</v>
      </c>
      <c r="C2987">
        <f>TEST_DATA!C2987</f>
        <v>44213</v>
      </c>
      <c r="D2987" t="str">
        <f>TEST_DATA!D2987</f>
        <v>NON-NIL</v>
      </c>
      <c r="E2987">
        <f>TEST_DATA!E2987</f>
        <v>573</v>
      </c>
    </row>
    <row r="2988" spans="1:5" x14ac:dyDescent="0.55000000000000004">
      <c r="A2988" t="str">
        <f>TEST_DATA!A2988</f>
        <v>27AAAAA2988Z5</v>
      </c>
      <c r="B2988" t="str">
        <f>TEST_DATA!B2988</f>
        <v>Jan-2021</v>
      </c>
      <c r="C2988">
        <f>TEST_DATA!C2988</f>
        <v>45626</v>
      </c>
      <c r="D2988" t="str">
        <f>TEST_DATA!D2988</f>
        <v>NON-NIL</v>
      </c>
      <c r="E2988">
        <f>TEST_DATA!E2988</f>
        <v>1925</v>
      </c>
    </row>
    <row r="2989" spans="1:5" x14ac:dyDescent="0.55000000000000004">
      <c r="A2989" t="str">
        <f>TEST_DATA!A2989</f>
        <v>27AAAAA2989Z5</v>
      </c>
      <c r="B2989" t="str">
        <f>TEST_DATA!B2989</f>
        <v>Aug-2018</v>
      </c>
      <c r="C2989">
        <f>TEST_DATA!C2989</f>
        <v>44396</v>
      </c>
      <c r="D2989" t="str">
        <f>TEST_DATA!D2989</f>
        <v>NON-NIL</v>
      </c>
      <c r="E2989">
        <f>TEST_DATA!E2989</f>
        <v>1818</v>
      </c>
    </row>
    <row r="2990" spans="1:5" x14ac:dyDescent="0.55000000000000004">
      <c r="A2990" t="str">
        <f>TEST_DATA!A2990</f>
        <v>27AAAAA2990Z5</v>
      </c>
      <c r="B2990" t="str">
        <f>TEST_DATA!B2990</f>
        <v>Apr-2021</v>
      </c>
      <c r="C2990">
        <f>TEST_DATA!C2990</f>
        <v>43520</v>
      </c>
      <c r="D2990" t="str">
        <f>TEST_DATA!D2990</f>
        <v>NON-NIL</v>
      </c>
      <c r="E2990">
        <f>TEST_DATA!E2990</f>
        <v>455</v>
      </c>
    </row>
    <row r="2991" spans="1:5" x14ac:dyDescent="0.55000000000000004">
      <c r="A2991" t="str">
        <f>TEST_DATA!A2991</f>
        <v>27AAAAA2991Z5</v>
      </c>
      <c r="B2991" t="str">
        <f>TEST_DATA!B2991</f>
        <v>Nov-2017</v>
      </c>
      <c r="C2991">
        <f>TEST_DATA!C2991</f>
        <v>43039</v>
      </c>
      <c r="D2991" t="str">
        <f>TEST_DATA!D2991</f>
        <v>NIL</v>
      </c>
      <c r="E2991">
        <f>TEST_DATA!E2991</f>
        <v>2474</v>
      </c>
    </row>
    <row r="2992" spans="1:5" x14ac:dyDescent="0.55000000000000004">
      <c r="A2992" t="str">
        <f>TEST_DATA!A2992</f>
        <v>27AAAAA2992Z5</v>
      </c>
      <c r="B2992" t="str">
        <f>TEST_DATA!B2992</f>
        <v>Mar-2021</v>
      </c>
      <c r="C2992">
        <f>TEST_DATA!C2992</f>
        <v>44176</v>
      </c>
      <c r="D2992" t="str">
        <f>TEST_DATA!D2992</f>
        <v>NIL</v>
      </c>
      <c r="E2992">
        <f>TEST_DATA!E2992</f>
        <v>44</v>
      </c>
    </row>
    <row r="2993" spans="1:5" x14ac:dyDescent="0.55000000000000004">
      <c r="A2993" t="str">
        <f>TEST_DATA!A2993</f>
        <v>27AAAAA2993Z5</v>
      </c>
      <c r="B2993" t="str">
        <f>TEST_DATA!B2993</f>
        <v>Jul-2018</v>
      </c>
      <c r="C2993">
        <f>TEST_DATA!C2993</f>
        <v>43784</v>
      </c>
      <c r="D2993" t="str">
        <f>TEST_DATA!D2993</f>
        <v>NON-NIL</v>
      </c>
      <c r="E2993">
        <f>TEST_DATA!E2993</f>
        <v>2269</v>
      </c>
    </row>
    <row r="2994" spans="1:5" x14ac:dyDescent="0.55000000000000004">
      <c r="A2994" t="str">
        <f>TEST_DATA!A2994</f>
        <v>27AAAAA2994Z5</v>
      </c>
      <c r="B2994" t="str">
        <f>TEST_DATA!B2994</f>
        <v>Jul-2020</v>
      </c>
      <c r="C2994">
        <f>TEST_DATA!C2994</f>
        <v>44359</v>
      </c>
      <c r="D2994" t="str">
        <f>TEST_DATA!D2994</f>
        <v>NON-NIL</v>
      </c>
      <c r="E2994">
        <f>TEST_DATA!E2994</f>
        <v>2905</v>
      </c>
    </row>
    <row r="2995" spans="1:5" x14ac:dyDescent="0.55000000000000004">
      <c r="A2995" t="str">
        <f>TEST_DATA!A2995</f>
        <v>27AAAAA2995Z5</v>
      </c>
      <c r="B2995" t="str">
        <f>TEST_DATA!B2995</f>
        <v>Feb-2018</v>
      </c>
      <c r="C2995">
        <f>TEST_DATA!C2995</f>
        <v>43784</v>
      </c>
      <c r="D2995" t="str">
        <f>TEST_DATA!D2995</f>
        <v>NIL</v>
      </c>
      <c r="E2995">
        <f>TEST_DATA!E2995</f>
        <v>1113</v>
      </c>
    </row>
    <row r="2996" spans="1:5" x14ac:dyDescent="0.55000000000000004">
      <c r="A2996" t="str">
        <f>TEST_DATA!A2996</f>
        <v>27AAAAA2996Z5</v>
      </c>
      <c r="B2996" t="str">
        <f>TEST_DATA!B2996</f>
        <v>Sep-2017</v>
      </c>
      <c r="C2996">
        <f>TEST_DATA!C2996</f>
        <v>43985</v>
      </c>
      <c r="D2996" t="str">
        <f>TEST_DATA!D2996</f>
        <v>NON-NIL</v>
      </c>
      <c r="E2996">
        <f>TEST_DATA!E2996</f>
        <v>512</v>
      </c>
    </row>
    <row r="2997" spans="1:5" x14ac:dyDescent="0.55000000000000004">
      <c r="A2997" t="str">
        <f>TEST_DATA!A2997</f>
        <v>27AAAAA2997Z5</v>
      </c>
      <c r="B2997" t="str">
        <f>TEST_DATA!B2997</f>
        <v>Jan-2021</v>
      </c>
      <c r="C2997">
        <f>TEST_DATA!C2997</f>
        <v>44333</v>
      </c>
      <c r="D2997" t="str">
        <f>TEST_DATA!D2997</f>
        <v>NON-NIL</v>
      </c>
      <c r="E2997">
        <f>TEST_DATA!E2997</f>
        <v>2535</v>
      </c>
    </row>
    <row r="2998" spans="1:5" x14ac:dyDescent="0.55000000000000004">
      <c r="A2998" t="str">
        <f>TEST_DATA!A2998</f>
        <v>27AAAAA2998Z5</v>
      </c>
      <c r="B2998" t="str">
        <f>TEST_DATA!B2998</f>
        <v>Aug-2017</v>
      </c>
      <c r="C2998">
        <f>TEST_DATA!C2998</f>
        <v>43365</v>
      </c>
      <c r="D2998" t="str">
        <f>TEST_DATA!D2998</f>
        <v>NON-NIL</v>
      </c>
      <c r="E2998">
        <f>TEST_DATA!E2998</f>
        <v>752</v>
      </c>
    </row>
    <row r="2999" spans="1:5" x14ac:dyDescent="0.55000000000000004">
      <c r="A2999" t="str">
        <f>TEST_DATA!A2999</f>
        <v>27AAAAA2999Z5</v>
      </c>
      <c r="B2999" t="str">
        <f>TEST_DATA!B2999</f>
        <v>Dec-2022</v>
      </c>
      <c r="C2999">
        <f>TEST_DATA!C2999</f>
        <v>45756</v>
      </c>
      <c r="D2999" t="str">
        <f>TEST_DATA!D2999</f>
        <v>NIL</v>
      </c>
      <c r="E2999">
        <f>TEST_DATA!E2999</f>
        <v>2836</v>
      </c>
    </row>
    <row r="3000" spans="1:5" x14ac:dyDescent="0.55000000000000004">
      <c r="A3000" t="str">
        <f>TEST_DATA!A3000</f>
        <v>27AAAAA3000Z5</v>
      </c>
      <c r="B3000" t="str">
        <f>TEST_DATA!B3000</f>
        <v>Sep-2018</v>
      </c>
      <c r="C3000">
        <f>TEST_DATA!C3000</f>
        <v>43894</v>
      </c>
      <c r="D3000" t="str">
        <f>TEST_DATA!D3000</f>
        <v>NON-NIL</v>
      </c>
      <c r="E3000">
        <f>TEST_DATA!E3000</f>
        <v>2673</v>
      </c>
    </row>
    <row r="3001" spans="1:5" x14ac:dyDescent="0.55000000000000004">
      <c r="A3001" t="str">
        <f>TEST_DATA!A3001</f>
        <v>27AAAAA3001Z5</v>
      </c>
      <c r="B3001" t="str">
        <f>TEST_DATA!B3001</f>
        <v>May-2020</v>
      </c>
      <c r="C3001">
        <f>TEST_DATA!C3001</f>
        <v>44660</v>
      </c>
      <c r="D3001" t="str">
        <f>TEST_DATA!D3001</f>
        <v>NON-NIL</v>
      </c>
      <c r="E3001">
        <f>TEST_DATA!E3001</f>
        <v>675</v>
      </c>
    </row>
    <row r="3002" spans="1:5" x14ac:dyDescent="0.55000000000000004">
      <c r="A3002" t="str">
        <f>TEST_DATA!A3002</f>
        <v>27AAAAA3002Z5</v>
      </c>
      <c r="B3002" t="str">
        <f>TEST_DATA!B3002</f>
        <v>Aug-2017</v>
      </c>
      <c r="C3002">
        <f>TEST_DATA!C3002</f>
        <v>43677</v>
      </c>
      <c r="D3002" t="str">
        <f>TEST_DATA!D3002</f>
        <v>NON-NIL</v>
      </c>
      <c r="E3002">
        <f>TEST_DATA!E3002</f>
        <v>797</v>
      </c>
    </row>
    <row r="3003" spans="1:5" x14ac:dyDescent="0.55000000000000004">
      <c r="A3003" t="str">
        <f>TEST_DATA!A3003</f>
        <v>27AAAAA3003Z5</v>
      </c>
      <c r="B3003" t="str">
        <f>TEST_DATA!B3003</f>
        <v>Mar-2018</v>
      </c>
      <c r="C3003">
        <f>TEST_DATA!C3003</f>
        <v>43139</v>
      </c>
      <c r="D3003" t="str">
        <f>TEST_DATA!D3003</f>
        <v>NIL</v>
      </c>
      <c r="E3003">
        <f>TEST_DATA!E3003</f>
        <v>318</v>
      </c>
    </row>
    <row r="3004" spans="1:5" x14ac:dyDescent="0.55000000000000004">
      <c r="A3004" t="str">
        <f>TEST_DATA!A3004</f>
        <v>27AAAAA3004Z5</v>
      </c>
      <c r="B3004" t="str">
        <f>TEST_DATA!B3004</f>
        <v>Jun-2018</v>
      </c>
      <c r="C3004">
        <f>TEST_DATA!C3004</f>
        <v>44152</v>
      </c>
      <c r="D3004" t="str">
        <f>TEST_DATA!D3004</f>
        <v>NON-NIL</v>
      </c>
      <c r="E3004">
        <f>TEST_DATA!E3004</f>
        <v>114</v>
      </c>
    </row>
    <row r="3005" spans="1:5" x14ac:dyDescent="0.55000000000000004">
      <c r="A3005" t="str">
        <f>TEST_DATA!A3005</f>
        <v>27AAAAA3005Z5</v>
      </c>
      <c r="B3005" t="str">
        <f>TEST_DATA!B3005</f>
        <v>Feb-2018</v>
      </c>
      <c r="C3005">
        <f>TEST_DATA!C3005</f>
        <v>43494</v>
      </c>
      <c r="D3005" t="str">
        <f>TEST_DATA!D3005</f>
        <v>NIL</v>
      </c>
      <c r="E3005">
        <f>TEST_DATA!E3005</f>
        <v>2218</v>
      </c>
    </row>
    <row r="3006" spans="1:5" x14ac:dyDescent="0.55000000000000004">
      <c r="A3006" t="str">
        <f>TEST_DATA!A3006</f>
        <v>27AAAAA3006Z5</v>
      </c>
      <c r="B3006" t="str">
        <f>TEST_DATA!B3006</f>
        <v>Oct-2017</v>
      </c>
      <c r="C3006">
        <f>TEST_DATA!C3006</f>
        <v>43050</v>
      </c>
      <c r="D3006" t="str">
        <f>TEST_DATA!D3006</f>
        <v>NIL</v>
      </c>
      <c r="E3006">
        <f>TEST_DATA!E3006</f>
        <v>2445</v>
      </c>
    </row>
    <row r="3007" spans="1:5" x14ac:dyDescent="0.55000000000000004">
      <c r="A3007" t="str">
        <f>TEST_DATA!A3007</f>
        <v>27AAAAA3007Z5</v>
      </c>
      <c r="B3007" t="str">
        <f>TEST_DATA!B3007</f>
        <v>Jul-2017</v>
      </c>
      <c r="C3007">
        <f>TEST_DATA!C3007</f>
        <v>44466</v>
      </c>
      <c r="D3007" t="str">
        <f>TEST_DATA!D3007</f>
        <v>NON-NIL</v>
      </c>
      <c r="E3007">
        <f>TEST_DATA!E3007</f>
        <v>768</v>
      </c>
    </row>
    <row r="3008" spans="1:5" x14ac:dyDescent="0.55000000000000004">
      <c r="A3008" t="str">
        <f>TEST_DATA!A3008</f>
        <v>27AAAAA3008Z5</v>
      </c>
      <c r="B3008" t="str">
        <f>TEST_DATA!B3008</f>
        <v>Dec-2019</v>
      </c>
      <c r="C3008">
        <f>TEST_DATA!C3008</f>
        <v>44292</v>
      </c>
      <c r="D3008" t="str">
        <f>TEST_DATA!D3008</f>
        <v>NIL</v>
      </c>
      <c r="E3008">
        <f>TEST_DATA!E3008</f>
        <v>984</v>
      </c>
    </row>
    <row r="3009" spans="1:5" x14ac:dyDescent="0.55000000000000004">
      <c r="A3009" t="str">
        <f>TEST_DATA!A3009</f>
        <v>27AAAAA3009Z5</v>
      </c>
      <c r="B3009" t="str">
        <f>TEST_DATA!B3009</f>
        <v>Mar-2018</v>
      </c>
      <c r="C3009">
        <f>TEST_DATA!C3009</f>
        <v>43091</v>
      </c>
      <c r="D3009" t="str">
        <f>TEST_DATA!D3009</f>
        <v>NIL</v>
      </c>
      <c r="E3009">
        <f>TEST_DATA!E3009</f>
        <v>2309</v>
      </c>
    </row>
    <row r="3010" spans="1:5" x14ac:dyDescent="0.55000000000000004">
      <c r="A3010" t="str">
        <f>TEST_DATA!A3010</f>
        <v>27AAAAA3010Z5</v>
      </c>
      <c r="B3010" t="str">
        <f>TEST_DATA!B3010</f>
        <v>Apr-2021</v>
      </c>
      <c r="C3010">
        <f>TEST_DATA!C3010</f>
        <v>45447</v>
      </c>
      <c r="D3010" t="str">
        <f>TEST_DATA!D3010</f>
        <v>NIL</v>
      </c>
      <c r="E3010">
        <f>TEST_DATA!E3010</f>
        <v>196</v>
      </c>
    </row>
    <row r="3011" spans="1:5" x14ac:dyDescent="0.55000000000000004">
      <c r="A3011" t="str">
        <f>TEST_DATA!A3011</f>
        <v>27AAAAA3011Z5</v>
      </c>
      <c r="B3011" t="str">
        <f>TEST_DATA!B3011</f>
        <v>May-2018</v>
      </c>
      <c r="C3011">
        <f>TEST_DATA!C3011</f>
        <v>43107</v>
      </c>
      <c r="D3011" t="str">
        <f>TEST_DATA!D3011</f>
        <v>NON-NIL</v>
      </c>
      <c r="E3011">
        <f>TEST_DATA!E3011</f>
        <v>34</v>
      </c>
    </row>
    <row r="3012" spans="1:5" x14ac:dyDescent="0.55000000000000004">
      <c r="A3012" t="str">
        <f>TEST_DATA!A3012</f>
        <v>27AAAAA3012Z5</v>
      </c>
      <c r="B3012" t="str">
        <f>TEST_DATA!B3012</f>
        <v>Jun-2018</v>
      </c>
      <c r="C3012">
        <f>TEST_DATA!C3012</f>
        <v>44456</v>
      </c>
      <c r="D3012" t="str">
        <f>TEST_DATA!D3012</f>
        <v>NON-NIL</v>
      </c>
      <c r="E3012">
        <f>TEST_DATA!E3012</f>
        <v>1630</v>
      </c>
    </row>
    <row r="3013" spans="1:5" x14ac:dyDescent="0.55000000000000004">
      <c r="A3013" t="str">
        <f>TEST_DATA!A3013</f>
        <v>27AAAAA3013Z5</v>
      </c>
      <c r="B3013" t="str">
        <f>TEST_DATA!B3013</f>
        <v>Jun-2019</v>
      </c>
      <c r="C3013">
        <f>TEST_DATA!C3013</f>
        <v>44264</v>
      </c>
      <c r="D3013" t="str">
        <f>TEST_DATA!D3013</f>
        <v>NON-NIL</v>
      </c>
      <c r="E3013">
        <f>TEST_DATA!E3013</f>
        <v>1600</v>
      </c>
    </row>
    <row r="3014" spans="1:5" x14ac:dyDescent="0.55000000000000004">
      <c r="A3014" t="str">
        <f>TEST_DATA!A3014</f>
        <v>27AAAAA3014Z5</v>
      </c>
      <c r="B3014" t="str">
        <f>TEST_DATA!B3014</f>
        <v>Jan-2021</v>
      </c>
      <c r="C3014">
        <f>TEST_DATA!C3014</f>
        <v>44923</v>
      </c>
      <c r="D3014" t="str">
        <f>TEST_DATA!D3014</f>
        <v>NIL</v>
      </c>
      <c r="E3014">
        <f>TEST_DATA!E3014</f>
        <v>2878</v>
      </c>
    </row>
    <row r="3015" spans="1:5" x14ac:dyDescent="0.55000000000000004">
      <c r="A3015" t="str">
        <f>TEST_DATA!A3015</f>
        <v>27AAAAA3015Z5</v>
      </c>
      <c r="B3015" t="str">
        <f>TEST_DATA!B3015</f>
        <v>Jun-2020</v>
      </c>
      <c r="C3015">
        <f>TEST_DATA!C3015</f>
        <v>44030</v>
      </c>
      <c r="D3015" t="str">
        <f>TEST_DATA!D3015</f>
        <v>NON-NIL</v>
      </c>
      <c r="E3015">
        <f>TEST_DATA!E3015</f>
        <v>1668</v>
      </c>
    </row>
    <row r="3016" spans="1:5" x14ac:dyDescent="0.55000000000000004">
      <c r="A3016" t="str">
        <f>TEST_DATA!A3016</f>
        <v>27AAAAA3016Z5</v>
      </c>
      <c r="B3016" t="str">
        <f>TEST_DATA!B3016</f>
        <v>Dec-2024</v>
      </c>
      <c r="C3016">
        <f>TEST_DATA!C3016</f>
        <v>45528</v>
      </c>
      <c r="D3016" t="str">
        <f>TEST_DATA!D3016</f>
        <v>NIL</v>
      </c>
      <c r="E3016">
        <f>TEST_DATA!E3016</f>
        <v>2056</v>
      </c>
    </row>
    <row r="3017" spans="1:5" x14ac:dyDescent="0.55000000000000004">
      <c r="A3017" t="str">
        <f>TEST_DATA!A3017</f>
        <v>27AAAAA3017Z5</v>
      </c>
      <c r="B3017" t="str">
        <f>TEST_DATA!B3017</f>
        <v>Apr-2021</v>
      </c>
      <c r="C3017">
        <f>TEST_DATA!C3017</f>
        <v>44081</v>
      </c>
      <c r="D3017" t="str">
        <f>TEST_DATA!D3017</f>
        <v>NIL</v>
      </c>
      <c r="E3017">
        <f>TEST_DATA!E3017</f>
        <v>2405</v>
      </c>
    </row>
    <row r="3018" spans="1:5" x14ac:dyDescent="0.55000000000000004">
      <c r="A3018" t="str">
        <f>TEST_DATA!A3018</f>
        <v>27AAAAA3018Z5</v>
      </c>
      <c r="B3018" t="str">
        <f>TEST_DATA!B3018</f>
        <v>Apr-2021</v>
      </c>
      <c r="C3018">
        <f>TEST_DATA!C3018</f>
        <v>45031</v>
      </c>
      <c r="D3018" t="str">
        <f>TEST_DATA!D3018</f>
        <v>NON-NIL</v>
      </c>
      <c r="E3018">
        <f>TEST_DATA!E3018</f>
        <v>2401</v>
      </c>
    </row>
    <row r="3019" spans="1:5" x14ac:dyDescent="0.55000000000000004">
      <c r="A3019" t="str">
        <f>TEST_DATA!A3019</f>
        <v>27AAAAA3019Z5</v>
      </c>
      <c r="B3019" t="str">
        <f>TEST_DATA!B3019</f>
        <v>Mar-2023</v>
      </c>
      <c r="C3019">
        <f>TEST_DATA!C3019</f>
        <v>43619</v>
      </c>
      <c r="D3019" t="str">
        <f>TEST_DATA!D3019</f>
        <v>NON-NIL</v>
      </c>
      <c r="E3019">
        <f>TEST_DATA!E3019</f>
        <v>660</v>
      </c>
    </row>
    <row r="3020" spans="1:5" x14ac:dyDescent="0.55000000000000004">
      <c r="A3020" t="str">
        <f>TEST_DATA!A3020</f>
        <v>27AAAAA3020Z5</v>
      </c>
      <c r="B3020" t="str">
        <f>TEST_DATA!B3020</f>
        <v>Nov-2017</v>
      </c>
      <c r="C3020">
        <f>TEST_DATA!C3020</f>
        <v>44314</v>
      </c>
      <c r="D3020" t="str">
        <f>TEST_DATA!D3020</f>
        <v>NON-NIL</v>
      </c>
      <c r="E3020">
        <f>TEST_DATA!E3020</f>
        <v>322</v>
      </c>
    </row>
    <row r="3021" spans="1:5" x14ac:dyDescent="0.55000000000000004">
      <c r="A3021" t="str">
        <f>TEST_DATA!A3021</f>
        <v>27AAAAA3021Z5</v>
      </c>
      <c r="B3021" t="str">
        <f>TEST_DATA!B3021</f>
        <v>Dec-2024</v>
      </c>
      <c r="C3021">
        <f>TEST_DATA!C3021</f>
        <v>43848</v>
      </c>
      <c r="D3021" t="str">
        <f>TEST_DATA!D3021</f>
        <v>NIL</v>
      </c>
      <c r="E3021">
        <f>TEST_DATA!E3021</f>
        <v>883</v>
      </c>
    </row>
    <row r="3022" spans="1:5" x14ac:dyDescent="0.55000000000000004">
      <c r="A3022" t="str">
        <f>TEST_DATA!A3022</f>
        <v>27AAAAA3022Z5</v>
      </c>
      <c r="B3022" t="str">
        <f>TEST_DATA!B3022</f>
        <v>Apr-2021</v>
      </c>
      <c r="C3022">
        <f>TEST_DATA!C3022</f>
        <v>44042</v>
      </c>
      <c r="D3022" t="str">
        <f>TEST_DATA!D3022</f>
        <v>NIL</v>
      </c>
      <c r="E3022">
        <f>TEST_DATA!E3022</f>
        <v>2054</v>
      </c>
    </row>
    <row r="3023" spans="1:5" x14ac:dyDescent="0.55000000000000004">
      <c r="A3023" t="str">
        <f>TEST_DATA!A3023</f>
        <v>27AAAAA3023Z5</v>
      </c>
      <c r="B3023" t="str">
        <f>TEST_DATA!B3023</f>
        <v>Jun-2019</v>
      </c>
      <c r="C3023">
        <f>TEST_DATA!C3023</f>
        <v>45609</v>
      </c>
      <c r="D3023" t="str">
        <f>TEST_DATA!D3023</f>
        <v>NON-NIL</v>
      </c>
      <c r="E3023">
        <f>TEST_DATA!E3023</f>
        <v>1832</v>
      </c>
    </row>
    <row r="3024" spans="1:5" x14ac:dyDescent="0.55000000000000004">
      <c r="A3024" t="str">
        <f>TEST_DATA!A3024</f>
        <v>27AAAAA3024Z5</v>
      </c>
      <c r="B3024" t="str">
        <f>TEST_DATA!B3024</f>
        <v>Apr-2021</v>
      </c>
      <c r="C3024">
        <f>TEST_DATA!C3024</f>
        <v>44003</v>
      </c>
      <c r="D3024" t="str">
        <f>TEST_DATA!D3024</f>
        <v>NON-NIL</v>
      </c>
      <c r="E3024">
        <f>TEST_DATA!E3024</f>
        <v>1191</v>
      </c>
    </row>
    <row r="3025" spans="1:5" x14ac:dyDescent="0.55000000000000004">
      <c r="A3025" t="str">
        <f>TEST_DATA!A3025</f>
        <v>27AAAAA3025Z5</v>
      </c>
      <c r="B3025" t="str">
        <f>TEST_DATA!B3025</f>
        <v>Jun-2018</v>
      </c>
      <c r="C3025">
        <f>TEST_DATA!C3025</f>
        <v>44193</v>
      </c>
      <c r="D3025" t="str">
        <f>TEST_DATA!D3025</f>
        <v>NON-NIL</v>
      </c>
      <c r="E3025">
        <f>TEST_DATA!E3025</f>
        <v>163</v>
      </c>
    </row>
    <row r="3026" spans="1:5" x14ac:dyDescent="0.55000000000000004">
      <c r="A3026" t="str">
        <f>TEST_DATA!A3026</f>
        <v>27AAAAA3026Z5</v>
      </c>
      <c r="B3026" t="str">
        <f>TEST_DATA!B3026</f>
        <v>Dec-2024</v>
      </c>
      <c r="C3026">
        <f>TEST_DATA!C3026</f>
        <v>45053</v>
      </c>
      <c r="D3026" t="str">
        <f>TEST_DATA!D3026</f>
        <v>NIL</v>
      </c>
      <c r="E3026">
        <f>TEST_DATA!E3026</f>
        <v>855</v>
      </c>
    </row>
    <row r="3027" spans="1:5" x14ac:dyDescent="0.55000000000000004">
      <c r="A3027" t="str">
        <f>TEST_DATA!A3027</f>
        <v>27AAAAA3027Z5</v>
      </c>
      <c r="B3027" t="str">
        <f>TEST_DATA!B3027</f>
        <v>Apr-2020</v>
      </c>
      <c r="C3027">
        <f>TEST_DATA!C3027</f>
        <v>43984</v>
      </c>
      <c r="D3027" t="str">
        <f>TEST_DATA!D3027</f>
        <v>NIL</v>
      </c>
      <c r="E3027">
        <f>TEST_DATA!E3027</f>
        <v>2322</v>
      </c>
    </row>
    <row r="3028" spans="1:5" x14ac:dyDescent="0.55000000000000004">
      <c r="A3028" t="str">
        <f>TEST_DATA!A3028</f>
        <v>27AAAAA3028Z5</v>
      </c>
      <c r="B3028" t="str">
        <f>TEST_DATA!B3028</f>
        <v>May-2020</v>
      </c>
      <c r="C3028">
        <f>TEST_DATA!C3028</f>
        <v>44849</v>
      </c>
      <c r="D3028" t="str">
        <f>TEST_DATA!D3028</f>
        <v>NIL</v>
      </c>
      <c r="E3028">
        <f>TEST_DATA!E3028</f>
        <v>61</v>
      </c>
    </row>
    <row r="3029" spans="1:5" x14ac:dyDescent="0.55000000000000004">
      <c r="A3029" t="str">
        <f>TEST_DATA!A3029</f>
        <v>27AAAAA3029Z5</v>
      </c>
      <c r="B3029" t="str">
        <f>TEST_DATA!B3029</f>
        <v>Nov-2017</v>
      </c>
      <c r="C3029">
        <f>TEST_DATA!C3029</f>
        <v>44486</v>
      </c>
      <c r="D3029" t="str">
        <f>TEST_DATA!D3029</f>
        <v>NON-NIL</v>
      </c>
      <c r="E3029">
        <f>TEST_DATA!E3029</f>
        <v>2241</v>
      </c>
    </row>
    <row r="3030" spans="1:5" x14ac:dyDescent="0.55000000000000004">
      <c r="A3030" t="str">
        <f>TEST_DATA!A3030</f>
        <v>27AAAAA3030Z5</v>
      </c>
      <c r="B3030" t="str">
        <f>TEST_DATA!B3030</f>
        <v>Mar-2023</v>
      </c>
      <c r="C3030">
        <f>TEST_DATA!C3030</f>
        <v>43823</v>
      </c>
      <c r="D3030" t="str">
        <f>TEST_DATA!D3030</f>
        <v>NON-NIL</v>
      </c>
      <c r="E3030">
        <f>TEST_DATA!E3030</f>
        <v>385</v>
      </c>
    </row>
    <row r="3031" spans="1:5" x14ac:dyDescent="0.55000000000000004">
      <c r="A3031" t="str">
        <f>TEST_DATA!A3031</f>
        <v>27AAAAA3031Z5</v>
      </c>
      <c r="B3031" t="str">
        <f>TEST_DATA!B3031</f>
        <v>Sep-2018</v>
      </c>
      <c r="C3031">
        <f>TEST_DATA!C3031</f>
        <v>43559</v>
      </c>
      <c r="D3031" t="str">
        <f>TEST_DATA!D3031</f>
        <v>NIL</v>
      </c>
      <c r="E3031">
        <f>TEST_DATA!E3031</f>
        <v>1210</v>
      </c>
    </row>
    <row r="3032" spans="1:5" x14ac:dyDescent="0.55000000000000004">
      <c r="A3032" t="str">
        <f>TEST_DATA!A3032</f>
        <v>27AAAAA3032Z5</v>
      </c>
      <c r="B3032" t="str">
        <f>TEST_DATA!B3032</f>
        <v>Dec-2017</v>
      </c>
      <c r="C3032">
        <f>TEST_DATA!C3032</f>
        <v>43056</v>
      </c>
      <c r="D3032" t="str">
        <f>TEST_DATA!D3032</f>
        <v>NON-NIL</v>
      </c>
      <c r="E3032">
        <f>TEST_DATA!E3032</f>
        <v>2361</v>
      </c>
    </row>
    <row r="3033" spans="1:5" x14ac:dyDescent="0.55000000000000004">
      <c r="A3033" t="str">
        <f>TEST_DATA!A3033</f>
        <v>27AAAAA3033Z5</v>
      </c>
      <c r="B3033" t="str">
        <f>TEST_DATA!B3033</f>
        <v>Jun-2018</v>
      </c>
      <c r="C3033">
        <f>TEST_DATA!C3033</f>
        <v>43640</v>
      </c>
      <c r="D3033" t="str">
        <f>TEST_DATA!D3033</f>
        <v>NIL</v>
      </c>
      <c r="E3033">
        <f>TEST_DATA!E3033</f>
        <v>291</v>
      </c>
    </row>
    <row r="3034" spans="1:5" x14ac:dyDescent="0.55000000000000004">
      <c r="A3034" t="str">
        <f>TEST_DATA!A3034</f>
        <v>27AAAAA3034Z5</v>
      </c>
      <c r="B3034" t="str">
        <f>TEST_DATA!B3034</f>
        <v>Dec-2017</v>
      </c>
      <c r="C3034">
        <f>TEST_DATA!C3034</f>
        <v>44372</v>
      </c>
      <c r="D3034" t="str">
        <f>TEST_DATA!D3034</f>
        <v>NON-NIL</v>
      </c>
      <c r="E3034">
        <f>TEST_DATA!E3034</f>
        <v>1056</v>
      </c>
    </row>
    <row r="3035" spans="1:5" x14ac:dyDescent="0.55000000000000004">
      <c r="A3035" t="str">
        <f>TEST_DATA!A3035</f>
        <v>27AAAAA3035Z5</v>
      </c>
      <c r="B3035" t="str">
        <f>TEST_DATA!B3035</f>
        <v>Jan-2019</v>
      </c>
      <c r="C3035">
        <f>TEST_DATA!C3035</f>
        <v>44514</v>
      </c>
      <c r="D3035" t="str">
        <f>TEST_DATA!D3035</f>
        <v>NON-NIL</v>
      </c>
      <c r="E3035">
        <f>TEST_DATA!E3035</f>
        <v>2663</v>
      </c>
    </row>
    <row r="3036" spans="1:5" x14ac:dyDescent="0.55000000000000004">
      <c r="A3036" t="str">
        <f>TEST_DATA!A3036</f>
        <v>27AAAAA3036Z5</v>
      </c>
      <c r="B3036" t="str">
        <f>TEST_DATA!B3036</f>
        <v>Nov-2017</v>
      </c>
      <c r="C3036">
        <f>TEST_DATA!C3036</f>
        <v>43170</v>
      </c>
      <c r="D3036" t="str">
        <f>TEST_DATA!D3036</f>
        <v>NON-NIL</v>
      </c>
      <c r="E3036">
        <f>TEST_DATA!E3036</f>
        <v>162</v>
      </c>
    </row>
    <row r="3037" spans="1:5" x14ac:dyDescent="0.55000000000000004">
      <c r="A3037" t="str">
        <f>TEST_DATA!A3037</f>
        <v>27AAAAA3037Z5</v>
      </c>
      <c r="B3037" t="str">
        <f>TEST_DATA!B3037</f>
        <v>Jun-2018</v>
      </c>
      <c r="C3037">
        <f>TEST_DATA!C3037</f>
        <v>43504</v>
      </c>
      <c r="D3037" t="str">
        <f>TEST_DATA!D3037</f>
        <v>NON-NIL</v>
      </c>
      <c r="E3037">
        <f>TEST_DATA!E3037</f>
        <v>1675</v>
      </c>
    </row>
    <row r="3038" spans="1:5" x14ac:dyDescent="0.55000000000000004">
      <c r="A3038" t="str">
        <f>TEST_DATA!A3038</f>
        <v>27AAAAA3038Z5</v>
      </c>
      <c r="B3038" t="str">
        <f>TEST_DATA!B3038</f>
        <v>Mar-2023</v>
      </c>
      <c r="C3038">
        <f>TEST_DATA!C3038</f>
        <v>43994</v>
      </c>
      <c r="D3038" t="str">
        <f>TEST_DATA!D3038</f>
        <v>NON-NIL</v>
      </c>
      <c r="E3038">
        <f>TEST_DATA!E3038</f>
        <v>1502</v>
      </c>
    </row>
    <row r="3039" spans="1:5" x14ac:dyDescent="0.55000000000000004">
      <c r="A3039" t="str">
        <f>TEST_DATA!A3039</f>
        <v>27AAAAA3039Z5</v>
      </c>
      <c r="B3039" t="str">
        <f>TEST_DATA!B3039</f>
        <v>Jun-2019</v>
      </c>
      <c r="C3039">
        <f>TEST_DATA!C3039</f>
        <v>44750</v>
      </c>
      <c r="D3039" t="str">
        <f>TEST_DATA!D3039</f>
        <v>NON-NIL</v>
      </c>
      <c r="E3039">
        <f>TEST_DATA!E3039</f>
        <v>341</v>
      </c>
    </row>
    <row r="3040" spans="1:5" x14ac:dyDescent="0.55000000000000004">
      <c r="A3040" t="str">
        <f>TEST_DATA!A3040</f>
        <v>27AAAAA3040Z5</v>
      </c>
      <c r="B3040" t="str">
        <f>TEST_DATA!B3040</f>
        <v>Jun-2020</v>
      </c>
      <c r="C3040">
        <f>TEST_DATA!C3040</f>
        <v>44677</v>
      </c>
      <c r="D3040" t="str">
        <f>TEST_DATA!D3040</f>
        <v>NON-NIL</v>
      </c>
      <c r="E3040">
        <f>TEST_DATA!E3040</f>
        <v>1076</v>
      </c>
    </row>
    <row r="3041" spans="1:5" x14ac:dyDescent="0.55000000000000004">
      <c r="A3041" t="str">
        <f>TEST_DATA!A3041</f>
        <v>27AAAAA3041Z5</v>
      </c>
      <c r="B3041" t="str">
        <f>TEST_DATA!B3041</f>
        <v>Dec-2024</v>
      </c>
      <c r="C3041">
        <f>TEST_DATA!C3041</f>
        <v>43640</v>
      </c>
      <c r="D3041" t="str">
        <f>TEST_DATA!D3041</f>
        <v>NIL</v>
      </c>
      <c r="E3041">
        <f>TEST_DATA!E3041</f>
        <v>1002</v>
      </c>
    </row>
    <row r="3042" spans="1:5" x14ac:dyDescent="0.55000000000000004">
      <c r="A3042" t="str">
        <f>TEST_DATA!A3042</f>
        <v>27AAAAA3042Z5</v>
      </c>
      <c r="B3042" t="str">
        <f>TEST_DATA!B3042</f>
        <v>Jul-2020</v>
      </c>
      <c r="C3042">
        <f>TEST_DATA!C3042</f>
        <v>43847</v>
      </c>
      <c r="D3042" t="str">
        <f>TEST_DATA!D3042</f>
        <v>NIL</v>
      </c>
      <c r="E3042">
        <f>TEST_DATA!E3042</f>
        <v>431</v>
      </c>
    </row>
    <row r="3043" spans="1:5" x14ac:dyDescent="0.55000000000000004">
      <c r="A3043" t="str">
        <f>TEST_DATA!A3043</f>
        <v>27AAAAA3043Z5</v>
      </c>
      <c r="B3043" t="str">
        <f>TEST_DATA!B3043</f>
        <v>Apr-2018</v>
      </c>
      <c r="C3043">
        <f>TEST_DATA!C3043</f>
        <v>43686</v>
      </c>
      <c r="D3043" t="str">
        <f>TEST_DATA!D3043</f>
        <v>NIL</v>
      </c>
      <c r="E3043">
        <f>TEST_DATA!E3043</f>
        <v>2335</v>
      </c>
    </row>
    <row r="3044" spans="1:5" x14ac:dyDescent="0.55000000000000004">
      <c r="A3044" t="str">
        <f>TEST_DATA!A3044</f>
        <v>27AAAAA3044Z5</v>
      </c>
      <c r="B3044" t="str">
        <f>TEST_DATA!B3044</f>
        <v>Jul-2018</v>
      </c>
      <c r="C3044">
        <f>TEST_DATA!C3044</f>
        <v>43066</v>
      </c>
      <c r="D3044" t="str">
        <f>TEST_DATA!D3044</f>
        <v>NIL</v>
      </c>
      <c r="E3044">
        <f>TEST_DATA!E3044</f>
        <v>1590</v>
      </c>
    </row>
    <row r="3045" spans="1:5" x14ac:dyDescent="0.55000000000000004">
      <c r="A3045" t="str">
        <f>TEST_DATA!A3045</f>
        <v>27AAAAA3045Z5</v>
      </c>
      <c r="B3045" t="str">
        <f>TEST_DATA!B3045</f>
        <v>Mar-2023</v>
      </c>
      <c r="C3045">
        <f>TEST_DATA!C3045</f>
        <v>45359</v>
      </c>
      <c r="D3045" t="str">
        <f>TEST_DATA!D3045</f>
        <v>NIL</v>
      </c>
      <c r="E3045">
        <f>TEST_DATA!E3045</f>
        <v>1429</v>
      </c>
    </row>
    <row r="3046" spans="1:5" x14ac:dyDescent="0.55000000000000004">
      <c r="A3046" t="str">
        <f>TEST_DATA!A3046</f>
        <v>27AAAAA3046Z5</v>
      </c>
      <c r="B3046" t="str">
        <f>TEST_DATA!B3046</f>
        <v>Sep-2018</v>
      </c>
      <c r="C3046">
        <f>TEST_DATA!C3046</f>
        <v>43876</v>
      </c>
      <c r="D3046" t="str">
        <f>TEST_DATA!D3046</f>
        <v>NON-NIL</v>
      </c>
      <c r="E3046">
        <f>TEST_DATA!E3046</f>
        <v>446</v>
      </c>
    </row>
    <row r="3047" spans="1:5" x14ac:dyDescent="0.55000000000000004">
      <c r="A3047" t="str">
        <f>TEST_DATA!A3047</f>
        <v>27AAAAA3047Z5</v>
      </c>
      <c r="B3047" t="str">
        <f>TEST_DATA!B3047</f>
        <v>Sep-2017</v>
      </c>
      <c r="C3047">
        <f>TEST_DATA!C3047</f>
        <v>43286</v>
      </c>
      <c r="D3047" t="str">
        <f>TEST_DATA!D3047</f>
        <v>NIL</v>
      </c>
      <c r="E3047">
        <f>TEST_DATA!E3047</f>
        <v>1625</v>
      </c>
    </row>
    <row r="3048" spans="1:5" x14ac:dyDescent="0.55000000000000004">
      <c r="A3048" t="str">
        <f>TEST_DATA!A3048</f>
        <v>27AAAAA3048Z5</v>
      </c>
      <c r="B3048" t="str">
        <f>TEST_DATA!B3048</f>
        <v>Mar-2021</v>
      </c>
      <c r="C3048">
        <f>TEST_DATA!C3048</f>
        <v>45240</v>
      </c>
      <c r="D3048" t="str">
        <f>TEST_DATA!D3048</f>
        <v>NIL</v>
      </c>
      <c r="E3048">
        <f>TEST_DATA!E3048</f>
        <v>1644</v>
      </c>
    </row>
    <row r="3049" spans="1:5" x14ac:dyDescent="0.55000000000000004">
      <c r="A3049" t="str">
        <f>TEST_DATA!A3049</f>
        <v>27AAAAA3049Z5</v>
      </c>
      <c r="B3049" t="str">
        <f>TEST_DATA!B3049</f>
        <v>May-2018</v>
      </c>
      <c r="C3049">
        <f>TEST_DATA!C3049</f>
        <v>43049</v>
      </c>
      <c r="D3049" t="str">
        <f>TEST_DATA!D3049</f>
        <v>NON-NIL</v>
      </c>
      <c r="E3049">
        <f>TEST_DATA!E3049</f>
        <v>1402</v>
      </c>
    </row>
    <row r="3050" spans="1:5" x14ac:dyDescent="0.55000000000000004">
      <c r="A3050" t="str">
        <f>TEST_DATA!A3050</f>
        <v>27AAAAA3050Z5</v>
      </c>
      <c r="B3050" t="str">
        <f>TEST_DATA!B3050</f>
        <v>Apr-2020</v>
      </c>
      <c r="C3050">
        <f>TEST_DATA!C3050</f>
        <v>44826</v>
      </c>
      <c r="D3050" t="str">
        <f>TEST_DATA!D3050</f>
        <v>NIL</v>
      </c>
      <c r="E3050">
        <f>TEST_DATA!E3050</f>
        <v>2876</v>
      </c>
    </row>
    <row r="3051" spans="1:5" x14ac:dyDescent="0.55000000000000004">
      <c r="A3051" t="str">
        <f>TEST_DATA!A3051</f>
        <v>27AAAAA3051Z5</v>
      </c>
      <c r="B3051" t="str">
        <f>TEST_DATA!B3051</f>
        <v>Jan-2021</v>
      </c>
      <c r="C3051">
        <f>TEST_DATA!C3051</f>
        <v>45416</v>
      </c>
      <c r="D3051" t="str">
        <f>TEST_DATA!D3051</f>
        <v>NIL</v>
      </c>
      <c r="E3051">
        <f>TEST_DATA!E3051</f>
        <v>1140</v>
      </c>
    </row>
    <row r="3052" spans="1:5" x14ac:dyDescent="0.55000000000000004">
      <c r="A3052" t="str">
        <f>TEST_DATA!A3052</f>
        <v>27AAAAA3052Z5</v>
      </c>
      <c r="B3052" t="str">
        <f>TEST_DATA!B3052</f>
        <v>Sep-2018</v>
      </c>
      <c r="C3052">
        <f>TEST_DATA!C3052</f>
        <v>42995</v>
      </c>
      <c r="D3052" t="str">
        <f>TEST_DATA!D3052</f>
        <v>NIL</v>
      </c>
      <c r="E3052">
        <f>TEST_DATA!E3052</f>
        <v>1924</v>
      </c>
    </row>
    <row r="3053" spans="1:5" x14ac:dyDescent="0.55000000000000004">
      <c r="A3053" t="str">
        <f>TEST_DATA!A3053</f>
        <v>27AAAAA3053Z5</v>
      </c>
      <c r="B3053" t="str">
        <f>TEST_DATA!B3053</f>
        <v>Nov-2017</v>
      </c>
      <c r="C3053">
        <f>TEST_DATA!C3053</f>
        <v>44228</v>
      </c>
      <c r="D3053" t="str">
        <f>TEST_DATA!D3053</f>
        <v>NIL</v>
      </c>
      <c r="E3053">
        <f>TEST_DATA!E3053</f>
        <v>1311</v>
      </c>
    </row>
    <row r="3054" spans="1:5" x14ac:dyDescent="0.55000000000000004">
      <c r="A3054" t="str">
        <f>TEST_DATA!A3054</f>
        <v>27AAAAA3054Z5</v>
      </c>
      <c r="B3054" t="str">
        <f>TEST_DATA!B3054</f>
        <v>Mar-2020</v>
      </c>
      <c r="C3054">
        <f>TEST_DATA!C3054</f>
        <v>43895</v>
      </c>
      <c r="D3054" t="str">
        <f>TEST_DATA!D3054</f>
        <v>NON-NIL</v>
      </c>
      <c r="E3054">
        <f>TEST_DATA!E3054</f>
        <v>255</v>
      </c>
    </row>
    <row r="3055" spans="1:5" x14ac:dyDescent="0.55000000000000004">
      <c r="A3055" t="str">
        <f>TEST_DATA!A3055</f>
        <v>27AAAAA3055Z5</v>
      </c>
      <c r="B3055" t="str">
        <f>TEST_DATA!B3055</f>
        <v>Apr-2021</v>
      </c>
      <c r="C3055">
        <f>TEST_DATA!C3055</f>
        <v>44946</v>
      </c>
      <c r="D3055" t="str">
        <f>TEST_DATA!D3055</f>
        <v>NON-NIL</v>
      </c>
      <c r="E3055">
        <f>TEST_DATA!E3055</f>
        <v>1939</v>
      </c>
    </row>
    <row r="3056" spans="1:5" x14ac:dyDescent="0.55000000000000004">
      <c r="A3056" t="str">
        <f>TEST_DATA!A3056</f>
        <v>27AAAAA3056Z5</v>
      </c>
      <c r="B3056" t="str">
        <f>TEST_DATA!B3056</f>
        <v>Jan-2018</v>
      </c>
      <c r="C3056">
        <f>TEST_DATA!C3056</f>
        <v>43027</v>
      </c>
      <c r="D3056" t="str">
        <f>TEST_DATA!D3056</f>
        <v>NIL</v>
      </c>
      <c r="E3056">
        <f>TEST_DATA!E3056</f>
        <v>93</v>
      </c>
    </row>
    <row r="3057" spans="1:5" x14ac:dyDescent="0.55000000000000004">
      <c r="A3057" t="str">
        <f>TEST_DATA!A3057</f>
        <v>27AAAAA3057Z5</v>
      </c>
      <c r="B3057" t="str">
        <f>TEST_DATA!B3057</f>
        <v>Mar-2021</v>
      </c>
      <c r="C3057">
        <f>TEST_DATA!C3057</f>
        <v>45198</v>
      </c>
      <c r="D3057" t="str">
        <f>TEST_DATA!D3057</f>
        <v>NON-NIL</v>
      </c>
      <c r="E3057">
        <f>TEST_DATA!E3057</f>
        <v>1032</v>
      </c>
    </row>
    <row r="3058" spans="1:5" x14ac:dyDescent="0.55000000000000004">
      <c r="A3058" t="str">
        <f>TEST_DATA!A3058</f>
        <v>27AAAAA3058Z5</v>
      </c>
      <c r="B3058" t="str">
        <f>TEST_DATA!B3058</f>
        <v>May-2020</v>
      </c>
      <c r="C3058">
        <f>TEST_DATA!C3058</f>
        <v>44191</v>
      </c>
      <c r="D3058" t="str">
        <f>TEST_DATA!D3058</f>
        <v>NIL</v>
      </c>
      <c r="E3058">
        <f>TEST_DATA!E3058</f>
        <v>580</v>
      </c>
    </row>
    <row r="3059" spans="1:5" x14ac:dyDescent="0.55000000000000004">
      <c r="A3059" t="str">
        <f>TEST_DATA!A3059</f>
        <v>27AAAAA3059Z5</v>
      </c>
      <c r="B3059" t="str">
        <f>TEST_DATA!B3059</f>
        <v>Sep-2017</v>
      </c>
      <c r="C3059">
        <f>TEST_DATA!C3059</f>
        <v>43477</v>
      </c>
      <c r="D3059" t="str">
        <f>TEST_DATA!D3059</f>
        <v>NON-NIL</v>
      </c>
      <c r="E3059">
        <f>TEST_DATA!E3059</f>
        <v>334</v>
      </c>
    </row>
    <row r="3060" spans="1:5" x14ac:dyDescent="0.55000000000000004">
      <c r="A3060" t="str">
        <f>TEST_DATA!A3060</f>
        <v>27AAAAA3060Z5</v>
      </c>
      <c r="B3060" t="str">
        <f>TEST_DATA!B3060</f>
        <v>Apr-2018</v>
      </c>
      <c r="C3060">
        <f>TEST_DATA!C3060</f>
        <v>44375</v>
      </c>
      <c r="D3060" t="str">
        <f>TEST_DATA!D3060</f>
        <v>NON-NIL</v>
      </c>
      <c r="E3060">
        <f>TEST_DATA!E3060</f>
        <v>1719</v>
      </c>
    </row>
    <row r="3061" spans="1:5" x14ac:dyDescent="0.55000000000000004">
      <c r="A3061" t="str">
        <f>TEST_DATA!A3061</f>
        <v>27AAAAA3061Z5</v>
      </c>
      <c r="B3061" t="str">
        <f>TEST_DATA!B3061</f>
        <v>Jun-2019</v>
      </c>
      <c r="C3061">
        <f>TEST_DATA!C3061</f>
        <v>44342</v>
      </c>
      <c r="D3061" t="str">
        <f>TEST_DATA!D3061</f>
        <v>NON-NIL</v>
      </c>
      <c r="E3061">
        <f>TEST_DATA!E3061</f>
        <v>753</v>
      </c>
    </row>
    <row r="3062" spans="1:5" x14ac:dyDescent="0.55000000000000004">
      <c r="A3062" t="str">
        <f>TEST_DATA!A3062</f>
        <v>27AAAAA3062Z5</v>
      </c>
      <c r="B3062" t="str">
        <f>TEST_DATA!B3062</f>
        <v>Dec-2022</v>
      </c>
      <c r="C3062">
        <f>TEST_DATA!C3062</f>
        <v>43686</v>
      </c>
      <c r="D3062" t="str">
        <f>TEST_DATA!D3062</f>
        <v>NIL</v>
      </c>
      <c r="E3062">
        <f>TEST_DATA!E3062</f>
        <v>1755</v>
      </c>
    </row>
    <row r="3063" spans="1:5" x14ac:dyDescent="0.55000000000000004">
      <c r="A3063" t="str">
        <f>TEST_DATA!A3063</f>
        <v>27AAAAA3063Z5</v>
      </c>
      <c r="B3063" t="str">
        <f>TEST_DATA!B3063</f>
        <v>May-2018</v>
      </c>
      <c r="C3063">
        <f>TEST_DATA!C3063</f>
        <v>44459</v>
      </c>
      <c r="D3063" t="str">
        <f>TEST_DATA!D3063</f>
        <v>NON-NIL</v>
      </c>
      <c r="E3063">
        <f>TEST_DATA!E3063</f>
        <v>673</v>
      </c>
    </row>
    <row r="3064" spans="1:5" x14ac:dyDescent="0.55000000000000004">
      <c r="A3064" t="str">
        <f>TEST_DATA!A3064</f>
        <v>27AAAAA3064Z5</v>
      </c>
      <c r="B3064" t="str">
        <f>TEST_DATA!B3064</f>
        <v>Jan-2018</v>
      </c>
      <c r="C3064">
        <f>TEST_DATA!C3064</f>
        <v>43632</v>
      </c>
      <c r="D3064" t="str">
        <f>TEST_DATA!D3064</f>
        <v>NON-NIL</v>
      </c>
      <c r="E3064">
        <f>TEST_DATA!E3064</f>
        <v>1972</v>
      </c>
    </row>
    <row r="3065" spans="1:5" x14ac:dyDescent="0.55000000000000004">
      <c r="A3065" t="str">
        <f>TEST_DATA!A3065</f>
        <v>27AAAAA3065Z5</v>
      </c>
      <c r="B3065" t="str">
        <f>TEST_DATA!B3065</f>
        <v>Jan-2019</v>
      </c>
      <c r="C3065">
        <f>TEST_DATA!C3065</f>
        <v>45659</v>
      </c>
      <c r="D3065" t="str">
        <f>TEST_DATA!D3065</f>
        <v>NIL</v>
      </c>
      <c r="E3065">
        <f>TEST_DATA!E3065</f>
        <v>2853</v>
      </c>
    </row>
    <row r="3066" spans="1:5" x14ac:dyDescent="0.55000000000000004">
      <c r="A3066" t="str">
        <f>TEST_DATA!A3066</f>
        <v>27AAAAA3066Z5</v>
      </c>
      <c r="B3066" t="str">
        <f>TEST_DATA!B3066</f>
        <v>Aug-2018</v>
      </c>
      <c r="C3066">
        <f>TEST_DATA!C3066</f>
        <v>43643</v>
      </c>
      <c r="D3066" t="str">
        <f>TEST_DATA!D3066</f>
        <v>NON-NIL</v>
      </c>
      <c r="E3066">
        <f>TEST_DATA!E3066</f>
        <v>40</v>
      </c>
    </row>
    <row r="3067" spans="1:5" x14ac:dyDescent="0.55000000000000004">
      <c r="A3067" t="str">
        <f>TEST_DATA!A3067</f>
        <v>27AAAAA3067Z5</v>
      </c>
      <c r="B3067" t="str">
        <f>TEST_DATA!B3067</f>
        <v>Dec-2019</v>
      </c>
      <c r="C3067">
        <f>TEST_DATA!C3067</f>
        <v>44279</v>
      </c>
      <c r="D3067" t="str">
        <f>TEST_DATA!D3067</f>
        <v>NIL</v>
      </c>
      <c r="E3067">
        <f>TEST_DATA!E3067</f>
        <v>2960</v>
      </c>
    </row>
    <row r="3068" spans="1:5" x14ac:dyDescent="0.55000000000000004">
      <c r="A3068" t="str">
        <f>TEST_DATA!A3068</f>
        <v>27AAAAA3068Z5</v>
      </c>
      <c r="B3068" t="str">
        <f>TEST_DATA!B3068</f>
        <v>Jun-2020</v>
      </c>
      <c r="C3068">
        <f>TEST_DATA!C3068</f>
        <v>44127</v>
      </c>
      <c r="D3068" t="str">
        <f>TEST_DATA!D3068</f>
        <v>NON-NIL</v>
      </c>
      <c r="E3068">
        <f>TEST_DATA!E3068</f>
        <v>2720</v>
      </c>
    </row>
    <row r="3069" spans="1:5" x14ac:dyDescent="0.55000000000000004">
      <c r="A3069" t="str">
        <f>TEST_DATA!A3069</f>
        <v>27AAAAA3069Z5</v>
      </c>
      <c r="B3069" t="str">
        <f>TEST_DATA!B3069</f>
        <v>Dec-2022</v>
      </c>
      <c r="C3069">
        <f>TEST_DATA!C3069</f>
        <v>44762</v>
      </c>
      <c r="D3069" t="str">
        <f>TEST_DATA!D3069</f>
        <v>NIL</v>
      </c>
      <c r="E3069">
        <f>TEST_DATA!E3069</f>
        <v>616</v>
      </c>
    </row>
    <row r="3070" spans="1:5" x14ac:dyDescent="0.55000000000000004">
      <c r="A3070" t="str">
        <f>TEST_DATA!A3070</f>
        <v>27AAAAA3070Z5</v>
      </c>
      <c r="B3070" t="str">
        <f>TEST_DATA!B3070</f>
        <v>Dec-2024</v>
      </c>
      <c r="C3070">
        <f>TEST_DATA!C3070</f>
        <v>45344</v>
      </c>
      <c r="D3070" t="str">
        <f>TEST_DATA!D3070</f>
        <v>NIL</v>
      </c>
      <c r="E3070">
        <f>TEST_DATA!E3070</f>
        <v>2045</v>
      </c>
    </row>
    <row r="3071" spans="1:5" x14ac:dyDescent="0.55000000000000004">
      <c r="A3071" t="str">
        <f>TEST_DATA!A3071</f>
        <v>27AAAAA3071Z5</v>
      </c>
      <c r="B3071" t="str">
        <f>TEST_DATA!B3071</f>
        <v>Mar-2023</v>
      </c>
      <c r="C3071">
        <f>TEST_DATA!C3071</f>
        <v>44762</v>
      </c>
      <c r="D3071" t="str">
        <f>TEST_DATA!D3071</f>
        <v>NIL</v>
      </c>
      <c r="E3071">
        <f>TEST_DATA!E3071</f>
        <v>2760</v>
      </c>
    </row>
    <row r="3072" spans="1:5" x14ac:dyDescent="0.55000000000000004">
      <c r="A3072" t="str">
        <f>TEST_DATA!A3072</f>
        <v>27AAAAA3072Z5</v>
      </c>
      <c r="B3072" t="str">
        <f>TEST_DATA!B3072</f>
        <v>Aug-2018</v>
      </c>
      <c r="C3072">
        <f>TEST_DATA!C3072</f>
        <v>43455</v>
      </c>
      <c r="D3072" t="str">
        <f>TEST_DATA!D3072</f>
        <v>NIL</v>
      </c>
      <c r="E3072">
        <f>TEST_DATA!E3072</f>
        <v>1845</v>
      </c>
    </row>
    <row r="3073" spans="1:5" x14ac:dyDescent="0.55000000000000004">
      <c r="A3073" t="str">
        <f>TEST_DATA!A3073</f>
        <v>27AAAAA3073Z5</v>
      </c>
      <c r="B3073" t="str">
        <f>TEST_DATA!B3073</f>
        <v>Dec-2022</v>
      </c>
      <c r="C3073">
        <f>TEST_DATA!C3073</f>
        <v>43980</v>
      </c>
      <c r="D3073" t="str">
        <f>TEST_DATA!D3073</f>
        <v>NON-NIL</v>
      </c>
      <c r="E3073">
        <f>TEST_DATA!E3073</f>
        <v>2617</v>
      </c>
    </row>
    <row r="3074" spans="1:5" x14ac:dyDescent="0.55000000000000004">
      <c r="A3074" t="str">
        <f>TEST_DATA!A3074</f>
        <v>27AAAAA3074Z5</v>
      </c>
      <c r="B3074" t="str">
        <f>TEST_DATA!B3074</f>
        <v>Mar-2020</v>
      </c>
      <c r="C3074">
        <f>TEST_DATA!C3074</f>
        <v>44030</v>
      </c>
      <c r="D3074" t="str">
        <f>TEST_DATA!D3074</f>
        <v>NIL</v>
      </c>
      <c r="E3074">
        <f>TEST_DATA!E3074</f>
        <v>895</v>
      </c>
    </row>
    <row r="3075" spans="1:5" x14ac:dyDescent="0.55000000000000004">
      <c r="A3075" t="str">
        <f>TEST_DATA!A3075</f>
        <v>27AAAAA3075Z5</v>
      </c>
      <c r="B3075" t="str">
        <f>TEST_DATA!B3075</f>
        <v>Jan-2021</v>
      </c>
      <c r="C3075">
        <f>TEST_DATA!C3075</f>
        <v>44234</v>
      </c>
      <c r="D3075" t="str">
        <f>TEST_DATA!D3075</f>
        <v>NON-NIL</v>
      </c>
      <c r="E3075">
        <f>TEST_DATA!E3075</f>
        <v>2852</v>
      </c>
    </row>
    <row r="3076" spans="1:5" x14ac:dyDescent="0.55000000000000004">
      <c r="A3076" t="str">
        <f>TEST_DATA!A3076</f>
        <v>27AAAAA3076Z5</v>
      </c>
      <c r="B3076" t="str">
        <f>TEST_DATA!B3076</f>
        <v>Dec-2019</v>
      </c>
      <c r="C3076">
        <f>TEST_DATA!C3076</f>
        <v>44146</v>
      </c>
      <c r="D3076" t="str">
        <f>TEST_DATA!D3076</f>
        <v>NON-NIL</v>
      </c>
      <c r="E3076">
        <f>TEST_DATA!E3076</f>
        <v>885</v>
      </c>
    </row>
    <row r="3077" spans="1:5" x14ac:dyDescent="0.55000000000000004">
      <c r="A3077" t="str">
        <f>TEST_DATA!A3077</f>
        <v>27AAAAA3077Z5</v>
      </c>
      <c r="B3077" t="str">
        <f>TEST_DATA!B3077</f>
        <v>Jun-2018</v>
      </c>
      <c r="C3077">
        <f>TEST_DATA!C3077</f>
        <v>43346</v>
      </c>
      <c r="D3077" t="str">
        <f>TEST_DATA!D3077</f>
        <v>NIL</v>
      </c>
      <c r="E3077">
        <f>TEST_DATA!E3077</f>
        <v>2783</v>
      </c>
    </row>
    <row r="3078" spans="1:5" x14ac:dyDescent="0.55000000000000004">
      <c r="A3078" t="str">
        <f>TEST_DATA!A3078</f>
        <v>27AAAAA3078Z5</v>
      </c>
      <c r="B3078" t="str">
        <f>TEST_DATA!B3078</f>
        <v>Mar-2020</v>
      </c>
      <c r="C3078">
        <f>TEST_DATA!C3078</f>
        <v>43860</v>
      </c>
      <c r="D3078" t="str">
        <f>TEST_DATA!D3078</f>
        <v>NON-NIL</v>
      </c>
      <c r="E3078">
        <f>TEST_DATA!E3078</f>
        <v>1490</v>
      </c>
    </row>
    <row r="3079" spans="1:5" x14ac:dyDescent="0.55000000000000004">
      <c r="A3079" t="str">
        <f>TEST_DATA!A3079</f>
        <v>27AAAAA3079Z5</v>
      </c>
      <c r="B3079" t="str">
        <f>TEST_DATA!B3079</f>
        <v>Jul-2017</v>
      </c>
      <c r="C3079">
        <f>TEST_DATA!C3079</f>
        <v>43535</v>
      </c>
      <c r="D3079" t="str">
        <f>TEST_DATA!D3079</f>
        <v>NON-NIL</v>
      </c>
      <c r="E3079">
        <f>TEST_DATA!E3079</f>
        <v>2056</v>
      </c>
    </row>
    <row r="3080" spans="1:5" x14ac:dyDescent="0.55000000000000004">
      <c r="A3080" t="str">
        <f>TEST_DATA!A3080</f>
        <v>27AAAAA3080Z5</v>
      </c>
      <c r="B3080" t="str">
        <f>TEST_DATA!B3080</f>
        <v>Dec-2022</v>
      </c>
      <c r="C3080">
        <f>TEST_DATA!C3080</f>
        <v>43976</v>
      </c>
      <c r="D3080" t="str">
        <f>TEST_DATA!D3080</f>
        <v>NON-NIL</v>
      </c>
      <c r="E3080">
        <f>TEST_DATA!E3080</f>
        <v>2657</v>
      </c>
    </row>
    <row r="3081" spans="1:5" x14ac:dyDescent="0.55000000000000004">
      <c r="A3081" t="str">
        <f>TEST_DATA!A3081</f>
        <v>27AAAAA3081Z5</v>
      </c>
      <c r="B3081" t="str">
        <f>TEST_DATA!B3081</f>
        <v>Sep-2018</v>
      </c>
      <c r="C3081">
        <f>TEST_DATA!C3081</f>
        <v>43764</v>
      </c>
      <c r="D3081" t="str">
        <f>TEST_DATA!D3081</f>
        <v>NON-NIL</v>
      </c>
      <c r="E3081">
        <f>TEST_DATA!E3081</f>
        <v>1440</v>
      </c>
    </row>
    <row r="3082" spans="1:5" x14ac:dyDescent="0.55000000000000004">
      <c r="A3082" t="str">
        <f>TEST_DATA!A3082</f>
        <v>27AAAAA3082Z5</v>
      </c>
      <c r="B3082" t="str">
        <f>TEST_DATA!B3082</f>
        <v>Jun-2018</v>
      </c>
      <c r="C3082">
        <f>TEST_DATA!C3082</f>
        <v>44027</v>
      </c>
      <c r="D3082" t="str">
        <f>TEST_DATA!D3082</f>
        <v>NON-NIL</v>
      </c>
      <c r="E3082">
        <f>TEST_DATA!E3082</f>
        <v>2142</v>
      </c>
    </row>
    <row r="3083" spans="1:5" x14ac:dyDescent="0.55000000000000004">
      <c r="A3083" t="str">
        <f>TEST_DATA!A3083</f>
        <v>27AAAAA3083Z5</v>
      </c>
      <c r="B3083" t="str">
        <f>TEST_DATA!B3083</f>
        <v>Mar-2021</v>
      </c>
      <c r="C3083">
        <f>TEST_DATA!C3083</f>
        <v>44841</v>
      </c>
      <c r="D3083" t="str">
        <f>TEST_DATA!D3083</f>
        <v>NIL</v>
      </c>
      <c r="E3083">
        <f>TEST_DATA!E3083</f>
        <v>720</v>
      </c>
    </row>
    <row r="3084" spans="1:5" x14ac:dyDescent="0.55000000000000004">
      <c r="A3084" t="str">
        <f>TEST_DATA!A3084</f>
        <v>27AAAAA3084Z5</v>
      </c>
      <c r="B3084" t="str">
        <f>TEST_DATA!B3084</f>
        <v>Sep-2018</v>
      </c>
      <c r="C3084">
        <f>TEST_DATA!C3084</f>
        <v>43794</v>
      </c>
      <c r="D3084" t="str">
        <f>TEST_DATA!D3084</f>
        <v>NON-NIL</v>
      </c>
      <c r="E3084">
        <f>TEST_DATA!E3084</f>
        <v>724</v>
      </c>
    </row>
    <row r="3085" spans="1:5" x14ac:dyDescent="0.55000000000000004">
      <c r="A3085" t="str">
        <f>TEST_DATA!A3085</f>
        <v>27AAAAA3085Z5</v>
      </c>
      <c r="B3085" t="str">
        <f>TEST_DATA!B3085</f>
        <v>Dec-2019</v>
      </c>
      <c r="C3085">
        <f>TEST_DATA!C3085</f>
        <v>44132</v>
      </c>
      <c r="D3085" t="str">
        <f>TEST_DATA!D3085</f>
        <v>NON-NIL</v>
      </c>
      <c r="E3085">
        <f>TEST_DATA!E3085</f>
        <v>1562</v>
      </c>
    </row>
    <row r="3086" spans="1:5" x14ac:dyDescent="0.55000000000000004">
      <c r="A3086" t="str">
        <f>TEST_DATA!A3086</f>
        <v>27AAAAA3086Z5</v>
      </c>
      <c r="B3086" t="str">
        <f>TEST_DATA!B3086</f>
        <v>Apr-2018</v>
      </c>
      <c r="C3086">
        <f>TEST_DATA!C3086</f>
        <v>44267</v>
      </c>
      <c r="D3086" t="str">
        <f>TEST_DATA!D3086</f>
        <v>NON-NIL</v>
      </c>
      <c r="E3086">
        <f>TEST_DATA!E3086</f>
        <v>2597</v>
      </c>
    </row>
    <row r="3087" spans="1:5" x14ac:dyDescent="0.55000000000000004">
      <c r="A3087" t="str">
        <f>TEST_DATA!A3087</f>
        <v>27AAAAA3087Z5</v>
      </c>
      <c r="B3087" t="str">
        <f>TEST_DATA!B3087</f>
        <v>Apr-2018</v>
      </c>
      <c r="C3087">
        <f>TEST_DATA!C3087</f>
        <v>44354</v>
      </c>
      <c r="D3087" t="str">
        <f>TEST_DATA!D3087</f>
        <v>NIL</v>
      </c>
      <c r="E3087">
        <f>TEST_DATA!E3087</f>
        <v>358</v>
      </c>
    </row>
    <row r="3088" spans="1:5" x14ac:dyDescent="0.55000000000000004">
      <c r="A3088" t="str">
        <f>TEST_DATA!A3088</f>
        <v>27AAAAA3088Z5</v>
      </c>
      <c r="B3088" t="str">
        <f>TEST_DATA!B3088</f>
        <v>Apr-2021</v>
      </c>
      <c r="C3088">
        <f>TEST_DATA!C3088</f>
        <v>43891</v>
      </c>
      <c r="D3088" t="str">
        <f>TEST_DATA!D3088</f>
        <v>NIL</v>
      </c>
      <c r="E3088">
        <f>TEST_DATA!E3088</f>
        <v>2660</v>
      </c>
    </row>
    <row r="3089" spans="1:5" x14ac:dyDescent="0.55000000000000004">
      <c r="A3089" t="str">
        <f>TEST_DATA!A3089</f>
        <v>27AAAAA3089Z5</v>
      </c>
      <c r="B3089" t="str">
        <f>TEST_DATA!B3089</f>
        <v>Jul-2017</v>
      </c>
      <c r="C3089">
        <f>TEST_DATA!C3089</f>
        <v>44179</v>
      </c>
      <c r="D3089" t="str">
        <f>TEST_DATA!D3089</f>
        <v>NON-NIL</v>
      </c>
      <c r="E3089">
        <f>TEST_DATA!E3089</f>
        <v>424</v>
      </c>
    </row>
    <row r="3090" spans="1:5" x14ac:dyDescent="0.55000000000000004">
      <c r="A3090" t="str">
        <f>TEST_DATA!A3090</f>
        <v>27AAAAA3090Z5</v>
      </c>
      <c r="B3090" t="str">
        <f>TEST_DATA!B3090</f>
        <v>Jan-2019</v>
      </c>
      <c r="C3090">
        <f>TEST_DATA!C3090</f>
        <v>45697</v>
      </c>
      <c r="D3090" t="str">
        <f>TEST_DATA!D3090</f>
        <v>NIL</v>
      </c>
      <c r="E3090">
        <f>TEST_DATA!E3090</f>
        <v>2594</v>
      </c>
    </row>
    <row r="3091" spans="1:5" x14ac:dyDescent="0.55000000000000004">
      <c r="A3091" t="str">
        <f>TEST_DATA!A3091</f>
        <v>27AAAAA3091Z5</v>
      </c>
      <c r="B3091" t="str">
        <f>TEST_DATA!B3091</f>
        <v>Sep-2018</v>
      </c>
      <c r="C3091">
        <f>TEST_DATA!C3091</f>
        <v>43947</v>
      </c>
      <c r="D3091" t="str">
        <f>TEST_DATA!D3091</f>
        <v>NIL</v>
      </c>
      <c r="E3091">
        <f>TEST_DATA!E3091</f>
        <v>2734</v>
      </c>
    </row>
    <row r="3092" spans="1:5" x14ac:dyDescent="0.55000000000000004">
      <c r="A3092" t="str">
        <f>TEST_DATA!A3092</f>
        <v>27AAAAA3092Z5</v>
      </c>
      <c r="B3092" t="str">
        <f>TEST_DATA!B3092</f>
        <v>Apr-2018</v>
      </c>
      <c r="C3092">
        <f>TEST_DATA!C3092</f>
        <v>43778</v>
      </c>
      <c r="D3092" t="str">
        <f>TEST_DATA!D3092</f>
        <v>NIL</v>
      </c>
      <c r="E3092">
        <f>TEST_DATA!E3092</f>
        <v>912</v>
      </c>
    </row>
    <row r="3093" spans="1:5" x14ac:dyDescent="0.55000000000000004">
      <c r="A3093" t="str">
        <f>TEST_DATA!A3093</f>
        <v>27AAAAA3093Z5</v>
      </c>
      <c r="B3093" t="str">
        <f>TEST_DATA!B3093</f>
        <v>Mar-2021</v>
      </c>
      <c r="C3093">
        <f>TEST_DATA!C3093</f>
        <v>45328</v>
      </c>
      <c r="D3093" t="str">
        <f>TEST_DATA!D3093</f>
        <v>NON-NIL</v>
      </c>
      <c r="E3093">
        <f>TEST_DATA!E3093</f>
        <v>468</v>
      </c>
    </row>
    <row r="3094" spans="1:5" x14ac:dyDescent="0.55000000000000004">
      <c r="A3094" t="str">
        <f>TEST_DATA!A3094</f>
        <v>27AAAAA3094Z5</v>
      </c>
      <c r="B3094" t="str">
        <f>TEST_DATA!B3094</f>
        <v>Jan-2018</v>
      </c>
      <c r="C3094">
        <f>TEST_DATA!C3094</f>
        <v>43878</v>
      </c>
      <c r="D3094" t="str">
        <f>TEST_DATA!D3094</f>
        <v>NIL</v>
      </c>
      <c r="E3094">
        <f>TEST_DATA!E3094</f>
        <v>1436</v>
      </c>
    </row>
    <row r="3095" spans="1:5" x14ac:dyDescent="0.55000000000000004">
      <c r="A3095" t="str">
        <f>TEST_DATA!A3095</f>
        <v>27AAAAA3095Z5</v>
      </c>
      <c r="B3095" t="str">
        <f>TEST_DATA!B3095</f>
        <v>Apr-2021</v>
      </c>
      <c r="C3095">
        <f>TEST_DATA!C3095</f>
        <v>45366</v>
      </c>
      <c r="D3095" t="str">
        <f>TEST_DATA!D3095</f>
        <v>NON-NIL</v>
      </c>
      <c r="E3095">
        <f>TEST_DATA!E3095</f>
        <v>2641</v>
      </c>
    </row>
    <row r="3096" spans="1:5" x14ac:dyDescent="0.55000000000000004">
      <c r="A3096" t="str">
        <f>TEST_DATA!A3096</f>
        <v>27AAAAA3096Z5</v>
      </c>
      <c r="B3096" t="str">
        <f>TEST_DATA!B3096</f>
        <v>Jul-2020</v>
      </c>
      <c r="C3096">
        <f>TEST_DATA!C3096</f>
        <v>44641</v>
      </c>
      <c r="D3096" t="str">
        <f>TEST_DATA!D3096</f>
        <v>NIL</v>
      </c>
      <c r="E3096">
        <f>TEST_DATA!E3096</f>
        <v>1534</v>
      </c>
    </row>
    <row r="3097" spans="1:5" x14ac:dyDescent="0.55000000000000004">
      <c r="A3097" t="str">
        <f>TEST_DATA!A3097</f>
        <v>27AAAAA3097Z5</v>
      </c>
      <c r="B3097" t="str">
        <f>TEST_DATA!B3097</f>
        <v>Apr-2021</v>
      </c>
      <c r="C3097">
        <f>TEST_DATA!C3097</f>
        <v>44383</v>
      </c>
      <c r="D3097" t="str">
        <f>TEST_DATA!D3097</f>
        <v>NON-NIL</v>
      </c>
      <c r="E3097">
        <f>TEST_DATA!E3097</f>
        <v>1096</v>
      </c>
    </row>
    <row r="3098" spans="1:5" x14ac:dyDescent="0.55000000000000004">
      <c r="A3098" t="str">
        <f>TEST_DATA!A3098</f>
        <v>27AAAAA3098Z5</v>
      </c>
      <c r="B3098" t="str">
        <f>TEST_DATA!B3098</f>
        <v>Dec-2024</v>
      </c>
      <c r="C3098">
        <f>TEST_DATA!C3098</f>
        <v>44549</v>
      </c>
      <c r="D3098" t="str">
        <f>TEST_DATA!D3098</f>
        <v>NON-NIL</v>
      </c>
      <c r="E3098">
        <f>TEST_DATA!E3098</f>
        <v>1698</v>
      </c>
    </row>
    <row r="3099" spans="1:5" x14ac:dyDescent="0.55000000000000004">
      <c r="A3099" t="str">
        <f>TEST_DATA!A3099</f>
        <v>27AAAAA3099Z5</v>
      </c>
      <c r="B3099" t="str">
        <f>TEST_DATA!B3099</f>
        <v>Jun-2020</v>
      </c>
      <c r="C3099">
        <f>TEST_DATA!C3099</f>
        <v>44325</v>
      </c>
      <c r="D3099" t="str">
        <f>TEST_DATA!D3099</f>
        <v>NIL</v>
      </c>
      <c r="E3099">
        <f>TEST_DATA!E3099</f>
        <v>1698</v>
      </c>
    </row>
    <row r="3100" spans="1:5" x14ac:dyDescent="0.55000000000000004">
      <c r="A3100" t="str">
        <f>TEST_DATA!A3100</f>
        <v>27AAAAA3100Z5</v>
      </c>
      <c r="B3100" t="str">
        <f>TEST_DATA!B3100</f>
        <v>Aug-2017</v>
      </c>
      <c r="C3100">
        <f>TEST_DATA!C3100</f>
        <v>42948</v>
      </c>
      <c r="D3100" t="str">
        <f>TEST_DATA!D3100</f>
        <v>NIL</v>
      </c>
      <c r="E3100">
        <f>TEST_DATA!E3100</f>
        <v>628</v>
      </c>
    </row>
    <row r="3101" spans="1:5" x14ac:dyDescent="0.55000000000000004">
      <c r="A3101" t="str">
        <f>TEST_DATA!A3101</f>
        <v>27AAAAA3101Z5</v>
      </c>
      <c r="B3101" t="str">
        <f>TEST_DATA!B3101</f>
        <v>Apr-2021</v>
      </c>
      <c r="C3101">
        <f>TEST_DATA!C3101</f>
        <v>44999</v>
      </c>
      <c r="D3101" t="str">
        <f>TEST_DATA!D3101</f>
        <v>NON-NIL</v>
      </c>
      <c r="E3101">
        <f>TEST_DATA!E3101</f>
        <v>1372</v>
      </c>
    </row>
    <row r="3102" spans="1:5" x14ac:dyDescent="0.55000000000000004">
      <c r="A3102" t="str">
        <f>TEST_DATA!A3102</f>
        <v>27AAAAA3102Z5</v>
      </c>
      <c r="B3102" t="str">
        <f>TEST_DATA!B3102</f>
        <v>Dec-2017</v>
      </c>
      <c r="C3102">
        <f>TEST_DATA!C3102</f>
        <v>44088</v>
      </c>
      <c r="D3102" t="str">
        <f>TEST_DATA!D3102</f>
        <v>NON-NIL</v>
      </c>
      <c r="E3102">
        <f>TEST_DATA!E3102</f>
        <v>990</v>
      </c>
    </row>
    <row r="3103" spans="1:5" x14ac:dyDescent="0.55000000000000004">
      <c r="A3103" t="str">
        <f>TEST_DATA!A3103</f>
        <v>27AAAAA3103Z5</v>
      </c>
      <c r="B3103" t="str">
        <f>TEST_DATA!B3103</f>
        <v>Dec-2019</v>
      </c>
      <c r="C3103">
        <f>TEST_DATA!C3103</f>
        <v>45069</v>
      </c>
      <c r="D3103" t="str">
        <f>TEST_DATA!D3103</f>
        <v>NIL</v>
      </c>
      <c r="E3103">
        <f>TEST_DATA!E3103</f>
        <v>2524</v>
      </c>
    </row>
    <row r="3104" spans="1:5" x14ac:dyDescent="0.55000000000000004">
      <c r="A3104" t="str">
        <f>TEST_DATA!A3104</f>
        <v>27AAAAA3104Z5</v>
      </c>
      <c r="B3104" t="str">
        <f>TEST_DATA!B3104</f>
        <v>May-2020</v>
      </c>
      <c r="C3104">
        <f>TEST_DATA!C3104</f>
        <v>44636</v>
      </c>
      <c r="D3104" t="str">
        <f>TEST_DATA!D3104</f>
        <v>NIL</v>
      </c>
      <c r="E3104">
        <f>TEST_DATA!E3104</f>
        <v>2366</v>
      </c>
    </row>
    <row r="3105" spans="1:5" x14ac:dyDescent="0.55000000000000004">
      <c r="A3105" t="str">
        <f>TEST_DATA!A3105</f>
        <v>27AAAAA3105Z5</v>
      </c>
      <c r="B3105" t="str">
        <f>TEST_DATA!B3105</f>
        <v>Aug-2018</v>
      </c>
      <c r="C3105">
        <f>TEST_DATA!C3105</f>
        <v>43180</v>
      </c>
      <c r="D3105" t="str">
        <f>TEST_DATA!D3105</f>
        <v>NON-NIL</v>
      </c>
      <c r="E3105">
        <f>TEST_DATA!E3105</f>
        <v>2982</v>
      </c>
    </row>
    <row r="3106" spans="1:5" x14ac:dyDescent="0.55000000000000004">
      <c r="A3106" t="str">
        <f>TEST_DATA!A3106</f>
        <v>27AAAAA3106Z5</v>
      </c>
      <c r="B3106" t="str">
        <f>TEST_DATA!B3106</f>
        <v>Dec-2017</v>
      </c>
      <c r="C3106">
        <f>TEST_DATA!C3106</f>
        <v>43742</v>
      </c>
      <c r="D3106" t="str">
        <f>TEST_DATA!D3106</f>
        <v>NON-NIL</v>
      </c>
      <c r="E3106">
        <f>TEST_DATA!E3106</f>
        <v>2118</v>
      </c>
    </row>
    <row r="3107" spans="1:5" x14ac:dyDescent="0.55000000000000004">
      <c r="A3107" t="str">
        <f>TEST_DATA!A3107</f>
        <v>27AAAAA3107Z5</v>
      </c>
      <c r="B3107" t="str">
        <f>TEST_DATA!B3107</f>
        <v>Dec-2017</v>
      </c>
      <c r="C3107">
        <f>TEST_DATA!C3107</f>
        <v>43812</v>
      </c>
      <c r="D3107" t="str">
        <f>TEST_DATA!D3107</f>
        <v>NIL</v>
      </c>
      <c r="E3107">
        <f>TEST_DATA!E3107</f>
        <v>407</v>
      </c>
    </row>
    <row r="3108" spans="1:5" x14ac:dyDescent="0.55000000000000004">
      <c r="A3108" t="str">
        <f>TEST_DATA!A3108</f>
        <v>27AAAAA3108Z5</v>
      </c>
      <c r="B3108" t="str">
        <f>TEST_DATA!B3108</f>
        <v>Jul-2020</v>
      </c>
      <c r="C3108">
        <f>TEST_DATA!C3108</f>
        <v>44089</v>
      </c>
      <c r="D3108" t="str">
        <f>TEST_DATA!D3108</f>
        <v>NIL</v>
      </c>
      <c r="E3108">
        <f>TEST_DATA!E3108</f>
        <v>2586</v>
      </c>
    </row>
    <row r="3109" spans="1:5" x14ac:dyDescent="0.55000000000000004">
      <c r="A3109" t="str">
        <f>TEST_DATA!A3109</f>
        <v>27AAAAA3109Z5</v>
      </c>
      <c r="B3109" t="str">
        <f>TEST_DATA!B3109</f>
        <v>Mar-2020</v>
      </c>
      <c r="C3109">
        <f>TEST_DATA!C3109</f>
        <v>44633</v>
      </c>
      <c r="D3109" t="str">
        <f>TEST_DATA!D3109</f>
        <v>NON-NIL</v>
      </c>
      <c r="E3109">
        <f>TEST_DATA!E3109</f>
        <v>2264</v>
      </c>
    </row>
    <row r="3110" spans="1:5" x14ac:dyDescent="0.55000000000000004">
      <c r="A3110" t="str">
        <f>TEST_DATA!A3110</f>
        <v>27AAAAA3110Z5</v>
      </c>
      <c r="B3110" t="str">
        <f>TEST_DATA!B3110</f>
        <v>Dec-2017</v>
      </c>
      <c r="C3110">
        <f>TEST_DATA!C3110</f>
        <v>43577</v>
      </c>
      <c r="D3110" t="str">
        <f>TEST_DATA!D3110</f>
        <v>NIL</v>
      </c>
      <c r="E3110">
        <f>TEST_DATA!E3110</f>
        <v>381</v>
      </c>
    </row>
    <row r="3111" spans="1:5" x14ac:dyDescent="0.55000000000000004">
      <c r="A3111" t="str">
        <f>TEST_DATA!A3111</f>
        <v>27AAAAA3111Z5</v>
      </c>
      <c r="B3111" t="str">
        <f>TEST_DATA!B3111</f>
        <v>Sep-2017</v>
      </c>
      <c r="C3111">
        <f>TEST_DATA!C3111</f>
        <v>42969</v>
      </c>
      <c r="D3111" t="str">
        <f>TEST_DATA!D3111</f>
        <v>NON-NIL</v>
      </c>
      <c r="E3111">
        <f>TEST_DATA!E3111</f>
        <v>47</v>
      </c>
    </row>
    <row r="3112" spans="1:5" x14ac:dyDescent="0.55000000000000004">
      <c r="A3112" t="str">
        <f>TEST_DATA!A3112</f>
        <v>27AAAAA3112Z5</v>
      </c>
      <c r="B3112" t="str">
        <f>TEST_DATA!B3112</f>
        <v>May-2020</v>
      </c>
      <c r="C3112">
        <f>TEST_DATA!C3112</f>
        <v>44144</v>
      </c>
      <c r="D3112" t="str">
        <f>TEST_DATA!D3112</f>
        <v>NIL</v>
      </c>
      <c r="E3112">
        <f>TEST_DATA!E3112</f>
        <v>2531</v>
      </c>
    </row>
    <row r="3113" spans="1:5" x14ac:dyDescent="0.55000000000000004">
      <c r="A3113" t="str">
        <f>TEST_DATA!A3113</f>
        <v>27AAAAA3113Z5</v>
      </c>
      <c r="B3113" t="str">
        <f>TEST_DATA!B3113</f>
        <v>Jul-2020</v>
      </c>
      <c r="C3113">
        <f>TEST_DATA!C3113</f>
        <v>43992</v>
      </c>
      <c r="D3113" t="str">
        <f>TEST_DATA!D3113</f>
        <v>NON-NIL</v>
      </c>
      <c r="E3113">
        <f>TEST_DATA!E3113</f>
        <v>103</v>
      </c>
    </row>
    <row r="3114" spans="1:5" x14ac:dyDescent="0.55000000000000004">
      <c r="A3114" t="str">
        <f>TEST_DATA!A3114</f>
        <v>27AAAAA3114Z5</v>
      </c>
      <c r="B3114" t="str">
        <f>TEST_DATA!B3114</f>
        <v>Jan-2021</v>
      </c>
      <c r="C3114">
        <f>TEST_DATA!C3114</f>
        <v>44000</v>
      </c>
      <c r="D3114" t="str">
        <f>TEST_DATA!D3114</f>
        <v>NON-NIL</v>
      </c>
      <c r="E3114">
        <f>TEST_DATA!E3114</f>
        <v>2598</v>
      </c>
    </row>
    <row r="3115" spans="1:5" x14ac:dyDescent="0.55000000000000004">
      <c r="A3115" t="str">
        <f>TEST_DATA!A3115</f>
        <v>27AAAAA3115Z5</v>
      </c>
      <c r="B3115" t="str">
        <f>TEST_DATA!B3115</f>
        <v>May-2020</v>
      </c>
      <c r="C3115">
        <f>TEST_DATA!C3115</f>
        <v>44564</v>
      </c>
      <c r="D3115" t="str">
        <f>TEST_DATA!D3115</f>
        <v>NIL</v>
      </c>
      <c r="E3115">
        <f>TEST_DATA!E3115</f>
        <v>981</v>
      </c>
    </row>
    <row r="3116" spans="1:5" x14ac:dyDescent="0.55000000000000004">
      <c r="A3116" t="str">
        <f>TEST_DATA!A3116</f>
        <v>27AAAAA3116Z5</v>
      </c>
      <c r="B3116" t="str">
        <f>TEST_DATA!B3116</f>
        <v>May-2020</v>
      </c>
      <c r="C3116">
        <f>TEST_DATA!C3116</f>
        <v>44285</v>
      </c>
      <c r="D3116" t="str">
        <f>TEST_DATA!D3116</f>
        <v>NON-NIL</v>
      </c>
      <c r="E3116">
        <f>TEST_DATA!E3116</f>
        <v>793</v>
      </c>
    </row>
    <row r="3117" spans="1:5" x14ac:dyDescent="0.55000000000000004">
      <c r="A3117" t="str">
        <f>TEST_DATA!A3117</f>
        <v>27AAAAA3117Z5</v>
      </c>
      <c r="B3117" t="str">
        <f>TEST_DATA!B3117</f>
        <v>Dec-2019</v>
      </c>
      <c r="C3117">
        <f>TEST_DATA!C3117</f>
        <v>44470</v>
      </c>
      <c r="D3117" t="str">
        <f>TEST_DATA!D3117</f>
        <v>NON-NIL</v>
      </c>
      <c r="E3117">
        <f>TEST_DATA!E3117</f>
        <v>1066</v>
      </c>
    </row>
    <row r="3118" spans="1:5" x14ac:dyDescent="0.55000000000000004">
      <c r="A3118" t="str">
        <f>TEST_DATA!A3118</f>
        <v>27AAAAA3118Z5</v>
      </c>
      <c r="B3118" t="str">
        <f>TEST_DATA!B3118</f>
        <v>Jun-2020</v>
      </c>
      <c r="C3118">
        <f>TEST_DATA!C3118</f>
        <v>43936</v>
      </c>
      <c r="D3118" t="str">
        <f>TEST_DATA!D3118</f>
        <v>NON-NIL</v>
      </c>
      <c r="E3118">
        <f>TEST_DATA!E3118</f>
        <v>339</v>
      </c>
    </row>
    <row r="3119" spans="1:5" x14ac:dyDescent="0.55000000000000004">
      <c r="A3119" t="str">
        <f>TEST_DATA!A3119</f>
        <v>27AAAAA3119Z5</v>
      </c>
      <c r="B3119" t="str">
        <f>TEST_DATA!B3119</f>
        <v>Nov-2017</v>
      </c>
      <c r="C3119">
        <f>TEST_DATA!C3119</f>
        <v>44201</v>
      </c>
      <c r="D3119" t="str">
        <f>TEST_DATA!D3119</f>
        <v>NIL</v>
      </c>
      <c r="E3119">
        <f>TEST_DATA!E3119</f>
        <v>2614</v>
      </c>
    </row>
    <row r="3120" spans="1:5" x14ac:dyDescent="0.55000000000000004">
      <c r="A3120" t="str">
        <f>TEST_DATA!A3120</f>
        <v>27AAAAA3120Z5</v>
      </c>
      <c r="B3120" t="str">
        <f>TEST_DATA!B3120</f>
        <v>Mar-2020</v>
      </c>
      <c r="C3120">
        <f>TEST_DATA!C3120</f>
        <v>44042</v>
      </c>
      <c r="D3120" t="str">
        <f>TEST_DATA!D3120</f>
        <v>NIL</v>
      </c>
      <c r="E3120">
        <f>TEST_DATA!E3120</f>
        <v>1880</v>
      </c>
    </row>
    <row r="3121" spans="1:5" x14ac:dyDescent="0.55000000000000004">
      <c r="A3121" t="str">
        <f>TEST_DATA!A3121</f>
        <v>27AAAAA3121Z5</v>
      </c>
      <c r="B3121" t="str">
        <f>TEST_DATA!B3121</f>
        <v>Apr-2020</v>
      </c>
      <c r="C3121">
        <f>TEST_DATA!C3121</f>
        <v>44082</v>
      </c>
      <c r="D3121" t="str">
        <f>TEST_DATA!D3121</f>
        <v>NIL</v>
      </c>
      <c r="E3121">
        <f>TEST_DATA!E3121</f>
        <v>580</v>
      </c>
    </row>
    <row r="3122" spans="1:5" x14ac:dyDescent="0.55000000000000004">
      <c r="A3122" t="str">
        <f>TEST_DATA!A3122</f>
        <v>27AAAAA3122Z5</v>
      </c>
      <c r="B3122" t="str">
        <f>TEST_DATA!B3122</f>
        <v>Apr-2018</v>
      </c>
      <c r="C3122">
        <f>TEST_DATA!C3122</f>
        <v>43453</v>
      </c>
      <c r="D3122" t="str">
        <f>TEST_DATA!D3122</f>
        <v>NIL</v>
      </c>
      <c r="E3122">
        <f>TEST_DATA!E3122</f>
        <v>380</v>
      </c>
    </row>
    <row r="3123" spans="1:5" x14ac:dyDescent="0.55000000000000004">
      <c r="A3123" t="str">
        <f>TEST_DATA!A3123</f>
        <v>27AAAAA3123Z5</v>
      </c>
      <c r="B3123" t="str">
        <f>TEST_DATA!B3123</f>
        <v>Sep-2017</v>
      </c>
      <c r="C3123">
        <f>TEST_DATA!C3123</f>
        <v>43929</v>
      </c>
      <c r="D3123" t="str">
        <f>TEST_DATA!D3123</f>
        <v>NON-NIL</v>
      </c>
      <c r="E3123">
        <f>TEST_DATA!E3123</f>
        <v>851</v>
      </c>
    </row>
    <row r="3124" spans="1:5" x14ac:dyDescent="0.55000000000000004">
      <c r="A3124" t="str">
        <f>TEST_DATA!A3124</f>
        <v>27AAAAA3124Z5</v>
      </c>
      <c r="B3124" t="str">
        <f>TEST_DATA!B3124</f>
        <v>Jul-2018</v>
      </c>
      <c r="C3124">
        <f>TEST_DATA!C3124</f>
        <v>43123</v>
      </c>
      <c r="D3124" t="str">
        <f>TEST_DATA!D3124</f>
        <v>NON-NIL</v>
      </c>
      <c r="E3124">
        <f>TEST_DATA!E3124</f>
        <v>89</v>
      </c>
    </row>
    <row r="3125" spans="1:5" x14ac:dyDescent="0.55000000000000004">
      <c r="A3125" t="str">
        <f>TEST_DATA!A3125</f>
        <v>27AAAAA3125Z5</v>
      </c>
      <c r="B3125" t="str">
        <f>TEST_DATA!B3125</f>
        <v>Aug-2018</v>
      </c>
      <c r="C3125">
        <f>TEST_DATA!C3125</f>
        <v>43067</v>
      </c>
      <c r="D3125" t="str">
        <f>TEST_DATA!D3125</f>
        <v>NON-NIL</v>
      </c>
      <c r="E3125">
        <f>TEST_DATA!E3125</f>
        <v>2562</v>
      </c>
    </row>
    <row r="3126" spans="1:5" x14ac:dyDescent="0.55000000000000004">
      <c r="A3126" t="str">
        <f>TEST_DATA!A3126</f>
        <v>27AAAAA3126Z5</v>
      </c>
      <c r="B3126" t="str">
        <f>TEST_DATA!B3126</f>
        <v>Sep-2017</v>
      </c>
      <c r="C3126">
        <f>TEST_DATA!C3126</f>
        <v>43347</v>
      </c>
      <c r="D3126" t="str">
        <f>TEST_DATA!D3126</f>
        <v>NON-NIL</v>
      </c>
      <c r="E3126">
        <f>TEST_DATA!E3126</f>
        <v>1537</v>
      </c>
    </row>
    <row r="3127" spans="1:5" x14ac:dyDescent="0.55000000000000004">
      <c r="A3127" t="str">
        <f>TEST_DATA!A3127</f>
        <v>27AAAAA3127Z5</v>
      </c>
      <c r="B3127" t="str">
        <f>TEST_DATA!B3127</f>
        <v>Dec-2024</v>
      </c>
      <c r="C3127">
        <f>TEST_DATA!C3127</f>
        <v>44750</v>
      </c>
      <c r="D3127" t="str">
        <f>TEST_DATA!D3127</f>
        <v>NON-NIL</v>
      </c>
      <c r="E3127">
        <f>TEST_DATA!E3127</f>
        <v>659</v>
      </c>
    </row>
    <row r="3128" spans="1:5" x14ac:dyDescent="0.55000000000000004">
      <c r="A3128" t="str">
        <f>TEST_DATA!A3128</f>
        <v>27AAAAA3128Z5</v>
      </c>
      <c r="B3128" t="str">
        <f>TEST_DATA!B3128</f>
        <v>Dec-2017</v>
      </c>
      <c r="C3128">
        <f>TEST_DATA!C3128</f>
        <v>43528</v>
      </c>
      <c r="D3128" t="str">
        <f>TEST_DATA!D3128</f>
        <v>NIL</v>
      </c>
      <c r="E3128">
        <f>TEST_DATA!E3128</f>
        <v>731</v>
      </c>
    </row>
    <row r="3129" spans="1:5" x14ac:dyDescent="0.55000000000000004">
      <c r="A3129" t="str">
        <f>TEST_DATA!A3129</f>
        <v>27AAAAA3129Z5</v>
      </c>
      <c r="B3129" t="str">
        <f>TEST_DATA!B3129</f>
        <v>Jun-2020</v>
      </c>
      <c r="C3129">
        <f>TEST_DATA!C3129</f>
        <v>43895</v>
      </c>
      <c r="D3129" t="str">
        <f>TEST_DATA!D3129</f>
        <v>NIL</v>
      </c>
      <c r="E3129">
        <f>TEST_DATA!E3129</f>
        <v>1404</v>
      </c>
    </row>
    <row r="3130" spans="1:5" x14ac:dyDescent="0.55000000000000004">
      <c r="A3130" t="str">
        <f>TEST_DATA!A3130</f>
        <v>27AAAAA3130Z5</v>
      </c>
      <c r="B3130" t="str">
        <f>TEST_DATA!B3130</f>
        <v>Jun-2018</v>
      </c>
      <c r="C3130">
        <f>TEST_DATA!C3130</f>
        <v>43908</v>
      </c>
      <c r="D3130" t="str">
        <f>TEST_DATA!D3130</f>
        <v>NIL</v>
      </c>
      <c r="E3130">
        <f>TEST_DATA!E3130</f>
        <v>648</v>
      </c>
    </row>
    <row r="3131" spans="1:5" x14ac:dyDescent="0.55000000000000004">
      <c r="A3131" t="str">
        <f>TEST_DATA!A3131</f>
        <v>27AAAAA3131Z5</v>
      </c>
      <c r="B3131" t="str">
        <f>TEST_DATA!B3131</f>
        <v>Jun-2019</v>
      </c>
      <c r="C3131">
        <f>TEST_DATA!C3131</f>
        <v>44508</v>
      </c>
      <c r="D3131" t="str">
        <f>TEST_DATA!D3131</f>
        <v>NIL</v>
      </c>
      <c r="E3131">
        <f>TEST_DATA!E3131</f>
        <v>789</v>
      </c>
    </row>
    <row r="3132" spans="1:5" x14ac:dyDescent="0.55000000000000004">
      <c r="A3132" t="str">
        <f>TEST_DATA!A3132</f>
        <v>27AAAAA3132Z5</v>
      </c>
      <c r="B3132" t="str">
        <f>TEST_DATA!B3132</f>
        <v>Apr-2020</v>
      </c>
      <c r="C3132">
        <f>TEST_DATA!C3132</f>
        <v>43891</v>
      </c>
      <c r="D3132" t="str">
        <f>TEST_DATA!D3132</f>
        <v>NIL</v>
      </c>
      <c r="E3132">
        <f>TEST_DATA!E3132</f>
        <v>2121</v>
      </c>
    </row>
    <row r="3133" spans="1:5" x14ac:dyDescent="0.55000000000000004">
      <c r="A3133" t="str">
        <f>TEST_DATA!A3133</f>
        <v>27AAAAA3133Z5</v>
      </c>
      <c r="B3133" t="str">
        <f>TEST_DATA!B3133</f>
        <v>Jun-2019</v>
      </c>
      <c r="C3133">
        <f>TEST_DATA!C3133</f>
        <v>44090</v>
      </c>
      <c r="D3133" t="str">
        <f>TEST_DATA!D3133</f>
        <v>NIL</v>
      </c>
      <c r="E3133">
        <f>TEST_DATA!E3133</f>
        <v>1494</v>
      </c>
    </row>
    <row r="3134" spans="1:5" x14ac:dyDescent="0.55000000000000004">
      <c r="A3134" t="str">
        <f>TEST_DATA!A3134</f>
        <v>27AAAAA3134Z5</v>
      </c>
      <c r="B3134" t="str">
        <f>TEST_DATA!B3134</f>
        <v>Oct-2017</v>
      </c>
      <c r="C3134">
        <f>TEST_DATA!C3134</f>
        <v>43361</v>
      </c>
      <c r="D3134" t="str">
        <f>TEST_DATA!D3134</f>
        <v>NIL</v>
      </c>
      <c r="E3134">
        <f>TEST_DATA!E3134</f>
        <v>1341</v>
      </c>
    </row>
    <row r="3135" spans="1:5" x14ac:dyDescent="0.55000000000000004">
      <c r="A3135" t="str">
        <f>TEST_DATA!A3135</f>
        <v>27AAAAA3135Z5</v>
      </c>
      <c r="B3135" t="str">
        <f>TEST_DATA!B3135</f>
        <v>Nov-2017</v>
      </c>
      <c r="C3135">
        <f>TEST_DATA!C3135</f>
        <v>43367</v>
      </c>
      <c r="D3135" t="str">
        <f>TEST_DATA!D3135</f>
        <v>NIL</v>
      </c>
      <c r="E3135">
        <f>TEST_DATA!E3135</f>
        <v>2980</v>
      </c>
    </row>
    <row r="3136" spans="1:5" x14ac:dyDescent="0.55000000000000004">
      <c r="A3136" t="str">
        <f>TEST_DATA!A3136</f>
        <v>27AAAAA3136Z5</v>
      </c>
      <c r="B3136" t="str">
        <f>TEST_DATA!B3136</f>
        <v>Jul-2020</v>
      </c>
      <c r="C3136">
        <f>TEST_DATA!C3136</f>
        <v>44090</v>
      </c>
      <c r="D3136" t="str">
        <f>TEST_DATA!D3136</f>
        <v>NON-NIL</v>
      </c>
      <c r="E3136">
        <f>TEST_DATA!E3136</f>
        <v>1120</v>
      </c>
    </row>
    <row r="3137" spans="1:5" x14ac:dyDescent="0.55000000000000004">
      <c r="A3137" t="str">
        <f>TEST_DATA!A3137</f>
        <v>27AAAAA3137Z5</v>
      </c>
      <c r="B3137" t="str">
        <f>TEST_DATA!B3137</f>
        <v>Jan-2019</v>
      </c>
      <c r="C3137">
        <f>TEST_DATA!C3137</f>
        <v>44282</v>
      </c>
      <c r="D3137" t="str">
        <f>TEST_DATA!D3137</f>
        <v>NIL</v>
      </c>
      <c r="E3137">
        <f>TEST_DATA!E3137</f>
        <v>1427</v>
      </c>
    </row>
    <row r="3138" spans="1:5" x14ac:dyDescent="0.55000000000000004">
      <c r="A3138" t="str">
        <f>TEST_DATA!A3138</f>
        <v>27AAAAA3138Z5</v>
      </c>
      <c r="B3138" t="str">
        <f>TEST_DATA!B3138</f>
        <v>Jul-2020</v>
      </c>
      <c r="C3138">
        <f>TEST_DATA!C3138</f>
        <v>44433</v>
      </c>
      <c r="D3138" t="str">
        <f>TEST_DATA!D3138</f>
        <v>NON-NIL</v>
      </c>
      <c r="E3138">
        <f>TEST_DATA!E3138</f>
        <v>2030</v>
      </c>
    </row>
    <row r="3139" spans="1:5" x14ac:dyDescent="0.55000000000000004">
      <c r="A3139" t="str">
        <f>TEST_DATA!A3139</f>
        <v>27AAAAA3139Z5</v>
      </c>
      <c r="B3139" t="str">
        <f>TEST_DATA!B3139</f>
        <v>Aug-2018</v>
      </c>
      <c r="C3139">
        <f>TEST_DATA!C3139</f>
        <v>43966</v>
      </c>
      <c r="D3139" t="str">
        <f>TEST_DATA!D3139</f>
        <v>NON-NIL</v>
      </c>
      <c r="E3139">
        <f>TEST_DATA!E3139</f>
        <v>790</v>
      </c>
    </row>
    <row r="3140" spans="1:5" x14ac:dyDescent="0.55000000000000004">
      <c r="A3140" t="str">
        <f>TEST_DATA!A3140</f>
        <v>27AAAAA3140Z5</v>
      </c>
      <c r="B3140" t="str">
        <f>TEST_DATA!B3140</f>
        <v>Mar-2018</v>
      </c>
      <c r="C3140">
        <f>TEST_DATA!C3140</f>
        <v>43271</v>
      </c>
      <c r="D3140" t="str">
        <f>TEST_DATA!D3140</f>
        <v>NIL</v>
      </c>
      <c r="E3140">
        <f>TEST_DATA!E3140</f>
        <v>2814</v>
      </c>
    </row>
    <row r="3141" spans="1:5" x14ac:dyDescent="0.55000000000000004">
      <c r="A3141" t="str">
        <f>TEST_DATA!A3141</f>
        <v>27AAAAA3141Z5</v>
      </c>
      <c r="B3141" t="str">
        <f>TEST_DATA!B3141</f>
        <v>Mar-2023</v>
      </c>
      <c r="C3141">
        <f>TEST_DATA!C3141</f>
        <v>44617</v>
      </c>
      <c r="D3141" t="str">
        <f>TEST_DATA!D3141</f>
        <v>NON-NIL</v>
      </c>
      <c r="E3141">
        <f>TEST_DATA!E3141</f>
        <v>421</v>
      </c>
    </row>
    <row r="3142" spans="1:5" x14ac:dyDescent="0.55000000000000004">
      <c r="A3142" t="str">
        <f>TEST_DATA!A3142</f>
        <v>27AAAAA3142Z5</v>
      </c>
      <c r="B3142" t="str">
        <f>TEST_DATA!B3142</f>
        <v>Mar-2020</v>
      </c>
      <c r="C3142">
        <f>TEST_DATA!C3142</f>
        <v>44469</v>
      </c>
      <c r="D3142" t="str">
        <f>TEST_DATA!D3142</f>
        <v>NIL</v>
      </c>
      <c r="E3142">
        <f>TEST_DATA!E3142</f>
        <v>843</v>
      </c>
    </row>
    <row r="3143" spans="1:5" x14ac:dyDescent="0.55000000000000004">
      <c r="A3143" t="str">
        <f>TEST_DATA!A3143</f>
        <v>27AAAAA3143Z5</v>
      </c>
      <c r="B3143" t="str">
        <f>TEST_DATA!B3143</f>
        <v>Jan-2021</v>
      </c>
      <c r="C3143">
        <f>TEST_DATA!C3143</f>
        <v>45464</v>
      </c>
      <c r="D3143" t="str">
        <f>TEST_DATA!D3143</f>
        <v>NON-NIL</v>
      </c>
      <c r="E3143">
        <f>TEST_DATA!E3143</f>
        <v>1827</v>
      </c>
    </row>
    <row r="3144" spans="1:5" x14ac:dyDescent="0.55000000000000004">
      <c r="A3144" t="str">
        <f>TEST_DATA!A3144</f>
        <v>27AAAAA3144Z5</v>
      </c>
      <c r="B3144" t="str">
        <f>TEST_DATA!B3144</f>
        <v>Aug-2018</v>
      </c>
      <c r="C3144">
        <f>TEST_DATA!C3144</f>
        <v>44138</v>
      </c>
      <c r="D3144" t="str">
        <f>TEST_DATA!D3144</f>
        <v>NON-NIL</v>
      </c>
      <c r="E3144">
        <f>TEST_DATA!E3144</f>
        <v>1305</v>
      </c>
    </row>
    <row r="3145" spans="1:5" x14ac:dyDescent="0.55000000000000004">
      <c r="A3145" t="str">
        <f>TEST_DATA!A3145</f>
        <v>27AAAAA3145Z5</v>
      </c>
      <c r="B3145" t="str">
        <f>TEST_DATA!B3145</f>
        <v>Apr-2020</v>
      </c>
      <c r="C3145">
        <f>TEST_DATA!C3145</f>
        <v>44051</v>
      </c>
      <c r="D3145" t="str">
        <f>TEST_DATA!D3145</f>
        <v>NON-NIL</v>
      </c>
      <c r="E3145">
        <f>TEST_DATA!E3145</f>
        <v>1758</v>
      </c>
    </row>
    <row r="3146" spans="1:5" x14ac:dyDescent="0.55000000000000004">
      <c r="A3146" t="str">
        <f>TEST_DATA!A3146</f>
        <v>27AAAAA3146Z5</v>
      </c>
      <c r="B3146" t="str">
        <f>TEST_DATA!B3146</f>
        <v>Jan-2018</v>
      </c>
      <c r="C3146">
        <f>TEST_DATA!C3146</f>
        <v>44078</v>
      </c>
      <c r="D3146" t="str">
        <f>TEST_DATA!D3146</f>
        <v>NON-NIL</v>
      </c>
      <c r="E3146">
        <f>TEST_DATA!E3146</f>
        <v>1531</v>
      </c>
    </row>
    <row r="3147" spans="1:5" x14ac:dyDescent="0.55000000000000004">
      <c r="A3147" t="str">
        <f>TEST_DATA!A3147</f>
        <v>27AAAAA3147Z5</v>
      </c>
      <c r="B3147" t="str">
        <f>TEST_DATA!B3147</f>
        <v>Dec-2024</v>
      </c>
      <c r="C3147">
        <f>TEST_DATA!C3147</f>
        <v>43729</v>
      </c>
      <c r="D3147" t="str">
        <f>TEST_DATA!D3147</f>
        <v>NON-NIL</v>
      </c>
      <c r="E3147">
        <f>TEST_DATA!E3147</f>
        <v>685</v>
      </c>
    </row>
    <row r="3148" spans="1:5" x14ac:dyDescent="0.55000000000000004">
      <c r="A3148" t="str">
        <f>TEST_DATA!A3148</f>
        <v>27AAAAA3148Z5</v>
      </c>
      <c r="B3148" t="str">
        <f>TEST_DATA!B3148</f>
        <v>Dec-2024</v>
      </c>
      <c r="C3148">
        <f>TEST_DATA!C3148</f>
        <v>43604</v>
      </c>
      <c r="D3148" t="str">
        <f>TEST_DATA!D3148</f>
        <v>NON-NIL</v>
      </c>
      <c r="E3148">
        <f>TEST_DATA!E3148</f>
        <v>2403</v>
      </c>
    </row>
    <row r="3149" spans="1:5" x14ac:dyDescent="0.55000000000000004">
      <c r="A3149" t="str">
        <f>TEST_DATA!A3149</f>
        <v>27AAAAA3149Z5</v>
      </c>
      <c r="B3149" t="str">
        <f>TEST_DATA!B3149</f>
        <v>Aug-2018</v>
      </c>
      <c r="C3149">
        <f>TEST_DATA!C3149</f>
        <v>43518</v>
      </c>
      <c r="D3149" t="str">
        <f>TEST_DATA!D3149</f>
        <v>NON-NIL</v>
      </c>
      <c r="E3149">
        <f>TEST_DATA!E3149</f>
        <v>1631</v>
      </c>
    </row>
    <row r="3150" spans="1:5" x14ac:dyDescent="0.55000000000000004">
      <c r="A3150" t="str">
        <f>TEST_DATA!A3150</f>
        <v>27AAAAA3150Z5</v>
      </c>
      <c r="B3150" t="str">
        <f>TEST_DATA!B3150</f>
        <v>Jul-2017</v>
      </c>
      <c r="C3150">
        <f>TEST_DATA!C3150</f>
        <v>43151</v>
      </c>
      <c r="D3150" t="str">
        <f>TEST_DATA!D3150</f>
        <v>NIL</v>
      </c>
      <c r="E3150">
        <f>TEST_DATA!E3150</f>
        <v>1321</v>
      </c>
    </row>
    <row r="3151" spans="1:5" x14ac:dyDescent="0.55000000000000004">
      <c r="A3151" t="str">
        <f>TEST_DATA!A3151</f>
        <v>27AAAAA3151Z5</v>
      </c>
      <c r="B3151" t="str">
        <f>TEST_DATA!B3151</f>
        <v>Aug-2018</v>
      </c>
      <c r="C3151">
        <f>TEST_DATA!C3151</f>
        <v>44536</v>
      </c>
      <c r="D3151" t="str">
        <f>TEST_DATA!D3151</f>
        <v>NIL</v>
      </c>
      <c r="E3151">
        <f>TEST_DATA!E3151</f>
        <v>1465</v>
      </c>
    </row>
    <row r="3152" spans="1:5" x14ac:dyDescent="0.55000000000000004">
      <c r="A3152" t="str">
        <f>TEST_DATA!A3152</f>
        <v>27AAAAA3152Z5</v>
      </c>
      <c r="B3152" t="str">
        <f>TEST_DATA!B3152</f>
        <v>Feb-2018</v>
      </c>
      <c r="C3152">
        <f>TEST_DATA!C3152</f>
        <v>43065</v>
      </c>
      <c r="D3152" t="str">
        <f>TEST_DATA!D3152</f>
        <v>NIL</v>
      </c>
      <c r="E3152">
        <f>TEST_DATA!E3152</f>
        <v>2690</v>
      </c>
    </row>
    <row r="3153" spans="1:5" x14ac:dyDescent="0.55000000000000004">
      <c r="A3153" t="str">
        <f>TEST_DATA!A3153</f>
        <v>27AAAAA3153Z5</v>
      </c>
      <c r="B3153" t="str">
        <f>TEST_DATA!B3153</f>
        <v>Jun-2018</v>
      </c>
      <c r="C3153">
        <f>TEST_DATA!C3153</f>
        <v>43678</v>
      </c>
      <c r="D3153" t="str">
        <f>TEST_DATA!D3153</f>
        <v>NIL</v>
      </c>
      <c r="E3153">
        <f>TEST_DATA!E3153</f>
        <v>1287</v>
      </c>
    </row>
    <row r="3154" spans="1:5" x14ac:dyDescent="0.55000000000000004">
      <c r="A3154" t="str">
        <f>TEST_DATA!A3154</f>
        <v>27AAAAA3154Z5</v>
      </c>
      <c r="B3154" t="str">
        <f>TEST_DATA!B3154</f>
        <v>Oct-2017</v>
      </c>
      <c r="C3154">
        <f>TEST_DATA!C3154</f>
        <v>42936</v>
      </c>
      <c r="D3154" t="str">
        <f>TEST_DATA!D3154</f>
        <v>NON-NIL</v>
      </c>
      <c r="E3154">
        <f>TEST_DATA!E3154</f>
        <v>2819</v>
      </c>
    </row>
    <row r="3155" spans="1:5" x14ac:dyDescent="0.55000000000000004">
      <c r="A3155" t="str">
        <f>TEST_DATA!A3155</f>
        <v>27AAAAA3155Z5</v>
      </c>
      <c r="B3155" t="str">
        <f>TEST_DATA!B3155</f>
        <v>Jul-2017</v>
      </c>
      <c r="C3155">
        <f>TEST_DATA!C3155</f>
        <v>44385</v>
      </c>
      <c r="D3155" t="str">
        <f>TEST_DATA!D3155</f>
        <v>NON-NIL</v>
      </c>
      <c r="E3155">
        <f>TEST_DATA!E3155</f>
        <v>875</v>
      </c>
    </row>
    <row r="3156" spans="1:5" x14ac:dyDescent="0.55000000000000004">
      <c r="A3156" t="str">
        <f>TEST_DATA!A3156</f>
        <v>27AAAAA3156Z5</v>
      </c>
      <c r="B3156" t="str">
        <f>TEST_DATA!B3156</f>
        <v>Sep-2018</v>
      </c>
      <c r="C3156">
        <f>TEST_DATA!C3156</f>
        <v>44079</v>
      </c>
      <c r="D3156" t="str">
        <f>TEST_DATA!D3156</f>
        <v>NON-NIL</v>
      </c>
      <c r="E3156">
        <f>TEST_DATA!E3156</f>
        <v>952</v>
      </c>
    </row>
    <row r="3157" spans="1:5" x14ac:dyDescent="0.55000000000000004">
      <c r="A3157" t="str">
        <f>TEST_DATA!A3157</f>
        <v>27AAAAA3157Z5</v>
      </c>
      <c r="B3157" t="str">
        <f>TEST_DATA!B3157</f>
        <v>Dec-2019</v>
      </c>
      <c r="C3157">
        <f>TEST_DATA!C3157</f>
        <v>43737</v>
      </c>
      <c r="D3157" t="str">
        <f>TEST_DATA!D3157</f>
        <v>NON-NIL</v>
      </c>
      <c r="E3157">
        <f>TEST_DATA!E3157</f>
        <v>1161</v>
      </c>
    </row>
    <row r="3158" spans="1:5" x14ac:dyDescent="0.55000000000000004">
      <c r="A3158" t="str">
        <f>TEST_DATA!A3158</f>
        <v>27AAAAA3158Z5</v>
      </c>
      <c r="B3158" t="str">
        <f>TEST_DATA!B3158</f>
        <v>Apr-2020</v>
      </c>
      <c r="C3158">
        <f>TEST_DATA!C3158</f>
        <v>44265</v>
      </c>
      <c r="D3158" t="str">
        <f>TEST_DATA!D3158</f>
        <v>NIL</v>
      </c>
      <c r="E3158">
        <f>TEST_DATA!E3158</f>
        <v>421</v>
      </c>
    </row>
    <row r="3159" spans="1:5" x14ac:dyDescent="0.55000000000000004">
      <c r="A3159" t="str">
        <f>TEST_DATA!A3159</f>
        <v>27AAAAA3159Z5</v>
      </c>
      <c r="B3159" t="str">
        <f>TEST_DATA!B3159</f>
        <v>Dec-2019</v>
      </c>
      <c r="C3159">
        <f>TEST_DATA!C3159</f>
        <v>44604</v>
      </c>
      <c r="D3159" t="str">
        <f>TEST_DATA!D3159</f>
        <v>NIL</v>
      </c>
      <c r="E3159">
        <f>TEST_DATA!E3159</f>
        <v>2350</v>
      </c>
    </row>
    <row r="3160" spans="1:5" x14ac:dyDescent="0.55000000000000004">
      <c r="A3160" t="str">
        <f>TEST_DATA!A3160</f>
        <v>27AAAAA3160Z5</v>
      </c>
      <c r="B3160" t="str">
        <f>TEST_DATA!B3160</f>
        <v>Dec-2024</v>
      </c>
      <c r="C3160">
        <f>TEST_DATA!C3160</f>
        <v>45193</v>
      </c>
      <c r="D3160" t="str">
        <f>TEST_DATA!D3160</f>
        <v>NON-NIL</v>
      </c>
      <c r="E3160">
        <f>TEST_DATA!E3160</f>
        <v>1301</v>
      </c>
    </row>
    <row r="3161" spans="1:5" x14ac:dyDescent="0.55000000000000004">
      <c r="A3161" t="str">
        <f>TEST_DATA!A3161</f>
        <v>27AAAAA3161Z5</v>
      </c>
      <c r="B3161" t="str">
        <f>TEST_DATA!B3161</f>
        <v>Dec-2022</v>
      </c>
      <c r="C3161">
        <f>TEST_DATA!C3161</f>
        <v>44777</v>
      </c>
      <c r="D3161" t="str">
        <f>TEST_DATA!D3161</f>
        <v>NIL</v>
      </c>
      <c r="E3161">
        <f>TEST_DATA!E3161</f>
        <v>807</v>
      </c>
    </row>
    <row r="3162" spans="1:5" x14ac:dyDescent="0.55000000000000004">
      <c r="A3162" t="str">
        <f>TEST_DATA!A3162</f>
        <v>27AAAAA3162Z5</v>
      </c>
      <c r="B3162" t="str">
        <f>TEST_DATA!B3162</f>
        <v>Aug-2017</v>
      </c>
      <c r="C3162">
        <f>TEST_DATA!C3162</f>
        <v>44560</v>
      </c>
      <c r="D3162" t="str">
        <f>TEST_DATA!D3162</f>
        <v>NON-NIL</v>
      </c>
      <c r="E3162">
        <f>TEST_DATA!E3162</f>
        <v>2042</v>
      </c>
    </row>
    <row r="3163" spans="1:5" x14ac:dyDescent="0.55000000000000004">
      <c r="A3163" t="str">
        <f>TEST_DATA!A3163</f>
        <v>27AAAAA3163Z5</v>
      </c>
      <c r="B3163" t="str">
        <f>TEST_DATA!B3163</f>
        <v>Aug-2017</v>
      </c>
      <c r="C3163">
        <f>TEST_DATA!C3163</f>
        <v>43479</v>
      </c>
      <c r="D3163" t="str">
        <f>TEST_DATA!D3163</f>
        <v>NON-NIL</v>
      </c>
      <c r="E3163">
        <f>TEST_DATA!E3163</f>
        <v>488</v>
      </c>
    </row>
    <row r="3164" spans="1:5" x14ac:dyDescent="0.55000000000000004">
      <c r="A3164" t="str">
        <f>TEST_DATA!A3164</f>
        <v>27AAAAA3164Z5</v>
      </c>
      <c r="B3164" t="str">
        <f>TEST_DATA!B3164</f>
        <v>Oct-2017</v>
      </c>
      <c r="C3164">
        <f>TEST_DATA!C3164</f>
        <v>43844</v>
      </c>
      <c r="D3164" t="str">
        <f>TEST_DATA!D3164</f>
        <v>NIL</v>
      </c>
      <c r="E3164">
        <f>TEST_DATA!E3164</f>
        <v>2463</v>
      </c>
    </row>
    <row r="3165" spans="1:5" x14ac:dyDescent="0.55000000000000004">
      <c r="A3165" t="str">
        <f>TEST_DATA!A3165</f>
        <v>27AAAAA3165Z5</v>
      </c>
      <c r="B3165" t="str">
        <f>TEST_DATA!B3165</f>
        <v>May-2018</v>
      </c>
      <c r="C3165">
        <f>TEST_DATA!C3165</f>
        <v>44127</v>
      </c>
      <c r="D3165" t="str">
        <f>TEST_DATA!D3165</f>
        <v>NON-NIL</v>
      </c>
      <c r="E3165">
        <f>TEST_DATA!E3165</f>
        <v>968</v>
      </c>
    </row>
    <row r="3166" spans="1:5" x14ac:dyDescent="0.55000000000000004">
      <c r="A3166" t="str">
        <f>TEST_DATA!A3166</f>
        <v>27AAAAA3166Z5</v>
      </c>
      <c r="B3166" t="str">
        <f>TEST_DATA!B3166</f>
        <v>Mar-2020</v>
      </c>
      <c r="C3166">
        <f>TEST_DATA!C3166</f>
        <v>43874</v>
      </c>
      <c r="D3166" t="str">
        <f>TEST_DATA!D3166</f>
        <v>NON-NIL</v>
      </c>
      <c r="E3166">
        <f>TEST_DATA!E3166</f>
        <v>73</v>
      </c>
    </row>
    <row r="3167" spans="1:5" x14ac:dyDescent="0.55000000000000004">
      <c r="A3167" t="str">
        <f>TEST_DATA!A3167</f>
        <v>27AAAAA3167Z5</v>
      </c>
      <c r="B3167" t="str">
        <f>TEST_DATA!B3167</f>
        <v>May-2020</v>
      </c>
      <c r="C3167">
        <f>TEST_DATA!C3167</f>
        <v>43840</v>
      </c>
      <c r="D3167" t="str">
        <f>TEST_DATA!D3167</f>
        <v>NON-NIL</v>
      </c>
      <c r="E3167">
        <f>TEST_DATA!E3167</f>
        <v>1164</v>
      </c>
    </row>
    <row r="3168" spans="1:5" x14ac:dyDescent="0.55000000000000004">
      <c r="A3168" t="str">
        <f>TEST_DATA!A3168</f>
        <v>27AAAAA3168Z5</v>
      </c>
      <c r="B3168" t="str">
        <f>TEST_DATA!B3168</f>
        <v>Nov-2017</v>
      </c>
      <c r="C3168">
        <f>TEST_DATA!C3168</f>
        <v>43741</v>
      </c>
      <c r="D3168" t="str">
        <f>TEST_DATA!D3168</f>
        <v>NIL</v>
      </c>
      <c r="E3168">
        <f>TEST_DATA!E3168</f>
        <v>2185</v>
      </c>
    </row>
    <row r="3169" spans="1:5" x14ac:dyDescent="0.55000000000000004">
      <c r="A3169" t="str">
        <f>TEST_DATA!A3169</f>
        <v>27AAAAA3169Z5</v>
      </c>
      <c r="B3169" t="str">
        <f>TEST_DATA!B3169</f>
        <v>Jun-2019</v>
      </c>
      <c r="C3169">
        <f>TEST_DATA!C3169</f>
        <v>43626</v>
      </c>
      <c r="D3169" t="str">
        <f>TEST_DATA!D3169</f>
        <v>NON-NIL</v>
      </c>
      <c r="E3169">
        <f>TEST_DATA!E3169</f>
        <v>2641</v>
      </c>
    </row>
    <row r="3170" spans="1:5" x14ac:dyDescent="0.55000000000000004">
      <c r="A3170" t="str">
        <f>TEST_DATA!A3170</f>
        <v>27AAAAA3170Z5</v>
      </c>
      <c r="B3170" t="str">
        <f>TEST_DATA!B3170</f>
        <v>Jul-2017</v>
      </c>
      <c r="C3170">
        <f>TEST_DATA!C3170</f>
        <v>43059</v>
      </c>
      <c r="D3170" t="str">
        <f>TEST_DATA!D3170</f>
        <v>NON-NIL</v>
      </c>
      <c r="E3170">
        <f>TEST_DATA!E3170</f>
        <v>389</v>
      </c>
    </row>
    <row r="3171" spans="1:5" x14ac:dyDescent="0.55000000000000004">
      <c r="A3171" t="str">
        <f>TEST_DATA!A3171</f>
        <v>27AAAAA3171Z5</v>
      </c>
      <c r="B3171" t="str">
        <f>TEST_DATA!B3171</f>
        <v>Dec-2022</v>
      </c>
      <c r="C3171">
        <f>TEST_DATA!C3171</f>
        <v>45166</v>
      </c>
      <c r="D3171" t="str">
        <f>TEST_DATA!D3171</f>
        <v>NON-NIL</v>
      </c>
      <c r="E3171">
        <f>TEST_DATA!E3171</f>
        <v>1125</v>
      </c>
    </row>
    <row r="3172" spans="1:5" x14ac:dyDescent="0.55000000000000004">
      <c r="A3172" t="str">
        <f>TEST_DATA!A3172</f>
        <v>27AAAAA3172Z5</v>
      </c>
      <c r="B3172" t="str">
        <f>TEST_DATA!B3172</f>
        <v>May-2018</v>
      </c>
      <c r="C3172">
        <f>TEST_DATA!C3172</f>
        <v>44460</v>
      </c>
      <c r="D3172" t="str">
        <f>TEST_DATA!D3172</f>
        <v>NON-NIL</v>
      </c>
      <c r="E3172">
        <f>TEST_DATA!E3172</f>
        <v>1639</v>
      </c>
    </row>
    <row r="3173" spans="1:5" x14ac:dyDescent="0.55000000000000004">
      <c r="A3173" t="str">
        <f>TEST_DATA!A3173</f>
        <v>27AAAAA3173Z5</v>
      </c>
      <c r="B3173" t="str">
        <f>TEST_DATA!B3173</f>
        <v>Sep-2017</v>
      </c>
      <c r="C3173">
        <f>TEST_DATA!C3173</f>
        <v>44056</v>
      </c>
      <c r="D3173" t="str">
        <f>TEST_DATA!D3173</f>
        <v>NON-NIL</v>
      </c>
      <c r="E3173">
        <f>TEST_DATA!E3173</f>
        <v>2022</v>
      </c>
    </row>
    <row r="3174" spans="1:5" x14ac:dyDescent="0.55000000000000004">
      <c r="A3174" t="str">
        <f>TEST_DATA!A3174</f>
        <v>27AAAAA3174Z5</v>
      </c>
      <c r="B3174" t="str">
        <f>TEST_DATA!B3174</f>
        <v>Apr-2020</v>
      </c>
      <c r="C3174">
        <f>TEST_DATA!C3174</f>
        <v>43927</v>
      </c>
      <c r="D3174" t="str">
        <f>TEST_DATA!D3174</f>
        <v>NON-NIL</v>
      </c>
      <c r="E3174">
        <f>TEST_DATA!E3174</f>
        <v>1222</v>
      </c>
    </row>
    <row r="3175" spans="1:5" x14ac:dyDescent="0.55000000000000004">
      <c r="A3175" t="str">
        <f>TEST_DATA!A3175</f>
        <v>27AAAAA3175Z5</v>
      </c>
      <c r="B3175" t="str">
        <f>TEST_DATA!B3175</f>
        <v>Jul-2020</v>
      </c>
      <c r="C3175">
        <f>TEST_DATA!C3175</f>
        <v>44761</v>
      </c>
      <c r="D3175" t="str">
        <f>TEST_DATA!D3175</f>
        <v>NON-NIL</v>
      </c>
      <c r="E3175">
        <f>TEST_DATA!E3175</f>
        <v>2625</v>
      </c>
    </row>
    <row r="3176" spans="1:5" x14ac:dyDescent="0.55000000000000004">
      <c r="A3176" t="str">
        <f>TEST_DATA!A3176</f>
        <v>27AAAAA3176Z5</v>
      </c>
      <c r="B3176" t="str">
        <f>TEST_DATA!B3176</f>
        <v>Oct-2017</v>
      </c>
      <c r="C3176">
        <f>TEST_DATA!C3176</f>
        <v>43682</v>
      </c>
      <c r="D3176" t="str">
        <f>TEST_DATA!D3176</f>
        <v>NIL</v>
      </c>
      <c r="E3176">
        <f>TEST_DATA!E3176</f>
        <v>119</v>
      </c>
    </row>
    <row r="3177" spans="1:5" x14ac:dyDescent="0.55000000000000004">
      <c r="A3177" t="str">
        <f>TEST_DATA!A3177</f>
        <v>27AAAAA3177Z5</v>
      </c>
      <c r="B3177" t="str">
        <f>TEST_DATA!B3177</f>
        <v>Feb-2018</v>
      </c>
      <c r="C3177">
        <f>TEST_DATA!C3177</f>
        <v>43014</v>
      </c>
      <c r="D3177" t="str">
        <f>TEST_DATA!D3177</f>
        <v>NIL</v>
      </c>
      <c r="E3177">
        <f>TEST_DATA!E3177</f>
        <v>568</v>
      </c>
    </row>
    <row r="3178" spans="1:5" x14ac:dyDescent="0.55000000000000004">
      <c r="A3178" t="str">
        <f>TEST_DATA!A3178</f>
        <v>27AAAAA3178Z5</v>
      </c>
      <c r="B3178" t="str">
        <f>TEST_DATA!B3178</f>
        <v>Oct-2017</v>
      </c>
      <c r="C3178">
        <f>TEST_DATA!C3178</f>
        <v>43578</v>
      </c>
      <c r="D3178" t="str">
        <f>TEST_DATA!D3178</f>
        <v>NON-NIL</v>
      </c>
      <c r="E3178">
        <f>TEST_DATA!E3178</f>
        <v>927</v>
      </c>
    </row>
    <row r="3179" spans="1:5" x14ac:dyDescent="0.55000000000000004">
      <c r="A3179" t="str">
        <f>TEST_DATA!A3179</f>
        <v>27AAAAA3179Z5</v>
      </c>
      <c r="B3179" t="str">
        <f>TEST_DATA!B3179</f>
        <v>Dec-2017</v>
      </c>
      <c r="C3179">
        <f>TEST_DATA!C3179</f>
        <v>43097</v>
      </c>
      <c r="D3179" t="str">
        <f>TEST_DATA!D3179</f>
        <v>NIL</v>
      </c>
      <c r="E3179">
        <f>TEST_DATA!E3179</f>
        <v>2965</v>
      </c>
    </row>
    <row r="3180" spans="1:5" x14ac:dyDescent="0.55000000000000004">
      <c r="A3180" t="str">
        <f>TEST_DATA!A3180</f>
        <v>27AAAAA3180Z5</v>
      </c>
      <c r="B3180" t="str">
        <f>TEST_DATA!B3180</f>
        <v>Dec-2024</v>
      </c>
      <c r="C3180">
        <f>TEST_DATA!C3180</f>
        <v>44976</v>
      </c>
      <c r="D3180" t="str">
        <f>TEST_DATA!D3180</f>
        <v>NIL</v>
      </c>
      <c r="E3180">
        <f>TEST_DATA!E3180</f>
        <v>2819</v>
      </c>
    </row>
    <row r="3181" spans="1:5" x14ac:dyDescent="0.55000000000000004">
      <c r="A3181" t="str">
        <f>TEST_DATA!A3181</f>
        <v>27AAAAA3181Z5</v>
      </c>
      <c r="B3181" t="str">
        <f>TEST_DATA!B3181</f>
        <v>Mar-2023</v>
      </c>
      <c r="C3181">
        <f>TEST_DATA!C3181</f>
        <v>43681</v>
      </c>
      <c r="D3181" t="str">
        <f>TEST_DATA!D3181</f>
        <v>NON-NIL</v>
      </c>
      <c r="E3181">
        <f>TEST_DATA!E3181</f>
        <v>176</v>
      </c>
    </row>
    <row r="3182" spans="1:5" x14ac:dyDescent="0.55000000000000004">
      <c r="A3182" t="str">
        <f>TEST_DATA!A3182</f>
        <v>27AAAAA3182Z5</v>
      </c>
      <c r="B3182" t="str">
        <f>TEST_DATA!B3182</f>
        <v>Oct-2017</v>
      </c>
      <c r="C3182">
        <f>TEST_DATA!C3182</f>
        <v>43015</v>
      </c>
      <c r="D3182" t="str">
        <f>TEST_DATA!D3182</f>
        <v>NON-NIL</v>
      </c>
      <c r="E3182">
        <f>TEST_DATA!E3182</f>
        <v>307</v>
      </c>
    </row>
    <row r="3183" spans="1:5" x14ac:dyDescent="0.55000000000000004">
      <c r="A3183" t="str">
        <f>TEST_DATA!A3183</f>
        <v>27AAAAA3183Z5</v>
      </c>
      <c r="B3183" t="str">
        <f>TEST_DATA!B3183</f>
        <v>Mar-2018</v>
      </c>
      <c r="C3183">
        <f>TEST_DATA!C3183</f>
        <v>43591</v>
      </c>
      <c r="D3183" t="str">
        <f>TEST_DATA!D3183</f>
        <v>NON-NIL</v>
      </c>
      <c r="E3183">
        <f>TEST_DATA!E3183</f>
        <v>1105</v>
      </c>
    </row>
    <row r="3184" spans="1:5" x14ac:dyDescent="0.55000000000000004">
      <c r="A3184" t="str">
        <f>TEST_DATA!A3184</f>
        <v>27AAAAA3184Z5</v>
      </c>
      <c r="B3184" t="str">
        <f>TEST_DATA!B3184</f>
        <v>Jul-2020</v>
      </c>
      <c r="C3184">
        <f>TEST_DATA!C3184</f>
        <v>44179</v>
      </c>
      <c r="D3184" t="str">
        <f>TEST_DATA!D3184</f>
        <v>NIL</v>
      </c>
      <c r="E3184">
        <f>TEST_DATA!E3184</f>
        <v>2389</v>
      </c>
    </row>
    <row r="3185" spans="1:5" x14ac:dyDescent="0.55000000000000004">
      <c r="A3185" t="str">
        <f>TEST_DATA!A3185</f>
        <v>27AAAAA3185Z5</v>
      </c>
      <c r="B3185" t="str">
        <f>TEST_DATA!B3185</f>
        <v>Sep-2018</v>
      </c>
      <c r="C3185">
        <f>TEST_DATA!C3185</f>
        <v>43162</v>
      </c>
      <c r="D3185" t="str">
        <f>TEST_DATA!D3185</f>
        <v>NIL</v>
      </c>
      <c r="E3185">
        <f>TEST_DATA!E3185</f>
        <v>1307</v>
      </c>
    </row>
    <row r="3186" spans="1:5" x14ac:dyDescent="0.55000000000000004">
      <c r="A3186" t="str">
        <f>TEST_DATA!A3186</f>
        <v>27AAAAA3186Z5</v>
      </c>
      <c r="B3186" t="str">
        <f>TEST_DATA!B3186</f>
        <v>Mar-2023</v>
      </c>
      <c r="C3186">
        <f>TEST_DATA!C3186</f>
        <v>44072</v>
      </c>
      <c r="D3186" t="str">
        <f>TEST_DATA!D3186</f>
        <v>NON-NIL</v>
      </c>
      <c r="E3186">
        <f>TEST_DATA!E3186</f>
        <v>2608</v>
      </c>
    </row>
    <row r="3187" spans="1:5" x14ac:dyDescent="0.55000000000000004">
      <c r="A3187" t="str">
        <f>TEST_DATA!A3187</f>
        <v>27AAAAA3187Z5</v>
      </c>
      <c r="B3187" t="str">
        <f>TEST_DATA!B3187</f>
        <v>Sep-2018</v>
      </c>
      <c r="C3187">
        <f>TEST_DATA!C3187</f>
        <v>44285</v>
      </c>
      <c r="D3187" t="str">
        <f>TEST_DATA!D3187</f>
        <v>NIL</v>
      </c>
      <c r="E3187">
        <f>TEST_DATA!E3187</f>
        <v>2137</v>
      </c>
    </row>
    <row r="3188" spans="1:5" x14ac:dyDescent="0.55000000000000004">
      <c r="A3188" t="str">
        <f>TEST_DATA!A3188</f>
        <v>27AAAAA3188Z5</v>
      </c>
      <c r="B3188" t="str">
        <f>TEST_DATA!B3188</f>
        <v>Jun-2019</v>
      </c>
      <c r="C3188">
        <f>TEST_DATA!C3188</f>
        <v>44451</v>
      </c>
      <c r="D3188" t="str">
        <f>TEST_DATA!D3188</f>
        <v>NON-NIL</v>
      </c>
      <c r="E3188">
        <f>TEST_DATA!E3188</f>
        <v>2708</v>
      </c>
    </row>
    <row r="3189" spans="1:5" x14ac:dyDescent="0.55000000000000004">
      <c r="A3189" t="str">
        <f>TEST_DATA!A3189</f>
        <v>27AAAAA3189Z5</v>
      </c>
      <c r="B3189" t="str">
        <f>TEST_DATA!B3189</f>
        <v>Jan-2019</v>
      </c>
      <c r="C3189">
        <f>TEST_DATA!C3189</f>
        <v>44615</v>
      </c>
      <c r="D3189" t="str">
        <f>TEST_DATA!D3189</f>
        <v>NON-NIL</v>
      </c>
      <c r="E3189">
        <f>TEST_DATA!E3189</f>
        <v>2993</v>
      </c>
    </row>
    <row r="3190" spans="1:5" x14ac:dyDescent="0.55000000000000004">
      <c r="A3190" t="str">
        <f>TEST_DATA!A3190</f>
        <v>27AAAAA3190Z5</v>
      </c>
      <c r="B3190" t="str">
        <f>TEST_DATA!B3190</f>
        <v>Jan-2019</v>
      </c>
      <c r="C3190">
        <f>TEST_DATA!C3190</f>
        <v>44391</v>
      </c>
      <c r="D3190" t="str">
        <f>TEST_DATA!D3190</f>
        <v>NIL</v>
      </c>
      <c r="E3190">
        <f>TEST_DATA!E3190</f>
        <v>1080</v>
      </c>
    </row>
    <row r="3191" spans="1:5" x14ac:dyDescent="0.55000000000000004">
      <c r="A3191" t="str">
        <f>TEST_DATA!A3191</f>
        <v>27AAAAA3191Z5</v>
      </c>
      <c r="B3191" t="str">
        <f>TEST_DATA!B3191</f>
        <v>Mar-2021</v>
      </c>
      <c r="C3191">
        <f>TEST_DATA!C3191</f>
        <v>44679</v>
      </c>
      <c r="D3191" t="str">
        <f>TEST_DATA!D3191</f>
        <v>NIL</v>
      </c>
      <c r="E3191">
        <f>TEST_DATA!E3191</f>
        <v>1445</v>
      </c>
    </row>
    <row r="3192" spans="1:5" x14ac:dyDescent="0.55000000000000004">
      <c r="A3192" t="str">
        <f>TEST_DATA!A3192</f>
        <v>27AAAAA3192Z5</v>
      </c>
      <c r="B3192" t="str">
        <f>TEST_DATA!B3192</f>
        <v>Dec-2019</v>
      </c>
      <c r="C3192">
        <f>TEST_DATA!C3192</f>
        <v>44458</v>
      </c>
      <c r="D3192" t="str">
        <f>TEST_DATA!D3192</f>
        <v>NIL</v>
      </c>
      <c r="E3192">
        <f>TEST_DATA!E3192</f>
        <v>2846</v>
      </c>
    </row>
    <row r="3193" spans="1:5" x14ac:dyDescent="0.55000000000000004">
      <c r="A3193" t="str">
        <f>TEST_DATA!A3193</f>
        <v>27AAAAA3193Z5</v>
      </c>
      <c r="B3193" t="str">
        <f>TEST_DATA!B3193</f>
        <v>Sep-2017</v>
      </c>
      <c r="C3193">
        <f>TEST_DATA!C3193</f>
        <v>43070</v>
      </c>
      <c r="D3193" t="str">
        <f>TEST_DATA!D3193</f>
        <v>NON-NIL</v>
      </c>
      <c r="E3193">
        <f>TEST_DATA!E3193</f>
        <v>246</v>
      </c>
    </row>
    <row r="3194" spans="1:5" x14ac:dyDescent="0.55000000000000004">
      <c r="A3194" t="str">
        <f>TEST_DATA!A3194</f>
        <v>27AAAAA3194Z5</v>
      </c>
      <c r="B3194" t="str">
        <f>TEST_DATA!B3194</f>
        <v>Jan-2018</v>
      </c>
      <c r="C3194">
        <f>TEST_DATA!C3194</f>
        <v>42943</v>
      </c>
      <c r="D3194" t="str">
        <f>TEST_DATA!D3194</f>
        <v>NIL</v>
      </c>
      <c r="E3194">
        <f>TEST_DATA!E3194</f>
        <v>1917</v>
      </c>
    </row>
    <row r="3195" spans="1:5" x14ac:dyDescent="0.55000000000000004">
      <c r="A3195" t="str">
        <f>TEST_DATA!A3195</f>
        <v>27AAAAA3195Z5</v>
      </c>
      <c r="B3195" t="str">
        <f>TEST_DATA!B3195</f>
        <v>Dec-2022</v>
      </c>
      <c r="C3195">
        <f>TEST_DATA!C3195</f>
        <v>45043</v>
      </c>
      <c r="D3195" t="str">
        <f>TEST_DATA!D3195</f>
        <v>NIL</v>
      </c>
      <c r="E3195">
        <f>TEST_DATA!E3195</f>
        <v>1997</v>
      </c>
    </row>
    <row r="3196" spans="1:5" x14ac:dyDescent="0.55000000000000004">
      <c r="A3196" t="str">
        <f>TEST_DATA!A3196</f>
        <v>27AAAAA3196Z5</v>
      </c>
      <c r="B3196" t="str">
        <f>TEST_DATA!B3196</f>
        <v>Oct-2017</v>
      </c>
      <c r="C3196">
        <f>TEST_DATA!C3196</f>
        <v>43614</v>
      </c>
      <c r="D3196" t="str">
        <f>TEST_DATA!D3196</f>
        <v>NIL</v>
      </c>
      <c r="E3196">
        <f>TEST_DATA!E3196</f>
        <v>2418</v>
      </c>
    </row>
    <row r="3197" spans="1:5" x14ac:dyDescent="0.55000000000000004">
      <c r="A3197" t="str">
        <f>TEST_DATA!A3197</f>
        <v>27AAAAA3197Z5</v>
      </c>
      <c r="B3197" t="str">
        <f>TEST_DATA!B3197</f>
        <v>Mar-2021</v>
      </c>
      <c r="C3197">
        <f>TEST_DATA!C3197</f>
        <v>45627</v>
      </c>
      <c r="D3197" t="str">
        <f>TEST_DATA!D3197</f>
        <v>NON-NIL</v>
      </c>
      <c r="E3197">
        <f>TEST_DATA!E3197</f>
        <v>1277</v>
      </c>
    </row>
    <row r="3198" spans="1:5" x14ac:dyDescent="0.55000000000000004">
      <c r="A3198" t="str">
        <f>TEST_DATA!A3198</f>
        <v>27AAAAA3198Z5</v>
      </c>
      <c r="B3198" t="str">
        <f>TEST_DATA!B3198</f>
        <v>Jul-2020</v>
      </c>
      <c r="C3198">
        <f>TEST_DATA!C3198</f>
        <v>44760</v>
      </c>
      <c r="D3198" t="str">
        <f>TEST_DATA!D3198</f>
        <v>NIL</v>
      </c>
      <c r="E3198">
        <f>TEST_DATA!E3198</f>
        <v>2066</v>
      </c>
    </row>
    <row r="3199" spans="1:5" x14ac:dyDescent="0.55000000000000004">
      <c r="A3199" t="str">
        <f>TEST_DATA!A3199</f>
        <v>27AAAAA3199Z5</v>
      </c>
      <c r="B3199" t="str">
        <f>TEST_DATA!B3199</f>
        <v>Oct-2017</v>
      </c>
      <c r="C3199">
        <f>TEST_DATA!C3199</f>
        <v>43183</v>
      </c>
      <c r="D3199" t="str">
        <f>TEST_DATA!D3199</f>
        <v>NIL</v>
      </c>
      <c r="E3199">
        <f>TEST_DATA!E3199</f>
        <v>1489</v>
      </c>
    </row>
    <row r="3200" spans="1:5" x14ac:dyDescent="0.55000000000000004">
      <c r="A3200" t="str">
        <f>TEST_DATA!A3200</f>
        <v>27AAAAA3200Z5</v>
      </c>
      <c r="B3200" t="str">
        <f>TEST_DATA!B3200</f>
        <v>Jul-2018</v>
      </c>
      <c r="C3200">
        <f>TEST_DATA!C3200</f>
        <v>43843</v>
      </c>
      <c r="D3200" t="str">
        <f>TEST_DATA!D3200</f>
        <v>NIL</v>
      </c>
      <c r="E3200">
        <f>TEST_DATA!E3200</f>
        <v>1639</v>
      </c>
    </row>
    <row r="3201" spans="1:5" x14ac:dyDescent="0.55000000000000004">
      <c r="A3201" t="str">
        <f>TEST_DATA!A3201</f>
        <v>27AAAAA3201Z5</v>
      </c>
      <c r="B3201" t="str">
        <f>TEST_DATA!B3201</f>
        <v>Jan-2018</v>
      </c>
      <c r="C3201">
        <f>TEST_DATA!C3201</f>
        <v>43057</v>
      </c>
      <c r="D3201" t="str">
        <f>TEST_DATA!D3201</f>
        <v>NON-NIL</v>
      </c>
      <c r="E3201">
        <f>TEST_DATA!E3201</f>
        <v>1732</v>
      </c>
    </row>
    <row r="3202" spans="1:5" x14ac:dyDescent="0.55000000000000004">
      <c r="A3202" t="str">
        <f>TEST_DATA!A3202</f>
        <v>27AAAAA3202Z5</v>
      </c>
      <c r="B3202" t="str">
        <f>TEST_DATA!B3202</f>
        <v>Dec-2017</v>
      </c>
      <c r="C3202">
        <f>TEST_DATA!C3202</f>
        <v>44322</v>
      </c>
      <c r="D3202" t="str">
        <f>TEST_DATA!D3202</f>
        <v>NON-NIL</v>
      </c>
      <c r="E3202">
        <f>TEST_DATA!E3202</f>
        <v>2364</v>
      </c>
    </row>
    <row r="3203" spans="1:5" x14ac:dyDescent="0.55000000000000004">
      <c r="A3203" t="str">
        <f>TEST_DATA!A3203</f>
        <v>27AAAAA3203Z5</v>
      </c>
      <c r="B3203" t="str">
        <f>TEST_DATA!B3203</f>
        <v>May-2020</v>
      </c>
      <c r="C3203">
        <f>TEST_DATA!C3203</f>
        <v>44040</v>
      </c>
      <c r="D3203" t="str">
        <f>TEST_DATA!D3203</f>
        <v>NIL</v>
      </c>
      <c r="E3203">
        <f>TEST_DATA!E3203</f>
        <v>1888</v>
      </c>
    </row>
    <row r="3204" spans="1:5" x14ac:dyDescent="0.55000000000000004">
      <c r="A3204" t="str">
        <f>TEST_DATA!A3204</f>
        <v>27AAAAA3204Z5</v>
      </c>
      <c r="B3204" t="str">
        <f>TEST_DATA!B3204</f>
        <v>Dec-2024</v>
      </c>
      <c r="C3204">
        <f>TEST_DATA!C3204</f>
        <v>43904</v>
      </c>
      <c r="D3204" t="str">
        <f>TEST_DATA!D3204</f>
        <v>NIL</v>
      </c>
      <c r="E3204">
        <f>TEST_DATA!E3204</f>
        <v>985</v>
      </c>
    </row>
    <row r="3205" spans="1:5" x14ac:dyDescent="0.55000000000000004">
      <c r="A3205" t="str">
        <f>TEST_DATA!A3205</f>
        <v>27AAAAA3205Z5</v>
      </c>
      <c r="B3205" t="str">
        <f>TEST_DATA!B3205</f>
        <v>Jul-2017</v>
      </c>
      <c r="C3205">
        <f>TEST_DATA!C3205</f>
        <v>43860</v>
      </c>
      <c r="D3205" t="str">
        <f>TEST_DATA!D3205</f>
        <v>NIL</v>
      </c>
      <c r="E3205">
        <f>TEST_DATA!E3205</f>
        <v>1092</v>
      </c>
    </row>
    <row r="3206" spans="1:5" x14ac:dyDescent="0.55000000000000004">
      <c r="A3206" t="str">
        <f>TEST_DATA!A3206</f>
        <v>27AAAAA3206Z5</v>
      </c>
      <c r="B3206" t="str">
        <f>TEST_DATA!B3206</f>
        <v>Jul-2017</v>
      </c>
      <c r="C3206">
        <f>TEST_DATA!C3206</f>
        <v>43892</v>
      </c>
      <c r="D3206" t="str">
        <f>TEST_DATA!D3206</f>
        <v>NON-NIL</v>
      </c>
      <c r="E3206">
        <f>TEST_DATA!E3206</f>
        <v>1441</v>
      </c>
    </row>
    <row r="3207" spans="1:5" x14ac:dyDescent="0.55000000000000004">
      <c r="A3207" t="str">
        <f>TEST_DATA!A3207</f>
        <v>27AAAAA3207Z5</v>
      </c>
      <c r="B3207" t="str">
        <f>TEST_DATA!B3207</f>
        <v>Mar-2018</v>
      </c>
      <c r="C3207">
        <f>TEST_DATA!C3207</f>
        <v>43159</v>
      </c>
      <c r="D3207" t="str">
        <f>TEST_DATA!D3207</f>
        <v>NIL</v>
      </c>
      <c r="E3207">
        <f>TEST_DATA!E3207</f>
        <v>1451</v>
      </c>
    </row>
    <row r="3208" spans="1:5" x14ac:dyDescent="0.55000000000000004">
      <c r="A3208" t="str">
        <f>TEST_DATA!A3208</f>
        <v>27AAAAA3208Z5</v>
      </c>
      <c r="B3208" t="str">
        <f>TEST_DATA!B3208</f>
        <v>Aug-2018</v>
      </c>
      <c r="C3208">
        <f>TEST_DATA!C3208</f>
        <v>43351</v>
      </c>
      <c r="D3208" t="str">
        <f>TEST_DATA!D3208</f>
        <v>NIL</v>
      </c>
      <c r="E3208">
        <f>TEST_DATA!E3208</f>
        <v>1625</v>
      </c>
    </row>
    <row r="3209" spans="1:5" x14ac:dyDescent="0.55000000000000004">
      <c r="A3209" t="str">
        <f>TEST_DATA!A3209</f>
        <v>27AAAAA3209Z5</v>
      </c>
      <c r="B3209" t="str">
        <f>TEST_DATA!B3209</f>
        <v>Jun-2019</v>
      </c>
      <c r="C3209">
        <f>TEST_DATA!C3209</f>
        <v>45230</v>
      </c>
      <c r="D3209" t="str">
        <f>TEST_DATA!D3209</f>
        <v>NON-NIL</v>
      </c>
      <c r="E3209">
        <f>TEST_DATA!E3209</f>
        <v>217</v>
      </c>
    </row>
    <row r="3210" spans="1:5" x14ac:dyDescent="0.55000000000000004">
      <c r="A3210" t="str">
        <f>TEST_DATA!A3210</f>
        <v>27AAAAA3210Z5</v>
      </c>
      <c r="B3210" t="str">
        <f>TEST_DATA!B3210</f>
        <v>Sep-2018</v>
      </c>
      <c r="C3210">
        <f>TEST_DATA!C3210</f>
        <v>43475</v>
      </c>
      <c r="D3210" t="str">
        <f>TEST_DATA!D3210</f>
        <v>NON-NIL</v>
      </c>
      <c r="E3210">
        <f>TEST_DATA!E3210</f>
        <v>400</v>
      </c>
    </row>
    <row r="3211" spans="1:5" x14ac:dyDescent="0.55000000000000004">
      <c r="A3211" t="str">
        <f>TEST_DATA!A3211</f>
        <v>27AAAAA3211Z5</v>
      </c>
      <c r="B3211" t="str">
        <f>TEST_DATA!B3211</f>
        <v>Aug-2017</v>
      </c>
      <c r="C3211">
        <f>TEST_DATA!C3211</f>
        <v>44245</v>
      </c>
      <c r="D3211" t="str">
        <f>TEST_DATA!D3211</f>
        <v>NON-NIL</v>
      </c>
      <c r="E3211">
        <f>TEST_DATA!E3211</f>
        <v>2998</v>
      </c>
    </row>
    <row r="3212" spans="1:5" x14ac:dyDescent="0.55000000000000004">
      <c r="A3212" t="str">
        <f>TEST_DATA!A3212</f>
        <v>27AAAAA3212Z5</v>
      </c>
      <c r="B3212" t="str">
        <f>TEST_DATA!B3212</f>
        <v>Aug-2018</v>
      </c>
      <c r="C3212">
        <f>TEST_DATA!C3212</f>
        <v>43314</v>
      </c>
      <c r="D3212" t="str">
        <f>TEST_DATA!D3212</f>
        <v>NON-NIL</v>
      </c>
      <c r="E3212">
        <f>TEST_DATA!E3212</f>
        <v>775</v>
      </c>
    </row>
    <row r="3213" spans="1:5" x14ac:dyDescent="0.55000000000000004">
      <c r="A3213" t="str">
        <f>TEST_DATA!A3213</f>
        <v>27AAAAA3213Z5</v>
      </c>
      <c r="B3213" t="str">
        <f>TEST_DATA!B3213</f>
        <v>Jul-2018</v>
      </c>
      <c r="C3213">
        <f>TEST_DATA!C3213</f>
        <v>43278</v>
      </c>
      <c r="D3213" t="str">
        <f>TEST_DATA!D3213</f>
        <v>NON-NIL</v>
      </c>
      <c r="E3213">
        <f>TEST_DATA!E3213</f>
        <v>2169</v>
      </c>
    </row>
    <row r="3214" spans="1:5" x14ac:dyDescent="0.55000000000000004">
      <c r="A3214" t="str">
        <f>TEST_DATA!A3214</f>
        <v>27AAAAA3214Z5</v>
      </c>
      <c r="B3214" t="str">
        <f>TEST_DATA!B3214</f>
        <v>Apr-2020</v>
      </c>
      <c r="C3214">
        <f>TEST_DATA!C3214</f>
        <v>44841</v>
      </c>
      <c r="D3214" t="str">
        <f>TEST_DATA!D3214</f>
        <v>NON-NIL</v>
      </c>
      <c r="E3214">
        <f>TEST_DATA!E3214</f>
        <v>447</v>
      </c>
    </row>
    <row r="3215" spans="1:5" x14ac:dyDescent="0.55000000000000004">
      <c r="A3215" t="str">
        <f>TEST_DATA!A3215</f>
        <v>27AAAAA3215Z5</v>
      </c>
      <c r="B3215" t="str">
        <f>TEST_DATA!B3215</f>
        <v>Jun-2020</v>
      </c>
      <c r="C3215">
        <f>TEST_DATA!C3215</f>
        <v>43933</v>
      </c>
      <c r="D3215" t="str">
        <f>TEST_DATA!D3215</f>
        <v>NIL</v>
      </c>
      <c r="E3215">
        <f>TEST_DATA!E3215</f>
        <v>454</v>
      </c>
    </row>
    <row r="3216" spans="1:5" x14ac:dyDescent="0.55000000000000004">
      <c r="A3216" t="str">
        <f>TEST_DATA!A3216</f>
        <v>27AAAAA3216Z5</v>
      </c>
      <c r="B3216" t="str">
        <f>TEST_DATA!B3216</f>
        <v>Feb-2018</v>
      </c>
      <c r="C3216">
        <f>TEST_DATA!C3216</f>
        <v>43152</v>
      </c>
      <c r="D3216" t="str">
        <f>TEST_DATA!D3216</f>
        <v>NIL</v>
      </c>
      <c r="E3216">
        <f>TEST_DATA!E3216</f>
        <v>146</v>
      </c>
    </row>
    <row r="3217" spans="1:5" x14ac:dyDescent="0.55000000000000004">
      <c r="A3217" t="str">
        <f>TEST_DATA!A3217</f>
        <v>27AAAAA3217Z5</v>
      </c>
      <c r="B3217" t="str">
        <f>TEST_DATA!B3217</f>
        <v>Mar-2020</v>
      </c>
      <c r="C3217">
        <f>TEST_DATA!C3217</f>
        <v>44376</v>
      </c>
      <c r="D3217" t="str">
        <f>TEST_DATA!D3217</f>
        <v>NIL</v>
      </c>
      <c r="E3217">
        <f>TEST_DATA!E3217</f>
        <v>269</v>
      </c>
    </row>
    <row r="3218" spans="1:5" x14ac:dyDescent="0.55000000000000004">
      <c r="A3218" t="str">
        <f>TEST_DATA!A3218</f>
        <v>27AAAAA3218Z5</v>
      </c>
      <c r="B3218" t="str">
        <f>TEST_DATA!B3218</f>
        <v>Dec-2019</v>
      </c>
      <c r="C3218">
        <f>TEST_DATA!C3218</f>
        <v>43879</v>
      </c>
      <c r="D3218" t="str">
        <f>TEST_DATA!D3218</f>
        <v>NON-NIL</v>
      </c>
      <c r="E3218">
        <f>TEST_DATA!E3218</f>
        <v>927</v>
      </c>
    </row>
    <row r="3219" spans="1:5" x14ac:dyDescent="0.55000000000000004">
      <c r="A3219" t="str">
        <f>TEST_DATA!A3219</f>
        <v>27AAAAA3219Z5</v>
      </c>
      <c r="B3219" t="str">
        <f>TEST_DATA!B3219</f>
        <v>Dec-2024</v>
      </c>
      <c r="C3219">
        <f>TEST_DATA!C3219</f>
        <v>45123</v>
      </c>
      <c r="D3219" t="str">
        <f>TEST_DATA!D3219</f>
        <v>NON-NIL</v>
      </c>
      <c r="E3219">
        <f>TEST_DATA!E3219</f>
        <v>1609</v>
      </c>
    </row>
    <row r="3220" spans="1:5" x14ac:dyDescent="0.55000000000000004">
      <c r="A3220" t="str">
        <f>TEST_DATA!A3220</f>
        <v>27AAAAA3220Z5</v>
      </c>
      <c r="B3220" t="str">
        <f>TEST_DATA!B3220</f>
        <v>Oct-2017</v>
      </c>
      <c r="C3220">
        <f>TEST_DATA!C3220</f>
        <v>43367</v>
      </c>
      <c r="D3220" t="str">
        <f>TEST_DATA!D3220</f>
        <v>NON-NIL</v>
      </c>
      <c r="E3220">
        <f>TEST_DATA!E3220</f>
        <v>2028</v>
      </c>
    </row>
    <row r="3221" spans="1:5" x14ac:dyDescent="0.55000000000000004">
      <c r="A3221" t="str">
        <f>TEST_DATA!A3221</f>
        <v>27AAAAA3221Z5</v>
      </c>
      <c r="B3221" t="str">
        <f>TEST_DATA!B3221</f>
        <v>Jan-2018</v>
      </c>
      <c r="C3221">
        <f>TEST_DATA!C3221</f>
        <v>43267</v>
      </c>
      <c r="D3221" t="str">
        <f>TEST_DATA!D3221</f>
        <v>NIL</v>
      </c>
      <c r="E3221">
        <f>TEST_DATA!E3221</f>
        <v>1423</v>
      </c>
    </row>
    <row r="3222" spans="1:5" x14ac:dyDescent="0.55000000000000004">
      <c r="A3222" t="str">
        <f>TEST_DATA!A3222</f>
        <v>27AAAAA3222Z5</v>
      </c>
      <c r="B3222" t="str">
        <f>TEST_DATA!B3222</f>
        <v>May-2020</v>
      </c>
      <c r="C3222">
        <f>TEST_DATA!C3222</f>
        <v>44420</v>
      </c>
      <c r="D3222" t="str">
        <f>TEST_DATA!D3222</f>
        <v>NON-NIL</v>
      </c>
      <c r="E3222">
        <f>TEST_DATA!E3222</f>
        <v>12</v>
      </c>
    </row>
    <row r="3223" spans="1:5" x14ac:dyDescent="0.55000000000000004">
      <c r="A3223" t="str">
        <f>TEST_DATA!A3223</f>
        <v>27AAAAA3223Z5</v>
      </c>
      <c r="B3223" t="str">
        <f>TEST_DATA!B3223</f>
        <v>Oct-2017</v>
      </c>
      <c r="C3223">
        <f>TEST_DATA!C3223</f>
        <v>43296</v>
      </c>
      <c r="D3223" t="str">
        <f>TEST_DATA!D3223</f>
        <v>NON-NIL</v>
      </c>
      <c r="E3223">
        <f>TEST_DATA!E3223</f>
        <v>1250</v>
      </c>
    </row>
    <row r="3224" spans="1:5" x14ac:dyDescent="0.55000000000000004">
      <c r="A3224" t="str">
        <f>TEST_DATA!A3224</f>
        <v>27AAAAA3224Z5</v>
      </c>
      <c r="B3224" t="str">
        <f>TEST_DATA!B3224</f>
        <v>Mar-2023</v>
      </c>
      <c r="C3224">
        <f>TEST_DATA!C3224</f>
        <v>44443</v>
      </c>
      <c r="D3224" t="str">
        <f>TEST_DATA!D3224</f>
        <v>NIL</v>
      </c>
      <c r="E3224">
        <f>TEST_DATA!E3224</f>
        <v>1290</v>
      </c>
    </row>
    <row r="3225" spans="1:5" x14ac:dyDescent="0.55000000000000004">
      <c r="A3225" t="str">
        <f>TEST_DATA!A3225</f>
        <v>27AAAAA3225Z5</v>
      </c>
      <c r="B3225" t="str">
        <f>TEST_DATA!B3225</f>
        <v>Jun-2020</v>
      </c>
      <c r="C3225">
        <f>TEST_DATA!C3225</f>
        <v>43973</v>
      </c>
      <c r="D3225" t="str">
        <f>TEST_DATA!D3225</f>
        <v>NIL</v>
      </c>
      <c r="E3225">
        <f>TEST_DATA!E3225</f>
        <v>767</v>
      </c>
    </row>
    <row r="3226" spans="1:5" x14ac:dyDescent="0.55000000000000004">
      <c r="A3226" t="str">
        <f>TEST_DATA!A3226</f>
        <v>27AAAAA3226Z5</v>
      </c>
      <c r="B3226" t="str">
        <f>TEST_DATA!B3226</f>
        <v>May-2018</v>
      </c>
      <c r="C3226">
        <f>TEST_DATA!C3226</f>
        <v>43849</v>
      </c>
      <c r="D3226" t="str">
        <f>TEST_DATA!D3226</f>
        <v>NIL</v>
      </c>
      <c r="E3226">
        <f>TEST_DATA!E3226</f>
        <v>52</v>
      </c>
    </row>
    <row r="3227" spans="1:5" x14ac:dyDescent="0.55000000000000004">
      <c r="A3227" t="str">
        <f>TEST_DATA!A3227</f>
        <v>27AAAAA3227Z5</v>
      </c>
      <c r="B3227" t="str">
        <f>TEST_DATA!B3227</f>
        <v>Jun-2020</v>
      </c>
      <c r="C3227">
        <f>TEST_DATA!C3227</f>
        <v>44802</v>
      </c>
      <c r="D3227" t="str">
        <f>TEST_DATA!D3227</f>
        <v>NON-NIL</v>
      </c>
      <c r="E3227">
        <f>TEST_DATA!E3227</f>
        <v>1368</v>
      </c>
    </row>
    <row r="3228" spans="1:5" x14ac:dyDescent="0.55000000000000004">
      <c r="A3228" t="str">
        <f>TEST_DATA!A3228</f>
        <v>27AAAAA3228Z5</v>
      </c>
      <c r="B3228" t="str">
        <f>TEST_DATA!B3228</f>
        <v>Jul-2017</v>
      </c>
      <c r="C3228">
        <f>TEST_DATA!C3228</f>
        <v>43280</v>
      </c>
      <c r="D3228" t="str">
        <f>TEST_DATA!D3228</f>
        <v>NON-NIL</v>
      </c>
      <c r="E3228">
        <f>TEST_DATA!E3228</f>
        <v>315</v>
      </c>
    </row>
    <row r="3229" spans="1:5" x14ac:dyDescent="0.55000000000000004">
      <c r="A3229" t="str">
        <f>TEST_DATA!A3229</f>
        <v>27AAAAA3229Z5</v>
      </c>
      <c r="B3229" t="str">
        <f>TEST_DATA!B3229</f>
        <v>Dec-2017</v>
      </c>
      <c r="C3229">
        <f>TEST_DATA!C3229</f>
        <v>44308</v>
      </c>
      <c r="D3229" t="str">
        <f>TEST_DATA!D3229</f>
        <v>NIL</v>
      </c>
      <c r="E3229">
        <f>TEST_DATA!E3229</f>
        <v>2433</v>
      </c>
    </row>
    <row r="3230" spans="1:5" x14ac:dyDescent="0.55000000000000004">
      <c r="A3230" t="str">
        <f>TEST_DATA!A3230</f>
        <v>27AAAAA3230Z5</v>
      </c>
      <c r="B3230" t="str">
        <f>TEST_DATA!B3230</f>
        <v>Jun-2018</v>
      </c>
      <c r="C3230">
        <f>TEST_DATA!C3230</f>
        <v>43887</v>
      </c>
      <c r="D3230" t="str">
        <f>TEST_DATA!D3230</f>
        <v>NIL</v>
      </c>
      <c r="E3230">
        <f>TEST_DATA!E3230</f>
        <v>2000</v>
      </c>
    </row>
    <row r="3231" spans="1:5" x14ac:dyDescent="0.55000000000000004">
      <c r="A3231" t="str">
        <f>TEST_DATA!A3231</f>
        <v>27AAAAA3231Z5</v>
      </c>
      <c r="B3231" t="str">
        <f>TEST_DATA!B3231</f>
        <v>Mar-2023</v>
      </c>
      <c r="C3231">
        <f>TEST_DATA!C3231</f>
        <v>44479</v>
      </c>
      <c r="D3231" t="str">
        <f>TEST_DATA!D3231</f>
        <v>NON-NIL</v>
      </c>
      <c r="E3231">
        <f>TEST_DATA!E3231</f>
        <v>448</v>
      </c>
    </row>
    <row r="3232" spans="1:5" x14ac:dyDescent="0.55000000000000004">
      <c r="A3232" t="str">
        <f>TEST_DATA!A3232</f>
        <v>27AAAAA3232Z5</v>
      </c>
      <c r="B3232" t="str">
        <f>TEST_DATA!B3232</f>
        <v>Aug-2017</v>
      </c>
      <c r="C3232">
        <f>TEST_DATA!C3232</f>
        <v>42952</v>
      </c>
      <c r="D3232" t="str">
        <f>TEST_DATA!D3232</f>
        <v>NON-NIL</v>
      </c>
      <c r="E3232">
        <f>TEST_DATA!E3232</f>
        <v>935</v>
      </c>
    </row>
    <row r="3233" spans="1:5" x14ac:dyDescent="0.55000000000000004">
      <c r="A3233" t="str">
        <f>TEST_DATA!A3233</f>
        <v>27AAAAA3233Z5</v>
      </c>
      <c r="B3233" t="str">
        <f>TEST_DATA!B3233</f>
        <v>Jun-2019</v>
      </c>
      <c r="C3233">
        <f>TEST_DATA!C3233</f>
        <v>45526</v>
      </c>
      <c r="D3233" t="str">
        <f>TEST_DATA!D3233</f>
        <v>NIL</v>
      </c>
      <c r="E3233">
        <f>TEST_DATA!E3233</f>
        <v>600</v>
      </c>
    </row>
    <row r="3234" spans="1:5" x14ac:dyDescent="0.55000000000000004">
      <c r="A3234" t="str">
        <f>TEST_DATA!A3234</f>
        <v>27AAAAA3234Z5</v>
      </c>
      <c r="B3234" t="str">
        <f>TEST_DATA!B3234</f>
        <v>Mar-2021</v>
      </c>
      <c r="C3234">
        <f>TEST_DATA!C3234</f>
        <v>43850</v>
      </c>
      <c r="D3234" t="str">
        <f>TEST_DATA!D3234</f>
        <v>NIL</v>
      </c>
      <c r="E3234">
        <f>TEST_DATA!E3234</f>
        <v>1247</v>
      </c>
    </row>
    <row r="3235" spans="1:5" x14ac:dyDescent="0.55000000000000004">
      <c r="A3235" t="str">
        <f>TEST_DATA!A3235</f>
        <v>27AAAAA3235Z5</v>
      </c>
      <c r="B3235" t="str">
        <f>TEST_DATA!B3235</f>
        <v>Apr-2021</v>
      </c>
      <c r="C3235">
        <f>TEST_DATA!C3235</f>
        <v>44840</v>
      </c>
      <c r="D3235" t="str">
        <f>TEST_DATA!D3235</f>
        <v>NON-NIL</v>
      </c>
      <c r="E3235">
        <f>TEST_DATA!E3235</f>
        <v>2009</v>
      </c>
    </row>
    <row r="3236" spans="1:5" x14ac:dyDescent="0.55000000000000004">
      <c r="A3236" t="str">
        <f>TEST_DATA!A3236</f>
        <v>27AAAAA3236Z5</v>
      </c>
      <c r="B3236" t="str">
        <f>TEST_DATA!B3236</f>
        <v>Jan-2021</v>
      </c>
      <c r="C3236">
        <f>TEST_DATA!C3236</f>
        <v>44902</v>
      </c>
      <c r="D3236" t="str">
        <f>TEST_DATA!D3236</f>
        <v>NON-NIL</v>
      </c>
      <c r="E3236">
        <f>TEST_DATA!E3236</f>
        <v>2717</v>
      </c>
    </row>
    <row r="3237" spans="1:5" x14ac:dyDescent="0.55000000000000004">
      <c r="A3237" t="str">
        <f>TEST_DATA!A3237</f>
        <v>27AAAAA3237Z5</v>
      </c>
      <c r="B3237" t="str">
        <f>TEST_DATA!B3237</f>
        <v>Jan-2019</v>
      </c>
      <c r="C3237">
        <f>TEST_DATA!C3237</f>
        <v>44504</v>
      </c>
      <c r="D3237" t="str">
        <f>TEST_DATA!D3237</f>
        <v>NON-NIL</v>
      </c>
      <c r="E3237">
        <f>TEST_DATA!E3237</f>
        <v>1879</v>
      </c>
    </row>
    <row r="3238" spans="1:5" x14ac:dyDescent="0.55000000000000004">
      <c r="A3238" t="str">
        <f>TEST_DATA!A3238</f>
        <v>27AAAAA3238Z5</v>
      </c>
      <c r="B3238" t="str">
        <f>TEST_DATA!B3238</f>
        <v>Jul-2017</v>
      </c>
      <c r="C3238">
        <f>TEST_DATA!C3238</f>
        <v>43639</v>
      </c>
      <c r="D3238" t="str">
        <f>TEST_DATA!D3238</f>
        <v>NON-NIL</v>
      </c>
      <c r="E3238">
        <f>TEST_DATA!E3238</f>
        <v>2908</v>
      </c>
    </row>
    <row r="3239" spans="1:5" x14ac:dyDescent="0.55000000000000004">
      <c r="A3239" t="str">
        <f>TEST_DATA!A3239</f>
        <v>27AAAAA3239Z5</v>
      </c>
      <c r="B3239" t="str">
        <f>TEST_DATA!B3239</f>
        <v>May-2018</v>
      </c>
      <c r="C3239">
        <f>TEST_DATA!C3239</f>
        <v>43977</v>
      </c>
      <c r="D3239" t="str">
        <f>TEST_DATA!D3239</f>
        <v>NON-NIL</v>
      </c>
      <c r="E3239">
        <f>TEST_DATA!E3239</f>
        <v>461</v>
      </c>
    </row>
    <row r="3240" spans="1:5" x14ac:dyDescent="0.55000000000000004">
      <c r="A3240" t="str">
        <f>TEST_DATA!A3240</f>
        <v>27AAAAA3240Z5</v>
      </c>
      <c r="B3240" t="str">
        <f>TEST_DATA!B3240</f>
        <v>Mar-2018</v>
      </c>
      <c r="C3240">
        <f>TEST_DATA!C3240</f>
        <v>44321</v>
      </c>
      <c r="D3240" t="str">
        <f>TEST_DATA!D3240</f>
        <v>NIL</v>
      </c>
      <c r="E3240">
        <f>TEST_DATA!E3240</f>
        <v>605</v>
      </c>
    </row>
    <row r="3241" spans="1:5" x14ac:dyDescent="0.55000000000000004">
      <c r="A3241" t="str">
        <f>TEST_DATA!A3241</f>
        <v>27AAAAA3241Z5</v>
      </c>
      <c r="B3241" t="str">
        <f>TEST_DATA!B3241</f>
        <v>Aug-2018</v>
      </c>
      <c r="C3241">
        <f>TEST_DATA!C3241</f>
        <v>43368</v>
      </c>
      <c r="D3241" t="str">
        <f>TEST_DATA!D3241</f>
        <v>NIL</v>
      </c>
      <c r="E3241">
        <f>TEST_DATA!E3241</f>
        <v>1463</v>
      </c>
    </row>
    <row r="3242" spans="1:5" x14ac:dyDescent="0.55000000000000004">
      <c r="A3242" t="str">
        <f>TEST_DATA!A3242</f>
        <v>27AAAAA3242Z5</v>
      </c>
      <c r="B3242" t="str">
        <f>TEST_DATA!B3242</f>
        <v>Jan-2019</v>
      </c>
      <c r="C3242">
        <f>TEST_DATA!C3242</f>
        <v>43592</v>
      </c>
      <c r="D3242" t="str">
        <f>TEST_DATA!D3242</f>
        <v>NIL</v>
      </c>
      <c r="E3242">
        <f>TEST_DATA!E3242</f>
        <v>2365</v>
      </c>
    </row>
    <row r="3243" spans="1:5" x14ac:dyDescent="0.55000000000000004">
      <c r="A3243" t="str">
        <f>TEST_DATA!A3243</f>
        <v>27AAAAA3243Z5</v>
      </c>
      <c r="B3243" t="str">
        <f>TEST_DATA!B3243</f>
        <v>Jan-2021</v>
      </c>
      <c r="C3243">
        <f>TEST_DATA!C3243</f>
        <v>45230</v>
      </c>
      <c r="D3243" t="str">
        <f>TEST_DATA!D3243</f>
        <v>NON-NIL</v>
      </c>
      <c r="E3243">
        <f>TEST_DATA!E3243</f>
        <v>845</v>
      </c>
    </row>
    <row r="3244" spans="1:5" x14ac:dyDescent="0.55000000000000004">
      <c r="A3244" t="str">
        <f>TEST_DATA!A3244</f>
        <v>27AAAAA3244Z5</v>
      </c>
      <c r="B3244" t="str">
        <f>TEST_DATA!B3244</f>
        <v>Jan-2021</v>
      </c>
      <c r="C3244">
        <f>TEST_DATA!C3244</f>
        <v>43831</v>
      </c>
      <c r="D3244" t="str">
        <f>TEST_DATA!D3244</f>
        <v>NIL</v>
      </c>
      <c r="E3244">
        <f>TEST_DATA!E3244</f>
        <v>1547</v>
      </c>
    </row>
    <row r="3245" spans="1:5" x14ac:dyDescent="0.55000000000000004">
      <c r="A3245" t="str">
        <f>TEST_DATA!A3245</f>
        <v>27AAAAA3245Z5</v>
      </c>
      <c r="B3245" t="str">
        <f>TEST_DATA!B3245</f>
        <v>May-2020</v>
      </c>
      <c r="C3245">
        <f>TEST_DATA!C3245</f>
        <v>44052</v>
      </c>
      <c r="D3245" t="str">
        <f>TEST_DATA!D3245</f>
        <v>NON-NIL</v>
      </c>
      <c r="E3245">
        <f>TEST_DATA!E3245</f>
        <v>2567</v>
      </c>
    </row>
    <row r="3246" spans="1:5" x14ac:dyDescent="0.55000000000000004">
      <c r="A3246" t="str">
        <f>TEST_DATA!A3246</f>
        <v>27AAAAA3246Z5</v>
      </c>
      <c r="B3246" t="str">
        <f>TEST_DATA!B3246</f>
        <v>Jun-2020</v>
      </c>
      <c r="C3246">
        <f>TEST_DATA!C3246</f>
        <v>44751</v>
      </c>
      <c r="D3246" t="str">
        <f>TEST_DATA!D3246</f>
        <v>NIL</v>
      </c>
      <c r="E3246">
        <f>TEST_DATA!E3246</f>
        <v>1086</v>
      </c>
    </row>
    <row r="3247" spans="1:5" x14ac:dyDescent="0.55000000000000004">
      <c r="A3247" t="str">
        <f>TEST_DATA!A3247</f>
        <v>27AAAAA3247Z5</v>
      </c>
      <c r="B3247" t="str">
        <f>TEST_DATA!B3247</f>
        <v>Jun-2020</v>
      </c>
      <c r="C3247">
        <f>TEST_DATA!C3247</f>
        <v>44545</v>
      </c>
      <c r="D3247" t="str">
        <f>TEST_DATA!D3247</f>
        <v>NON-NIL</v>
      </c>
      <c r="E3247">
        <f>TEST_DATA!E3247</f>
        <v>1601</v>
      </c>
    </row>
    <row r="3248" spans="1:5" x14ac:dyDescent="0.55000000000000004">
      <c r="A3248" t="str">
        <f>TEST_DATA!A3248</f>
        <v>27AAAAA3248Z5</v>
      </c>
      <c r="B3248" t="str">
        <f>TEST_DATA!B3248</f>
        <v>Mar-2020</v>
      </c>
      <c r="C3248">
        <f>TEST_DATA!C3248</f>
        <v>44685</v>
      </c>
      <c r="D3248" t="str">
        <f>TEST_DATA!D3248</f>
        <v>NON-NIL</v>
      </c>
      <c r="E3248">
        <f>TEST_DATA!E3248</f>
        <v>1266</v>
      </c>
    </row>
    <row r="3249" spans="1:5" x14ac:dyDescent="0.55000000000000004">
      <c r="A3249" t="str">
        <f>TEST_DATA!A3249</f>
        <v>27AAAAA3249Z5</v>
      </c>
      <c r="B3249" t="str">
        <f>TEST_DATA!B3249</f>
        <v>Jan-2018</v>
      </c>
      <c r="C3249">
        <f>TEST_DATA!C3249</f>
        <v>43001</v>
      </c>
      <c r="D3249" t="str">
        <f>TEST_DATA!D3249</f>
        <v>NON-NIL</v>
      </c>
      <c r="E3249">
        <f>TEST_DATA!E3249</f>
        <v>2508</v>
      </c>
    </row>
    <row r="3250" spans="1:5" x14ac:dyDescent="0.55000000000000004">
      <c r="A3250" t="str">
        <f>TEST_DATA!A3250</f>
        <v>27AAAAA3250Z5</v>
      </c>
      <c r="B3250" t="str">
        <f>TEST_DATA!B3250</f>
        <v>Oct-2017</v>
      </c>
      <c r="C3250">
        <f>TEST_DATA!C3250</f>
        <v>43804</v>
      </c>
      <c r="D3250" t="str">
        <f>TEST_DATA!D3250</f>
        <v>NON-NIL</v>
      </c>
      <c r="E3250">
        <f>TEST_DATA!E3250</f>
        <v>2321</v>
      </c>
    </row>
    <row r="3251" spans="1:5" x14ac:dyDescent="0.55000000000000004">
      <c r="A3251" t="str">
        <f>TEST_DATA!A3251</f>
        <v>27AAAAA3251Z5</v>
      </c>
      <c r="B3251" t="str">
        <f>TEST_DATA!B3251</f>
        <v>Apr-2021</v>
      </c>
      <c r="C3251">
        <f>TEST_DATA!C3251</f>
        <v>44887</v>
      </c>
      <c r="D3251" t="str">
        <f>TEST_DATA!D3251</f>
        <v>NON-NIL</v>
      </c>
      <c r="E3251">
        <f>TEST_DATA!E3251</f>
        <v>451</v>
      </c>
    </row>
    <row r="3252" spans="1:5" x14ac:dyDescent="0.55000000000000004">
      <c r="A3252" t="str">
        <f>TEST_DATA!A3252</f>
        <v>27AAAAA3252Z5</v>
      </c>
      <c r="B3252" t="str">
        <f>TEST_DATA!B3252</f>
        <v>Jul-2017</v>
      </c>
      <c r="C3252">
        <f>TEST_DATA!C3252</f>
        <v>43938</v>
      </c>
      <c r="D3252" t="str">
        <f>TEST_DATA!D3252</f>
        <v>NIL</v>
      </c>
      <c r="E3252">
        <f>TEST_DATA!E3252</f>
        <v>1910</v>
      </c>
    </row>
    <row r="3253" spans="1:5" x14ac:dyDescent="0.55000000000000004">
      <c r="A3253" t="str">
        <f>TEST_DATA!A3253</f>
        <v>27AAAAA3253Z5</v>
      </c>
      <c r="B3253" t="str">
        <f>TEST_DATA!B3253</f>
        <v>Jun-2020</v>
      </c>
      <c r="C3253">
        <f>TEST_DATA!C3253</f>
        <v>44138</v>
      </c>
      <c r="D3253" t="str">
        <f>TEST_DATA!D3253</f>
        <v>NON-NIL</v>
      </c>
      <c r="E3253">
        <f>TEST_DATA!E3253</f>
        <v>2555</v>
      </c>
    </row>
    <row r="3254" spans="1:5" x14ac:dyDescent="0.55000000000000004">
      <c r="A3254" t="str">
        <f>TEST_DATA!A3254</f>
        <v>27AAAAA3254Z5</v>
      </c>
      <c r="B3254" t="str">
        <f>TEST_DATA!B3254</f>
        <v>Dec-2019</v>
      </c>
      <c r="C3254">
        <f>TEST_DATA!C3254</f>
        <v>44132</v>
      </c>
      <c r="D3254" t="str">
        <f>TEST_DATA!D3254</f>
        <v>NON-NIL</v>
      </c>
      <c r="E3254">
        <f>TEST_DATA!E3254</f>
        <v>1994</v>
      </c>
    </row>
    <row r="3255" spans="1:5" x14ac:dyDescent="0.55000000000000004">
      <c r="A3255" t="str">
        <f>TEST_DATA!A3255</f>
        <v>27AAAAA3255Z5</v>
      </c>
      <c r="B3255" t="str">
        <f>TEST_DATA!B3255</f>
        <v>Apr-2018</v>
      </c>
      <c r="C3255">
        <f>TEST_DATA!C3255</f>
        <v>43049</v>
      </c>
      <c r="D3255" t="str">
        <f>TEST_DATA!D3255</f>
        <v>NON-NIL</v>
      </c>
      <c r="E3255">
        <f>TEST_DATA!E3255</f>
        <v>63</v>
      </c>
    </row>
    <row r="3256" spans="1:5" x14ac:dyDescent="0.55000000000000004">
      <c r="A3256" t="str">
        <f>TEST_DATA!A3256</f>
        <v>27AAAAA3256Z5</v>
      </c>
      <c r="B3256" t="str">
        <f>TEST_DATA!B3256</f>
        <v>Sep-2018</v>
      </c>
      <c r="C3256">
        <f>TEST_DATA!C3256</f>
        <v>43000</v>
      </c>
      <c r="D3256" t="str">
        <f>TEST_DATA!D3256</f>
        <v>NIL</v>
      </c>
      <c r="E3256">
        <f>TEST_DATA!E3256</f>
        <v>1159</v>
      </c>
    </row>
    <row r="3257" spans="1:5" x14ac:dyDescent="0.55000000000000004">
      <c r="A3257" t="str">
        <f>TEST_DATA!A3257</f>
        <v>27AAAAA3257Z5</v>
      </c>
      <c r="B3257" t="str">
        <f>TEST_DATA!B3257</f>
        <v>Dec-2022</v>
      </c>
      <c r="C3257">
        <f>TEST_DATA!C3257</f>
        <v>43971</v>
      </c>
      <c r="D3257" t="str">
        <f>TEST_DATA!D3257</f>
        <v>NIL</v>
      </c>
      <c r="E3257">
        <f>TEST_DATA!E3257</f>
        <v>2000</v>
      </c>
    </row>
    <row r="3258" spans="1:5" x14ac:dyDescent="0.55000000000000004">
      <c r="A3258" t="str">
        <f>TEST_DATA!A3258</f>
        <v>27AAAAA3258Z5</v>
      </c>
      <c r="B3258" t="str">
        <f>TEST_DATA!B3258</f>
        <v>Apr-2018</v>
      </c>
      <c r="C3258">
        <f>TEST_DATA!C3258</f>
        <v>42927</v>
      </c>
      <c r="D3258" t="str">
        <f>TEST_DATA!D3258</f>
        <v>NON-NIL</v>
      </c>
      <c r="E3258">
        <f>TEST_DATA!E3258</f>
        <v>1442</v>
      </c>
    </row>
    <row r="3259" spans="1:5" x14ac:dyDescent="0.55000000000000004">
      <c r="A3259" t="str">
        <f>TEST_DATA!A3259</f>
        <v>27AAAAA3259Z5</v>
      </c>
      <c r="B3259" t="str">
        <f>TEST_DATA!B3259</f>
        <v>Jun-2020</v>
      </c>
      <c r="C3259">
        <f>TEST_DATA!C3259</f>
        <v>43832</v>
      </c>
      <c r="D3259" t="str">
        <f>TEST_DATA!D3259</f>
        <v>NIL</v>
      </c>
      <c r="E3259">
        <f>TEST_DATA!E3259</f>
        <v>1029</v>
      </c>
    </row>
    <row r="3260" spans="1:5" x14ac:dyDescent="0.55000000000000004">
      <c r="A3260" t="str">
        <f>TEST_DATA!A3260</f>
        <v>27AAAAA3260Z5</v>
      </c>
      <c r="B3260" t="str">
        <f>TEST_DATA!B3260</f>
        <v>Nov-2017</v>
      </c>
      <c r="C3260">
        <f>TEST_DATA!C3260</f>
        <v>43634</v>
      </c>
      <c r="D3260" t="str">
        <f>TEST_DATA!D3260</f>
        <v>NON-NIL</v>
      </c>
      <c r="E3260">
        <f>TEST_DATA!E3260</f>
        <v>2056</v>
      </c>
    </row>
    <row r="3261" spans="1:5" x14ac:dyDescent="0.55000000000000004">
      <c r="A3261" t="str">
        <f>TEST_DATA!A3261</f>
        <v>27AAAAA3261Z5</v>
      </c>
      <c r="B3261" t="str">
        <f>TEST_DATA!B3261</f>
        <v>Jun-2020</v>
      </c>
      <c r="C3261">
        <f>TEST_DATA!C3261</f>
        <v>44148</v>
      </c>
      <c r="D3261" t="str">
        <f>TEST_DATA!D3261</f>
        <v>NIL</v>
      </c>
      <c r="E3261">
        <f>TEST_DATA!E3261</f>
        <v>2921</v>
      </c>
    </row>
    <row r="3262" spans="1:5" x14ac:dyDescent="0.55000000000000004">
      <c r="A3262" t="str">
        <f>TEST_DATA!A3262</f>
        <v>27AAAAA3262Z5</v>
      </c>
      <c r="B3262" t="str">
        <f>TEST_DATA!B3262</f>
        <v>Mar-2018</v>
      </c>
      <c r="C3262">
        <f>TEST_DATA!C3262</f>
        <v>43209</v>
      </c>
      <c r="D3262" t="str">
        <f>TEST_DATA!D3262</f>
        <v>NIL</v>
      </c>
      <c r="E3262">
        <f>TEST_DATA!E3262</f>
        <v>1769</v>
      </c>
    </row>
    <row r="3263" spans="1:5" x14ac:dyDescent="0.55000000000000004">
      <c r="A3263" t="str">
        <f>TEST_DATA!A3263</f>
        <v>27AAAAA3263Z5</v>
      </c>
      <c r="B3263" t="str">
        <f>TEST_DATA!B3263</f>
        <v>Mar-2020</v>
      </c>
      <c r="C3263">
        <f>TEST_DATA!C3263</f>
        <v>43996</v>
      </c>
      <c r="D3263" t="str">
        <f>TEST_DATA!D3263</f>
        <v>NON-NIL</v>
      </c>
      <c r="E3263">
        <f>TEST_DATA!E3263</f>
        <v>896</v>
      </c>
    </row>
    <row r="3264" spans="1:5" x14ac:dyDescent="0.55000000000000004">
      <c r="A3264" t="str">
        <f>TEST_DATA!A3264</f>
        <v>27AAAAA3264Z5</v>
      </c>
      <c r="B3264" t="str">
        <f>TEST_DATA!B3264</f>
        <v>Aug-2017</v>
      </c>
      <c r="C3264">
        <f>TEST_DATA!C3264</f>
        <v>43886</v>
      </c>
      <c r="D3264" t="str">
        <f>TEST_DATA!D3264</f>
        <v>NON-NIL</v>
      </c>
      <c r="E3264">
        <f>TEST_DATA!E3264</f>
        <v>1018</v>
      </c>
    </row>
    <row r="3265" spans="1:5" x14ac:dyDescent="0.55000000000000004">
      <c r="A3265" t="str">
        <f>TEST_DATA!A3265</f>
        <v>27AAAAA3265Z5</v>
      </c>
      <c r="B3265" t="str">
        <f>TEST_DATA!B3265</f>
        <v>Apr-2021</v>
      </c>
      <c r="C3265">
        <f>TEST_DATA!C3265</f>
        <v>45048</v>
      </c>
      <c r="D3265" t="str">
        <f>TEST_DATA!D3265</f>
        <v>NON-NIL</v>
      </c>
      <c r="E3265">
        <f>TEST_DATA!E3265</f>
        <v>1634</v>
      </c>
    </row>
    <row r="3266" spans="1:5" x14ac:dyDescent="0.55000000000000004">
      <c r="A3266" t="str">
        <f>TEST_DATA!A3266</f>
        <v>27AAAAA3266Z5</v>
      </c>
      <c r="B3266" t="str">
        <f>TEST_DATA!B3266</f>
        <v>Dec-2024</v>
      </c>
      <c r="C3266">
        <f>TEST_DATA!C3266</f>
        <v>43867</v>
      </c>
      <c r="D3266" t="str">
        <f>TEST_DATA!D3266</f>
        <v>NON-NIL</v>
      </c>
      <c r="E3266">
        <f>TEST_DATA!E3266</f>
        <v>1237</v>
      </c>
    </row>
    <row r="3267" spans="1:5" x14ac:dyDescent="0.55000000000000004">
      <c r="A3267" t="str">
        <f>TEST_DATA!A3267</f>
        <v>27AAAAA3267Z5</v>
      </c>
      <c r="B3267" t="str">
        <f>TEST_DATA!B3267</f>
        <v>Apr-2020</v>
      </c>
      <c r="C3267">
        <f>TEST_DATA!C3267</f>
        <v>44467</v>
      </c>
      <c r="D3267" t="str">
        <f>TEST_DATA!D3267</f>
        <v>NIL</v>
      </c>
      <c r="E3267">
        <f>TEST_DATA!E3267</f>
        <v>2309</v>
      </c>
    </row>
    <row r="3268" spans="1:5" x14ac:dyDescent="0.55000000000000004">
      <c r="A3268" t="str">
        <f>TEST_DATA!A3268</f>
        <v>27AAAAA3268Z5</v>
      </c>
      <c r="B3268" t="str">
        <f>TEST_DATA!B3268</f>
        <v>Aug-2018</v>
      </c>
      <c r="C3268">
        <f>TEST_DATA!C3268</f>
        <v>44307</v>
      </c>
      <c r="D3268" t="str">
        <f>TEST_DATA!D3268</f>
        <v>NON-NIL</v>
      </c>
      <c r="E3268">
        <f>TEST_DATA!E3268</f>
        <v>2368</v>
      </c>
    </row>
    <row r="3269" spans="1:5" x14ac:dyDescent="0.55000000000000004">
      <c r="A3269" t="str">
        <f>TEST_DATA!A3269</f>
        <v>27AAAAA3269Z5</v>
      </c>
      <c r="B3269" t="str">
        <f>TEST_DATA!B3269</f>
        <v>Nov-2017</v>
      </c>
      <c r="C3269">
        <f>TEST_DATA!C3269</f>
        <v>44316</v>
      </c>
      <c r="D3269" t="str">
        <f>TEST_DATA!D3269</f>
        <v>NIL</v>
      </c>
      <c r="E3269">
        <f>TEST_DATA!E3269</f>
        <v>1024</v>
      </c>
    </row>
    <row r="3270" spans="1:5" x14ac:dyDescent="0.55000000000000004">
      <c r="A3270" t="str">
        <f>TEST_DATA!A3270</f>
        <v>27AAAAA3270Z5</v>
      </c>
      <c r="B3270" t="str">
        <f>TEST_DATA!B3270</f>
        <v>Nov-2017</v>
      </c>
      <c r="C3270">
        <f>TEST_DATA!C3270</f>
        <v>43769</v>
      </c>
      <c r="D3270" t="str">
        <f>TEST_DATA!D3270</f>
        <v>NIL</v>
      </c>
      <c r="E3270">
        <f>TEST_DATA!E3270</f>
        <v>1233</v>
      </c>
    </row>
    <row r="3271" spans="1:5" x14ac:dyDescent="0.55000000000000004">
      <c r="A3271" t="str">
        <f>TEST_DATA!A3271</f>
        <v>27AAAAA3271Z5</v>
      </c>
      <c r="B3271" t="str">
        <f>TEST_DATA!B3271</f>
        <v>Apr-2018</v>
      </c>
      <c r="C3271">
        <f>TEST_DATA!C3271</f>
        <v>43092</v>
      </c>
      <c r="D3271" t="str">
        <f>TEST_DATA!D3271</f>
        <v>NON-NIL</v>
      </c>
      <c r="E3271">
        <f>TEST_DATA!E3271</f>
        <v>2321</v>
      </c>
    </row>
    <row r="3272" spans="1:5" x14ac:dyDescent="0.55000000000000004">
      <c r="A3272" t="str">
        <f>TEST_DATA!A3272</f>
        <v>27AAAAA3272Z5</v>
      </c>
      <c r="B3272" t="str">
        <f>TEST_DATA!B3272</f>
        <v>May-2020</v>
      </c>
      <c r="C3272">
        <f>TEST_DATA!C3272</f>
        <v>44775</v>
      </c>
      <c r="D3272" t="str">
        <f>TEST_DATA!D3272</f>
        <v>NIL</v>
      </c>
      <c r="E3272">
        <f>TEST_DATA!E3272</f>
        <v>1539</v>
      </c>
    </row>
    <row r="3273" spans="1:5" x14ac:dyDescent="0.55000000000000004">
      <c r="A3273" t="str">
        <f>TEST_DATA!A3273</f>
        <v>27AAAAA3273Z5</v>
      </c>
      <c r="B3273" t="str">
        <f>TEST_DATA!B3273</f>
        <v>Apr-2021</v>
      </c>
      <c r="C3273">
        <f>TEST_DATA!C3273</f>
        <v>45255</v>
      </c>
      <c r="D3273" t="str">
        <f>TEST_DATA!D3273</f>
        <v>NIL</v>
      </c>
      <c r="E3273">
        <f>TEST_DATA!E3273</f>
        <v>567</v>
      </c>
    </row>
    <row r="3274" spans="1:5" x14ac:dyDescent="0.55000000000000004">
      <c r="A3274" t="str">
        <f>TEST_DATA!A3274</f>
        <v>27AAAAA3274Z5</v>
      </c>
      <c r="B3274" t="str">
        <f>TEST_DATA!B3274</f>
        <v>Jun-2019</v>
      </c>
      <c r="C3274">
        <f>TEST_DATA!C3274</f>
        <v>45276</v>
      </c>
      <c r="D3274" t="str">
        <f>TEST_DATA!D3274</f>
        <v>NON-NIL</v>
      </c>
      <c r="E3274">
        <f>TEST_DATA!E3274</f>
        <v>2063</v>
      </c>
    </row>
    <row r="3275" spans="1:5" x14ac:dyDescent="0.55000000000000004">
      <c r="A3275" t="str">
        <f>TEST_DATA!A3275</f>
        <v>27AAAAA3275Z5</v>
      </c>
      <c r="B3275" t="str">
        <f>TEST_DATA!B3275</f>
        <v>Jun-2020</v>
      </c>
      <c r="C3275">
        <f>TEST_DATA!C3275</f>
        <v>44563</v>
      </c>
      <c r="D3275" t="str">
        <f>TEST_DATA!D3275</f>
        <v>NON-NIL</v>
      </c>
      <c r="E3275">
        <f>TEST_DATA!E3275</f>
        <v>1450</v>
      </c>
    </row>
    <row r="3276" spans="1:5" x14ac:dyDescent="0.55000000000000004">
      <c r="A3276" t="str">
        <f>TEST_DATA!A3276</f>
        <v>27AAAAA3276Z5</v>
      </c>
      <c r="B3276" t="str">
        <f>TEST_DATA!B3276</f>
        <v>Aug-2018</v>
      </c>
      <c r="C3276">
        <f>TEST_DATA!C3276</f>
        <v>43872</v>
      </c>
      <c r="D3276" t="str">
        <f>TEST_DATA!D3276</f>
        <v>NON-NIL</v>
      </c>
      <c r="E3276">
        <f>TEST_DATA!E3276</f>
        <v>1680</v>
      </c>
    </row>
    <row r="3277" spans="1:5" x14ac:dyDescent="0.55000000000000004">
      <c r="A3277" t="str">
        <f>TEST_DATA!A3277</f>
        <v>27AAAAA3277Z5</v>
      </c>
      <c r="B3277" t="str">
        <f>TEST_DATA!B3277</f>
        <v>Sep-2018</v>
      </c>
      <c r="C3277">
        <f>TEST_DATA!C3277</f>
        <v>42973</v>
      </c>
      <c r="D3277" t="str">
        <f>TEST_DATA!D3277</f>
        <v>NIL</v>
      </c>
      <c r="E3277">
        <f>TEST_DATA!E3277</f>
        <v>1724</v>
      </c>
    </row>
    <row r="3278" spans="1:5" x14ac:dyDescent="0.55000000000000004">
      <c r="A3278" t="str">
        <f>TEST_DATA!A3278</f>
        <v>27AAAAA3278Z5</v>
      </c>
      <c r="B3278" t="str">
        <f>TEST_DATA!B3278</f>
        <v>Sep-2017</v>
      </c>
      <c r="C3278">
        <f>TEST_DATA!C3278</f>
        <v>44464</v>
      </c>
      <c r="D3278" t="str">
        <f>TEST_DATA!D3278</f>
        <v>NIL</v>
      </c>
      <c r="E3278">
        <f>TEST_DATA!E3278</f>
        <v>2519</v>
      </c>
    </row>
    <row r="3279" spans="1:5" x14ac:dyDescent="0.55000000000000004">
      <c r="A3279" t="str">
        <f>TEST_DATA!A3279</f>
        <v>27AAAAA3279Z5</v>
      </c>
      <c r="B3279" t="str">
        <f>TEST_DATA!B3279</f>
        <v>Apr-2018</v>
      </c>
      <c r="C3279">
        <f>TEST_DATA!C3279</f>
        <v>44528</v>
      </c>
      <c r="D3279" t="str">
        <f>TEST_DATA!D3279</f>
        <v>NIL</v>
      </c>
      <c r="E3279">
        <f>TEST_DATA!E3279</f>
        <v>2377</v>
      </c>
    </row>
    <row r="3280" spans="1:5" x14ac:dyDescent="0.55000000000000004">
      <c r="A3280" t="str">
        <f>TEST_DATA!A3280</f>
        <v>27AAAAA3280Z5</v>
      </c>
      <c r="B3280" t="str">
        <f>TEST_DATA!B3280</f>
        <v>Jun-2019</v>
      </c>
      <c r="C3280">
        <f>TEST_DATA!C3280</f>
        <v>44994</v>
      </c>
      <c r="D3280" t="str">
        <f>TEST_DATA!D3280</f>
        <v>NIL</v>
      </c>
      <c r="E3280">
        <f>TEST_DATA!E3280</f>
        <v>2543</v>
      </c>
    </row>
    <row r="3281" spans="1:5" x14ac:dyDescent="0.55000000000000004">
      <c r="A3281" t="str">
        <f>TEST_DATA!A3281</f>
        <v>27AAAAA3281Z5</v>
      </c>
      <c r="B3281" t="str">
        <f>TEST_DATA!B3281</f>
        <v>Dec-2019</v>
      </c>
      <c r="C3281">
        <f>TEST_DATA!C3281</f>
        <v>45782</v>
      </c>
      <c r="D3281" t="str">
        <f>TEST_DATA!D3281</f>
        <v>NON-NIL</v>
      </c>
      <c r="E3281">
        <f>TEST_DATA!E3281</f>
        <v>219</v>
      </c>
    </row>
    <row r="3282" spans="1:5" x14ac:dyDescent="0.55000000000000004">
      <c r="A3282" t="str">
        <f>TEST_DATA!A3282</f>
        <v>27AAAAA3282Z5</v>
      </c>
      <c r="B3282" t="str">
        <f>TEST_DATA!B3282</f>
        <v>Mar-2021</v>
      </c>
      <c r="C3282">
        <f>TEST_DATA!C3282</f>
        <v>45074</v>
      </c>
      <c r="D3282" t="str">
        <f>TEST_DATA!D3282</f>
        <v>NIL</v>
      </c>
      <c r="E3282">
        <f>TEST_DATA!E3282</f>
        <v>1650</v>
      </c>
    </row>
    <row r="3283" spans="1:5" x14ac:dyDescent="0.55000000000000004">
      <c r="A3283" t="str">
        <f>TEST_DATA!A3283</f>
        <v>27AAAAA3283Z5</v>
      </c>
      <c r="B3283" t="str">
        <f>TEST_DATA!B3283</f>
        <v>Jun-2020</v>
      </c>
      <c r="C3283">
        <f>TEST_DATA!C3283</f>
        <v>43843</v>
      </c>
      <c r="D3283" t="str">
        <f>TEST_DATA!D3283</f>
        <v>NON-NIL</v>
      </c>
      <c r="E3283">
        <f>TEST_DATA!E3283</f>
        <v>2121</v>
      </c>
    </row>
    <row r="3284" spans="1:5" x14ac:dyDescent="0.55000000000000004">
      <c r="A3284" t="str">
        <f>TEST_DATA!A3284</f>
        <v>27AAAAA3284Z5</v>
      </c>
      <c r="B3284" t="str">
        <f>TEST_DATA!B3284</f>
        <v>Sep-2018</v>
      </c>
      <c r="C3284">
        <f>TEST_DATA!C3284</f>
        <v>43028</v>
      </c>
      <c r="D3284" t="str">
        <f>TEST_DATA!D3284</f>
        <v>NIL</v>
      </c>
      <c r="E3284">
        <f>TEST_DATA!E3284</f>
        <v>224</v>
      </c>
    </row>
    <row r="3285" spans="1:5" x14ac:dyDescent="0.55000000000000004">
      <c r="A3285" t="str">
        <f>TEST_DATA!A3285</f>
        <v>27AAAAA3285Z5</v>
      </c>
      <c r="B3285" t="str">
        <f>TEST_DATA!B3285</f>
        <v>Mar-2018</v>
      </c>
      <c r="C3285">
        <f>TEST_DATA!C3285</f>
        <v>44247</v>
      </c>
      <c r="D3285" t="str">
        <f>TEST_DATA!D3285</f>
        <v>NIL</v>
      </c>
      <c r="E3285">
        <f>TEST_DATA!E3285</f>
        <v>1365</v>
      </c>
    </row>
    <row r="3286" spans="1:5" x14ac:dyDescent="0.55000000000000004">
      <c r="A3286" t="str">
        <f>TEST_DATA!A3286</f>
        <v>27AAAAA3286Z5</v>
      </c>
      <c r="B3286" t="str">
        <f>TEST_DATA!B3286</f>
        <v>Apr-2020</v>
      </c>
      <c r="C3286">
        <f>TEST_DATA!C3286</f>
        <v>44030</v>
      </c>
      <c r="D3286" t="str">
        <f>TEST_DATA!D3286</f>
        <v>NON-NIL</v>
      </c>
      <c r="E3286">
        <f>TEST_DATA!E3286</f>
        <v>2316</v>
      </c>
    </row>
    <row r="3287" spans="1:5" x14ac:dyDescent="0.55000000000000004">
      <c r="A3287" t="str">
        <f>TEST_DATA!A3287</f>
        <v>27AAAAA3287Z5</v>
      </c>
      <c r="B3287" t="str">
        <f>TEST_DATA!B3287</f>
        <v>Jan-2019</v>
      </c>
      <c r="C3287">
        <f>TEST_DATA!C3287</f>
        <v>44823</v>
      </c>
      <c r="D3287" t="str">
        <f>TEST_DATA!D3287</f>
        <v>NIL</v>
      </c>
      <c r="E3287">
        <f>TEST_DATA!E3287</f>
        <v>497</v>
      </c>
    </row>
    <row r="3288" spans="1:5" x14ac:dyDescent="0.55000000000000004">
      <c r="A3288" t="str">
        <f>TEST_DATA!A3288</f>
        <v>27AAAAA3288Z5</v>
      </c>
      <c r="B3288" t="str">
        <f>TEST_DATA!B3288</f>
        <v>Jan-2021</v>
      </c>
      <c r="C3288">
        <f>TEST_DATA!C3288</f>
        <v>45558</v>
      </c>
      <c r="D3288" t="str">
        <f>TEST_DATA!D3288</f>
        <v>NIL</v>
      </c>
      <c r="E3288">
        <f>TEST_DATA!E3288</f>
        <v>2873</v>
      </c>
    </row>
    <row r="3289" spans="1:5" x14ac:dyDescent="0.55000000000000004">
      <c r="A3289" t="str">
        <f>TEST_DATA!A3289</f>
        <v>27AAAAA3289Z5</v>
      </c>
      <c r="B3289" t="str">
        <f>TEST_DATA!B3289</f>
        <v>Jan-2018</v>
      </c>
      <c r="C3289">
        <f>TEST_DATA!C3289</f>
        <v>43974</v>
      </c>
      <c r="D3289" t="str">
        <f>TEST_DATA!D3289</f>
        <v>NIL</v>
      </c>
      <c r="E3289">
        <f>TEST_DATA!E3289</f>
        <v>2302</v>
      </c>
    </row>
    <row r="3290" spans="1:5" x14ac:dyDescent="0.55000000000000004">
      <c r="A3290" t="str">
        <f>TEST_DATA!A3290</f>
        <v>27AAAAA3290Z5</v>
      </c>
      <c r="B3290" t="str">
        <f>TEST_DATA!B3290</f>
        <v>Jan-2021</v>
      </c>
      <c r="C3290">
        <f>TEST_DATA!C3290</f>
        <v>45494</v>
      </c>
      <c r="D3290" t="str">
        <f>TEST_DATA!D3290</f>
        <v>NIL</v>
      </c>
      <c r="E3290">
        <f>TEST_DATA!E3290</f>
        <v>915</v>
      </c>
    </row>
    <row r="3291" spans="1:5" x14ac:dyDescent="0.55000000000000004">
      <c r="A3291" t="str">
        <f>TEST_DATA!A3291</f>
        <v>27AAAAA3291Z5</v>
      </c>
      <c r="B3291" t="str">
        <f>TEST_DATA!B3291</f>
        <v>Dec-2024</v>
      </c>
      <c r="C3291">
        <f>TEST_DATA!C3291</f>
        <v>44099</v>
      </c>
      <c r="D3291" t="str">
        <f>TEST_DATA!D3291</f>
        <v>NON-NIL</v>
      </c>
      <c r="E3291">
        <f>TEST_DATA!E3291</f>
        <v>2573</v>
      </c>
    </row>
    <row r="3292" spans="1:5" x14ac:dyDescent="0.55000000000000004">
      <c r="A3292" t="str">
        <f>TEST_DATA!A3292</f>
        <v>27AAAAA3292Z5</v>
      </c>
      <c r="B3292" t="str">
        <f>TEST_DATA!B3292</f>
        <v>Apr-2018</v>
      </c>
      <c r="C3292">
        <f>TEST_DATA!C3292</f>
        <v>44389</v>
      </c>
      <c r="D3292" t="str">
        <f>TEST_DATA!D3292</f>
        <v>NIL</v>
      </c>
      <c r="E3292">
        <f>TEST_DATA!E3292</f>
        <v>1986</v>
      </c>
    </row>
    <row r="3293" spans="1:5" x14ac:dyDescent="0.55000000000000004">
      <c r="A3293" t="str">
        <f>TEST_DATA!A3293</f>
        <v>27AAAAA3293Z5</v>
      </c>
      <c r="B3293" t="str">
        <f>TEST_DATA!B3293</f>
        <v>Apr-2020</v>
      </c>
      <c r="C3293">
        <f>TEST_DATA!C3293</f>
        <v>44242</v>
      </c>
      <c r="D3293" t="str">
        <f>TEST_DATA!D3293</f>
        <v>NIL</v>
      </c>
      <c r="E3293">
        <f>TEST_DATA!E3293</f>
        <v>275</v>
      </c>
    </row>
    <row r="3294" spans="1:5" x14ac:dyDescent="0.55000000000000004">
      <c r="A3294" t="str">
        <f>TEST_DATA!A3294</f>
        <v>27AAAAA3294Z5</v>
      </c>
      <c r="B3294" t="str">
        <f>TEST_DATA!B3294</f>
        <v>Jul-2017</v>
      </c>
      <c r="C3294">
        <f>TEST_DATA!C3294</f>
        <v>43230</v>
      </c>
      <c r="D3294" t="str">
        <f>TEST_DATA!D3294</f>
        <v>NIL</v>
      </c>
      <c r="E3294">
        <f>TEST_DATA!E3294</f>
        <v>2129</v>
      </c>
    </row>
    <row r="3295" spans="1:5" x14ac:dyDescent="0.55000000000000004">
      <c r="A3295" t="str">
        <f>TEST_DATA!A3295</f>
        <v>27AAAAA3295Z5</v>
      </c>
      <c r="B3295" t="str">
        <f>TEST_DATA!B3295</f>
        <v>Oct-2017</v>
      </c>
      <c r="C3295">
        <f>TEST_DATA!C3295</f>
        <v>43423</v>
      </c>
      <c r="D3295" t="str">
        <f>TEST_DATA!D3295</f>
        <v>NIL</v>
      </c>
      <c r="E3295">
        <f>TEST_DATA!E3295</f>
        <v>424</v>
      </c>
    </row>
    <row r="3296" spans="1:5" x14ac:dyDescent="0.55000000000000004">
      <c r="A3296" t="str">
        <f>TEST_DATA!A3296</f>
        <v>27AAAAA3296Z5</v>
      </c>
      <c r="B3296" t="str">
        <f>TEST_DATA!B3296</f>
        <v>Jan-2019</v>
      </c>
      <c r="C3296">
        <f>TEST_DATA!C3296</f>
        <v>43566</v>
      </c>
      <c r="D3296" t="str">
        <f>TEST_DATA!D3296</f>
        <v>NON-NIL</v>
      </c>
      <c r="E3296">
        <f>TEST_DATA!E3296</f>
        <v>1600</v>
      </c>
    </row>
    <row r="3297" spans="1:5" x14ac:dyDescent="0.55000000000000004">
      <c r="A3297" t="str">
        <f>TEST_DATA!A3297</f>
        <v>27AAAAA3297Z5</v>
      </c>
      <c r="B3297" t="str">
        <f>TEST_DATA!B3297</f>
        <v>Aug-2017</v>
      </c>
      <c r="C3297">
        <f>TEST_DATA!C3297</f>
        <v>43166</v>
      </c>
      <c r="D3297" t="str">
        <f>TEST_DATA!D3297</f>
        <v>NON-NIL</v>
      </c>
      <c r="E3297">
        <f>TEST_DATA!E3297</f>
        <v>1657</v>
      </c>
    </row>
    <row r="3298" spans="1:5" x14ac:dyDescent="0.55000000000000004">
      <c r="A3298" t="str">
        <f>TEST_DATA!A3298</f>
        <v>27AAAAA3298Z5</v>
      </c>
      <c r="B3298" t="str">
        <f>TEST_DATA!B3298</f>
        <v>Jan-2019</v>
      </c>
      <c r="C3298">
        <f>TEST_DATA!C3298</f>
        <v>44219</v>
      </c>
      <c r="D3298" t="str">
        <f>TEST_DATA!D3298</f>
        <v>NIL</v>
      </c>
      <c r="E3298">
        <f>TEST_DATA!E3298</f>
        <v>2239</v>
      </c>
    </row>
    <row r="3299" spans="1:5" x14ac:dyDescent="0.55000000000000004">
      <c r="A3299" t="str">
        <f>TEST_DATA!A3299</f>
        <v>27AAAAA3299Z5</v>
      </c>
      <c r="B3299" t="str">
        <f>TEST_DATA!B3299</f>
        <v>Mar-2018</v>
      </c>
      <c r="C3299">
        <f>TEST_DATA!C3299</f>
        <v>44171</v>
      </c>
      <c r="D3299" t="str">
        <f>TEST_DATA!D3299</f>
        <v>NON-NIL</v>
      </c>
      <c r="E3299">
        <f>TEST_DATA!E3299</f>
        <v>2695</v>
      </c>
    </row>
    <row r="3300" spans="1:5" x14ac:dyDescent="0.55000000000000004">
      <c r="A3300" t="str">
        <f>TEST_DATA!A3300</f>
        <v>27AAAAA3300Z5</v>
      </c>
      <c r="B3300" t="str">
        <f>TEST_DATA!B3300</f>
        <v>Apr-2020</v>
      </c>
      <c r="C3300">
        <f>TEST_DATA!C3300</f>
        <v>44083</v>
      </c>
      <c r="D3300" t="str">
        <f>TEST_DATA!D3300</f>
        <v>NON-NIL</v>
      </c>
      <c r="E3300">
        <f>TEST_DATA!E3300</f>
        <v>599</v>
      </c>
    </row>
    <row r="3301" spans="1:5" x14ac:dyDescent="0.55000000000000004">
      <c r="A3301" t="str">
        <f>TEST_DATA!A3301</f>
        <v>27AAAAA3301Z5</v>
      </c>
      <c r="B3301" t="str">
        <f>TEST_DATA!B3301</f>
        <v>May-2020</v>
      </c>
      <c r="C3301">
        <f>TEST_DATA!C3301</f>
        <v>43875</v>
      </c>
      <c r="D3301" t="str">
        <f>TEST_DATA!D3301</f>
        <v>NIL</v>
      </c>
      <c r="E3301">
        <f>TEST_DATA!E3301</f>
        <v>580</v>
      </c>
    </row>
    <row r="3302" spans="1:5" x14ac:dyDescent="0.55000000000000004">
      <c r="A3302" t="str">
        <f>TEST_DATA!A3302</f>
        <v>27AAAAA3302Z5</v>
      </c>
      <c r="B3302" t="str">
        <f>TEST_DATA!B3302</f>
        <v>Dec-2022</v>
      </c>
      <c r="C3302">
        <f>TEST_DATA!C3302</f>
        <v>44451</v>
      </c>
      <c r="D3302" t="str">
        <f>TEST_DATA!D3302</f>
        <v>NIL</v>
      </c>
      <c r="E3302">
        <f>TEST_DATA!E3302</f>
        <v>2095</v>
      </c>
    </row>
    <row r="3303" spans="1:5" x14ac:dyDescent="0.55000000000000004">
      <c r="A3303" t="str">
        <f>TEST_DATA!A3303</f>
        <v>27AAAAA3303Z5</v>
      </c>
      <c r="B3303" t="str">
        <f>TEST_DATA!B3303</f>
        <v>Jan-2021</v>
      </c>
      <c r="C3303">
        <f>TEST_DATA!C3303</f>
        <v>45705</v>
      </c>
      <c r="D3303" t="str">
        <f>TEST_DATA!D3303</f>
        <v>NIL</v>
      </c>
      <c r="E3303">
        <f>TEST_DATA!E3303</f>
        <v>1950</v>
      </c>
    </row>
    <row r="3304" spans="1:5" x14ac:dyDescent="0.55000000000000004">
      <c r="A3304" t="str">
        <f>TEST_DATA!A3304</f>
        <v>27AAAAA3304Z5</v>
      </c>
      <c r="B3304" t="str">
        <f>TEST_DATA!B3304</f>
        <v>Jan-2019</v>
      </c>
      <c r="C3304">
        <f>TEST_DATA!C3304</f>
        <v>44653</v>
      </c>
      <c r="D3304" t="str">
        <f>TEST_DATA!D3304</f>
        <v>NON-NIL</v>
      </c>
      <c r="E3304">
        <f>TEST_DATA!E3304</f>
        <v>2734</v>
      </c>
    </row>
    <row r="3305" spans="1:5" x14ac:dyDescent="0.55000000000000004">
      <c r="A3305" t="str">
        <f>TEST_DATA!A3305</f>
        <v>27AAAAA3305Z5</v>
      </c>
      <c r="B3305" t="str">
        <f>TEST_DATA!B3305</f>
        <v>Oct-2017</v>
      </c>
      <c r="C3305">
        <f>TEST_DATA!C3305</f>
        <v>44122</v>
      </c>
      <c r="D3305" t="str">
        <f>TEST_DATA!D3305</f>
        <v>NON-NIL</v>
      </c>
      <c r="E3305">
        <f>TEST_DATA!E3305</f>
        <v>1504</v>
      </c>
    </row>
    <row r="3306" spans="1:5" x14ac:dyDescent="0.55000000000000004">
      <c r="A3306" t="str">
        <f>TEST_DATA!A3306</f>
        <v>27AAAAA3306Z5</v>
      </c>
      <c r="B3306" t="str">
        <f>TEST_DATA!B3306</f>
        <v>Jun-2020</v>
      </c>
      <c r="C3306">
        <f>TEST_DATA!C3306</f>
        <v>44394</v>
      </c>
      <c r="D3306" t="str">
        <f>TEST_DATA!D3306</f>
        <v>NON-NIL</v>
      </c>
      <c r="E3306">
        <f>TEST_DATA!E3306</f>
        <v>1580</v>
      </c>
    </row>
    <row r="3307" spans="1:5" x14ac:dyDescent="0.55000000000000004">
      <c r="A3307" t="str">
        <f>TEST_DATA!A3307</f>
        <v>27AAAAA3307Z5</v>
      </c>
      <c r="B3307" t="str">
        <f>TEST_DATA!B3307</f>
        <v>Jul-2020</v>
      </c>
      <c r="C3307">
        <f>TEST_DATA!C3307</f>
        <v>44050</v>
      </c>
      <c r="D3307" t="str">
        <f>TEST_DATA!D3307</f>
        <v>NON-NIL</v>
      </c>
      <c r="E3307">
        <f>TEST_DATA!E3307</f>
        <v>1707</v>
      </c>
    </row>
    <row r="3308" spans="1:5" x14ac:dyDescent="0.55000000000000004">
      <c r="A3308" t="str">
        <f>TEST_DATA!A3308</f>
        <v>27AAAAA3308Z5</v>
      </c>
      <c r="B3308" t="str">
        <f>TEST_DATA!B3308</f>
        <v>Dec-2022</v>
      </c>
      <c r="C3308">
        <f>TEST_DATA!C3308</f>
        <v>45206</v>
      </c>
      <c r="D3308" t="str">
        <f>TEST_DATA!D3308</f>
        <v>NIL</v>
      </c>
      <c r="E3308">
        <f>TEST_DATA!E3308</f>
        <v>114</v>
      </c>
    </row>
    <row r="3309" spans="1:5" x14ac:dyDescent="0.55000000000000004">
      <c r="A3309" t="str">
        <f>TEST_DATA!A3309</f>
        <v>27AAAAA3309Z5</v>
      </c>
      <c r="B3309" t="str">
        <f>TEST_DATA!B3309</f>
        <v>Apr-2018</v>
      </c>
      <c r="C3309">
        <f>TEST_DATA!C3309</f>
        <v>43853</v>
      </c>
      <c r="D3309" t="str">
        <f>TEST_DATA!D3309</f>
        <v>NIL</v>
      </c>
      <c r="E3309">
        <f>TEST_DATA!E3309</f>
        <v>2311</v>
      </c>
    </row>
    <row r="3310" spans="1:5" x14ac:dyDescent="0.55000000000000004">
      <c r="A3310" t="str">
        <f>TEST_DATA!A3310</f>
        <v>27AAAAA3310Z5</v>
      </c>
      <c r="B3310" t="str">
        <f>TEST_DATA!B3310</f>
        <v>Jul-2018</v>
      </c>
      <c r="C3310">
        <f>TEST_DATA!C3310</f>
        <v>42939</v>
      </c>
      <c r="D3310" t="str">
        <f>TEST_DATA!D3310</f>
        <v>NON-NIL</v>
      </c>
      <c r="E3310">
        <f>TEST_DATA!E3310</f>
        <v>139</v>
      </c>
    </row>
    <row r="3311" spans="1:5" x14ac:dyDescent="0.55000000000000004">
      <c r="A3311" t="str">
        <f>TEST_DATA!A3311</f>
        <v>27AAAAA3311Z5</v>
      </c>
      <c r="B3311" t="str">
        <f>TEST_DATA!B3311</f>
        <v>May-2020</v>
      </c>
      <c r="C3311">
        <f>TEST_DATA!C3311</f>
        <v>44741</v>
      </c>
      <c r="D3311" t="str">
        <f>TEST_DATA!D3311</f>
        <v>NIL</v>
      </c>
      <c r="E3311">
        <f>TEST_DATA!E3311</f>
        <v>1452</v>
      </c>
    </row>
    <row r="3312" spans="1:5" x14ac:dyDescent="0.55000000000000004">
      <c r="A3312" t="str">
        <f>TEST_DATA!A3312</f>
        <v>27AAAAA3312Z5</v>
      </c>
      <c r="B3312" t="str">
        <f>TEST_DATA!B3312</f>
        <v>Nov-2017</v>
      </c>
      <c r="C3312">
        <f>TEST_DATA!C3312</f>
        <v>43875</v>
      </c>
      <c r="D3312" t="str">
        <f>TEST_DATA!D3312</f>
        <v>NON-NIL</v>
      </c>
      <c r="E3312">
        <f>TEST_DATA!E3312</f>
        <v>1134</v>
      </c>
    </row>
    <row r="3313" spans="1:5" x14ac:dyDescent="0.55000000000000004">
      <c r="A3313" t="str">
        <f>TEST_DATA!A3313</f>
        <v>27AAAAA3313Z5</v>
      </c>
      <c r="B3313" t="str">
        <f>TEST_DATA!B3313</f>
        <v>Jul-2017</v>
      </c>
      <c r="C3313">
        <f>TEST_DATA!C3313</f>
        <v>43241</v>
      </c>
      <c r="D3313" t="str">
        <f>TEST_DATA!D3313</f>
        <v>NON-NIL</v>
      </c>
      <c r="E3313">
        <f>TEST_DATA!E3313</f>
        <v>2050</v>
      </c>
    </row>
    <row r="3314" spans="1:5" x14ac:dyDescent="0.55000000000000004">
      <c r="A3314" t="str">
        <f>TEST_DATA!A3314</f>
        <v>27AAAAA3314Z5</v>
      </c>
      <c r="B3314" t="str">
        <f>TEST_DATA!B3314</f>
        <v>Mar-2023</v>
      </c>
      <c r="C3314">
        <f>TEST_DATA!C3314</f>
        <v>45527</v>
      </c>
      <c r="D3314" t="str">
        <f>TEST_DATA!D3314</f>
        <v>NIL</v>
      </c>
      <c r="E3314">
        <f>TEST_DATA!E3314</f>
        <v>1428</v>
      </c>
    </row>
    <row r="3315" spans="1:5" x14ac:dyDescent="0.55000000000000004">
      <c r="A3315" t="str">
        <f>TEST_DATA!A3315</f>
        <v>27AAAAA3315Z5</v>
      </c>
      <c r="B3315" t="str">
        <f>TEST_DATA!B3315</f>
        <v>Dec-2024</v>
      </c>
      <c r="C3315">
        <f>TEST_DATA!C3315</f>
        <v>45616</v>
      </c>
      <c r="D3315" t="str">
        <f>TEST_DATA!D3315</f>
        <v>NON-NIL</v>
      </c>
      <c r="E3315">
        <f>TEST_DATA!E3315</f>
        <v>2101</v>
      </c>
    </row>
    <row r="3316" spans="1:5" x14ac:dyDescent="0.55000000000000004">
      <c r="A3316" t="str">
        <f>TEST_DATA!A3316</f>
        <v>27AAAAA3316Z5</v>
      </c>
      <c r="B3316" t="str">
        <f>TEST_DATA!B3316</f>
        <v>Sep-2017</v>
      </c>
      <c r="C3316">
        <f>TEST_DATA!C3316</f>
        <v>43274</v>
      </c>
      <c r="D3316" t="str">
        <f>TEST_DATA!D3316</f>
        <v>NIL</v>
      </c>
      <c r="E3316">
        <f>TEST_DATA!E3316</f>
        <v>1441</v>
      </c>
    </row>
    <row r="3317" spans="1:5" x14ac:dyDescent="0.55000000000000004">
      <c r="A3317" t="str">
        <f>TEST_DATA!A3317</f>
        <v>27AAAAA3317Z5</v>
      </c>
      <c r="B3317" t="str">
        <f>TEST_DATA!B3317</f>
        <v>May-2020</v>
      </c>
      <c r="C3317">
        <f>TEST_DATA!C3317</f>
        <v>44525</v>
      </c>
      <c r="D3317" t="str">
        <f>TEST_DATA!D3317</f>
        <v>NON-NIL</v>
      </c>
      <c r="E3317">
        <f>TEST_DATA!E3317</f>
        <v>2929</v>
      </c>
    </row>
    <row r="3318" spans="1:5" x14ac:dyDescent="0.55000000000000004">
      <c r="A3318" t="str">
        <f>TEST_DATA!A3318</f>
        <v>27AAAAA3318Z5</v>
      </c>
      <c r="B3318" t="str">
        <f>TEST_DATA!B3318</f>
        <v>Mar-2023</v>
      </c>
      <c r="C3318">
        <f>TEST_DATA!C3318</f>
        <v>44039</v>
      </c>
      <c r="D3318" t="str">
        <f>TEST_DATA!D3318</f>
        <v>NON-NIL</v>
      </c>
      <c r="E3318">
        <f>TEST_DATA!E3318</f>
        <v>2696</v>
      </c>
    </row>
    <row r="3319" spans="1:5" x14ac:dyDescent="0.55000000000000004">
      <c r="A3319" t="str">
        <f>TEST_DATA!A3319</f>
        <v>27AAAAA3319Z5</v>
      </c>
      <c r="B3319" t="str">
        <f>TEST_DATA!B3319</f>
        <v>Apr-2018</v>
      </c>
      <c r="C3319">
        <f>TEST_DATA!C3319</f>
        <v>43723</v>
      </c>
      <c r="D3319" t="str">
        <f>TEST_DATA!D3319</f>
        <v>NIL</v>
      </c>
      <c r="E3319">
        <f>TEST_DATA!E3319</f>
        <v>2642</v>
      </c>
    </row>
    <row r="3320" spans="1:5" x14ac:dyDescent="0.55000000000000004">
      <c r="A3320" t="str">
        <f>TEST_DATA!A3320</f>
        <v>27AAAAA3320Z5</v>
      </c>
      <c r="B3320" t="str">
        <f>TEST_DATA!B3320</f>
        <v>Jan-2019</v>
      </c>
      <c r="C3320">
        <f>TEST_DATA!C3320</f>
        <v>45008</v>
      </c>
      <c r="D3320" t="str">
        <f>TEST_DATA!D3320</f>
        <v>NON-NIL</v>
      </c>
      <c r="E3320">
        <f>TEST_DATA!E3320</f>
        <v>2481</v>
      </c>
    </row>
    <row r="3321" spans="1:5" x14ac:dyDescent="0.55000000000000004">
      <c r="A3321" t="str">
        <f>TEST_DATA!A3321</f>
        <v>27AAAAA3321Z5</v>
      </c>
      <c r="B3321" t="str">
        <f>TEST_DATA!B3321</f>
        <v>Jun-2020</v>
      </c>
      <c r="C3321">
        <f>TEST_DATA!C3321</f>
        <v>44200</v>
      </c>
      <c r="D3321" t="str">
        <f>TEST_DATA!D3321</f>
        <v>NON-NIL</v>
      </c>
      <c r="E3321">
        <f>TEST_DATA!E3321</f>
        <v>530</v>
      </c>
    </row>
    <row r="3322" spans="1:5" x14ac:dyDescent="0.55000000000000004">
      <c r="A3322" t="str">
        <f>TEST_DATA!A3322</f>
        <v>27AAAAA3322Z5</v>
      </c>
      <c r="B3322" t="str">
        <f>TEST_DATA!B3322</f>
        <v>Jul-2020</v>
      </c>
      <c r="C3322">
        <f>TEST_DATA!C3322</f>
        <v>44494</v>
      </c>
      <c r="D3322" t="str">
        <f>TEST_DATA!D3322</f>
        <v>NON-NIL</v>
      </c>
      <c r="E3322">
        <f>TEST_DATA!E3322</f>
        <v>2394</v>
      </c>
    </row>
    <row r="3323" spans="1:5" x14ac:dyDescent="0.55000000000000004">
      <c r="A3323" t="str">
        <f>TEST_DATA!A3323</f>
        <v>27AAAAA3323Z5</v>
      </c>
      <c r="B3323" t="str">
        <f>TEST_DATA!B3323</f>
        <v>Apr-2020</v>
      </c>
      <c r="C3323">
        <f>TEST_DATA!C3323</f>
        <v>44657</v>
      </c>
      <c r="D3323" t="str">
        <f>TEST_DATA!D3323</f>
        <v>NIL</v>
      </c>
      <c r="E3323">
        <f>TEST_DATA!E3323</f>
        <v>184</v>
      </c>
    </row>
    <row r="3324" spans="1:5" x14ac:dyDescent="0.55000000000000004">
      <c r="A3324" t="str">
        <f>TEST_DATA!A3324</f>
        <v>27AAAAA3324Z5</v>
      </c>
      <c r="B3324" t="str">
        <f>TEST_DATA!B3324</f>
        <v>Jul-2017</v>
      </c>
      <c r="C3324">
        <f>TEST_DATA!C3324</f>
        <v>44417</v>
      </c>
      <c r="D3324" t="str">
        <f>TEST_DATA!D3324</f>
        <v>NIL</v>
      </c>
      <c r="E3324">
        <f>TEST_DATA!E3324</f>
        <v>949</v>
      </c>
    </row>
    <row r="3325" spans="1:5" x14ac:dyDescent="0.55000000000000004">
      <c r="A3325" t="str">
        <f>TEST_DATA!A3325</f>
        <v>27AAAAA3325Z5</v>
      </c>
      <c r="B3325" t="str">
        <f>TEST_DATA!B3325</f>
        <v>Oct-2017</v>
      </c>
      <c r="C3325">
        <f>TEST_DATA!C3325</f>
        <v>44279</v>
      </c>
      <c r="D3325" t="str">
        <f>TEST_DATA!D3325</f>
        <v>NIL</v>
      </c>
      <c r="E3325">
        <f>TEST_DATA!E3325</f>
        <v>2045</v>
      </c>
    </row>
    <row r="3326" spans="1:5" x14ac:dyDescent="0.55000000000000004">
      <c r="A3326" t="str">
        <f>TEST_DATA!A3326</f>
        <v>27AAAAA3326Z5</v>
      </c>
      <c r="B3326" t="str">
        <f>TEST_DATA!B3326</f>
        <v>Jun-2020</v>
      </c>
      <c r="C3326">
        <f>TEST_DATA!C3326</f>
        <v>44806</v>
      </c>
      <c r="D3326" t="str">
        <f>TEST_DATA!D3326</f>
        <v>NON-NIL</v>
      </c>
      <c r="E3326">
        <f>TEST_DATA!E3326</f>
        <v>948</v>
      </c>
    </row>
    <row r="3327" spans="1:5" x14ac:dyDescent="0.55000000000000004">
      <c r="A3327" t="str">
        <f>TEST_DATA!A3327</f>
        <v>27AAAAA3327Z5</v>
      </c>
      <c r="B3327" t="str">
        <f>TEST_DATA!B3327</f>
        <v>Mar-2021</v>
      </c>
      <c r="C3327">
        <f>TEST_DATA!C3327</f>
        <v>44435</v>
      </c>
      <c r="D3327" t="str">
        <f>TEST_DATA!D3327</f>
        <v>NIL</v>
      </c>
      <c r="E3327">
        <f>TEST_DATA!E3327</f>
        <v>712</v>
      </c>
    </row>
    <row r="3328" spans="1:5" x14ac:dyDescent="0.55000000000000004">
      <c r="A3328" t="str">
        <f>TEST_DATA!A3328</f>
        <v>27AAAAA3328Z5</v>
      </c>
      <c r="B3328" t="str">
        <f>TEST_DATA!B3328</f>
        <v>Jan-2021</v>
      </c>
      <c r="C3328">
        <f>TEST_DATA!C3328</f>
        <v>45039</v>
      </c>
      <c r="D3328" t="str">
        <f>TEST_DATA!D3328</f>
        <v>NON-NIL</v>
      </c>
      <c r="E3328">
        <f>TEST_DATA!E3328</f>
        <v>263</v>
      </c>
    </row>
    <row r="3329" spans="1:5" x14ac:dyDescent="0.55000000000000004">
      <c r="A3329" t="str">
        <f>TEST_DATA!A3329</f>
        <v>27AAAAA3329Z5</v>
      </c>
      <c r="B3329" t="str">
        <f>TEST_DATA!B3329</f>
        <v>Aug-2017</v>
      </c>
      <c r="C3329">
        <f>TEST_DATA!C3329</f>
        <v>44170</v>
      </c>
      <c r="D3329" t="str">
        <f>TEST_DATA!D3329</f>
        <v>NON-NIL</v>
      </c>
      <c r="E3329">
        <f>TEST_DATA!E3329</f>
        <v>468</v>
      </c>
    </row>
    <row r="3330" spans="1:5" x14ac:dyDescent="0.55000000000000004">
      <c r="A3330" t="str">
        <f>TEST_DATA!A3330</f>
        <v>27AAAAA3330Z5</v>
      </c>
      <c r="B3330" t="str">
        <f>TEST_DATA!B3330</f>
        <v>Aug-2017</v>
      </c>
      <c r="C3330">
        <f>TEST_DATA!C3330</f>
        <v>44452</v>
      </c>
      <c r="D3330" t="str">
        <f>TEST_DATA!D3330</f>
        <v>NIL</v>
      </c>
      <c r="E3330">
        <f>TEST_DATA!E3330</f>
        <v>1808</v>
      </c>
    </row>
    <row r="3331" spans="1:5" x14ac:dyDescent="0.55000000000000004">
      <c r="A3331" t="str">
        <f>TEST_DATA!A3331</f>
        <v>27AAAAA3331Z5</v>
      </c>
      <c r="B3331" t="str">
        <f>TEST_DATA!B3331</f>
        <v>Mar-2021</v>
      </c>
      <c r="C3331">
        <f>TEST_DATA!C3331</f>
        <v>44999</v>
      </c>
      <c r="D3331" t="str">
        <f>TEST_DATA!D3331</f>
        <v>NIL</v>
      </c>
      <c r="E3331">
        <f>TEST_DATA!E3331</f>
        <v>712</v>
      </c>
    </row>
    <row r="3332" spans="1:5" x14ac:dyDescent="0.55000000000000004">
      <c r="A3332" t="str">
        <f>TEST_DATA!A3332</f>
        <v>27AAAAA3332Z5</v>
      </c>
      <c r="B3332" t="str">
        <f>TEST_DATA!B3332</f>
        <v>May-2018</v>
      </c>
      <c r="C3332">
        <f>TEST_DATA!C3332</f>
        <v>43137</v>
      </c>
      <c r="D3332" t="str">
        <f>TEST_DATA!D3332</f>
        <v>NON-NIL</v>
      </c>
      <c r="E3332">
        <f>TEST_DATA!E3332</f>
        <v>1546</v>
      </c>
    </row>
    <row r="3333" spans="1:5" x14ac:dyDescent="0.55000000000000004">
      <c r="A3333" t="str">
        <f>TEST_DATA!A3333</f>
        <v>27AAAAA3333Z5</v>
      </c>
      <c r="B3333" t="str">
        <f>TEST_DATA!B3333</f>
        <v>Nov-2017</v>
      </c>
      <c r="C3333">
        <f>TEST_DATA!C3333</f>
        <v>44222</v>
      </c>
      <c r="D3333" t="str">
        <f>TEST_DATA!D3333</f>
        <v>NIL</v>
      </c>
      <c r="E3333">
        <f>TEST_DATA!E3333</f>
        <v>801</v>
      </c>
    </row>
    <row r="3334" spans="1:5" x14ac:dyDescent="0.55000000000000004">
      <c r="A3334" t="str">
        <f>TEST_DATA!A3334</f>
        <v>27AAAAA3334Z5</v>
      </c>
      <c r="B3334" t="str">
        <f>TEST_DATA!B3334</f>
        <v>Mar-2018</v>
      </c>
      <c r="C3334">
        <f>TEST_DATA!C3334</f>
        <v>43922</v>
      </c>
      <c r="D3334" t="str">
        <f>TEST_DATA!D3334</f>
        <v>NON-NIL</v>
      </c>
      <c r="E3334">
        <f>TEST_DATA!E3334</f>
        <v>2780</v>
      </c>
    </row>
    <row r="3335" spans="1:5" x14ac:dyDescent="0.55000000000000004">
      <c r="A3335" t="str">
        <f>TEST_DATA!A3335</f>
        <v>27AAAAA3335Z5</v>
      </c>
      <c r="B3335" t="str">
        <f>TEST_DATA!B3335</f>
        <v>Apr-2018</v>
      </c>
      <c r="C3335">
        <f>TEST_DATA!C3335</f>
        <v>43378</v>
      </c>
      <c r="D3335" t="str">
        <f>TEST_DATA!D3335</f>
        <v>NIL</v>
      </c>
      <c r="E3335">
        <f>TEST_DATA!E3335</f>
        <v>663</v>
      </c>
    </row>
    <row r="3336" spans="1:5" x14ac:dyDescent="0.55000000000000004">
      <c r="A3336" t="str">
        <f>TEST_DATA!A3336</f>
        <v>27AAAAA3336Z5</v>
      </c>
      <c r="B3336" t="str">
        <f>TEST_DATA!B3336</f>
        <v>Aug-2018</v>
      </c>
      <c r="C3336">
        <f>TEST_DATA!C3336</f>
        <v>43999</v>
      </c>
      <c r="D3336" t="str">
        <f>TEST_DATA!D3336</f>
        <v>NIL</v>
      </c>
      <c r="E3336">
        <f>TEST_DATA!E3336</f>
        <v>352</v>
      </c>
    </row>
    <row r="3337" spans="1:5" x14ac:dyDescent="0.55000000000000004">
      <c r="A3337" t="str">
        <f>TEST_DATA!A3337</f>
        <v>27AAAAA3337Z5</v>
      </c>
      <c r="B3337" t="str">
        <f>TEST_DATA!B3337</f>
        <v>Mar-2020</v>
      </c>
      <c r="C3337">
        <f>TEST_DATA!C3337</f>
        <v>43880</v>
      </c>
      <c r="D3337" t="str">
        <f>TEST_DATA!D3337</f>
        <v>NIL</v>
      </c>
      <c r="E3337">
        <f>TEST_DATA!E3337</f>
        <v>833</v>
      </c>
    </row>
    <row r="3338" spans="1:5" x14ac:dyDescent="0.55000000000000004">
      <c r="A3338" t="str">
        <f>TEST_DATA!A3338</f>
        <v>27AAAAA3338Z5</v>
      </c>
      <c r="B3338" t="str">
        <f>TEST_DATA!B3338</f>
        <v>Aug-2017</v>
      </c>
      <c r="C3338">
        <f>TEST_DATA!C3338</f>
        <v>43204</v>
      </c>
      <c r="D3338" t="str">
        <f>TEST_DATA!D3338</f>
        <v>NIL</v>
      </c>
      <c r="E3338">
        <f>TEST_DATA!E3338</f>
        <v>1472</v>
      </c>
    </row>
    <row r="3339" spans="1:5" x14ac:dyDescent="0.55000000000000004">
      <c r="A3339" t="str">
        <f>TEST_DATA!A3339</f>
        <v>27AAAAA3339Z5</v>
      </c>
      <c r="B3339" t="str">
        <f>TEST_DATA!B3339</f>
        <v>Mar-2021</v>
      </c>
      <c r="C3339">
        <f>TEST_DATA!C3339</f>
        <v>45137</v>
      </c>
      <c r="D3339" t="str">
        <f>TEST_DATA!D3339</f>
        <v>NIL</v>
      </c>
      <c r="E3339">
        <f>TEST_DATA!E3339</f>
        <v>1395</v>
      </c>
    </row>
    <row r="3340" spans="1:5" x14ac:dyDescent="0.55000000000000004">
      <c r="A3340" t="str">
        <f>TEST_DATA!A3340</f>
        <v>27AAAAA3340Z5</v>
      </c>
      <c r="B3340" t="str">
        <f>TEST_DATA!B3340</f>
        <v>Dec-2017</v>
      </c>
      <c r="C3340">
        <f>TEST_DATA!C3340</f>
        <v>44314</v>
      </c>
      <c r="D3340" t="str">
        <f>TEST_DATA!D3340</f>
        <v>NON-NIL</v>
      </c>
      <c r="E3340">
        <f>TEST_DATA!E3340</f>
        <v>778</v>
      </c>
    </row>
    <row r="3341" spans="1:5" x14ac:dyDescent="0.55000000000000004">
      <c r="A3341" t="str">
        <f>TEST_DATA!A3341</f>
        <v>27AAAAA3341Z5</v>
      </c>
      <c r="B3341" t="str">
        <f>TEST_DATA!B3341</f>
        <v>Dec-2022</v>
      </c>
      <c r="C3341">
        <f>TEST_DATA!C3341</f>
        <v>44315</v>
      </c>
      <c r="D3341" t="str">
        <f>TEST_DATA!D3341</f>
        <v>NON-NIL</v>
      </c>
      <c r="E3341">
        <f>TEST_DATA!E3341</f>
        <v>2051</v>
      </c>
    </row>
    <row r="3342" spans="1:5" x14ac:dyDescent="0.55000000000000004">
      <c r="A3342" t="str">
        <f>TEST_DATA!A3342</f>
        <v>27AAAAA3342Z5</v>
      </c>
      <c r="B3342" t="str">
        <f>TEST_DATA!B3342</f>
        <v>Jun-2018</v>
      </c>
      <c r="C3342">
        <f>TEST_DATA!C3342</f>
        <v>43647</v>
      </c>
      <c r="D3342" t="str">
        <f>TEST_DATA!D3342</f>
        <v>NIL</v>
      </c>
      <c r="E3342">
        <f>TEST_DATA!E3342</f>
        <v>275</v>
      </c>
    </row>
    <row r="3343" spans="1:5" x14ac:dyDescent="0.55000000000000004">
      <c r="A3343" t="str">
        <f>TEST_DATA!A3343</f>
        <v>27AAAAA3343Z5</v>
      </c>
      <c r="B3343" t="str">
        <f>TEST_DATA!B3343</f>
        <v>Sep-2018</v>
      </c>
      <c r="C3343">
        <f>TEST_DATA!C3343</f>
        <v>43792</v>
      </c>
      <c r="D3343" t="str">
        <f>TEST_DATA!D3343</f>
        <v>NON-NIL</v>
      </c>
      <c r="E3343">
        <f>TEST_DATA!E3343</f>
        <v>290</v>
      </c>
    </row>
    <row r="3344" spans="1:5" x14ac:dyDescent="0.55000000000000004">
      <c r="A3344" t="str">
        <f>TEST_DATA!A3344</f>
        <v>27AAAAA3344Z5</v>
      </c>
      <c r="B3344" t="str">
        <f>TEST_DATA!B3344</f>
        <v>Mar-2020</v>
      </c>
      <c r="C3344">
        <f>TEST_DATA!C3344</f>
        <v>43991</v>
      </c>
      <c r="D3344" t="str">
        <f>TEST_DATA!D3344</f>
        <v>NIL</v>
      </c>
      <c r="E3344">
        <f>TEST_DATA!E3344</f>
        <v>2118</v>
      </c>
    </row>
    <row r="3345" spans="1:5" x14ac:dyDescent="0.55000000000000004">
      <c r="A3345" t="str">
        <f>TEST_DATA!A3345</f>
        <v>27AAAAA3345Z5</v>
      </c>
      <c r="B3345" t="str">
        <f>TEST_DATA!B3345</f>
        <v>Apr-2018</v>
      </c>
      <c r="C3345">
        <f>TEST_DATA!C3345</f>
        <v>43123</v>
      </c>
      <c r="D3345" t="str">
        <f>TEST_DATA!D3345</f>
        <v>NIL</v>
      </c>
      <c r="E3345">
        <f>TEST_DATA!E3345</f>
        <v>2042</v>
      </c>
    </row>
    <row r="3346" spans="1:5" x14ac:dyDescent="0.55000000000000004">
      <c r="A3346" t="str">
        <f>TEST_DATA!A3346</f>
        <v>27AAAAA3346Z5</v>
      </c>
      <c r="B3346" t="str">
        <f>TEST_DATA!B3346</f>
        <v>Feb-2018</v>
      </c>
      <c r="C3346">
        <f>TEST_DATA!C3346</f>
        <v>43022</v>
      </c>
      <c r="D3346" t="str">
        <f>TEST_DATA!D3346</f>
        <v>NON-NIL</v>
      </c>
      <c r="E3346">
        <f>TEST_DATA!E3346</f>
        <v>92</v>
      </c>
    </row>
    <row r="3347" spans="1:5" x14ac:dyDescent="0.55000000000000004">
      <c r="A3347" t="str">
        <f>TEST_DATA!A3347</f>
        <v>27AAAAA3347Z5</v>
      </c>
      <c r="B3347" t="str">
        <f>TEST_DATA!B3347</f>
        <v>Feb-2018</v>
      </c>
      <c r="C3347">
        <f>TEST_DATA!C3347</f>
        <v>43510</v>
      </c>
      <c r="D3347" t="str">
        <f>TEST_DATA!D3347</f>
        <v>NON-NIL</v>
      </c>
      <c r="E3347">
        <f>TEST_DATA!E3347</f>
        <v>1599</v>
      </c>
    </row>
    <row r="3348" spans="1:5" x14ac:dyDescent="0.55000000000000004">
      <c r="A3348" t="str">
        <f>TEST_DATA!A3348</f>
        <v>27AAAAA3348Z5</v>
      </c>
      <c r="B3348" t="str">
        <f>TEST_DATA!B3348</f>
        <v>Jul-2020</v>
      </c>
      <c r="C3348">
        <f>TEST_DATA!C3348</f>
        <v>44563</v>
      </c>
      <c r="D3348" t="str">
        <f>TEST_DATA!D3348</f>
        <v>NIL</v>
      </c>
      <c r="E3348">
        <f>TEST_DATA!E3348</f>
        <v>646</v>
      </c>
    </row>
    <row r="3349" spans="1:5" x14ac:dyDescent="0.55000000000000004">
      <c r="A3349" t="str">
        <f>TEST_DATA!A3349</f>
        <v>27AAAAA3349Z5</v>
      </c>
      <c r="B3349" t="str">
        <f>TEST_DATA!B3349</f>
        <v>Apr-2018</v>
      </c>
      <c r="C3349">
        <f>TEST_DATA!C3349</f>
        <v>43070</v>
      </c>
      <c r="D3349" t="str">
        <f>TEST_DATA!D3349</f>
        <v>NIL</v>
      </c>
      <c r="E3349">
        <f>TEST_DATA!E3349</f>
        <v>2120</v>
      </c>
    </row>
    <row r="3350" spans="1:5" x14ac:dyDescent="0.55000000000000004">
      <c r="A3350" t="str">
        <f>TEST_DATA!A3350</f>
        <v>27AAAAA3350Z5</v>
      </c>
      <c r="B3350" t="str">
        <f>TEST_DATA!B3350</f>
        <v>Apr-2020</v>
      </c>
      <c r="C3350">
        <f>TEST_DATA!C3350</f>
        <v>44855</v>
      </c>
      <c r="D3350" t="str">
        <f>TEST_DATA!D3350</f>
        <v>NON-NIL</v>
      </c>
      <c r="E3350">
        <f>TEST_DATA!E3350</f>
        <v>1635</v>
      </c>
    </row>
    <row r="3351" spans="1:5" x14ac:dyDescent="0.55000000000000004">
      <c r="A3351" t="str">
        <f>TEST_DATA!A3351</f>
        <v>27AAAAA3351Z5</v>
      </c>
      <c r="B3351" t="str">
        <f>TEST_DATA!B3351</f>
        <v>Apr-2020</v>
      </c>
      <c r="C3351">
        <f>TEST_DATA!C3351</f>
        <v>43947</v>
      </c>
      <c r="D3351" t="str">
        <f>TEST_DATA!D3351</f>
        <v>NIL</v>
      </c>
      <c r="E3351">
        <f>TEST_DATA!E3351</f>
        <v>2387</v>
      </c>
    </row>
    <row r="3352" spans="1:5" x14ac:dyDescent="0.55000000000000004">
      <c r="A3352" t="str">
        <f>TEST_DATA!A3352</f>
        <v>27AAAAA3352Z5</v>
      </c>
      <c r="B3352" t="str">
        <f>TEST_DATA!B3352</f>
        <v>Jan-2019</v>
      </c>
      <c r="C3352">
        <f>TEST_DATA!C3352</f>
        <v>44543</v>
      </c>
      <c r="D3352" t="str">
        <f>TEST_DATA!D3352</f>
        <v>NIL</v>
      </c>
      <c r="E3352">
        <f>TEST_DATA!E3352</f>
        <v>132</v>
      </c>
    </row>
    <row r="3353" spans="1:5" x14ac:dyDescent="0.55000000000000004">
      <c r="A3353" t="str">
        <f>TEST_DATA!A3353</f>
        <v>27AAAAA3353Z5</v>
      </c>
      <c r="B3353" t="str">
        <f>TEST_DATA!B3353</f>
        <v>May-2018</v>
      </c>
      <c r="C3353">
        <f>TEST_DATA!C3353</f>
        <v>43780</v>
      </c>
      <c r="D3353" t="str">
        <f>TEST_DATA!D3353</f>
        <v>NON-NIL</v>
      </c>
      <c r="E3353">
        <f>TEST_DATA!E3353</f>
        <v>821</v>
      </c>
    </row>
    <row r="3354" spans="1:5" x14ac:dyDescent="0.55000000000000004">
      <c r="A3354" t="str">
        <f>TEST_DATA!A3354</f>
        <v>27AAAAA3354Z5</v>
      </c>
      <c r="B3354" t="str">
        <f>TEST_DATA!B3354</f>
        <v>May-2018</v>
      </c>
      <c r="C3354">
        <f>TEST_DATA!C3354</f>
        <v>44483</v>
      </c>
      <c r="D3354" t="str">
        <f>TEST_DATA!D3354</f>
        <v>NIL</v>
      </c>
      <c r="E3354">
        <f>TEST_DATA!E3354</f>
        <v>570</v>
      </c>
    </row>
    <row r="3355" spans="1:5" x14ac:dyDescent="0.55000000000000004">
      <c r="A3355" t="str">
        <f>TEST_DATA!A3355</f>
        <v>27AAAAA3355Z5</v>
      </c>
      <c r="B3355" t="str">
        <f>TEST_DATA!B3355</f>
        <v>Jan-2018</v>
      </c>
      <c r="C3355">
        <f>TEST_DATA!C3355</f>
        <v>44037</v>
      </c>
      <c r="D3355" t="str">
        <f>TEST_DATA!D3355</f>
        <v>NON-NIL</v>
      </c>
      <c r="E3355">
        <f>TEST_DATA!E3355</f>
        <v>2717</v>
      </c>
    </row>
    <row r="3356" spans="1:5" x14ac:dyDescent="0.55000000000000004">
      <c r="A3356" t="str">
        <f>TEST_DATA!A3356</f>
        <v>27AAAAA3356Z5</v>
      </c>
      <c r="B3356" t="str">
        <f>TEST_DATA!B3356</f>
        <v>Dec-2024</v>
      </c>
      <c r="C3356">
        <f>TEST_DATA!C3356</f>
        <v>43721</v>
      </c>
      <c r="D3356" t="str">
        <f>TEST_DATA!D3356</f>
        <v>NIL</v>
      </c>
      <c r="E3356">
        <f>TEST_DATA!E3356</f>
        <v>2021</v>
      </c>
    </row>
    <row r="3357" spans="1:5" x14ac:dyDescent="0.55000000000000004">
      <c r="A3357" t="str">
        <f>TEST_DATA!A3357</f>
        <v>27AAAAA3357Z5</v>
      </c>
      <c r="B3357" t="str">
        <f>TEST_DATA!B3357</f>
        <v>Sep-2017</v>
      </c>
      <c r="C3357">
        <f>TEST_DATA!C3357</f>
        <v>44071</v>
      </c>
      <c r="D3357" t="str">
        <f>TEST_DATA!D3357</f>
        <v>NIL</v>
      </c>
      <c r="E3357">
        <f>TEST_DATA!E3357</f>
        <v>1416</v>
      </c>
    </row>
    <row r="3358" spans="1:5" x14ac:dyDescent="0.55000000000000004">
      <c r="A3358" t="str">
        <f>TEST_DATA!A3358</f>
        <v>27AAAAA3358Z5</v>
      </c>
      <c r="B3358" t="str">
        <f>TEST_DATA!B3358</f>
        <v>Sep-2017</v>
      </c>
      <c r="C3358">
        <f>TEST_DATA!C3358</f>
        <v>43769</v>
      </c>
      <c r="D3358" t="str">
        <f>TEST_DATA!D3358</f>
        <v>NIL</v>
      </c>
      <c r="E3358">
        <f>TEST_DATA!E3358</f>
        <v>2258</v>
      </c>
    </row>
    <row r="3359" spans="1:5" x14ac:dyDescent="0.55000000000000004">
      <c r="A3359" t="str">
        <f>TEST_DATA!A3359</f>
        <v>27AAAAA3359Z5</v>
      </c>
      <c r="B3359" t="str">
        <f>TEST_DATA!B3359</f>
        <v>Jan-2019</v>
      </c>
      <c r="C3359">
        <f>TEST_DATA!C3359</f>
        <v>43996</v>
      </c>
      <c r="D3359" t="str">
        <f>TEST_DATA!D3359</f>
        <v>NON-NIL</v>
      </c>
      <c r="E3359">
        <f>TEST_DATA!E3359</f>
        <v>2962</v>
      </c>
    </row>
    <row r="3360" spans="1:5" x14ac:dyDescent="0.55000000000000004">
      <c r="A3360" t="str">
        <f>TEST_DATA!A3360</f>
        <v>27AAAAA3360Z5</v>
      </c>
      <c r="B3360" t="str">
        <f>TEST_DATA!B3360</f>
        <v>Aug-2017</v>
      </c>
      <c r="C3360">
        <f>TEST_DATA!C3360</f>
        <v>43130</v>
      </c>
      <c r="D3360" t="str">
        <f>TEST_DATA!D3360</f>
        <v>NIL</v>
      </c>
      <c r="E3360">
        <f>TEST_DATA!E3360</f>
        <v>2034</v>
      </c>
    </row>
    <row r="3361" spans="1:5" x14ac:dyDescent="0.55000000000000004">
      <c r="A3361" t="str">
        <f>TEST_DATA!A3361</f>
        <v>27AAAAA3361Z5</v>
      </c>
      <c r="B3361" t="str">
        <f>TEST_DATA!B3361</f>
        <v>Jun-2019</v>
      </c>
      <c r="C3361">
        <f>TEST_DATA!C3361</f>
        <v>44388</v>
      </c>
      <c r="D3361" t="str">
        <f>TEST_DATA!D3361</f>
        <v>NON-NIL</v>
      </c>
      <c r="E3361">
        <f>TEST_DATA!E3361</f>
        <v>1767</v>
      </c>
    </row>
    <row r="3362" spans="1:5" x14ac:dyDescent="0.55000000000000004">
      <c r="A3362" t="str">
        <f>TEST_DATA!A3362</f>
        <v>27AAAAA3362Z5</v>
      </c>
      <c r="B3362" t="str">
        <f>TEST_DATA!B3362</f>
        <v>Jan-2019</v>
      </c>
      <c r="C3362">
        <f>TEST_DATA!C3362</f>
        <v>44708</v>
      </c>
      <c r="D3362" t="str">
        <f>TEST_DATA!D3362</f>
        <v>NIL</v>
      </c>
      <c r="E3362">
        <f>TEST_DATA!E3362</f>
        <v>87</v>
      </c>
    </row>
    <row r="3363" spans="1:5" x14ac:dyDescent="0.55000000000000004">
      <c r="A3363" t="str">
        <f>TEST_DATA!A3363</f>
        <v>27AAAAA3363Z5</v>
      </c>
      <c r="B3363" t="str">
        <f>TEST_DATA!B3363</f>
        <v>Aug-2017</v>
      </c>
      <c r="C3363">
        <f>TEST_DATA!C3363</f>
        <v>42970</v>
      </c>
      <c r="D3363" t="str">
        <f>TEST_DATA!D3363</f>
        <v>NIL</v>
      </c>
      <c r="E3363">
        <f>TEST_DATA!E3363</f>
        <v>2188</v>
      </c>
    </row>
    <row r="3364" spans="1:5" x14ac:dyDescent="0.55000000000000004">
      <c r="A3364" t="str">
        <f>TEST_DATA!A3364</f>
        <v>27AAAAA3364Z5</v>
      </c>
      <c r="B3364" t="str">
        <f>TEST_DATA!B3364</f>
        <v>Apr-2020</v>
      </c>
      <c r="C3364">
        <f>TEST_DATA!C3364</f>
        <v>44607</v>
      </c>
      <c r="D3364" t="str">
        <f>TEST_DATA!D3364</f>
        <v>NIL</v>
      </c>
      <c r="E3364">
        <f>TEST_DATA!E3364</f>
        <v>2263</v>
      </c>
    </row>
    <row r="3365" spans="1:5" x14ac:dyDescent="0.55000000000000004">
      <c r="A3365" t="str">
        <f>TEST_DATA!A3365</f>
        <v>27AAAAA3365Z5</v>
      </c>
      <c r="B3365" t="str">
        <f>TEST_DATA!B3365</f>
        <v>Jan-2019</v>
      </c>
      <c r="C3365">
        <f>TEST_DATA!C3365</f>
        <v>43679</v>
      </c>
      <c r="D3365" t="str">
        <f>TEST_DATA!D3365</f>
        <v>NON-NIL</v>
      </c>
      <c r="E3365">
        <f>TEST_DATA!E3365</f>
        <v>1545</v>
      </c>
    </row>
    <row r="3366" spans="1:5" x14ac:dyDescent="0.55000000000000004">
      <c r="A3366" t="str">
        <f>TEST_DATA!A3366</f>
        <v>27AAAAA3366Z5</v>
      </c>
      <c r="B3366" t="str">
        <f>TEST_DATA!B3366</f>
        <v>Jul-2020</v>
      </c>
      <c r="C3366">
        <f>TEST_DATA!C3366</f>
        <v>44087</v>
      </c>
      <c r="D3366" t="str">
        <f>TEST_DATA!D3366</f>
        <v>NON-NIL</v>
      </c>
      <c r="E3366">
        <f>TEST_DATA!E3366</f>
        <v>2872</v>
      </c>
    </row>
    <row r="3367" spans="1:5" x14ac:dyDescent="0.55000000000000004">
      <c r="A3367" t="str">
        <f>TEST_DATA!A3367</f>
        <v>27AAAAA3367Z5</v>
      </c>
      <c r="B3367" t="str">
        <f>TEST_DATA!B3367</f>
        <v>Aug-2018</v>
      </c>
      <c r="C3367">
        <f>TEST_DATA!C3367</f>
        <v>44042</v>
      </c>
      <c r="D3367" t="str">
        <f>TEST_DATA!D3367</f>
        <v>NIL</v>
      </c>
      <c r="E3367">
        <f>TEST_DATA!E3367</f>
        <v>473</v>
      </c>
    </row>
    <row r="3368" spans="1:5" x14ac:dyDescent="0.55000000000000004">
      <c r="A3368" t="str">
        <f>TEST_DATA!A3368</f>
        <v>27AAAAA3368Z5</v>
      </c>
      <c r="B3368" t="str">
        <f>TEST_DATA!B3368</f>
        <v>Sep-2018</v>
      </c>
      <c r="C3368">
        <f>TEST_DATA!C3368</f>
        <v>43158</v>
      </c>
      <c r="D3368" t="str">
        <f>TEST_DATA!D3368</f>
        <v>NON-NIL</v>
      </c>
      <c r="E3368">
        <f>TEST_DATA!E3368</f>
        <v>1440</v>
      </c>
    </row>
    <row r="3369" spans="1:5" x14ac:dyDescent="0.55000000000000004">
      <c r="A3369" t="str">
        <f>TEST_DATA!A3369</f>
        <v>27AAAAA3369Z5</v>
      </c>
      <c r="B3369" t="str">
        <f>TEST_DATA!B3369</f>
        <v>Jan-2018</v>
      </c>
      <c r="C3369">
        <f>TEST_DATA!C3369</f>
        <v>43619</v>
      </c>
      <c r="D3369" t="str">
        <f>TEST_DATA!D3369</f>
        <v>NON-NIL</v>
      </c>
      <c r="E3369">
        <f>TEST_DATA!E3369</f>
        <v>237</v>
      </c>
    </row>
    <row r="3370" spans="1:5" x14ac:dyDescent="0.55000000000000004">
      <c r="A3370" t="str">
        <f>TEST_DATA!A3370</f>
        <v>27AAAAA3370Z5</v>
      </c>
      <c r="B3370" t="str">
        <f>TEST_DATA!B3370</f>
        <v>Feb-2018</v>
      </c>
      <c r="C3370">
        <f>TEST_DATA!C3370</f>
        <v>43392</v>
      </c>
      <c r="D3370" t="str">
        <f>TEST_DATA!D3370</f>
        <v>NIL</v>
      </c>
      <c r="E3370">
        <f>TEST_DATA!E3370</f>
        <v>2410</v>
      </c>
    </row>
    <row r="3371" spans="1:5" x14ac:dyDescent="0.55000000000000004">
      <c r="A3371" t="str">
        <f>TEST_DATA!A3371</f>
        <v>27AAAAA3371Z5</v>
      </c>
      <c r="B3371" t="str">
        <f>TEST_DATA!B3371</f>
        <v>Jul-2017</v>
      </c>
      <c r="C3371">
        <f>TEST_DATA!C3371</f>
        <v>43382</v>
      </c>
      <c r="D3371" t="str">
        <f>TEST_DATA!D3371</f>
        <v>NON-NIL</v>
      </c>
      <c r="E3371">
        <f>TEST_DATA!E3371</f>
        <v>2196</v>
      </c>
    </row>
    <row r="3372" spans="1:5" x14ac:dyDescent="0.55000000000000004">
      <c r="A3372" t="str">
        <f>TEST_DATA!A3372</f>
        <v>27AAAAA3372Z5</v>
      </c>
      <c r="B3372" t="str">
        <f>TEST_DATA!B3372</f>
        <v>Mar-2020</v>
      </c>
      <c r="C3372">
        <f>TEST_DATA!C3372</f>
        <v>43924</v>
      </c>
      <c r="D3372" t="str">
        <f>TEST_DATA!D3372</f>
        <v>NIL</v>
      </c>
      <c r="E3372">
        <f>TEST_DATA!E3372</f>
        <v>2948</v>
      </c>
    </row>
    <row r="3373" spans="1:5" x14ac:dyDescent="0.55000000000000004">
      <c r="A3373" t="str">
        <f>TEST_DATA!A3373</f>
        <v>27AAAAA3373Z5</v>
      </c>
      <c r="B3373" t="str">
        <f>TEST_DATA!B3373</f>
        <v>Feb-2018</v>
      </c>
      <c r="C3373">
        <f>TEST_DATA!C3373</f>
        <v>43033</v>
      </c>
      <c r="D3373" t="str">
        <f>TEST_DATA!D3373</f>
        <v>NIL</v>
      </c>
      <c r="E3373">
        <f>TEST_DATA!E3373</f>
        <v>232</v>
      </c>
    </row>
    <row r="3374" spans="1:5" x14ac:dyDescent="0.55000000000000004">
      <c r="A3374" t="str">
        <f>TEST_DATA!A3374</f>
        <v>27AAAAA3374Z5</v>
      </c>
      <c r="B3374" t="str">
        <f>TEST_DATA!B3374</f>
        <v>Nov-2017</v>
      </c>
      <c r="C3374">
        <f>TEST_DATA!C3374</f>
        <v>43815</v>
      </c>
      <c r="D3374" t="str">
        <f>TEST_DATA!D3374</f>
        <v>NIL</v>
      </c>
      <c r="E3374">
        <f>TEST_DATA!E3374</f>
        <v>1157</v>
      </c>
    </row>
    <row r="3375" spans="1:5" x14ac:dyDescent="0.55000000000000004">
      <c r="A3375" t="str">
        <f>TEST_DATA!A3375</f>
        <v>27AAAAA3375Z5</v>
      </c>
      <c r="B3375" t="str">
        <f>TEST_DATA!B3375</f>
        <v>Aug-2017</v>
      </c>
      <c r="C3375">
        <f>TEST_DATA!C3375</f>
        <v>43560</v>
      </c>
      <c r="D3375" t="str">
        <f>TEST_DATA!D3375</f>
        <v>NON-NIL</v>
      </c>
      <c r="E3375">
        <f>TEST_DATA!E3375</f>
        <v>2467</v>
      </c>
    </row>
    <row r="3376" spans="1:5" x14ac:dyDescent="0.55000000000000004">
      <c r="A3376" t="str">
        <f>TEST_DATA!A3376</f>
        <v>27AAAAA3376Z5</v>
      </c>
      <c r="B3376" t="str">
        <f>TEST_DATA!B3376</f>
        <v>May-2020</v>
      </c>
      <c r="C3376">
        <f>TEST_DATA!C3376</f>
        <v>44331</v>
      </c>
      <c r="D3376" t="str">
        <f>TEST_DATA!D3376</f>
        <v>NON-NIL</v>
      </c>
      <c r="E3376">
        <f>TEST_DATA!E3376</f>
        <v>531</v>
      </c>
    </row>
    <row r="3377" spans="1:5" x14ac:dyDescent="0.55000000000000004">
      <c r="A3377" t="str">
        <f>TEST_DATA!A3377</f>
        <v>27AAAAA3377Z5</v>
      </c>
      <c r="B3377" t="str">
        <f>TEST_DATA!B3377</f>
        <v>Apr-2020</v>
      </c>
      <c r="C3377">
        <f>TEST_DATA!C3377</f>
        <v>44645</v>
      </c>
      <c r="D3377" t="str">
        <f>TEST_DATA!D3377</f>
        <v>NON-NIL</v>
      </c>
      <c r="E3377">
        <f>TEST_DATA!E3377</f>
        <v>2693</v>
      </c>
    </row>
    <row r="3378" spans="1:5" x14ac:dyDescent="0.55000000000000004">
      <c r="A3378" t="str">
        <f>TEST_DATA!A3378</f>
        <v>27AAAAA3378Z5</v>
      </c>
      <c r="B3378" t="str">
        <f>TEST_DATA!B3378</f>
        <v>Oct-2017</v>
      </c>
      <c r="C3378">
        <f>TEST_DATA!C3378</f>
        <v>44261</v>
      </c>
      <c r="D3378" t="str">
        <f>TEST_DATA!D3378</f>
        <v>NIL</v>
      </c>
      <c r="E3378">
        <f>TEST_DATA!E3378</f>
        <v>312</v>
      </c>
    </row>
    <row r="3379" spans="1:5" x14ac:dyDescent="0.55000000000000004">
      <c r="A3379" t="str">
        <f>TEST_DATA!A3379</f>
        <v>27AAAAA3379Z5</v>
      </c>
      <c r="B3379" t="str">
        <f>TEST_DATA!B3379</f>
        <v>Mar-2018</v>
      </c>
      <c r="C3379">
        <f>TEST_DATA!C3379</f>
        <v>44030</v>
      </c>
      <c r="D3379" t="str">
        <f>TEST_DATA!D3379</f>
        <v>NIL</v>
      </c>
      <c r="E3379">
        <f>TEST_DATA!E3379</f>
        <v>2027</v>
      </c>
    </row>
    <row r="3380" spans="1:5" x14ac:dyDescent="0.55000000000000004">
      <c r="A3380" t="str">
        <f>TEST_DATA!A3380</f>
        <v>27AAAAA3380Z5</v>
      </c>
      <c r="B3380" t="str">
        <f>TEST_DATA!B3380</f>
        <v>Jul-2020</v>
      </c>
      <c r="C3380">
        <f>TEST_DATA!C3380</f>
        <v>44562</v>
      </c>
      <c r="D3380" t="str">
        <f>TEST_DATA!D3380</f>
        <v>NIL</v>
      </c>
      <c r="E3380">
        <f>TEST_DATA!E3380</f>
        <v>1816</v>
      </c>
    </row>
    <row r="3381" spans="1:5" x14ac:dyDescent="0.55000000000000004">
      <c r="A3381" t="str">
        <f>TEST_DATA!A3381</f>
        <v>27AAAAA3381Z5</v>
      </c>
      <c r="B3381" t="str">
        <f>TEST_DATA!B3381</f>
        <v>Jul-2020</v>
      </c>
      <c r="C3381">
        <f>TEST_DATA!C3381</f>
        <v>44450</v>
      </c>
      <c r="D3381" t="str">
        <f>TEST_DATA!D3381</f>
        <v>NON-NIL</v>
      </c>
      <c r="E3381">
        <f>TEST_DATA!E3381</f>
        <v>2258</v>
      </c>
    </row>
    <row r="3382" spans="1:5" x14ac:dyDescent="0.55000000000000004">
      <c r="A3382" t="str">
        <f>TEST_DATA!A3382</f>
        <v>27AAAAA3382Z5</v>
      </c>
      <c r="B3382" t="str">
        <f>TEST_DATA!B3382</f>
        <v>Apr-2018</v>
      </c>
      <c r="C3382">
        <f>TEST_DATA!C3382</f>
        <v>44255</v>
      </c>
      <c r="D3382" t="str">
        <f>TEST_DATA!D3382</f>
        <v>NIL</v>
      </c>
      <c r="E3382">
        <f>TEST_DATA!E3382</f>
        <v>2157</v>
      </c>
    </row>
    <row r="3383" spans="1:5" x14ac:dyDescent="0.55000000000000004">
      <c r="A3383" t="str">
        <f>TEST_DATA!A3383</f>
        <v>27AAAAA3383Z5</v>
      </c>
      <c r="B3383" t="str">
        <f>TEST_DATA!B3383</f>
        <v>Dec-2024</v>
      </c>
      <c r="C3383">
        <f>TEST_DATA!C3383</f>
        <v>44561</v>
      </c>
      <c r="D3383" t="str">
        <f>TEST_DATA!D3383</f>
        <v>NON-NIL</v>
      </c>
      <c r="E3383">
        <f>TEST_DATA!E3383</f>
        <v>2858</v>
      </c>
    </row>
    <row r="3384" spans="1:5" x14ac:dyDescent="0.55000000000000004">
      <c r="A3384" t="str">
        <f>TEST_DATA!A3384</f>
        <v>27AAAAA3384Z5</v>
      </c>
      <c r="B3384" t="str">
        <f>TEST_DATA!B3384</f>
        <v>Dec-2019</v>
      </c>
      <c r="C3384">
        <f>TEST_DATA!C3384</f>
        <v>45528</v>
      </c>
      <c r="D3384" t="str">
        <f>TEST_DATA!D3384</f>
        <v>NIL</v>
      </c>
      <c r="E3384">
        <f>TEST_DATA!E3384</f>
        <v>221</v>
      </c>
    </row>
    <row r="3385" spans="1:5" x14ac:dyDescent="0.55000000000000004">
      <c r="A3385" t="str">
        <f>TEST_DATA!A3385</f>
        <v>27AAAAA3385Z5</v>
      </c>
      <c r="B3385" t="str">
        <f>TEST_DATA!B3385</f>
        <v>Jun-2018</v>
      </c>
      <c r="C3385">
        <f>TEST_DATA!C3385</f>
        <v>43758</v>
      </c>
      <c r="D3385" t="str">
        <f>TEST_DATA!D3385</f>
        <v>NON-NIL</v>
      </c>
      <c r="E3385">
        <f>TEST_DATA!E3385</f>
        <v>1145</v>
      </c>
    </row>
    <row r="3386" spans="1:5" x14ac:dyDescent="0.55000000000000004">
      <c r="A3386" t="str">
        <f>TEST_DATA!A3386</f>
        <v>27AAAAA3386Z5</v>
      </c>
      <c r="B3386" t="str">
        <f>TEST_DATA!B3386</f>
        <v>Sep-2017</v>
      </c>
      <c r="C3386">
        <f>TEST_DATA!C3386</f>
        <v>43333</v>
      </c>
      <c r="D3386" t="str">
        <f>TEST_DATA!D3386</f>
        <v>NIL</v>
      </c>
      <c r="E3386">
        <f>TEST_DATA!E3386</f>
        <v>2133</v>
      </c>
    </row>
    <row r="3387" spans="1:5" x14ac:dyDescent="0.55000000000000004">
      <c r="A3387" t="str">
        <f>TEST_DATA!A3387</f>
        <v>27AAAAA3387Z5</v>
      </c>
      <c r="B3387" t="str">
        <f>TEST_DATA!B3387</f>
        <v>Feb-2018</v>
      </c>
      <c r="C3387">
        <f>TEST_DATA!C3387</f>
        <v>43541</v>
      </c>
      <c r="D3387" t="str">
        <f>TEST_DATA!D3387</f>
        <v>NIL</v>
      </c>
      <c r="E3387">
        <f>TEST_DATA!E3387</f>
        <v>502</v>
      </c>
    </row>
    <row r="3388" spans="1:5" x14ac:dyDescent="0.55000000000000004">
      <c r="A3388" t="str">
        <f>TEST_DATA!A3388</f>
        <v>27AAAAA3388Z5</v>
      </c>
      <c r="B3388" t="str">
        <f>TEST_DATA!B3388</f>
        <v>Jun-2018</v>
      </c>
      <c r="C3388">
        <f>TEST_DATA!C3388</f>
        <v>44401</v>
      </c>
      <c r="D3388" t="str">
        <f>TEST_DATA!D3388</f>
        <v>NIL</v>
      </c>
      <c r="E3388">
        <f>TEST_DATA!E3388</f>
        <v>146</v>
      </c>
    </row>
    <row r="3389" spans="1:5" x14ac:dyDescent="0.55000000000000004">
      <c r="A3389" t="str">
        <f>TEST_DATA!A3389</f>
        <v>27AAAAA3389Z5</v>
      </c>
      <c r="B3389" t="str">
        <f>TEST_DATA!B3389</f>
        <v>Feb-2018</v>
      </c>
      <c r="C3389">
        <f>TEST_DATA!C3389</f>
        <v>44347</v>
      </c>
      <c r="D3389" t="str">
        <f>TEST_DATA!D3389</f>
        <v>NON-NIL</v>
      </c>
      <c r="E3389">
        <f>TEST_DATA!E3389</f>
        <v>2662</v>
      </c>
    </row>
    <row r="3390" spans="1:5" x14ac:dyDescent="0.55000000000000004">
      <c r="A3390" t="str">
        <f>TEST_DATA!A3390</f>
        <v>27AAAAA3390Z5</v>
      </c>
      <c r="B3390" t="str">
        <f>TEST_DATA!B3390</f>
        <v>Mar-2021</v>
      </c>
      <c r="C3390">
        <f>TEST_DATA!C3390</f>
        <v>45324</v>
      </c>
      <c r="D3390" t="str">
        <f>TEST_DATA!D3390</f>
        <v>NIL</v>
      </c>
      <c r="E3390">
        <f>TEST_DATA!E3390</f>
        <v>87</v>
      </c>
    </row>
    <row r="3391" spans="1:5" x14ac:dyDescent="0.55000000000000004">
      <c r="A3391" t="str">
        <f>TEST_DATA!A3391</f>
        <v>27AAAAA3391Z5</v>
      </c>
      <c r="B3391" t="str">
        <f>TEST_DATA!B3391</f>
        <v>Jan-2019</v>
      </c>
      <c r="C3391">
        <f>TEST_DATA!C3391</f>
        <v>43604</v>
      </c>
      <c r="D3391" t="str">
        <f>TEST_DATA!D3391</f>
        <v>NON-NIL</v>
      </c>
      <c r="E3391">
        <f>TEST_DATA!E3391</f>
        <v>1138</v>
      </c>
    </row>
    <row r="3392" spans="1:5" x14ac:dyDescent="0.55000000000000004">
      <c r="A3392" t="str">
        <f>TEST_DATA!A3392</f>
        <v>27AAAAA3392Z5</v>
      </c>
      <c r="B3392" t="str">
        <f>TEST_DATA!B3392</f>
        <v>Mar-2020</v>
      </c>
      <c r="C3392">
        <f>TEST_DATA!C3392</f>
        <v>44617</v>
      </c>
      <c r="D3392" t="str">
        <f>TEST_DATA!D3392</f>
        <v>NON-NIL</v>
      </c>
      <c r="E3392">
        <f>TEST_DATA!E3392</f>
        <v>346</v>
      </c>
    </row>
    <row r="3393" spans="1:5" x14ac:dyDescent="0.55000000000000004">
      <c r="A3393" t="str">
        <f>TEST_DATA!A3393</f>
        <v>27AAAAA3393Z5</v>
      </c>
      <c r="B3393" t="str">
        <f>TEST_DATA!B3393</f>
        <v>Aug-2017</v>
      </c>
      <c r="C3393">
        <f>TEST_DATA!C3393</f>
        <v>43488</v>
      </c>
      <c r="D3393" t="str">
        <f>TEST_DATA!D3393</f>
        <v>NON-NIL</v>
      </c>
      <c r="E3393">
        <f>TEST_DATA!E3393</f>
        <v>2028</v>
      </c>
    </row>
    <row r="3394" spans="1:5" x14ac:dyDescent="0.55000000000000004">
      <c r="A3394" t="str">
        <f>TEST_DATA!A3394</f>
        <v>27AAAAA3394Z5</v>
      </c>
      <c r="B3394" t="str">
        <f>TEST_DATA!B3394</f>
        <v>Jul-2017</v>
      </c>
      <c r="C3394">
        <f>TEST_DATA!C3394</f>
        <v>43700</v>
      </c>
      <c r="D3394" t="str">
        <f>TEST_DATA!D3394</f>
        <v>NON-NIL</v>
      </c>
      <c r="E3394">
        <f>TEST_DATA!E3394</f>
        <v>1818</v>
      </c>
    </row>
    <row r="3395" spans="1:5" x14ac:dyDescent="0.55000000000000004">
      <c r="A3395" t="str">
        <f>TEST_DATA!A3395</f>
        <v>27AAAAA3395Z5</v>
      </c>
      <c r="B3395" t="str">
        <f>TEST_DATA!B3395</f>
        <v>Aug-2017</v>
      </c>
      <c r="C3395">
        <f>TEST_DATA!C3395</f>
        <v>43376</v>
      </c>
      <c r="D3395" t="str">
        <f>TEST_DATA!D3395</f>
        <v>NIL</v>
      </c>
      <c r="E3395">
        <f>TEST_DATA!E3395</f>
        <v>1553</v>
      </c>
    </row>
    <row r="3396" spans="1:5" x14ac:dyDescent="0.55000000000000004">
      <c r="A3396" t="str">
        <f>TEST_DATA!A3396</f>
        <v>27AAAAA3396Z5</v>
      </c>
      <c r="B3396" t="str">
        <f>TEST_DATA!B3396</f>
        <v>Dec-2017</v>
      </c>
      <c r="C3396">
        <f>TEST_DATA!C3396</f>
        <v>44268</v>
      </c>
      <c r="D3396" t="str">
        <f>TEST_DATA!D3396</f>
        <v>NON-NIL</v>
      </c>
      <c r="E3396">
        <f>TEST_DATA!E3396</f>
        <v>2181</v>
      </c>
    </row>
    <row r="3397" spans="1:5" x14ac:dyDescent="0.55000000000000004">
      <c r="A3397" t="str">
        <f>TEST_DATA!A3397</f>
        <v>27AAAAA3397Z5</v>
      </c>
      <c r="B3397" t="str">
        <f>TEST_DATA!B3397</f>
        <v>Aug-2017</v>
      </c>
      <c r="C3397">
        <f>TEST_DATA!C3397</f>
        <v>44269</v>
      </c>
      <c r="D3397" t="str">
        <f>TEST_DATA!D3397</f>
        <v>NON-NIL</v>
      </c>
      <c r="E3397">
        <f>TEST_DATA!E3397</f>
        <v>128</v>
      </c>
    </row>
    <row r="3398" spans="1:5" x14ac:dyDescent="0.55000000000000004">
      <c r="A3398" t="str">
        <f>TEST_DATA!A3398</f>
        <v>27AAAAA3398Z5</v>
      </c>
      <c r="B3398" t="str">
        <f>TEST_DATA!B3398</f>
        <v>Dec-2019</v>
      </c>
      <c r="C3398">
        <f>TEST_DATA!C3398</f>
        <v>44890</v>
      </c>
      <c r="D3398" t="str">
        <f>TEST_DATA!D3398</f>
        <v>NIL</v>
      </c>
      <c r="E3398">
        <f>TEST_DATA!E3398</f>
        <v>2493</v>
      </c>
    </row>
    <row r="3399" spans="1:5" x14ac:dyDescent="0.55000000000000004">
      <c r="A3399" t="str">
        <f>TEST_DATA!A3399</f>
        <v>27AAAAA3399Z5</v>
      </c>
      <c r="B3399" t="str">
        <f>TEST_DATA!B3399</f>
        <v>Mar-2021</v>
      </c>
      <c r="C3399">
        <f>TEST_DATA!C3399</f>
        <v>44843</v>
      </c>
      <c r="D3399" t="str">
        <f>TEST_DATA!D3399</f>
        <v>NON-NIL</v>
      </c>
      <c r="E3399">
        <f>TEST_DATA!E3399</f>
        <v>2420</v>
      </c>
    </row>
    <row r="3400" spans="1:5" x14ac:dyDescent="0.55000000000000004">
      <c r="A3400" t="str">
        <f>TEST_DATA!A3400</f>
        <v>27AAAAA3400Z5</v>
      </c>
      <c r="B3400" t="str">
        <f>TEST_DATA!B3400</f>
        <v>Jan-2018</v>
      </c>
      <c r="C3400">
        <f>TEST_DATA!C3400</f>
        <v>44467</v>
      </c>
      <c r="D3400" t="str">
        <f>TEST_DATA!D3400</f>
        <v>NIL</v>
      </c>
      <c r="E3400">
        <f>TEST_DATA!E3400</f>
        <v>1396</v>
      </c>
    </row>
    <row r="3401" spans="1:5" x14ac:dyDescent="0.55000000000000004">
      <c r="A3401" t="str">
        <f>TEST_DATA!A3401</f>
        <v>27AAAAA3401Z5</v>
      </c>
      <c r="B3401" t="str">
        <f>TEST_DATA!B3401</f>
        <v>Jan-2021</v>
      </c>
      <c r="C3401">
        <f>TEST_DATA!C3401</f>
        <v>45243</v>
      </c>
      <c r="D3401" t="str">
        <f>TEST_DATA!D3401</f>
        <v>NON-NIL</v>
      </c>
      <c r="E3401">
        <f>TEST_DATA!E3401</f>
        <v>2986</v>
      </c>
    </row>
    <row r="3402" spans="1:5" x14ac:dyDescent="0.55000000000000004">
      <c r="A3402" t="str">
        <f>TEST_DATA!A3402</f>
        <v>27AAAAA3402Z5</v>
      </c>
      <c r="B3402" t="str">
        <f>TEST_DATA!B3402</f>
        <v>Jan-2021</v>
      </c>
      <c r="C3402">
        <f>TEST_DATA!C3402</f>
        <v>43699</v>
      </c>
      <c r="D3402" t="str">
        <f>TEST_DATA!D3402</f>
        <v>NIL</v>
      </c>
      <c r="E3402">
        <f>TEST_DATA!E3402</f>
        <v>2266</v>
      </c>
    </row>
    <row r="3403" spans="1:5" x14ac:dyDescent="0.55000000000000004">
      <c r="A3403" t="str">
        <f>TEST_DATA!A3403</f>
        <v>27AAAAA3403Z5</v>
      </c>
      <c r="B3403" t="str">
        <f>TEST_DATA!B3403</f>
        <v>Jul-2018</v>
      </c>
      <c r="C3403">
        <f>TEST_DATA!C3403</f>
        <v>44394</v>
      </c>
      <c r="D3403" t="str">
        <f>TEST_DATA!D3403</f>
        <v>NON-NIL</v>
      </c>
      <c r="E3403">
        <f>TEST_DATA!E3403</f>
        <v>2190</v>
      </c>
    </row>
    <row r="3404" spans="1:5" x14ac:dyDescent="0.55000000000000004">
      <c r="A3404" t="str">
        <f>TEST_DATA!A3404</f>
        <v>27AAAAA3404Z5</v>
      </c>
      <c r="B3404" t="str">
        <f>TEST_DATA!B3404</f>
        <v>Sep-2018</v>
      </c>
      <c r="C3404">
        <f>TEST_DATA!C3404</f>
        <v>43785</v>
      </c>
      <c r="D3404" t="str">
        <f>TEST_DATA!D3404</f>
        <v>NON-NIL</v>
      </c>
      <c r="E3404">
        <f>TEST_DATA!E3404</f>
        <v>665</v>
      </c>
    </row>
    <row r="3405" spans="1:5" x14ac:dyDescent="0.55000000000000004">
      <c r="A3405" t="str">
        <f>TEST_DATA!A3405</f>
        <v>27AAAAA3405Z5</v>
      </c>
      <c r="B3405" t="str">
        <f>TEST_DATA!B3405</f>
        <v>Jul-2018</v>
      </c>
      <c r="C3405">
        <f>TEST_DATA!C3405</f>
        <v>43874</v>
      </c>
      <c r="D3405" t="str">
        <f>TEST_DATA!D3405</f>
        <v>NIL</v>
      </c>
      <c r="E3405">
        <f>TEST_DATA!E3405</f>
        <v>540</v>
      </c>
    </row>
    <row r="3406" spans="1:5" x14ac:dyDescent="0.55000000000000004">
      <c r="A3406" t="str">
        <f>TEST_DATA!A3406</f>
        <v>27AAAAA3406Z5</v>
      </c>
      <c r="B3406" t="str">
        <f>TEST_DATA!B3406</f>
        <v>Jul-2017</v>
      </c>
      <c r="C3406">
        <f>TEST_DATA!C3406</f>
        <v>43491</v>
      </c>
      <c r="D3406" t="str">
        <f>TEST_DATA!D3406</f>
        <v>NON-NIL</v>
      </c>
      <c r="E3406">
        <f>TEST_DATA!E3406</f>
        <v>350</v>
      </c>
    </row>
    <row r="3407" spans="1:5" x14ac:dyDescent="0.55000000000000004">
      <c r="A3407" t="str">
        <f>TEST_DATA!A3407</f>
        <v>27AAAAA3407Z5</v>
      </c>
      <c r="B3407" t="str">
        <f>TEST_DATA!B3407</f>
        <v>Feb-2018</v>
      </c>
      <c r="C3407">
        <f>TEST_DATA!C3407</f>
        <v>44496</v>
      </c>
      <c r="D3407" t="str">
        <f>TEST_DATA!D3407</f>
        <v>NON-NIL</v>
      </c>
      <c r="E3407">
        <f>TEST_DATA!E3407</f>
        <v>1382</v>
      </c>
    </row>
    <row r="3408" spans="1:5" x14ac:dyDescent="0.55000000000000004">
      <c r="A3408" t="str">
        <f>TEST_DATA!A3408</f>
        <v>27AAAAA3408Z5</v>
      </c>
      <c r="B3408" t="str">
        <f>TEST_DATA!B3408</f>
        <v>Mar-2020</v>
      </c>
      <c r="C3408">
        <f>TEST_DATA!C3408</f>
        <v>44639</v>
      </c>
      <c r="D3408" t="str">
        <f>TEST_DATA!D3408</f>
        <v>NIL</v>
      </c>
      <c r="E3408">
        <f>TEST_DATA!E3408</f>
        <v>2521</v>
      </c>
    </row>
    <row r="3409" spans="1:5" x14ac:dyDescent="0.55000000000000004">
      <c r="A3409" t="str">
        <f>TEST_DATA!A3409</f>
        <v>27AAAAA3409Z5</v>
      </c>
      <c r="B3409" t="str">
        <f>TEST_DATA!B3409</f>
        <v>Mar-2018</v>
      </c>
      <c r="C3409">
        <f>TEST_DATA!C3409</f>
        <v>43657</v>
      </c>
      <c r="D3409" t="str">
        <f>TEST_DATA!D3409</f>
        <v>NON-NIL</v>
      </c>
      <c r="E3409">
        <f>TEST_DATA!E3409</f>
        <v>2700</v>
      </c>
    </row>
    <row r="3410" spans="1:5" x14ac:dyDescent="0.55000000000000004">
      <c r="A3410" t="str">
        <f>TEST_DATA!A3410</f>
        <v>27AAAAA3410Z5</v>
      </c>
      <c r="B3410" t="str">
        <f>TEST_DATA!B3410</f>
        <v>Mar-2018</v>
      </c>
      <c r="C3410">
        <f>TEST_DATA!C3410</f>
        <v>44519</v>
      </c>
      <c r="D3410" t="str">
        <f>TEST_DATA!D3410</f>
        <v>NIL</v>
      </c>
      <c r="E3410">
        <f>TEST_DATA!E3410</f>
        <v>509</v>
      </c>
    </row>
    <row r="3411" spans="1:5" x14ac:dyDescent="0.55000000000000004">
      <c r="A3411" t="str">
        <f>TEST_DATA!A3411</f>
        <v>27AAAAA3411Z5</v>
      </c>
      <c r="B3411" t="str">
        <f>TEST_DATA!B3411</f>
        <v>Apr-2018</v>
      </c>
      <c r="C3411">
        <f>TEST_DATA!C3411</f>
        <v>44081</v>
      </c>
      <c r="D3411" t="str">
        <f>TEST_DATA!D3411</f>
        <v>NON-NIL</v>
      </c>
      <c r="E3411">
        <f>TEST_DATA!E3411</f>
        <v>1083</v>
      </c>
    </row>
    <row r="3412" spans="1:5" x14ac:dyDescent="0.55000000000000004">
      <c r="A3412" t="str">
        <f>TEST_DATA!A3412</f>
        <v>27AAAAA3412Z5</v>
      </c>
      <c r="B3412" t="str">
        <f>TEST_DATA!B3412</f>
        <v>Mar-2023</v>
      </c>
      <c r="C3412">
        <f>TEST_DATA!C3412</f>
        <v>44198</v>
      </c>
      <c r="D3412" t="str">
        <f>TEST_DATA!D3412</f>
        <v>NON-NIL</v>
      </c>
      <c r="E3412">
        <f>TEST_DATA!E3412</f>
        <v>1895</v>
      </c>
    </row>
    <row r="3413" spans="1:5" x14ac:dyDescent="0.55000000000000004">
      <c r="A3413" t="str">
        <f>TEST_DATA!A3413</f>
        <v>27AAAAA3413Z5</v>
      </c>
      <c r="B3413" t="str">
        <f>TEST_DATA!B3413</f>
        <v>Jul-2017</v>
      </c>
      <c r="C3413">
        <f>TEST_DATA!C3413</f>
        <v>43817</v>
      </c>
      <c r="D3413" t="str">
        <f>TEST_DATA!D3413</f>
        <v>NIL</v>
      </c>
      <c r="E3413">
        <f>TEST_DATA!E3413</f>
        <v>1910</v>
      </c>
    </row>
    <row r="3414" spans="1:5" x14ac:dyDescent="0.55000000000000004">
      <c r="A3414" t="str">
        <f>TEST_DATA!A3414</f>
        <v>27AAAAA3414Z5</v>
      </c>
      <c r="B3414" t="str">
        <f>TEST_DATA!B3414</f>
        <v>Aug-2017</v>
      </c>
      <c r="C3414">
        <f>TEST_DATA!C3414</f>
        <v>43651</v>
      </c>
      <c r="D3414" t="str">
        <f>TEST_DATA!D3414</f>
        <v>NON-NIL</v>
      </c>
      <c r="E3414">
        <f>TEST_DATA!E3414</f>
        <v>2612</v>
      </c>
    </row>
    <row r="3415" spans="1:5" x14ac:dyDescent="0.55000000000000004">
      <c r="A3415" t="str">
        <f>TEST_DATA!A3415</f>
        <v>27AAAAA3415Z5</v>
      </c>
      <c r="B3415" t="str">
        <f>TEST_DATA!B3415</f>
        <v>Mar-2023</v>
      </c>
      <c r="C3415">
        <f>TEST_DATA!C3415</f>
        <v>45745</v>
      </c>
      <c r="D3415" t="str">
        <f>TEST_DATA!D3415</f>
        <v>NIL</v>
      </c>
      <c r="E3415">
        <f>TEST_DATA!E3415</f>
        <v>1673</v>
      </c>
    </row>
    <row r="3416" spans="1:5" x14ac:dyDescent="0.55000000000000004">
      <c r="A3416" t="str">
        <f>TEST_DATA!A3416</f>
        <v>27AAAAA3416Z5</v>
      </c>
      <c r="B3416" t="str">
        <f>TEST_DATA!B3416</f>
        <v>Aug-2017</v>
      </c>
      <c r="C3416">
        <f>TEST_DATA!C3416</f>
        <v>44103</v>
      </c>
      <c r="D3416" t="str">
        <f>TEST_DATA!D3416</f>
        <v>NIL</v>
      </c>
      <c r="E3416">
        <f>TEST_DATA!E3416</f>
        <v>1132</v>
      </c>
    </row>
    <row r="3417" spans="1:5" x14ac:dyDescent="0.55000000000000004">
      <c r="A3417" t="str">
        <f>TEST_DATA!A3417</f>
        <v>27AAAAA3417Z5</v>
      </c>
      <c r="B3417" t="str">
        <f>TEST_DATA!B3417</f>
        <v>Dec-2024</v>
      </c>
      <c r="C3417">
        <f>TEST_DATA!C3417</f>
        <v>45724</v>
      </c>
      <c r="D3417" t="str">
        <f>TEST_DATA!D3417</f>
        <v>NON-NIL</v>
      </c>
      <c r="E3417">
        <f>TEST_DATA!E3417</f>
        <v>262</v>
      </c>
    </row>
    <row r="3418" spans="1:5" x14ac:dyDescent="0.55000000000000004">
      <c r="A3418" t="str">
        <f>TEST_DATA!A3418</f>
        <v>27AAAAA3418Z5</v>
      </c>
      <c r="B3418" t="str">
        <f>TEST_DATA!B3418</f>
        <v>Sep-2018</v>
      </c>
      <c r="C3418">
        <f>TEST_DATA!C3418</f>
        <v>43285</v>
      </c>
      <c r="D3418" t="str">
        <f>TEST_DATA!D3418</f>
        <v>NON-NIL</v>
      </c>
      <c r="E3418">
        <f>TEST_DATA!E3418</f>
        <v>1131</v>
      </c>
    </row>
    <row r="3419" spans="1:5" x14ac:dyDescent="0.55000000000000004">
      <c r="A3419" t="str">
        <f>TEST_DATA!A3419</f>
        <v>27AAAAA3419Z5</v>
      </c>
      <c r="B3419" t="str">
        <f>TEST_DATA!B3419</f>
        <v>Mar-2018</v>
      </c>
      <c r="C3419">
        <f>TEST_DATA!C3419</f>
        <v>43930</v>
      </c>
      <c r="D3419" t="str">
        <f>TEST_DATA!D3419</f>
        <v>NIL</v>
      </c>
      <c r="E3419">
        <f>TEST_DATA!E3419</f>
        <v>931</v>
      </c>
    </row>
    <row r="3420" spans="1:5" x14ac:dyDescent="0.55000000000000004">
      <c r="A3420" t="str">
        <f>TEST_DATA!A3420</f>
        <v>27AAAAA3420Z5</v>
      </c>
      <c r="B3420" t="str">
        <f>TEST_DATA!B3420</f>
        <v>May-2020</v>
      </c>
      <c r="C3420">
        <f>TEST_DATA!C3420</f>
        <v>44188</v>
      </c>
      <c r="D3420" t="str">
        <f>TEST_DATA!D3420</f>
        <v>NIL</v>
      </c>
      <c r="E3420">
        <f>TEST_DATA!E3420</f>
        <v>2531</v>
      </c>
    </row>
    <row r="3421" spans="1:5" x14ac:dyDescent="0.55000000000000004">
      <c r="A3421" t="str">
        <f>TEST_DATA!A3421</f>
        <v>27AAAAA3421Z5</v>
      </c>
      <c r="B3421" t="str">
        <f>TEST_DATA!B3421</f>
        <v>May-2020</v>
      </c>
      <c r="C3421">
        <f>TEST_DATA!C3421</f>
        <v>43932</v>
      </c>
      <c r="D3421" t="str">
        <f>TEST_DATA!D3421</f>
        <v>NIL</v>
      </c>
      <c r="E3421">
        <f>TEST_DATA!E3421</f>
        <v>468</v>
      </c>
    </row>
    <row r="3422" spans="1:5" x14ac:dyDescent="0.55000000000000004">
      <c r="A3422" t="str">
        <f>TEST_DATA!A3422</f>
        <v>27AAAAA3422Z5</v>
      </c>
      <c r="B3422" t="str">
        <f>TEST_DATA!B3422</f>
        <v>May-2020</v>
      </c>
      <c r="C3422">
        <f>TEST_DATA!C3422</f>
        <v>43909</v>
      </c>
      <c r="D3422" t="str">
        <f>TEST_DATA!D3422</f>
        <v>NIL</v>
      </c>
      <c r="E3422">
        <f>TEST_DATA!E3422</f>
        <v>2803</v>
      </c>
    </row>
    <row r="3423" spans="1:5" x14ac:dyDescent="0.55000000000000004">
      <c r="A3423" t="str">
        <f>TEST_DATA!A3423</f>
        <v>27AAAAA3423Z5</v>
      </c>
      <c r="B3423" t="str">
        <f>TEST_DATA!B3423</f>
        <v>Jun-2019</v>
      </c>
      <c r="C3423">
        <f>TEST_DATA!C3423</f>
        <v>45269</v>
      </c>
      <c r="D3423" t="str">
        <f>TEST_DATA!D3423</f>
        <v>NON-NIL</v>
      </c>
      <c r="E3423">
        <f>TEST_DATA!E3423</f>
        <v>171</v>
      </c>
    </row>
    <row r="3424" spans="1:5" x14ac:dyDescent="0.55000000000000004">
      <c r="A3424" t="str">
        <f>TEST_DATA!A3424</f>
        <v>27AAAAA3424Z5</v>
      </c>
      <c r="B3424" t="str">
        <f>TEST_DATA!B3424</f>
        <v>Dec-2019</v>
      </c>
      <c r="C3424">
        <f>TEST_DATA!C3424</f>
        <v>44399</v>
      </c>
      <c r="D3424" t="str">
        <f>TEST_DATA!D3424</f>
        <v>NIL</v>
      </c>
      <c r="E3424">
        <f>TEST_DATA!E3424</f>
        <v>2926</v>
      </c>
    </row>
    <row r="3425" spans="1:5" x14ac:dyDescent="0.55000000000000004">
      <c r="A3425" t="str">
        <f>TEST_DATA!A3425</f>
        <v>27AAAAA3425Z5</v>
      </c>
      <c r="B3425" t="str">
        <f>TEST_DATA!B3425</f>
        <v>Mar-2018</v>
      </c>
      <c r="C3425">
        <f>TEST_DATA!C3425</f>
        <v>43444</v>
      </c>
      <c r="D3425" t="str">
        <f>TEST_DATA!D3425</f>
        <v>NIL</v>
      </c>
      <c r="E3425">
        <f>TEST_DATA!E3425</f>
        <v>2778</v>
      </c>
    </row>
    <row r="3426" spans="1:5" x14ac:dyDescent="0.55000000000000004">
      <c r="A3426" t="str">
        <f>TEST_DATA!A3426</f>
        <v>27AAAAA3426Z5</v>
      </c>
      <c r="B3426" t="str">
        <f>TEST_DATA!B3426</f>
        <v>Mar-2023</v>
      </c>
      <c r="C3426">
        <f>TEST_DATA!C3426</f>
        <v>44913</v>
      </c>
      <c r="D3426" t="str">
        <f>TEST_DATA!D3426</f>
        <v>NIL</v>
      </c>
      <c r="E3426">
        <f>TEST_DATA!E3426</f>
        <v>2459</v>
      </c>
    </row>
    <row r="3427" spans="1:5" x14ac:dyDescent="0.55000000000000004">
      <c r="A3427" t="str">
        <f>TEST_DATA!A3427</f>
        <v>27AAAAA3427Z5</v>
      </c>
      <c r="B3427" t="str">
        <f>TEST_DATA!B3427</f>
        <v>Feb-2018</v>
      </c>
      <c r="C3427">
        <f>TEST_DATA!C3427</f>
        <v>43633</v>
      </c>
      <c r="D3427" t="str">
        <f>TEST_DATA!D3427</f>
        <v>NIL</v>
      </c>
      <c r="E3427">
        <f>TEST_DATA!E3427</f>
        <v>317</v>
      </c>
    </row>
    <row r="3428" spans="1:5" x14ac:dyDescent="0.55000000000000004">
      <c r="A3428" t="str">
        <f>TEST_DATA!A3428</f>
        <v>27AAAAA3428Z5</v>
      </c>
      <c r="B3428" t="str">
        <f>TEST_DATA!B3428</f>
        <v>Jun-2019</v>
      </c>
      <c r="C3428">
        <f>TEST_DATA!C3428</f>
        <v>45283</v>
      </c>
      <c r="D3428" t="str">
        <f>TEST_DATA!D3428</f>
        <v>NIL</v>
      </c>
      <c r="E3428">
        <f>TEST_DATA!E3428</f>
        <v>2093</v>
      </c>
    </row>
    <row r="3429" spans="1:5" x14ac:dyDescent="0.55000000000000004">
      <c r="A3429" t="str">
        <f>TEST_DATA!A3429</f>
        <v>27AAAAA3429Z5</v>
      </c>
      <c r="B3429" t="str">
        <f>TEST_DATA!B3429</f>
        <v>Sep-2017</v>
      </c>
      <c r="C3429">
        <f>TEST_DATA!C3429</f>
        <v>43402</v>
      </c>
      <c r="D3429" t="str">
        <f>TEST_DATA!D3429</f>
        <v>NIL</v>
      </c>
      <c r="E3429">
        <f>TEST_DATA!E3429</f>
        <v>1334</v>
      </c>
    </row>
    <row r="3430" spans="1:5" x14ac:dyDescent="0.55000000000000004">
      <c r="A3430" t="str">
        <f>TEST_DATA!A3430</f>
        <v>27AAAAA3430Z5</v>
      </c>
      <c r="B3430" t="str">
        <f>TEST_DATA!B3430</f>
        <v>Mar-2020</v>
      </c>
      <c r="C3430">
        <f>TEST_DATA!C3430</f>
        <v>44591</v>
      </c>
      <c r="D3430" t="str">
        <f>TEST_DATA!D3430</f>
        <v>NON-NIL</v>
      </c>
      <c r="E3430">
        <f>TEST_DATA!E3430</f>
        <v>292</v>
      </c>
    </row>
    <row r="3431" spans="1:5" x14ac:dyDescent="0.55000000000000004">
      <c r="A3431" t="str">
        <f>TEST_DATA!A3431</f>
        <v>27AAAAA3431Z5</v>
      </c>
      <c r="B3431" t="str">
        <f>TEST_DATA!B3431</f>
        <v>May-2020</v>
      </c>
      <c r="C3431">
        <f>TEST_DATA!C3431</f>
        <v>44704</v>
      </c>
      <c r="D3431" t="str">
        <f>TEST_DATA!D3431</f>
        <v>NON-NIL</v>
      </c>
      <c r="E3431">
        <f>TEST_DATA!E3431</f>
        <v>586</v>
      </c>
    </row>
    <row r="3432" spans="1:5" x14ac:dyDescent="0.55000000000000004">
      <c r="A3432" t="str">
        <f>TEST_DATA!A3432</f>
        <v>27AAAAA3432Z5</v>
      </c>
      <c r="B3432" t="str">
        <f>TEST_DATA!B3432</f>
        <v>Jul-2017</v>
      </c>
      <c r="C3432">
        <f>TEST_DATA!C3432</f>
        <v>43585</v>
      </c>
      <c r="D3432" t="str">
        <f>TEST_DATA!D3432</f>
        <v>NON-NIL</v>
      </c>
      <c r="E3432">
        <f>TEST_DATA!E3432</f>
        <v>1372</v>
      </c>
    </row>
    <row r="3433" spans="1:5" x14ac:dyDescent="0.55000000000000004">
      <c r="A3433" t="str">
        <f>TEST_DATA!A3433</f>
        <v>27AAAAA3433Z5</v>
      </c>
      <c r="B3433" t="str">
        <f>TEST_DATA!B3433</f>
        <v>Aug-2018</v>
      </c>
      <c r="C3433">
        <f>TEST_DATA!C3433</f>
        <v>44252</v>
      </c>
      <c r="D3433" t="str">
        <f>TEST_DATA!D3433</f>
        <v>NON-NIL</v>
      </c>
      <c r="E3433">
        <f>TEST_DATA!E3433</f>
        <v>1927</v>
      </c>
    </row>
    <row r="3434" spans="1:5" x14ac:dyDescent="0.55000000000000004">
      <c r="A3434" t="str">
        <f>TEST_DATA!A3434</f>
        <v>27AAAAA3434Z5</v>
      </c>
      <c r="B3434" t="str">
        <f>TEST_DATA!B3434</f>
        <v>Apr-2018</v>
      </c>
      <c r="C3434">
        <f>TEST_DATA!C3434</f>
        <v>44190</v>
      </c>
      <c r="D3434" t="str">
        <f>TEST_DATA!D3434</f>
        <v>NIL</v>
      </c>
      <c r="E3434">
        <f>TEST_DATA!E3434</f>
        <v>656</v>
      </c>
    </row>
    <row r="3435" spans="1:5" x14ac:dyDescent="0.55000000000000004">
      <c r="A3435" t="str">
        <f>TEST_DATA!A3435</f>
        <v>27AAAAA3435Z5</v>
      </c>
      <c r="B3435" t="str">
        <f>TEST_DATA!B3435</f>
        <v>Jun-2018</v>
      </c>
      <c r="C3435">
        <f>TEST_DATA!C3435</f>
        <v>43008</v>
      </c>
      <c r="D3435" t="str">
        <f>TEST_DATA!D3435</f>
        <v>NON-NIL</v>
      </c>
      <c r="E3435">
        <f>TEST_DATA!E3435</f>
        <v>614</v>
      </c>
    </row>
    <row r="3436" spans="1:5" x14ac:dyDescent="0.55000000000000004">
      <c r="A3436" t="str">
        <f>TEST_DATA!A3436</f>
        <v>27AAAAA3436Z5</v>
      </c>
      <c r="B3436" t="str">
        <f>TEST_DATA!B3436</f>
        <v>Mar-2020</v>
      </c>
      <c r="C3436">
        <f>TEST_DATA!C3436</f>
        <v>43883</v>
      </c>
      <c r="D3436" t="str">
        <f>TEST_DATA!D3436</f>
        <v>NIL</v>
      </c>
      <c r="E3436">
        <f>TEST_DATA!E3436</f>
        <v>2494</v>
      </c>
    </row>
    <row r="3437" spans="1:5" x14ac:dyDescent="0.55000000000000004">
      <c r="A3437" t="str">
        <f>TEST_DATA!A3437</f>
        <v>27AAAAA3437Z5</v>
      </c>
      <c r="B3437" t="str">
        <f>TEST_DATA!B3437</f>
        <v>Jan-2018</v>
      </c>
      <c r="C3437">
        <f>TEST_DATA!C3437</f>
        <v>43558</v>
      </c>
      <c r="D3437" t="str">
        <f>TEST_DATA!D3437</f>
        <v>NON-NIL</v>
      </c>
      <c r="E3437">
        <f>TEST_DATA!E3437</f>
        <v>880</v>
      </c>
    </row>
    <row r="3438" spans="1:5" x14ac:dyDescent="0.55000000000000004">
      <c r="A3438" t="str">
        <f>TEST_DATA!A3438</f>
        <v>27AAAAA3438Z5</v>
      </c>
      <c r="B3438" t="str">
        <f>TEST_DATA!B3438</f>
        <v>Jul-2018</v>
      </c>
      <c r="C3438">
        <f>TEST_DATA!C3438</f>
        <v>44110</v>
      </c>
      <c r="D3438" t="str">
        <f>TEST_DATA!D3438</f>
        <v>NIL</v>
      </c>
      <c r="E3438">
        <f>TEST_DATA!E3438</f>
        <v>2691</v>
      </c>
    </row>
    <row r="3439" spans="1:5" x14ac:dyDescent="0.55000000000000004">
      <c r="A3439" t="str">
        <f>TEST_DATA!A3439</f>
        <v>27AAAAA3439Z5</v>
      </c>
      <c r="B3439" t="str">
        <f>TEST_DATA!B3439</f>
        <v>Jan-2021</v>
      </c>
      <c r="C3439">
        <f>TEST_DATA!C3439</f>
        <v>44080</v>
      </c>
      <c r="D3439" t="str">
        <f>TEST_DATA!D3439</f>
        <v>NON-NIL</v>
      </c>
      <c r="E3439">
        <f>TEST_DATA!E3439</f>
        <v>2659</v>
      </c>
    </row>
    <row r="3440" spans="1:5" x14ac:dyDescent="0.55000000000000004">
      <c r="A3440" t="str">
        <f>TEST_DATA!A3440</f>
        <v>27AAAAA3440Z5</v>
      </c>
      <c r="B3440" t="str">
        <f>TEST_DATA!B3440</f>
        <v>Sep-2017</v>
      </c>
      <c r="C3440">
        <f>TEST_DATA!C3440</f>
        <v>43075</v>
      </c>
      <c r="D3440" t="str">
        <f>TEST_DATA!D3440</f>
        <v>NIL</v>
      </c>
      <c r="E3440">
        <f>TEST_DATA!E3440</f>
        <v>2315</v>
      </c>
    </row>
    <row r="3441" spans="1:5" x14ac:dyDescent="0.55000000000000004">
      <c r="A3441" t="str">
        <f>TEST_DATA!A3441</f>
        <v>27AAAAA3441Z5</v>
      </c>
      <c r="B3441" t="str">
        <f>TEST_DATA!B3441</f>
        <v>Jun-2019</v>
      </c>
      <c r="C3441">
        <f>TEST_DATA!C3441</f>
        <v>45818</v>
      </c>
      <c r="D3441" t="str">
        <f>TEST_DATA!D3441</f>
        <v>NON-NIL</v>
      </c>
      <c r="E3441">
        <f>TEST_DATA!E3441</f>
        <v>2207</v>
      </c>
    </row>
    <row r="3442" spans="1:5" x14ac:dyDescent="0.55000000000000004">
      <c r="A3442" t="str">
        <f>TEST_DATA!A3442</f>
        <v>27AAAAA3442Z5</v>
      </c>
      <c r="B3442" t="str">
        <f>TEST_DATA!B3442</f>
        <v>Jan-2021</v>
      </c>
      <c r="C3442">
        <f>TEST_DATA!C3442</f>
        <v>43962</v>
      </c>
      <c r="D3442" t="str">
        <f>TEST_DATA!D3442</f>
        <v>NIL</v>
      </c>
      <c r="E3442">
        <f>TEST_DATA!E3442</f>
        <v>2486</v>
      </c>
    </row>
    <row r="3443" spans="1:5" x14ac:dyDescent="0.55000000000000004">
      <c r="A3443" t="str">
        <f>TEST_DATA!A3443</f>
        <v>27AAAAA3443Z5</v>
      </c>
      <c r="B3443" t="str">
        <f>TEST_DATA!B3443</f>
        <v>Jan-2019</v>
      </c>
      <c r="C3443">
        <f>TEST_DATA!C3443</f>
        <v>45614</v>
      </c>
      <c r="D3443" t="str">
        <f>TEST_DATA!D3443</f>
        <v>NON-NIL</v>
      </c>
      <c r="E3443">
        <f>TEST_DATA!E3443</f>
        <v>1298</v>
      </c>
    </row>
    <row r="3444" spans="1:5" x14ac:dyDescent="0.55000000000000004">
      <c r="A3444" t="str">
        <f>TEST_DATA!A3444</f>
        <v>27AAAAA3444Z5</v>
      </c>
      <c r="B3444" t="str">
        <f>TEST_DATA!B3444</f>
        <v>Mar-2018</v>
      </c>
      <c r="C3444">
        <f>TEST_DATA!C3444</f>
        <v>43316</v>
      </c>
      <c r="D3444" t="str">
        <f>TEST_DATA!D3444</f>
        <v>NON-NIL</v>
      </c>
      <c r="E3444">
        <f>TEST_DATA!E3444</f>
        <v>999</v>
      </c>
    </row>
    <row r="3445" spans="1:5" x14ac:dyDescent="0.55000000000000004">
      <c r="A3445" t="str">
        <f>TEST_DATA!A3445</f>
        <v>27AAAAA3445Z5</v>
      </c>
      <c r="B3445" t="str">
        <f>TEST_DATA!B3445</f>
        <v>May-2018</v>
      </c>
      <c r="C3445">
        <f>TEST_DATA!C3445</f>
        <v>43414</v>
      </c>
      <c r="D3445" t="str">
        <f>TEST_DATA!D3445</f>
        <v>NON-NIL</v>
      </c>
      <c r="E3445">
        <f>TEST_DATA!E3445</f>
        <v>945</v>
      </c>
    </row>
    <row r="3446" spans="1:5" x14ac:dyDescent="0.55000000000000004">
      <c r="A3446" t="str">
        <f>TEST_DATA!A3446</f>
        <v>27AAAAA3446Z5</v>
      </c>
      <c r="B3446" t="str">
        <f>TEST_DATA!B3446</f>
        <v>Sep-2018</v>
      </c>
      <c r="C3446">
        <f>TEST_DATA!C3446</f>
        <v>43561</v>
      </c>
      <c r="D3446" t="str">
        <f>TEST_DATA!D3446</f>
        <v>NIL</v>
      </c>
      <c r="E3446">
        <f>TEST_DATA!E3446</f>
        <v>2838</v>
      </c>
    </row>
    <row r="3447" spans="1:5" x14ac:dyDescent="0.55000000000000004">
      <c r="A3447" t="str">
        <f>TEST_DATA!A3447</f>
        <v>27AAAAA3447Z5</v>
      </c>
      <c r="B3447" t="str">
        <f>TEST_DATA!B3447</f>
        <v>Feb-2018</v>
      </c>
      <c r="C3447">
        <f>TEST_DATA!C3447</f>
        <v>43828</v>
      </c>
      <c r="D3447" t="str">
        <f>TEST_DATA!D3447</f>
        <v>NON-NIL</v>
      </c>
      <c r="E3447">
        <f>TEST_DATA!E3447</f>
        <v>1482</v>
      </c>
    </row>
    <row r="3448" spans="1:5" x14ac:dyDescent="0.55000000000000004">
      <c r="A3448" t="str">
        <f>TEST_DATA!A3448</f>
        <v>27AAAAA3448Z5</v>
      </c>
      <c r="B3448" t="str">
        <f>TEST_DATA!B3448</f>
        <v>Sep-2017</v>
      </c>
      <c r="C3448">
        <f>TEST_DATA!C3448</f>
        <v>43637</v>
      </c>
      <c r="D3448" t="str">
        <f>TEST_DATA!D3448</f>
        <v>NIL</v>
      </c>
      <c r="E3448">
        <f>TEST_DATA!E3448</f>
        <v>1483</v>
      </c>
    </row>
    <row r="3449" spans="1:5" x14ac:dyDescent="0.55000000000000004">
      <c r="A3449" t="str">
        <f>TEST_DATA!A3449</f>
        <v>27AAAAA3449Z5</v>
      </c>
      <c r="B3449" t="str">
        <f>TEST_DATA!B3449</f>
        <v>May-2020</v>
      </c>
      <c r="C3449">
        <f>TEST_DATA!C3449</f>
        <v>44822</v>
      </c>
      <c r="D3449" t="str">
        <f>TEST_DATA!D3449</f>
        <v>NIL</v>
      </c>
      <c r="E3449">
        <f>TEST_DATA!E3449</f>
        <v>1838</v>
      </c>
    </row>
    <row r="3450" spans="1:5" x14ac:dyDescent="0.55000000000000004">
      <c r="A3450" t="str">
        <f>TEST_DATA!A3450</f>
        <v>27AAAAA3450Z5</v>
      </c>
      <c r="B3450" t="str">
        <f>TEST_DATA!B3450</f>
        <v>Apr-2021</v>
      </c>
      <c r="C3450">
        <f>TEST_DATA!C3450</f>
        <v>45181</v>
      </c>
      <c r="D3450" t="str">
        <f>TEST_DATA!D3450</f>
        <v>NIL</v>
      </c>
      <c r="E3450">
        <f>TEST_DATA!E3450</f>
        <v>2332</v>
      </c>
    </row>
    <row r="3451" spans="1:5" x14ac:dyDescent="0.55000000000000004">
      <c r="A3451" t="str">
        <f>TEST_DATA!A3451</f>
        <v>27AAAAA3451Z5</v>
      </c>
      <c r="B3451" t="str">
        <f>TEST_DATA!B3451</f>
        <v>Dec-2022</v>
      </c>
      <c r="C3451">
        <f>TEST_DATA!C3451</f>
        <v>43979</v>
      </c>
      <c r="D3451" t="str">
        <f>TEST_DATA!D3451</f>
        <v>NIL</v>
      </c>
      <c r="E3451">
        <f>TEST_DATA!E3451</f>
        <v>1669</v>
      </c>
    </row>
    <row r="3452" spans="1:5" x14ac:dyDescent="0.55000000000000004">
      <c r="A3452" t="str">
        <f>TEST_DATA!A3452</f>
        <v>27AAAAA3452Z5</v>
      </c>
      <c r="B3452" t="str">
        <f>TEST_DATA!B3452</f>
        <v>Jun-2020</v>
      </c>
      <c r="C3452">
        <f>TEST_DATA!C3452</f>
        <v>44113</v>
      </c>
      <c r="D3452" t="str">
        <f>TEST_DATA!D3452</f>
        <v>NON-NIL</v>
      </c>
      <c r="E3452">
        <f>TEST_DATA!E3452</f>
        <v>1175</v>
      </c>
    </row>
    <row r="3453" spans="1:5" x14ac:dyDescent="0.55000000000000004">
      <c r="A3453" t="str">
        <f>TEST_DATA!A3453</f>
        <v>27AAAAA3453Z5</v>
      </c>
      <c r="B3453" t="str">
        <f>TEST_DATA!B3453</f>
        <v>May-2018</v>
      </c>
      <c r="C3453">
        <f>TEST_DATA!C3453</f>
        <v>43559</v>
      </c>
      <c r="D3453" t="str">
        <f>TEST_DATA!D3453</f>
        <v>NIL</v>
      </c>
      <c r="E3453">
        <f>TEST_DATA!E3453</f>
        <v>333</v>
      </c>
    </row>
    <row r="3454" spans="1:5" x14ac:dyDescent="0.55000000000000004">
      <c r="A3454" t="str">
        <f>TEST_DATA!A3454</f>
        <v>27AAAAA3454Z5</v>
      </c>
      <c r="B3454" t="str">
        <f>TEST_DATA!B3454</f>
        <v>Aug-2018</v>
      </c>
      <c r="C3454">
        <f>TEST_DATA!C3454</f>
        <v>43779</v>
      </c>
      <c r="D3454" t="str">
        <f>TEST_DATA!D3454</f>
        <v>NIL</v>
      </c>
      <c r="E3454">
        <f>TEST_DATA!E3454</f>
        <v>2359</v>
      </c>
    </row>
    <row r="3455" spans="1:5" x14ac:dyDescent="0.55000000000000004">
      <c r="A3455" t="str">
        <f>TEST_DATA!A3455</f>
        <v>27AAAAA3455Z5</v>
      </c>
      <c r="B3455" t="str">
        <f>TEST_DATA!B3455</f>
        <v>Jan-2019</v>
      </c>
      <c r="C3455">
        <f>TEST_DATA!C3455</f>
        <v>44277</v>
      </c>
      <c r="D3455" t="str">
        <f>TEST_DATA!D3455</f>
        <v>NIL</v>
      </c>
      <c r="E3455">
        <f>TEST_DATA!E3455</f>
        <v>1859</v>
      </c>
    </row>
    <row r="3456" spans="1:5" x14ac:dyDescent="0.55000000000000004">
      <c r="A3456" t="str">
        <f>TEST_DATA!A3456</f>
        <v>27AAAAA3456Z5</v>
      </c>
      <c r="B3456" t="str">
        <f>TEST_DATA!B3456</f>
        <v>Jul-2017</v>
      </c>
      <c r="C3456">
        <f>TEST_DATA!C3456</f>
        <v>43258</v>
      </c>
      <c r="D3456" t="str">
        <f>TEST_DATA!D3456</f>
        <v>NIL</v>
      </c>
      <c r="E3456">
        <f>TEST_DATA!E3456</f>
        <v>1714</v>
      </c>
    </row>
    <row r="3457" spans="1:5" x14ac:dyDescent="0.55000000000000004">
      <c r="A3457" t="str">
        <f>TEST_DATA!A3457</f>
        <v>27AAAAA3457Z5</v>
      </c>
      <c r="B3457" t="str">
        <f>TEST_DATA!B3457</f>
        <v>Mar-2018</v>
      </c>
      <c r="C3457">
        <f>TEST_DATA!C3457</f>
        <v>44484</v>
      </c>
      <c r="D3457" t="str">
        <f>TEST_DATA!D3457</f>
        <v>NON-NIL</v>
      </c>
      <c r="E3457">
        <f>TEST_DATA!E3457</f>
        <v>413</v>
      </c>
    </row>
    <row r="3458" spans="1:5" x14ac:dyDescent="0.55000000000000004">
      <c r="A3458" t="str">
        <f>TEST_DATA!A3458</f>
        <v>27AAAAA3458Z5</v>
      </c>
      <c r="B3458" t="str">
        <f>TEST_DATA!B3458</f>
        <v>Nov-2017</v>
      </c>
      <c r="C3458">
        <f>TEST_DATA!C3458</f>
        <v>42986</v>
      </c>
      <c r="D3458" t="str">
        <f>TEST_DATA!D3458</f>
        <v>NON-NIL</v>
      </c>
      <c r="E3458">
        <f>TEST_DATA!E3458</f>
        <v>98</v>
      </c>
    </row>
    <row r="3459" spans="1:5" x14ac:dyDescent="0.55000000000000004">
      <c r="A3459" t="str">
        <f>TEST_DATA!A3459</f>
        <v>27AAAAA3459Z5</v>
      </c>
      <c r="B3459" t="str">
        <f>TEST_DATA!B3459</f>
        <v>Jul-2020</v>
      </c>
      <c r="C3459">
        <f>TEST_DATA!C3459</f>
        <v>44172</v>
      </c>
      <c r="D3459" t="str">
        <f>TEST_DATA!D3459</f>
        <v>NIL</v>
      </c>
      <c r="E3459">
        <f>TEST_DATA!E3459</f>
        <v>542</v>
      </c>
    </row>
    <row r="3460" spans="1:5" x14ac:dyDescent="0.55000000000000004">
      <c r="A3460" t="str">
        <f>TEST_DATA!A3460</f>
        <v>27AAAAA3460Z5</v>
      </c>
      <c r="B3460" t="str">
        <f>TEST_DATA!B3460</f>
        <v>Jun-2019</v>
      </c>
      <c r="C3460">
        <f>TEST_DATA!C3460</f>
        <v>45634</v>
      </c>
      <c r="D3460" t="str">
        <f>TEST_DATA!D3460</f>
        <v>NON-NIL</v>
      </c>
      <c r="E3460">
        <f>TEST_DATA!E3460</f>
        <v>1729</v>
      </c>
    </row>
    <row r="3461" spans="1:5" x14ac:dyDescent="0.55000000000000004">
      <c r="A3461" t="str">
        <f>TEST_DATA!A3461</f>
        <v>27AAAAA3461Z5</v>
      </c>
      <c r="B3461" t="str">
        <f>TEST_DATA!B3461</f>
        <v>Jun-2018</v>
      </c>
      <c r="C3461">
        <f>TEST_DATA!C3461</f>
        <v>43178</v>
      </c>
      <c r="D3461" t="str">
        <f>TEST_DATA!D3461</f>
        <v>NON-NIL</v>
      </c>
      <c r="E3461">
        <f>TEST_DATA!E3461</f>
        <v>2854</v>
      </c>
    </row>
    <row r="3462" spans="1:5" x14ac:dyDescent="0.55000000000000004">
      <c r="A3462" t="str">
        <f>TEST_DATA!A3462</f>
        <v>27AAAAA3462Z5</v>
      </c>
      <c r="B3462" t="str">
        <f>TEST_DATA!B3462</f>
        <v>Dec-2019</v>
      </c>
      <c r="C3462">
        <f>TEST_DATA!C3462</f>
        <v>44454</v>
      </c>
      <c r="D3462" t="str">
        <f>TEST_DATA!D3462</f>
        <v>NON-NIL</v>
      </c>
      <c r="E3462">
        <f>TEST_DATA!E3462</f>
        <v>487</v>
      </c>
    </row>
    <row r="3463" spans="1:5" x14ac:dyDescent="0.55000000000000004">
      <c r="A3463" t="str">
        <f>TEST_DATA!A3463</f>
        <v>27AAAAA3463Z5</v>
      </c>
      <c r="B3463" t="str">
        <f>TEST_DATA!B3463</f>
        <v>May-2018</v>
      </c>
      <c r="C3463">
        <f>TEST_DATA!C3463</f>
        <v>43606</v>
      </c>
      <c r="D3463" t="str">
        <f>TEST_DATA!D3463</f>
        <v>NIL</v>
      </c>
      <c r="E3463">
        <f>TEST_DATA!E3463</f>
        <v>2958</v>
      </c>
    </row>
    <row r="3464" spans="1:5" x14ac:dyDescent="0.55000000000000004">
      <c r="A3464" t="str">
        <f>TEST_DATA!A3464</f>
        <v>27AAAAA3464Z5</v>
      </c>
      <c r="B3464" t="str">
        <f>TEST_DATA!B3464</f>
        <v>Aug-2017</v>
      </c>
      <c r="C3464">
        <f>TEST_DATA!C3464</f>
        <v>43068</v>
      </c>
      <c r="D3464" t="str">
        <f>TEST_DATA!D3464</f>
        <v>NON-NIL</v>
      </c>
      <c r="E3464">
        <f>TEST_DATA!E3464</f>
        <v>1838</v>
      </c>
    </row>
    <row r="3465" spans="1:5" x14ac:dyDescent="0.55000000000000004">
      <c r="A3465" t="str">
        <f>TEST_DATA!A3465</f>
        <v>27AAAAA3465Z5</v>
      </c>
      <c r="B3465" t="str">
        <f>TEST_DATA!B3465</f>
        <v>Aug-2018</v>
      </c>
      <c r="C3465">
        <f>TEST_DATA!C3465</f>
        <v>44208</v>
      </c>
      <c r="D3465" t="str">
        <f>TEST_DATA!D3465</f>
        <v>NON-NIL</v>
      </c>
      <c r="E3465">
        <f>TEST_DATA!E3465</f>
        <v>1784</v>
      </c>
    </row>
    <row r="3466" spans="1:5" x14ac:dyDescent="0.55000000000000004">
      <c r="A3466" t="str">
        <f>TEST_DATA!A3466</f>
        <v>27AAAAA3466Z5</v>
      </c>
      <c r="B3466" t="str">
        <f>TEST_DATA!B3466</f>
        <v>Apr-2018</v>
      </c>
      <c r="C3466">
        <f>TEST_DATA!C3466</f>
        <v>44468</v>
      </c>
      <c r="D3466" t="str">
        <f>TEST_DATA!D3466</f>
        <v>NON-NIL</v>
      </c>
      <c r="E3466">
        <f>TEST_DATA!E3466</f>
        <v>2867</v>
      </c>
    </row>
    <row r="3467" spans="1:5" x14ac:dyDescent="0.55000000000000004">
      <c r="A3467" t="str">
        <f>TEST_DATA!A3467</f>
        <v>27AAAAA3467Z5</v>
      </c>
      <c r="B3467" t="str">
        <f>TEST_DATA!B3467</f>
        <v>Nov-2017</v>
      </c>
      <c r="C3467">
        <f>TEST_DATA!C3467</f>
        <v>44419</v>
      </c>
      <c r="D3467" t="str">
        <f>TEST_DATA!D3467</f>
        <v>NIL</v>
      </c>
      <c r="E3467">
        <f>TEST_DATA!E3467</f>
        <v>2964</v>
      </c>
    </row>
    <row r="3468" spans="1:5" x14ac:dyDescent="0.55000000000000004">
      <c r="A3468" t="str">
        <f>TEST_DATA!A3468</f>
        <v>27AAAAA3468Z5</v>
      </c>
      <c r="B3468" t="str">
        <f>TEST_DATA!B3468</f>
        <v>Mar-2021</v>
      </c>
      <c r="C3468">
        <f>TEST_DATA!C3468</f>
        <v>45552</v>
      </c>
      <c r="D3468" t="str">
        <f>TEST_DATA!D3468</f>
        <v>NIL</v>
      </c>
      <c r="E3468">
        <f>TEST_DATA!E3468</f>
        <v>623</v>
      </c>
    </row>
    <row r="3469" spans="1:5" x14ac:dyDescent="0.55000000000000004">
      <c r="A3469" t="str">
        <f>TEST_DATA!A3469</f>
        <v>27AAAAA3469Z5</v>
      </c>
      <c r="B3469" t="str">
        <f>TEST_DATA!B3469</f>
        <v>Dec-2024</v>
      </c>
      <c r="C3469">
        <f>TEST_DATA!C3469</f>
        <v>43497</v>
      </c>
      <c r="D3469" t="str">
        <f>TEST_DATA!D3469</f>
        <v>NON-NIL</v>
      </c>
      <c r="E3469">
        <f>TEST_DATA!E3469</f>
        <v>2760</v>
      </c>
    </row>
    <row r="3470" spans="1:5" x14ac:dyDescent="0.55000000000000004">
      <c r="A3470" t="str">
        <f>TEST_DATA!A3470</f>
        <v>27AAAAA3470Z5</v>
      </c>
      <c r="B3470" t="str">
        <f>TEST_DATA!B3470</f>
        <v>May-2020</v>
      </c>
      <c r="C3470">
        <f>TEST_DATA!C3470</f>
        <v>44759</v>
      </c>
      <c r="D3470" t="str">
        <f>TEST_DATA!D3470</f>
        <v>NON-NIL</v>
      </c>
      <c r="E3470">
        <f>TEST_DATA!E3470</f>
        <v>1312</v>
      </c>
    </row>
    <row r="3471" spans="1:5" x14ac:dyDescent="0.55000000000000004">
      <c r="A3471" t="str">
        <f>TEST_DATA!A3471</f>
        <v>27AAAAA3471Z5</v>
      </c>
      <c r="B3471" t="str">
        <f>TEST_DATA!B3471</f>
        <v>Sep-2018</v>
      </c>
      <c r="C3471">
        <f>TEST_DATA!C3471</f>
        <v>43278</v>
      </c>
      <c r="D3471" t="str">
        <f>TEST_DATA!D3471</f>
        <v>NON-NIL</v>
      </c>
      <c r="E3471">
        <f>TEST_DATA!E3471</f>
        <v>396</v>
      </c>
    </row>
    <row r="3472" spans="1:5" x14ac:dyDescent="0.55000000000000004">
      <c r="A3472" t="str">
        <f>TEST_DATA!A3472</f>
        <v>27AAAAA3472Z5</v>
      </c>
      <c r="B3472" t="str">
        <f>TEST_DATA!B3472</f>
        <v>Feb-2018</v>
      </c>
      <c r="C3472">
        <f>TEST_DATA!C3472</f>
        <v>43525</v>
      </c>
      <c r="D3472" t="str">
        <f>TEST_DATA!D3472</f>
        <v>NON-NIL</v>
      </c>
      <c r="E3472">
        <f>TEST_DATA!E3472</f>
        <v>1397</v>
      </c>
    </row>
    <row r="3473" spans="1:5" x14ac:dyDescent="0.55000000000000004">
      <c r="A3473" t="str">
        <f>TEST_DATA!A3473</f>
        <v>27AAAAA3473Z5</v>
      </c>
      <c r="B3473" t="str">
        <f>TEST_DATA!B3473</f>
        <v>Aug-2017</v>
      </c>
      <c r="C3473">
        <f>TEST_DATA!C3473</f>
        <v>44072</v>
      </c>
      <c r="D3473" t="str">
        <f>TEST_DATA!D3473</f>
        <v>NON-NIL</v>
      </c>
      <c r="E3473">
        <f>TEST_DATA!E3473</f>
        <v>1168</v>
      </c>
    </row>
    <row r="3474" spans="1:5" x14ac:dyDescent="0.55000000000000004">
      <c r="A3474" t="str">
        <f>TEST_DATA!A3474</f>
        <v>27AAAAA3474Z5</v>
      </c>
      <c r="B3474" t="str">
        <f>TEST_DATA!B3474</f>
        <v>May-2018</v>
      </c>
      <c r="C3474">
        <f>TEST_DATA!C3474</f>
        <v>43703</v>
      </c>
      <c r="D3474" t="str">
        <f>TEST_DATA!D3474</f>
        <v>NON-NIL</v>
      </c>
      <c r="E3474">
        <f>TEST_DATA!E3474</f>
        <v>730</v>
      </c>
    </row>
    <row r="3475" spans="1:5" x14ac:dyDescent="0.55000000000000004">
      <c r="A3475" t="str">
        <f>TEST_DATA!A3475</f>
        <v>27AAAAA3475Z5</v>
      </c>
      <c r="B3475" t="str">
        <f>TEST_DATA!B3475</f>
        <v>Nov-2017</v>
      </c>
      <c r="C3475">
        <f>TEST_DATA!C3475</f>
        <v>43002</v>
      </c>
      <c r="D3475" t="str">
        <f>TEST_DATA!D3475</f>
        <v>NIL</v>
      </c>
      <c r="E3475">
        <f>TEST_DATA!E3475</f>
        <v>1763</v>
      </c>
    </row>
    <row r="3476" spans="1:5" x14ac:dyDescent="0.55000000000000004">
      <c r="A3476" t="str">
        <f>TEST_DATA!A3476</f>
        <v>27AAAAA3476Z5</v>
      </c>
      <c r="B3476" t="str">
        <f>TEST_DATA!B3476</f>
        <v>Jun-2019</v>
      </c>
      <c r="C3476">
        <f>TEST_DATA!C3476</f>
        <v>44605</v>
      </c>
      <c r="D3476" t="str">
        <f>TEST_DATA!D3476</f>
        <v>NON-NIL</v>
      </c>
      <c r="E3476">
        <f>TEST_DATA!E3476</f>
        <v>407</v>
      </c>
    </row>
    <row r="3477" spans="1:5" x14ac:dyDescent="0.55000000000000004">
      <c r="A3477" t="str">
        <f>TEST_DATA!A3477</f>
        <v>27AAAAA3477Z5</v>
      </c>
      <c r="B3477" t="str">
        <f>TEST_DATA!B3477</f>
        <v>Jun-2018</v>
      </c>
      <c r="C3477">
        <f>TEST_DATA!C3477</f>
        <v>43500</v>
      </c>
      <c r="D3477" t="str">
        <f>TEST_DATA!D3477</f>
        <v>NIL</v>
      </c>
      <c r="E3477">
        <f>TEST_DATA!E3477</f>
        <v>485</v>
      </c>
    </row>
    <row r="3478" spans="1:5" x14ac:dyDescent="0.55000000000000004">
      <c r="A3478" t="str">
        <f>TEST_DATA!A3478</f>
        <v>27AAAAA3478Z5</v>
      </c>
      <c r="B3478" t="str">
        <f>TEST_DATA!B3478</f>
        <v>Apr-2018</v>
      </c>
      <c r="C3478">
        <f>TEST_DATA!C3478</f>
        <v>43477</v>
      </c>
      <c r="D3478" t="str">
        <f>TEST_DATA!D3478</f>
        <v>NON-NIL</v>
      </c>
      <c r="E3478">
        <f>TEST_DATA!E3478</f>
        <v>1797</v>
      </c>
    </row>
    <row r="3479" spans="1:5" x14ac:dyDescent="0.55000000000000004">
      <c r="A3479" t="str">
        <f>TEST_DATA!A3479</f>
        <v>27AAAAA3479Z5</v>
      </c>
      <c r="B3479" t="str">
        <f>TEST_DATA!B3479</f>
        <v>Feb-2018</v>
      </c>
      <c r="C3479">
        <f>TEST_DATA!C3479</f>
        <v>43263</v>
      </c>
      <c r="D3479" t="str">
        <f>TEST_DATA!D3479</f>
        <v>NON-NIL</v>
      </c>
      <c r="E3479">
        <f>TEST_DATA!E3479</f>
        <v>1062</v>
      </c>
    </row>
    <row r="3480" spans="1:5" x14ac:dyDescent="0.55000000000000004">
      <c r="A3480" t="str">
        <f>TEST_DATA!A3480</f>
        <v>27AAAAA3480Z5</v>
      </c>
      <c r="B3480" t="str">
        <f>TEST_DATA!B3480</f>
        <v>Apr-2020</v>
      </c>
      <c r="C3480">
        <f>TEST_DATA!C3480</f>
        <v>44048</v>
      </c>
      <c r="D3480" t="str">
        <f>TEST_DATA!D3480</f>
        <v>NIL</v>
      </c>
      <c r="E3480">
        <f>TEST_DATA!E3480</f>
        <v>2729</v>
      </c>
    </row>
    <row r="3481" spans="1:5" x14ac:dyDescent="0.55000000000000004">
      <c r="A3481" t="str">
        <f>TEST_DATA!A3481</f>
        <v>27AAAAA3481Z5</v>
      </c>
      <c r="B3481" t="str">
        <f>TEST_DATA!B3481</f>
        <v>Mar-2018</v>
      </c>
      <c r="C3481">
        <f>TEST_DATA!C3481</f>
        <v>43205</v>
      </c>
      <c r="D3481" t="str">
        <f>TEST_DATA!D3481</f>
        <v>NIL</v>
      </c>
      <c r="E3481">
        <f>TEST_DATA!E3481</f>
        <v>847</v>
      </c>
    </row>
    <row r="3482" spans="1:5" x14ac:dyDescent="0.55000000000000004">
      <c r="A3482" t="str">
        <f>TEST_DATA!A3482</f>
        <v>27AAAAA3482Z5</v>
      </c>
      <c r="B3482" t="str">
        <f>TEST_DATA!B3482</f>
        <v>Dec-2019</v>
      </c>
      <c r="C3482">
        <f>TEST_DATA!C3482</f>
        <v>45549</v>
      </c>
      <c r="D3482" t="str">
        <f>TEST_DATA!D3482</f>
        <v>NIL</v>
      </c>
      <c r="E3482">
        <f>TEST_DATA!E3482</f>
        <v>112</v>
      </c>
    </row>
    <row r="3483" spans="1:5" x14ac:dyDescent="0.55000000000000004">
      <c r="A3483" t="str">
        <f>TEST_DATA!A3483</f>
        <v>27AAAAA3483Z5</v>
      </c>
      <c r="B3483" t="str">
        <f>TEST_DATA!B3483</f>
        <v>Apr-2020</v>
      </c>
      <c r="C3483">
        <f>TEST_DATA!C3483</f>
        <v>43912</v>
      </c>
      <c r="D3483" t="str">
        <f>TEST_DATA!D3483</f>
        <v>NIL</v>
      </c>
      <c r="E3483">
        <f>TEST_DATA!E3483</f>
        <v>27</v>
      </c>
    </row>
    <row r="3484" spans="1:5" x14ac:dyDescent="0.55000000000000004">
      <c r="A3484" t="str">
        <f>TEST_DATA!A3484</f>
        <v>27AAAAA3484Z5</v>
      </c>
      <c r="B3484" t="str">
        <f>TEST_DATA!B3484</f>
        <v>Jan-2019</v>
      </c>
      <c r="C3484">
        <f>TEST_DATA!C3484</f>
        <v>43571</v>
      </c>
      <c r="D3484" t="str">
        <f>TEST_DATA!D3484</f>
        <v>NON-NIL</v>
      </c>
      <c r="E3484">
        <f>TEST_DATA!E3484</f>
        <v>832</v>
      </c>
    </row>
    <row r="3485" spans="1:5" x14ac:dyDescent="0.55000000000000004">
      <c r="A3485" t="str">
        <f>TEST_DATA!A3485</f>
        <v>27AAAAA3485Z5</v>
      </c>
      <c r="B3485" t="str">
        <f>TEST_DATA!B3485</f>
        <v>Apr-2018</v>
      </c>
      <c r="C3485">
        <f>TEST_DATA!C3485</f>
        <v>44086</v>
      </c>
      <c r="D3485" t="str">
        <f>TEST_DATA!D3485</f>
        <v>NON-NIL</v>
      </c>
      <c r="E3485">
        <f>TEST_DATA!E3485</f>
        <v>2998</v>
      </c>
    </row>
    <row r="3486" spans="1:5" x14ac:dyDescent="0.55000000000000004">
      <c r="A3486" t="str">
        <f>TEST_DATA!A3486</f>
        <v>27AAAAA3486Z5</v>
      </c>
      <c r="B3486" t="str">
        <f>TEST_DATA!B3486</f>
        <v>Sep-2018</v>
      </c>
      <c r="C3486">
        <f>TEST_DATA!C3486</f>
        <v>43983</v>
      </c>
      <c r="D3486" t="str">
        <f>TEST_DATA!D3486</f>
        <v>NIL</v>
      </c>
      <c r="E3486">
        <f>TEST_DATA!E3486</f>
        <v>1858</v>
      </c>
    </row>
    <row r="3487" spans="1:5" x14ac:dyDescent="0.55000000000000004">
      <c r="A3487" t="str">
        <f>TEST_DATA!A3487</f>
        <v>27AAAAA3487Z5</v>
      </c>
      <c r="B3487" t="str">
        <f>TEST_DATA!B3487</f>
        <v>Apr-2018</v>
      </c>
      <c r="C3487">
        <f>TEST_DATA!C3487</f>
        <v>43141</v>
      </c>
      <c r="D3487" t="str">
        <f>TEST_DATA!D3487</f>
        <v>NIL</v>
      </c>
      <c r="E3487">
        <f>TEST_DATA!E3487</f>
        <v>1820</v>
      </c>
    </row>
    <row r="3488" spans="1:5" x14ac:dyDescent="0.55000000000000004">
      <c r="A3488" t="str">
        <f>TEST_DATA!A3488</f>
        <v>27AAAAA3488Z5</v>
      </c>
      <c r="B3488" t="str">
        <f>TEST_DATA!B3488</f>
        <v>Dec-2024</v>
      </c>
      <c r="C3488">
        <f>TEST_DATA!C3488</f>
        <v>45236</v>
      </c>
      <c r="D3488" t="str">
        <f>TEST_DATA!D3488</f>
        <v>NON-NIL</v>
      </c>
      <c r="E3488">
        <f>TEST_DATA!E3488</f>
        <v>1077</v>
      </c>
    </row>
    <row r="3489" spans="1:5" x14ac:dyDescent="0.55000000000000004">
      <c r="A3489" t="str">
        <f>TEST_DATA!A3489</f>
        <v>27AAAAA3489Z5</v>
      </c>
      <c r="B3489" t="str">
        <f>TEST_DATA!B3489</f>
        <v>Sep-2017</v>
      </c>
      <c r="C3489">
        <f>TEST_DATA!C3489</f>
        <v>43197</v>
      </c>
      <c r="D3489" t="str">
        <f>TEST_DATA!D3489</f>
        <v>NON-NIL</v>
      </c>
      <c r="E3489">
        <f>TEST_DATA!E3489</f>
        <v>2996</v>
      </c>
    </row>
    <row r="3490" spans="1:5" x14ac:dyDescent="0.55000000000000004">
      <c r="A3490" t="str">
        <f>TEST_DATA!A3490</f>
        <v>27AAAAA3490Z5</v>
      </c>
      <c r="B3490" t="str">
        <f>TEST_DATA!B3490</f>
        <v>Jun-2020</v>
      </c>
      <c r="C3490">
        <f>TEST_DATA!C3490</f>
        <v>44069</v>
      </c>
      <c r="D3490" t="str">
        <f>TEST_DATA!D3490</f>
        <v>NON-NIL</v>
      </c>
      <c r="E3490">
        <f>TEST_DATA!E3490</f>
        <v>323</v>
      </c>
    </row>
    <row r="3491" spans="1:5" x14ac:dyDescent="0.55000000000000004">
      <c r="A3491" t="str">
        <f>TEST_DATA!A3491</f>
        <v>27AAAAA3491Z5</v>
      </c>
      <c r="B3491" t="str">
        <f>TEST_DATA!B3491</f>
        <v>Jan-2021</v>
      </c>
      <c r="C3491">
        <f>TEST_DATA!C3491</f>
        <v>44377</v>
      </c>
      <c r="D3491" t="str">
        <f>TEST_DATA!D3491</f>
        <v>NIL</v>
      </c>
      <c r="E3491">
        <f>TEST_DATA!E3491</f>
        <v>1339</v>
      </c>
    </row>
    <row r="3492" spans="1:5" x14ac:dyDescent="0.55000000000000004">
      <c r="A3492" t="str">
        <f>TEST_DATA!A3492</f>
        <v>27AAAAA3492Z5</v>
      </c>
      <c r="B3492" t="str">
        <f>TEST_DATA!B3492</f>
        <v>Dec-2017</v>
      </c>
      <c r="C3492">
        <f>TEST_DATA!C3492</f>
        <v>43955</v>
      </c>
      <c r="D3492" t="str">
        <f>TEST_DATA!D3492</f>
        <v>NON-NIL</v>
      </c>
      <c r="E3492">
        <f>TEST_DATA!E3492</f>
        <v>1130</v>
      </c>
    </row>
    <row r="3493" spans="1:5" x14ac:dyDescent="0.55000000000000004">
      <c r="A3493" t="str">
        <f>TEST_DATA!A3493</f>
        <v>27AAAAA3493Z5</v>
      </c>
      <c r="B3493" t="str">
        <f>TEST_DATA!B3493</f>
        <v>Sep-2018</v>
      </c>
      <c r="C3493">
        <f>TEST_DATA!C3493</f>
        <v>44208</v>
      </c>
      <c r="D3493" t="str">
        <f>TEST_DATA!D3493</f>
        <v>NIL</v>
      </c>
      <c r="E3493">
        <f>TEST_DATA!E3493</f>
        <v>2895</v>
      </c>
    </row>
    <row r="3494" spans="1:5" x14ac:dyDescent="0.55000000000000004">
      <c r="A3494" t="str">
        <f>TEST_DATA!A3494</f>
        <v>27AAAAA3494Z5</v>
      </c>
      <c r="B3494" t="str">
        <f>TEST_DATA!B3494</f>
        <v>Jul-2020</v>
      </c>
      <c r="C3494">
        <f>TEST_DATA!C3494</f>
        <v>44475</v>
      </c>
      <c r="D3494" t="str">
        <f>TEST_DATA!D3494</f>
        <v>NIL</v>
      </c>
      <c r="E3494">
        <f>TEST_DATA!E3494</f>
        <v>1775</v>
      </c>
    </row>
    <row r="3495" spans="1:5" x14ac:dyDescent="0.55000000000000004">
      <c r="A3495" t="str">
        <f>TEST_DATA!A3495</f>
        <v>27AAAAA3495Z5</v>
      </c>
      <c r="B3495" t="str">
        <f>TEST_DATA!B3495</f>
        <v>Oct-2017</v>
      </c>
      <c r="C3495">
        <f>TEST_DATA!C3495</f>
        <v>44361</v>
      </c>
      <c r="D3495" t="str">
        <f>TEST_DATA!D3495</f>
        <v>NON-NIL</v>
      </c>
      <c r="E3495">
        <f>TEST_DATA!E3495</f>
        <v>779</v>
      </c>
    </row>
    <row r="3496" spans="1:5" x14ac:dyDescent="0.55000000000000004">
      <c r="A3496" t="str">
        <f>TEST_DATA!A3496</f>
        <v>27AAAAA3496Z5</v>
      </c>
      <c r="B3496" t="str">
        <f>TEST_DATA!B3496</f>
        <v>Dec-2022</v>
      </c>
      <c r="C3496">
        <f>TEST_DATA!C3496</f>
        <v>45752</v>
      </c>
      <c r="D3496" t="str">
        <f>TEST_DATA!D3496</f>
        <v>NIL</v>
      </c>
      <c r="E3496">
        <f>TEST_DATA!E3496</f>
        <v>2598</v>
      </c>
    </row>
    <row r="3497" spans="1:5" x14ac:dyDescent="0.55000000000000004">
      <c r="A3497" t="str">
        <f>TEST_DATA!A3497</f>
        <v>27AAAAA3497Z5</v>
      </c>
      <c r="B3497" t="str">
        <f>TEST_DATA!B3497</f>
        <v>May-2020</v>
      </c>
      <c r="C3497">
        <f>TEST_DATA!C3497</f>
        <v>43847</v>
      </c>
      <c r="D3497" t="str">
        <f>TEST_DATA!D3497</f>
        <v>NIL</v>
      </c>
      <c r="E3497">
        <f>TEST_DATA!E3497</f>
        <v>560</v>
      </c>
    </row>
    <row r="3498" spans="1:5" x14ac:dyDescent="0.55000000000000004">
      <c r="A3498" t="str">
        <f>TEST_DATA!A3498</f>
        <v>27AAAAA3498Z5</v>
      </c>
      <c r="B3498" t="str">
        <f>TEST_DATA!B3498</f>
        <v>Mar-2020</v>
      </c>
      <c r="C3498">
        <f>TEST_DATA!C3498</f>
        <v>44601</v>
      </c>
      <c r="D3498" t="str">
        <f>TEST_DATA!D3498</f>
        <v>NIL</v>
      </c>
      <c r="E3498">
        <f>TEST_DATA!E3498</f>
        <v>2758</v>
      </c>
    </row>
    <row r="3499" spans="1:5" x14ac:dyDescent="0.55000000000000004">
      <c r="A3499" t="str">
        <f>TEST_DATA!A3499</f>
        <v>27AAAAA3499Z5</v>
      </c>
      <c r="B3499" t="str">
        <f>TEST_DATA!B3499</f>
        <v>Jan-2018</v>
      </c>
      <c r="C3499">
        <f>TEST_DATA!C3499</f>
        <v>43460</v>
      </c>
      <c r="D3499" t="str">
        <f>TEST_DATA!D3499</f>
        <v>NON-NIL</v>
      </c>
      <c r="E3499">
        <f>TEST_DATA!E3499</f>
        <v>620</v>
      </c>
    </row>
    <row r="3500" spans="1:5" x14ac:dyDescent="0.55000000000000004">
      <c r="A3500" t="str">
        <f>TEST_DATA!A3500</f>
        <v>27AAAAA3500Z5</v>
      </c>
      <c r="B3500" t="str">
        <f>TEST_DATA!B3500</f>
        <v>Jan-2019</v>
      </c>
      <c r="C3500">
        <f>TEST_DATA!C3500</f>
        <v>44232</v>
      </c>
      <c r="D3500" t="str">
        <f>TEST_DATA!D3500</f>
        <v>NON-NIL</v>
      </c>
      <c r="E3500">
        <f>TEST_DATA!E3500</f>
        <v>1157</v>
      </c>
    </row>
    <row r="3501" spans="1:5" x14ac:dyDescent="0.55000000000000004">
      <c r="A3501" t="str">
        <f>TEST_DATA!A3501</f>
        <v>27AAAAA3501Z5</v>
      </c>
      <c r="B3501" t="str">
        <f>TEST_DATA!B3501</f>
        <v>Nov-2017</v>
      </c>
      <c r="C3501">
        <f>TEST_DATA!C3501</f>
        <v>43323</v>
      </c>
      <c r="D3501" t="str">
        <f>TEST_DATA!D3501</f>
        <v>NIL</v>
      </c>
      <c r="E3501">
        <f>TEST_DATA!E3501</f>
        <v>2114</v>
      </c>
    </row>
    <row r="3502" spans="1:5" x14ac:dyDescent="0.55000000000000004">
      <c r="A3502" t="str">
        <f>TEST_DATA!A3502</f>
        <v>27AAAAA3502Z5</v>
      </c>
      <c r="B3502" t="str">
        <f>TEST_DATA!B3502</f>
        <v>Mar-2023</v>
      </c>
      <c r="C3502">
        <f>TEST_DATA!C3502</f>
        <v>44343</v>
      </c>
      <c r="D3502" t="str">
        <f>TEST_DATA!D3502</f>
        <v>NIL</v>
      </c>
      <c r="E3502">
        <f>TEST_DATA!E3502</f>
        <v>1778</v>
      </c>
    </row>
    <row r="3503" spans="1:5" x14ac:dyDescent="0.55000000000000004">
      <c r="A3503" t="str">
        <f>TEST_DATA!A3503</f>
        <v>27AAAAA3503Z5</v>
      </c>
      <c r="B3503" t="str">
        <f>TEST_DATA!B3503</f>
        <v>Sep-2017</v>
      </c>
      <c r="C3503">
        <f>TEST_DATA!C3503</f>
        <v>43921</v>
      </c>
      <c r="D3503" t="str">
        <f>TEST_DATA!D3503</f>
        <v>NIL</v>
      </c>
      <c r="E3503">
        <f>TEST_DATA!E3503</f>
        <v>2908</v>
      </c>
    </row>
    <row r="3504" spans="1:5" x14ac:dyDescent="0.55000000000000004">
      <c r="A3504" t="str">
        <f>TEST_DATA!A3504</f>
        <v>27AAAAA3504Z5</v>
      </c>
      <c r="B3504" t="str">
        <f>TEST_DATA!B3504</f>
        <v>Dec-2017</v>
      </c>
      <c r="C3504">
        <f>TEST_DATA!C3504</f>
        <v>42996</v>
      </c>
      <c r="D3504" t="str">
        <f>TEST_DATA!D3504</f>
        <v>NON-NIL</v>
      </c>
      <c r="E3504">
        <f>TEST_DATA!E3504</f>
        <v>2817</v>
      </c>
    </row>
    <row r="3505" spans="1:5" x14ac:dyDescent="0.55000000000000004">
      <c r="A3505" t="str">
        <f>TEST_DATA!A3505</f>
        <v>27AAAAA3505Z5</v>
      </c>
      <c r="B3505" t="str">
        <f>TEST_DATA!B3505</f>
        <v>Mar-2018</v>
      </c>
      <c r="C3505">
        <f>TEST_DATA!C3505</f>
        <v>44173</v>
      </c>
      <c r="D3505" t="str">
        <f>TEST_DATA!D3505</f>
        <v>NON-NIL</v>
      </c>
      <c r="E3505">
        <f>TEST_DATA!E3505</f>
        <v>2584</v>
      </c>
    </row>
    <row r="3506" spans="1:5" x14ac:dyDescent="0.55000000000000004">
      <c r="A3506" t="str">
        <f>TEST_DATA!A3506</f>
        <v>27AAAAA3506Z5</v>
      </c>
      <c r="B3506" t="str">
        <f>TEST_DATA!B3506</f>
        <v>Mar-2020</v>
      </c>
      <c r="C3506">
        <f>TEST_DATA!C3506</f>
        <v>44311</v>
      </c>
      <c r="D3506" t="str">
        <f>TEST_DATA!D3506</f>
        <v>NON-NIL</v>
      </c>
      <c r="E3506">
        <f>TEST_DATA!E3506</f>
        <v>1983</v>
      </c>
    </row>
    <row r="3507" spans="1:5" x14ac:dyDescent="0.55000000000000004">
      <c r="A3507" t="str">
        <f>TEST_DATA!A3507</f>
        <v>27AAAAA3507Z5</v>
      </c>
      <c r="B3507" t="str">
        <f>TEST_DATA!B3507</f>
        <v>Jun-2019</v>
      </c>
      <c r="C3507">
        <f>TEST_DATA!C3507</f>
        <v>44203</v>
      </c>
      <c r="D3507" t="str">
        <f>TEST_DATA!D3507</f>
        <v>NON-NIL</v>
      </c>
      <c r="E3507">
        <f>TEST_DATA!E3507</f>
        <v>949</v>
      </c>
    </row>
    <row r="3508" spans="1:5" x14ac:dyDescent="0.55000000000000004">
      <c r="A3508" t="str">
        <f>TEST_DATA!A3508</f>
        <v>27AAAAA3508Z5</v>
      </c>
      <c r="B3508" t="str">
        <f>TEST_DATA!B3508</f>
        <v>Dec-2024</v>
      </c>
      <c r="C3508">
        <f>TEST_DATA!C3508</f>
        <v>44662</v>
      </c>
      <c r="D3508" t="str">
        <f>TEST_DATA!D3508</f>
        <v>NON-NIL</v>
      </c>
      <c r="E3508">
        <f>TEST_DATA!E3508</f>
        <v>2007</v>
      </c>
    </row>
    <row r="3509" spans="1:5" x14ac:dyDescent="0.55000000000000004">
      <c r="A3509" t="str">
        <f>TEST_DATA!A3509</f>
        <v>27AAAAA3509Z5</v>
      </c>
      <c r="B3509" t="str">
        <f>TEST_DATA!B3509</f>
        <v>Apr-2021</v>
      </c>
      <c r="C3509">
        <f>TEST_DATA!C3509</f>
        <v>45072</v>
      </c>
      <c r="D3509" t="str">
        <f>TEST_DATA!D3509</f>
        <v>NON-NIL</v>
      </c>
      <c r="E3509">
        <f>TEST_DATA!E3509</f>
        <v>2225</v>
      </c>
    </row>
    <row r="3510" spans="1:5" x14ac:dyDescent="0.55000000000000004">
      <c r="A3510" t="str">
        <f>TEST_DATA!A3510</f>
        <v>27AAAAA3510Z5</v>
      </c>
      <c r="B3510" t="str">
        <f>TEST_DATA!B3510</f>
        <v>Jan-2019</v>
      </c>
      <c r="C3510">
        <f>TEST_DATA!C3510</f>
        <v>44676</v>
      </c>
      <c r="D3510" t="str">
        <f>TEST_DATA!D3510</f>
        <v>NIL</v>
      </c>
      <c r="E3510">
        <f>TEST_DATA!E3510</f>
        <v>896</v>
      </c>
    </row>
    <row r="3511" spans="1:5" x14ac:dyDescent="0.55000000000000004">
      <c r="A3511" t="str">
        <f>TEST_DATA!A3511</f>
        <v>27AAAAA3511Z5</v>
      </c>
      <c r="B3511" t="str">
        <f>TEST_DATA!B3511</f>
        <v>Oct-2017</v>
      </c>
      <c r="C3511">
        <f>TEST_DATA!C3511</f>
        <v>44463</v>
      </c>
      <c r="D3511" t="str">
        <f>TEST_DATA!D3511</f>
        <v>NON-NIL</v>
      </c>
      <c r="E3511">
        <f>TEST_DATA!E3511</f>
        <v>1718</v>
      </c>
    </row>
    <row r="3512" spans="1:5" x14ac:dyDescent="0.55000000000000004">
      <c r="A3512" t="str">
        <f>TEST_DATA!A3512</f>
        <v>27AAAAA3512Z5</v>
      </c>
      <c r="B3512" t="str">
        <f>TEST_DATA!B3512</f>
        <v>Sep-2018</v>
      </c>
      <c r="C3512">
        <f>TEST_DATA!C3512</f>
        <v>43583</v>
      </c>
      <c r="D3512" t="str">
        <f>TEST_DATA!D3512</f>
        <v>NIL</v>
      </c>
      <c r="E3512">
        <f>TEST_DATA!E3512</f>
        <v>2713</v>
      </c>
    </row>
    <row r="3513" spans="1:5" x14ac:dyDescent="0.55000000000000004">
      <c r="A3513" t="str">
        <f>TEST_DATA!A3513</f>
        <v>27AAAAA3513Z5</v>
      </c>
      <c r="B3513" t="str">
        <f>TEST_DATA!B3513</f>
        <v>Aug-2018</v>
      </c>
      <c r="C3513">
        <f>TEST_DATA!C3513</f>
        <v>43154</v>
      </c>
      <c r="D3513" t="str">
        <f>TEST_DATA!D3513</f>
        <v>NIL</v>
      </c>
      <c r="E3513">
        <f>TEST_DATA!E3513</f>
        <v>1903</v>
      </c>
    </row>
    <row r="3514" spans="1:5" x14ac:dyDescent="0.55000000000000004">
      <c r="A3514" t="str">
        <f>TEST_DATA!A3514</f>
        <v>27AAAAA3514Z5</v>
      </c>
      <c r="B3514" t="str">
        <f>TEST_DATA!B3514</f>
        <v>May-2018</v>
      </c>
      <c r="C3514">
        <f>TEST_DATA!C3514</f>
        <v>44269</v>
      </c>
      <c r="D3514" t="str">
        <f>TEST_DATA!D3514</f>
        <v>NIL</v>
      </c>
      <c r="E3514">
        <f>TEST_DATA!E3514</f>
        <v>1423</v>
      </c>
    </row>
    <row r="3515" spans="1:5" x14ac:dyDescent="0.55000000000000004">
      <c r="A3515" t="str">
        <f>TEST_DATA!A3515</f>
        <v>27AAAAA3515Z5</v>
      </c>
      <c r="B3515" t="str">
        <f>TEST_DATA!B3515</f>
        <v>Jul-2020</v>
      </c>
      <c r="C3515">
        <f>TEST_DATA!C3515</f>
        <v>44646</v>
      </c>
      <c r="D3515" t="str">
        <f>TEST_DATA!D3515</f>
        <v>NIL</v>
      </c>
      <c r="E3515">
        <f>TEST_DATA!E3515</f>
        <v>1981</v>
      </c>
    </row>
    <row r="3516" spans="1:5" x14ac:dyDescent="0.55000000000000004">
      <c r="A3516" t="str">
        <f>TEST_DATA!A3516</f>
        <v>27AAAAA3516Z5</v>
      </c>
      <c r="B3516" t="str">
        <f>TEST_DATA!B3516</f>
        <v>Dec-2022</v>
      </c>
      <c r="C3516">
        <f>TEST_DATA!C3516</f>
        <v>45469</v>
      </c>
      <c r="D3516" t="str">
        <f>TEST_DATA!D3516</f>
        <v>NON-NIL</v>
      </c>
      <c r="E3516">
        <f>TEST_DATA!E3516</f>
        <v>2814</v>
      </c>
    </row>
    <row r="3517" spans="1:5" x14ac:dyDescent="0.55000000000000004">
      <c r="A3517" t="str">
        <f>TEST_DATA!A3517</f>
        <v>27AAAAA3517Z5</v>
      </c>
      <c r="B3517" t="str">
        <f>TEST_DATA!B3517</f>
        <v>Feb-2018</v>
      </c>
      <c r="C3517">
        <f>TEST_DATA!C3517</f>
        <v>42976</v>
      </c>
      <c r="D3517" t="str">
        <f>TEST_DATA!D3517</f>
        <v>NON-NIL</v>
      </c>
      <c r="E3517">
        <f>TEST_DATA!E3517</f>
        <v>1097</v>
      </c>
    </row>
    <row r="3518" spans="1:5" x14ac:dyDescent="0.55000000000000004">
      <c r="A3518" t="str">
        <f>TEST_DATA!A3518</f>
        <v>27AAAAA3518Z5</v>
      </c>
      <c r="B3518" t="str">
        <f>TEST_DATA!B3518</f>
        <v>Jun-2019</v>
      </c>
      <c r="C3518">
        <f>TEST_DATA!C3518</f>
        <v>44347</v>
      </c>
      <c r="D3518" t="str">
        <f>TEST_DATA!D3518</f>
        <v>NON-NIL</v>
      </c>
      <c r="E3518">
        <f>TEST_DATA!E3518</f>
        <v>249</v>
      </c>
    </row>
    <row r="3519" spans="1:5" x14ac:dyDescent="0.55000000000000004">
      <c r="A3519" t="str">
        <f>TEST_DATA!A3519</f>
        <v>27AAAAA3519Z5</v>
      </c>
      <c r="B3519" t="str">
        <f>TEST_DATA!B3519</f>
        <v>Dec-2019</v>
      </c>
      <c r="C3519">
        <f>TEST_DATA!C3519</f>
        <v>44789</v>
      </c>
      <c r="D3519" t="str">
        <f>TEST_DATA!D3519</f>
        <v>NON-NIL</v>
      </c>
      <c r="E3519">
        <f>TEST_DATA!E3519</f>
        <v>2764</v>
      </c>
    </row>
    <row r="3520" spans="1:5" x14ac:dyDescent="0.55000000000000004">
      <c r="A3520" t="str">
        <f>TEST_DATA!A3520</f>
        <v>27AAAAA3520Z5</v>
      </c>
      <c r="B3520" t="str">
        <f>TEST_DATA!B3520</f>
        <v>May-2018</v>
      </c>
      <c r="C3520">
        <f>TEST_DATA!C3520</f>
        <v>43759</v>
      </c>
      <c r="D3520" t="str">
        <f>TEST_DATA!D3520</f>
        <v>NON-NIL</v>
      </c>
      <c r="E3520">
        <f>TEST_DATA!E3520</f>
        <v>1810</v>
      </c>
    </row>
    <row r="3521" spans="1:5" x14ac:dyDescent="0.55000000000000004">
      <c r="A3521" t="str">
        <f>TEST_DATA!A3521</f>
        <v>27AAAAA3521Z5</v>
      </c>
      <c r="B3521" t="str">
        <f>TEST_DATA!B3521</f>
        <v>Aug-2018</v>
      </c>
      <c r="C3521">
        <f>TEST_DATA!C3521</f>
        <v>43733</v>
      </c>
      <c r="D3521" t="str">
        <f>TEST_DATA!D3521</f>
        <v>NON-NIL</v>
      </c>
      <c r="E3521">
        <f>TEST_DATA!E3521</f>
        <v>223</v>
      </c>
    </row>
    <row r="3522" spans="1:5" x14ac:dyDescent="0.55000000000000004">
      <c r="A3522" t="str">
        <f>TEST_DATA!A3522</f>
        <v>27AAAAA3522Z5</v>
      </c>
      <c r="B3522" t="str">
        <f>TEST_DATA!B3522</f>
        <v>Mar-2018</v>
      </c>
      <c r="C3522">
        <f>TEST_DATA!C3522</f>
        <v>43911</v>
      </c>
      <c r="D3522" t="str">
        <f>TEST_DATA!D3522</f>
        <v>NIL</v>
      </c>
      <c r="E3522">
        <f>TEST_DATA!E3522</f>
        <v>1391</v>
      </c>
    </row>
    <row r="3523" spans="1:5" x14ac:dyDescent="0.55000000000000004">
      <c r="A3523" t="str">
        <f>TEST_DATA!A3523</f>
        <v>27AAAAA3523Z5</v>
      </c>
      <c r="B3523" t="str">
        <f>TEST_DATA!B3523</f>
        <v>May-2020</v>
      </c>
      <c r="C3523">
        <f>TEST_DATA!C3523</f>
        <v>43924</v>
      </c>
      <c r="D3523" t="str">
        <f>TEST_DATA!D3523</f>
        <v>NON-NIL</v>
      </c>
      <c r="E3523">
        <f>TEST_DATA!E3523</f>
        <v>1833</v>
      </c>
    </row>
    <row r="3524" spans="1:5" x14ac:dyDescent="0.55000000000000004">
      <c r="A3524" t="str">
        <f>TEST_DATA!A3524</f>
        <v>27AAAAA3524Z5</v>
      </c>
      <c r="B3524" t="str">
        <f>TEST_DATA!B3524</f>
        <v>Aug-2018</v>
      </c>
      <c r="C3524">
        <f>TEST_DATA!C3524</f>
        <v>43370</v>
      </c>
      <c r="D3524" t="str">
        <f>TEST_DATA!D3524</f>
        <v>NIL</v>
      </c>
      <c r="E3524">
        <f>TEST_DATA!E3524</f>
        <v>2195</v>
      </c>
    </row>
    <row r="3525" spans="1:5" x14ac:dyDescent="0.55000000000000004">
      <c r="A3525" t="str">
        <f>TEST_DATA!A3525</f>
        <v>27AAAAA3525Z5</v>
      </c>
      <c r="B3525" t="str">
        <f>TEST_DATA!B3525</f>
        <v>Jan-2018</v>
      </c>
      <c r="C3525">
        <f>TEST_DATA!C3525</f>
        <v>44513</v>
      </c>
      <c r="D3525" t="str">
        <f>TEST_DATA!D3525</f>
        <v>NIL</v>
      </c>
      <c r="E3525">
        <f>TEST_DATA!E3525</f>
        <v>2512</v>
      </c>
    </row>
    <row r="3526" spans="1:5" x14ac:dyDescent="0.55000000000000004">
      <c r="A3526" t="str">
        <f>TEST_DATA!A3526</f>
        <v>27AAAAA3526Z5</v>
      </c>
      <c r="B3526" t="str">
        <f>TEST_DATA!B3526</f>
        <v>Apr-2020</v>
      </c>
      <c r="C3526">
        <f>TEST_DATA!C3526</f>
        <v>44506</v>
      </c>
      <c r="D3526" t="str">
        <f>TEST_DATA!D3526</f>
        <v>NIL</v>
      </c>
      <c r="E3526">
        <f>TEST_DATA!E3526</f>
        <v>2477</v>
      </c>
    </row>
    <row r="3527" spans="1:5" x14ac:dyDescent="0.55000000000000004">
      <c r="A3527" t="str">
        <f>TEST_DATA!A3527</f>
        <v>27AAAAA3527Z5</v>
      </c>
      <c r="B3527" t="str">
        <f>TEST_DATA!B3527</f>
        <v>Dec-2019</v>
      </c>
      <c r="C3527">
        <f>TEST_DATA!C3527</f>
        <v>43547</v>
      </c>
      <c r="D3527" t="str">
        <f>TEST_DATA!D3527</f>
        <v>NIL</v>
      </c>
      <c r="E3527">
        <f>TEST_DATA!E3527</f>
        <v>1553</v>
      </c>
    </row>
    <row r="3528" spans="1:5" x14ac:dyDescent="0.55000000000000004">
      <c r="A3528" t="str">
        <f>TEST_DATA!A3528</f>
        <v>27AAAAA3528Z5</v>
      </c>
      <c r="B3528" t="str">
        <f>TEST_DATA!B3528</f>
        <v>Sep-2017</v>
      </c>
      <c r="C3528">
        <f>TEST_DATA!C3528</f>
        <v>44515</v>
      </c>
      <c r="D3528" t="str">
        <f>TEST_DATA!D3528</f>
        <v>NON-NIL</v>
      </c>
      <c r="E3528">
        <f>TEST_DATA!E3528</f>
        <v>1444</v>
      </c>
    </row>
    <row r="3529" spans="1:5" x14ac:dyDescent="0.55000000000000004">
      <c r="A3529" t="str">
        <f>TEST_DATA!A3529</f>
        <v>27AAAAA3529Z5</v>
      </c>
      <c r="B3529" t="str">
        <f>TEST_DATA!B3529</f>
        <v>Mar-2021</v>
      </c>
      <c r="C3529">
        <f>TEST_DATA!C3529</f>
        <v>45730</v>
      </c>
      <c r="D3529" t="str">
        <f>TEST_DATA!D3529</f>
        <v>NIL</v>
      </c>
      <c r="E3529">
        <f>TEST_DATA!E3529</f>
        <v>2682</v>
      </c>
    </row>
    <row r="3530" spans="1:5" x14ac:dyDescent="0.55000000000000004">
      <c r="A3530" t="str">
        <f>TEST_DATA!A3530</f>
        <v>27AAAAA3530Z5</v>
      </c>
      <c r="B3530" t="str">
        <f>TEST_DATA!B3530</f>
        <v>Aug-2017</v>
      </c>
      <c r="C3530">
        <f>TEST_DATA!C3530</f>
        <v>43979</v>
      </c>
      <c r="D3530" t="str">
        <f>TEST_DATA!D3530</f>
        <v>NIL</v>
      </c>
      <c r="E3530">
        <f>TEST_DATA!E3530</f>
        <v>1483</v>
      </c>
    </row>
    <row r="3531" spans="1:5" x14ac:dyDescent="0.55000000000000004">
      <c r="A3531" t="str">
        <f>TEST_DATA!A3531</f>
        <v>27AAAAA3531Z5</v>
      </c>
      <c r="B3531" t="str">
        <f>TEST_DATA!B3531</f>
        <v>Dec-2019</v>
      </c>
      <c r="C3531">
        <f>TEST_DATA!C3531</f>
        <v>44278</v>
      </c>
      <c r="D3531" t="str">
        <f>TEST_DATA!D3531</f>
        <v>NIL</v>
      </c>
      <c r="E3531">
        <f>TEST_DATA!E3531</f>
        <v>2194</v>
      </c>
    </row>
    <row r="3532" spans="1:5" x14ac:dyDescent="0.55000000000000004">
      <c r="A3532" t="str">
        <f>TEST_DATA!A3532</f>
        <v>27AAAAA3532Z5</v>
      </c>
      <c r="B3532" t="str">
        <f>TEST_DATA!B3532</f>
        <v>Jul-2018</v>
      </c>
      <c r="C3532">
        <f>TEST_DATA!C3532</f>
        <v>44387</v>
      </c>
      <c r="D3532" t="str">
        <f>TEST_DATA!D3532</f>
        <v>NIL</v>
      </c>
      <c r="E3532">
        <f>TEST_DATA!E3532</f>
        <v>1188</v>
      </c>
    </row>
    <row r="3533" spans="1:5" x14ac:dyDescent="0.55000000000000004">
      <c r="A3533" t="str">
        <f>TEST_DATA!A3533</f>
        <v>27AAAAA3533Z5</v>
      </c>
      <c r="B3533" t="str">
        <f>TEST_DATA!B3533</f>
        <v>Apr-2021</v>
      </c>
      <c r="C3533">
        <f>TEST_DATA!C3533</f>
        <v>44127</v>
      </c>
      <c r="D3533" t="str">
        <f>TEST_DATA!D3533</f>
        <v>NON-NIL</v>
      </c>
      <c r="E3533">
        <f>TEST_DATA!E3533</f>
        <v>1357</v>
      </c>
    </row>
    <row r="3534" spans="1:5" x14ac:dyDescent="0.55000000000000004">
      <c r="A3534" t="str">
        <f>TEST_DATA!A3534</f>
        <v>27AAAAA3534Z5</v>
      </c>
      <c r="B3534" t="str">
        <f>TEST_DATA!B3534</f>
        <v>Aug-2018</v>
      </c>
      <c r="C3534">
        <f>TEST_DATA!C3534</f>
        <v>43358</v>
      </c>
      <c r="D3534" t="str">
        <f>TEST_DATA!D3534</f>
        <v>NIL</v>
      </c>
      <c r="E3534">
        <f>TEST_DATA!E3534</f>
        <v>55</v>
      </c>
    </row>
    <row r="3535" spans="1:5" x14ac:dyDescent="0.55000000000000004">
      <c r="A3535" t="str">
        <f>TEST_DATA!A3535</f>
        <v>27AAAAA3535Z5</v>
      </c>
      <c r="B3535" t="str">
        <f>TEST_DATA!B3535</f>
        <v>Aug-2017</v>
      </c>
      <c r="C3535">
        <f>TEST_DATA!C3535</f>
        <v>42958</v>
      </c>
      <c r="D3535" t="str">
        <f>TEST_DATA!D3535</f>
        <v>NIL</v>
      </c>
      <c r="E3535">
        <f>TEST_DATA!E3535</f>
        <v>2054</v>
      </c>
    </row>
    <row r="3536" spans="1:5" x14ac:dyDescent="0.55000000000000004">
      <c r="A3536" t="str">
        <f>TEST_DATA!A3536</f>
        <v>27AAAAA3536Z5</v>
      </c>
      <c r="B3536" t="str">
        <f>TEST_DATA!B3536</f>
        <v>Jul-2018</v>
      </c>
      <c r="C3536">
        <f>TEST_DATA!C3536</f>
        <v>44537</v>
      </c>
      <c r="D3536" t="str">
        <f>TEST_DATA!D3536</f>
        <v>NON-NIL</v>
      </c>
      <c r="E3536">
        <f>TEST_DATA!E3536</f>
        <v>173</v>
      </c>
    </row>
    <row r="3537" spans="1:5" x14ac:dyDescent="0.55000000000000004">
      <c r="A3537" t="str">
        <f>TEST_DATA!A3537</f>
        <v>27AAAAA3537Z5</v>
      </c>
      <c r="B3537" t="str">
        <f>TEST_DATA!B3537</f>
        <v>Dec-2017</v>
      </c>
      <c r="C3537">
        <f>TEST_DATA!C3537</f>
        <v>43496</v>
      </c>
      <c r="D3537" t="str">
        <f>TEST_DATA!D3537</f>
        <v>NON-NIL</v>
      </c>
      <c r="E3537">
        <f>TEST_DATA!E3537</f>
        <v>99</v>
      </c>
    </row>
    <row r="3538" spans="1:5" x14ac:dyDescent="0.55000000000000004">
      <c r="A3538" t="str">
        <f>TEST_DATA!A3538</f>
        <v>27AAAAA3538Z5</v>
      </c>
      <c r="B3538" t="str">
        <f>TEST_DATA!B3538</f>
        <v>Feb-2018</v>
      </c>
      <c r="C3538">
        <f>TEST_DATA!C3538</f>
        <v>44210</v>
      </c>
      <c r="D3538" t="str">
        <f>TEST_DATA!D3538</f>
        <v>NIL</v>
      </c>
      <c r="E3538">
        <f>TEST_DATA!E3538</f>
        <v>138</v>
      </c>
    </row>
    <row r="3539" spans="1:5" x14ac:dyDescent="0.55000000000000004">
      <c r="A3539" t="str">
        <f>TEST_DATA!A3539</f>
        <v>27AAAAA3539Z5</v>
      </c>
      <c r="B3539" t="str">
        <f>TEST_DATA!B3539</f>
        <v>Mar-2018</v>
      </c>
      <c r="C3539">
        <f>TEST_DATA!C3539</f>
        <v>44452</v>
      </c>
      <c r="D3539" t="str">
        <f>TEST_DATA!D3539</f>
        <v>NIL</v>
      </c>
      <c r="E3539">
        <f>TEST_DATA!E3539</f>
        <v>1547</v>
      </c>
    </row>
    <row r="3540" spans="1:5" x14ac:dyDescent="0.55000000000000004">
      <c r="A3540" t="str">
        <f>TEST_DATA!A3540</f>
        <v>27AAAAA3540Z5</v>
      </c>
      <c r="B3540" t="str">
        <f>TEST_DATA!B3540</f>
        <v>May-2020</v>
      </c>
      <c r="C3540">
        <f>TEST_DATA!C3540</f>
        <v>44651</v>
      </c>
      <c r="D3540" t="str">
        <f>TEST_DATA!D3540</f>
        <v>NIL</v>
      </c>
      <c r="E3540">
        <f>TEST_DATA!E3540</f>
        <v>1105</v>
      </c>
    </row>
    <row r="3541" spans="1:5" x14ac:dyDescent="0.55000000000000004">
      <c r="A3541" t="str">
        <f>TEST_DATA!A3541</f>
        <v>27AAAAA3541Z5</v>
      </c>
      <c r="B3541" t="str">
        <f>TEST_DATA!B3541</f>
        <v>Mar-2023</v>
      </c>
      <c r="C3541">
        <f>TEST_DATA!C3541</f>
        <v>43813</v>
      </c>
      <c r="D3541" t="str">
        <f>TEST_DATA!D3541</f>
        <v>NIL</v>
      </c>
      <c r="E3541">
        <f>TEST_DATA!E3541</f>
        <v>302</v>
      </c>
    </row>
    <row r="3542" spans="1:5" x14ac:dyDescent="0.55000000000000004">
      <c r="A3542" t="str">
        <f>TEST_DATA!A3542</f>
        <v>27AAAAA3542Z5</v>
      </c>
      <c r="B3542" t="str">
        <f>TEST_DATA!B3542</f>
        <v>Jun-2019</v>
      </c>
      <c r="C3542">
        <f>TEST_DATA!C3542</f>
        <v>45167</v>
      </c>
      <c r="D3542" t="str">
        <f>TEST_DATA!D3542</f>
        <v>NIL</v>
      </c>
      <c r="E3542">
        <f>TEST_DATA!E3542</f>
        <v>60</v>
      </c>
    </row>
    <row r="3543" spans="1:5" x14ac:dyDescent="0.55000000000000004">
      <c r="A3543" t="str">
        <f>TEST_DATA!A3543</f>
        <v>27AAAAA3543Z5</v>
      </c>
      <c r="B3543" t="str">
        <f>TEST_DATA!B3543</f>
        <v>Jan-2021</v>
      </c>
      <c r="C3543">
        <f>TEST_DATA!C3543</f>
        <v>45684</v>
      </c>
      <c r="D3543" t="str">
        <f>TEST_DATA!D3543</f>
        <v>NIL</v>
      </c>
      <c r="E3543">
        <f>TEST_DATA!E3543</f>
        <v>391</v>
      </c>
    </row>
    <row r="3544" spans="1:5" x14ac:dyDescent="0.55000000000000004">
      <c r="A3544" t="str">
        <f>TEST_DATA!A3544</f>
        <v>27AAAAA3544Z5</v>
      </c>
      <c r="B3544" t="str">
        <f>TEST_DATA!B3544</f>
        <v>Jan-2021</v>
      </c>
      <c r="C3544">
        <f>TEST_DATA!C3544</f>
        <v>45068</v>
      </c>
      <c r="D3544" t="str">
        <f>TEST_DATA!D3544</f>
        <v>NIL</v>
      </c>
      <c r="E3544">
        <f>TEST_DATA!E3544</f>
        <v>2480</v>
      </c>
    </row>
    <row r="3545" spans="1:5" x14ac:dyDescent="0.55000000000000004">
      <c r="A3545" t="str">
        <f>TEST_DATA!A3545</f>
        <v>27AAAAA3545Z5</v>
      </c>
      <c r="B3545" t="str">
        <f>TEST_DATA!B3545</f>
        <v>Mar-2023</v>
      </c>
      <c r="C3545">
        <f>TEST_DATA!C3545</f>
        <v>44744</v>
      </c>
      <c r="D3545" t="str">
        <f>TEST_DATA!D3545</f>
        <v>NON-NIL</v>
      </c>
      <c r="E3545">
        <f>TEST_DATA!E3545</f>
        <v>1741</v>
      </c>
    </row>
    <row r="3546" spans="1:5" x14ac:dyDescent="0.55000000000000004">
      <c r="A3546" t="str">
        <f>TEST_DATA!A3546</f>
        <v>27AAAAA3546Z5</v>
      </c>
      <c r="B3546" t="str">
        <f>TEST_DATA!B3546</f>
        <v>Jun-2019</v>
      </c>
      <c r="C3546">
        <f>TEST_DATA!C3546</f>
        <v>43561</v>
      </c>
      <c r="D3546" t="str">
        <f>TEST_DATA!D3546</f>
        <v>NON-NIL</v>
      </c>
      <c r="E3546">
        <f>TEST_DATA!E3546</f>
        <v>1122</v>
      </c>
    </row>
    <row r="3547" spans="1:5" x14ac:dyDescent="0.55000000000000004">
      <c r="A3547" t="str">
        <f>TEST_DATA!A3547</f>
        <v>27AAAAA3547Z5</v>
      </c>
      <c r="B3547" t="str">
        <f>TEST_DATA!B3547</f>
        <v>Sep-2018</v>
      </c>
      <c r="C3547">
        <f>TEST_DATA!C3547</f>
        <v>43332</v>
      </c>
      <c r="D3547" t="str">
        <f>TEST_DATA!D3547</f>
        <v>NIL</v>
      </c>
      <c r="E3547">
        <f>TEST_DATA!E3547</f>
        <v>1082</v>
      </c>
    </row>
    <row r="3548" spans="1:5" x14ac:dyDescent="0.55000000000000004">
      <c r="A3548" t="str">
        <f>TEST_DATA!A3548</f>
        <v>27AAAAA3548Z5</v>
      </c>
      <c r="B3548" t="str">
        <f>TEST_DATA!B3548</f>
        <v>May-2020</v>
      </c>
      <c r="C3548">
        <f>TEST_DATA!C3548</f>
        <v>44796</v>
      </c>
      <c r="D3548" t="str">
        <f>TEST_DATA!D3548</f>
        <v>NON-NIL</v>
      </c>
      <c r="E3548">
        <f>TEST_DATA!E3548</f>
        <v>1192</v>
      </c>
    </row>
    <row r="3549" spans="1:5" x14ac:dyDescent="0.55000000000000004">
      <c r="A3549" t="str">
        <f>TEST_DATA!A3549</f>
        <v>27AAAAA3549Z5</v>
      </c>
      <c r="B3549" t="str">
        <f>TEST_DATA!B3549</f>
        <v>Aug-2018</v>
      </c>
      <c r="C3549">
        <f>TEST_DATA!C3549</f>
        <v>43107</v>
      </c>
      <c r="D3549" t="str">
        <f>TEST_DATA!D3549</f>
        <v>NIL</v>
      </c>
      <c r="E3549">
        <f>TEST_DATA!E3549</f>
        <v>1664</v>
      </c>
    </row>
    <row r="3550" spans="1:5" x14ac:dyDescent="0.55000000000000004">
      <c r="A3550" t="str">
        <f>TEST_DATA!A3550</f>
        <v>27AAAAA3550Z5</v>
      </c>
      <c r="B3550" t="str">
        <f>TEST_DATA!B3550</f>
        <v>Dec-2019</v>
      </c>
      <c r="C3550">
        <f>TEST_DATA!C3550</f>
        <v>44606</v>
      </c>
      <c r="D3550" t="str">
        <f>TEST_DATA!D3550</f>
        <v>NON-NIL</v>
      </c>
      <c r="E3550">
        <f>TEST_DATA!E3550</f>
        <v>1164</v>
      </c>
    </row>
    <row r="3551" spans="1:5" x14ac:dyDescent="0.55000000000000004">
      <c r="A3551" t="str">
        <f>TEST_DATA!A3551</f>
        <v>27AAAAA3551Z5</v>
      </c>
      <c r="B3551" t="str">
        <f>TEST_DATA!B3551</f>
        <v>Jul-2020</v>
      </c>
      <c r="C3551">
        <f>TEST_DATA!C3551</f>
        <v>44923</v>
      </c>
      <c r="D3551" t="str">
        <f>TEST_DATA!D3551</f>
        <v>NIL</v>
      </c>
      <c r="E3551">
        <f>TEST_DATA!E3551</f>
        <v>1566</v>
      </c>
    </row>
    <row r="3552" spans="1:5" x14ac:dyDescent="0.55000000000000004">
      <c r="A3552" t="str">
        <f>TEST_DATA!A3552</f>
        <v>27AAAAA3552Z5</v>
      </c>
      <c r="B3552" t="str">
        <f>TEST_DATA!B3552</f>
        <v>Jul-2017</v>
      </c>
      <c r="C3552">
        <f>TEST_DATA!C3552</f>
        <v>43934</v>
      </c>
      <c r="D3552" t="str">
        <f>TEST_DATA!D3552</f>
        <v>NON-NIL</v>
      </c>
      <c r="E3552">
        <f>TEST_DATA!E3552</f>
        <v>1526</v>
      </c>
    </row>
    <row r="3553" spans="1:5" x14ac:dyDescent="0.55000000000000004">
      <c r="A3553" t="str">
        <f>TEST_DATA!A3553</f>
        <v>27AAAAA3553Z5</v>
      </c>
      <c r="B3553" t="str">
        <f>TEST_DATA!B3553</f>
        <v>Mar-2021</v>
      </c>
      <c r="C3553">
        <f>TEST_DATA!C3553</f>
        <v>45704</v>
      </c>
      <c r="D3553" t="str">
        <f>TEST_DATA!D3553</f>
        <v>NIL</v>
      </c>
      <c r="E3553">
        <f>TEST_DATA!E3553</f>
        <v>1852</v>
      </c>
    </row>
    <row r="3554" spans="1:5" x14ac:dyDescent="0.55000000000000004">
      <c r="A3554" t="str">
        <f>TEST_DATA!A3554</f>
        <v>27AAAAA3554Z5</v>
      </c>
      <c r="B3554" t="str">
        <f>TEST_DATA!B3554</f>
        <v>Feb-2018</v>
      </c>
      <c r="C3554">
        <f>TEST_DATA!C3554</f>
        <v>44100</v>
      </c>
      <c r="D3554" t="str">
        <f>TEST_DATA!D3554</f>
        <v>NIL</v>
      </c>
      <c r="E3554">
        <f>TEST_DATA!E3554</f>
        <v>1627</v>
      </c>
    </row>
    <row r="3555" spans="1:5" x14ac:dyDescent="0.55000000000000004">
      <c r="A3555" t="str">
        <f>TEST_DATA!A3555</f>
        <v>27AAAAA3555Z5</v>
      </c>
      <c r="B3555" t="str">
        <f>TEST_DATA!B3555</f>
        <v>Mar-2021</v>
      </c>
      <c r="C3555">
        <f>TEST_DATA!C3555</f>
        <v>44416</v>
      </c>
      <c r="D3555" t="str">
        <f>TEST_DATA!D3555</f>
        <v>NON-NIL</v>
      </c>
      <c r="E3555">
        <f>TEST_DATA!E3555</f>
        <v>1514</v>
      </c>
    </row>
    <row r="3556" spans="1:5" x14ac:dyDescent="0.55000000000000004">
      <c r="A3556" t="str">
        <f>TEST_DATA!A3556</f>
        <v>27AAAAA3556Z5</v>
      </c>
      <c r="B3556" t="str">
        <f>TEST_DATA!B3556</f>
        <v>Jan-2019</v>
      </c>
      <c r="C3556">
        <f>TEST_DATA!C3556</f>
        <v>45772</v>
      </c>
      <c r="D3556" t="str">
        <f>TEST_DATA!D3556</f>
        <v>NIL</v>
      </c>
      <c r="E3556">
        <f>TEST_DATA!E3556</f>
        <v>2632</v>
      </c>
    </row>
    <row r="3557" spans="1:5" x14ac:dyDescent="0.55000000000000004">
      <c r="A3557" t="str">
        <f>TEST_DATA!A3557</f>
        <v>27AAAAA3557Z5</v>
      </c>
      <c r="B3557" t="str">
        <f>TEST_DATA!B3557</f>
        <v>Apr-2018</v>
      </c>
      <c r="C3557">
        <f>TEST_DATA!C3557</f>
        <v>43597</v>
      </c>
      <c r="D3557" t="str">
        <f>TEST_DATA!D3557</f>
        <v>NIL</v>
      </c>
      <c r="E3557">
        <f>TEST_DATA!E3557</f>
        <v>2580</v>
      </c>
    </row>
    <row r="3558" spans="1:5" x14ac:dyDescent="0.55000000000000004">
      <c r="A3558" t="str">
        <f>TEST_DATA!A3558</f>
        <v>27AAAAA3558Z5</v>
      </c>
      <c r="B3558" t="str">
        <f>TEST_DATA!B3558</f>
        <v>Sep-2017</v>
      </c>
      <c r="C3558">
        <f>TEST_DATA!C3558</f>
        <v>43112</v>
      </c>
      <c r="D3558" t="str">
        <f>TEST_DATA!D3558</f>
        <v>NIL</v>
      </c>
      <c r="E3558">
        <f>TEST_DATA!E3558</f>
        <v>850</v>
      </c>
    </row>
    <row r="3559" spans="1:5" x14ac:dyDescent="0.55000000000000004">
      <c r="A3559" t="str">
        <f>TEST_DATA!A3559</f>
        <v>27AAAAA3559Z5</v>
      </c>
      <c r="B3559" t="str">
        <f>TEST_DATA!B3559</f>
        <v>Mar-2023</v>
      </c>
      <c r="C3559">
        <f>TEST_DATA!C3559</f>
        <v>45472</v>
      </c>
      <c r="D3559" t="str">
        <f>TEST_DATA!D3559</f>
        <v>NIL</v>
      </c>
      <c r="E3559">
        <f>TEST_DATA!E3559</f>
        <v>343</v>
      </c>
    </row>
    <row r="3560" spans="1:5" x14ac:dyDescent="0.55000000000000004">
      <c r="A3560" t="str">
        <f>TEST_DATA!A3560</f>
        <v>27AAAAA3560Z5</v>
      </c>
      <c r="B3560" t="str">
        <f>TEST_DATA!B3560</f>
        <v>Nov-2017</v>
      </c>
      <c r="C3560">
        <f>TEST_DATA!C3560</f>
        <v>43742</v>
      </c>
      <c r="D3560" t="str">
        <f>TEST_DATA!D3560</f>
        <v>NON-NIL</v>
      </c>
      <c r="E3560">
        <f>TEST_DATA!E3560</f>
        <v>2143</v>
      </c>
    </row>
    <row r="3561" spans="1:5" x14ac:dyDescent="0.55000000000000004">
      <c r="A3561" t="str">
        <f>TEST_DATA!A3561</f>
        <v>27AAAAA3561Z5</v>
      </c>
      <c r="B3561" t="str">
        <f>TEST_DATA!B3561</f>
        <v>Jan-2021</v>
      </c>
      <c r="C3561">
        <f>TEST_DATA!C3561</f>
        <v>45786</v>
      </c>
      <c r="D3561" t="str">
        <f>TEST_DATA!D3561</f>
        <v>NIL</v>
      </c>
      <c r="E3561">
        <f>TEST_DATA!E3561</f>
        <v>241</v>
      </c>
    </row>
    <row r="3562" spans="1:5" x14ac:dyDescent="0.55000000000000004">
      <c r="A3562" t="str">
        <f>TEST_DATA!A3562</f>
        <v>27AAAAA3562Z5</v>
      </c>
      <c r="B3562" t="str">
        <f>TEST_DATA!B3562</f>
        <v>Mar-2021</v>
      </c>
      <c r="C3562">
        <f>TEST_DATA!C3562</f>
        <v>45487</v>
      </c>
      <c r="D3562" t="str">
        <f>TEST_DATA!D3562</f>
        <v>NON-NIL</v>
      </c>
      <c r="E3562">
        <f>TEST_DATA!E3562</f>
        <v>1686</v>
      </c>
    </row>
    <row r="3563" spans="1:5" x14ac:dyDescent="0.55000000000000004">
      <c r="A3563" t="str">
        <f>TEST_DATA!A3563</f>
        <v>27AAAAA3563Z5</v>
      </c>
      <c r="B3563" t="str">
        <f>TEST_DATA!B3563</f>
        <v>Apr-2018</v>
      </c>
      <c r="C3563">
        <f>TEST_DATA!C3563</f>
        <v>44433</v>
      </c>
      <c r="D3563" t="str">
        <f>TEST_DATA!D3563</f>
        <v>NON-NIL</v>
      </c>
      <c r="E3563">
        <f>TEST_DATA!E3563</f>
        <v>616</v>
      </c>
    </row>
    <row r="3564" spans="1:5" x14ac:dyDescent="0.55000000000000004">
      <c r="A3564" t="str">
        <f>TEST_DATA!A3564</f>
        <v>27AAAAA3564Z5</v>
      </c>
      <c r="B3564" t="str">
        <f>TEST_DATA!B3564</f>
        <v>Aug-2017</v>
      </c>
      <c r="C3564">
        <f>TEST_DATA!C3564</f>
        <v>43575</v>
      </c>
      <c r="D3564" t="str">
        <f>TEST_DATA!D3564</f>
        <v>NON-NIL</v>
      </c>
      <c r="E3564">
        <f>TEST_DATA!E3564</f>
        <v>22</v>
      </c>
    </row>
    <row r="3565" spans="1:5" x14ac:dyDescent="0.55000000000000004">
      <c r="A3565" t="str">
        <f>TEST_DATA!A3565</f>
        <v>27AAAAA3565Z5</v>
      </c>
      <c r="B3565" t="str">
        <f>TEST_DATA!B3565</f>
        <v>Mar-2018</v>
      </c>
      <c r="C3565">
        <f>TEST_DATA!C3565</f>
        <v>44330</v>
      </c>
      <c r="D3565" t="str">
        <f>TEST_DATA!D3565</f>
        <v>NIL</v>
      </c>
      <c r="E3565">
        <f>TEST_DATA!E3565</f>
        <v>2303</v>
      </c>
    </row>
    <row r="3566" spans="1:5" x14ac:dyDescent="0.55000000000000004">
      <c r="A3566" t="str">
        <f>TEST_DATA!A3566</f>
        <v>27AAAAA3566Z5</v>
      </c>
      <c r="B3566" t="str">
        <f>TEST_DATA!B3566</f>
        <v>Apr-2021</v>
      </c>
      <c r="C3566">
        <f>TEST_DATA!C3566</f>
        <v>45467</v>
      </c>
      <c r="D3566" t="str">
        <f>TEST_DATA!D3566</f>
        <v>NON-NIL</v>
      </c>
      <c r="E3566">
        <f>TEST_DATA!E3566</f>
        <v>1282</v>
      </c>
    </row>
    <row r="3567" spans="1:5" x14ac:dyDescent="0.55000000000000004">
      <c r="A3567" t="str">
        <f>TEST_DATA!A3567</f>
        <v>27AAAAA3567Z5</v>
      </c>
      <c r="B3567" t="str">
        <f>TEST_DATA!B3567</f>
        <v>May-2020</v>
      </c>
      <c r="C3567">
        <f>TEST_DATA!C3567</f>
        <v>44313</v>
      </c>
      <c r="D3567" t="str">
        <f>TEST_DATA!D3567</f>
        <v>NON-NIL</v>
      </c>
      <c r="E3567">
        <f>TEST_DATA!E3567</f>
        <v>1889</v>
      </c>
    </row>
    <row r="3568" spans="1:5" x14ac:dyDescent="0.55000000000000004">
      <c r="A3568" t="str">
        <f>TEST_DATA!A3568</f>
        <v>27AAAAA3568Z5</v>
      </c>
      <c r="B3568" t="str">
        <f>TEST_DATA!B3568</f>
        <v>Jul-2020</v>
      </c>
      <c r="C3568">
        <f>TEST_DATA!C3568</f>
        <v>44820</v>
      </c>
      <c r="D3568" t="str">
        <f>TEST_DATA!D3568</f>
        <v>NIL</v>
      </c>
      <c r="E3568">
        <f>TEST_DATA!E3568</f>
        <v>430</v>
      </c>
    </row>
    <row r="3569" spans="1:5" x14ac:dyDescent="0.55000000000000004">
      <c r="A3569" t="str">
        <f>TEST_DATA!A3569</f>
        <v>27AAAAA3569Z5</v>
      </c>
      <c r="B3569" t="str">
        <f>TEST_DATA!B3569</f>
        <v>Aug-2018</v>
      </c>
      <c r="C3569">
        <f>TEST_DATA!C3569</f>
        <v>44349</v>
      </c>
      <c r="D3569" t="str">
        <f>TEST_DATA!D3569</f>
        <v>NIL</v>
      </c>
      <c r="E3569">
        <f>TEST_DATA!E3569</f>
        <v>1538</v>
      </c>
    </row>
    <row r="3570" spans="1:5" x14ac:dyDescent="0.55000000000000004">
      <c r="A3570" t="str">
        <f>TEST_DATA!A3570</f>
        <v>27AAAAA3570Z5</v>
      </c>
      <c r="B3570" t="str">
        <f>TEST_DATA!B3570</f>
        <v>Nov-2017</v>
      </c>
      <c r="C3570">
        <f>TEST_DATA!C3570</f>
        <v>44467</v>
      </c>
      <c r="D3570" t="str">
        <f>TEST_DATA!D3570</f>
        <v>NIL</v>
      </c>
      <c r="E3570">
        <f>TEST_DATA!E3570</f>
        <v>663</v>
      </c>
    </row>
    <row r="3571" spans="1:5" x14ac:dyDescent="0.55000000000000004">
      <c r="A3571" t="str">
        <f>TEST_DATA!A3571</f>
        <v>27AAAAA3571Z5</v>
      </c>
      <c r="B3571" t="str">
        <f>TEST_DATA!B3571</f>
        <v>Jun-2019</v>
      </c>
      <c r="C3571">
        <f>TEST_DATA!C3571</f>
        <v>43963</v>
      </c>
      <c r="D3571" t="str">
        <f>TEST_DATA!D3571</f>
        <v>NIL</v>
      </c>
      <c r="E3571">
        <f>TEST_DATA!E3571</f>
        <v>808</v>
      </c>
    </row>
    <row r="3572" spans="1:5" x14ac:dyDescent="0.55000000000000004">
      <c r="A3572" t="str">
        <f>TEST_DATA!A3572</f>
        <v>27AAAAA3572Z5</v>
      </c>
      <c r="B3572" t="str">
        <f>TEST_DATA!B3572</f>
        <v>Sep-2018</v>
      </c>
      <c r="C3572">
        <f>TEST_DATA!C3572</f>
        <v>43149</v>
      </c>
      <c r="D3572" t="str">
        <f>TEST_DATA!D3572</f>
        <v>NIL</v>
      </c>
      <c r="E3572">
        <f>TEST_DATA!E3572</f>
        <v>1737</v>
      </c>
    </row>
    <row r="3573" spans="1:5" x14ac:dyDescent="0.55000000000000004">
      <c r="A3573" t="str">
        <f>TEST_DATA!A3573</f>
        <v>27AAAAA3573Z5</v>
      </c>
      <c r="B3573" t="str">
        <f>TEST_DATA!B3573</f>
        <v>Jan-2019</v>
      </c>
      <c r="C3573">
        <f>TEST_DATA!C3573</f>
        <v>44165</v>
      </c>
      <c r="D3573" t="str">
        <f>TEST_DATA!D3573</f>
        <v>NON-NIL</v>
      </c>
      <c r="E3573">
        <f>TEST_DATA!E3573</f>
        <v>572</v>
      </c>
    </row>
    <row r="3574" spans="1:5" x14ac:dyDescent="0.55000000000000004">
      <c r="A3574" t="str">
        <f>TEST_DATA!A3574</f>
        <v>27AAAAA3574Z5</v>
      </c>
      <c r="B3574" t="str">
        <f>TEST_DATA!B3574</f>
        <v>Jan-2021</v>
      </c>
      <c r="C3574">
        <f>TEST_DATA!C3574</f>
        <v>45706</v>
      </c>
      <c r="D3574" t="str">
        <f>TEST_DATA!D3574</f>
        <v>NON-NIL</v>
      </c>
      <c r="E3574">
        <f>TEST_DATA!E3574</f>
        <v>1635</v>
      </c>
    </row>
    <row r="3575" spans="1:5" x14ac:dyDescent="0.55000000000000004">
      <c r="A3575" t="str">
        <f>TEST_DATA!A3575</f>
        <v>27AAAAA3575Z5</v>
      </c>
      <c r="B3575" t="str">
        <f>TEST_DATA!B3575</f>
        <v>Jul-2017</v>
      </c>
      <c r="C3575">
        <f>TEST_DATA!C3575</f>
        <v>43524</v>
      </c>
      <c r="D3575" t="str">
        <f>TEST_DATA!D3575</f>
        <v>NIL</v>
      </c>
      <c r="E3575">
        <f>TEST_DATA!E3575</f>
        <v>1783</v>
      </c>
    </row>
    <row r="3576" spans="1:5" x14ac:dyDescent="0.55000000000000004">
      <c r="A3576" t="str">
        <f>TEST_DATA!A3576</f>
        <v>27AAAAA3576Z5</v>
      </c>
      <c r="B3576" t="str">
        <f>TEST_DATA!B3576</f>
        <v>Apr-2018</v>
      </c>
      <c r="C3576">
        <f>TEST_DATA!C3576</f>
        <v>44391</v>
      </c>
      <c r="D3576" t="str">
        <f>TEST_DATA!D3576</f>
        <v>NON-NIL</v>
      </c>
      <c r="E3576">
        <f>TEST_DATA!E3576</f>
        <v>2140</v>
      </c>
    </row>
    <row r="3577" spans="1:5" x14ac:dyDescent="0.55000000000000004">
      <c r="A3577" t="str">
        <f>TEST_DATA!A3577</f>
        <v>27AAAAA3577Z5</v>
      </c>
      <c r="B3577" t="str">
        <f>TEST_DATA!B3577</f>
        <v>May-2018</v>
      </c>
      <c r="C3577">
        <f>TEST_DATA!C3577</f>
        <v>44176</v>
      </c>
      <c r="D3577" t="str">
        <f>TEST_DATA!D3577</f>
        <v>NON-NIL</v>
      </c>
      <c r="E3577">
        <f>TEST_DATA!E3577</f>
        <v>2309</v>
      </c>
    </row>
    <row r="3578" spans="1:5" x14ac:dyDescent="0.55000000000000004">
      <c r="A3578" t="str">
        <f>TEST_DATA!A3578</f>
        <v>27AAAAA3578Z5</v>
      </c>
      <c r="B3578" t="str">
        <f>TEST_DATA!B3578</f>
        <v>May-2020</v>
      </c>
      <c r="C3578">
        <f>TEST_DATA!C3578</f>
        <v>44170</v>
      </c>
      <c r="D3578" t="str">
        <f>TEST_DATA!D3578</f>
        <v>NIL</v>
      </c>
      <c r="E3578">
        <f>TEST_DATA!E3578</f>
        <v>1188</v>
      </c>
    </row>
    <row r="3579" spans="1:5" x14ac:dyDescent="0.55000000000000004">
      <c r="A3579" t="str">
        <f>TEST_DATA!A3579</f>
        <v>27AAAAA3579Z5</v>
      </c>
      <c r="B3579" t="str">
        <f>TEST_DATA!B3579</f>
        <v>Jun-2019</v>
      </c>
      <c r="C3579">
        <f>TEST_DATA!C3579</f>
        <v>44303</v>
      </c>
      <c r="D3579" t="str">
        <f>TEST_DATA!D3579</f>
        <v>NON-NIL</v>
      </c>
      <c r="E3579">
        <f>TEST_DATA!E3579</f>
        <v>2127</v>
      </c>
    </row>
    <row r="3580" spans="1:5" x14ac:dyDescent="0.55000000000000004">
      <c r="A3580" t="str">
        <f>TEST_DATA!A3580</f>
        <v>27AAAAA3580Z5</v>
      </c>
      <c r="B3580" t="str">
        <f>TEST_DATA!B3580</f>
        <v>Apr-2020</v>
      </c>
      <c r="C3580">
        <f>TEST_DATA!C3580</f>
        <v>44345</v>
      </c>
      <c r="D3580" t="str">
        <f>TEST_DATA!D3580</f>
        <v>NON-NIL</v>
      </c>
      <c r="E3580">
        <f>TEST_DATA!E3580</f>
        <v>1895</v>
      </c>
    </row>
    <row r="3581" spans="1:5" x14ac:dyDescent="0.55000000000000004">
      <c r="A3581" t="str">
        <f>TEST_DATA!A3581</f>
        <v>27AAAAA3581Z5</v>
      </c>
      <c r="B3581" t="str">
        <f>TEST_DATA!B3581</f>
        <v>Jan-2018</v>
      </c>
      <c r="C3581">
        <f>TEST_DATA!C3581</f>
        <v>43593</v>
      </c>
      <c r="D3581" t="str">
        <f>TEST_DATA!D3581</f>
        <v>NIL</v>
      </c>
      <c r="E3581">
        <f>TEST_DATA!E3581</f>
        <v>672</v>
      </c>
    </row>
    <row r="3582" spans="1:5" x14ac:dyDescent="0.55000000000000004">
      <c r="A3582" t="str">
        <f>TEST_DATA!A3582</f>
        <v>27AAAAA3582Z5</v>
      </c>
      <c r="B3582" t="str">
        <f>TEST_DATA!B3582</f>
        <v>Jun-2019</v>
      </c>
      <c r="C3582">
        <f>TEST_DATA!C3582</f>
        <v>45406</v>
      </c>
      <c r="D3582" t="str">
        <f>TEST_DATA!D3582</f>
        <v>NIL</v>
      </c>
      <c r="E3582">
        <f>TEST_DATA!E3582</f>
        <v>1301</v>
      </c>
    </row>
    <row r="3583" spans="1:5" x14ac:dyDescent="0.55000000000000004">
      <c r="A3583" t="str">
        <f>TEST_DATA!A3583</f>
        <v>27AAAAA3583Z5</v>
      </c>
      <c r="B3583" t="str">
        <f>TEST_DATA!B3583</f>
        <v>Aug-2018</v>
      </c>
      <c r="C3583">
        <f>TEST_DATA!C3583</f>
        <v>43284</v>
      </c>
      <c r="D3583" t="str">
        <f>TEST_DATA!D3583</f>
        <v>NIL</v>
      </c>
      <c r="E3583">
        <f>TEST_DATA!E3583</f>
        <v>1927</v>
      </c>
    </row>
    <row r="3584" spans="1:5" x14ac:dyDescent="0.55000000000000004">
      <c r="A3584" t="str">
        <f>TEST_DATA!A3584</f>
        <v>27AAAAA3584Z5</v>
      </c>
      <c r="B3584" t="str">
        <f>TEST_DATA!B3584</f>
        <v>Sep-2017</v>
      </c>
      <c r="C3584">
        <f>TEST_DATA!C3584</f>
        <v>42928</v>
      </c>
      <c r="D3584" t="str">
        <f>TEST_DATA!D3584</f>
        <v>NON-NIL</v>
      </c>
      <c r="E3584">
        <f>TEST_DATA!E3584</f>
        <v>2873</v>
      </c>
    </row>
    <row r="3585" spans="1:5" x14ac:dyDescent="0.55000000000000004">
      <c r="A3585" t="str">
        <f>TEST_DATA!A3585</f>
        <v>27AAAAA3585Z5</v>
      </c>
      <c r="B3585" t="str">
        <f>TEST_DATA!B3585</f>
        <v>Jan-2018</v>
      </c>
      <c r="C3585">
        <f>TEST_DATA!C3585</f>
        <v>43325</v>
      </c>
      <c r="D3585" t="str">
        <f>TEST_DATA!D3585</f>
        <v>NIL</v>
      </c>
      <c r="E3585">
        <f>TEST_DATA!E3585</f>
        <v>2202</v>
      </c>
    </row>
    <row r="3586" spans="1:5" x14ac:dyDescent="0.55000000000000004">
      <c r="A3586" t="str">
        <f>TEST_DATA!A3586</f>
        <v>27AAAAA3586Z5</v>
      </c>
      <c r="B3586" t="str">
        <f>TEST_DATA!B3586</f>
        <v>Sep-2018</v>
      </c>
      <c r="C3586">
        <f>TEST_DATA!C3586</f>
        <v>43594</v>
      </c>
      <c r="D3586" t="str">
        <f>TEST_DATA!D3586</f>
        <v>NIL</v>
      </c>
      <c r="E3586">
        <f>TEST_DATA!E3586</f>
        <v>250</v>
      </c>
    </row>
    <row r="3587" spans="1:5" x14ac:dyDescent="0.55000000000000004">
      <c r="A3587" t="str">
        <f>TEST_DATA!A3587</f>
        <v>27AAAAA3587Z5</v>
      </c>
      <c r="B3587" t="str">
        <f>TEST_DATA!B3587</f>
        <v>Apr-2020</v>
      </c>
      <c r="C3587">
        <f>TEST_DATA!C3587</f>
        <v>44790</v>
      </c>
      <c r="D3587" t="str">
        <f>TEST_DATA!D3587</f>
        <v>NIL</v>
      </c>
      <c r="E3587">
        <f>TEST_DATA!E3587</f>
        <v>273</v>
      </c>
    </row>
    <row r="3588" spans="1:5" x14ac:dyDescent="0.55000000000000004">
      <c r="A3588" t="str">
        <f>TEST_DATA!A3588</f>
        <v>27AAAAA3588Z5</v>
      </c>
      <c r="B3588" t="str">
        <f>TEST_DATA!B3588</f>
        <v>Jun-2018</v>
      </c>
      <c r="C3588">
        <f>TEST_DATA!C3588</f>
        <v>44220</v>
      </c>
      <c r="D3588" t="str">
        <f>TEST_DATA!D3588</f>
        <v>NIL</v>
      </c>
      <c r="E3588">
        <f>TEST_DATA!E3588</f>
        <v>1412</v>
      </c>
    </row>
    <row r="3589" spans="1:5" x14ac:dyDescent="0.55000000000000004">
      <c r="A3589" t="str">
        <f>TEST_DATA!A3589</f>
        <v>27AAAAA3589Z5</v>
      </c>
      <c r="B3589" t="str">
        <f>TEST_DATA!B3589</f>
        <v>May-2020</v>
      </c>
      <c r="C3589">
        <f>TEST_DATA!C3589</f>
        <v>43859</v>
      </c>
      <c r="D3589" t="str">
        <f>TEST_DATA!D3589</f>
        <v>NIL</v>
      </c>
      <c r="E3589">
        <f>TEST_DATA!E3589</f>
        <v>1124</v>
      </c>
    </row>
    <row r="3590" spans="1:5" x14ac:dyDescent="0.55000000000000004">
      <c r="A3590" t="str">
        <f>TEST_DATA!A3590</f>
        <v>27AAAAA3590Z5</v>
      </c>
      <c r="B3590" t="str">
        <f>TEST_DATA!B3590</f>
        <v>Apr-2018</v>
      </c>
      <c r="C3590">
        <f>TEST_DATA!C3590</f>
        <v>43789</v>
      </c>
      <c r="D3590" t="str">
        <f>TEST_DATA!D3590</f>
        <v>NON-NIL</v>
      </c>
      <c r="E3590">
        <f>TEST_DATA!E3590</f>
        <v>1504</v>
      </c>
    </row>
    <row r="3591" spans="1:5" x14ac:dyDescent="0.55000000000000004">
      <c r="A3591" t="str">
        <f>TEST_DATA!A3591</f>
        <v>27AAAAA3591Z5</v>
      </c>
      <c r="B3591" t="str">
        <f>TEST_DATA!B3591</f>
        <v>Apr-2020</v>
      </c>
      <c r="C3591">
        <f>TEST_DATA!C3591</f>
        <v>44656</v>
      </c>
      <c r="D3591" t="str">
        <f>TEST_DATA!D3591</f>
        <v>NON-NIL</v>
      </c>
      <c r="E3591">
        <f>TEST_DATA!E3591</f>
        <v>2298</v>
      </c>
    </row>
    <row r="3592" spans="1:5" x14ac:dyDescent="0.55000000000000004">
      <c r="A3592" t="str">
        <f>TEST_DATA!A3592</f>
        <v>27AAAAA3592Z5</v>
      </c>
      <c r="B3592" t="str">
        <f>TEST_DATA!B3592</f>
        <v>Dec-2019</v>
      </c>
      <c r="C3592">
        <f>TEST_DATA!C3592</f>
        <v>44295</v>
      </c>
      <c r="D3592" t="str">
        <f>TEST_DATA!D3592</f>
        <v>NIL</v>
      </c>
      <c r="E3592">
        <f>TEST_DATA!E3592</f>
        <v>2427</v>
      </c>
    </row>
    <row r="3593" spans="1:5" x14ac:dyDescent="0.55000000000000004">
      <c r="A3593" t="str">
        <f>TEST_DATA!A3593</f>
        <v>27AAAAA3593Z5</v>
      </c>
      <c r="B3593" t="str">
        <f>TEST_DATA!B3593</f>
        <v>Nov-2017</v>
      </c>
      <c r="C3593">
        <f>TEST_DATA!C3593</f>
        <v>43127</v>
      </c>
      <c r="D3593" t="str">
        <f>TEST_DATA!D3593</f>
        <v>NIL</v>
      </c>
      <c r="E3593">
        <f>TEST_DATA!E3593</f>
        <v>1146</v>
      </c>
    </row>
    <row r="3594" spans="1:5" x14ac:dyDescent="0.55000000000000004">
      <c r="A3594" t="str">
        <f>TEST_DATA!A3594</f>
        <v>27AAAAA3594Z5</v>
      </c>
      <c r="B3594" t="str">
        <f>TEST_DATA!B3594</f>
        <v>Dec-2017</v>
      </c>
      <c r="C3594">
        <f>TEST_DATA!C3594</f>
        <v>43455</v>
      </c>
      <c r="D3594" t="str">
        <f>TEST_DATA!D3594</f>
        <v>NIL</v>
      </c>
      <c r="E3594">
        <f>TEST_DATA!E3594</f>
        <v>518</v>
      </c>
    </row>
    <row r="3595" spans="1:5" x14ac:dyDescent="0.55000000000000004">
      <c r="A3595" t="str">
        <f>TEST_DATA!A3595</f>
        <v>27AAAAA3595Z5</v>
      </c>
      <c r="B3595" t="str">
        <f>TEST_DATA!B3595</f>
        <v>Apr-2021</v>
      </c>
      <c r="C3595">
        <f>TEST_DATA!C3595</f>
        <v>45605</v>
      </c>
      <c r="D3595" t="str">
        <f>TEST_DATA!D3595</f>
        <v>NON-NIL</v>
      </c>
      <c r="E3595">
        <f>TEST_DATA!E3595</f>
        <v>1352</v>
      </c>
    </row>
    <row r="3596" spans="1:5" x14ac:dyDescent="0.55000000000000004">
      <c r="A3596" t="str">
        <f>TEST_DATA!A3596</f>
        <v>27AAAAA3596Z5</v>
      </c>
      <c r="B3596" t="str">
        <f>TEST_DATA!B3596</f>
        <v>Mar-2020</v>
      </c>
      <c r="C3596">
        <f>TEST_DATA!C3596</f>
        <v>44398</v>
      </c>
      <c r="D3596" t="str">
        <f>TEST_DATA!D3596</f>
        <v>NON-NIL</v>
      </c>
      <c r="E3596">
        <f>TEST_DATA!E3596</f>
        <v>857</v>
      </c>
    </row>
    <row r="3597" spans="1:5" x14ac:dyDescent="0.55000000000000004">
      <c r="A3597" t="str">
        <f>TEST_DATA!A3597</f>
        <v>27AAAAA3597Z5</v>
      </c>
      <c r="B3597" t="str">
        <f>TEST_DATA!B3597</f>
        <v>Dec-2017</v>
      </c>
      <c r="C3597">
        <f>TEST_DATA!C3597</f>
        <v>42922</v>
      </c>
      <c r="D3597" t="str">
        <f>TEST_DATA!D3597</f>
        <v>NIL</v>
      </c>
      <c r="E3597">
        <f>TEST_DATA!E3597</f>
        <v>886</v>
      </c>
    </row>
    <row r="3598" spans="1:5" x14ac:dyDescent="0.55000000000000004">
      <c r="A3598" t="str">
        <f>TEST_DATA!A3598</f>
        <v>27AAAAA3598Z5</v>
      </c>
      <c r="B3598" t="str">
        <f>TEST_DATA!B3598</f>
        <v>Sep-2017</v>
      </c>
      <c r="C3598">
        <f>TEST_DATA!C3598</f>
        <v>44176</v>
      </c>
      <c r="D3598" t="str">
        <f>TEST_DATA!D3598</f>
        <v>NIL</v>
      </c>
      <c r="E3598">
        <f>TEST_DATA!E3598</f>
        <v>587</v>
      </c>
    </row>
    <row r="3599" spans="1:5" x14ac:dyDescent="0.55000000000000004">
      <c r="A3599" t="str">
        <f>TEST_DATA!A3599</f>
        <v>27AAAAA3599Z5</v>
      </c>
      <c r="B3599" t="str">
        <f>TEST_DATA!B3599</f>
        <v>Dec-2017</v>
      </c>
      <c r="C3599">
        <f>TEST_DATA!C3599</f>
        <v>43890</v>
      </c>
      <c r="D3599" t="str">
        <f>TEST_DATA!D3599</f>
        <v>NIL</v>
      </c>
      <c r="E3599">
        <f>TEST_DATA!E3599</f>
        <v>1324</v>
      </c>
    </row>
    <row r="3600" spans="1:5" x14ac:dyDescent="0.55000000000000004">
      <c r="A3600" t="str">
        <f>TEST_DATA!A3600</f>
        <v>27AAAAA3600Z5</v>
      </c>
      <c r="B3600" t="str">
        <f>TEST_DATA!B3600</f>
        <v>Sep-2017</v>
      </c>
      <c r="C3600">
        <f>TEST_DATA!C3600</f>
        <v>43023</v>
      </c>
      <c r="D3600" t="str">
        <f>TEST_DATA!D3600</f>
        <v>NIL</v>
      </c>
      <c r="E3600">
        <f>TEST_DATA!E3600</f>
        <v>2095</v>
      </c>
    </row>
    <row r="3601" spans="1:5" x14ac:dyDescent="0.55000000000000004">
      <c r="A3601" t="str">
        <f>TEST_DATA!A3601</f>
        <v>27AAAAA3601Z5</v>
      </c>
      <c r="B3601" t="str">
        <f>TEST_DATA!B3601</f>
        <v>Apr-2021</v>
      </c>
      <c r="C3601">
        <f>TEST_DATA!C3601</f>
        <v>45266</v>
      </c>
      <c r="D3601" t="str">
        <f>TEST_DATA!D3601</f>
        <v>NON-NIL</v>
      </c>
      <c r="E3601">
        <f>TEST_DATA!E3601</f>
        <v>2723</v>
      </c>
    </row>
    <row r="3602" spans="1:5" x14ac:dyDescent="0.55000000000000004">
      <c r="A3602" t="str">
        <f>TEST_DATA!A3602</f>
        <v>27AAAAA3602Z5</v>
      </c>
      <c r="B3602" t="str">
        <f>TEST_DATA!B3602</f>
        <v>Jan-2019</v>
      </c>
      <c r="C3602">
        <f>TEST_DATA!C3602</f>
        <v>44805</v>
      </c>
      <c r="D3602" t="str">
        <f>TEST_DATA!D3602</f>
        <v>NON-NIL</v>
      </c>
      <c r="E3602">
        <f>TEST_DATA!E3602</f>
        <v>2049</v>
      </c>
    </row>
    <row r="3603" spans="1:5" x14ac:dyDescent="0.55000000000000004">
      <c r="A3603" t="str">
        <f>TEST_DATA!A3603</f>
        <v>27AAAAA3603Z5</v>
      </c>
      <c r="B3603" t="str">
        <f>TEST_DATA!B3603</f>
        <v>Mar-2021</v>
      </c>
      <c r="C3603">
        <f>TEST_DATA!C3603</f>
        <v>43946</v>
      </c>
      <c r="D3603" t="str">
        <f>TEST_DATA!D3603</f>
        <v>NIL</v>
      </c>
      <c r="E3603">
        <f>TEST_DATA!E3603</f>
        <v>2294</v>
      </c>
    </row>
    <row r="3604" spans="1:5" x14ac:dyDescent="0.55000000000000004">
      <c r="A3604" t="str">
        <f>TEST_DATA!A3604</f>
        <v>27AAAAA3604Z5</v>
      </c>
      <c r="B3604" t="str">
        <f>TEST_DATA!B3604</f>
        <v>Jul-2018</v>
      </c>
      <c r="C3604">
        <f>TEST_DATA!C3604</f>
        <v>43689</v>
      </c>
      <c r="D3604" t="str">
        <f>TEST_DATA!D3604</f>
        <v>NON-NIL</v>
      </c>
      <c r="E3604">
        <f>TEST_DATA!E3604</f>
        <v>2892</v>
      </c>
    </row>
    <row r="3605" spans="1:5" x14ac:dyDescent="0.55000000000000004">
      <c r="A3605" t="str">
        <f>TEST_DATA!A3605</f>
        <v>27AAAAA3605Z5</v>
      </c>
      <c r="B3605" t="str">
        <f>TEST_DATA!B3605</f>
        <v>Jan-2019</v>
      </c>
      <c r="C3605">
        <f>TEST_DATA!C3605</f>
        <v>44920</v>
      </c>
      <c r="D3605" t="str">
        <f>TEST_DATA!D3605</f>
        <v>NON-NIL</v>
      </c>
      <c r="E3605">
        <f>TEST_DATA!E3605</f>
        <v>2138</v>
      </c>
    </row>
    <row r="3606" spans="1:5" x14ac:dyDescent="0.55000000000000004">
      <c r="A3606" t="str">
        <f>TEST_DATA!A3606</f>
        <v>27AAAAA3606Z5</v>
      </c>
      <c r="B3606" t="str">
        <f>TEST_DATA!B3606</f>
        <v>May-2018</v>
      </c>
      <c r="C3606">
        <f>TEST_DATA!C3606</f>
        <v>44003</v>
      </c>
      <c r="D3606" t="str">
        <f>TEST_DATA!D3606</f>
        <v>NIL</v>
      </c>
      <c r="E3606">
        <f>TEST_DATA!E3606</f>
        <v>2479</v>
      </c>
    </row>
    <row r="3607" spans="1:5" x14ac:dyDescent="0.55000000000000004">
      <c r="A3607" t="str">
        <f>TEST_DATA!A3607</f>
        <v>27AAAAA3607Z5</v>
      </c>
      <c r="B3607" t="str">
        <f>TEST_DATA!B3607</f>
        <v>Dec-2022</v>
      </c>
      <c r="C3607">
        <f>TEST_DATA!C3607</f>
        <v>44342</v>
      </c>
      <c r="D3607" t="str">
        <f>TEST_DATA!D3607</f>
        <v>NIL</v>
      </c>
      <c r="E3607">
        <f>TEST_DATA!E3607</f>
        <v>2595</v>
      </c>
    </row>
    <row r="3608" spans="1:5" x14ac:dyDescent="0.55000000000000004">
      <c r="A3608" t="str">
        <f>TEST_DATA!A3608</f>
        <v>27AAAAA3608Z5</v>
      </c>
      <c r="B3608" t="str">
        <f>TEST_DATA!B3608</f>
        <v>Dec-2022</v>
      </c>
      <c r="C3608">
        <f>TEST_DATA!C3608</f>
        <v>44603</v>
      </c>
      <c r="D3608" t="str">
        <f>TEST_DATA!D3608</f>
        <v>NIL</v>
      </c>
      <c r="E3608">
        <f>TEST_DATA!E3608</f>
        <v>1790</v>
      </c>
    </row>
    <row r="3609" spans="1:5" x14ac:dyDescent="0.55000000000000004">
      <c r="A3609" t="str">
        <f>TEST_DATA!A3609</f>
        <v>27AAAAA3609Z5</v>
      </c>
      <c r="B3609" t="str">
        <f>TEST_DATA!B3609</f>
        <v>Dec-2019</v>
      </c>
      <c r="C3609">
        <f>TEST_DATA!C3609</f>
        <v>45274</v>
      </c>
      <c r="D3609" t="str">
        <f>TEST_DATA!D3609</f>
        <v>NON-NIL</v>
      </c>
      <c r="E3609">
        <f>TEST_DATA!E3609</f>
        <v>2847</v>
      </c>
    </row>
    <row r="3610" spans="1:5" x14ac:dyDescent="0.55000000000000004">
      <c r="A3610" t="str">
        <f>TEST_DATA!A3610</f>
        <v>27AAAAA3610Z5</v>
      </c>
      <c r="B3610" t="str">
        <f>TEST_DATA!B3610</f>
        <v>Apr-2021</v>
      </c>
      <c r="C3610">
        <f>TEST_DATA!C3610</f>
        <v>44492</v>
      </c>
      <c r="D3610" t="str">
        <f>TEST_DATA!D3610</f>
        <v>NIL</v>
      </c>
      <c r="E3610">
        <f>TEST_DATA!E3610</f>
        <v>2285</v>
      </c>
    </row>
    <row r="3611" spans="1:5" x14ac:dyDescent="0.55000000000000004">
      <c r="A3611" t="str">
        <f>TEST_DATA!A3611</f>
        <v>27AAAAA3611Z5</v>
      </c>
      <c r="B3611" t="str">
        <f>TEST_DATA!B3611</f>
        <v>Dec-2024</v>
      </c>
      <c r="C3611">
        <f>TEST_DATA!C3611</f>
        <v>45249</v>
      </c>
      <c r="D3611" t="str">
        <f>TEST_DATA!D3611</f>
        <v>NON-NIL</v>
      </c>
      <c r="E3611">
        <f>TEST_DATA!E3611</f>
        <v>729</v>
      </c>
    </row>
    <row r="3612" spans="1:5" x14ac:dyDescent="0.55000000000000004">
      <c r="A3612" t="str">
        <f>TEST_DATA!A3612</f>
        <v>27AAAAA3612Z5</v>
      </c>
      <c r="B3612" t="str">
        <f>TEST_DATA!B3612</f>
        <v>Jul-2017</v>
      </c>
      <c r="C3612">
        <f>TEST_DATA!C3612</f>
        <v>43665</v>
      </c>
      <c r="D3612" t="str">
        <f>TEST_DATA!D3612</f>
        <v>NON-NIL</v>
      </c>
      <c r="E3612">
        <f>TEST_DATA!E3612</f>
        <v>2744</v>
      </c>
    </row>
    <row r="3613" spans="1:5" x14ac:dyDescent="0.55000000000000004">
      <c r="A3613" t="str">
        <f>TEST_DATA!A3613</f>
        <v>27AAAAA3613Z5</v>
      </c>
      <c r="B3613" t="str">
        <f>TEST_DATA!B3613</f>
        <v>Jun-2018</v>
      </c>
      <c r="C3613">
        <f>TEST_DATA!C3613</f>
        <v>44408</v>
      </c>
      <c r="D3613" t="str">
        <f>TEST_DATA!D3613</f>
        <v>NON-NIL</v>
      </c>
      <c r="E3613">
        <f>TEST_DATA!E3613</f>
        <v>875</v>
      </c>
    </row>
    <row r="3614" spans="1:5" x14ac:dyDescent="0.55000000000000004">
      <c r="A3614" t="str">
        <f>TEST_DATA!A3614</f>
        <v>27AAAAA3614Z5</v>
      </c>
      <c r="B3614" t="str">
        <f>TEST_DATA!B3614</f>
        <v>Apr-2020</v>
      </c>
      <c r="C3614">
        <f>TEST_DATA!C3614</f>
        <v>44222</v>
      </c>
      <c r="D3614" t="str">
        <f>TEST_DATA!D3614</f>
        <v>NON-NIL</v>
      </c>
      <c r="E3614">
        <f>TEST_DATA!E3614</f>
        <v>1532</v>
      </c>
    </row>
    <row r="3615" spans="1:5" x14ac:dyDescent="0.55000000000000004">
      <c r="A3615" t="str">
        <f>TEST_DATA!A3615</f>
        <v>27AAAAA3615Z5</v>
      </c>
      <c r="B3615" t="str">
        <f>TEST_DATA!B3615</f>
        <v>Dec-2017</v>
      </c>
      <c r="C3615">
        <f>TEST_DATA!C3615</f>
        <v>44448</v>
      </c>
      <c r="D3615" t="str">
        <f>TEST_DATA!D3615</f>
        <v>NIL</v>
      </c>
      <c r="E3615">
        <f>TEST_DATA!E3615</f>
        <v>802</v>
      </c>
    </row>
    <row r="3616" spans="1:5" x14ac:dyDescent="0.55000000000000004">
      <c r="A3616" t="str">
        <f>TEST_DATA!A3616</f>
        <v>27AAAAA3616Z5</v>
      </c>
      <c r="B3616" t="str">
        <f>TEST_DATA!B3616</f>
        <v>Sep-2018</v>
      </c>
      <c r="C3616">
        <f>TEST_DATA!C3616</f>
        <v>43656</v>
      </c>
      <c r="D3616" t="str">
        <f>TEST_DATA!D3616</f>
        <v>NIL</v>
      </c>
      <c r="E3616">
        <f>TEST_DATA!E3616</f>
        <v>22</v>
      </c>
    </row>
    <row r="3617" spans="1:5" x14ac:dyDescent="0.55000000000000004">
      <c r="A3617" t="str">
        <f>TEST_DATA!A3617</f>
        <v>27AAAAA3617Z5</v>
      </c>
      <c r="B3617" t="str">
        <f>TEST_DATA!B3617</f>
        <v>Mar-2020</v>
      </c>
      <c r="C3617">
        <f>TEST_DATA!C3617</f>
        <v>44466</v>
      </c>
      <c r="D3617" t="str">
        <f>TEST_DATA!D3617</f>
        <v>NON-NIL</v>
      </c>
      <c r="E3617">
        <f>TEST_DATA!E3617</f>
        <v>385</v>
      </c>
    </row>
    <row r="3618" spans="1:5" x14ac:dyDescent="0.55000000000000004">
      <c r="A3618" t="str">
        <f>TEST_DATA!A3618</f>
        <v>27AAAAA3618Z5</v>
      </c>
      <c r="B3618" t="str">
        <f>TEST_DATA!B3618</f>
        <v>Jun-2018</v>
      </c>
      <c r="C3618">
        <f>TEST_DATA!C3618</f>
        <v>43436</v>
      </c>
      <c r="D3618" t="str">
        <f>TEST_DATA!D3618</f>
        <v>NIL</v>
      </c>
      <c r="E3618">
        <f>TEST_DATA!E3618</f>
        <v>2485</v>
      </c>
    </row>
    <row r="3619" spans="1:5" x14ac:dyDescent="0.55000000000000004">
      <c r="A3619" t="str">
        <f>TEST_DATA!A3619</f>
        <v>27AAAAA3619Z5</v>
      </c>
      <c r="B3619" t="str">
        <f>TEST_DATA!B3619</f>
        <v>Mar-2018</v>
      </c>
      <c r="C3619">
        <f>TEST_DATA!C3619</f>
        <v>42985</v>
      </c>
      <c r="D3619" t="str">
        <f>TEST_DATA!D3619</f>
        <v>NON-NIL</v>
      </c>
      <c r="E3619">
        <f>TEST_DATA!E3619</f>
        <v>2628</v>
      </c>
    </row>
    <row r="3620" spans="1:5" x14ac:dyDescent="0.55000000000000004">
      <c r="A3620" t="str">
        <f>TEST_DATA!A3620</f>
        <v>27AAAAA3620Z5</v>
      </c>
      <c r="B3620" t="str">
        <f>TEST_DATA!B3620</f>
        <v>Jan-2019</v>
      </c>
      <c r="C3620">
        <f>TEST_DATA!C3620</f>
        <v>45097</v>
      </c>
      <c r="D3620" t="str">
        <f>TEST_DATA!D3620</f>
        <v>NIL</v>
      </c>
      <c r="E3620">
        <f>TEST_DATA!E3620</f>
        <v>2848</v>
      </c>
    </row>
    <row r="3621" spans="1:5" x14ac:dyDescent="0.55000000000000004">
      <c r="A3621" t="str">
        <f>TEST_DATA!A3621</f>
        <v>27AAAAA3621Z5</v>
      </c>
      <c r="B3621" t="str">
        <f>TEST_DATA!B3621</f>
        <v>Jul-2020</v>
      </c>
      <c r="C3621">
        <f>TEST_DATA!C3621</f>
        <v>44349</v>
      </c>
      <c r="D3621" t="str">
        <f>TEST_DATA!D3621</f>
        <v>NON-NIL</v>
      </c>
      <c r="E3621">
        <f>TEST_DATA!E3621</f>
        <v>2561</v>
      </c>
    </row>
    <row r="3622" spans="1:5" x14ac:dyDescent="0.55000000000000004">
      <c r="A3622" t="str">
        <f>TEST_DATA!A3622</f>
        <v>27AAAAA3622Z5</v>
      </c>
      <c r="B3622" t="str">
        <f>TEST_DATA!B3622</f>
        <v>Aug-2017</v>
      </c>
      <c r="C3622">
        <f>TEST_DATA!C3622</f>
        <v>44088</v>
      </c>
      <c r="D3622" t="str">
        <f>TEST_DATA!D3622</f>
        <v>NIL</v>
      </c>
      <c r="E3622">
        <f>TEST_DATA!E3622</f>
        <v>2941</v>
      </c>
    </row>
    <row r="3623" spans="1:5" x14ac:dyDescent="0.55000000000000004">
      <c r="A3623" t="str">
        <f>TEST_DATA!A3623</f>
        <v>27AAAAA3623Z5</v>
      </c>
      <c r="B3623" t="str">
        <f>TEST_DATA!B3623</f>
        <v>Jan-2019</v>
      </c>
      <c r="C3623">
        <f>TEST_DATA!C3623</f>
        <v>45327</v>
      </c>
      <c r="D3623" t="str">
        <f>TEST_DATA!D3623</f>
        <v>NON-NIL</v>
      </c>
      <c r="E3623">
        <f>TEST_DATA!E3623</f>
        <v>711</v>
      </c>
    </row>
    <row r="3624" spans="1:5" x14ac:dyDescent="0.55000000000000004">
      <c r="A3624" t="str">
        <f>TEST_DATA!A3624</f>
        <v>27AAAAA3624Z5</v>
      </c>
      <c r="B3624" t="str">
        <f>TEST_DATA!B3624</f>
        <v>Jan-2019</v>
      </c>
      <c r="C3624">
        <f>TEST_DATA!C3624</f>
        <v>45700</v>
      </c>
      <c r="D3624" t="str">
        <f>TEST_DATA!D3624</f>
        <v>NIL</v>
      </c>
      <c r="E3624">
        <f>TEST_DATA!E3624</f>
        <v>156</v>
      </c>
    </row>
    <row r="3625" spans="1:5" x14ac:dyDescent="0.55000000000000004">
      <c r="A3625" t="str">
        <f>TEST_DATA!A3625</f>
        <v>27AAAAA3625Z5</v>
      </c>
      <c r="B3625" t="str">
        <f>TEST_DATA!B3625</f>
        <v>Jun-2018</v>
      </c>
      <c r="C3625">
        <f>TEST_DATA!C3625</f>
        <v>42976</v>
      </c>
      <c r="D3625" t="str">
        <f>TEST_DATA!D3625</f>
        <v>NIL</v>
      </c>
      <c r="E3625">
        <f>TEST_DATA!E3625</f>
        <v>2890</v>
      </c>
    </row>
    <row r="3626" spans="1:5" x14ac:dyDescent="0.55000000000000004">
      <c r="A3626" t="str">
        <f>TEST_DATA!A3626</f>
        <v>27AAAAA3626Z5</v>
      </c>
      <c r="B3626" t="str">
        <f>TEST_DATA!B3626</f>
        <v>Jan-2021</v>
      </c>
      <c r="C3626">
        <f>TEST_DATA!C3626</f>
        <v>44190</v>
      </c>
      <c r="D3626" t="str">
        <f>TEST_DATA!D3626</f>
        <v>NIL</v>
      </c>
      <c r="E3626">
        <f>TEST_DATA!E3626</f>
        <v>339</v>
      </c>
    </row>
    <row r="3627" spans="1:5" x14ac:dyDescent="0.55000000000000004">
      <c r="A3627" t="str">
        <f>TEST_DATA!A3627</f>
        <v>27AAAAA3627Z5</v>
      </c>
      <c r="B3627" t="str">
        <f>TEST_DATA!B3627</f>
        <v>Aug-2018</v>
      </c>
      <c r="C3627">
        <f>TEST_DATA!C3627</f>
        <v>43161</v>
      </c>
      <c r="D3627" t="str">
        <f>TEST_DATA!D3627</f>
        <v>NIL</v>
      </c>
      <c r="E3627">
        <f>TEST_DATA!E3627</f>
        <v>1816</v>
      </c>
    </row>
    <row r="3628" spans="1:5" x14ac:dyDescent="0.55000000000000004">
      <c r="A3628" t="str">
        <f>TEST_DATA!A3628</f>
        <v>27AAAAA3628Z5</v>
      </c>
      <c r="B3628" t="str">
        <f>TEST_DATA!B3628</f>
        <v>May-2020</v>
      </c>
      <c r="C3628">
        <f>TEST_DATA!C3628</f>
        <v>43958</v>
      </c>
      <c r="D3628" t="str">
        <f>TEST_DATA!D3628</f>
        <v>NON-NIL</v>
      </c>
      <c r="E3628">
        <f>TEST_DATA!E3628</f>
        <v>399</v>
      </c>
    </row>
    <row r="3629" spans="1:5" x14ac:dyDescent="0.55000000000000004">
      <c r="A3629" t="str">
        <f>TEST_DATA!A3629</f>
        <v>27AAAAA3629Z5</v>
      </c>
      <c r="B3629" t="str">
        <f>TEST_DATA!B3629</f>
        <v>Mar-2023</v>
      </c>
      <c r="C3629">
        <f>TEST_DATA!C3629</f>
        <v>45694</v>
      </c>
      <c r="D3629" t="str">
        <f>TEST_DATA!D3629</f>
        <v>NON-NIL</v>
      </c>
      <c r="E3629">
        <f>TEST_DATA!E3629</f>
        <v>795</v>
      </c>
    </row>
    <row r="3630" spans="1:5" x14ac:dyDescent="0.55000000000000004">
      <c r="A3630" t="str">
        <f>TEST_DATA!A3630</f>
        <v>27AAAAA3630Z5</v>
      </c>
      <c r="B3630" t="str">
        <f>TEST_DATA!B3630</f>
        <v>May-2020</v>
      </c>
      <c r="C3630">
        <f>TEST_DATA!C3630</f>
        <v>43865</v>
      </c>
      <c r="D3630" t="str">
        <f>TEST_DATA!D3630</f>
        <v>NON-NIL</v>
      </c>
      <c r="E3630">
        <f>TEST_DATA!E3630</f>
        <v>2752</v>
      </c>
    </row>
    <row r="3631" spans="1:5" x14ac:dyDescent="0.55000000000000004">
      <c r="A3631" t="str">
        <f>TEST_DATA!A3631</f>
        <v>27AAAAA3631Z5</v>
      </c>
      <c r="B3631" t="str">
        <f>TEST_DATA!B3631</f>
        <v>Mar-2023</v>
      </c>
      <c r="C3631">
        <f>TEST_DATA!C3631</f>
        <v>44762</v>
      </c>
      <c r="D3631" t="str">
        <f>TEST_DATA!D3631</f>
        <v>NIL</v>
      </c>
      <c r="E3631">
        <f>TEST_DATA!E3631</f>
        <v>2403</v>
      </c>
    </row>
    <row r="3632" spans="1:5" x14ac:dyDescent="0.55000000000000004">
      <c r="A3632" t="str">
        <f>TEST_DATA!A3632</f>
        <v>27AAAAA3632Z5</v>
      </c>
      <c r="B3632" t="str">
        <f>TEST_DATA!B3632</f>
        <v>Jan-2021</v>
      </c>
      <c r="C3632">
        <f>TEST_DATA!C3632</f>
        <v>44966</v>
      </c>
      <c r="D3632" t="str">
        <f>TEST_DATA!D3632</f>
        <v>NIL</v>
      </c>
      <c r="E3632">
        <f>TEST_DATA!E3632</f>
        <v>2721</v>
      </c>
    </row>
    <row r="3633" spans="1:5" x14ac:dyDescent="0.55000000000000004">
      <c r="A3633" t="str">
        <f>TEST_DATA!A3633</f>
        <v>27AAAAA3633Z5</v>
      </c>
      <c r="B3633" t="str">
        <f>TEST_DATA!B3633</f>
        <v>Jul-2018</v>
      </c>
      <c r="C3633">
        <f>TEST_DATA!C3633</f>
        <v>43769</v>
      </c>
      <c r="D3633" t="str">
        <f>TEST_DATA!D3633</f>
        <v>NIL</v>
      </c>
      <c r="E3633">
        <f>TEST_DATA!E3633</f>
        <v>266</v>
      </c>
    </row>
    <row r="3634" spans="1:5" x14ac:dyDescent="0.55000000000000004">
      <c r="A3634" t="str">
        <f>TEST_DATA!A3634</f>
        <v>27AAAAA3634Z5</v>
      </c>
      <c r="B3634" t="str">
        <f>TEST_DATA!B3634</f>
        <v>Jan-2018</v>
      </c>
      <c r="C3634">
        <f>TEST_DATA!C3634</f>
        <v>44476</v>
      </c>
      <c r="D3634" t="str">
        <f>TEST_DATA!D3634</f>
        <v>NIL</v>
      </c>
      <c r="E3634">
        <f>TEST_DATA!E3634</f>
        <v>2985</v>
      </c>
    </row>
    <row r="3635" spans="1:5" x14ac:dyDescent="0.55000000000000004">
      <c r="A3635" t="str">
        <f>TEST_DATA!A3635</f>
        <v>27AAAAA3635Z5</v>
      </c>
      <c r="B3635" t="str">
        <f>TEST_DATA!B3635</f>
        <v>Mar-2018</v>
      </c>
      <c r="C3635">
        <f>TEST_DATA!C3635</f>
        <v>43088</v>
      </c>
      <c r="D3635" t="str">
        <f>TEST_DATA!D3635</f>
        <v>NIL</v>
      </c>
      <c r="E3635">
        <f>TEST_DATA!E3635</f>
        <v>1816</v>
      </c>
    </row>
    <row r="3636" spans="1:5" x14ac:dyDescent="0.55000000000000004">
      <c r="A3636" t="str">
        <f>TEST_DATA!A3636</f>
        <v>27AAAAA3636Z5</v>
      </c>
      <c r="B3636" t="str">
        <f>TEST_DATA!B3636</f>
        <v>Aug-2017</v>
      </c>
      <c r="C3636">
        <f>TEST_DATA!C3636</f>
        <v>43481</v>
      </c>
      <c r="D3636" t="str">
        <f>TEST_DATA!D3636</f>
        <v>NIL</v>
      </c>
      <c r="E3636">
        <f>TEST_DATA!E3636</f>
        <v>2820</v>
      </c>
    </row>
    <row r="3637" spans="1:5" x14ac:dyDescent="0.55000000000000004">
      <c r="A3637" t="str">
        <f>TEST_DATA!A3637</f>
        <v>27AAAAA3637Z5</v>
      </c>
      <c r="B3637" t="str">
        <f>TEST_DATA!B3637</f>
        <v>Jun-2019</v>
      </c>
      <c r="C3637">
        <f>TEST_DATA!C3637</f>
        <v>45142</v>
      </c>
      <c r="D3637" t="str">
        <f>TEST_DATA!D3637</f>
        <v>NIL</v>
      </c>
      <c r="E3637">
        <f>TEST_DATA!E3637</f>
        <v>2602</v>
      </c>
    </row>
    <row r="3638" spans="1:5" x14ac:dyDescent="0.55000000000000004">
      <c r="A3638" t="str">
        <f>TEST_DATA!A3638</f>
        <v>27AAAAA3638Z5</v>
      </c>
      <c r="B3638" t="str">
        <f>TEST_DATA!B3638</f>
        <v>Jan-2021</v>
      </c>
      <c r="C3638">
        <f>TEST_DATA!C3638</f>
        <v>43479</v>
      </c>
      <c r="D3638" t="str">
        <f>TEST_DATA!D3638</f>
        <v>NON-NIL</v>
      </c>
      <c r="E3638">
        <f>TEST_DATA!E3638</f>
        <v>1121</v>
      </c>
    </row>
    <row r="3639" spans="1:5" x14ac:dyDescent="0.55000000000000004">
      <c r="A3639" t="str">
        <f>TEST_DATA!A3639</f>
        <v>27AAAAA3639Z5</v>
      </c>
      <c r="B3639" t="str">
        <f>TEST_DATA!B3639</f>
        <v>Dec-2019</v>
      </c>
      <c r="C3639">
        <f>TEST_DATA!C3639</f>
        <v>44902</v>
      </c>
      <c r="D3639" t="str">
        <f>TEST_DATA!D3639</f>
        <v>NIL</v>
      </c>
      <c r="E3639">
        <f>TEST_DATA!E3639</f>
        <v>1398</v>
      </c>
    </row>
    <row r="3640" spans="1:5" x14ac:dyDescent="0.55000000000000004">
      <c r="A3640" t="str">
        <f>TEST_DATA!A3640</f>
        <v>27AAAAA3640Z5</v>
      </c>
      <c r="B3640" t="str">
        <f>TEST_DATA!B3640</f>
        <v>Sep-2018</v>
      </c>
      <c r="C3640">
        <f>TEST_DATA!C3640</f>
        <v>44080</v>
      </c>
      <c r="D3640" t="str">
        <f>TEST_DATA!D3640</f>
        <v>NIL</v>
      </c>
      <c r="E3640">
        <f>TEST_DATA!E3640</f>
        <v>2319</v>
      </c>
    </row>
    <row r="3641" spans="1:5" x14ac:dyDescent="0.55000000000000004">
      <c r="A3641" t="str">
        <f>TEST_DATA!A3641</f>
        <v>27AAAAA3641Z5</v>
      </c>
      <c r="B3641" t="str">
        <f>TEST_DATA!B3641</f>
        <v>Sep-2018</v>
      </c>
      <c r="C3641">
        <f>TEST_DATA!C3641</f>
        <v>43097</v>
      </c>
      <c r="D3641" t="str">
        <f>TEST_DATA!D3641</f>
        <v>NIL</v>
      </c>
      <c r="E3641">
        <f>TEST_DATA!E3641</f>
        <v>370</v>
      </c>
    </row>
    <row r="3642" spans="1:5" x14ac:dyDescent="0.55000000000000004">
      <c r="A3642" t="str">
        <f>TEST_DATA!A3642</f>
        <v>27AAAAA3642Z5</v>
      </c>
      <c r="B3642" t="str">
        <f>TEST_DATA!B3642</f>
        <v>Dec-2017</v>
      </c>
      <c r="C3642">
        <f>TEST_DATA!C3642</f>
        <v>44411</v>
      </c>
      <c r="D3642" t="str">
        <f>TEST_DATA!D3642</f>
        <v>NIL</v>
      </c>
      <c r="E3642">
        <f>TEST_DATA!E3642</f>
        <v>760</v>
      </c>
    </row>
    <row r="3643" spans="1:5" x14ac:dyDescent="0.55000000000000004">
      <c r="A3643" t="str">
        <f>TEST_DATA!A3643</f>
        <v>27AAAAA3643Z5</v>
      </c>
      <c r="B3643" t="str">
        <f>TEST_DATA!B3643</f>
        <v>May-2018</v>
      </c>
      <c r="C3643">
        <f>TEST_DATA!C3643</f>
        <v>44127</v>
      </c>
      <c r="D3643" t="str">
        <f>TEST_DATA!D3643</f>
        <v>NIL</v>
      </c>
      <c r="E3643">
        <f>TEST_DATA!E3643</f>
        <v>693</v>
      </c>
    </row>
    <row r="3644" spans="1:5" x14ac:dyDescent="0.55000000000000004">
      <c r="A3644" t="str">
        <f>TEST_DATA!A3644</f>
        <v>27AAAAA3644Z5</v>
      </c>
      <c r="B3644" t="str">
        <f>TEST_DATA!B3644</f>
        <v>Apr-2021</v>
      </c>
      <c r="C3644">
        <f>TEST_DATA!C3644</f>
        <v>43508</v>
      </c>
      <c r="D3644" t="str">
        <f>TEST_DATA!D3644</f>
        <v>NIL</v>
      </c>
      <c r="E3644">
        <f>TEST_DATA!E3644</f>
        <v>2613</v>
      </c>
    </row>
    <row r="3645" spans="1:5" x14ac:dyDescent="0.55000000000000004">
      <c r="A3645" t="str">
        <f>TEST_DATA!A3645</f>
        <v>27AAAAA3645Z5</v>
      </c>
      <c r="B3645" t="str">
        <f>TEST_DATA!B3645</f>
        <v>Jun-2018</v>
      </c>
      <c r="C3645">
        <f>TEST_DATA!C3645</f>
        <v>43859</v>
      </c>
      <c r="D3645" t="str">
        <f>TEST_DATA!D3645</f>
        <v>NIL</v>
      </c>
      <c r="E3645">
        <f>TEST_DATA!E3645</f>
        <v>2966</v>
      </c>
    </row>
    <row r="3646" spans="1:5" x14ac:dyDescent="0.55000000000000004">
      <c r="A3646" t="str">
        <f>TEST_DATA!A3646</f>
        <v>27AAAAA3646Z5</v>
      </c>
      <c r="B3646" t="str">
        <f>TEST_DATA!B3646</f>
        <v>Feb-2018</v>
      </c>
      <c r="C3646">
        <f>TEST_DATA!C3646</f>
        <v>43547</v>
      </c>
      <c r="D3646" t="str">
        <f>TEST_DATA!D3646</f>
        <v>NIL</v>
      </c>
      <c r="E3646">
        <f>TEST_DATA!E3646</f>
        <v>543</v>
      </c>
    </row>
    <row r="3647" spans="1:5" x14ac:dyDescent="0.55000000000000004">
      <c r="A3647" t="str">
        <f>TEST_DATA!A3647</f>
        <v>27AAAAA3647Z5</v>
      </c>
      <c r="B3647" t="str">
        <f>TEST_DATA!B3647</f>
        <v>Apr-2018</v>
      </c>
      <c r="C3647">
        <f>TEST_DATA!C3647</f>
        <v>43026</v>
      </c>
      <c r="D3647" t="str">
        <f>TEST_DATA!D3647</f>
        <v>NON-NIL</v>
      </c>
      <c r="E3647">
        <f>TEST_DATA!E3647</f>
        <v>2891</v>
      </c>
    </row>
    <row r="3648" spans="1:5" x14ac:dyDescent="0.55000000000000004">
      <c r="A3648" t="str">
        <f>TEST_DATA!A3648</f>
        <v>27AAAAA3648Z5</v>
      </c>
      <c r="B3648" t="str">
        <f>TEST_DATA!B3648</f>
        <v>Apr-2018</v>
      </c>
      <c r="C3648">
        <f>TEST_DATA!C3648</f>
        <v>43281</v>
      </c>
      <c r="D3648" t="str">
        <f>TEST_DATA!D3648</f>
        <v>NON-NIL</v>
      </c>
      <c r="E3648">
        <f>TEST_DATA!E3648</f>
        <v>575</v>
      </c>
    </row>
    <row r="3649" spans="1:5" x14ac:dyDescent="0.55000000000000004">
      <c r="A3649" t="str">
        <f>TEST_DATA!A3649</f>
        <v>27AAAAA3649Z5</v>
      </c>
      <c r="B3649" t="str">
        <f>TEST_DATA!B3649</f>
        <v>Mar-2020</v>
      </c>
      <c r="C3649">
        <f>TEST_DATA!C3649</f>
        <v>44477</v>
      </c>
      <c r="D3649" t="str">
        <f>TEST_DATA!D3649</f>
        <v>NON-NIL</v>
      </c>
      <c r="E3649">
        <f>TEST_DATA!E3649</f>
        <v>925</v>
      </c>
    </row>
    <row r="3650" spans="1:5" x14ac:dyDescent="0.55000000000000004">
      <c r="A3650" t="str">
        <f>TEST_DATA!A3650</f>
        <v>27AAAAA3650Z5</v>
      </c>
      <c r="B3650" t="str">
        <f>TEST_DATA!B3650</f>
        <v>Dec-2022</v>
      </c>
      <c r="C3650">
        <f>TEST_DATA!C3650</f>
        <v>44237</v>
      </c>
      <c r="D3650" t="str">
        <f>TEST_DATA!D3650</f>
        <v>NON-NIL</v>
      </c>
      <c r="E3650">
        <f>TEST_DATA!E3650</f>
        <v>816</v>
      </c>
    </row>
    <row r="3651" spans="1:5" x14ac:dyDescent="0.55000000000000004">
      <c r="A3651" t="str">
        <f>TEST_DATA!A3651</f>
        <v>27AAAAA3651Z5</v>
      </c>
      <c r="B3651" t="str">
        <f>TEST_DATA!B3651</f>
        <v>Dec-2017</v>
      </c>
      <c r="C3651">
        <f>TEST_DATA!C3651</f>
        <v>43521</v>
      </c>
      <c r="D3651" t="str">
        <f>TEST_DATA!D3651</f>
        <v>NON-NIL</v>
      </c>
      <c r="E3651">
        <f>TEST_DATA!E3651</f>
        <v>2857</v>
      </c>
    </row>
    <row r="3652" spans="1:5" x14ac:dyDescent="0.55000000000000004">
      <c r="A3652" t="str">
        <f>TEST_DATA!A3652</f>
        <v>27AAAAA3652Z5</v>
      </c>
      <c r="B3652" t="str">
        <f>TEST_DATA!B3652</f>
        <v>Sep-2018</v>
      </c>
      <c r="C3652">
        <f>TEST_DATA!C3652</f>
        <v>43458</v>
      </c>
      <c r="D3652" t="str">
        <f>TEST_DATA!D3652</f>
        <v>NIL</v>
      </c>
      <c r="E3652">
        <f>TEST_DATA!E3652</f>
        <v>2006</v>
      </c>
    </row>
    <row r="3653" spans="1:5" x14ac:dyDescent="0.55000000000000004">
      <c r="A3653" t="str">
        <f>TEST_DATA!A3653</f>
        <v>27AAAAA3653Z5</v>
      </c>
      <c r="B3653" t="str">
        <f>TEST_DATA!B3653</f>
        <v>Jun-2018</v>
      </c>
      <c r="C3653">
        <f>TEST_DATA!C3653</f>
        <v>44102</v>
      </c>
      <c r="D3653" t="str">
        <f>TEST_DATA!D3653</f>
        <v>NON-NIL</v>
      </c>
      <c r="E3653">
        <f>TEST_DATA!E3653</f>
        <v>1428</v>
      </c>
    </row>
    <row r="3654" spans="1:5" x14ac:dyDescent="0.55000000000000004">
      <c r="A3654" t="str">
        <f>TEST_DATA!A3654</f>
        <v>27AAAAA3654Z5</v>
      </c>
      <c r="B3654" t="str">
        <f>TEST_DATA!B3654</f>
        <v>Mar-2021</v>
      </c>
      <c r="C3654">
        <f>TEST_DATA!C3654</f>
        <v>45608</v>
      </c>
      <c r="D3654" t="str">
        <f>TEST_DATA!D3654</f>
        <v>NON-NIL</v>
      </c>
      <c r="E3654">
        <f>TEST_DATA!E3654</f>
        <v>2584</v>
      </c>
    </row>
    <row r="3655" spans="1:5" x14ac:dyDescent="0.55000000000000004">
      <c r="A3655" t="str">
        <f>TEST_DATA!A3655</f>
        <v>27AAAAA3655Z5</v>
      </c>
      <c r="B3655" t="str">
        <f>TEST_DATA!B3655</f>
        <v>Jun-2020</v>
      </c>
      <c r="C3655">
        <f>TEST_DATA!C3655</f>
        <v>44180</v>
      </c>
      <c r="D3655" t="str">
        <f>TEST_DATA!D3655</f>
        <v>NIL</v>
      </c>
      <c r="E3655">
        <f>TEST_DATA!E3655</f>
        <v>2397</v>
      </c>
    </row>
    <row r="3656" spans="1:5" x14ac:dyDescent="0.55000000000000004">
      <c r="A3656" t="str">
        <f>TEST_DATA!A3656</f>
        <v>27AAAAA3656Z5</v>
      </c>
      <c r="B3656" t="str">
        <f>TEST_DATA!B3656</f>
        <v>Jul-2018</v>
      </c>
      <c r="C3656">
        <f>TEST_DATA!C3656</f>
        <v>43235</v>
      </c>
      <c r="D3656" t="str">
        <f>TEST_DATA!D3656</f>
        <v>NIL</v>
      </c>
      <c r="E3656">
        <f>TEST_DATA!E3656</f>
        <v>2876</v>
      </c>
    </row>
    <row r="3657" spans="1:5" x14ac:dyDescent="0.55000000000000004">
      <c r="A3657" t="str">
        <f>TEST_DATA!A3657</f>
        <v>27AAAAA3657Z5</v>
      </c>
      <c r="B3657" t="str">
        <f>TEST_DATA!B3657</f>
        <v>Aug-2018</v>
      </c>
      <c r="C3657">
        <f>TEST_DATA!C3657</f>
        <v>43627</v>
      </c>
      <c r="D3657" t="str">
        <f>TEST_DATA!D3657</f>
        <v>NON-NIL</v>
      </c>
      <c r="E3657">
        <f>TEST_DATA!E3657</f>
        <v>849</v>
      </c>
    </row>
    <row r="3658" spans="1:5" x14ac:dyDescent="0.55000000000000004">
      <c r="A3658" t="str">
        <f>TEST_DATA!A3658</f>
        <v>27AAAAA3658Z5</v>
      </c>
      <c r="B3658" t="str">
        <f>TEST_DATA!B3658</f>
        <v>May-2018</v>
      </c>
      <c r="C3658">
        <f>TEST_DATA!C3658</f>
        <v>44349</v>
      </c>
      <c r="D3658" t="str">
        <f>TEST_DATA!D3658</f>
        <v>NON-NIL</v>
      </c>
      <c r="E3658">
        <f>TEST_DATA!E3658</f>
        <v>371</v>
      </c>
    </row>
    <row r="3659" spans="1:5" x14ac:dyDescent="0.55000000000000004">
      <c r="A3659" t="str">
        <f>TEST_DATA!A3659</f>
        <v>27AAAAA3659Z5</v>
      </c>
      <c r="B3659" t="str">
        <f>TEST_DATA!B3659</f>
        <v>Jun-2019</v>
      </c>
      <c r="C3659">
        <f>TEST_DATA!C3659</f>
        <v>44329</v>
      </c>
      <c r="D3659" t="str">
        <f>TEST_DATA!D3659</f>
        <v>NON-NIL</v>
      </c>
      <c r="E3659">
        <f>TEST_DATA!E3659</f>
        <v>893</v>
      </c>
    </row>
    <row r="3660" spans="1:5" x14ac:dyDescent="0.55000000000000004">
      <c r="A3660" t="str">
        <f>TEST_DATA!A3660</f>
        <v>27AAAAA3660Z5</v>
      </c>
      <c r="B3660" t="str">
        <f>TEST_DATA!B3660</f>
        <v>Sep-2018</v>
      </c>
      <c r="C3660">
        <f>TEST_DATA!C3660</f>
        <v>43451</v>
      </c>
      <c r="D3660" t="str">
        <f>TEST_DATA!D3660</f>
        <v>NIL</v>
      </c>
      <c r="E3660">
        <f>TEST_DATA!E3660</f>
        <v>472</v>
      </c>
    </row>
    <row r="3661" spans="1:5" x14ac:dyDescent="0.55000000000000004">
      <c r="A3661" t="str">
        <f>TEST_DATA!A3661</f>
        <v>27AAAAA3661Z5</v>
      </c>
      <c r="B3661" t="str">
        <f>TEST_DATA!B3661</f>
        <v>Jun-2019</v>
      </c>
      <c r="C3661">
        <f>TEST_DATA!C3661</f>
        <v>44229</v>
      </c>
      <c r="D3661" t="str">
        <f>TEST_DATA!D3661</f>
        <v>NON-NIL</v>
      </c>
      <c r="E3661">
        <f>TEST_DATA!E3661</f>
        <v>572</v>
      </c>
    </row>
    <row r="3662" spans="1:5" x14ac:dyDescent="0.55000000000000004">
      <c r="A3662" t="str">
        <f>TEST_DATA!A3662</f>
        <v>27AAAAA3662Z5</v>
      </c>
      <c r="B3662" t="str">
        <f>TEST_DATA!B3662</f>
        <v>Sep-2018</v>
      </c>
      <c r="C3662">
        <f>TEST_DATA!C3662</f>
        <v>44118</v>
      </c>
      <c r="D3662" t="str">
        <f>TEST_DATA!D3662</f>
        <v>NON-NIL</v>
      </c>
      <c r="E3662">
        <f>TEST_DATA!E3662</f>
        <v>1524</v>
      </c>
    </row>
    <row r="3663" spans="1:5" x14ac:dyDescent="0.55000000000000004">
      <c r="A3663" t="str">
        <f>TEST_DATA!A3663</f>
        <v>27AAAAA3663Z5</v>
      </c>
      <c r="B3663" t="str">
        <f>TEST_DATA!B3663</f>
        <v>Mar-2020</v>
      </c>
      <c r="C3663">
        <f>TEST_DATA!C3663</f>
        <v>44604</v>
      </c>
      <c r="D3663" t="str">
        <f>TEST_DATA!D3663</f>
        <v>NIL</v>
      </c>
      <c r="E3663">
        <f>TEST_DATA!E3663</f>
        <v>1320</v>
      </c>
    </row>
    <row r="3664" spans="1:5" x14ac:dyDescent="0.55000000000000004">
      <c r="A3664" t="str">
        <f>TEST_DATA!A3664</f>
        <v>27AAAAA3664Z5</v>
      </c>
      <c r="B3664" t="str">
        <f>TEST_DATA!B3664</f>
        <v>Jul-2020</v>
      </c>
      <c r="C3664">
        <f>TEST_DATA!C3664</f>
        <v>44045</v>
      </c>
      <c r="D3664" t="str">
        <f>TEST_DATA!D3664</f>
        <v>NON-NIL</v>
      </c>
      <c r="E3664">
        <f>TEST_DATA!E3664</f>
        <v>32</v>
      </c>
    </row>
    <row r="3665" spans="1:5" x14ac:dyDescent="0.55000000000000004">
      <c r="A3665" t="str">
        <f>TEST_DATA!A3665</f>
        <v>27AAAAA3665Z5</v>
      </c>
      <c r="B3665" t="str">
        <f>TEST_DATA!B3665</f>
        <v>Dec-2017</v>
      </c>
      <c r="C3665">
        <f>TEST_DATA!C3665</f>
        <v>43780</v>
      </c>
      <c r="D3665" t="str">
        <f>TEST_DATA!D3665</f>
        <v>NON-NIL</v>
      </c>
      <c r="E3665">
        <f>TEST_DATA!E3665</f>
        <v>1370</v>
      </c>
    </row>
    <row r="3666" spans="1:5" x14ac:dyDescent="0.55000000000000004">
      <c r="A3666" t="str">
        <f>TEST_DATA!A3666</f>
        <v>27AAAAA3666Z5</v>
      </c>
      <c r="B3666" t="str">
        <f>TEST_DATA!B3666</f>
        <v>May-2018</v>
      </c>
      <c r="C3666">
        <f>TEST_DATA!C3666</f>
        <v>44243</v>
      </c>
      <c r="D3666" t="str">
        <f>TEST_DATA!D3666</f>
        <v>NIL</v>
      </c>
      <c r="E3666">
        <f>TEST_DATA!E3666</f>
        <v>766</v>
      </c>
    </row>
    <row r="3667" spans="1:5" x14ac:dyDescent="0.55000000000000004">
      <c r="A3667" t="str">
        <f>TEST_DATA!A3667</f>
        <v>27AAAAA3667Z5</v>
      </c>
      <c r="B3667" t="str">
        <f>TEST_DATA!B3667</f>
        <v>Jun-2018</v>
      </c>
      <c r="C3667">
        <f>TEST_DATA!C3667</f>
        <v>43544</v>
      </c>
      <c r="D3667" t="str">
        <f>TEST_DATA!D3667</f>
        <v>NIL</v>
      </c>
      <c r="E3667">
        <f>TEST_DATA!E3667</f>
        <v>1912</v>
      </c>
    </row>
    <row r="3668" spans="1:5" x14ac:dyDescent="0.55000000000000004">
      <c r="A3668" t="str">
        <f>TEST_DATA!A3668</f>
        <v>27AAAAA3668Z5</v>
      </c>
      <c r="B3668" t="str">
        <f>TEST_DATA!B3668</f>
        <v>Dec-2019</v>
      </c>
      <c r="C3668">
        <f>TEST_DATA!C3668</f>
        <v>44228</v>
      </c>
      <c r="D3668" t="str">
        <f>TEST_DATA!D3668</f>
        <v>NIL</v>
      </c>
      <c r="E3668">
        <f>TEST_DATA!E3668</f>
        <v>1798</v>
      </c>
    </row>
    <row r="3669" spans="1:5" x14ac:dyDescent="0.55000000000000004">
      <c r="A3669" t="str">
        <f>TEST_DATA!A3669</f>
        <v>27AAAAA3669Z5</v>
      </c>
      <c r="B3669" t="str">
        <f>TEST_DATA!B3669</f>
        <v>Apr-2021</v>
      </c>
      <c r="C3669">
        <f>TEST_DATA!C3669</f>
        <v>45335</v>
      </c>
      <c r="D3669" t="str">
        <f>TEST_DATA!D3669</f>
        <v>NON-NIL</v>
      </c>
      <c r="E3669">
        <f>TEST_DATA!E3669</f>
        <v>2993</v>
      </c>
    </row>
    <row r="3670" spans="1:5" x14ac:dyDescent="0.55000000000000004">
      <c r="A3670" t="str">
        <f>TEST_DATA!A3670</f>
        <v>27AAAAA3670Z5</v>
      </c>
      <c r="B3670" t="str">
        <f>TEST_DATA!B3670</f>
        <v>Jul-2018</v>
      </c>
      <c r="C3670">
        <f>TEST_DATA!C3670</f>
        <v>43886</v>
      </c>
      <c r="D3670" t="str">
        <f>TEST_DATA!D3670</f>
        <v>NIL</v>
      </c>
      <c r="E3670">
        <f>TEST_DATA!E3670</f>
        <v>1034</v>
      </c>
    </row>
    <row r="3671" spans="1:5" x14ac:dyDescent="0.55000000000000004">
      <c r="A3671" t="str">
        <f>TEST_DATA!A3671</f>
        <v>27AAAAA3671Z5</v>
      </c>
      <c r="B3671" t="str">
        <f>TEST_DATA!B3671</f>
        <v>Jan-2021</v>
      </c>
      <c r="C3671">
        <f>TEST_DATA!C3671</f>
        <v>44994</v>
      </c>
      <c r="D3671" t="str">
        <f>TEST_DATA!D3671</f>
        <v>NON-NIL</v>
      </c>
      <c r="E3671">
        <f>TEST_DATA!E3671</f>
        <v>1976</v>
      </c>
    </row>
    <row r="3672" spans="1:5" x14ac:dyDescent="0.55000000000000004">
      <c r="A3672" t="str">
        <f>TEST_DATA!A3672</f>
        <v>27AAAAA3672Z5</v>
      </c>
      <c r="B3672" t="str">
        <f>TEST_DATA!B3672</f>
        <v>Jun-2020</v>
      </c>
      <c r="C3672">
        <f>TEST_DATA!C3672</f>
        <v>44652</v>
      </c>
      <c r="D3672" t="str">
        <f>TEST_DATA!D3672</f>
        <v>NON-NIL</v>
      </c>
      <c r="E3672">
        <f>TEST_DATA!E3672</f>
        <v>164</v>
      </c>
    </row>
    <row r="3673" spans="1:5" x14ac:dyDescent="0.55000000000000004">
      <c r="A3673" t="str">
        <f>TEST_DATA!A3673</f>
        <v>27AAAAA3673Z5</v>
      </c>
      <c r="B3673" t="str">
        <f>TEST_DATA!B3673</f>
        <v>Dec-2024</v>
      </c>
      <c r="C3673">
        <f>TEST_DATA!C3673</f>
        <v>44425</v>
      </c>
      <c r="D3673" t="str">
        <f>TEST_DATA!D3673</f>
        <v>NIL</v>
      </c>
      <c r="E3673">
        <f>TEST_DATA!E3673</f>
        <v>1724</v>
      </c>
    </row>
    <row r="3674" spans="1:5" x14ac:dyDescent="0.55000000000000004">
      <c r="A3674" t="str">
        <f>TEST_DATA!A3674</f>
        <v>27AAAAA3674Z5</v>
      </c>
      <c r="B3674" t="str">
        <f>TEST_DATA!B3674</f>
        <v>Aug-2018</v>
      </c>
      <c r="C3674">
        <f>TEST_DATA!C3674</f>
        <v>44502</v>
      </c>
      <c r="D3674" t="str">
        <f>TEST_DATA!D3674</f>
        <v>NON-NIL</v>
      </c>
      <c r="E3674">
        <f>TEST_DATA!E3674</f>
        <v>2365</v>
      </c>
    </row>
    <row r="3675" spans="1:5" x14ac:dyDescent="0.55000000000000004">
      <c r="A3675" t="str">
        <f>TEST_DATA!A3675</f>
        <v>27AAAAA3675Z5</v>
      </c>
      <c r="B3675" t="str">
        <f>TEST_DATA!B3675</f>
        <v>Jul-2018</v>
      </c>
      <c r="C3675">
        <f>TEST_DATA!C3675</f>
        <v>44131</v>
      </c>
      <c r="D3675" t="str">
        <f>TEST_DATA!D3675</f>
        <v>NIL</v>
      </c>
      <c r="E3675">
        <f>TEST_DATA!E3675</f>
        <v>671</v>
      </c>
    </row>
    <row r="3676" spans="1:5" x14ac:dyDescent="0.55000000000000004">
      <c r="A3676" t="str">
        <f>TEST_DATA!A3676</f>
        <v>27AAAAA3676Z5</v>
      </c>
      <c r="B3676" t="str">
        <f>TEST_DATA!B3676</f>
        <v>Jun-2019</v>
      </c>
      <c r="C3676">
        <f>TEST_DATA!C3676</f>
        <v>44147</v>
      </c>
      <c r="D3676" t="str">
        <f>TEST_DATA!D3676</f>
        <v>NON-NIL</v>
      </c>
      <c r="E3676">
        <f>TEST_DATA!E3676</f>
        <v>2444</v>
      </c>
    </row>
    <row r="3677" spans="1:5" x14ac:dyDescent="0.55000000000000004">
      <c r="A3677" t="str">
        <f>TEST_DATA!A3677</f>
        <v>27AAAAA3677Z5</v>
      </c>
      <c r="B3677" t="str">
        <f>TEST_DATA!B3677</f>
        <v>Jul-2020</v>
      </c>
      <c r="C3677">
        <f>TEST_DATA!C3677</f>
        <v>44904</v>
      </c>
      <c r="D3677" t="str">
        <f>TEST_DATA!D3677</f>
        <v>NIL</v>
      </c>
      <c r="E3677">
        <f>TEST_DATA!E3677</f>
        <v>2326</v>
      </c>
    </row>
    <row r="3678" spans="1:5" x14ac:dyDescent="0.55000000000000004">
      <c r="A3678" t="str">
        <f>TEST_DATA!A3678</f>
        <v>27AAAAA3678Z5</v>
      </c>
      <c r="B3678" t="str">
        <f>TEST_DATA!B3678</f>
        <v>Mar-2021</v>
      </c>
      <c r="C3678">
        <f>TEST_DATA!C3678</f>
        <v>44037</v>
      </c>
      <c r="D3678" t="str">
        <f>TEST_DATA!D3678</f>
        <v>NIL</v>
      </c>
      <c r="E3678">
        <f>TEST_DATA!E3678</f>
        <v>2717</v>
      </c>
    </row>
    <row r="3679" spans="1:5" x14ac:dyDescent="0.55000000000000004">
      <c r="A3679" t="str">
        <f>TEST_DATA!A3679</f>
        <v>27AAAAA3679Z5</v>
      </c>
      <c r="B3679" t="str">
        <f>TEST_DATA!B3679</f>
        <v>May-2018</v>
      </c>
      <c r="C3679">
        <f>TEST_DATA!C3679</f>
        <v>44531</v>
      </c>
      <c r="D3679" t="str">
        <f>TEST_DATA!D3679</f>
        <v>NIL</v>
      </c>
      <c r="E3679">
        <f>TEST_DATA!E3679</f>
        <v>370</v>
      </c>
    </row>
    <row r="3680" spans="1:5" x14ac:dyDescent="0.55000000000000004">
      <c r="A3680" t="str">
        <f>TEST_DATA!A3680</f>
        <v>27AAAAA3680Z5</v>
      </c>
      <c r="B3680" t="str">
        <f>TEST_DATA!B3680</f>
        <v>Apr-2018</v>
      </c>
      <c r="C3680">
        <f>TEST_DATA!C3680</f>
        <v>44540</v>
      </c>
      <c r="D3680" t="str">
        <f>TEST_DATA!D3680</f>
        <v>NIL</v>
      </c>
      <c r="E3680">
        <f>TEST_DATA!E3680</f>
        <v>1417</v>
      </c>
    </row>
    <row r="3681" spans="1:5" x14ac:dyDescent="0.55000000000000004">
      <c r="A3681" t="str">
        <f>TEST_DATA!A3681</f>
        <v>27AAAAA3681Z5</v>
      </c>
      <c r="B3681" t="str">
        <f>TEST_DATA!B3681</f>
        <v>Sep-2018</v>
      </c>
      <c r="C3681">
        <f>TEST_DATA!C3681</f>
        <v>43727</v>
      </c>
      <c r="D3681" t="str">
        <f>TEST_DATA!D3681</f>
        <v>NIL</v>
      </c>
      <c r="E3681">
        <f>TEST_DATA!E3681</f>
        <v>1886</v>
      </c>
    </row>
    <row r="3682" spans="1:5" x14ac:dyDescent="0.55000000000000004">
      <c r="A3682" t="str">
        <f>TEST_DATA!A3682</f>
        <v>27AAAAA3682Z5</v>
      </c>
      <c r="B3682" t="str">
        <f>TEST_DATA!B3682</f>
        <v>Jul-2017</v>
      </c>
      <c r="C3682">
        <f>TEST_DATA!C3682</f>
        <v>44265</v>
      </c>
      <c r="D3682" t="str">
        <f>TEST_DATA!D3682</f>
        <v>NIL</v>
      </c>
      <c r="E3682">
        <f>TEST_DATA!E3682</f>
        <v>820</v>
      </c>
    </row>
    <row r="3683" spans="1:5" x14ac:dyDescent="0.55000000000000004">
      <c r="A3683" t="str">
        <f>TEST_DATA!A3683</f>
        <v>27AAAAA3683Z5</v>
      </c>
      <c r="B3683" t="str">
        <f>TEST_DATA!B3683</f>
        <v>Dec-2024</v>
      </c>
      <c r="C3683">
        <f>TEST_DATA!C3683</f>
        <v>44170</v>
      </c>
      <c r="D3683" t="str">
        <f>TEST_DATA!D3683</f>
        <v>NON-NIL</v>
      </c>
      <c r="E3683">
        <f>TEST_DATA!E3683</f>
        <v>1259</v>
      </c>
    </row>
    <row r="3684" spans="1:5" x14ac:dyDescent="0.55000000000000004">
      <c r="A3684" t="str">
        <f>TEST_DATA!A3684</f>
        <v>27AAAAA3684Z5</v>
      </c>
      <c r="B3684" t="str">
        <f>TEST_DATA!B3684</f>
        <v>Sep-2017</v>
      </c>
      <c r="C3684">
        <f>TEST_DATA!C3684</f>
        <v>43295</v>
      </c>
      <c r="D3684" t="str">
        <f>TEST_DATA!D3684</f>
        <v>NIL</v>
      </c>
      <c r="E3684">
        <f>TEST_DATA!E3684</f>
        <v>832</v>
      </c>
    </row>
    <row r="3685" spans="1:5" x14ac:dyDescent="0.55000000000000004">
      <c r="A3685" t="str">
        <f>TEST_DATA!A3685</f>
        <v>27AAAAA3685Z5</v>
      </c>
      <c r="B3685" t="str">
        <f>TEST_DATA!B3685</f>
        <v>Aug-2018</v>
      </c>
      <c r="C3685">
        <f>TEST_DATA!C3685</f>
        <v>43101</v>
      </c>
      <c r="D3685" t="str">
        <f>TEST_DATA!D3685</f>
        <v>NIL</v>
      </c>
      <c r="E3685">
        <f>TEST_DATA!E3685</f>
        <v>631</v>
      </c>
    </row>
    <row r="3686" spans="1:5" x14ac:dyDescent="0.55000000000000004">
      <c r="A3686" t="str">
        <f>TEST_DATA!A3686</f>
        <v>27AAAAA3686Z5</v>
      </c>
      <c r="B3686" t="str">
        <f>TEST_DATA!B3686</f>
        <v>Jun-2020</v>
      </c>
      <c r="C3686">
        <f>TEST_DATA!C3686</f>
        <v>44597</v>
      </c>
      <c r="D3686" t="str">
        <f>TEST_DATA!D3686</f>
        <v>NIL</v>
      </c>
      <c r="E3686">
        <f>TEST_DATA!E3686</f>
        <v>1955</v>
      </c>
    </row>
    <row r="3687" spans="1:5" x14ac:dyDescent="0.55000000000000004">
      <c r="A3687" t="str">
        <f>TEST_DATA!A3687</f>
        <v>27AAAAA3687Z5</v>
      </c>
      <c r="B3687" t="str">
        <f>TEST_DATA!B3687</f>
        <v>Dec-2017</v>
      </c>
      <c r="C3687">
        <f>TEST_DATA!C3687</f>
        <v>43622</v>
      </c>
      <c r="D3687" t="str">
        <f>TEST_DATA!D3687</f>
        <v>NIL</v>
      </c>
      <c r="E3687">
        <f>TEST_DATA!E3687</f>
        <v>1928</v>
      </c>
    </row>
    <row r="3688" spans="1:5" x14ac:dyDescent="0.55000000000000004">
      <c r="A3688" t="str">
        <f>TEST_DATA!A3688</f>
        <v>27AAAAA3688Z5</v>
      </c>
      <c r="B3688" t="str">
        <f>TEST_DATA!B3688</f>
        <v>Dec-2019</v>
      </c>
      <c r="C3688">
        <f>TEST_DATA!C3688</f>
        <v>45080</v>
      </c>
      <c r="D3688" t="str">
        <f>TEST_DATA!D3688</f>
        <v>NIL</v>
      </c>
      <c r="E3688">
        <f>TEST_DATA!E3688</f>
        <v>1934</v>
      </c>
    </row>
    <row r="3689" spans="1:5" x14ac:dyDescent="0.55000000000000004">
      <c r="A3689" t="str">
        <f>TEST_DATA!A3689</f>
        <v>27AAAAA3689Z5</v>
      </c>
      <c r="B3689" t="str">
        <f>TEST_DATA!B3689</f>
        <v>Jun-2020</v>
      </c>
      <c r="C3689">
        <f>TEST_DATA!C3689</f>
        <v>44601</v>
      </c>
      <c r="D3689" t="str">
        <f>TEST_DATA!D3689</f>
        <v>NON-NIL</v>
      </c>
      <c r="E3689">
        <f>TEST_DATA!E3689</f>
        <v>2892</v>
      </c>
    </row>
    <row r="3690" spans="1:5" x14ac:dyDescent="0.55000000000000004">
      <c r="A3690" t="str">
        <f>TEST_DATA!A3690</f>
        <v>27AAAAA3690Z5</v>
      </c>
      <c r="B3690" t="str">
        <f>TEST_DATA!B3690</f>
        <v>Feb-2018</v>
      </c>
      <c r="C3690">
        <f>TEST_DATA!C3690</f>
        <v>44479</v>
      </c>
      <c r="D3690" t="str">
        <f>TEST_DATA!D3690</f>
        <v>NIL</v>
      </c>
      <c r="E3690">
        <f>TEST_DATA!E3690</f>
        <v>1587</v>
      </c>
    </row>
    <row r="3691" spans="1:5" x14ac:dyDescent="0.55000000000000004">
      <c r="A3691" t="str">
        <f>TEST_DATA!A3691</f>
        <v>27AAAAA3691Z5</v>
      </c>
      <c r="B3691" t="str">
        <f>TEST_DATA!B3691</f>
        <v>Nov-2017</v>
      </c>
      <c r="C3691">
        <f>TEST_DATA!C3691</f>
        <v>43568</v>
      </c>
      <c r="D3691" t="str">
        <f>TEST_DATA!D3691</f>
        <v>NIL</v>
      </c>
      <c r="E3691">
        <f>TEST_DATA!E3691</f>
        <v>1637</v>
      </c>
    </row>
    <row r="3692" spans="1:5" x14ac:dyDescent="0.55000000000000004">
      <c r="A3692" t="str">
        <f>TEST_DATA!A3692</f>
        <v>27AAAAA3692Z5</v>
      </c>
      <c r="B3692" t="str">
        <f>TEST_DATA!B3692</f>
        <v>Mar-2021</v>
      </c>
      <c r="C3692">
        <f>TEST_DATA!C3692</f>
        <v>44805</v>
      </c>
      <c r="D3692" t="str">
        <f>TEST_DATA!D3692</f>
        <v>NON-NIL</v>
      </c>
      <c r="E3692">
        <f>TEST_DATA!E3692</f>
        <v>2763</v>
      </c>
    </row>
    <row r="3693" spans="1:5" x14ac:dyDescent="0.55000000000000004">
      <c r="A3693" t="str">
        <f>TEST_DATA!A3693</f>
        <v>27AAAAA3693Z5</v>
      </c>
      <c r="B3693" t="str">
        <f>TEST_DATA!B3693</f>
        <v>Jan-2021</v>
      </c>
      <c r="C3693">
        <f>TEST_DATA!C3693</f>
        <v>45205</v>
      </c>
      <c r="D3693" t="str">
        <f>TEST_DATA!D3693</f>
        <v>NON-NIL</v>
      </c>
      <c r="E3693">
        <f>TEST_DATA!E3693</f>
        <v>2187</v>
      </c>
    </row>
    <row r="3694" spans="1:5" x14ac:dyDescent="0.55000000000000004">
      <c r="A3694" t="str">
        <f>TEST_DATA!A3694</f>
        <v>27AAAAA3694Z5</v>
      </c>
      <c r="B3694" t="str">
        <f>TEST_DATA!B3694</f>
        <v>Sep-2017</v>
      </c>
      <c r="C3694">
        <f>TEST_DATA!C3694</f>
        <v>43627</v>
      </c>
      <c r="D3694" t="str">
        <f>TEST_DATA!D3694</f>
        <v>NON-NIL</v>
      </c>
      <c r="E3694">
        <f>TEST_DATA!E3694</f>
        <v>2743</v>
      </c>
    </row>
    <row r="3695" spans="1:5" x14ac:dyDescent="0.55000000000000004">
      <c r="A3695" t="str">
        <f>TEST_DATA!A3695</f>
        <v>27AAAAA3695Z5</v>
      </c>
      <c r="B3695" t="str">
        <f>TEST_DATA!B3695</f>
        <v>Jan-2021</v>
      </c>
      <c r="C3695">
        <f>TEST_DATA!C3695</f>
        <v>43576</v>
      </c>
      <c r="D3695" t="str">
        <f>TEST_DATA!D3695</f>
        <v>NIL</v>
      </c>
      <c r="E3695">
        <f>TEST_DATA!E3695</f>
        <v>2492</v>
      </c>
    </row>
    <row r="3696" spans="1:5" x14ac:dyDescent="0.55000000000000004">
      <c r="A3696" t="str">
        <f>TEST_DATA!A3696</f>
        <v>27AAAAA3696Z5</v>
      </c>
      <c r="B3696" t="str">
        <f>TEST_DATA!B3696</f>
        <v>Dec-2017</v>
      </c>
      <c r="C3696">
        <f>TEST_DATA!C3696</f>
        <v>44489</v>
      </c>
      <c r="D3696" t="str">
        <f>TEST_DATA!D3696</f>
        <v>NIL</v>
      </c>
      <c r="E3696">
        <f>TEST_DATA!E3696</f>
        <v>1511</v>
      </c>
    </row>
    <row r="3697" spans="1:5" x14ac:dyDescent="0.55000000000000004">
      <c r="A3697" t="str">
        <f>TEST_DATA!A3697</f>
        <v>27AAAAA3697Z5</v>
      </c>
      <c r="B3697" t="str">
        <f>TEST_DATA!B3697</f>
        <v>Jun-2018</v>
      </c>
      <c r="C3697">
        <f>TEST_DATA!C3697</f>
        <v>43613</v>
      </c>
      <c r="D3697" t="str">
        <f>TEST_DATA!D3697</f>
        <v>NIL</v>
      </c>
      <c r="E3697">
        <f>TEST_DATA!E3697</f>
        <v>2500</v>
      </c>
    </row>
    <row r="3698" spans="1:5" x14ac:dyDescent="0.55000000000000004">
      <c r="A3698" t="str">
        <f>TEST_DATA!A3698</f>
        <v>27AAAAA3698Z5</v>
      </c>
      <c r="B3698" t="str">
        <f>TEST_DATA!B3698</f>
        <v>Apr-2020</v>
      </c>
      <c r="C3698">
        <f>TEST_DATA!C3698</f>
        <v>44646</v>
      </c>
      <c r="D3698" t="str">
        <f>TEST_DATA!D3698</f>
        <v>NIL</v>
      </c>
      <c r="E3698">
        <f>TEST_DATA!E3698</f>
        <v>2644</v>
      </c>
    </row>
    <row r="3699" spans="1:5" x14ac:dyDescent="0.55000000000000004">
      <c r="A3699" t="str">
        <f>TEST_DATA!A3699</f>
        <v>27AAAAA3699Z5</v>
      </c>
      <c r="B3699" t="str">
        <f>TEST_DATA!B3699</f>
        <v>Feb-2018</v>
      </c>
      <c r="C3699">
        <f>TEST_DATA!C3699</f>
        <v>43199</v>
      </c>
      <c r="D3699" t="str">
        <f>TEST_DATA!D3699</f>
        <v>NON-NIL</v>
      </c>
      <c r="E3699">
        <f>TEST_DATA!E3699</f>
        <v>769</v>
      </c>
    </row>
    <row r="3700" spans="1:5" x14ac:dyDescent="0.55000000000000004">
      <c r="A3700" t="str">
        <f>TEST_DATA!A3700</f>
        <v>27AAAAA3700Z5</v>
      </c>
      <c r="B3700" t="str">
        <f>TEST_DATA!B3700</f>
        <v>Aug-2017</v>
      </c>
      <c r="C3700">
        <f>TEST_DATA!C3700</f>
        <v>43349</v>
      </c>
      <c r="D3700" t="str">
        <f>TEST_DATA!D3700</f>
        <v>NON-NIL</v>
      </c>
      <c r="E3700">
        <f>TEST_DATA!E3700</f>
        <v>1783</v>
      </c>
    </row>
    <row r="3701" spans="1:5" x14ac:dyDescent="0.55000000000000004">
      <c r="A3701" t="str">
        <f>TEST_DATA!A3701</f>
        <v>27AAAAA3701Z5</v>
      </c>
      <c r="B3701" t="str">
        <f>TEST_DATA!B3701</f>
        <v>Sep-2017</v>
      </c>
      <c r="C3701">
        <f>TEST_DATA!C3701</f>
        <v>43612</v>
      </c>
      <c r="D3701" t="str">
        <f>TEST_DATA!D3701</f>
        <v>NON-NIL</v>
      </c>
      <c r="E3701">
        <f>TEST_DATA!E3701</f>
        <v>2678</v>
      </c>
    </row>
    <row r="3702" spans="1:5" x14ac:dyDescent="0.55000000000000004">
      <c r="A3702" t="str">
        <f>TEST_DATA!A3702</f>
        <v>27AAAAA3702Z5</v>
      </c>
      <c r="B3702" t="str">
        <f>TEST_DATA!B3702</f>
        <v>Dec-2017</v>
      </c>
      <c r="C3702">
        <f>TEST_DATA!C3702</f>
        <v>43788</v>
      </c>
      <c r="D3702" t="str">
        <f>TEST_DATA!D3702</f>
        <v>NIL</v>
      </c>
      <c r="E3702">
        <f>TEST_DATA!E3702</f>
        <v>1167</v>
      </c>
    </row>
    <row r="3703" spans="1:5" x14ac:dyDescent="0.55000000000000004">
      <c r="A3703" t="str">
        <f>TEST_DATA!A3703</f>
        <v>27AAAAA3703Z5</v>
      </c>
      <c r="B3703" t="str">
        <f>TEST_DATA!B3703</f>
        <v>Apr-2018</v>
      </c>
      <c r="C3703">
        <f>TEST_DATA!C3703</f>
        <v>43709</v>
      </c>
      <c r="D3703" t="str">
        <f>TEST_DATA!D3703</f>
        <v>NON-NIL</v>
      </c>
      <c r="E3703">
        <f>TEST_DATA!E3703</f>
        <v>142</v>
      </c>
    </row>
    <row r="3704" spans="1:5" x14ac:dyDescent="0.55000000000000004">
      <c r="A3704" t="str">
        <f>TEST_DATA!A3704</f>
        <v>27AAAAA3704Z5</v>
      </c>
      <c r="B3704" t="str">
        <f>TEST_DATA!B3704</f>
        <v>Mar-2018</v>
      </c>
      <c r="C3704">
        <f>TEST_DATA!C3704</f>
        <v>43780</v>
      </c>
      <c r="D3704" t="str">
        <f>TEST_DATA!D3704</f>
        <v>NIL</v>
      </c>
      <c r="E3704">
        <f>TEST_DATA!E3704</f>
        <v>669</v>
      </c>
    </row>
    <row r="3705" spans="1:5" x14ac:dyDescent="0.55000000000000004">
      <c r="A3705" t="str">
        <f>TEST_DATA!A3705</f>
        <v>27AAAAA3705Z5</v>
      </c>
      <c r="B3705" t="str">
        <f>TEST_DATA!B3705</f>
        <v>Jul-2018</v>
      </c>
      <c r="C3705">
        <f>TEST_DATA!C3705</f>
        <v>44314</v>
      </c>
      <c r="D3705" t="str">
        <f>TEST_DATA!D3705</f>
        <v>NIL</v>
      </c>
      <c r="E3705">
        <f>TEST_DATA!E3705</f>
        <v>1904</v>
      </c>
    </row>
    <row r="3706" spans="1:5" x14ac:dyDescent="0.55000000000000004">
      <c r="A3706" t="str">
        <f>TEST_DATA!A3706</f>
        <v>27AAAAA3706Z5</v>
      </c>
      <c r="B3706" t="str">
        <f>TEST_DATA!B3706</f>
        <v>Apr-2021</v>
      </c>
      <c r="C3706">
        <f>TEST_DATA!C3706</f>
        <v>43804</v>
      </c>
      <c r="D3706" t="str">
        <f>TEST_DATA!D3706</f>
        <v>NON-NIL</v>
      </c>
      <c r="E3706">
        <f>TEST_DATA!E3706</f>
        <v>2810</v>
      </c>
    </row>
    <row r="3707" spans="1:5" x14ac:dyDescent="0.55000000000000004">
      <c r="A3707" t="str">
        <f>TEST_DATA!A3707</f>
        <v>27AAAAA3707Z5</v>
      </c>
      <c r="B3707" t="str">
        <f>TEST_DATA!B3707</f>
        <v>Jan-2021</v>
      </c>
      <c r="C3707">
        <f>TEST_DATA!C3707</f>
        <v>43881</v>
      </c>
      <c r="D3707" t="str">
        <f>TEST_DATA!D3707</f>
        <v>NON-NIL</v>
      </c>
      <c r="E3707">
        <f>TEST_DATA!E3707</f>
        <v>50</v>
      </c>
    </row>
    <row r="3708" spans="1:5" x14ac:dyDescent="0.55000000000000004">
      <c r="A3708" t="str">
        <f>TEST_DATA!A3708</f>
        <v>27AAAAA3708Z5</v>
      </c>
      <c r="B3708" t="str">
        <f>TEST_DATA!B3708</f>
        <v>Dec-2017</v>
      </c>
      <c r="C3708">
        <f>TEST_DATA!C3708</f>
        <v>43570</v>
      </c>
      <c r="D3708" t="str">
        <f>TEST_DATA!D3708</f>
        <v>NIL</v>
      </c>
      <c r="E3708">
        <f>TEST_DATA!E3708</f>
        <v>2353</v>
      </c>
    </row>
    <row r="3709" spans="1:5" x14ac:dyDescent="0.55000000000000004">
      <c r="A3709" t="str">
        <f>TEST_DATA!A3709</f>
        <v>27AAAAA3709Z5</v>
      </c>
      <c r="B3709" t="str">
        <f>TEST_DATA!B3709</f>
        <v>Jun-2019</v>
      </c>
      <c r="C3709">
        <f>TEST_DATA!C3709</f>
        <v>45038</v>
      </c>
      <c r="D3709" t="str">
        <f>TEST_DATA!D3709</f>
        <v>NON-NIL</v>
      </c>
      <c r="E3709">
        <f>TEST_DATA!E3709</f>
        <v>47</v>
      </c>
    </row>
    <row r="3710" spans="1:5" x14ac:dyDescent="0.55000000000000004">
      <c r="A3710" t="str">
        <f>TEST_DATA!A3710</f>
        <v>27AAAAA3710Z5</v>
      </c>
      <c r="B3710" t="str">
        <f>TEST_DATA!B3710</f>
        <v>Jan-2019</v>
      </c>
      <c r="C3710">
        <f>TEST_DATA!C3710</f>
        <v>45111</v>
      </c>
      <c r="D3710" t="str">
        <f>TEST_DATA!D3710</f>
        <v>NON-NIL</v>
      </c>
      <c r="E3710">
        <f>TEST_DATA!E3710</f>
        <v>223</v>
      </c>
    </row>
    <row r="3711" spans="1:5" x14ac:dyDescent="0.55000000000000004">
      <c r="A3711" t="str">
        <f>TEST_DATA!A3711</f>
        <v>27AAAAA3711Z5</v>
      </c>
      <c r="B3711" t="str">
        <f>TEST_DATA!B3711</f>
        <v>Apr-2018</v>
      </c>
      <c r="C3711">
        <f>TEST_DATA!C3711</f>
        <v>43787</v>
      </c>
      <c r="D3711" t="str">
        <f>TEST_DATA!D3711</f>
        <v>NON-NIL</v>
      </c>
      <c r="E3711">
        <f>TEST_DATA!E3711</f>
        <v>2597</v>
      </c>
    </row>
    <row r="3712" spans="1:5" x14ac:dyDescent="0.55000000000000004">
      <c r="A3712" t="str">
        <f>TEST_DATA!A3712</f>
        <v>27AAAAA3712Z5</v>
      </c>
      <c r="B3712" t="str">
        <f>TEST_DATA!B3712</f>
        <v>Oct-2017</v>
      </c>
      <c r="C3712">
        <f>TEST_DATA!C3712</f>
        <v>44153</v>
      </c>
      <c r="D3712" t="str">
        <f>TEST_DATA!D3712</f>
        <v>NON-NIL</v>
      </c>
      <c r="E3712">
        <f>TEST_DATA!E3712</f>
        <v>2056</v>
      </c>
    </row>
    <row r="3713" spans="1:5" x14ac:dyDescent="0.55000000000000004">
      <c r="A3713" t="str">
        <f>TEST_DATA!A3713</f>
        <v>27AAAAA3713Z5</v>
      </c>
      <c r="B3713" t="str">
        <f>TEST_DATA!B3713</f>
        <v>Jun-2018</v>
      </c>
      <c r="C3713">
        <f>TEST_DATA!C3713</f>
        <v>44516</v>
      </c>
      <c r="D3713" t="str">
        <f>TEST_DATA!D3713</f>
        <v>NON-NIL</v>
      </c>
      <c r="E3713">
        <f>TEST_DATA!E3713</f>
        <v>2916</v>
      </c>
    </row>
    <row r="3714" spans="1:5" x14ac:dyDescent="0.55000000000000004">
      <c r="A3714" t="str">
        <f>TEST_DATA!A3714</f>
        <v>27AAAAA3714Z5</v>
      </c>
      <c r="B3714" t="str">
        <f>TEST_DATA!B3714</f>
        <v>May-2018</v>
      </c>
      <c r="C3714">
        <f>TEST_DATA!C3714</f>
        <v>44012</v>
      </c>
      <c r="D3714" t="str">
        <f>TEST_DATA!D3714</f>
        <v>NON-NIL</v>
      </c>
      <c r="E3714">
        <f>TEST_DATA!E3714</f>
        <v>457</v>
      </c>
    </row>
    <row r="3715" spans="1:5" x14ac:dyDescent="0.55000000000000004">
      <c r="A3715" t="str">
        <f>TEST_DATA!A3715</f>
        <v>27AAAAA3715Z5</v>
      </c>
      <c r="B3715" t="str">
        <f>TEST_DATA!B3715</f>
        <v>Apr-2021</v>
      </c>
      <c r="C3715">
        <f>TEST_DATA!C3715</f>
        <v>44198</v>
      </c>
      <c r="D3715" t="str">
        <f>TEST_DATA!D3715</f>
        <v>NON-NIL</v>
      </c>
      <c r="E3715">
        <f>TEST_DATA!E3715</f>
        <v>2177</v>
      </c>
    </row>
    <row r="3716" spans="1:5" x14ac:dyDescent="0.55000000000000004">
      <c r="A3716" t="str">
        <f>TEST_DATA!A3716</f>
        <v>27AAAAA3716Z5</v>
      </c>
      <c r="B3716" t="str">
        <f>TEST_DATA!B3716</f>
        <v>Mar-2021</v>
      </c>
      <c r="C3716">
        <f>TEST_DATA!C3716</f>
        <v>45036</v>
      </c>
      <c r="D3716" t="str">
        <f>TEST_DATA!D3716</f>
        <v>NIL</v>
      </c>
      <c r="E3716">
        <f>TEST_DATA!E3716</f>
        <v>615</v>
      </c>
    </row>
    <row r="3717" spans="1:5" x14ac:dyDescent="0.55000000000000004">
      <c r="A3717" t="str">
        <f>TEST_DATA!A3717</f>
        <v>27AAAAA3717Z5</v>
      </c>
      <c r="B3717" t="str">
        <f>TEST_DATA!B3717</f>
        <v>Jul-2017</v>
      </c>
      <c r="C3717">
        <f>TEST_DATA!C3717</f>
        <v>43607</v>
      </c>
      <c r="D3717" t="str">
        <f>TEST_DATA!D3717</f>
        <v>NON-NIL</v>
      </c>
      <c r="E3717">
        <f>TEST_DATA!E3717</f>
        <v>809</v>
      </c>
    </row>
    <row r="3718" spans="1:5" x14ac:dyDescent="0.55000000000000004">
      <c r="A3718" t="str">
        <f>TEST_DATA!A3718</f>
        <v>27AAAAA3718Z5</v>
      </c>
      <c r="B3718" t="str">
        <f>TEST_DATA!B3718</f>
        <v>Jun-2019</v>
      </c>
      <c r="C3718">
        <f>TEST_DATA!C3718</f>
        <v>45329</v>
      </c>
      <c r="D3718" t="str">
        <f>TEST_DATA!D3718</f>
        <v>NON-NIL</v>
      </c>
      <c r="E3718">
        <f>TEST_DATA!E3718</f>
        <v>198</v>
      </c>
    </row>
    <row r="3719" spans="1:5" x14ac:dyDescent="0.55000000000000004">
      <c r="A3719" t="str">
        <f>TEST_DATA!A3719</f>
        <v>27AAAAA3719Z5</v>
      </c>
      <c r="B3719" t="str">
        <f>TEST_DATA!B3719</f>
        <v>Sep-2018</v>
      </c>
      <c r="C3719">
        <f>TEST_DATA!C3719</f>
        <v>43493</v>
      </c>
      <c r="D3719" t="str">
        <f>TEST_DATA!D3719</f>
        <v>NIL</v>
      </c>
      <c r="E3719">
        <f>TEST_DATA!E3719</f>
        <v>497</v>
      </c>
    </row>
    <row r="3720" spans="1:5" x14ac:dyDescent="0.55000000000000004">
      <c r="A3720" t="str">
        <f>TEST_DATA!A3720</f>
        <v>27AAAAA3720Z5</v>
      </c>
      <c r="B3720" t="str">
        <f>TEST_DATA!B3720</f>
        <v>Mar-2023</v>
      </c>
      <c r="C3720">
        <f>TEST_DATA!C3720</f>
        <v>45471</v>
      </c>
      <c r="D3720" t="str">
        <f>TEST_DATA!D3720</f>
        <v>NON-NIL</v>
      </c>
      <c r="E3720">
        <f>TEST_DATA!E3720</f>
        <v>1503</v>
      </c>
    </row>
    <row r="3721" spans="1:5" x14ac:dyDescent="0.55000000000000004">
      <c r="A3721" t="str">
        <f>TEST_DATA!A3721</f>
        <v>27AAAAA3721Z5</v>
      </c>
      <c r="B3721" t="str">
        <f>TEST_DATA!B3721</f>
        <v>Aug-2017</v>
      </c>
      <c r="C3721">
        <f>TEST_DATA!C3721</f>
        <v>44144</v>
      </c>
      <c r="D3721" t="str">
        <f>TEST_DATA!D3721</f>
        <v>NON-NIL</v>
      </c>
      <c r="E3721">
        <f>TEST_DATA!E3721</f>
        <v>1033</v>
      </c>
    </row>
    <row r="3722" spans="1:5" x14ac:dyDescent="0.55000000000000004">
      <c r="A3722" t="str">
        <f>TEST_DATA!A3722</f>
        <v>27AAAAA3722Z5</v>
      </c>
      <c r="B3722" t="str">
        <f>TEST_DATA!B3722</f>
        <v>Aug-2018</v>
      </c>
      <c r="C3722">
        <f>TEST_DATA!C3722</f>
        <v>43608</v>
      </c>
      <c r="D3722" t="str">
        <f>TEST_DATA!D3722</f>
        <v>NON-NIL</v>
      </c>
      <c r="E3722">
        <f>TEST_DATA!E3722</f>
        <v>96</v>
      </c>
    </row>
    <row r="3723" spans="1:5" x14ac:dyDescent="0.55000000000000004">
      <c r="A3723" t="str">
        <f>TEST_DATA!A3723</f>
        <v>27AAAAA3723Z5</v>
      </c>
      <c r="B3723" t="str">
        <f>TEST_DATA!B3723</f>
        <v>Dec-2019</v>
      </c>
      <c r="C3723">
        <f>TEST_DATA!C3723</f>
        <v>44560</v>
      </c>
      <c r="D3723" t="str">
        <f>TEST_DATA!D3723</f>
        <v>NIL</v>
      </c>
      <c r="E3723">
        <f>TEST_DATA!E3723</f>
        <v>1201</v>
      </c>
    </row>
    <row r="3724" spans="1:5" x14ac:dyDescent="0.55000000000000004">
      <c r="A3724" t="str">
        <f>TEST_DATA!A3724</f>
        <v>27AAAAA3724Z5</v>
      </c>
      <c r="B3724" t="str">
        <f>TEST_DATA!B3724</f>
        <v>Jun-2018</v>
      </c>
      <c r="C3724">
        <f>TEST_DATA!C3724</f>
        <v>43771</v>
      </c>
      <c r="D3724" t="str">
        <f>TEST_DATA!D3724</f>
        <v>NIL</v>
      </c>
      <c r="E3724">
        <f>TEST_DATA!E3724</f>
        <v>1829</v>
      </c>
    </row>
    <row r="3725" spans="1:5" x14ac:dyDescent="0.55000000000000004">
      <c r="A3725" t="str">
        <f>TEST_DATA!A3725</f>
        <v>27AAAAA3725Z5</v>
      </c>
      <c r="B3725" t="str">
        <f>TEST_DATA!B3725</f>
        <v>May-2018</v>
      </c>
      <c r="C3725">
        <f>TEST_DATA!C3725</f>
        <v>43526</v>
      </c>
      <c r="D3725" t="str">
        <f>TEST_DATA!D3725</f>
        <v>NIL</v>
      </c>
      <c r="E3725">
        <f>TEST_DATA!E3725</f>
        <v>2440</v>
      </c>
    </row>
    <row r="3726" spans="1:5" x14ac:dyDescent="0.55000000000000004">
      <c r="A3726" t="str">
        <f>TEST_DATA!A3726</f>
        <v>27AAAAA3726Z5</v>
      </c>
      <c r="B3726" t="str">
        <f>TEST_DATA!B3726</f>
        <v>Oct-2017</v>
      </c>
      <c r="C3726">
        <f>TEST_DATA!C3726</f>
        <v>43648</v>
      </c>
      <c r="D3726" t="str">
        <f>TEST_DATA!D3726</f>
        <v>NIL</v>
      </c>
      <c r="E3726">
        <f>TEST_DATA!E3726</f>
        <v>2176</v>
      </c>
    </row>
    <row r="3727" spans="1:5" x14ac:dyDescent="0.55000000000000004">
      <c r="A3727" t="str">
        <f>TEST_DATA!A3727</f>
        <v>27AAAAA3727Z5</v>
      </c>
      <c r="B3727" t="str">
        <f>TEST_DATA!B3727</f>
        <v>Jan-2021</v>
      </c>
      <c r="C3727">
        <f>TEST_DATA!C3727</f>
        <v>45088</v>
      </c>
      <c r="D3727" t="str">
        <f>TEST_DATA!D3727</f>
        <v>NIL</v>
      </c>
      <c r="E3727">
        <f>TEST_DATA!E3727</f>
        <v>717</v>
      </c>
    </row>
    <row r="3728" spans="1:5" x14ac:dyDescent="0.55000000000000004">
      <c r="A3728" t="str">
        <f>TEST_DATA!A3728</f>
        <v>27AAAAA3728Z5</v>
      </c>
      <c r="B3728" t="str">
        <f>TEST_DATA!B3728</f>
        <v>Sep-2017</v>
      </c>
      <c r="C3728">
        <f>TEST_DATA!C3728</f>
        <v>44012</v>
      </c>
      <c r="D3728" t="str">
        <f>TEST_DATA!D3728</f>
        <v>NIL</v>
      </c>
      <c r="E3728">
        <f>TEST_DATA!E3728</f>
        <v>516</v>
      </c>
    </row>
    <row r="3729" spans="1:5" x14ac:dyDescent="0.55000000000000004">
      <c r="A3729" t="str">
        <f>TEST_DATA!A3729</f>
        <v>27AAAAA3729Z5</v>
      </c>
      <c r="B3729" t="str">
        <f>TEST_DATA!B3729</f>
        <v>Jan-2021</v>
      </c>
      <c r="C3729">
        <f>TEST_DATA!C3729</f>
        <v>44058</v>
      </c>
      <c r="D3729" t="str">
        <f>TEST_DATA!D3729</f>
        <v>NON-NIL</v>
      </c>
      <c r="E3729">
        <f>TEST_DATA!E3729</f>
        <v>1765</v>
      </c>
    </row>
    <row r="3730" spans="1:5" x14ac:dyDescent="0.55000000000000004">
      <c r="A3730" t="str">
        <f>TEST_DATA!A3730</f>
        <v>27AAAAA3730Z5</v>
      </c>
      <c r="B3730" t="str">
        <f>TEST_DATA!B3730</f>
        <v>Dec-2024</v>
      </c>
      <c r="C3730">
        <f>TEST_DATA!C3730</f>
        <v>44591</v>
      </c>
      <c r="D3730" t="str">
        <f>TEST_DATA!D3730</f>
        <v>NON-NIL</v>
      </c>
      <c r="E3730">
        <f>TEST_DATA!E3730</f>
        <v>1876</v>
      </c>
    </row>
    <row r="3731" spans="1:5" x14ac:dyDescent="0.55000000000000004">
      <c r="A3731" t="str">
        <f>TEST_DATA!A3731</f>
        <v>27AAAAA3731Z5</v>
      </c>
      <c r="B3731" t="str">
        <f>TEST_DATA!B3731</f>
        <v>Jul-2020</v>
      </c>
      <c r="C3731">
        <f>TEST_DATA!C3731</f>
        <v>44330</v>
      </c>
      <c r="D3731" t="str">
        <f>TEST_DATA!D3731</f>
        <v>NON-NIL</v>
      </c>
      <c r="E3731">
        <f>TEST_DATA!E3731</f>
        <v>166</v>
      </c>
    </row>
    <row r="3732" spans="1:5" x14ac:dyDescent="0.55000000000000004">
      <c r="A3732" t="str">
        <f>TEST_DATA!A3732</f>
        <v>27AAAAA3732Z5</v>
      </c>
      <c r="B3732" t="str">
        <f>TEST_DATA!B3732</f>
        <v>Sep-2017</v>
      </c>
      <c r="C3732">
        <f>TEST_DATA!C3732</f>
        <v>43585</v>
      </c>
      <c r="D3732" t="str">
        <f>TEST_DATA!D3732</f>
        <v>NON-NIL</v>
      </c>
      <c r="E3732">
        <f>TEST_DATA!E3732</f>
        <v>156</v>
      </c>
    </row>
    <row r="3733" spans="1:5" x14ac:dyDescent="0.55000000000000004">
      <c r="A3733" t="str">
        <f>TEST_DATA!A3733</f>
        <v>27AAAAA3733Z5</v>
      </c>
      <c r="B3733" t="str">
        <f>TEST_DATA!B3733</f>
        <v>Nov-2017</v>
      </c>
      <c r="C3733">
        <f>TEST_DATA!C3733</f>
        <v>44164</v>
      </c>
      <c r="D3733" t="str">
        <f>TEST_DATA!D3733</f>
        <v>NIL</v>
      </c>
      <c r="E3733">
        <f>TEST_DATA!E3733</f>
        <v>1564</v>
      </c>
    </row>
    <row r="3734" spans="1:5" x14ac:dyDescent="0.55000000000000004">
      <c r="A3734" t="str">
        <f>TEST_DATA!A3734</f>
        <v>27AAAAA3734Z5</v>
      </c>
      <c r="B3734" t="str">
        <f>TEST_DATA!B3734</f>
        <v>Jun-2019</v>
      </c>
      <c r="C3734">
        <f>TEST_DATA!C3734</f>
        <v>43788</v>
      </c>
      <c r="D3734" t="str">
        <f>TEST_DATA!D3734</f>
        <v>NON-NIL</v>
      </c>
      <c r="E3734">
        <f>TEST_DATA!E3734</f>
        <v>2608</v>
      </c>
    </row>
    <row r="3735" spans="1:5" x14ac:dyDescent="0.55000000000000004">
      <c r="A3735" t="str">
        <f>TEST_DATA!A3735</f>
        <v>27AAAAA3735Z5</v>
      </c>
      <c r="B3735" t="str">
        <f>TEST_DATA!B3735</f>
        <v>Jan-2021</v>
      </c>
      <c r="C3735">
        <f>TEST_DATA!C3735</f>
        <v>44702</v>
      </c>
      <c r="D3735" t="str">
        <f>TEST_DATA!D3735</f>
        <v>NON-NIL</v>
      </c>
      <c r="E3735">
        <f>TEST_DATA!E3735</f>
        <v>1641</v>
      </c>
    </row>
    <row r="3736" spans="1:5" x14ac:dyDescent="0.55000000000000004">
      <c r="A3736" t="str">
        <f>TEST_DATA!A3736</f>
        <v>27AAAAA3736Z5</v>
      </c>
      <c r="B3736" t="str">
        <f>TEST_DATA!B3736</f>
        <v>Jul-2017</v>
      </c>
      <c r="C3736">
        <f>TEST_DATA!C3736</f>
        <v>43293</v>
      </c>
      <c r="D3736" t="str">
        <f>TEST_DATA!D3736</f>
        <v>NON-NIL</v>
      </c>
      <c r="E3736">
        <f>TEST_DATA!E3736</f>
        <v>2955</v>
      </c>
    </row>
    <row r="3737" spans="1:5" x14ac:dyDescent="0.55000000000000004">
      <c r="A3737" t="str">
        <f>TEST_DATA!A3737</f>
        <v>27AAAAA3737Z5</v>
      </c>
      <c r="B3737" t="str">
        <f>TEST_DATA!B3737</f>
        <v>May-2020</v>
      </c>
      <c r="C3737">
        <f>TEST_DATA!C3737</f>
        <v>43993</v>
      </c>
      <c r="D3737" t="str">
        <f>TEST_DATA!D3737</f>
        <v>NON-NIL</v>
      </c>
      <c r="E3737">
        <f>TEST_DATA!E3737</f>
        <v>476</v>
      </c>
    </row>
    <row r="3738" spans="1:5" x14ac:dyDescent="0.55000000000000004">
      <c r="A3738" t="str">
        <f>TEST_DATA!A3738</f>
        <v>27AAAAA3738Z5</v>
      </c>
      <c r="B3738" t="str">
        <f>TEST_DATA!B3738</f>
        <v>Apr-2021</v>
      </c>
      <c r="C3738">
        <f>TEST_DATA!C3738</f>
        <v>44250</v>
      </c>
      <c r="D3738" t="str">
        <f>TEST_DATA!D3738</f>
        <v>NON-NIL</v>
      </c>
      <c r="E3738">
        <f>TEST_DATA!E3738</f>
        <v>1241</v>
      </c>
    </row>
    <row r="3739" spans="1:5" x14ac:dyDescent="0.55000000000000004">
      <c r="A3739" t="str">
        <f>TEST_DATA!A3739</f>
        <v>27AAAAA3739Z5</v>
      </c>
      <c r="B3739" t="str">
        <f>TEST_DATA!B3739</f>
        <v>Apr-2020</v>
      </c>
      <c r="C3739">
        <f>TEST_DATA!C3739</f>
        <v>44883</v>
      </c>
      <c r="D3739" t="str">
        <f>TEST_DATA!D3739</f>
        <v>NIL</v>
      </c>
      <c r="E3739">
        <f>TEST_DATA!E3739</f>
        <v>2843</v>
      </c>
    </row>
    <row r="3740" spans="1:5" x14ac:dyDescent="0.55000000000000004">
      <c r="A3740" t="str">
        <f>TEST_DATA!A3740</f>
        <v>27AAAAA3740Z5</v>
      </c>
      <c r="B3740" t="str">
        <f>TEST_DATA!B3740</f>
        <v>Apr-2021</v>
      </c>
      <c r="C3740">
        <f>TEST_DATA!C3740</f>
        <v>43666</v>
      </c>
      <c r="D3740" t="str">
        <f>TEST_DATA!D3740</f>
        <v>NON-NIL</v>
      </c>
      <c r="E3740">
        <f>TEST_DATA!E3740</f>
        <v>2348</v>
      </c>
    </row>
    <row r="3741" spans="1:5" x14ac:dyDescent="0.55000000000000004">
      <c r="A3741" t="str">
        <f>TEST_DATA!A3741</f>
        <v>27AAAAA3741Z5</v>
      </c>
      <c r="B3741" t="str">
        <f>TEST_DATA!B3741</f>
        <v>Jan-2019</v>
      </c>
      <c r="C3741">
        <f>TEST_DATA!C3741</f>
        <v>44347</v>
      </c>
      <c r="D3741" t="str">
        <f>TEST_DATA!D3741</f>
        <v>NON-NIL</v>
      </c>
      <c r="E3741">
        <f>TEST_DATA!E3741</f>
        <v>1125</v>
      </c>
    </row>
    <row r="3742" spans="1:5" x14ac:dyDescent="0.55000000000000004">
      <c r="A3742" t="str">
        <f>TEST_DATA!A3742</f>
        <v>27AAAAA3742Z5</v>
      </c>
      <c r="B3742" t="str">
        <f>TEST_DATA!B3742</f>
        <v>Jan-2021</v>
      </c>
      <c r="C3742">
        <f>TEST_DATA!C3742</f>
        <v>44226</v>
      </c>
      <c r="D3742" t="str">
        <f>TEST_DATA!D3742</f>
        <v>NON-NIL</v>
      </c>
      <c r="E3742">
        <f>TEST_DATA!E3742</f>
        <v>2054</v>
      </c>
    </row>
    <row r="3743" spans="1:5" x14ac:dyDescent="0.55000000000000004">
      <c r="A3743" t="str">
        <f>TEST_DATA!A3743</f>
        <v>27AAAAA3743Z5</v>
      </c>
      <c r="B3743" t="str">
        <f>TEST_DATA!B3743</f>
        <v>Jun-2020</v>
      </c>
      <c r="C3743">
        <f>TEST_DATA!C3743</f>
        <v>43924</v>
      </c>
      <c r="D3743" t="str">
        <f>TEST_DATA!D3743</f>
        <v>NON-NIL</v>
      </c>
      <c r="E3743">
        <f>TEST_DATA!E3743</f>
        <v>742</v>
      </c>
    </row>
    <row r="3744" spans="1:5" x14ac:dyDescent="0.55000000000000004">
      <c r="A3744" t="str">
        <f>TEST_DATA!A3744</f>
        <v>27AAAAA3744Z5</v>
      </c>
      <c r="B3744" t="str">
        <f>TEST_DATA!B3744</f>
        <v>Jun-2020</v>
      </c>
      <c r="C3744">
        <f>TEST_DATA!C3744</f>
        <v>44414</v>
      </c>
      <c r="D3744" t="str">
        <f>TEST_DATA!D3744</f>
        <v>NON-NIL</v>
      </c>
      <c r="E3744">
        <f>TEST_DATA!E3744</f>
        <v>20</v>
      </c>
    </row>
    <row r="3745" spans="1:5" x14ac:dyDescent="0.55000000000000004">
      <c r="A3745" t="str">
        <f>TEST_DATA!A3745</f>
        <v>27AAAAA3745Z5</v>
      </c>
      <c r="B3745" t="str">
        <f>TEST_DATA!B3745</f>
        <v>Aug-2018</v>
      </c>
      <c r="C3745">
        <f>TEST_DATA!C3745</f>
        <v>43341</v>
      </c>
      <c r="D3745" t="str">
        <f>TEST_DATA!D3745</f>
        <v>NIL</v>
      </c>
      <c r="E3745">
        <f>TEST_DATA!E3745</f>
        <v>1697</v>
      </c>
    </row>
    <row r="3746" spans="1:5" x14ac:dyDescent="0.55000000000000004">
      <c r="A3746" t="str">
        <f>TEST_DATA!A3746</f>
        <v>27AAAAA3746Z5</v>
      </c>
      <c r="B3746" t="str">
        <f>TEST_DATA!B3746</f>
        <v>Jun-2020</v>
      </c>
      <c r="C3746">
        <f>TEST_DATA!C3746</f>
        <v>44096</v>
      </c>
      <c r="D3746" t="str">
        <f>TEST_DATA!D3746</f>
        <v>NON-NIL</v>
      </c>
      <c r="E3746">
        <f>TEST_DATA!E3746</f>
        <v>1093</v>
      </c>
    </row>
    <row r="3747" spans="1:5" x14ac:dyDescent="0.55000000000000004">
      <c r="A3747" t="str">
        <f>TEST_DATA!A3747</f>
        <v>27AAAAA3747Z5</v>
      </c>
      <c r="B3747" t="str">
        <f>TEST_DATA!B3747</f>
        <v>Sep-2018</v>
      </c>
      <c r="C3747">
        <f>TEST_DATA!C3747</f>
        <v>44143</v>
      </c>
      <c r="D3747" t="str">
        <f>TEST_DATA!D3747</f>
        <v>NON-NIL</v>
      </c>
      <c r="E3747">
        <f>TEST_DATA!E3747</f>
        <v>397</v>
      </c>
    </row>
    <row r="3748" spans="1:5" x14ac:dyDescent="0.55000000000000004">
      <c r="A3748" t="str">
        <f>TEST_DATA!A3748</f>
        <v>27AAAAA3748Z5</v>
      </c>
      <c r="B3748" t="str">
        <f>TEST_DATA!B3748</f>
        <v>Feb-2018</v>
      </c>
      <c r="C3748">
        <f>TEST_DATA!C3748</f>
        <v>43377</v>
      </c>
      <c r="D3748" t="str">
        <f>TEST_DATA!D3748</f>
        <v>NIL</v>
      </c>
      <c r="E3748">
        <f>TEST_DATA!E3748</f>
        <v>2904</v>
      </c>
    </row>
    <row r="3749" spans="1:5" x14ac:dyDescent="0.55000000000000004">
      <c r="A3749" t="str">
        <f>TEST_DATA!A3749</f>
        <v>27AAAAA3749Z5</v>
      </c>
      <c r="B3749" t="str">
        <f>TEST_DATA!B3749</f>
        <v>May-2018</v>
      </c>
      <c r="C3749">
        <f>TEST_DATA!C3749</f>
        <v>43369</v>
      </c>
      <c r="D3749" t="str">
        <f>TEST_DATA!D3749</f>
        <v>NIL</v>
      </c>
      <c r="E3749">
        <f>TEST_DATA!E3749</f>
        <v>2504</v>
      </c>
    </row>
    <row r="3750" spans="1:5" x14ac:dyDescent="0.55000000000000004">
      <c r="A3750" t="str">
        <f>TEST_DATA!A3750</f>
        <v>27AAAAA3750Z5</v>
      </c>
      <c r="B3750" t="str">
        <f>TEST_DATA!B3750</f>
        <v>Apr-2018</v>
      </c>
      <c r="C3750">
        <f>TEST_DATA!C3750</f>
        <v>44408</v>
      </c>
      <c r="D3750" t="str">
        <f>TEST_DATA!D3750</f>
        <v>NON-NIL</v>
      </c>
      <c r="E3750">
        <f>TEST_DATA!E3750</f>
        <v>2408</v>
      </c>
    </row>
    <row r="3751" spans="1:5" x14ac:dyDescent="0.55000000000000004">
      <c r="A3751" t="str">
        <f>TEST_DATA!A3751</f>
        <v>27AAAAA3751Z5</v>
      </c>
      <c r="B3751" t="str">
        <f>TEST_DATA!B3751</f>
        <v>Aug-2018</v>
      </c>
      <c r="C3751">
        <f>TEST_DATA!C3751</f>
        <v>44217</v>
      </c>
      <c r="D3751" t="str">
        <f>TEST_DATA!D3751</f>
        <v>NON-NIL</v>
      </c>
      <c r="E3751">
        <f>TEST_DATA!E3751</f>
        <v>2217</v>
      </c>
    </row>
    <row r="3752" spans="1:5" x14ac:dyDescent="0.55000000000000004">
      <c r="A3752" t="str">
        <f>TEST_DATA!A3752</f>
        <v>27AAAAA3752Z5</v>
      </c>
      <c r="B3752" t="str">
        <f>TEST_DATA!B3752</f>
        <v>Jul-2018</v>
      </c>
      <c r="C3752">
        <f>TEST_DATA!C3752</f>
        <v>43891</v>
      </c>
      <c r="D3752" t="str">
        <f>TEST_DATA!D3752</f>
        <v>NIL</v>
      </c>
      <c r="E3752">
        <f>TEST_DATA!E3752</f>
        <v>1404</v>
      </c>
    </row>
    <row r="3753" spans="1:5" x14ac:dyDescent="0.55000000000000004">
      <c r="A3753" t="str">
        <f>TEST_DATA!A3753</f>
        <v>27AAAAA3753Z5</v>
      </c>
      <c r="B3753" t="str">
        <f>TEST_DATA!B3753</f>
        <v>May-2018</v>
      </c>
      <c r="C3753">
        <f>TEST_DATA!C3753</f>
        <v>43571</v>
      </c>
      <c r="D3753" t="str">
        <f>TEST_DATA!D3753</f>
        <v>NON-NIL</v>
      </c>
      <c r="E3753">
        <f>TEST_DATA!E3753</f>
        <v>1820</v>
      </c>
    </row>
    <row r="3754" spans="1:5" x14ac:dyDescent="0.55000000000000004">
      <c r="A3754" t="str">
        <f>TEST_DATA!A3754</f>
        <v>27AAAAA3754Z5</v>
      </c>
      <c r="B3754" t="str">
        <f>TEST_DATA!B3754</f>
        <v>Nov-2017</v>
      </c>
      <c r="C3754">
        <f>TEST_DATA!C3754</f>
        <v>43863</v>
      </c>
      <c r="D3754" t="str">
        <f>TEST_DATA!D3754</f>
        <v>NON-NIL</v>
      </c>
      <c r="E3754">
        <f>TEST_DATA!E3754</f>
        <v>862</v>
      </c>
    </row>
    <row r="3755" spans="1:5" x14ac:dyDescent="0.55000000000000004">
      <c r="A3755" t="str">
        <f>TEST_DATA!A3755</f>
        <v>27AAAAA3755Z5</v>
      </c>
      <c r="B3755" t="str">
        <f>TEST_DATA!B3755</f>
        <v>Dec-2019</v>
      </c>
      <c r="C3755">
        <f>TEST_DATA!C3755</f>
        <v>44162</v>
      </c>
      <c r="D3755" t="str">
        <f>TEST_DATA!D3755</f>
        <v>NON-NIL</v>
      </c>
      <c r="E3755">
        <f>TEST_DATA!E3755</f>
        <v>1047</v>
      </c>
    </row>
    <row r="3756" spans="1:5" x14ac:dyDescent="0.55000000000000004">
      <c r="A3756" t="str">
        <f>TEST_DATA!A3756</f>
        <v>27AAAAA3756Z5</v>
      </c>
      <c r="B3756" t="str">
        <f>TEST_DATA!B3756</f>
        <v>Jul-2018</v>
      </c>
      <c r="C3756">
        <f>TEST_DATA!C3756</f>
        <v>42983</v>
      </c>
      <c r="D3756" t="str">
        <f>TEST_DATA!D3756</f>
        <v>NIL</v>
      </c>
      <c r="E3756">
        <f>TEST_DATA!E3756</f>
        <v>2586</v>
      </c>
    </row>
    <row r="3757" spans="1:5" x14ac:dyDescent="0.55000000000000004">
      <c r="A3757" t="str">
        <f>TEST_DATA!A3757</f>
        <v>27AAAAA3757Z5</v>
      </c>
      <c r="B3757" t="str">
        <f>TEST_DATA!B3757</f>
        <v>Jan-2019</v>
      </c>
      <c r="C3757">
        <f>TEST_DATA!C3757</f>
        <v>45765</v>
      </c>
      <c r="D3757" t="str">
        <f>TEST_DATA!D3757</f>
        <v>NON-NIL</v>
      </c>
      <c r="E3757">
        <f>TEST_DATA!E3757</f>
        <v>340</v>
      </c>
    </row>
    <row r="3758" spans="1:5" x14ac:dyDescent="0.55000000000000004">
      <c r="A3758" t="str">
        <f>TEST_DATA!A3758</f>
        <v>27AAAAA3758Z5</v>
      </c>
      <c r="B3758" t="str">
        <f>TEST_DATA!B3758</f>
        <v>Jan-2018</v>
      </c>
      <c r="C3758">
        <f>TEST_DATA!C3758</f>
        <v>44448</v>
      </c>
      <c r="D3758" t="str">
        <f>TEST_DATA!D3758</f>
        <v>NON-NIL</v>
      </c>
      <c r="E3758">
        <f>TEST_DATA!E3758</f>
        <v>1245</v>
      </c>
    </row>
    <row r="3759" spans="1:5" x14ac:dyDescent="0.55000000000000004">
      <c r="A3759" t="str">
        <f>TEST_DATA!A3759</f>
        <v>27AAAAA3759Z5</v>
      </c>
      <c r="B3759" t="str">
        <f>TEST_DATA!B3759</f>
        <v>Apr-2018</v>
      </c>
      <c r="C3759">
        <f>TEST_DATA!C3759</f>
        <v>44454</v>
      </c>
      <c r="D3759" t="str">
        <f>TEST_DATA!D3759</f>
        <v>NON-NIL</v>
      </c>
      <c r="E3759">
        <f>TEST_DATA!E3759</f>
        <v>1849</v>
      </c>
    </row>
    <row r="3760" spans="1:5" x14ac:dyDescent="0.55000000000000004">
      <c r="A3760" t="str">
        <f>TEST_DATA!A3760</f>
        <v>27AAAAA3760Z5</v>
      </c>
      <c r="B3760" t="str">
        <f>TEST_DATA!B3760</f>
        <v>Jun-2020</v>
      </c>
      <c r="C3760">
        <f>TEST_DATA!C3760</f>
        <v>44788</v>
      </c>
      <c r="D3760" t="str">
        <f>TEST_DATA!D3760</f>
        <v>NIL</v>
      </c>
      <c r="E3760">
        <f>TEST_DATA!E3760</f>
        <v>638</v>
      </c>
    </row>
    <row r="3761" spans="1:5" x14ac:dyDescent="0.55000000000000004">
      <c r="A3761" t="str">
        <f>TEST_DATA!A3761</f>
        <v>27AAAAA3761Z5</v>
      </c>
      <c r="B3761" t="str">
        <f>TEST_DATA!B3761</f>
        <v>Apr-2020</v>
      </c>
      <c r="C3761">
        <f>TEST_DATA!C3761</f>
        <v>44172</v>
      </c>
      <c r="D3761" t="str">
        <f>TEST_DATA!D3761</f>
        <v>NON-NIL</v>
      </c>
      <c r="E3761">
        <f>TEST_DATA!E3761</f>
        <v>2313</v>
      </c>
    </row>
    <row r="3762" spans="1:5" x14ac:dyDescent="0.55000000000000004">
      <c r="A3762" t="str">
        <f>TEST_DATA!A3762</f>
        <v>27AAAAA3762Z5</v>
      </c>
      <c r="B3762" t="str">
        <f>TEST_DATA!B3762</f>
        <v>Aug-2018</v>
      </c>
      <c r="C3762">
        <f>TEST_DATA!C3762</f>
        <v>43767</v>
      </c>
      <c r="D3762" t="str">
        <f>TEST_DATA!D3762</f>
        <v>NIL</v>
      </c>
      <c r="E3762">
        <f>TEST_DATA!E3762</f>
        <v>1162</v>
      </c>
    </row>
    <row r="3763" spans="1:5" x14ac:dyDescent="0.55000000000000004">
      <c r="A3763" t="str">
        <f>TEST_DATA!A3763</f>
        <v>27AAAAA3763Z5</v>
      </c>
      <c r="B3763" t="str">
        <f>TEST_DATA!B3763</f>
        <v>Dec-2019</v>
      </c>
      <c r="C3763">
        <f>TEST_DATA!C3763</f>
        <v>45476</v>
      </c>
      <c r="D3763" t="str">
        <f>TEST_DATA!D3763</f>
        <v>NIL</v>
      </c>
      <c r="E3763">
        <f>TEST_DATA!E3763</f>
        <v>1537</v>
      </c>
    </row>
    <row r="3764" spans="1:5" x14ac:dyDescent="0.55000000000000004">
      <c r="A3764" t="str">
        <f>TEST_DATA!A3764</f>
        <v>27AAAAA3764Z5</v>
      </c>
      <c r="B3764" t="str">
        <f>TEST_DATA!B3764</f>
        <v>Dec-2019</v>
      </c>
      <c r="C3764">
        <f>TEST_DATA!C3764</f>
        <v>44005</v>
      </c>
      <c r="D3764" t="str">
        <f>TEST_DATA!D3764</f>
        <v>NON-NIL</v>
      </c>
      <c r="E3764">
        <f>TEST_DATA!E3764</f>
        <v>2486</v>
      </c>
    </row>
    <row r="3765" spans="1:5" x14ac:dyDescent="0.55000000000000004">
      <c r="A3765" t="str">
        <f>TEST_DATA!A3765</f>
        <v>27AAAAA3765Z5</v>
      </c>
      <c r="B3765" t="str">
        <f>TEST_DATA!B3765</f>
        <v>Mar-2023</v>
      </c>
      <c r="C3765">
        <f>TEST_DATA!C3765</f>
        <v>43971</v>
      </c>
      <c r="D3765" t="str">
        <f>TEST_DATA!D3765</f>
        <v>NIL</v>
      </c>
      <c r="E3765">
        <f>TEST_DATA!E3765</f>
        <v>1620</v>
      </c>
    </row>
    <row r="3766" spans="1:5" x14ac:dyDescent="0.55000000000000004">
      <c r="A3766" t="str">
        <f>TEST_DATA!A3766</f>
        <v>27AAAAA3766Z5</v>
      </c>
      <c r="B3766" t="str">
        <f>TEST_DATA!B3766</f>
        <v>Jan-2018</v>
      </c>
      <c r="C3766">
        <f>TEST_DATA!C3766</f>
        <v>43349</v>
      </c>
      <c r="D3766" t="str">
        <f>TEST_DATA!D3766</f>
        <v>NIL</v>
      </c>
      <c r="E3766">
        <f>TEST_DATA!E3766</f>
        <v>2337</v>
      </c>
    </row>
    <row r="3767" spans="1:5" x14ac:dyDescent="0.55000000000000004">
      <c r="A3767" t="str">
        <f>TEST_DATA!A3767</f>
        <v>27AAAAA3767Z5</v>
      </c>
      <c r="B3767" t="str">
        <f>TEST_DATA!B3767</f>
        <v>Apr-2018</v>
      </c>
      <c r="C3767">
        <f>TEST_DATA!C3767</f>
        <v>43282</v>
      </c>
      <c r="D3767" t="str">
        <f>TEST_DATA!D3767</f>
        <v>NIL</v>
      </c>
      <c r="E3767">
        <f>TEST_DATA!E3767</f>
        <v>1642</v>
      </c>
    </row>
    <row r="3768" spans="1:5" x14ac:dyDescent="0.55000000000000004">
      <c r="A3768" t="str">
        <f>TEST_DATA!A3768</f>
        <v>27AAAAA3768Z5</v>
      </c>
      <c r="B3768" t="str">
        <f>TEST_DATA!B3768</f>
        <v>Dec-2019</v>
      </c>
      <c r="C3768">
        <f>TEST_DATA!C3768</f>
        <v>45139</v>
      </c>
      <c r="D3768" t="str">
        <f>TEST_DATA!D3768</f>
        <v>NON-NIL</v>
      </c>
      <c r="E3768">
        <f>TEST_DATA!E3768</f>
        <v>891</v>
      </c>
    </row>
    <row r="3769" spans="1:5" x14ac:dyDescent="0.55000000000000004">
      <c r="A3769" t="str">
        <f>TEST_DATA!A3769</f>
        <v>27AAAAA3769Z5</v>
      </c>
      <c r="B3769" t="str">
        <f>TEST_DATA!B3769</f>
        <v>Aug-2018</v>
      </c>
      <c r="C3769">
        <f>TEST_DATA!C3769</f>
        <v>44144</v>
      </c>
      <c r="D3769" t="str">
        <f>TEST_DATA!D3769</f>
        <v>NON-NIL</v>
      </c>
      <c r="E3769">
        <f>TEST_DATA!E3769</f>
        <v>1308</v>
      </c>
    </row>
    <row r="3770" spans="1:5" x14ac:dyDescent="0.55000000000000004">
      <c r="A3770" t="str">
        <f>TEST_DATA!A3770</f>
        <v>27AAAAA3770Z5</v>
      </c>
      <c r="B3770" t="str">
        <f>TEST_DATA!B3770</f>
        <v>Mar-2021</v>
      </c>
      <c r="C3770">
        <f>TEST_DATA!C3770</f>
        <v>44953</v>
      </c>
      <c r="D3770" t="str">
        <f>TEST_DATA!D3770</f>
        <v>NIL</v>
      </c>
      <c r="E3770">
        <f>TEST_DATA!E3770</f>
        <v>2720</v>
      </c>
    </row>
    <row r="3771" spans="1:5" x14ac:dyDescent="0.55000000000000004">
      <c r="A3771" t="str">
        <f>TEST_DATA!A3771</f>
        <v>27AAAAA3771Z5</v>
      </c>
      <c r="B3771" t="str">
        <f>TEST_DATA!B3771</f>
        <v>Dec-2024</v>
      </c>
      <c r="C3771">
        <f>TEST_DATA!C3771</f>
        <v>44767</v>
      </c>
      <c r="D3771" t="str">
        <f>TEST_DATA!D3771</f>
        <v>NON-NIL</v>
      </c>
      <c r="E3771">
        <f>TEST_DATA!E3771</f>
        <v>922</v>
      </c>
    </row>
    <row r="3772" spans="1:5" x14ac:dyDescent="0.55000000000000004">
      <c r="A3772" t="str">
        <f>TEST_DATA!A3772</f>
        <v>27AAAAA3772Z5</v>
      </c>
      <c r="B3772" t="str">
        <f>TEST_DATA!B3772</f>
        <v>Mar-2023</v>
      </c>
      <c r="C3772">
        <f>TEST_DATA!C3772</f>
        <v>45120</v>
      </c>
      <c r="D3772" t="str">
        <f>TEST_DATA!D3772</f>
        <v>NON-NIL</v>
      </c>
      <c r="E3772">
        <f>TEST_DATA!E3772</f>
        <v>1900</v>
      </c>
    </row>
    <row r="3773" spans="1:5" x14ac:dyDescent="0.55000000000000004">
      <c r="A3773" t="str">
        <f>TEST_DATA!A3773</f>
        <v>27AAAAA3773Z5</v>
      </c>
      <c r="B3773" t="str">
        <f>TEST_DATA!B3773</f>
        <v>Apr-2018</v>
      </c>
      <c r="C3773">
        <f>TEST_DATA!C3773</f>
        <v>43837</v>
      </c>
      <c r="D3773" t="str">
        <f>TEST_DATA!D3773</f>
        <v>NIL</v>
      </c>
      <c r="E3773">
        <f>TEST_DATA!E3773</f>
        <v>727</v>
      </c>
    </row>
    <row r="3774" spans="1:5" x14ac:dyDescent="0.55000000000000004">
      <c r="A3774" t="str">
        <f>TEST_DATA!A3774</f>
        <v>27AAAAA3774Z5</v>
      </c>
      <c r="B3774" t="str">
        <f>TEST_DATA!B3774</f>
        <v>Jul-2018</v>
      </c>
      <c r="C3774">
        <f>TEST_DATA!C3774</f>
        <v>43507</v>
      </c>
      <c r="D3774" t="str">
        <f>TEST_DATA!D3774</f>
        <v>NIL</v>
      </c>
      <c r="E3774">
        <f>TEST_DATA!E3774</f>
        <v>2181</v>
      </c>
    </row>
    <row r="3775" spans="1:5" x14ac:dyDescent="0.55000000000000004">
      <c r="A3775" t="str">
        <f>TEST_DATA!A3775</f>
        <v>27AAAAA3775Z5</v>
      </c>
      <c r="B3775" t="str">
        <f>TEST_DATA!B3775</f>
        <v>Dec-2022</v>
      </c>
      <c r="C3775">
        <f>TEST_DATA!C3775</f>
        <v>44834</v>
      </c>
      <c r="D3775" t="str">
        <f>TEST_DATA!D3775</f>
        <v>NON-NIL</v>
      </c>
      <c r="E3775">
        <f>TEST_DATA!E3775</f>
        <v>2687</v>
      </c>
    </row>
    <row r="3776" spans="1:5" x14ac:dyDescent="0.55000000000000004">
      <c r="A3776" t="str">
        <f>TEST_DATA!A3776</f>
        <v>27AAAAA3776Z5</v>
      </c>
      <c r="B3776" t="str">
        <f>TEST_DATA!B3776</f>
        <v>Dec-2017</v>
      </c>
      <c r="C3776">
        <f>TEST_DATA!C3776</f>
        <v>44316</v>
      </c>
      <c r="D3776" t="str">
        <f>TEST_DATA!D3776</f>
        <v>NIL</v>
      </c>
      <c r="E3776">
        <f>TEST_DATA!E3776</f>
        <v>1570</v>
      </c>
    </row>
    <row r="3777" spans="1:5" x14ac:dyDescent="0.55000000000000004">
      <c r="A3777" t="str">
        <f>TEST_DATA!A3777</f>
        <v>27AAAAA3777Z5</v>
      </c>
      <c r="B3777" t="str">
        <f>TEST_DATA!B3777</f>
        <v>Mar-2020</v>
      </c>
      <c r="C3777">
        <f>TEST_DATA!C3777</f>
        <v>44687</v>
      </c>
      <c r="D3777" t="str">
        <f>TEST_DATA!D3777</f>
        <v>NON-NIL</v>
      </c>
      <c r="E3777">
        <f>TEST_DATA!E3777</f>
        <v>1680</v>
      </c>
    </row>
    <row r="3778" spans="1:5" x14ac:dyDescent="0.55000000000000004">
      <c r="A3778" t="str">
        <f>TEST_DATA!A3778</f>
        <v>27AAAAA3778Z5</v>
      </c>
      <c r="B3778" t="str">
        <f>TEST_DATA!B3778</f>
        <v>Jan-2018</v>
      </c>
      <c r="C3778">
        <f>TEST_DATA!C3778</f>
        <v>44220</v>
      </c>
      <c r="D3778" t="str">
        <f>TEST_DATA!D3778</f>
        <v>NIL</v>
      </c>
      <c r="E3778">
        <f>TEST_DATA!E3778</f>
        <v>2534</v>
      </c>
    </row>
    <row r="3779" spans="1:5" x14ac:dyDescent="0.55000000000000004">
      <c r="A3779" t="str">
        <f>TEST_DATA!A3779</f>
        <v>27AAAAA3779Z5</v>
      </c>
      <c r="B3779" t="str">
        <f>TEST_DATA!B3779</f>
        <v>Feb-2018</v>
      </c>
      <c r="C3779">
        <f>TEST_DATA!C3779</f>
        <v>43200</v>
      </c>
      <c r="D3779" t="str">
        <f>TEST_DATA!D3779</f>
        <v>NIL</v>
      </c>
      <c r="E3779">
        <f>TEST_DATA!E3779</f>
        <v>2455</v>
      </c>
    </row>
    <row r="3780" spans="1:5" x14ac:dyDescent="0.55000000000000004">
      <c r="A3780" t="str">
        <f>TEST_DATA!A3780</f>
        <v>27AAAAA3780Z5</v>
      </c>
      <c r="B3780" t="str">
        <f>TEST_DATA!B3780</f>
        <v>Mar-2020</v>
      </c>
      <c r="C3780">
        <f>TEST_DATA!C3780</f>
        <v>44668</v>
      </c>
      <c r="D3780" t="str">
        <f>TEST_DATA!D3780</f>
        <v>NIL</v>
      </c>
      <c r="E3780">
        <f>TEST_DATA!E3780</f>
        <v>1331</v>
      </c>
    </row>
    <row r="3781" spans="1:5" x14ac:dyDescent="0.55000000000000004">
      <c r="A3781" t="str">
        <f>TEST_DATA!A3781</f>
        <v>27AAAAA3781Z5</v>
      </c>
      <c r="B3781" t="str">
        <f>TEST_DATA!B3781</f>
        <v>Apr-2020</v>
      </c>
      <c r="C3781">
        <f>TEST_DATA!C3781</f>
        <v>44342</v>
      </c>
      <c r="D3781" t="str">
        <f>TEST_DATA!D3781</f>
        <v>NIL</v>
      </c>
      <c r="E3781">
        <f>TEST_DATA!E3781</f>
        <v>2331</v>
      </c>
    </row>
    <row r="3782" spans="1:5" x14ac:dyDescent="0.55000000000000004">
      <c r="A3782" t="str">
        <f>TEST_DATA!A3782</f>
        <v>27AAAAA3782Z5</v>
      </c>
      <c r="B3782" t="str">
        <f>TEST_DATA!B3782</f>
        <v>May-2020</v>
      </c>
      <c r="C3782">
        <f>TEST_DATA!C3782</f>
        <v>44797</v>
      </c>
      <c r="D3782" t="str">
        <f>TEST_DATA!D3782</f>
        <v>NIL</v>
      </c>
      <c r="E3782">
        <f>TEST_DATA!E3782</f>
        <v>1516</v>
      </c>
    </row>
    <row r="3783" spans="1:5" x14ac:dyDescent="0.55000000000000004">
      <c r="A3783" t="str">
        <f>TEST_DATA!A3783</f>
        <v>27AAAAA3783Z5</v>
      </c>
      <c r="B3783" t="str">
        <f>TEST_DATA!B3783</f>
        <v>Jul-2017</v>
      </c>
      <c r="C3783">
        <f>TEST_DATA!C3783</f>
        <v>44438</v>
      </c>
      <c r="D3783" t="str">
        <f>TEST_DATA!D3783</f>
        <v>NON-NIL</v>
      </c>
      <c r="E3783">
        <f>TEST_DATA!E3783</f>
        <v>2261</v>
      </c>
    </row>
    <row r="3784" spans="1:5" x14ac:dyDescent="0.55000000000000004">
      <c r="A3784" t="str">
        <f>TEST_DATA!A3784</f>
        <v>27AAAAA3784Z5</v>
      </c>
      <c r="B3784" t="str">
        <f>TEST_DATA!B3784</f>
        <v>Jun-2019</v>
      </c>
      <c r="C3784">
        <f>TEST_DATA!C3784</f>
        <v>44256</v>
      </c>
      <c r="D3784" t="str">
        <f>TEST_DATA!D3784</f>
        <v>NIL</v>
      </c>
      <c r="E3784">
        <f>TEST_DATA!E3784</f>
        <v>1875</v>
      </c>
    </row>
    <row r="3785" spans="1:5" x14ac:dyDescent="0.55000000000000004">
      <c r="A3785" t="str">
        <f>TEST_DATA!A3785</f>
        <v>27AAAAA3785Z5</v>
      </c>
      <c r="B3785" t="str">
        <f>TEST_DATA!B3785</f>
        <v>Jun-2018</v>
      </c>
      <c r="C3785">
        <f>TEST_DATA!C3785</f>
        <v>44397</v>
      </c>
      <c r="D3785" t="str">
        <f>TEST_DATA!D3785</f>
        <v>NIL</v>
      </c>
      <c r="E3785">
        <f>TEST_DATA!E3785</f>
        <v>717</v>
      </c>
    </row>
    <row r="3786" spans="1:5" x14ac:dyDescent="0.55000000000000004">
      <c r="A3786" t="str">
        <f>TEST_DATA!A3786</f>
        <v>27AAAAA3786Z5</v>
      </c>
      <c r="B3786" t="str">
        <f>TEST_DATA!B3786</f>
        <v>Jan-2019</v>
      </c>
      <c r="C3786">
        <f>TEST_DATA!C3786</f>
        <v>44284</v>
      </c>
      <c r="D3786" t="str">
        <f>TEST_DATA!D3786</f>
        <v>NON-NIL</v>
      </c>
      <c r="E3786">
        <f>TEST_DATA!E3786</f>
        <v>543</v>
      </c>
    </row>
    <row r="3787" spans="1:5" x14ac:dyDescent="0.55000000000000004">
      <c r="A3787" t="str">
        <f>TEST_DATA!A3787</f>
        <v>27AAAAA3787Z5</v>
      </c>
      <c r="B3787" t="str">
        <f>TEST_DATA!B3787</f>
        <v>Apr-2018</v>
      </c>
      <c r="C3787">
        <f>TEST_DATA!C3787</f>
        <v>43049</v>
      </c>
      <c r="D3787" t="str">
        <f>TEST_DATA!D3787</f>
        <v>NIL</v>
      </c>
      <c r="E3787">
        <f>TEST_DATA!E3787</f>
        <v>847</v>
      </c>
    </row>
    <row r="3788" spans="1:5" x14ac:dyDescent="0.55000000000000004">
      <c r="A3788" t="str">
        <f>TEST_DATA!A3788</f>
        <v>27AAAAA3788Z5</v>
      </c>
      <c r="B3788" t="str">
        <f>TEST_DATA!B3788</f>
        <v>Mar-2020</v>
      </c>
      <c r="C3788">
        <f>TEST_DATA!C3788</f>
        <v>44775</v>
      </c>
      <c r="D3788" t="str">
        <f>TEST_DATA!D3788</f>
        <v>NON-NIL</v>
      </c>
      <c r="E3788">
        <f>TEST_DATA!E3788</f>
        <v>1003</v>
      </c>
    </row>
    <row r="3789" spans="1:5" x14ac:dyDescent="0.55000000000000004">
      <c r="A3789" t="str">
        <f>TEST_DATA!A3789</f>
        <v>27AAAAA3789Z5</v>
      </c>
      <c r="B3789" t="str">
        <f>TEST_DATA!B3789</f>
        <v>Jun-2020</v>
      </c>
      <c r="C3789">
        <f>TEST_DATA!C3789</f>
        <v>44739</v>
      </c>
      <c r="D3789" t="str">
        <f>TEST_DATA!D3789</f>
        <v>NIL</v>
      </c>
      <c r="E3789">
        <f>TEST_DATA!E3789</f>
        <v>724</v>
      </c>
    </row>
    <row r="3790" spans="1:5" x14ac:dyDescent="0.55000000000000004">
      <c r="A3790" t="str">
        <f>TEST_DATA!A3790</f>
        <v>27AAAAA3790Z5</v>
      </c>
      <c r="B3790" t="str">
        <f>TEST_DATA!B3790</f>
        <v>Sep-2018</v>
      </c>
      <c r="C3790">
        <f>TEST_DATA!C3790</f>
        <v>43941</v>
      </c>
      <c r="D3790" t="str">
        <f>TEST_DATA!D3790</f>
        <v>NIL</v>
      </c>
      <c r="E3790">
        <f>TEST_DATA!E3790</f>
        <v>2474</v>
      </c>
    </row>
    <row r="3791" spans="1:5" x14ac:dyDescent="0.55000000000000004">
      <c r="A3791" t="str">
        <f>TEST_DATA!A3791</f>
        <v>27AAAAA3791Z5</v>
      </c>
      <c r="B3791" t="str">
        <f>TEST_DATA!B3791</f>
        <v>Dec-2022</v>
      </c>
      <c r="C3791">
        <f>TEST_DATA!C3791</f>
        <v>44822</v>
      </c>
      <c r="D3791" t="str">
        <f>TEST_DATA!D3791</f>
        <v>NIL</v>
      </c>
      <c r="E3791">
        <f>TEST_DATA!E3791</f>
        <v>1002</v>
      </c>
    </row>
    <row r="3792" spans="1:5" x14ac:dyDescent="0.55000000000000004">
      <c r="A3792" t="str">
        <f>TEST_DATA!A3792</f>
        <v>27AAAAA3792Z5</v>
      </c>
      <c r="B3792" t="str">
        <f>TEST_DATA!B3792</f>
        <v>Sep-2018</v>
      </c>
      <c r="C3792">
        <f>TEST_DATA!C3792</f>
        <v>44395</v>
      </c>
      <c r="D3792" t="str">
        <f>TEST_DATA!D3792</f>
        <v>NIL</v>
      </c>
      <c r="E3792">
        <f>TEST_DATA!E3792</f>
        <v>28</v>
      </c>
    </row>
    <row r="3793" spans="1:5" x14ac:dyDescent="0.55000000000000004">
      <c r="A3793" t="str">
        <f>TEST_DATA!A3793</f>
        <v>27AAAAA3793Z5</v>
      </c>
      <c r="B3793" t="str">
        <f>TEST_DATA!B3793</f>
        <v>Jan-2021</v>
      </c>
      <c r="C3793">
        <f>TEST_DATA!C3793</f>
        <v>43598</v>
      </c>
      <c r="D3793" t="str">
        <f>TEST_DATA!D3793</f>
        <v>NON-NIL</v>
      </c>
      <c r="E3793">
        <f>TEST_DATA!E3793</f>
        <v>2128</v>
      </c>
    </row>
    <row r="3794" spans="1:5" x14ac:dyDescent="0.55000000000000004">
      <c r="A3794" t="str">
        <f>TEST_DATA!A3794</f>
        <v>27AAAAA3794Z5</v>
      </c>
      <c r="B3794" t="str">
        <f>TEST_DATA!B3794</f>
        <v>Jan-2019</v>
      </c>
      <c r="C3794">
        <f>TEST_DATA!C3794</f>
        <v>45044</v>
      </c>
      <c r="D3794" t="str">
        <f>TEST_DATA!D3794</f>
        <v>NIL</v>
      </c>
      <c r="E3794">
        <f>TEST_DATA!E3794</f>
        <v>1708</v>
      </c>
    </row>
    <row r="3795" spans="1:5" x14ac:dyDescent="0.55000000000000004">
      <c r="A3795" t="str">
        <f>TEST_DATA!A3795</f>
        <v>27AAAAA3795Z5</v>
      </c>
      <c r="B3795" t="str">
        <f>TEST_DATA!B3795</f>
        <v>Mar-2018</v>
      </c>
      <c r="C3795">
        <f>TEST_DATA!C3795</f>
        <v>44383</v>
      </c>
      <c r="D3795" t="str">
        <f>TEST_DATA!D3795</f>
        <v>NIL</v>
      </c>
      <c r="E3795">
        <f>TEST_DATA!E3795</f>
        <v>2931</v>
      </c>
    </row>
    <row r="3796" spans="1:5" x14ac:dyDescent="0.55000000000000004">
      <c r="A3796" t="str">
        <f>TEST_DATA!A3796</f>
        <v>27AAAAA3796Z5</v>
      </c>
      <c r="B3796" t="str">
        <f>TEST_DATA!B3796</f>
        <v>Mar-2021</v>
      </c>
      <c r="C3796">
        <f>TEST_DATA!C3796</f>
        <v>45653</v>
      </c>
      <c r="D3796" t="str">
        <f>TEST_DATA!D3796</f>
        <v>NIL</v>
      </c>
      <c r="E3796">
        <f>TEST_DATA!E3796</f>
        <v>1796</v>
      </c>
    </row>
    <row r="3797" spans="1:5" x14ac:dyDescent="0.55000000000000004">
      <c r="A3797" t="str">
        <f>TEST_DATA!A3797</f>
        <v>27AAAAA3797Z5</v>
      </c>
      <c r="B3797" t="str">
        <f>TEST_DATA!B3797</f>
        <v>Jan-2019</v>
      </c>
      <c r="C3797">
        <f>TEST_DATA!C3797</f>
        <v>43710</v>
      </c>
      <c r="D3797" t="str">
        <f>TEST_DATA!D3797</f>
        <v>NON-NIL</v>
      </c>
      <c r="E3797">
        <f>TEST_DATA!E3797</f>
        <v>1631</v>
      </c>
    </row>
    <row r="3798" spans="1:5" x14ac:dyDescent="0.55000000000000004">
      <c r="A3798" t="str">
        <f>TEST_DATA!A3798</f>
        <v>27AAAAA3798Z5</v>
      </c>
      <c r="B3798" t="str">
        <f>TEST_DATA!B3798</f>
        <v>Dec-2022</v>
      </c>
      <c r="C3798">
        <f>TEST_DATA!C3798</f>
        <v>43629</v>
      </c>
      <c r="D3798" t="str">
        <f>TEST_DATA!D3798</f>
        <v>NON-NIL</v>
      </c>
      <c r="E3798">
        <f>TEST_DATA!E3798</f>
        <v>1636</v>
      </c>
    </row>
    <row r="3799" spans="1:5" x14ac:dyDescent="0.55000000000000004">
      <c r="A3799" t="str">
        <f>TEST_DATA!A3799</f>
        <v>27AAAAA3799Z5</v>
      </c>
      <c r="B3799" t="str">
        <f>TEST_DATA!B3799</f>
        <v>Jul-2020</v>
      </c>
      <c r="C3799">
        <f>TEST_DATA!C3799</f>
        <v>44878</v>
      </c>
      <c r="D3799" t="str">
        <f>TEST_DATA!D3799</f>
        <v>NON-NIL</v>
      </c>
      <c r="E3799">
        <f>TEST_DATA!E3799</f>
        <v>1755</v>
      </c>
    </row>
    <row r="3800" spans="1:5" x14ac:dyDescent="0.55000000000000004">
      <c r="A3800" t="str">
        <f>TEST_DATA!A3800</f>
        <v>27AAAAA3800Z5</v>
      </c>
      <c r="B3800" t="str">
        <f>TEST_DATA!B3800</f>
        <v>Apr-2021</v>
      </c>
      <c r="C3800">
        <f>TEST_DATA!C3800</f>
        <v>43974</v>
      </c>
      <c r="D3800" t="str">
        <f>TEST_DATA!D3800</f>
        <v>NIL</v>
      </c>
      <c r="E3800">
        <f>TEST_DATA!E3800</f>
        <v>597</v>
      </c>
    </row>
    <row r="3801" spans="1:5" x14ac:dyDescent="0.55000000000000004">
      <c r="A3801" t="str">
        <f>TEST_DATA!A3801</f>
        <v>27AAAAA3801Z5</v>
      </c>
      <c r="B3801" t="str">
        <f>TEST_DATA!B3801</f>
        <v>Mar-2023</v>
      </c>
      <c r="C3801">
        <f>TEST_DATA!C3801</f>
        <v>44541</v>
      </c>
      <c r="D3801" t="str">
        <f>TEST_DATA!D3801</f>
        <v>NIL</v>
      </c>
      <c r="E3801">
        <f>TEST_DATA!E3801</f>
        <v>2957</v>
      </c>
    </row>
    <row r="3802" spans="1:5" x14ac:dyDescent="0.55000000000000004">
      <c r="A3802" t="str">
        <f>TEST_DATA!A3802</f>
        <v>27AAAAA3802Z5</v>
      </c>
      <c r="B3802" t="str">
        <f>TEST_DATA!B3802</f>
        <v>Dec-2017</v>
      </c>
      <c r="C3802">
        <f>TEST_DATA!C3802</f>
        <v>43667</v>
      </c>
      <c r="D3802" t="str">
        <f>TEST_DATA!D3802</f>
        <v>NON-NIL</v>
      </c>
      <c r="E3802">
        <f>TEST_DATA!E3802</f>
        <v>2689</v>
      </c>
    </row>
    <row r="3803" spans="1:5" x14ac:dyDescent="0.55000000000000004">
      <c r="A3803" t="str">
        <f>TEST_DATA!A3803</f>
        <v>27AAAAA3803Z5</v>
      </c>
      <c r="B3803" t="str">
        <f>TEST_DATA!B3803</f>
        <v>May-2018</v>
      </c>
      <c r="C3803">
        <f>TEST_DATA!C3803</f>
        <v>43207</v>
      </c>
      <c r="D3803" t="str">
        <f>TEST_DATA!D3803</f>
        <v>NIL</v>
      </c>
      <c r="E3803">
        <f>TEST_DATA!E3803</f>
        <v>1976</v>
      </c>
    </row>
    <row r="3804" spans="1:5" x14ac:dyDescent="0.55000000000000004">
      <c r="A3804" t="str">
        <f>TEST_DATA!A3804</f>
        <v>27AAAAA3804Z5</v>
      </c>
      <c r="B3804" t="str">
        <f>TEST_DATA!B3804</f>
        <v>Jan-2018</v>
      </c>
      <c r="C3804">
        <f>TEST_DATA!C3804</f>
        <v>43458</v>
      </c>
      <c r="D3804" t="str">
        <f>TEST_DATA!D3804</f>
        <v>NIL</v>
      </c>
      <c r="E3804">
        <f>TEST_DATA!E3804</f>
        <v>1351</v>
      </c>
    </row>
    <row r="3805" spans="1:5" x14ac:dyDescent="0.55000000000000004">
      <c r="A3805" t="str">
        <f>TEST_DATA!A3805</f>
        <v>27AAAAA3805Z5</v>
      </c>
      <c r="B3805" t="str">
        <f>TEST_DATA!B3805</f>
        <v>May-2020</v>
      </c>
      <c r="C3805">
        <f>TEST_DATA!C3805</f>
        <v>43982</v>
      </c>
      <c r="D3805" t="str">
        <f>TEST_DATA!D3805</f>
        <v>NON-NIL</v>
      </c>
      <c r="E3805">
        <f>TEST_DATA!E3805</f>
        <v>2904</v>
      </c>
    </row>
    <row r="3806" spans="1:5" x14ac:dyDescent="0.55000000000000004">
      <c r="A3806" t="str">
        <f>TEST_DATA!A3806</f>
        <v>27AAAAA3806Z5</v>
      </c>
      <c r="B3806" t="str">
        <f>TEST_DATA!B3806</f>
        <v>Jan-2019</v>
      </c>
      <c r="C3806">
        <f>TEST_DATA!C3806</f>
        <v>44468</v>
      </c>
      <c r="D3806" t="str">
        <f>TEST_DATA!D3806</f>
        <v>NON-NIL</v>
      </c>
      <c r="E3806">
        <f>TEST_DATA!E3806</f>
        <v>1402</v>
      </c>
    </row>
    <row r="3807" spans="1:5" x14ac:dyDescent="0.55000000000000004">
      <c r="A3807" t="str">
        <f>TEST_DATA!A3807</f>
        <v>27AAAAA3807Z5</v>
      </c>
      <c r="B3807" t="str">
        <f>TEST_DATA!B3807</f>
        <v>Apr-2018</v>
      </c>
      <c r="C3807">
        <f>TEST_DATA!C3807</f>
        <v>44328</v>
      </c>
      <c r="D3807" t="str">
        <f>TEST_DATA!D3807</f>
        <v>NON-NIL</v>
      </c>
      <c r="E3807">
        <f>TEST_DATA!E3807</f>
        <v>1354</v>
      </c>
    </row>
    <row r="3808" spans="1:5" x14ac:dyDescent="0.55000000000000004">
      <c r="A3808" t="str">
        <f>TEST_DATA!A3808</f>
        <v>27AAAAA3808Z5</v>
      </c>
      <c r="B3808" t="str">
        <f>TEST_DATA!B3808</f>
        <v>Apr-2021</v>
      </c>
      <c r="C3808">
        <f>TEST_DATA!C3808</f>
        <v>45310</v>
      </c>
      <c r="D3808" t="str">
        <f>TEST_DATA!D3808</f>
        <v>NON-NIL</v>
      </c>
      <c r="E3808">
        <f>TEST_DATA!E3808</f>
        <v>2327</v>
      </c>
    </row>
    <row r="3809" spans="1:5" x14ac:dyDescent="0.55000000000000004">
      <c r="A3809" t="str">
        <f>TEST_DATA!A3809</f>
        <v>27AAAAA3809Z5</v>
      </c>
      <c r="B3809" t="str">
        <f>TEST_DATA!B3809</f>
        <v>Mar-2018</v>
      </c>
      <c r="C3809">
        <f>TEST_DATA!C3809</f>
        <v>44134</v>
      </c>
      <c r="D3809" t="str">
        <f>TEST_DATA!D3809</f>
        <v>NIL</v>
      </c>
      <c r="E3809">
        <f>TEST_DATA!E3809</f>
        <v>573</v>
      </c>
    </row>
    <row r="3810" spans="1:5" x14ac:dyDescent="0.55000000000000004">
      <c r="A3810" t="str">
        <f>TEST_DATA!A3810</f>
        <v>27AAAAA3810Z5</v>
      </c>
      <c r="B3810" t="str">
        <f>TEST_DATA!B3810</f>
        <v>Nov-2017</v>
      </c>
      <c r="C3810">
        <f>TEST_DATA!C3810</f>
        <v>43985</v>
      </c>
      <c r="D3810" t="str">
        <f>TEST_DATA!D3810</f>
        <v>NON-NIL</v>
      </c>
      <c r="E3810">
        <f>TEST_DATA!E3810</f>
        <v>106</v>
      </c>
    </row>
    <row r="3811" spans="1:5" x14ac:dyDescent="0.55000000000000004">
      <c r="A3811" t="str">
        <f>TEST_DATA!A3811</f>
        <v>27AAAAA3811Z5</v>
      </c>
      <c r="B3811" t="str">
        <f>TEST_DATA!B3811</f>
        <v>Feb-2018</v>
      </c>
      <c r="C3811">
        <f>TEST_DATA!C3811</f>
        <v>43676</v>
      </c>
      <c r="D3811" t="str">
        <f>TEST_DATA!D3811</f>
        <v>NON-NIL</v>
      </c>
      <c r="E3811">
        <f>TEST_DATA!E3811</f>
        <v>2923</v>
      </c>
    </row>
    <row r="3812" spans="1:5" x14ac:dyDescent="0.55000000000000004">
      <c r="A3812" t="str">
        <f>TEST_DATA!A3812</f>
        <v>27AAAAA3812Z5</v>
      </c>
      <c r="B3812" t="str">
        <f>TEST_DATA!B3812</f>
        <v>Apr-2018</v>
      </c>
      <c r="C3812">
        <f>TEST_DATA!C3812</f>
        <v>43545</v>
      </c>
      <c r="D3812" t="str">
        <f>TEST_DATA!D3812</f>
        <v>NIL</v>
      </c>
      <c r="E3812">
        <f>TEST_DATA!E3812</f>
        <v>2325</v>
      </c>
    </row>
    <row r="3813" spans="1:5" x14ac:dyDescent="0.55000000000000004">
      <c r="A3813" t="str">
        <f>TEST_DATA!A3813</f>
        <v>27AAAAA3813Z5</v>
      </c>
      <c r="B3813" t="str">
        <f>TEST_DATA!B3813</f>
        <v>May-2020</v>
      </c>
      <c r="C3813">
        <f>TEST_DATA!C3813</f>
        <v>44455</v>
      </c>
      <c r="D3813" t="str">
        <f>TEST_DATA!D3813</f>
        <v>NON-NIL</v>
      </c>
      <c r="E3813">
        <f>TEST_DATA!E3813</f>
        <v>2920</v>
      </c>
    </row>
    <row r="3814" spans="1:5" x14ac:dyDescent="0.55000000000000004">
      <c r="A3814" t="str">
        <f>TEST_DATA!A3814</f>
        <v>27AAAAA3814Z5</v>
      </c>
      <c r="B3814" t="str">
        <f>TEST_DATA!B3814</f>
        <v>Sep-2018</v>
      </c>
      <c r="C3814">
        <f>TEST_DATA!C3814</f>
        <v>44295</v>
      </c>
      <c r="D3814" t="str">
        <f>TEST_DATA!D3814</f>
        <v>NON-NIL</v>
      </c>
      <c r="E3814">
        <f>TEST_DATA!E3814</f>
        <v>632</v>
      </c>
    </row>
    <row r="3815" spans="1:5" x14ac:dyDescent="0.55000000000000004">
      <c r="A3815" t="str">
        <f>TEST_DATA!A3815</f>
        <v>27AAAAA3815Z5</v>
      </c>
      <c r="B3815" t="str">
        <f>TEST_DATA!B3815</f>
        <v>Jan-2021</v>
      </c>
      <c r="C3815">
        <f>TEST_DATA!C3815</f>
        <v>43992</v>
      </c>
      <c r="D3815" t="str">
        <f>TEST_DATA!D3815</f>
        <v>NIL</v>
      </c>
      <c r="E3815">
        <f>TEST_DATA!E3815</f>
        <v>2488</v>
      </c>
    </row>
    <row r="3816" spans="1:5" x14ac:dyDescent="0.55000000000000004">
      <c r="A3816" t="str">
        <f>TEST_DATA!A3816</f>
        <v>27AAAAA3816Z5</v>
      </c>
      <c r="B3816" t="str">
        <f>TEST_DATA!B3816</f>
        <v>Apr-2018</v>
      </c>
      <c r="C3816">
        <f>TEST_DATA!C3816</f>
        <v>43703</v>
      </c>
      <c r="D3816" t="str">
        <f>TEST_DATA!D3816</f>
        <v>NON-NIL</v>
      </c>
      <c r="E3816">
        <f>TEST_DATA!E3816</f>
        <v>2608</v>
      </c>
    </row>
    <row r="3817" spans="1:5" x14ac:dyDescent="0.55000000000000004">
      <c r="A3817" t="str">
        <f>TEST_DATA!A3817</f>
        <v>27AAAAA3817Z5</v>
      </c>
      <c r="B3817" t="str">
        <f>TEST_DATA!B3817</f>
        <v>Feb-2018</v>
      </c>
      <c r="C3817">
        <f>TEST_DATA!C3817</f>
        <v>42974</v>
      </c>
      <c r="D3817" t="str">
        <f>TEST_DATA!D3817</f>
        <v>NIL</v>
      </c>
      <c r="E3817">
        <f>TEST_DATA!E3817</f>
        <v>2388</v>
      </c>
    </row>
    <row r="3818" spans="1:5" x14ac:dyDescent="0.55000000000000004">
      <c r="A3818" t="str">
        <f>TEST_DATA!A3818</f>
        <v>27AAAAA3818Z5</v>
      </c>
      <c r="B3818" t="str">
        <f>TEST_DATA!B3818</f>
        <v>Apr-2018</v>
      </c>
      <c r="C3818">
        <f>TEST_DATA!C3818</f>
        <v>43220</v>
      </c>
      <c r="D3818" t="str">
        <f>TEST_DATA!D3818</f>
        <v>NIL</v>
      </c>
      <c r="E3818">
        <f>TEST_DATA!E3818</f>
        <v>1062</v>
      </c>
    </row>
    <row r="3819" spans="1:5" x14ac:dyDescent="0.55000000000000004">
      <c r="A3819" t="str">
        <f>TEST_DATA!A3819</f>
        <v>27AAAAA3819Z5</v>
      </c>
      <c r="B3819" t="str">
        <f>TEST_DATA!B3819</f>
        <v>Jun-2018</v>
      </c>
      <c r="C3819">
        <f>TEST_DATA!C3819</f>
        <v>44393</v>
      </c>
      <c r="D3819" t="str">
        <f>TEST_DATA!D3819</f>
        <v>NON-NIL</v>
      </c>
      <c r="E3819">
        <f>TEST_DATA!E3819</f>
        <v>1953</v>
      </c>
    </row>
    <row r="3820" spans="1:5" x14ac:dyDescent="0.55000000000000004">
      <c r="A3820" t="str">
        <f>TEST_DATA!A3820</f>
        <v>27AAAAA3820Z5</v>
      </c>
      <c r="B3820" t="str">
        <f>TEST_DATA!B3820</f>
        <v>Apr-2020</v>
      </c>
      <c r="C3820">
        <f>TEST_DATA!C3820</f>
        <v>44179</v>
      </c>
      <c r="D3820" t="str">
        <f>TEST_DATA!D3820</f>
        <v>NON-NIL</v>
      </c>
      <c r="E3820">
        <f>TEST_DATA!E3820</f>
        <v>2637</v>
      </c>
    </row>
    <row r="3821" spans="1:5" x14ac:dyDescent="0.55000000000000004">
      <c r="A3821" t="str">
        <f>TEST_DATA!A3821</f>
        <v>27AAAAA3821Z5</v>
      </c>
      <c r="B3821" t="str">
        <f>TEST_DATA!B3821</f>
        <v>Nov-2017</v>
      </c>
      <c r="C3821">
        <f>TEST_DATA!C3821</f>
        <v>44119</v>
      </c>
      <c r="D3821" t="str">
        <f>TEST_DATA!D3821</f>
        <v>NON-NIL</v>
      </c>
      <c r="E3821">
        <f>TEST_DATA!E3821</f>
        <v>2143</v>
      </c>
    </row>
    <row r="3822" spans="1:5" x14ac:dyDescent="0.55000000000000004">
      <c r="A3822" t="str">
        <f>TEST_DATA!A3822</f>
        <v>27AAAAA3822Z5</v>
      </c>
      <c r="B3822" t="str">
        <f>TEST_DATA!B3822</f>
        <v>Jun-2018</v>
      </c>
      <c r="C3822">
        <f>TEST_DATA!C3822</f>
        <v>43691</v>
      </c>
      <c r="D3822" t="str">
        <f>TEST_DATA!D3822</f>
        <v>NON-NIL</v>
      </c>
      <c r="E3822">
        <f>TEST_DATA!E3822</f>
        <v>2655</v>
      </c>
    </row>
    <row r="3823" spans="1:5" x14ac:dyDescent="0.55000000000000004">
      <c r="A3823" t="str">
        <f>TEST_DATA!A3823</f>
        <v>27AAAAA3823Z5</v>
      </c>
      <c r="B3823" t="str">
        <f>TEST_DATA!B3823</f>
        <v>Dec-2017</v>
      </c>
      <c r="C3823">
        <f>TEST_DATA!C3823</f>
        <v>43992</v>
      </c>
      <c r="D3823" t="str">
        <f>TEST_DATA!D3823</f>
        <v>NON-NIL</v>
      </c>
      <c r="E3823">
        <f>TEST_DATA!E3823</f>
        <v>718</v>
      </c>
    </row>
    <row r="3824" spans="1:5" x14ac:dyDescent="0.55000000000000004">
      <c r="A3824" t="str">
        <f>TEST_DATA!A3824</f>
        <v>27AAAAA3824Z5</v>
      </c>
      <c r="B3824" t="str">
        <f>TEST_DATA!B3824</f>
        <v>Jan-2019</v>
      </c>
      <c r="C3824">
        <f>TEST_DATA!C3824</f>
        <v>45021</v>
      </c>
      <c r="D3824" t="str">
        <f>TEST_DATA!D3824</f>
        <v>NIL</v>
      </c>
      <c r="E3824">
        <f>TEST_DATA!E3824</f>
        <v>2739</v>
      </c>
    </row>
    <row r="3825" spans="1:5" x14ac:dyDescent="0.55000000000000004">
      <c r="A3825" t="str">
        <f>TEST_DATA!A3825</f>
        <v>27AAAAA3825Z5</v>
      </c>
      <c r="B3825" t="str">
        <f>TEST_DATA!B3825</f>
        <v>Sep-2017</v>
      </c>
      <c r="C3825">
        <f>TEST_DATA!C3825</f>
        <v>43618</v>
      </c>
      <c r="D3825" t="str">
        <f>TEST_DATA!D3825</f>
        <v>NIL</v>
      </c>
      <c r="E3825">
        <f>TEST_DATA!E3825</f>
        <v>1266</v>
      </c>
    </row>
    <row r="3826" spans="1:5" x14ac:dyDescent="0.55000000000000004">
      <c r="A3826" t="str">
        <f>TEST_DATA!A3826</f>
        <v>27AAAAA3826Z5</v>
      </c>
      <c r="B3826" t="str">
        <f>TEST_DATA!B3826</f>
        <v>Jan-2018</v>
      </c>
      <c r="C3826">
        <f>TEST_DATA!C3826</f>
        <v>43376</v>
      </c>
      <c r="D3826" t="str">
        <f>TEST_DATA!D3826</f>
        <v>NIL</v>
      </c>
      <c r="E3826">
        <f>TEST_DATA!E3826</f>
        <v>1139</v>
      </c>
    </row>
    <row r="3827" spans="1:5" x14ac:dyDescent="0.55000000000000004">
      <c r="A3827" t="str">
        <f>TEST_DATA!A3827</f>
        <v>27AAAAA3827Z5</v>
      </c>
      <c r="B3827" t="str">
        <f>TEST_DATA!B3827</f>
        <v>Apr-2020</v>
      </c>
      <c r="C3827">
        <f>TEST_DATA!C3827</f>
        <v>44075</v>
      </c>
      <c r="D3827" t="str">
        <f>TEST_DATA!D3827</f>
        <v>NIL</v>
      </c>
      <c r="E3827">
        <f>TEST_DATA!E3827</f>
        <v>1460</v>
      </c>
    </row>
    <row r="3828" spans="1:5" x14ac:dyDescent="0.55000000000000004">
      <c r="A3828" t="str">
        <f>TEST_DATA!A3828</f>
        <v>27AAAAA3828Z5</v>
      </c>
      <c r="B3828" t="str">
        <f>TEST_DATA!B3828</f>
        <v>Jan-2019</v>
      </c>
      <c r="C3828">
        <f>TEST_DATA!C3828</f>
        <v>45347</v>
      </c>
      <c r="D3828" t="str">
        <f>TEST_DATA!D3828</f>
        <v>NIL</v>
      </c>
      <c r="E3828">
        <f>TEST_DATA!E3828</f>
        <v>2146</v>
      </c>
    </row>
    <row r="3829" spans="1:5" x14ac:dyDescent="0.55000000000000004">
      <c r="A3829" t="str">
        <f>TEST_DATA!A3829</f>
        <v>27AAAAA3829Z5</v>
      </c>
      <c r="B3829" t="str">
        <f>TEST_DATA!B3829</f>
        <v>Dec-2024</v>
      </c>
      <c r="C3829">
        <f>TEST_DATA!C3829</f>
        <v>44401</v>
      </c>
      <c r="D3829" t="str">
        <f>TEST_DATA!D3829</f>
        <v>NIL</v>
      </c>
      <c r="E3829">
        <f>TEST_DATA!E3829</f>
        <v>1489</v>
      </c>
    </row>
    <row r="3830" spans="1:5" x14ac:dyDescent="0.55000000000000004">
      <c r="A3830" t="str">
        <f>TEST_DATA!A3830</f>
        <v>27AAAAA3830Z5</v>
      </c>
      <c r="B3830" t="str">
        <f>TEST_DATA!B3830</f>
        <v>Jun-2020</v>
      </c>
      <c r="C3830">
        <f>TEST_DATA!C3830</f>
        <v>43898</v>
      </c>
      <c r="D3830" t="str">
        <f>TEST_DATA!D3830</f>
        <v>NON-NIL</v>
      </c>
      <c r="E3830">
        <f>TEST_DATA!E3830</f>
        <v>2565</v>
      </c>
    </row>
    <row r="3831" spans="1:5" x14ac:dyDescent="0.55000000000000004">
      <c r="A3831" t="str">
        <f>TEST_DATA!A3831</f>
        <v>27AAAAA3831Z5</v>
      </c>
      <c r="B3831" t="str">
        <f>TEST_DATA!B3831</f>
        <v>Oct-2017</v>
      </c>
      <c r="C3831">
        <f>TEST_DATA!C3831</f>
        <v>43591</v>
      </c>
      <c r="D3831" t="str">
        <f>TEST_DATA!D3831</f>
        <v>NIL</v>
      </c>
      <c r="E3831">
        <f>TEST_DATA!E3831</f>
        <v>1111</v>
      </c>
    </row>
    <row r="3832" spans="1:5" x14ac:dyDescent="0.55000000000000004">
      <c r="A3832" t="str">
        <f>TEST_DATA!A3832</f>
        <v>27AAAAA3832Z5</v>
      </c>
      <c r="B3832" t="str">
        <f>TEST_DATA!B3832</f>
        <v>Dec-2019</v>
      </c>
      <c r="C3832">
        <f>TEST_DATA!C3832</f>
        <v>45656</v>
      </c>
      <c r="D3832" t="str">
        <f>TEST_DATA!D3832</f>
        <v>NIL</v>
      </c>
      <c r="E3832">
        <f>TEST_DATA!E3832</f>
        <v>229</v>
      </c>
    </row>
    <row r="3833" spans="1:5" x14ac:dyDescent="0.55000000000000004">
      <c r="A3833" t="str">
        <f>TEST_DATA!A3833</f>
        <v>27AAAAA3833Z5</v>
      </c>
      <c r="B3833" t="str">
        <f>TEST_DATA!B3833</f>
        <v>Sep-2018</v>
      </c>
      <c r="C3833">
        <f>TEST_DATA!C3833</f>
        <v>44077</v>
      </c>
      <c r="D3833" t="str">
        <f>TEST_DATA!D3833</f>
        <v>NIL</v>
      </c>
      <c r="E3833">
        <f>TEST_DATA!E3833</f>
        <v>1002</v>
      </c>
    </row>
    <row r="3834" spans="1:5" x14ac:dyDescent="0.55000000000000004">
      <c r="A3834" t="str">
        <f>TEST_DATA!A3834</f>
        <v>27AAAAA3834Z5</v>
      </c>
      <c r="B3834" t="str">
        <f>TEST_DATA!B3834</f>
        <v>Mar-2018</v>
      </c>
      <c r="C3834">
        <f>TEST_DATA!C3834</f>
        <v>44549</v>
      </c>
      <c r="D3834" t="str">
        <f>TEST_DATA!D3834</f>
        <v>NIL</v>
      </c>
      <c r="E3834">
        <f>TEST_DATA!E3834</f>
        <v>2825</v>
      </c>
    </row>
    <row r="3835" spans="1:5" x14ac:dyDescent="0.55000000000000004">
      <c r="A3835" t="str">
        <f>TEST_DATA!A3835</f>
        <v>27AAAAA3835Z5</v>
      </c>
      <c r="B3835" t="str">
        <f>TEST_DATA!B3835</f>
        <v>May-2020</v>
      </c>
      <c r="C3835">
        <f>TEST_DATA!C3835</f>
        <v>44332</v>
      </c>
      <c r="D3835" t="str">
        <f>TEST_DATA!D3835</f>
        <v>NIL</v>
      </c>
      <c r="E3835">
        <f>TEST_DATA!E3835</f>
        <v>2824</v>
      </c>
    </row>
    <row r="3836" spans="1:5" x14ac:dyDescent="0.55000000000000004">
      <c r="A3836" t="str">
        <f>TEST_DATA!A3836</f>
        <v>27AAAAA3836Z5</v>
      </c>
      <c r="B3836" t="str">
        <f>TEST_DATA!B3836</f>
        <v>Jul-2020</v>
      </c>
      <c r="C3836">
        <f>TEST_DATA!C3836</f>
        <v>44765</v>
      </c>
      <c r="D3836" t="str">
        <f>TEST_DATA!D3836</f>
        <v>NIL</v>
      </c>
      <c r="E3836">
        <f>TEST_DATA!E3836</f>
        <v>164</v>
      </c>
    </row>
    <row r="3837" spans="1:5" x14ac:dyDescent="0.55000000000000004">
      <c r="A3837" t="str">
        <f>TEST_DATA!A3837</f>
        <v>27AAAAA3837Z5</v>
      </c>
      <c r="B3837" t="str">
        <f>TEST_DATA!B3837</f>
        <v>Apr-2020</v>
      </c>
      <c r="C3837">
        <f>TEST_DATA!C3837</f>
        <v>44375</v>
      </c>
      <c r="D3837" t="str">
        <f>TEST_DATA!D3837</f>
        <v>NON-NIL</v>
      </c>
      <c r="E3837">
        <f>TEST_DATA!E3837</f>
        <v>374</v>
      </c>
    </row>
    <row r="3838" spans="1:5" x14ac:dyDescent="0.55000000000000004">
      <c r="A3838" t="str">
        <f>TEST_DATA!A3838</f>
        <v>27AAAAA3838Z5</v>
      </c>
      <c r="B3838" t="str">
        <f>TEST_DATA!B3838</f>
        <v>Jan-2021</v>
      </c>
      <c r="C3838">
        <f>TEST_DATA!C3838</f>
        <v>44244</v>
      </c>
      <c r="D3838" t="str">
        <f>TEST_DATA!D3838</f>
        <v>NIL</v>
      </c>
      <c r="E3838">
        <f>TEST_DATA!E3838</f>
        <v>542</v>
      </c>
    </row>
    <row r="3839" spans="1:5" x14ac:dyDescent="0.55000000000000004">
      <c r="A3839" t="str">
        <f>TEST_DATA!A3839</f>
        <v>27AAAAA3839Z5</v>
      </c>
      <c r="B3839" t="str">
        <f>TEST_DATA!B3839</f>
        <v>Jun-2019</v>
      </c>
      <c r="C3839">
        <f>TEST_DATA!C3839</f>
        <v>44706</v>
      </c>
      <c r="D3839" t="str">
        <f>TEST_DATA!D3839</f>
        <v>NIL</v>
      </c>
      <c r="E3839">
        <f>TEST_DATA!E3839</f>
        <v>850</v>
      </c>
    </row>
    <row r="3840" spans="1:5" x14ac:dyDescent="0.55000000000000004">
      <c r="A3840" t="str">
        <f>TEST_DATA!A3840</f>
        <v>27AAAAA3840Z5</v>
      </c>
      <c r="B3840" t="str">
        <f>TEST_DATA!B3840</f>
        <v>Feb-2018</v>
      </c>
      <c r="C3840">
        <f>TEST_DATA!C3840</f>
        <v>43416</v>
      </c>
      <c r="D3840" t="str">
        <f>TEST_DATA!D3840</f>
        <v>NON-NIL</v>
      </c>
      <c r="E3840">
        <f>TEST_DATA!E3840</f>
        <v>1901</v>
      </c>
    </row>
    <row r="3841" spans="1:5" x14ac:dyDescent="0.55000000000000004">
      <c r="A3841" t="str">
        <f>TEST_DATA!A3841</f>
        <v>27AAAAA3841Z5</v>
      </c>
      <c r="B3841" t="str">
        <f>TEST_DATA!B3841</f>
        <v>Oct-2017</v>
      </c>
      <c r="C3841">
        <f>TEST_DATA!C3841</f>
        <v>44016</v>
      </c>
      <c r="D3841" t="str">
        <f>TEST_DATA!D3841</f>
        <v>NIL</v>
      </c>
      <c r="E3841">
        <f>TEST_DATA!E3841</f>
        <v>1306</v>
      </c>
    </row>
    <row r="3842" spans="1:5" x14ac:dyDescent="0.55000000000000004">
      <c r="A3842" t="str">
        <f>TEST_DATA!A3842</f>
        <v>27AAAAA3842Z5</v>
      </c>
      <c r="B3842" t="str">
        <f>TEST_DATA!B3842</f>
        <v>Apr-2021</v>
      </c>
      <c r="C3842">
        <f>TEST_DATA!C3842</f>
        <v>43765</v>
      </c>
      <c r="D3842" t="str">
        <f>TEST_DATA!D3842</f>
        <v>NIL</v>
      </c>
      <c r="E3842">
        <f>TEST_DATA!E3842</f>
        <v>1959</v>
      </c>
    </row>
    <row r="3843" spans="1:5" x14ac:dyDescent="0.55000000000000004">
      <c r="A3843" t="str">
        <f>TEST_DATA!A3843</f>
        <v>27AAAAA3843Z5</v>
      </c>
      <c r="B3843" t="str">
        <f>TEST_DATA!B3843</f>
        <v>Oct-2017</v>
      </c>
      <c r="C3843">
        <f>TEST_DATA!C3843</f>
        <v>43822</v>
      </c>
      <c r="D3843" t="str">
        <f>TEST_DATA!D3843</f>
        <v>NIL</v>
      </c>
      <c r="E3843">
        <f>TEST_DATA!E3843</f>
        <v>1949</v>
      </c>
    </row>
    <row r="3844" spans="1:5" x14ac:dyDescent="0.55000000000000004">
      <c r="A3844" t="str">
        <f>TEST_DATA!A3844</f>
        <v>27AAAAA3844Z5</v>
      </c>
      <c r="B3844" t="str">
        <f>TEST_DATA!B3844</f>
        <v>Jan-2018</v>
      </c>
      <c r="C3844">
        <f>TEST_DATA!C3844</f>
        <v>43121</v>
      </c>
      <c r="D3844" t="str">
        <f>TEST_DATA!D3844</f>
        <v>NIL</v>
      </c>
      <c r="E3844">
        <f>TEST_DATA!E3844</f>
        <v>2450</v>
      </c>
    </row>
    <row r="3845" spans="1:5" x14ac:dyDescent="0.55000000000000004">
      <c r="A3845" t="str">
        <f>TEST_DATA!A3845</f>
        <v>27AAAAA3845Z5</v>
      </c>
      <c r="B3845" t="str">
        <f>TEST_DATA!B3845</f>
        <v>Jan-2019</v>
      </c>
      <c r="C3845">
        <f>TEST_DATA!C3845</f>
        <v>44694</v>
      </c>
      <c r="D3845" t="str">
        <f>TEST_DATA!D3845</f>
        <v>NIL</v>
      </c>
      <c r="E3845">
        <f>TEST_DATA!E3845</f>
        <v>2382</v>
      </c>
    </row>
    <row r="3846" spans="1:5" x14ac:dyDescent="0.55000000000000004">
      <c r="A3846" t="str">
        <f>TEST_DATA!A3846</f>
        <v>27AAAAA3846Z5</v>
      </c>
      <c r="B3846" t="str">
        <f>TEST_DATA!B3846</f>
        <v>Aug-2018</v>
      </c>
      <c r="C3846">
        <f>TEST_DATA!C3846</f>
        <v>43145</v>
      </c>
      <c r="D3846" t="str">
        <f>TEST_DATA!D3846</f>
        <v>NON-NIL</v>
      </c>
      <c r="E3846">
        <f>TEST_DATA!E3846</f>
        <v>2632</v>
      </c>
    </row>
    <row r="3847" spans="1:5" x14ac:dyDescent="0.55000000000000004">
      <c r="A3847" t="str">
        <f>TEST_DATA!A3847</f>
        <v>27AAAAA3847Z5</v>
      </c>
      <c r="B3847" t="str">
        <f>TEST_DATA!B3847</f>
        <v>Jan-2018</v>
      </c>
      <c r="C3847">
        <f>TEST_DATA!C3847</f>
        <v>44123</v>
      </c>
      <c r="D3847" t="str">
        <f>TEST_DATA!D3847</f>
        <v>NON-NIL</v>
      </c>
      <c r="E3847">
        <f>TEST_DATA!E3847</f>
        <v>2</v>
      </c>
    </row>
    <row r="3848" spans="1:5" x14ac:dyDescent="0.55000000000000004">
      <c r="A3848" t="str">
        <f>TEST_DATA!A3848</f>
        <v>27AAAAA3848Z5</v>
      </c>
      <c r="B3848" t="str">
        <f>TEST_DATA!B3848</f>
        <v>Mar-2018</v>
      </c>
      <c r="C3848">
        <f>TEST_DATA!C3848</f>
        <v>44462</v>
      </c>
      <c r="D3848" t="str">
        <f>TEST_DATA!D3848</f>
        <v>NON-NIL</v>
      </c>
      <c r="E3848">
        <f>TEST_DATA!E3848</f>
        <v>2463</v>
      </c>
    </row>
    <row r="3849" spans="1:5" x14ac:dyDescent="0.55000000000000004">
      <c r="A3849" t="str">
        <f>TEST_DATA!A3849</f>
        <v>27AAAAA3849Z5</v>
      </c>
      <c r="B3849" t="str">
        <f>TEST_DATA!B3849</f>
        <v>Mar-2018</v>
      </c>
      <c r="C3849">
        <f>TEST_DATA!C3849</f>
        <v>43925</v>
      </c>
      <c r="D3849" t="str">
        <f>TEST_DATA!D3849</f>
        <v>NIL</v>
      </c>
      <c r="E3849">
        <f>TEST_DATA!E3849</f>
        <v>1346</v>
      </c>
    </row>
    <row r="3850" spans="1:5" x14ac:dyDescent="0.55000000000000004">
      <c r="A3850" t="str">
        <f>TEST_DATA!A3850</f>
        <v>27AAAAA3850Z5</v>
      </c>
      <c r="B3850" t="str">
        <f>TEST_DATA!B3850</f>
        <v>Jun-2019</v>
      </c>
      <c r="C3850">
        <f>TEST_DATA!C3850</f>
        <v>45445</v>
      </c>
      <c r="D3850" t="str">
        <f>TEST_DATA!D3850</f>
        <v>NON-NIL</v>
      </c>
      <c r="E3850">
        <f>TEST_DATA!E3850</f>
        <v>2643</v>
      </c>
    </row>
    <row r="3851" spans="1:5" x14ac:dyDescent="0.55000000000000004">
      <c r="A3851" t="str">
        <f>TEST_DATA!A3851</f>
        <v>27AAAAA3851Z5</v>
      </c>
      <c r="B3851" t="str">
        <f>TEST_DATA!B3851</f>
        <v>Apr-2018</v>
      </c>
      <c r="C3851">
        <f>TEST_DATA!C3851</f>
        <v>43458</v>
      </c>
      <c r="D3851" t="str">
        <f>TEST_DATA!D3851</f>
        <v>NIL</v>
      </c>
      <c r="E3851">
        <f>TEST_DATA!E3851</f>
        <v>1397</v>
      </c>
    </row>
    <row r="3852" spans="1:5" x14ac:dyDescent="0.55000000000000004">
      <c r="A3852" t="str">
        <f>TEST_DATA!A3852</f>
        <v>27AAAAA3852Z5</v>
      </c>
      <c r="B3852" t="str">
        <f>TEST_DATA!B3852</f>
        <v>Mar-2018</v>
      </c>
      <c r="C3852">
        <f>TEST_DATA!C3852</f>
        <v>44305</v>
      </c>
      <c r="D3852" t="str">
        <f>TEST_DATA!D3852</f>
        <v>NON-NIL</v>
      </c>
      <c r="E3852">
        <f>TEST_DATA!E3852</f>
        <v>2563</v>
      </c>
    </row>
    <row r="3853" spans="1:5" x14ac:dyDescent="0.55000000000000004">
      <c r="A3853" t="str">
        <f>TEST_DATA!A3853</f>
        <v>27AAAAA3853Z5</v>
      </c>
      <c r="B3853" t="str">
        <f>TEST_DATA!B3853</f>
        <v>Sep-2018</v>
      </c>
      <c r="C3853">
        <f>TEST_DATA!C3853</f>
        <v>43145</v>
      </c>
      <c r="D3853" t="str">
        <f>TEST_DATA!D3853</f>
        <v>NIL</v>
      </c>
      <c r="E3853">
        <f>TEST_DATA!E3853</f>
        <v>1997</v>
      </c>
    </row>
    <row r="3854" spans="1:5" x14ac:dyDescent="0.55000000000000004">
      <c r="A3854" t="str">
        <f>TEST_DATA!A3854</f>
        <v>27AAAAA3854Z5</v>
      </c>
      <c r="B3854" t="str">
        <f>TEST_DATA!B3854</f>
        <v>Jul-2017</v>
      </c>
      <c r="C3854">
        <f>TEST_DATA!C3854</f>
        <v>43570</v>
      </c>
      <c r="D3854" t="str">
        <f>TEST_DATA!D3854</f>
        <v>NON-NIL</v>
      </c>
      <c r="E3854">
        <f>TEST_DATA!E3854</f>
        <v>2030</v>
      </c>
    </row>
    <row r="3855" spans="1:5" x14ac:dyDescent="0.55000000000000004">
      <c r="A3855" t="str">
        <f>TEST_DATA!A3855</f>
        <v>27AAAAA3855Z5</v>
      </c>
      <c r="B3855" t="str">
        <f>TEST_DATA!B3855</f>
        <v>Dec-2017</v>
      </c>
      <c r="C3855">
        <f>TEST_DATA!C3855</f>
        <v>43283</v>
      </c>
      <c r="D3855" t="str">
        <f>TEST_DATA!D3855</f>
        <v>NIL</v>
      </c>
      <c r="E3855">
        <f>TEST_DATA!E3855</f>
        <v>1769</v>
      </c>
    </row>
    <row r="3856" spans="1:5" x14ac:dyDescent="0.55000000000000004">
      <c r="A3856" t="str">
        <f>TEST_DATA!A3856</f>
        <v>27AAAAA3856Z5</v>
      </c>
      <c r="B3856" t="str">
        <f>TEST_DATA!B3856</f>
        <v>Jun-2020</v>
      </c>
      <c r="C3856">
        <f>TEST_DATA!C3856</f>
        <v>44454</v>
      </c>
      <c r="D3856" t="str">
        <f>TEST_DATA!D3856</f>
        <v>NIL</v>
      </c>
      <c r="E3856">
        <f>TEST_DATA!E3856</f>
        <v>1815</v>
      </c>
    </row>
    <row r="3857" spans="1:5" x14ac:dyDescent="0.55000000000000004">
      <c r="A3857" t="str">
        <f>TEST_DATA!A3857</f>
        <v>27AAAAA3857Z5</v>
      </c>
      <c r="B3857" t="str">
        <f>TEST_DATA!B3857</f>
        <v>May-2018</v>
      </c>
      <c r="C3857">
        <f>TEST_DATA!C3857</f>
        <v>44223</v>
      </c>
      <c r="D3857" t="str">
        <f>TEST_DATA!D3857</f>
        <v>NIL</v>
      </c>
      <c r="E3857">
        <f>TEST_DATA!E3857</f>
        <v>792</v>
      </c>
    </row>
    <row r="3858" spans="1:5" x14ac:dyDescent="0.55000000000000004">
      <c r="A3858" t="str">
        <f>TEST_DATA!A3858</f>
        <v>27AAAAA3858Z5</v>
      </c>
      <c r="B3858" t="str">
        <f>TEST_DATA!B3858</f>
        <v>Mar-2021</v>
      </c>
      <c r="C3858">
        <f>TEST_DATA!C3858</f>
        <v>43911</v>
      </c>
      <c r="D3858" t="str">
        <f>TEST_DATA!D3858</f>
        <v>NIL</v>
      </c>
      <c r="E3858">
        <f>TEST_DATA!E3858</f>
        <v>873</v>
      </c>
    </row>
    <row r="3859" spans="1:5" x14ac:dyDescent="0.55000000000000004">
      <c r="A3859" t="str">
        <f>TEST_DATA!A3859</f>
        <v>27AAAAA3859Z5</v>
      </c>
      <c r="B3859" t="str">
        <f>TEST_DATA!B3859</f>
        <v>Apr-2018</v>
      </c>
      <c r="C3859">
        <f>TEST_DATA!C3859</f>
        <v>43944</v>
      </c>
      <c r="D3859" t="str">
        <f>TEST_DATA!D3859</f>
        <v>NON-NIL</v>
      </c>
      <c r="E3859">
        <f>TEST_DATA!E3859</f>
        <v>1310</v>
      </c>
    </row>
    <row r="3860" spans="1:5" x14ac:dyDescent="0.55000000000000004">
      <c r="A3860" t="str">
        <f>TEST_DATA!A3860</f>
        <v>27AAAAA3860Z5</v>
      </c>
      <c r="B3860" t="str">
        <f>TEST_DATA!B3860</f>
        <v>Mar-2021</v>
      </c>
      <c r="C3860">
        <f>TEST_DATA!C3860</f>
        <v>45638</v>
      </c>
      <c r="D3860" t="str">
        <f>TEST_DATA!D3860</f>
        <v>NON-NIL</v>
      </c>
      <c r="E3860">
        <f>TEST_DATA!E3860</f>
        <v>421</v>
      </c>
    </row>
    <row r="3861" spans="1:5" x14ac:dyDescent="0.55000000000000004">
      <c r="A3861" t="str">
        <f>TEST_DATA!A3861</f>
        <v>27AAAAA3861Z5</v>
      </c>
      <c r="B3861" t="str">
        <f>TEST_DATA!B3861</f>
        <v>Jun-2020</v>
      </c>
      <c r="C3861">
        <f>TEST_DATA!C3861</f>
        <v>44445</v>
      </c>
      <c r="D3861" t="str">
        <f>TEST_DATA!D3861</f>
        <v>NIL</v>
      </c>
      <c r="E3861">
        <f>TEST_DATA!E3861</f>
        <v>2338</v>
      </c>
    </row>
    <row r="3862" spans="1:5" x14ac:dyDescent="0.55000000000000004">
      <c r="A3862" t="str">
        <f>TEST_DATA!A3862</f>
        <v>27AAAAA3862Z5</v>
      </c>
      <c r="B3862" t="str">
        <f>TEST_DATA!B3862</f>
        <v>Jun-2020</v>
      </c>
      <c r="C3862">
        <f>TEST_DATA!C3862</f>
        <v>44147</v>
      </c>
      <c r="D3862" t="str">
        <f>TEST_DATA!D3862</f>
        <v>NON-NIL</v>
      </c>
      <c r="E3862">
        <f>TEST_DATA!E3862</f>
        <v>640</v>
      </c>
    </row>
    <row r="3863" spans="1:5" x14ac:dyDescent="0.55000000000000004">
      <c r="A3863" t="str">
        <f>TEST_DATA!A3863</f>
        <v>27AAAAA3863Z5</v>
      </c>
      <c r="B3863" t="str">
        <f>TEST_DATA!B3863</f>
        <v>Jan-2018</v>
      </c>
      <c r="C3863">
        <f>TEST_DATA!C3863</f>
        <v>44486</v>
      </c>
      <c r="D3863" t="str">
        <f>TEST_DATA!D3863</f>
        <v>NON-NIL</v>
      </c>
      <c r="E3863">
        <f>TEST_DATA!E3863</f>
        <v>703</v>
      </c>
    </row>
    <row r="3864" spans="1:5" x14ac:dyDescent="0.55000000000000004">
      <c r="A3864" t="str">
        <f>TEST_DATA!A3864</f>
        <v>27AAAAA3864Z5</v>
      </c>
      <c r="B3864" t="str">
        <f>TEST_DATA!B3864</f>
        <v>Mar-2023</v>
      </c>
      <c r="C3864">
        <f>TEST_DATA!C3864</f>
        <v>44112</v>
      </c>
      <c r="D3864" t="str">
        <f>TEST_DATA!D3864</f>
        <v>NIL</v>
      </c>
      <c r="E3864">
        <f>TEST_DATA!E3864</f>
        <v>1333</v>
      </c>
    </row>
    <row r="3865" spans="1:5" x14ac:dyDescent="0.55000000000000004">
      <c r="A3865" t="str">
        <f>TEST_DATA!A3865</f>
        <v>27AAAAA3865Z5</v>
      </c>
      <c r="B3865" t="str">
        <f>TEST_DATA!B3865</f>
        <v>Jun-2019</v>
      </c>
      <c r="C3865">
        <f>TEST_DATA!C3865</f>
        <v>45406</v>
      </c>
      <c r="D3865" t="str">
        <f>TEST_DATA!D3865</f>
        <v>NON-NIL</v>
      </c>
      <c r="E3865">
        <f>TEST_DATA!E3865</f>
        <v>2975</v>
      </c>
    </row>
    <row r="3866" spans="1:5" x14ac:dyDescent="0.55000000000000004">
      <c r="A3866" t="str">
        <f>TEST_DATA!A3866</f>
        <v>27AAAAA3866Z5</v>
      </c>
      <c r="B3866" t="str">
        <f>TEST_DATA!B3866</f>
        <v>Mar-2018</v>
      </c>
      <c r="C3866">
        <f>TEST_DATA!C3866</f>
        <v>43385</v>
      </c>
      <c r="D3866" t="str">
        <f>TEST_DATA!D3866</f>
        <v>NON-NIL</v>
      </c>
      <c r="E3866">
        <f>TEST_DATA!E3866</f>
        <v>1933</v>
      </c>
    </row>
    <row r="3867" spans="1:5" x14ac:dyDescent="0.55000000000000004">
      <c r="A3867" t="str">
        <f>TEST_DATA!A3867</f>
        <v>27AAAAA3867Z5</v>
      </c>
      <c r="B3867" t="str">
        <f>TEST_DATA!B3867</f>
        <v>Mar-2023</v>
      </c>
      <c r="C3867">
        <f>TEST_DATA!C3867</f>
        <v>44709</v>
      </c>
      <c r="D3867" t="str">
        <f>TEST_DATA!D3867</f>
        <v>NON-NIL</v>
      </c>
      <c r="E3867">
        <f>TEST_DATA!E3867</f>
        <v>593</v>
      </c>
    </row>
    <row r="3868" spans="1:5" x14ac:dyDescent="0.55000000000000004">
      <c r="A3868" t="str">
        <f>TEST_DATA!A3868</f>
        <v>27AAAAA3868Z5</v>
      </c>
      <c r="B3868" t="str">
        <f>TEST_DATA!B3868</f>
        <v>Apr-2018</v>
      </c>
      <c r="C3868">
        <f>TEST_DATA!C3868</f>
        <v>43600</v>
      </c>
      <c r="D3868" t="str">
        <f>TEST_DATA!D3868</f>
        <v>NON-NIL</v>
      </c>
      <c r="E3868">
        <f>TEST_DATA!E3868</f>
        <v>1291</v>
      </c>
    </row>
    <row r="3869" spans="1:5" x14ac:dyDescent="0.55000000000000004">
      <c r="A3869" t="str">
        <f>TEST_DATA!A3869</f>
        <v>27AAAAA3869Z5</v>
      </c>
      <c r="B3869" t="str">
        <f>TEST_DATA!B3869</f>
        <v>Sep-2018</v>
      </c>
      <c r="C3869">
        <f>TEST_DATA!C3869</f>
        <v>43547</v>
      </c>
      <c r="D3869" t="str">
        <f>TEST_DATA!D3869</f>
        <v>NON-NIL</v>
      </c>
      <c r="E3869">
        <f>TEST_DATA!E3869</f>
        <v>2307</v>
      </c>
    </row>
    <row r="3870" spans="1:5" x14ac:dyDescent="0.55000000000000004">
      <c r="A3870" t="str">
        <f>TEST_DATA!A3870</f>
        <v>27AAAAA3870Z5</v>
      </c>
      <c r="B3870" t="str">
        <f>TEST_DATA!B3870</f>
        <v>Jul-2018</v>
      </c>
      <c r="C3870">
        <f>TEST_DATA!C3870</f>
        <v>44478</v>
      </c>
      <c r="D3870" t="str">
        <f>TEST_DATA!D3870</f>
        <v>NON-NIL</v>
      </c>
      <c r="E3870">
        <f>TEST_DATA!E3870</f>
        <v>23</v>
      </c>
    </row>
    <row r="3871" spans="1:5" x14ac:dyDescent="0.55000000000000004">
      <c r="A3871" t="str">
        <f>TEST_DATA!A3871</f>
        <v>27AAAAA3871Z5</v>
      </c>
      <c r="B3871" t="str">
        <f>TEST_DATA!B3871</f>
        <v>Mar-2021</v>
      </c>
      <c r="C3871">
        <f>TEST_DATA!C3871</f>
        <v>45121</v>
      </c>
      <c r="D3871" t="str">
        <f>TEST_DATA!D3871</f>
        <v>NIL</v>
      </c>
      <c r="E3871">
        <f>TEST_DATA!E3871</f>
        <v>1674</v>
      </c>
    </row>
    <row r="3872" spans="1:5" x14ac:dyDescent="0.55000000000000004">
      <c r="A3872" t="str">
        <f>TEST_DATA!A3872</f>
        <v>27AAAAA3872Z5</v>
      </c>
      <c r="B3872" t="str">
        <f>TEST_DATA!B3872</f>
        <v>Jun-2018</v>
      </c>
      <c r="C3872">
        <f>TEST_DATA!C3872</f>
        <v>44239</v>
      </c>
      <c r="D3872" t="str">
        <f>TEST_DATA!D3872</f>
        <v>NIL</v>
      </c>
      <c r="E3872">
        <f>TEST_DATA!E3872</f>
        <v>1871</v>
      </c>
    </row>
    <row r="3873" spans="1:5" x14ac:dyDescent="0.55000000000000004">
      <c r="A3873" t="str">
        <f>TEST_DATA!A3873</f>
        <v>27AAAAA3873Z5</v>
      </c>
      <c r="B3873" t="str">
        <f>TEST_DATA!B3873</f>
        <v>Mar-2021</v>
      </c>
      <c r="C3873">
        <f>TEST_DATA!C3873</f>
        <v>44589</v>
      </c>
      <c r="D3873" t="str">
        <f>TEST_DATA!D3873</f>
        <v>NIL</v>
      </c>
      <c r="E3873">
        <f>TEST_DATA!E3873</f>
        <v>2884</v>
      </c>
    </row>
    <row r="3874" spans="1:5" x14ac:dyDescent="0.55000000000000004">
      <c r="A3874" t="str">
        <f>TEST_DATA!A3874</f>
        <v>27AAAAA3874Z5</v>
      </c>
      <c r="B3874" t="str">
        <f>TEST_DATA!B3874</f>
        <v>Jan-2018</v>
      </c>
      <c r="C3874">
        <f>TEST_DATA!C3874</f>
        <v>43344</v>
      </c>
      <c r="D3874" t="str">
        <f>TEST_DATA!D3874</f>
        <v>NON-NIL</v>
      </c>
      <c r="E3874">
        <f>TEST_DATA!E3874</f>
        <v>1207</v>
      </c>
    </row>
    <row r="3875" spans="1:5" x14ac:dyDescent="0.55000000000000004">
      <c r="A3875" t="str">
        <f>TEST_DATA!A3875</f>
        <v>27AAAAA3875Z5</v>
      </c>
      <c r="B3875" t="str">
        <f>TEST_DATA!B3875</f>
        <v>Dec-2022</v>
      </c>
      <c r="C3875">
        <f>TEST_DATA!C3875</f>
        <v>44995</v>
      </c>
      <c r="D3875" t="str">
        <f>TEST_DATA!D3875</f>
        <v>NIL</v>
      </c>
      <c r="E3875">
        <f>TEST_DATA!E3875</f>
        <v>1318</v>
      </c>
    </row>
    <row r="3876" spans="1:5" x14ac:dyDescent="0.55000000000000004">
      <c r="A3876" t="str">
        <f>TEST_DATA!A3876</f>
        <v>27AAAAA3876Z5</v>
      </c>
      <c r="B3876" t="str">
        <f>TEST_DATA!B3876</f>
        <v>Aug-2018</v>
      </c>
      <c r="C3876">
        <f>TEST_DATA!C3876</f>
        <v>44536</v>
      </c>
      <c r="D3876" t="str">
        <f>TEST_DATA!D3876</f>
        <v>NON-NIL</v>
      </c>
      <c r="E3876">
        <f>TEST_DATA!E3876</f>
        <v>1334</v>
      </c>
    </row>
    <row r="3877" spans="1:5" x14ac:dyDescent="0.55000000000000004">
      <c r="A3877" t="str">
        <f>TEST_DATA!A3877</f>
        <v>27AAAAA3877Z5</v>
      </c>
      <c r="B3877" t="str">
        <f>TEST_DATA!B3877</f>
        <v>Dec-2019</v>
      </c>
      <c r="C3877">
        <f>TEST_DATA!C3877</f>
        <v>45759</v>
      </c>
      <c r="D3877" t="str">
        <f>TEST_DATA!D3877</f>
        <v>NIL</v>
      </c>
      <c r="E3877">
        <f>TEST_DATA!E3877</f>
        <v>880</v>
      </c>
    </row>
    <row r="3878" spans="1:5" x14ac:dyDescent="0.55000000000000004">
      <c r="A3878" t="str">
        <f>TEST_DATA!A3878</f>
        <v>27AAAAA3878Z5</v>
      </c>
      <c r="B3878" t="str">
        <f>TEST_DATA!B3878</f>
        <v>Apr-2020</v>
      </c>
      <c r="C3878">
        <f>TEST_DATA!C3878</f>
        <v>44861</v>
      </c>
      <c r="D3878" t="str">
        <f>TEST_DATA!D3878</f>
        <v>NON-NIL</v>
      </c>
      <c r="E3878">
        <f>TEST_DATA!E3878</f>
        <v>1122</v>
      </c>
    </row>
    <row r="3879" spans="1:5" x14ac:dyDescent="0.55000000000000004">
      <c r="A3879" t="str">
        <f>TEST_DATA!A3879</f>
        <v>27AAAAA3879Z5</v>
      </c>
      <c r="B3879" t="str">
        <f>TEST_DATA!B3879</f>
        <v>Oct-2017</v>
      </c>
      <c r="C3879">
        <f>TEST_DATA!C3879</f>
        <v>43069</v>
      </c>
      <c r="D3879" t="str">
        <f>TEST_DATA!D3879</f>
        <v>NIL</v>
      </c>
      <c r="E3879">
        <f>TEST_DATA!E3879</f>
        <v>657</v>
      </c>
    </row>
    <row r="3880" spans="1:5" x14ac:dyDescent="0.55000000000000004">
      <c r="A3880" t="str">
        <f>TEST_DATA!A3880</f>
        <v>27AAAAA3880Z5</v>
      </c>
      <c r="B3880" t="str">
        <f>TEST_DATA!B3880</f>
        <v>May-2018</v>
      </c>
      <c r="C3880">
        <f>TEST_DATA!C3880</f>
        <v>44397</v>
      </c>
      <c r="D3880" t="str">
        <f>TEST_DATA!D3880</f>
        <v>NON-NIL</v>
      </c>
      <c r="E3880">
        <f>TEST_DATA!E3880</f>
        <v>2954</v>
      </c>
    </row>
    <row r="3881" spans="1:5" x14ac:dyDescent="0.55000000000000004">
      <c r="A3881" t="str">
        <f>TEST_DATA!A3881</f>
        <v>27AAAAA3881Z5</v>
      </c>
      <c r="B3881" t="str">
        <f>TEST_DATA!B3881</f>
        <v>Mar-2020</v>
      </c>
      <c r="C3881">
        <f>TEST_DATA!C3881</f>
        <v>44793</v>
      </c>
      <c r="D3881" t="str">
        <f>TEST_DATA!D3881</f>
        <v>NIL</v>
      </c>
      <c r="E3881">
        <f>TEST_DATA!E3881</f>
        <v>2700</v>
      </c>
    </row>
    <row r="3882" spans="1:5" x14ac:dyDescent="0.55000000000000004">
      <c r="A3882" t="str">
        <f>TEST_DATA!A3882</f>
        <v>27AAAAA3882Z5</v>
      </c>
      <c r="B3882" t="str">
        <f>TEST_DATA!B3882</f>
        <v>Jul-2018</v>
      </c>
      <c r="C3882">
        <f>TEST_DATA!C3882</f>
        <v>44325</v>
      </c>
      <c r="D3882" t="str">
        <f>TEST_DATA!D3882</f>
        <v>NON-NIL</v>
      </c>
      <c r="E3882">
        <f>TEST_DATA!E3882</f>
        <v>1023</v>
      </c>
    </row>
    <row r="3883" spans="1:5" x14ac:dyDescent="0.55000000000000004">
      <c r="A3883" t="str">
        <f>TEST_DATA!A3883</f>
        <v>27AAAAA3883Z5</v>
      </c>
      <c r="B3883" t="str">
        <f>TEST_DATA!B3883</f>
        <v>Mar-2018</v>
      </c>
      <c r="C3883">
        <f>TEST_DATA!C3883</f>
        <v>44159</v>
      </c>
      <c r="D3883" t="str">
        <f>TEST_DATA!D3883</f>
        <v>NON-NIL</v>
      </c>
      <c r="E3883">
        <f>TEST_DATA!E3883</f>
        <v>242</v>
      </c>
    </row>
    <row r="3884" spans="1:5" x14ac:dyDescent="0.55000000000000004">
      <c r="A3884" t="str">
        <f>TEST_DATA!A3884</f>
        <v>27AAAAA3884Z5</v>
      </c>
      <c r="B3884" t="str">
        <f>TEST_DATA!B3884</f>
        <v>Oct-2017</v>
      </c>
      <c r="C3884">
        <f>TEST_DATA!C3884</f>
        <v>43031</v>
      </c>
      <c r="D3884" t="str">
        <f>TEST_DATA!D3884</f>
        <v>NON-NIL</v>
      </c>
      <c r="E3884">
        <f>TEST_DATA!E3884</f>
        <v>1130</v>
      </c>
    </row>
    <row r="3885" spans="1:5" x14ac:dyDescent="0.55000000000000004">
      <c r="A3885" t="str">
        <f>TEST_DATA!A3885</f>
        <v>27AAAAA3885Z5</v>
      </c>
      <c r="B3885" t="str">
        <f>TEST_DATA!B3885</f>
        <v>Dec-2019</v>
      </c>
      <c r="C3885">
        <f>TEST_DATA!C3885</f>
        <v>44979</v>
      </c>
      <c r="D3885" t="str">
        <f>TEST_DATA!D3885</f>
        <v>NON-NIL</v>
      </c>
      <c r="E3885">
        <f>TEST_DATA!E3885</f>
        <v>1164</v>
      </c>
    </row>
    <row r="3886" spans="1:5" x14ac:dyDescent="0.55000000000000004">
      <c r="A3886" t="str">
        <f>TEST_DATA!A3886</f>
        <v>27AAAAA3886Z5</v>
      </c>
      <c r="B3886" t="str">
        <f>TEST_DATA!B3886</f>
        <v>Oct-2017</v>
      </c>
      <c r="C3886">
        <f>TEST_DATA!C3886</f>
        <v>43883</v>
      </c>
      <c r="D3886" t="str">
        <f>TEST_DATA!D3886</f>
        <v>NIL</v>
      </c>
      <c r="E3886">
        <f>TEST_DATA!E3886</f>
        <v>303</v>
      </c>
    </row>
    <row r="3887" spans="1:5" x14ac:dyDescent="0.55000000000000004">
      <c r="A3887" t="str">
        <f>TEST_DATA!A3887</f>
        <v>27AAAAA3887Z5</v>
      </c>
      <c r="B3887" t="str">
        <f>TEST_DATA!B3887</f>
        <v>May-2018</v>
      </c>
      <c r="C3887">
        <f>TEST_DATA!C3887</f>
        <v>44504</v>
      </c>
      <c r="D3887" t="str">
        <f>TEST_DATA!D3887</f>
        <v>NON-NIL</v>
      </c>
      <c r="E3887">
        <f>TEST_DATA!E3887</f>
        <v>621</v>
      </c>
    </row>
    <row r="3888" spans="1:5" x14ac:dyDescent="0.55000000000000004">
      <c r="A3888" t="str">
        <f>TEST_DATA!A3888</f>
        <v>27AAAAA3888Z5</v>
      </c>
      <c r="B3888" t="str">
        <f>TEST_DATA!B3888</f>
        <v>Mar-2023</v>
      </c>
      <c r="C3888">
        <f>TEST_DATA!C3888</f>
        <v>44082</v>
      </c>
      <c r="D3888" t="str">
        <f>TEST_DATA!D3888</f>
        <v>NON-NIL</v>
      </c>
      <c r="E3888">
        <f>TEST_DATA!E3888</f>
        <v>2351</v>
      </c>
    </row>
    <row r="3889" spans="1:5" x14ac:dyDescent="0.55000000000000004">
      <c r="A3889" t="str">
        <f>TEST_DATA!A3889</f>
        <v>27AAAAA3889Z5</v>
      </c>
      <c r="B3889" t="str">
        <f>TEST_DATA!B3889</f>
        <v>Jan-2018</v>
      </c>
      <c r="C3889">
        <f>TEST_DATA!C3889</f>
        <v>44067</v>
      </c>
      <c r="D3889" t="str">
        <f>TEST_DATA!D3889</f>
        <v>NIL</v>
      </c>
      <c r="E3889">
        <f>TEST_DATA!E3889</f>
        <v>1795</v>
      </c>
    </row>
    <row r="3890" spans="1:5" x14ac:dyDescent="0.55000000000000004">
      <c r="A3890" t="str">
        <f>TEST_DATA!A3890</f>
        <v>27AAAAA3890Z5</v>
      </c>
      <c r="B3890" t="str">
        <f>TEST_DATA!B3890</f>
        <v>Feb-2018</v>
      </c>
      <c r="C3890">
        <f>TEST_DATA!C3890</f>
        <v>43588</v>
      </c>
      <c r="D3890" t="str">
        <f>TEST_DATA!D3890</f>
        <v>NON-NIL</v>
      </c>
      <c r="E3890">
        <f>TEST_DATA!E3890</f>
        <v>2280</v>
      </c>
    </row>
    <row r="3891" spans="1:5" x14ac:dyDescent="0.55000000000000004">
      <c r="A3891" t="str">
        <f>TEST_DATA!A3891</f>
        <v>27AAAAA3891Z5</v>
      </c>
      <c r="B3891" t="str">
        <f>TEST_DATA!B3891</f>
        <v>Jun-2019</v>
      </c>
      <c r="C3891">
        <f>TEST_DATA!C3891</f>
        <v>44659</v>
      </c>
      <c r="D3891" t="str">
        <f>TEST_DATA!D3891</f>
        <v>NIL</v>
      </c>
      <c r="E3891">
        <f>TEST_DATA!E3891</f>
        <v>575</v>
      </c>
    </row>
    <row r="3892" spans="1:5" x14ac:dyDescent="0.55000000000000004">
      <c r="A3892" t="str">
        <f>TEST_DATA!A3892</f>
        <v>27AAAAA3892Z5</v>
      </c>
      <c r="B3892" t="str">
        <f>TEST_DATA!B3892</f>
        <v>Mar-2021</v>
      </c>
      <c r="C3892">
        <f>TEST_DATA!C3892</f>
        <v>43744</v>
      </c>
      <c r="D3892" t="str">
        <f>TEST_DATA!D3892</f>
        <v>NON-NIL</v>
      </c>
      <c r="E3892">
        <f>TEST_DATA!E3892</f>
        <v>1479</v>
      </c>
    </row>
    <row r="3893" spans="1:5" x14ac:dyDescent="0.55000000000000004">
      <c r="A3893" t="str">
        <f>TEST_DATA!A3893</f>
        <v>27AAAAA3893Z5</v>
      </c>
      <c r="B3893" t="str">
        <f>TEST_DATA!B3893</f>
        <v>Dec-2024</v>
      </c>
      <c r="C3893">
        <f>TEST_DATA!C3893</f>
        <v>45292</v>
      </c>
      <c r="D3893" t="str">
        <f>TEST_DATA!D3893</f>
        <v>NIL</v>
      </c>
      <c r="E3893">
        <f>TEST_DATA!E3893</f>
        <v>754</v>
      </c>
    </row>
    <row r="3894" spans="1:5" x14ac:dyDescent="0.55000000000000004">
      <c r="A3894" t="str">
        <f>TEST_DATA!A3894</f>
        <v>27AAAAA3894Z5</v>
      </c>
      <c r="B3894" t="str">
        <f>TEST_DATA!B3894</f>
        <v>May-2018</v>
      </c>
      <c r="C3894">
        <f>TEST_DATA!C3894</f>
        <v>43876</v>
      </c>
      <c r="D3894" t="str">
        <f>TEST_DATA!D3894</f>
        <v>NIL</v>
      </c>
      <c r="E3894">
        <f>TEST_DATA!E3894</f>
        <v>1887</v>
      </c>
    </row>
    <row r="3895" spans="1:5" x14ac:dyDescent="0.55000000000000004">
      <c r="A3895" t="str">
        <f>TEST_DATA!A3895</f>
        <v>27AAAAA3895Z5</v>
      </c>
      <c r="B3895" t="str">
        <f>TEST_DATA!B3895</f>
        <v>Jun-2018</v>
      </c>
      <c r="C3895">
        <f>TEST_DATA!C3895</f>
        <v>43599</v>
      </c>
      <c r="D3895" t="str">
        <f>TEST_DATA!D3895</f>
        <v>NIL</v>
      </c>
      <c r="E3895">
        <f>TEST_DATA!E3895</f>
        <v>2775</v>
      </c>
    </row>
    <row r="3896" spans="1:5" x14ac:dyDescent="0.55000000000000004">
      <c r="A3896" t="str">
        <f>TEST_DATA!A3896</f>
        <v>27AAAAA3896Z5</v>
      </c>
      <c r="B3896" t="str">
        <f>TEST_DATA!B3896</f>
        <v>Jul-2020</v>
      </c>
      <c r="C3896">
        <f>TEST_DATA!C3896</f>
        <v>44361</v>
      </c>
      <c r="D3896" t="str">
        <f>TEST_DATA!D3896</f>
        <v>NON-NIL</v>
      </c>
      <c r="E3896">
        <f>TEST_DATA!E3896</f>
        <v>2472</v>
      </c>
    </row>
    <row r="3897" spans="1:5" x14ac:dyDescent="0.55000000000000004">
      <c r="A3897" t="str">
        <f>TEST_DATA!A3897</f>
        <v>27AAAAA3897Z5</v>
      </c>
      <c r="B3897" t="str">
        <f>TEST_DATA!B3897</f>
        <v>Jan-2021</v>
      </c>
      <c r="C3897">
        <f>TEST_DATA!C3897</f>
        <v>43560</v>
      </c>
      <c r="D3897" t="str">
        <f>TEST_DATA!D3897</f>
        <v>NIL</v>
      </c>
      <c r="E3897">
        <f>TEST_DATA!E3897</f>
        <v>488</v>
      </c>
    </row>
    <row r="3898" spans="1:5" x14ac:dyDescent="0.55000000000000004">
      <c r="A3898" t="str">
        <f>TEST_DATA!A3898</f>
        <v>27AAAAA3898Z5</v>
      </c>
      <c r="B3898" t="str">
        <f>TEST_DATA!B3898</f>
        <v>May-2020</v>
      </c>
      <c r="C3898">
        <f>TEST_DATA!C3898</f>
        <v>44672</v>
      </c>
      <c r="D3898" t="str">
        <f>TEST_DATA!D3898</f>
        <v>NON-NIL</v>
      </c>
      <c r="E3898">
        <f>TEST_DATA!E3898</f>
        <v>1623</v>
      </c>
    </row>
    <row r="3899" spans="1:5" x14ac:dyDescent="0.55000000000000004">
      <c r="A3899" t="str">
        <f>TEST_DATA!A3899</f>
        <v>27AAAAA3899Z5</v>
      </c>
      <c r="B3899" t="str">
        <f>TEST_DATA!B3899</f>
        <v>Apr-2021</v>
      </c>
      <c r="C3899">
        <f>TEST_DATA!C3899</f>
        <v>45458</v>
      </c>
      <c r="D3899" t="str">
        <f>TEST_DATA!D3899</f>
        <v>NIL</v>
      </c>
      <c r="E3899">
        <f>TEST_DATA!E3899</f>
        <v>2164</v>
      </c>
    </row>
    <row r="3900" spans="1:5" x14ac:dyDescent="0.55000000000000004">
      <c r="A3900" t="str">
        <f>TEST_DATA!A3900</f>
        <v>27AAAAA3900Z5</v>
      </c>
      <c r="B3900" t="str">
        <f>TEST_DATA!B3900</f>
        <v>Aug-2017</v>
      </c>
      <c r="C3900">
        <f>TEST_DATA!C3900</f>
        <v>43966</v>
      </c>
      <c r="D3900" t="str">
        <f>TEST_DATA!D3900</f>
        <v>NON-NIL</v>
      </c>
      <c r="E3900">
        <f>TEST_DATA!E3900</f>
        <v>66</v>
      </c>
    </row>
    <row r="3901" spans="1:5" x14ac:dyDescent="0.55000000000000004">
      <c r="A3901" t="str">
        <f>TEST_DATA!A3901</f>
        <v>27AAAAA3901Z5</v>
      </c>
      <c r="B3901" t="str">
        <f>TEST_DATA!B3901</f>
        <v>Mar-2020</v>
      </c>
      <c r="C3901">
        <f>TEST_DATA!C3901</f>
        <v>44726</v>
      </c>
      <c r="D3901" t="str">
        <f>TEST_DATA!D3901</f>
        <v>NIL</v>
      </c>
      <c r="E3901">
        <f>TEST_DATA!E3901</f>
        <v>2065</v>
      </c>
    </row>
    <row r="3902" spans="1:5" x14ac:dyDescent="0.55000000000000004">
      <c r="A3902" t="str">
        <f>TEST_DATA!A3902</f>
        <v>27AAAAA3902Z5</v>
      </c>
      <c r="B3902" t="str">
        <f>TEST_DATA!B3902</f>
        <v>Mar-2023</v>
      </c>
      <c r="C3902">
        <f>TEST_DATA!C3902</f>
        <v>44805</v>
      </c>
      <c r="D3902" t="str">
        <f>TEST_DATA!D3902</f>
        <v>NON-NIL</v>
      </c>
      <c r="E3902">
        <f>TEST_DATA!E3902</f>
        <v>1157</v>
      </c>
    </row>
    <row r="3903" spans="1:5" x14ac:dyDescent="0.55000000000000004">
      <c r="A3903" t="str">
        <f>TEST_DATA!A3903</f>
        <v>27AAAAA3903Z5</v>
      </c>
      <c r="B3903" t="str">
        <f>TEST_DATA!B3903</f>
        <v>Mar-2020</v>
      </c>
      <c r="C3903">
        <f>TEST_DATA!C3903</f>
        <v>44514</v>
      </c>
      <c r="D3903" t="str">
        <f>TEST_DATA!D3903</f>
        <v>NIL</v>
      </c>
      <c r="E3903">
        <f>TEST_DATA!E3903</f>
        <v>309</v>
      </c>
    </row>
    <row r="3904" spans="1:5" x14ac:dyDescent="0.55000000000000004">
      <c r="A3904" t="str">
        <f>TEST_DATA!A3904</f>
        <v>27AAAAA3904Z5</v>
      </c>
      <c r="B3904" t="str">
        <f>TEST_DATA!B3904</f>
        <v>Mar-2020</v>
      </c>
      <c r="C3904">
        <f>TEST_DATA!C3904</f>
        <v>44019</v>
      </c>
      <c r="D3904" t="str">
        <f>TEST_DATA!D3904</f>
        <v>NIL</v>
      </c>
      <c r="E3904">
        <f>TEST_DATA!E3904</f>
        <v>2178</v>
      </c>
    </row>
    <row r="3905" spans="1:5" x14ac:dyDescent="0.55000000000000004">
      <c r="A3905" t="str">
        <f>TEST_DATA!A3905</f>
        <v>27AAAAA3905Z5</v>
      </c>
      <c r="B3905" t="str">
        <f>TEST_DATA!B3905</f>
        <v>Dec-2017</v>
      </c>
      <c r="C3905">
        <f>TEST_DATA!C3905</f>
        <v>44552</v>
      </c>
      <c r="D3905" t="str">
        <f>TEST_DATA!D3905</f>
        <v>NIL</v>
      </c>
      <c r="E3905">
        <f>TEST_DATA!E3905</f>
        <v>2350</v>
      </c>
    </row>
    <row r="3906" spans="1:5" x14ac:dyDescent="0.55000000000000004">
      <c r="A3906" t="str">
        <f>TEST_DATA!A3906</f>
        <v>27AAAAA3906Z5</v>
      </c>
      <c r="B3906" t="str">
        <f>TEST_DATA!B3906</f>
        <v>Sep-2018</v>
      </c>
      <c r="C3906">
        <f>TEST_DATA!C3906</f>
        <v>44166</v>
      </c>
      <c r="D3906" t="str">
        <f>TEST_DATA!D3906</f>
        <v>NIL</v>
      </c>
      <c r="E3906">
        <f>TEST_DATA!E3906</f>
        <v>299</v>
      </c>
    </row>
    <row r="3907" spans="1:5" x14ac:dyDescent="0.55000000000000004">
      <c r="A3907" t="str">
        <f>TEST_DATA!A3907</f>
        <v>27AAAAA3907Z5</v>
      </c>
      <c r="B3907" t="str">
        <f>TEST_DATA!B3907</f>
        <v>Mar-2021</v>
      </c>
      <c r="C3907">
        <f>TEST_DATA!C3907</f>
        <v>45231</v>
      </c>
      <c r="D3907" t="str">
        <f>TEST_DATA!D3907</f>
        <v>NON-NIL</v>
      </c>
      <c r="E3907">
        <f>TEST_DATA!E3907</f>
        <v>1907</v>
      </c>
    </row>
    <row r="3908" spans="1:5" x14ac:dyDescent="0.55000000000000004">
      <c r="A3908" t="str">
        <f>TEST_DATA!A3908</f>
        <v>27AAAAA3908Z5</v>
      </c>
      <c r="B3908" t="str">
        <f>TEST_DATA!B3908</f>
        <v>Sep-2018</v>
      </c>
      <c r="C3908">
        <f>TEST_DATA!C3908</f>
        <v>44430</v>
      </c>
      <c r="D3908" t="str">
        <f>TEST_DATA!D3908</f>
        <v>NIL</v>
      </c>
      <c r="E3908">
        <f>TEST_DATA!E3908</f>
        <v>2664</v>
      </c>
    </row>
    <row r="3909" spans="1:5" x14ac:dyDescent="0.55000000000000004">
      <c r="A3909" t="str">
        <f>TEST_DATA!A3909</f>
        <v>27AAAAA3909Z5</v>
      </c>
      <c r="B3909" t="str">
        <f>TEST_DATA!B3909</f>
        <v>May-2018</v>
      </c>
      <c r="C3909">
        <f>TEST_DATA!C3909</f>
        <v>43066</v>
      </c>
      <c r="D3909" t="str">
        <f>TEST_DATA!D3909</f>
        <v>NIL</v>
      </c>
      <c r="E3909">
        <f>TEST_DATA!E3909</f>
        <v>2653</v>
      </c>
    </row>
    <row r="3910" spans="1:5" x14ac:dyDescent="0.55000000000000004">
      <c r="A3910" t="str">
        <f>TEST_DATA!A3910</f>
        <v>27AAAAA3910Z5</v>
      </c>
      <c r="B3910" t="str">
        <f>TEST_DATA!B3910</f>
        <v>Mar-2020</v>
      </c>
      <c r="C3910">
        <f>TEST_DATA!C3910</f>
        <v>44526</v>
      </c>
      <c r="D3910" t="str">
        <f>TEST_DATA!D3910</f>
        <v>NON-NIL</v>
      </c>
      <c r="E3910">
        <f>TEST_DATA!E3910</f>
        <v>2161</v>
      </c>
    </row>
    <row r="3911" spans="1:5" x14ac:dyDescent="0.55000000000000004">
      <c r="A3911" t="str">
        <f>TEST_DATA!A3911</f>
        <v>27AAAAA3911Z5</v>
      </c>
      <c r="B3911" t="str">
        <f>TEST_DATA!B3911</f>
        <v>Mar-2021</v>
      </c>
      <c r="C3911">
        <f>TEST_DATA!C3911</f>
        <v>45237</v>
      </c>
      <c r="D3911" t="str">
        <f>TEST_DATA!D3911</f>
        <v>NIL</v>
      </c>
      <c r="E3911">
        <f>TEST_DATA!E3911</f>
        <v>1644</v>
      </c>
    </row>
    <row r="3912" spans="1:5" x14ac:dyDescent="0.55000000000000004">
      <c r="A3912" t="str">
        <f>TEST_DATA!A3912</f>
        <v>27AAAAA3912Z5</v>
      </c>
      <c r="B3912" t="str">
        <f>TEST_DATA!B3912</f>
        <v>Mar-2020</v>
      </c>
      <c r="C3912">
        <f>TEST_DATA!C3912</f>
        <v>44432</v>
      </c>
      <c r="D3912" t="str">
        <f>TEST_DATA!D3912</f>
        <v>NIL</v>
      </c>
      <c r="E3912">
        <f>TEST_DATA!E3912</f>
        <v>2554</v>
      </c>
    </row>
    <row r="3913" spans="1:5" x14ac:dyDescent="0.55000000000000004">
      <c r="A3913" t="str">
        <f>TEST_DATA!A3913</f>
        <v>27AAAAA3913Z5</v>
      </c>
      <c r="B3913" t="str">
        <f>TEST_DATA!B3913</f>
        <v>Dec-2022</v>
      </c>
      <c r="C3913">
        <f>TEST_DATA!C3913</f>
        <v>45063</v>
      </c>
      <c r="D3913" t="str">
        <f>TEST_DATA!D3913</f>
        <v>NIL</v>
      </c>
      <c r="E3913">
        <f>TEST_DATA!E3913</f>
        <v>34</v>
      </c>
    </row>
    <row r="3914" spans="1:5" x14ac:dyDescent="0.55000000000000004">
      <c r="A3914" t="str">
        <f>TEST_DATA!A3914</f>
        <v>27AAAAA3914Z5</v>
      </c>
      <c r="B3914" t="str">
        <f>TEST_DATA!B3914</f>
        <v>Feb-2018</v>
      </c>
      <c r="C3914">
        <f>TEST_DATA!C3914</f>
        <v>43577</v>
      </c>
      <c r="D3914" t="str">
        <f>TEST_DATA!D3914</f>
        <v>NON-NIL</v>
      </c>
      <c r="E3914">
        <f>TEST_DATA!E3914</f>
        <v>616</v>
      </c>
    </row>
    <row r="3915" spans="1:5" x14ac:dyDescent="0.55000000000000004">
      <c r="A3915" t="str">
        <f>TEST_DATA!A3915</f>
        <v>27AAAAA3915Z5</v>
      </c>
      <c r="B3915" t="str">
        <f>TEST_DATA!B3915</f>
        <v>Mar-2018</v>
      </c>
      <c r="C3915">
        <f>TEST_DATA!C3915</f>
        <v>43373</v>
      </c>
      <c r="D3915" t="str">
        <f>TEST_DATA!D3915</f>
        <v>NON-NIL</v>
      </c>
      <c r="E3915">
        <f>TEST_DATA!E3915</f>
        <v>2180</v>
      </c>
    </row>
    <row r="3916" spans="1:5" x14ac:dyDescent="0.55000000000000004">
      <c r="A3916" t="str">
        <f>TEST_DATA!A3916</f>
        <v>27AAAAA3916Z5</v>
      </c>
      <c r="B3916" t="str">
        <f>TEST_DATA!B3916</f>
        <v>Sep-2018</v>
      </c>
      <c r="C3916">
        <f>TEST_DATA!C3916</f>
        <v>44255</v>
      </c>
      <c r="D3916" t="str">
        <f>TEST_DATA!D3916</f>
        <v>NIL</v>
      </c>
      <c r="E3916">
        <f>TEST_DATA!E3916</f>
        <v>2352</v>
      </c>
    </row>
    <row r="3917" spans="1:5" x14ac:dyDescent="0.55000000000000004">
      <c r="A3917" t="str">
        <f>TEST_DATA!A3917</f>
        <v>27AAAAA3917Z5</v>
      </c>
      <c r="B3917" t="str">
        <f>TEST_DATA!B3917</f>
        <v>Jun-2018</v>
      </c>
      <c r="C3917">
        <f>TEST_DATA!C3917</f>
        <v>44381</v>
      </c>
      <c r="D3917" t="str">
        <f>TEST_DATA!D3917</f>
        <v>NIL</v>
      </c>
      <c r="E3917">
        <f>TEST_DATA!E3917</f>
        <v>773</v>
      </c>
    </row>
    <row r="3918" spans="1:5" x14ac:dyDescent="0.55000000000000004">
      <c r="A3918" t="str">
        <f>TEST_DATA!A3918</f>
        <v>27AAAAA3918Z5</v>
      </c>
      <c r="B3918" t="str">
        <f>TEST_DATA!B3918</f>
        <v>Mar-2021</v>
      </c>
      <c r="C3918">
        <f>TEST_DATA!C3918</f>
        <v>44073</v>
      </c>
      <c r="D3918" t="str">
        <f>TEST_DATA!D3918</f>
        <v>NIL</v>
      </c>
      <c r="E3918">
        <f>TEST_DATA!E3918</f>
        <v>1263</v>
      </c>
    </row>
    <row r="3919" spans="1:5" x14ac:dyDescent="0.55000000000000004">
      <c r="A3919" t="str">
        <f>TEST_DATA!A3919</f>
        <v>27AAAAA3919Z5</v>
      </c>
      <c r="B3919" t="str">
        <f>TEST_DATA!B3919</f>
        <v>Dec-2017</v>
      </c>
      <c r="C3919">
        <f>TEST_DATA!C3919</f>
        <v>43123</v>
      </c>
      <c r="D3919" t="str">
        <f>TEST_DATA!D3919</f>
        <v>NIL</v>
      </c>
      <c r="E3919">
        <f>TEST_DATA!E3919</f>
        <v>2184</v>
      </c>
    </row>
    <row r="3920" spans="1:5" x14ac:dyDescent="0.55000000000000004">
      <c r="A3920" t="str">
        <f>TEST_DATA!A3920</f>
        <v>27AAAAA3920Z5</v>
      </c>
      <c r="B3920" t="str">
        <f>TEST_DATA!B3920</f>
        <v>Apr-2020</v>
      </c>
      <c r="C3920">
        <f>TEST_DATA!C3920</f>
        <v>43911</v>
      </c>
      <c r="D3920" t="str">
        <f>TEST_DATA!D3920</f>
        <v>NIL</v>
      </c>
      <c r="E3920">
        <f>TEST_DATA!E3920</f>
        <v>2212</v>
      </c>
    </row>
    <row r="3921" spans="1:5" x14ac:dyDescent="0.55000000000000004">
      <c r="A3921" t="str">
        <f>TEST_DATA!A3921</f>
        <v>27AAAAA3921Z5</v>
      </c>
      <c r="B3921" t="str">
        <f>TEST_DATA!B3921</f>
        <v>Jun-2018</v>
      </c>
      <c r="C3921">
        <f>TEST_DATA!C3921</f>
        <v>43058</v>
      </c>
      <c r="D3921" t="str">
        <f>TEST_DATA!D3921</f>
        <v>NON-NIL</v>
      </c>
      <c r="E3921">
        <f>TEST_DATA!E3921</f>
        <v>1291</v>
      </c>
    </row>
    <row r="3922" spans="1:5" x14ac:dyDescent="0.55000000000000004">
      <c r="A3922" t="str">
        <f>TEST_DATA!A3922</f>
        <v>27AAAAA3922Z5</v>
      </c>
      <c r="B3922" t="str">
        <f>TEST_DATA!B3922</f>
        <v>Feb-2018</v>
      </c>
      <c r="C3922">
        <f>TEST_DATA!C3922</f>
        <v>44264</v>
      </c>
      <c r="D3922" t="str">
        <f>TEST_DATA!D3922</f>
        <v>NIL</v>
      </c>
      <c r="E3922">
        <f>TEST_DATA!E3922</f>
        <v>826</v>
      </c>
    </row>
    <row r="3923" spans="1:5" x14ac:dyDescent="0.55000000000000004">
      <c r="A3923" t="str">
        <f>TEST_DATA!A3923</f>
        <v>27AAAAA3923Z5</v>
      </c>
      <c r="B3923" t="str">
        <f>TEST_DATA!B3923</f>
        <v>Apr-2018</v>
      </c>
      <c r="C3923">
        <f>TEST_DATA!C3923</f>
        <v>43251</v>
      </c>
      <c r="D3923" t="str">
        <f>TEST_DATA!D3923</f>
        <v>NON-NIL</v>
      </c>
      <c r="E3923">
        <f>TEST_DATA!E3923</f>
        <v>1110</v>
      </c>
    </row>
    <row r="3924" spans="1:5" x14ac:dyDescent="0.55000000000000004">
      <c r="A3924" t="str">
        <f>TEST_DATA!A3924</f>
        <v>27AAAAA3924Z5</v>
      </c>
      <c r="B3924" t="str">
        <f>TEST_DATA!B3924</f>
        <v>Feb-2018</v>
      </c>
      <c r="C3924">
        <f>TEST_DATA!C3924</f>
        <v>43361</v>
      </c>
      <c r="D3924" t="str">
        <f>TEST_DATA!D3924</f>
        <v>NON-NIL</v>
      </c>
      <c r="E3924">
        <f>TEST_DATA!E3924</f>
        <v>111</v>
      </c>
    </row>
    <row r="3925" spans="1:5" x14ac:dyDescent="0.55000000000000004">
      <c r="A3925" t="str">
        <f>TEST_DATA!A3925</f>
        <v>27AAAAA3925Z5</v>
      </c>
      <c r="B3925" t="str">
        <f>TEST_DATA!B3925</f>
        <v>Nov-2017</v>
      </c>
      <c r="C3925">
        <f>TEST_DATA!C3925</f>
        <v>43817</v>
      </c>
      <c r="D3925" t="str">
        <f>TEST_DATA!D3925</f>
        <v>NIL</v>
      </c>
      <c r="E3925">
        <f>TEST_DATA!E3925</f>
        <v>1536</v>
      </c>
    </row>
    <row r="3926" spans="1:5" x14ac:dyDescent="0.55000000000000004">
      <c r="A3926" t="str">
        <f>TEST_DATA!A3926</f>
        <v>27AAAAA3926Z5</v>
      </c>
      <c r="B3926" t="str">
        <f>TEST_DATA!B3926</f>
        <v>Jul-2017</v>
      </c>
      <c r="C3926">
        <f>TEST_DATA!C3926</f>
        <v>43826</v>
      </c>
      <c r="D3926" t="str">
        <f>TEST_DATA!D3926</f>
        <v>NIL</v>
      </c>
      <c r="E3926">
        <f>TEST_DATA!E3926</f>
        <v>1558</v>
      </c>
    </row>
    <row r="3927" spans="1:5" x14ac:dyDescent="0.55000000000000004">
      <c r="A3927" t="str">
        <f>TEST_DATA!A3927</f>
        <v>27AAAAA3927Z5</v>
      </c>
      <c r="B3927" t="str">
        <f>TEST_DATA!B3927</f>
        <v>Aug-2017</v>
      </c>
      <c r="C3927">
        <f>TEST_DATA!C3927</f>
        <v>43832</v>
      </c>
      <c r="D3927" t="str">
        <f>TEST_DATA!D3927</f>
        <v>NON-NIL</v>
      </c>
      <c r="E3927">
        <f>TEST_DATA!E3927</f>
        <v>1635</v>
      </c>
    </row>
    <row r="3928" spans="1:5" x14ac:dyDescent="0.55000000000000004">
      <c r="A3928" t="str">
        <f>TEST_DATA!A3928</f>
        <v>27AAAAA3928Z5</v>
      </c>
      <c r="B3928" t="str">
        <f>TEST_DATA!B3928</f>
        <v>Jan-2018</v>
      </c>
      <c r="C3928">
        <f>TEST_DATA!C3928</f>
        <v>43338</v>
      </c>
      <c r="D3928" t="str">
        <f>TEST_DATA!D3928</f>
        <v>NON-NIL</v>
      </c>
      <c r="E3928">
        <f>TEST_DATA!E3928</f>
        <v>2417</v>
      </c>
    </row>
    <row r="3929" spans="1:5" x14ac:dyDescent="0.55000000000000004">
      <c r="A3929" t="str">
        <f>TEST_DATA!A3929</f>
        <v>27AAAAA3929Z5</v>
      </c>
      <c r="B3929" t="str">
        <f>TEST_DATA!B3929</f>
        <v>Dec-2022</v>
      </c>
      <c r="C3929">
        <f>TEST_DATA!C3929</f>
        <v>43976</v>
      </c>
      <c r="D3929" t="str">
        <f>TEST_DATA!D3929</f>
        <v>NIL</v>
      </c>
      <c r="E3929">
        <f>TEST_DATA!E3929</f>
        <v>717</v>
      </c>
    </row>
    <row r="3930" spans="1:5" x14ac:dyDescent="0.55000000000000004">
      <c r="A3930" t="str">
        <f>TEST_DATA!A3930</f>
        <v>27AAAAA3930Z5</v>
      </c>
      <c r="B3930" t="str">
        <f>TEST_DATA!B3930</f>
        <v>Jun-2019</v>
      </c>
      <c r="C3930">
        <f>TEST_DATA!C3930</f>
        <v>45834</v>
      </c>
      <c r="D3930" t="str">
        <f>TEST_DATA!D3930</f>
        <v>NIL</v>
      </c>
      <c r="E3930">
        <f>TEST_DATA!E3930</f>
        <v>667</v>
      </c>
    </row>
    <row r="3931" spans="1:5" x14ac:dyDescent="0.55000000000000004">
      <c r="A3931" t="str">
        <f>TEST_DATA!A3931</f>
        <v>27AAAAA3931Z5</v>
      </c>
      <c r="B3931" t="str">
        <f>TEST_DATA!B3931</f>
        <v>Mar-2021</v>
      </c>
      <c r="C3931">
        <f>TEST_DATA!C3931</f>
        <v>44324</v>
      </c>
      <c r="D3931" t="str">
        <f>TEST_DATA!D3931</f>
        <v>NIL</v>
      </c>
      <c r="E3931">
        <f>TEST_DATA!E3931</f>
        <v>2003</v>
      </c>
    </row>
    <row r="3932" spans="1:5" x14ac:dyDescent="0.55000000000000004">
      <c r="A3932" t="str">
        <f>TEST_DATA!A3932</f>
        <v>27AAAAA3932Z5</v>
      </c>
      <c r="B3932" t="str">
        <f>TEST_DATA!B3932</f>
        <v>Jan-2021</v>
      </c>
      <c r="C3932">
        <f>TEST_DATA!C3932</f>
        <v>44933</v>
      </c>
      <c r="D3932" t="str">
        <f>TEST_DATA!D3932</f>
        <v>NON-NIL</v>
      </c>
      <c r="E3932">
        <f>TEST_DATA!E3932</f>
        <v>1700</v>
      </c>
    </row>
    <row r="3933" spans="1:5" x14ac:dyDescent="0.55000000000000004">
      <c r="A3933" t="str">
        <f>TEST_DATA!A3933</f>
        <v>27AAAAA3933Z5</v>
      </c>
      <c r="B3933" t="str">
        <f>TEST_DATA!B3933</f>
        <v>Jan-2018</v>
      </c>
      <c r="C3933">
        <f>TEST_DATA!C3933</f>
        <v>43347</v>
      </c>
      <c r="D3933" t="str">
        <f>TEST_DATA!D3933</f>
        <v>NIL</v>
      </c>
      <c r="E3933">
        <f>TEST_DATA!E3933</f>
        <v>2076</v>
      </c>
    </row>
    <row r="3934" spans="1:5" x14ac:dyDescent="0.55000000000000004">
      <c r="A3934" t="str">
        <f>TEST_DATA!A3934</f>
        <v>27AAAAA3934Z5</v>
      </c>
      <c r="B3934" t="str">
        <f>TEST_DATA!B3934</f>
        <v>Jun-2018</v>
      </c>
      <c r="C3934">
        <f>TEST_DATA!C3934</f>
        <v>43895</v>
      </c>
      <c r="D3934" t="str">
        <f>TEST_DATA!D3934</f>
        <v>NON-NIL</v>
      </c>
      <c r="E3934">
        <f>TEST_DATA!E3934</f>
        <v>2083</v>
      </c>
    </row>
    <row r="3935" spans="1:5" x14ac:dyDescent="0.55000000000000004">
      <c r="A3935" t="str">
        <f>TEST_DATA!A3935</f>
        <v>27AAAAA3935Z5</v>
      </c>
      <c r="B3935" t="str">
        <f>TEST_DATA!B3935</f>
        <v>Oct-2017</v>
      </c>
      <c r="C3935">
        <f>TEST_DATA!C3935</f>
        <v>43852</v>
      </c>
      <c r="D3935" t="str">
        <f>TEST_DATA!D3935</f>
        <v>NIL</v>
      </c>
      <c r="E3935">
        <f>TEST_DATA!E3935</f>
        <v>29</v>
      </c>
    </row>
    <row r="3936" spans="1:5" x14ac:dyDescent="0.55000000000000004">
      <c r="A3936" t="str">
        <f>TEST_DATA!A3936</f>
        <v>27AAAAA3936Z5</v>
      </c>
      <c r="B3936" t="str">
        <f>TEST_DATA!B3936</f>
        <v>Jul-2018</v>
      </c>
      <c r="C3936">
        <f>TEST_DATA!C3936</f>
        <v>43777</v>
      </c>
      <c r="D3936" t="str">
        <f>TEST_DATA!D3936</f>
        <v>NON-NIL</v>
      </c>
      <c r="E3936">
        <f>TEST_DATA!E3936</f>
        <v>409</v>
      </c>
    </row>
    <row r="3937" spans="1:5" x14ac:dyDescent="0.55000000000000004">
      <c r="A3937" t="str">
        <f>TEST_DATA!A3937</f>
        <v>27AAAAA3937Z5</v>
      </c>
      <c r="B3937" t="str">
        <f>TEST_DATA!B3937</f>
        <v>Jun-2018</v>
      </c>
      <c r="C3937">
        <f>TEST_DATA!C3937</f>
        <v>43655</v>
      </c>
      <c r="D3937" t="str">
        <f>TEST_DATA!D3937</f>
        <v>NON-NIL</v>
      </c>
      <c r="E3937">
        <f>TEST_DATA!E3937</f>
        <v>267</v>
      </c>
    </row>
    <row r="3938" spans="1:5" x14ac:dyDescent="0.55000000000000004">
      <c r="A3938" t="str">
        <f>TEST_DATA!A3938</f>
        <v>27AAAAA3938Z5</v>
      </c>
      <c r="B3938" t="str">
        <f>TEST_DATA!B3938</f>
        <v>Aug-2018</v>
      </c>
      <c r="C3938">
        <f>TEST_DATA!C3938</f>
        <v>44252</v>
      </c>
      <c r="D3938" t="str">
        <f>TEST_DATA!D3938</f>
        <v>NON-NIL</v>
      </c>
      <c r="E3938">
        <f>TEST_DATA!E3938</f>
        <v>939</v>
      </c>
    </row>
    <row r="3939" spans="1:5" x14ac:dyDescent="0.55000000000000004">
      <c r="A3939" t="str">
        <f>TEST_DATA!A3939</f>
        <v>27AAAAA3939Z5</v>
      </c>
      <c r="B3939" t="str">
        <f>TEST_DATA!B3939</f>
        <v>Jul-2020</v>
      </c>
      <c r="C3939">
        <f>TEST_DATA!C3939</f>
        <v>44003</v>
      </c>
      <c r="D3939" t="str">
        <f>TEST_DATA!D3939</f>
        <v>NON-NIL</v>
      </c>
      <c r="E3939">
        <f>TEST_DATA!E3939</f>
        <v>1930</v>
      </c>
    </row>
    <row r="3940" spans="1:5" x14ac:dyDescent="0.55000000000000004">
      <c r="A3940" t="str">
        <f>TEST_DATA!A3940</f>
        <v>27AAAAA3940Z5</v>
      </c>
      <c r="B3940" t="str">
        <f>TEST_DATA!B3940</f>
        <v>Jul-2017</v>
      </c>
      <c r="C3940">
        <f>TEST_DATA!C3940</f>
        <v>43479</v>
      </c>
      <c r="D3940" t="str">
        <f>TEST_DATA!D3940</f>
        <v>NON-NIL</v>
      </c>
      <c r="E3940">
        <f>TEST_DATA!E3940</f>
        <v>185</v>
      </c>
    </row>
    <row r="3941" spans="1:5" x14ac:dyDescent="0.55000000000000004">
      <c r="A3941" t="str">
        <f>TEST_DATA!A3941</f>
        <v>27AAAAA3941Z5</v>
      </c>
      <c r="B3941" t="str">
        <f>TEST_DATA!B3941</f>
        <v>Nov-2017</v>
      </c>
      <c r="C3941">
        <f>TEST_DATA!C3941</f>
        <v>43426</v>
      </c>
      <c r="D3941" t="str">
        <f>TEST_DATA!D3941</f>
        <v>NIL</v>
      </c>
      <c r="E3941">
        <f>TEST_DATA!E3941</f>
        <v>2312</v>
      </c>
    </row>
    <row r="3942" spans="1:5" x14ac:dyDescent="0.55000000000000004">
      <c r="A3942" t="str">
        <f>TEST_DATA!A3942</f>
        <v>27AAAAA3942Z5</v>
      </c>
      <c r="B3942" t="str">
        <f>TEST_DATA!B3942</f>
        <v>Jul-2017</v>
      </c>
      <c r="C3942">
        <f>TEST_DATA!C3942</f>
        <v>43179</v>
      </c>
      <c r="D3942" t="str">
        <f>TEST_DATA!D3942</f>
        <v>NIL</v>
      </c>
      <c r="E3942">
        <f>TEST_DATA!E3942</f>
        <v>574</v>
      </c>
    </row>
    <row r="3943" spans="1:5" x14ac:dyDescent="0.55000000000000004">
      <c r="A3943" t="str">
        <f>TEST_DATA!A3943</f>
        <v>27AAAAA3943Z5</v>
      </c>
      <c r="B3943" t="str">
        <f>TEST_DATA!B3943</f>
        <v>Jul-2020</v>
      </c>
      <c r="C3943">
        <f>TEST_DATA!C3943</f>
        <v>44793</v>
      </c>
      <c r="D3943" t="str">
        <f>TEST_DATA!D3943</f>
        <v>NIL</v>
      </c>
      <c r="E3943">
        <f>TEST_DATA!E3943</f>
        <v>250</v>
      </c>
    </row>
    <row r="3944" spans="1:5" x14ac:dyDescent="0.55000000000000004">
      <c r="A3944" t="str">
        <f>TEST_DATA!A3944</f>
        <v>27AAAAA3944Z5</v>
      </c>
      <c r="B3944" t="str">
        <f>TEST_DATA!B3944</f>
        <v>Apr-2020</v>
      </c>
      <c r="C3944">
        <f>TEST_DATA!C3944</f>
        <v>44260</v>
      </c>
      <c r="D3944" t="str">
        <f>TEST_DATA!D3944</f>
        <v>NON-NIL</v>
      </c>
      <c r="E3944">
        <f>TEST_DATA!E3944</f>
        <v>1522</v>
      </c>
    </row>
    <row r="3945" spans="1:5" x14ac:dyDescent="0.55000000000000004">
      <c r="A3945" t="str">
        <f>TEST_DATA!A3945</f>
        <v>27AAAAA3945Z5</v>
      </c>
      <c r="B3945" t="str">
        <f>TEST_DATA!B3945</f>
        <v>Apr-2020</v>
      </c>
      <c r="C3945">
        <f>TEST_DATA!C3945</f>
        <v>44680</v>
      </c>
      <c r="D3945" t="str">
        <f>TEST_DATA!D3945</f>
        <v>NIL</v>
      </c>
      <c r="E3945">
        <f>TEST_DATA!E3945</f>
        <v>1717</v>
      </c>
    </row>
    <row r="3946" spans="1:5" x14ac:dyDescent="0.55000000000000004">
      <c r="A3946" t="str">
        <f>TEST_DATA!A3946</f>
        <v>27AAAAA3946Z5</v>
      </c>
      <c r="B3946" t="str">
        <f>TEST_DATA!B3946</f>
        <v>Dec-2017</v>
      </c>
      <c r="C3946">
        <f>TEST_DATA!C3946</f>
        <v>43274</v>
      </c>
      <c r="D3946" t="str">
        <f>TEST_DATA!D3946</f>
        <v>NIL</v>
      </c>
      <c r="E3946">
        <f>TEST_DATA!E3946</f>
        <v>2738</v>
      </c>
    </row>
    <row r="3947" spans="1:5" x14ac:dyDescent="0.55000000000000004">
      <c r="A3947" t="str">
        <f>TEST_DATA!A3947</f>
        <v>27AAAAA3947Z5</v>
      </c>
      <c r="B3947" t="str">
        <f>TEST_DATA!B3947</f>
        <v>Dec-2017</v>
      </c>
      <c r="C3947">
        <f>TEST_DATA!C3947</f>
        <v>43664</v>
      </c>
      <c r="D3947" t="str">
        <f>TEST_DATA!D3947</f>
        <v>NIL</v>
      </c>
      <c r="E3947">
        <f>TEST_DATA!E3947</f>
        <v>665</v>
      </c>
    </row>
    <row r="3948" spans="1:5" x14ac:dyDescent="0.55000000000000004">
      <c r="A3948" t="str">
        <f>TEST_DATA!A3948</f>
        <v>27AAAAA3948Z5</v>
      </c>
      <c r="B3948" t="str">
        <f>TEST_DATA!B3948</f>
        <v>Jul-2017</v>
      </c>
      <c r="C3948">
        <f>TEST_DATA!C3948</f>
        <v>43935</v>
      </c>
      <c r="D3948" t="str">
        <f>TEST_DATA!D3948</f>
        <v>NIL</v>
      </c>
      <c r="E3948">
        <f>TEST_DATA!E3948</f>
        <v>1253</v>
      </c>
    </row>
    <row r="3949" spans="1:5" x14ac:dyDescent="0.55000000000000004">
      <c r="A3949" t="str">
        <f>TEST_DATA!A3949</f>
        <v>27AAAAA3949Z5</v>
      </c>
      <c r="B3949" t="str">
        <f>TEST_DATA!B3949</f>
        <v>Jul-2018</v>
      </c>
      <c r="C3949">
        <f>TEST_DATA!C3949</f>
        <v>44197</v>
      </c>
      <c r="D3949" t="str">
        <f>TEST_DATA!D3949</f>
        <v>NON-NIL</v>
      </c>
      <c r="E3949">
        <f>TEST_DATA!E3949</f>
        <v>1086</v>
      </c>
    </row>
    <row r="3950" spans="1:5" x14ac:dyDescent="0.55000000000000004">
      <c r="A3950" t="str">
        <f>TEST_DATA!A3950</f>
        <v>27AAAAA3950Z5</v>
      </c>
      <c r="B3950" t="str">
        <f>TEST_DATA!B3950</f>
        <v>Apr-2020</v>
      </c>
      <c r="C3950">
        <f>TEST_DATA!C3950</f>
        <v>44488</v>
      </c>
      <c r="D3950" t="str">
        <f>TEST_DATA!D3950</f>
        <v>NIL</v>
      </c>
      <c r="E3950">
        <f>TEST_DATA!E3950</f>
        <v>105</v>
      </c>
    </row>
    <row r="3951" spans="1:5" x14ac:dyDescent="0.55000000000000004">
      <c r="A3951" t="str">
        <f>TEST_DATA!A3951</f>
        <v>27AAAAA3951Z5</v>
      </c>
      <c r="B3951" t="str">
        <f>TEST_DATA!B3951</f>
        <v>May-2018</v>
      </c>
      <c r="C3951">
        <f>TEST_DATA!C3951</f>
        <v>42975</v>
      </c>
      <c r="D3951" t="str">
        <f>TEST_DATA!D3951</f>
        <v>NON-NIL</v>
      </c>
      <c r="E3951">
        <f>TEST_DATA!E3951</f>
        <v>140</v>
      </c>
    </row>
    <row r="3952" spans="1:5" x14ac:dyDescent="0.55000000000000004">
      <c r="A3952" t="str">
        <f>TEST_DATA!A3952</f>
        <v>27AAAAA3952Z5</v>
      </c>
      <c r="B3952" t="str">
        <f>TEST_DATA!B3952</f>
        <v>Jan-2021</v>
      </c>
      <c r="C3952">
        <f>TEST_DATA!C3952</f>
        <v>44057</v>
      </c>
      <c r="D3952" t="str">
        <f>TEST_DATA!D3952</f>
        <v>NON-NIL</v>
      </c>
      <c r="E3952">
        <f>TEST_DATA!E3952</f>
        <v>190</v>
      </c>
    </row>
    <row r="3953" spans="1:5" x14ac:dyDescent="0.55000000000000004">
      <c r="A3953" t="str">
        <f>TEST_DATA!A3953</f>
        <v>27AAAAA3953Z5</v>
      </c>
      <c r="B3953" t="str">
        <f>TEST_DATA!B3953</f>
        <v>Dec-2019</v>
      </c>
      <c r="C3953">
        <f>TEST_DATA!C3953</f>
        <v>45010</v>
      </c>
      <c r="D3953" t="str">
        <f>TEST_DATA!D3953</f>
        <v>NIL</v>
      </c>
      <c r="E3953">
        <f>TEST_DATA!E3953</f>
        <v>647</v>
      </c>
    </row>
    <row r="3954" spans="1:5" x14ac:dyDescent="0.55000000000000004">
      <c r="A3954" t="str">
        <f>TEST_DATA!A3954</f>
        <v>27AAAAA3954Z5</v>
      </c>
      <c r="B3954" t="str">
        <f>TEST_DATA!B3954</f>
        <v>Oct-2017</v>
      </c>
      <c r="C3954">
        <f>TEST_DATA!C3954</f>
        <v>42947</v>
      </c>
      <c r="D3954" t="str">
        <f>TEST_DATA!D3954</f>
        <v>NON-NIL</v>
      </c>
      <c r="E3954">
        <f>TEST_DATA!E3954</f>
        <v>912</v>
      </c>
    </row>
    <row r="3955" spans="1:5" x14ac:dyDescent="0.55000000000000004">
      <c r="A3955" t="str">
        <f>TEST_DATA!A3955</f>
        <v>27AAAAA3955Z5</v>
      </c>
      <c r="B3955" t="str">
        <f>TEST_DATA!B3955</f>
        <v>Sep-2017</v>
      </c>
      <c r="C3955">
        <f>TEST_DATA!C3955</f>
        <v>43776</v>
      </c>
      <c r="D3955" t="str">
        <f>TEST_DATA!D3955</f>
        <v>NIL</v>
      </c>
      <c r="E3955">
        <f>TEST_DATA!E3955</f>
        <v>460</v>
      </c>
    </row>
    <row r="3956" spans="1:5" x14ac:dyDescent="0.55000000000000004">
      <c r="A3956" t="str">
        <f>TEST_DATA!A3956</f>
        <v>27AAAAA3956Z5</v>
      </c>
      <c r="B3956" t="str">
        <f>TEST_DATA!B3956</f>
        <v>Jan-2019</v>
      </c>
      <c r="C3956">
        <f>TEST_DATA!C3956</f>
        <v>45368</v>
      </c>
      <c r="D3956" t="str">
        <f>TEST_DATA!D3956</f>
        <v>NON-NIL</v>
      </c>
      <c r="E3956">
        <f>TEST_DATA!E3956</f>
        <v>2198</v>
      </c>
    </row>
    <row r="3957" spans="1:5" x14ac:dyDescent="0.55000000000000004">
      <c r="A3957" t="str">
        <f>TEST_DATA!A3957</f>
        <v>27AAAAA3957Z5</v>
      </c>
      <c r="B3957" t="str">
        <f>TEST_DATA!B3957</f>
        <v>Sep-2018</v>
      </c>
      <c r="C3957">
        <f>TEST_DATA!C3957</f>
        <v>43192</v>
      </c>
      <c r="D3957" t="str">
        <f>TEST_DATA!D3957</f>
        <v>NIL</v>
      </c>
      <c r="E3957">
        <f>TEST_DATA!E3957</f>
        <v>1275</v>
      </c>
    </row>
    <row r="3958" spans="1:5" x14ac:dyDescent="0.55000000000000004">
      <c r="A3958" t="str">
        <f>TEST_DATA!A3958</f>
        <v>27AAAAA3958Z5</v>
      </c>
      <c r="B3958" t="str">
        <f>TEST_DATA!B3958</f>
        <v>Jan-2019</v>
      </c>
      <c r="C3958">
        <f>TEST_DATA!C3958</f>
        <v>45389</v>
      </c>
      <c r="D3958" t="str">
        <f>TEST_DATA!D3958</f>
        <v>NON-NIL</v>
      </c>
      <c r="E3958">
        <f>TEST_DATA!E3958</f>
        <v>525</v>
      </c>
    </row>
    <row r="3959" spans="1:5" x14ac:dyDescent="0.55000000000000004">
      <c r="A3959" t="str">
        <f>TEST_DATA!A3959</f>
        <v>27AAAAA3959Z5</v>
      </c>
      <c r="B3959" t="str">
        <f>TEST_DATA!B3959</f>
        <v>May-2018</v>
      </c>
      <c r="C3959">
        <f>TEST_DATA!C3959</f>
        <v>44261</v>
      </c>
      <c r="D3959" t="str">
        <f>TEST_DATA!D3959</f>
        <v>NON-NIL</v>
      </c>
      <c r="E3959">
        <f>TEST_DATA!E3959</f>
        <v>2513</v>
      </c>
    </row>
    <row r="3960" spans="1:5" x14ac:dyDescent="0.55000000000000004">
      <c r="A3960" t="str">
        <f>TEST_DATA!A3960</f>
        <v>27AAAAA3960Z5</v>
      </c>
      <c r="B3960" t="str">
        <f>TEST_DATA!B3960</f>
        <v>Jun-2020</v>
      </c>
      <c r="C3960">
        <f>TEST_DATA!C3960</f>
        <v>44028</v>
      </c>
      <c r="D3960" t="str">
        <f>TEST_DATA!D3960</f>
        <v>NON-NIL</v>
      </c>
      <c r="E3960">
        <f>TEST_DATA!E3960</f>
        <v>2018</v>
      </c>
    </row>
    <row r="3961" spans="1:5" x14ac:dyDescent="0.55000000000000004">
      <c r="A3961" t="str">
        <f>TEST_DATA!A3961</f>
        <v>27AAAAA3961Z5</v>
      </c>
      <c r="B3961" t="str">
        <f>TEST_DATA!B3961</f>
        <v>Jan-2021</v>
      </c>
      <c r="C3961">
        <f>TEST_DATA!C3961</f>
        <v>45805</v>
      </c>
      <c r="D3961" t="str">
        <f>TEST_DATA!D3961</f>
        <v>NIL</v>
      </c>
      <c r="E3961">
        <f>TEST_DATA!E3961</f>
        <v>515</v>
      </c>
    </row>
    <row r="3962" spans="1:5" x14ac:dyDescent="0.55000000000000004">
      <c r="A3962" t="str">
        <f>TEST_DATA!A3962</f>
        <v>27AAAAA3962Z5</v>
      </c>
      <c r="B3962" t="str">
        <f>TEST_DATA!B3962</f>
        <v>Feb-2018</v>
      </c>
      <c r="C3962">
        <f>TEST_DATA!C3962</f>
        <v>43971</v>
      </c>
      <c r="D3962" t="str">
        <f>TEST_DATA!D3962</f>
        <v>NIL</v>
      </c>
      <c r="E3962">
        <f>TEST_DATA!E3962</f>
        <v>584</v>
      </c>
    </row>
    <row r="3963" spans="1:5" x14ac:dyDescent="0.55000000000000004">
      <c r="A3963" t="str">
        <f>TEST_DATA!A3963</f>
        <v>27AAAAA3963Z5</v>
      </c>
      <c r="B3963" t="str">
        <f>TEST_DATA!B3963</f>
        <v>Feb-2018</v>
      </c>
      <c r="C3963">
        <f>TEST_DATA!C3963</f>
        <v>44267</v>
      </c>
      <c r="D3963" t="str">
        <f>TEST_DATA!D3963</f>
        <v>NIL</v>
      </c>
      <c r="E3963">
        <f>TEST_DATA!E3963</f>
        <v>388</v>
      </c>
    </row>
    <row r="3964" spans="1:5" x14ac:dyDescent="0.55000000000000004">
      <c r="A3964" t="str">
        <f>TEST_DATA!A3964</f>
        <v>27AAAAA3964Z5</v>
      </c>
      <c r="B3964" t="str">
        <f>TEST_DATA!B3964</f>
        <v>Jul-2020</v>
      </c>
      <c r="C3964">
        <f>TEST_DATA!C3964</f>
        <v>44658</v>
      </c>
      <c r="D3964" t="str">
        <f>TEST_DATA!D3964</f>
        <v>NON-NIL</v>
      </c>
      <c r="E3964">
        <f>TEST_DATA!E3964</f>
        <v>2519</v>
      </c>
    </row>
    <row r="3965" spans="1:5" x14ac:dyDescent="0.55000000000000004">
      <c r="A3965" t="str">
        <f>TEST_DATA!A3965</f>
        <v>27AAAAA3965Z5</v>
      </c>
      <c r="B3965" t="str">
        <f>TEST_DATA!B3965</f>
        <v>Oct-2017</v>
      </c>
      <c r="C3965">
        <f>TEST_DATA!C3965</f>
        <v>43428</v>
      </c>
      <c r="D3965" t="str">
        <f>TEST_DATA!D3965</f>
        <v>NIL</v>
      </c>
      <c r="E3965">
        <f>TEST_DATA!E3965</f>
        <v>1026</v>
      </c>
    </row>
    <row r="3966" spans="1:5" x14ac:dyDescent="0.55000000000000004">
      <c r="A3966" t="str">
        <f>TEST_DATA!A3966</f>
        <v>27AAAAA3966Z5</v>
      </c>
      <c r="B3966" t="str">
        <f>TEST_DATA!B3966</f>
        <v>Dec-2017</v>
      </c>
      <c r="C3966">
        <f>TEST_DATA!C3966</f>
        <v>44412</v>
      </c>
      <c r="D3966" t="str">
        <f>TEST_DATA!D3966</f>
        <v>NON-NIL</v>
      </c>
      <c r="E3966">
        <f>TEST_DATA!E3966</f>
        <v>1346</v>
      </c>
    </row>
    <row r="3967" spans="1:5" x14ac:dyDescent="0.55000000000000004">
      <c r="A3967" t="str">
        <f>TEST_DATA!A3967</f>
        <v>27AAAAA3967Z5</v>
      </c>
      <c r="B3967" t="str">
        <f>TEST_DATA!B3967</f>
        <v>Jul-2020</v>
      </c>
      <c r="C3967">
        <f>TEST_DATA!C3967</f>
        <v>44777</v>
      </c>
      <c r="D3967" t="str">
        <f>TEST_DATA!D3967</f>
        <v>NON-NIL</v>
      </c>
      <c r="E3967">
        <f>TEST_DATA!E3967</f>
        <v>539</v>
      </c>
    </row>
    <row r="3968" spans="1:5" x14ac:dyDescent="0.55000000000000004">
      <c r="A3968" t="str">
        <f>TEST_DATA!A3968</f>
        <v>27AAAAA3968Z5</v>
      </c>
      <c r="B3968" t="str">
        <f>TEST_DATA!B3968</f>
        <v>May-2018</v>
      </c>
      <c r="C3968">
        <f>TEST_DATA!C3968</f>
        <v>43781</v>
      </c>
      <c r="D3968" t="str">
        <f>TEST_DATA!D3968</f>
        <v>NON-NIL</v>
      </c>
      <c r="E3968">
        <f>TEST_DATA!E3968</f>
        <v>2708</v>
      </c>
    </row>
    <row r="3969" spans="1:5" x14ac:dyDescent="0.55000000000000004">
      <c r="A3969" t="str">
        <f>TEST_DATA!A3969</f>
        <v>27AAAAA3969Z5</v>
      </c>
      <c r="B3969" t="str">
        <f>TEST_DATA!B3969</f>
        <v>Nov-2017</v>
      </c>
      <c r="C3969">
        <f>TEST_DATA!C3969</f>
        <v>44103</v>
      </c>
      <c r="D3969" t="str">
        <f>TEST_DATA!D3969</f>
        <v>NIL</v>
      </c>
      <c r="E3969">
        <f>TEST_DATA!E3969</f>
        <v>1577</v>
      </c>
    </row>
    <row r="3970" spans="1:5" x14ac:dyDescent="0.55000000000000004">
      <c r="A3970" t="str">
        <f>TEST_DATA!A3970</f>
        <v>27AAAAA3970Z5</v>
      </c>
      <c r="B3970" t="str">
        <f>TEST_DATA!B3970</f>
        <v>May-2020</v>
      </c>
      <c r="C3970">
        <f>TEST_DATA!C3970</f>
        <v>43929</v>
      </c>
      <c r="D3970" t="str">
        <f>TEST_DATA!D3970</f>
        <v>NIL</v>
      </c>
      <c r="E3970">
        <f>TEST_DATA!E3970</f>
        <v>746</v>
      </c>
    </row>
    <row r="3971" spans="1:5" x14ac:dyDescent="0.55000000000000004">
      <c r="A3971" t="str">
        <f>TEST_DATA!A3971</f>
        <v>27AAAAA3971Z5</v>
      </c>
      <c r="B3971" t="str">
        <f>TEST_DATA!B3971</f>
        <v>Jul-2017</v>
      </c>
      <c r="C3971">
        <f>TEST_DATA!C3971</f>
        <v>43209</v>
      </c>
      <c r="D3971" t="str">
        <f>TEST_DATA!D3971</f>
        <v>NIL</v>
      </c>
      <c r="E3971">
        <f>TEST_DATA!E3971</f>
        <v>974</v>
      </c>
    </row>
    <row r="3972" spans="1:5" x14ac:dyDescent="0.55000000000000004">
      <c r="A3972" t="str">
        <f>TEST_DATA!A3972</f>
        <v>27AAAAA3972Z5</v>
      </c>
      <c r="B3972" t="str">
        <f>TEST_DATA!B3972</f>
        <v>Dec-2017</v>
      </c>
      <c r="C3972">
        <f>TEST_DATA!C3972</f>
        <v>43729</v>
      </c>
      <c r="D3972" t="str">
        <f>TEST_DATA!D3972</f>
        <v>NON-NIL</v>
      </c>
      <c r="E3972">
        <f>TEST_DATA!E3972</f>
        <v>47</v>
      </c>
    </row>
    <row r="3973" spans="1:5" x14ac:dyDescent="0.55000000000000004">
      <c r="A3973" t="str">
        <f>TEST_DATA!A3973</f>
        <v>27AAAAA3973Z5</v>
      </c>
      <c r="B3973" t="str">
        <f>TEST_DATA!B3973</f>
        <v>Mar-2020</v>
      </c>
      <c r="C3973">
        <f>TEST_DATA!C3973</f>
        <v>44815</v>
      </c>
      <c r="D3973" t="str">
        <f>TEST_DATA!D3973</f>
        <v>NON-NIL</v>
      </c>
      <c r="E3973">
        <f>TEST_DATA!E3973</f>
        <v>1408</v>
      </c>
    </row>
    <row r="3974" spans="1:5" x14ac:dyDescent="0.55000000000000004">
      <c r="A3974" t="str">
        <f>TEST_DATA!A3974</f>
        <v>27AAAAA3974Z5</v>
      </c>
      <c r="B3974" t="str">
        <f>TEST_DATA!B3974</f>
        <v>Jan-2018</v>
      </c>
      <c r="C3974">
        <f>TEST_DATA!C3974</f>
        <v>44204</v>
      </c>
      <c r="D3974" t="str">
        <f>TEST_DATA!D3974</f>
        <v>NON-NIL</v>
      </c>
      <c r="E3974">
        <f>TEST_DATA!E3974</f>
        <v>1851</v>
      </c>
    </row>
    <row r="3975" spans="1:5" x14ac:dyDescent="0.55000000000000004">
      <c r="A3975" t="str">
        <f>TEST_DATA!A3975</f>
        <v>27AAAAA3975Z5</v>
      </c>
      <c r="B3975" t="str">
        <f>TEST_DATA!B3975</f>
        <v>Jan-2018</v>
      </c>
      <c r="C3975">
        <f>TEST_DATA!C3975</f>
        <v>43845</v>
      </c>
      <c r="D3975" t="str">
        <f>TEST_DATA!D3975</f>
        <v>NON-NIL</v>
      </c>
      <c r="E3975">
        <f>TEST_DATA!E3975</f>
        <v>2235</v>
      </c>
    </row>
    <row r="3976" spans="1:5" x14ac:dyDescent="0.55000000000000004">
      <c r="A3976" t="str">
        <f>TEST_DATA!A3976</f>
        <v>27AAAAA3976Z5</v>
      </c>
      <c r="B3976" t="str">
        <f>TEST_DATA!B3976</f>
        <v>Sep-2018</v>
      </c>
      <c r="C3976">
        <f>TEST_DATA!C3976</f>
        <v>43158</v>
      </c>
      <c r="D3976" t="str">
        <f>TEST_DATA!D3976</f>
        <v>NON-NIL</v>
      </c>
      <c r="E3976">
        <f>TEST_DATA!E3976</f>
        <v>2684</v>
      </c>
    </row>
    <row r="3977" spans="1:5" x14ac:dyDescent="0.55000000000000004">
      <c r="A3977" t="str">
        <f>TEST_DATA!A3977</f>
        <v>27AAAAA3977Z5</v>
      </c>
      <c r="B3977" t="str">
        <f>TEST_DATA!B3977</f>
        <v>Mar-2021</v>
      </c>
      <c r="C3977">
        <f>TEST_DATA!C3977</f>
        <v>45573</v>
      </c>
      <c r="D3977" t="str">
        <f>TEST_DATA!D3977</f>
        <v>NON-NIL</v>
      </c>
      <c r="E3977">
        <f>TEST_DATA!E3977</f>
        <v>1381</v>
      </c>
    </row>
    <row r="3978" spans="1:5" x14ac:dyDescent="0.55000000000000004">
      <c r="A3978" t="str">
        <f>TEST_DATA!A3978</f>
        <v>27AAAAA3978Z5</v>
      </c>
      <c r="B3978" t="str">
        <f>TEST_DATA!B3978</f>
        <v>Dec-2024</v>
      </c>
      <c r="C3978">
        <f>TEST_DATA!C3978</f>
        <v>44229</v>
      </c>
      <c r="D3978" t="str">
        <f>TEST_DATA!D3978</f>
        <v>NON-NIL</v>
      </c>
      <c r="E3978">
        <f>TEST_DATA!E3978</f>
        <v>1396</v>
      </c>
    </row>
    <row r="3979" spans="1:5" x14ac:dyDescent="0.55000000000000004">
      <c r="A3979" t="str">
        <f>TEST_DATA!A3979</f>
        <v>27AAAAA3979Z5</v>
      </c>
      <c r="B3979" t="str">
        <f>TEST_DATA!B3979</f>
        <v>Apr-2021</v>
      </c>
      <c r="C3979">
        <f>TEST_DATA!C3979</f>
        <v>45462</v>
      </c>
      <c r="D3979" t="str">
        <f>TEST_DATA!D3979</f>
        <v>NON-NIL</v>
      </c>
      <c r="E3979">
        <f>TEST_DATA!E3979</f>
        <v>2716</v>
      </c>
    </row>
    <row r="3980" spans="1:5" x14ac:dyDescent="0.55000000000000004">
      <c r="A3980" t="str">
        <f>TEST_DATA!A3980</f>
        <v>27AAAAA3980Z5</v>
      </c>
      <c r="B3980" t="str">
        <f>TEST_DATA!B3980</f>
        <v>Oct-2017</v>
      </c>
      <c r="C3980">
        <f>TEST_DATA!C3980</f>
        <v>44285</v>
      </c>
      <c r="D3980" t="str">
        <f>TEST_DATA!D3980</f>
        <v>NON-NIL</v>
      </c>
      <c r="E3980">
        <f>TEST_DATA!E3980</f>
        <v>2126</v>
      </c>
    </row>
    <row r="3981" spans="1:5" x14ac:dyDescent="0.55000000000000004">
      <c r="A3981" t="str">
        <f>TEST_DATA!A3981</f>
        <v>27AAAAA3981Z5</v>
      </c>
      <c r="B3981" t="str">
        <f>TEST_DATA!B3981</f>
        <v>Mar-2018</v>
      </c>
      <c r="C3981">
        <f>TEST_DATA!C3981</f>
        <v>43046</v>
      </c>
      <c r="D3981" t="str">
        <f>TEST_DATA!D3981</f>
        <v>NON-NIL</v>
      </c>
      <c r="E3981">
        <f>TEST_DATA!E3981</f>
        <v>1747</v>
      </c>
    </row>
    <row r="3982" spans="1:5" x14ac:dyDescent="0.55000000000000004">
      <c r="A3982" t="str">
        <f>TEST_DATA!A3982</f>
        <v>27AAAAA3982Z5</v>
      </c>
      <c r="B3982" t="str">
        <f>TEST_DATA!B3982</f>
        <v>May-2020</v>
      </c>
      <c r="C3982">
        <f>TEST_DATA!C3982</f>
        <v>43883</v>
      </c>
      <c r="D3982" t="str">
        <f>TEST_DATA!D3982</f>
        <v>NIL</v>
      </c>
      <c r="E3982">
        <f>TEST_DATA!E3982</f>
        <v>387</v>
      </c>
    </row>
    <row r="3983" spans="1:5" x14ac:dyDescent="0.55000000000000004">
      <c r="A3983" t="str">
        <f>TEST_DATA!A3983</f>
        <v>27AAAAA3983Z5</v>
      </c>
      <c r="B3983" t="str">
        <f>TEST_DATA!B3983</f>
        <v>Feb-2018</v>
      </c>
      <c r="C3983">
        <f>TEST_DATA!C3983</f>
        <v>43853</v>
      </c>
      <c r="D3983" t="str">
        <f>TEST_DATA!D3983</f>
        <v>NIL</v>
      </c>
      <c r="E3983">
        <f>TEST_DATA!E3983</f>
        <v>492</v>
      </c>
    </row>
    <row r="3984" spans="1:5" x14ac:dyDescent="0.55000000000000004">
      <c r="A3984" t="str">
        <f>TEST_DATA!A3984</f>
        <v>27AAAAA3984Z5</v>
      </c>
      <c r="B3984" t="str">
        <f>TEST_DATA!B3984</f>
        <v>Dec-2019</v>
      </c>
      <c r="C3984">
        <f>TEST_DATA!C3984</f>
        <v>44677</v>
      </c>
      <c r="D3984" t="str">
        <f>TEST_DATA!D3984</f>
        <v>NIL</v>
      </c>
      <c r="E3984">
        <f>TEST_DATA!E3984</f>
        <v>1423</v>
      </c>
    </row>
    <row r="3985" spans="1:5" x14ac:dyDescent="0.55000000000000004">
      <c r="A3985" t="str">
        <f>TEST_DATA!A3985</f>
        <v>27AAAAA3985Z5</v>
      </c>
      <c r="B3985" t="str">
        <f>TEST_DATA!B3985</f>
        <v>Apr-2018</v>
      </c>
      <c r="C3985">
        <f>TEST_DATA!C3985</f>
        <v>43843</v>
      </c>
      <c r="D3985" t="str">
        <f>TEST_DATA!D3985</f>
        <v>NON-NIL</v>
      </c>
      <c r="E3985">
        <f>TEST_DATA!E3985</f>
        <v>2266</v>
      </c>
    </row>
    <row r="3986" spans="1:5" x14ac:dyDescent="0.55000000000000004">
      <c r="A3986" t="str">
        <f>TEST_DATA!A3986</f>
        <v>27AAAAA3986Z5</v>
      </c>
      <c r="B3986" t="str">
        <f>TEST_DATA!B3986</f>
        <v>Sep-2017</v>
      </c>
      <c r="C3986">
        <f>TEST_DATA!C3986</f>
        <v>43950</v>
      </c>
      <c r="D3986" t="str">
        <f>TEST_DATA!D3986</f>
        <v>NIL</v>
      </c>
      <c r="E3986">
        <f>TEST_DATA!E3986</f>
        <v>1628</v>
      </c>
    </row>
    <row r="3987" spans="1:5" x14ac:dyDescent="0.55000000000000004">
      <c r="A3987" t="str">
        <f>TEST_DATA!A3987</f>
        <v>27AAAAA3987Z5</v>
      </c>
      <c r="B3987" t="str">
        <f>TEST_DATA!B3987</f>
        <v>Dec-2022</v>
      </c>
      <c r="C3987">
        <f>TEST_DATA!C3987</f>
        <v>45558</v>
      </c>
      <c r="D3987" t="str">
        <f>TEST_DATA!D3987</f>
        <v>NIL</v>
      </c>
      <c r="E3987">
        <f>TEST_DATA!E3987</f>
        <v>580</v>
      </c>
    </row>
    <row r="3988" spans="1:5" x14ac:dyDescent="0.55000000000000004">
      <c r="A3988" t="str">
        <f>TEST_DATA!A3988</f>
        <v>27AAAAA3988Z5</v>
      </c>
      <c r="B3988" t="str">
        <f>TEST_DATA!B3988</f>
        <v>Dec-2022</v>
      </c>
      <c r="C3988">
        <f>TEST_DATA!C3988</f>
        <v>44374</v>
      </c>
      <c r="D3988" t="str">
        <f>TEST_DATA!D3988</f>
        <v>NIL</v>
      </c>
      <c r="E3988">
        <f>TEST_DATA!E3988</f>
        <v>813</v>
      </c>
    </row>
    <row r="3989" spans="1:5" x14ac:dyDescent="0.55000000000000004">
      <c r="A3989" t="str">
        <f>TEST_DATA!A3989</f>
        <v>27AAAAA3989Z5</v>
      </c>
      <c r="B3989" t="str">
        <f>TEST_DATA!B3989</f>
        <v>Jan-2021</v>
      </c>
      <c r="C3989">
        <f>TEST_DATA!C3989</f>
        <v>44915</v>
      </c>
      <c r="D3989" t="str">
        <f>TEST_DATA!D3989</f>
        <v>NIL</v>
      </c>
      <c r="E3989">
        <f>TEST_DATA!E3989</f>
        <v>2305</v>
      </c>
    </row>
    <row r="3990" spans="1:5" x14ac:dyDescent="0.55000000000000004">
      <c r="A3990" t="str">
        <f>TEST_DATA!A3990</f>
        <v>27AAAAA3990Z5</v>
      </c>
      <c r="B3990" t="str">
        <f>TEST_DATA!B3990</f>
        <v>Mar-2023</v>
      </c>
      <c r="C3990">
        <f>TEST_DATA!C3990</f>
        <v>45639</v>
      </c>
      <c r="D3990" t="str">
        <f>TEST_DATA!D3990</f>
        <v>NIL</v>
      </c>
      <c r="E3990">
        <f>TEST_DATA!E3990</f>
        <v>2183</v>
      </c>
    </row>
    <row r="3991" spans="1:5" x14ac:dyDescent="0.55000000000000004">
      <c r="A3991" t="str">
        <f>TEST_DATA!A3991</f>
        <v>27AAAAA3991Z5</v>
      </c>
      <c r="B3991" t="str">
        <f>TEST_DATA!B3991</f>
        <v>Jun-2018</v>
      </c>
      <c r="C3991">
        <f>TEST_DATA!C3991</f>
        <v>44021</v>
      </c>
      <c r="D3991" t="str">
        <f>TEST_DATA!D3991</f>
        <v>NIL</v>
      </c>
      <c r="E3991">
        <f>TEST_DATA!E3991</f>
        <v>2841</v>
      </c>
    </row>
    <row r="3992" spans="1:5" x14ac:dyDescent="0.55000000000000004">
      <c r="A3992" t="str">
        <f>TEST_DATA!A3992</f>
        <v>27AAAAA3992Z5</v>
      </c>
      <c r="B3992" t="str">
        <f>TEST_DATA!B3992</f>
        <v>Jun-2019</v>
      </c>
      <c r="C3992">
        <f>TEST_DATA!C3992</f>
        <v>44149</v>
      </c>
      <c r="D3992" t="str">
        <f>TEST_DATA!D3992</f>
        <v>NON-NIL</v>
      </c>
      <c r="E3992">
        <f>TEST_DATA!E3992</f>
        <v>650</v>
      </c>
    </row>
    <row r="3993" spans="1:5" x14ac:dyDescent="0.55000000000000004">
      <c r="A3993" t="str">
        <f>TEST_DATA!A3993</f>
        <v>27AAAAA3993Z5</v>
      </c>
      <c r="B3993" t="str">
        <f>TEST_DATA!B3993</f>
        <v>Oct-2017</v>
      </c>
      <c r="C3993">
        <f>TEST_DATA!C3993</f>
        <v>44310</v>
      </c>
      <c r="D3993" t="str">
        <f>TEST_DATA!D3993</f>
        <v>NIL</v>
      </c>
      <c r="E3993">
        <f>TEST_DATA!E3993</f>
        <v>2600</v>
      </c>
    </row>
    <row r="3994" spans="1:5" x14ac:dyDescent="0.55000000000000004">
      <c r="A3994" t="str">
        <f>TEST_DATA!A3994</f>
        <v>27AAAAA3994Z5</v>
      </c>
      <c r="B3994" t="str">
        <f>TEST_DATA!B3994</f>
        <v>May-2020</v>
      </c>
      <c r="C3994">
        <f>TEST_DATA!C3994</f>
        <v>44294</v>
      </c>
      <c r="D3994" t="str">
        <f>TEST_DATA!D3994</f>
        <v>NIL</v>
      </c>
      <c r="E3994">
        <f>TEST_DATA!E3994</f>
        <v>2215</v>
      </c>
    </row>
    <row r="3995" spans="1:5" x14ac:dyDescent="0.55000000000000004">
      <c r="A3995" t="str">
        <f>TEST_DATA!A3995</f>
        <v>27AAAAA3995Z5</v>
      </c>
      <c r="B3995" t="str">
        <f>TEST_DATA!B3995</f>
        <v>Apr-2020</v>
      </c>
      <c r="C3995">
        <f>TEST_DATA!C3995</f>
        <v>44699</v>
      </c>
      <c r="D3995" t="str">
        <f>TEST_DATA!D3995</f>
        <v>NIL</v>
      </c>
      <c r="E3995">
        <f>TEST_DATA!E3995</f>
        <v>1140</v>
      </c>
    </row>
    <row r="3996" spans="1:5" x14ac:dyDescent="0.55000000000000004">
      <c r="A3996" t="str">
        <f>TEST_DATA!A3996</f>
        <v>27AAAAA3996Z5</v>
      </c>
      <c r="B3996" t="str">
        <f>TEST_DATA!B3996</f>
        <v>Aug-2017</v>
      </c>
      <c r="C3996">
        <f>TEST_DATA!C3996</f>
        <v>43737</v>
      </c>
      <c r="D3996" t="str">
        <f>TEST_DATA!D3996</f>
        <v>NON-NIL</v>
      </c>
      <c r="E3996">
        <f>TEST_DATA!E3996</f>
        <v>1596</v>
      </c>
    </row>
    <row r="3997" spans="1:5" x14ac:dyDescent="0.55000000000000004">
      <c r="A3997" t="str">
        <f>TEST_DATA!A3997</f>
        <v>27AAAAA3997Z5</v>
      </c>
      <c r="B3997" t="str">
        <f>TEST_DATA!B3997</f>
        <v>Dec-2024</v>
      </c>
      <c r="C3997">
        <f>TEST_DATA!C3997</f>
        <v>45603</v>
      </c>
      <c r="D3997" t="str">
        <f>TEST_DATA!D3997</f>
        <v>NON-NIL</v>
      </c>
      <c r="E3997">
        <f>TEST_DATA!E3997</f>
        <v>1951</v>
      </c>
    </row>
    <row r="3998" spans="1:5" x14ac:dyDescent="0.55000000000000004">
      <c r="A3998" t="str">
        <f>TEST_DATA!A3998</f>
        <v>27AAAAA3998Z5</v>
      </c>
      <c r="B3998" t="str">
        <f>TEST_DATA!B3998</f>
        <v>Sep-2018</v>
      </c>
      <c r="C3998">
        <f>TEST_DATA!C3998</f>
        <v>43576</v>
      </c>
      <c r="D3998" t="str">
        <f>TEST_DATA!D3998</f>
        <v>NIL</v>
      </c>
      <c r="E3998">
        <f>TEST_DATA!E3998</f>
        <v>2955</v>
      </c>
    </row>
    <row r="3999" spans="1:5" x14ac:dyDescent="0.55000000000000004">
      <c r="A3999" t="str">
        <f>TEST_DATA!A3999</f>
        <v>27AAAAA3999Z5</v>
      </c>
      <c r="B3999" t="str">
        <f>TEST_DATA!B3999</f>
        <v>Apr-2018</v>
      </c>
      <c r="C3999">
        <f>TEST_DATA!C3999</f>
        <v>42917</v>
      </c>
      <c r="D3999" t="str">
        <f>TEST_DATA!D3999</f>
        <v>NIL</v>
      </c>
      <c r="E3999">
        <f>TEST_DATA!E3999</f>
        <v>1029</v>
      </c>
    </row>
    <row r="4000" spans="1:5" x14ac:dyDescent="0.55000000000000004">
      <c r="A4000" t="str">
        <f>TEST_DATA!A4000</f>
        <v>27AAAAA4000Z5</v>
      </c>
      <c r="B4000" t="str">
        <f>TEST_DATA!B4000</f>
        <v>Jul-2020</v>
      </c>
      <c r="C4000">
        <f>TEST_DATA!C4000</f>
        <v>44469</v>
      </c>
      <c r="D4000" t="str">
        <f>TEST_DATA!D4000</f>
        <v>NIL</v>
      </c>
      <c r="E4000">
        <f>TEST_DATA!E4000</f>
        <v>2511</v>
      </c>
    </row>
    <row r="4001" spans="1:5" x14ac:dyDescent="0.55000000000000004">
      <c r="A4001" t="str">
        <f>TEST_DATA!A4001</f>
        <v>27AAAAA4001Z5</v>
      </c>
      <c r="B4001" t="str">
        <f>TEST_DATA!B4001</f>
        <v>Apr-2020</v>
      </c>
      <c r="C4001">
        <f>TEST_DATA!C4001</f>
        <v>43967</v>
      </c>
      <c r="D4001" t="str">
        <f>TEST_DATA!D4001</f>
        <v>NIL</v>
      </c>
      <c r="E4001">
        <f>TEST_DATA!E4001</f>
        <v>1680</v>
      </c>
    </row>
    <row r="4002" spans="1:5" x14ac:dyDescent="0.55000000000000004">
      <c r="A4002" t="str">
        <f>TEST_DATA!A4002</f>
        <v>27AAAAA4002Z5</v>
      </c>
      <c r="B4002" t="str">
        <f>TEST_DATA!B4002</f>
        <v>Nov-2017</v>
      </c>
      <c r="C4002">
        <f>TEST_DATA!C4002</f>
        <v>43211</v>
      </c>
      <c r="D4002" t="str">
        <f>TEST_DATA!D4002</f>
        <v>NON-NIL</v>
      </c>
      <c r="E4002">
        <f>TEST_DATA!E4002</f>
        <v>656</v>
      </c>
    </row>
    <row r="4003" spans="1:5" x14ac:dyDescent="0.55000000000000004">
      <c r="A4003" t="str">
        <f>TEST_DATA!A4003</f>
        <v>27AAAAA4003Z5</v>
      </c>
      <c r="B4003" t="str">
        <f>TEST_DATA!B4003</f>
        <v>Mar-2021</v>
      </c>
      <c r="C4003">
        <f>TEST_DATA!C4003</f>
        <v>44459</v>
      </c>
      <c r="D4003" t="str">
        <f>TEST_DATA!D4003</f>
        <v>NON-NIL</v>
      </c>
      <c r="E4003">
        <f>TEST_DATA!E4003</f>
        <v>653</v>
      </c>
    </row>
    <row r="4004" spans="1:5" x14ac:dyDescent="0.55000000000000004">
      <c r="A4004" t="str">
        <f>TEST_DATA!A4004</f>
        <v>27AAAAA4004Z5</v>
      </c>
      <c r="B4004" t="str">
        <f>TEST_DATA!B4004</f>
        <v>May-2020</v>
      </c>
      <c r="C4004">
        <f>TEST_DATA!C4004</f>
        <v>44689</v>
      </c>
      <c r="D4004" t="str">
        <f>TEST_DATA!D4004</f>
        <v>NON-NIL</v>
      </c>
      <c r="E4004">
        <f>TEST_DATA!E4004</f>
        <v>2422</v>
      </c>
    </row>
    <row r="4005" spans="1:5" x14ac:dyDescent="0.55000000000000004">
      <c r="A4005" t="str">
        <f>TEST_DATA!A4005</f>
        <v>27AAAAA4005Z5</v>
      </c>
      <c r="B4005" t="str">
        <f>TEST_DATA!B4005</f>
        <v>Jan-2018</v>
      </c>
      <c r="C4005">
        <f>TEST_DATA!C4005</f>
        <v>43426</v>
      </c>
      <c r="D4005" t="str">
        <f>TEST_DATA!D4005</f>
        <v>NON-NIL</v>
      </c>
      <c r="E4005">
        <f>TEST_DATA!E4005</f>
        <v>288</v>
      </c>
    </row>
    <row r="4006" spans="1:5" x14ac:dyDescent="0.55000000000000004">
      <c r="A4006" t="str">
        <f>TEST_DATA!A4006</f>
        <v>27AAAAA4006Z5</v>
      </c>
      <c r="B4006" t="str">
        <f>TEST_DATA!B4006</f>
        <v>Feb-2018</v>
      </c>
      <c r="C4006">
        <f>TEST_DATA!C4006</f>
        <v>43482</v>
      </c>
      <c r="D4006" t="str">
        <f>TEST_DATA!D4006</f>
        <v>NIL</v>
      </c>
      <c r="E4006">
        <f>TEST_DATA!E4006</f>
        <v>1644</v>
      </c>
    </row>
    <row r="4007" spans="1:5" x14ac:dyDescent="0.55000000000000004">
      <c r="A4007" t="str">
        <f>TEST_DATA!A4007</f>
        <v>27AAAAA4007Z5</v>
      </c>
      <c r="B4007" t="str">
        <f>TEST_DATA!B4007</f>
        <v>Oct-2017</v>
      </c>
      <c r="C4007">
        <f>TEST_DATA!C4007</f>
        <v>44403</v>
      </c>
      <c r="D4007" t="str">
        <f>TEST_DATA!D4007</f>
        <v>NIL</v>
      </c>
      <c r="E4007">
        <f>TEST_DATA!E4007</f>
        <v>843</v>
      </c>
    </row>
    <row r="4008" spans="1:5" x14ac:dyDescent="0.55000000000000004">
      <c r="A4008" t="str">
        <f>TEST_DATA!A4008</f>
        <v>27AAAAA4008Z5</v>
      </c>
      <c r="B4008" t="str">
        <f>TEST_DATA!B4008</f>
        <v>Sep-2018</v>
      </c>
      <c r="C4008">
        <f>TEST_DATA!C4008</f>
        <v>43208</v>
      </c>
      <c r="D4008" t="str">
        <f>TEST_DATA!D4008</f>
        <v>NON-NIL</v>
      </c>
      <c r="E4008">
        <f>TEST_DATA!E4008</f>
        <v>1341</v>
      </c>
    </row>
    <row r="4009" spans="1:5" x14ac:dyDescent="0.55000000000000004">
      <c r="A4009" t="str">
        <f>TEST_DATA!A4009</f>
        <v>27AAAAA4009Z5</v>
      </c>
      <c r="B4009" t="str">
        <f>TEST_DATA!B4009</f>
        <v>Jul-2017</v>
      </c>
      <c r="C4009">
        <f>TEST_DATA!C4009</f>
        <v>44221</v>
      </c>
      <c r="D4009" t="str">
        <f>TEST_DATA!D4009</f>
        <v>NIL</v>
      </c>
      <c r="E4009">
        <f>TEST_DATA!E4009</f>
        <v>2132</v>
      </c>
    </row>
    <row r="4010" spans="1:5" x14ac:dyDescent="0.55000000000000004">
      <c r="A4010" t="str">
        <f>TEST_DATA!A4010</f>
        <v>27AAAAA4010Z5</v>
      </c>
      <c r="B4010" t="str">
        <f>TEST_DATA!B4010</f>
        <v>Apr-2018</v>
      </c>
      <c r="C4010">
        <f>TEST_DATA!C4010</f>
        <v>43990</v>
      </c>
      <c r="D4010" t="str">
        <f>TEST_DATA!D4010</f>
        <v>NIL</v>
      </c>
      <c r="E4010">
        <f>TEST_DATA!E4010</f>
        <v>2574</v>
      </c>
    </row>
    <row r="4011" spans="1:5" x14ac:dyDescent="0.55000000000000004">
      <c r="A4011" t="str">
        <f>TEST_DATA!A4011</f>
        <v>27AAAAA4011Z5</v>
      </c>
      <c r="B4011" t="str">
        <f>TEST_DATA!B4011</f>
        <v>Apr-2020</v>
      </c>
      <c r="C4011">
        <f>TEST_DATA!C4011</f>
        <v>44795</v>
      </c>
      <c r="D4011" t="str">
        <f>TEST_DATA!D4011</f>
        <v>NIL</v>
      </c>
      <c r="E4011">
        <f>TEST_DATA!E4011</f>
        <v>2705</v>
      </c>
    </row>
    <row r="4012" spans="1:5" x14ac:dyDescent="0.55000000000000004">
      <c r="A4012" t="str">
        <f>TEST_DATA!A4012</f>
        <v>27AAAAA4012Z5</v>
      </c>
      <c r="B4012" t="str">
        <f>TEST_DATA!B4012</f>
        <v>Sep-2018</v>
      </c>
      <c r="C4012">
        <f>TEST_DATA!C4012</f>
        <v>43528</v>
      </c>
      <c r="D4012" t="str">
        <f>TEST_DATA!D4012</f>
        <v>NIL</v>
      </c>
      <c r="E4012">
        <f>TEST_DATA!E4012</f>
        <v>2216</v>
      </c>
    </row>
    <row r="4013" spans="1:5" x14ac:dyDescent="0.55000000000000004">
      <c r="A4013" t="str">
        <f>TEST_DATA!A4013</f>
        <v>27AAAAA4013Z5</v>
      </c>
      <c r="B4013" t="str">
        <f>TEST_DATA!B4013</f>
        <v>Jan-2021</v>
      </c>
      <c r="C4013">
        <f>TEST_DATA!C4013</f>
        <v>45327</v>
      </c>
      <c r="D4013" t="str">
        <f>TEST_DATA!D4013</f>
        <v>NIL</v>
      </c>
      <c r="E4013">
        <f>TEST_DATA!E4013</f>
        <v>288</v>
      </c>
    </row>
    <row r="4014" spans="1:5" x14ac:dyDescent="0.55000000000000004">
      <c r="A4014" t="str">
        <f>TEST_DATA!A4014</f>
        <v>27AAAAA4014Z5</v>
      </c>
      <c r="B4014" t="str">
        <f>TEST_DATA!B4014</f>
        <v>Dec-2024</v>
      </c>
      <c r="C4014">
        <f>TEST_DATA!C4014</f>
        <v>44864</v>
      </c>
      <c r="D4014" t="str">
        <f>TEST_DATA!D4014</f>
        <v>NON-NIL</v>
      </c>
      <c r="E4014">
        <f>TEST_DATA!E4014</f>
        <v>167</v>
      </c>
    </row>
    <row r="4015" spans="1:5" x14ac:dyDescent="0.55000000000000004">
      <c r="A4015" t="str">
        <f>TEST_DATA!A4015</f>
        <v>27AAAAA4015Z5</v>
      </c>
      <c r="B4015" t="str">
        <f>TEST_DATA!B4015</f>
        <v>Jul-2018</v>
      </c>
      <c r="C4015">
        <f>TEST_DATA!C4015</f>
        <v>43440</v>
      </c>
      <c r="D4015" t="str">
        <f>TEST_DATA!D4015</f>
        <v>NIL</v>
      </c>
      <c r="E4015">
        <f>TEST_DATA!E4015</f>
        <v>2567</v>
      </c>
    </row>
    <row r="4016" spans="1:5" x14ac:dyDescent="0.55000000000000004">
      <c r="A4016" t="str">
        <f>TEST_DATA!A4016</f>
        <v>27AAAAA4016Z5</v>
      </c>
      <c r="B4016" t="str">
        <f>TEST_DATA!B4016</f>
        <v>Sep-2018</v>
      </c>
      <c r="C4016">
        <f>TEST_DATA!C4016</f>
        <v>43789</v>
      </c>
      <c r="D4016" t="str">
        <f>TEST_DATA!D4016</f>
        <v>NIL</v>
      </c>
      <c r="E4016">
        <f>TEST_DATA!E4016</f>
        <v>2907</v>
      </c>
    </row>
    <row r="4017" spans="1:5" x14ac:dyDescent="0.55000000000000004">
      <c r="A4017" t="str">
        <f>TEST_DATA!A4017</f>
        <v>27AAAAA4017Z5</v>
      </c>
      <c r="B4017" t="str">
        <f>TEST_DATA!B4017</f>
        <v>Jul-2020</v>
      </c>
      <c r="C4017">
        <f>TEST_DATA!C4017</f>
        <v>44828</v>
      </c>
      <c r="D4017" t="str">
        <f>TEST_DATA!D4017</f>
        <v>NON-NIL</v>
      </c>
      <c r="E4017">
        <f>TEST_DATA!E4017</f>
        <v>920</v>
      </c>
    </row>
    <row r="4018" spans="1:5" x14ac:dyDescent="0.55000000000000004">
      <c r="A4018" t="str">
        <f>TEST_DATA!A4018</f>
        <v>27AAAAA4018Z5</v>
      </c>
      <c r="B4018" t="str">
        <f>TEST_DATA!B4018</f>
        <v>Jun-2019</v>
      </c>
      <c r="C4018">
        <f>TEST_DATA!C4018</f>
        <v>43888</v>
      </c>
      <c r="D4018" t="str">
        <f>TEST_DATA!D4018</f>
        <v>NIL</v>
      </c>
      <c r="E4018">
        <f>TEST_DATA!E4018</f>
        <v>2997</v>
      </c>
    </row>
    <row r="4019" spans="1:5" x14ac:dyDescent="0.55000000000000004">
      <c r="A4019" t="str">
        <f>TEST_DATA!A4019</f>
        <v>27AAAAA4019Z5</v>
      </c>
      <c r="B4019" t="str">
        <f>TEST_DATA!B4019</f>
        <v>Apr-2020</v>
      </c>
      <c r="C4019">
        <f>TEST_DATA!C4019</f>
        <v>44573</v>
      </c>
      <c r="D4019" t="str">
        <f>TEST_DATA!D4019</f>
        <v>NIL</v>
      </c>
      <c r="E4019">
        <f>TEST_DATA!E4019</f>
        <v>2723</v>
      </c>
    </row>
    <row r="4020" spans="1:5" x14ac:dyDescent="0.55000000000000004">
      <c r="A4020" t="str">
        <f>TEST_DATA!A4020</f>
        <v>27AAAAA4020Z5</v>
      </c>
      <c r="B4020" t="str">
        <f>TEST_DATA!B4020</f>
        <v>Jan-2019</v>
      </c>
      <c r="C4020">
        <f>TEST_DATA!C4020</f>
        <v>45237</v>
      </c>
      <c r="D4020" t="str">
        <f>TEST_DATA!D4020</f>
        <v>NON-NIL</v>
      </c>
      <c r="E4020">
        <f>TEST_DATA!E4020</f>
        <v>232</v>
      </c>
    </row>
    <row r="4021" spans="1:5" x14ac:dyDescent="0.55000000000000004">
      <c r="A4021" t="str">
        <f>TEST_DATA!A4021</f>
        <v>27AAAAA4021Z5</v>
      </c>
      <c r="B4021" t="str">
        <f>TEST_DATA!B4021</f>
        <v>May-2020</v>
      </c>
      <c r="C4021">
        <f>TEST_DATA!C4021</f>
        <v>44046</v>
      </c>
      <c r="D4021" t="str">
        <f>TEST_DATA!D4021</f>
        <v>NON-NIL</v>
      </c>
      <c r="E4021">
        <f>TEST_DATA!E4021</f>
        <v>2965</v>
      </c>
    </row>
    <row r="4022" spans="1:5" x14ac:dyDescent="0.55000000000000004">
      <c r="A4022" t="str">
        <f>TEST_DATA!A4022</f>
        <v>27AAAAA4022Z5</v>
      </c>
      <c r="B4022" t="str">
        <f>TEST_DATA!B4022</f>
        <v>Jan-2021</v>
      </c>
      <c r="C4022">
        <f>TEST_DATA!C4022</f>
        <v>44595</v>
      </c>
      <c r="D4022" t="str">
        <f>TEST_DATA!D4022</f>
        <v>NON-NIL</v>
      </c>
      <c r="E4022">
        <f>TEST_DATA!E4022</f>
        <v>2622</v>
      </c>
    </row>
    <row r="4023" spans="1:5" x14ac:dyDescent="0.55000000000000004">
      <c r="A4023" t="str">
        <f>TEST_DATA!A4023</f>
        <v>27AAAAA4023Z5</v>
      </c>
      <c r="B4023" t="str">
        <f>TEST_DATA!B4023</f>
        <v>Jun-2019</v>
      </c>
      <c r="C4023">
        <f>TEST_DATA!C4023</f>
        <v>44812</v>
      </c>
      <c r="D4023" t="str">
        <f>TEST_DATA!D4023</f>
        <v>NON-NIL</v>
      </c>
      <c r="E4023">
        <f>TEST_DATA!E4023</f>
        <v>2731</v>
      </c>
    </row>
    <row r="4024" spans="1:5" x14ac:dyDescent="0.55000000000000004">
      <c r="A4024" t="str">
        <f>TEST_DATA!A4024</f>
        <v>27AAAAA4024Z5</v>
      </c>
      <c r="B4024" t="str">
        <f>TEST_DATA!B4024</f>
        <v>Dec-2022</v>
      </c>
      <c r="C4024">
        <f>TEST_DATA!C4024</f>
        <v>44495</v>
      </c>
      <c r="D4024" t="str">
        <f>TEST_DATA!D4024</f>
        <v>NON-NIL</v>
      </c>
      <c r="E4024">
        <f>TEST_DATA!E4024</f>
        <v>340</v>
      </c>
    </row>
    <row r="4025" spans="1:5" x14ac:dyDescent="0.55000000000000004">
      <c r="A4025" t="str">
        <f>TEST_DATA!A4025</f>
        <v>27AAAAA4025Z5</v>
      </c>
      <c r="B4025" t="str">
        <f>TEST_DATA!B4025</f>
        <v>Jul-2017</v>
      </c>
      <c r="C4025">
        <f>TEST_DATA!C4025</f>
        <v>43124</v>
      </c>
      <c r="D4025" t="str">
        <f>TEST_DATA!D4025</f>
        <v>NON-NIL</v>
      </c>
      <c r="E4025">
        <f>TEST_DATA!E4025</f>
        <v>994</v>
      </c>
    </row>
    <row r="4026" spans="1:5" x14ac:dyDescent="0.55000000000000004">
      <c r="A4026" t="str">
        <f>TEST_DATA!A4026</f>
        <v>27AAAAA4026Z5</v>
      </c>
      <c r="B4026" t="str">
        <f>TEST_DATA!B4026</f>
        <v>Mar-2020</v>
      </c>
      <c r="C4026">
        <f>TEST_DATA!C4026</f>
        <v>44844</v>
      </c>
      <c r="D4026" t="str">
        <f>TEST_DATA!D4026</f>
        <v>NIL</v>
      </c>
      <c r="E4026">
        <f>TEST_DATA!E4026</f>
        <v>2421</v>
      </c>
    </row>
    <row r="4027" spans="1:5" x14ac:dyDescent="0.55000000000000004">
      <c r="A4027" t="str">
        <f>TEST_DATA!A4027</f>
        <v>27AAAAA4027Z5</v>
      </c>
      <c r="B4027" t="str">
        <f>TEST_DATA!B4027</f>
        <v>Aug-2018</v>
      </c>
      <c r="C4027">
        <f>TEST_DATA!C4027</f>
        <v>44280</v>
      </c>
      <c r="D4027" t="str">
        <f>TEST_DATA!D4027</f>
        <v>NON-NIL</v>
      </c>
      <c r="E4027">
        <f>TEST_DATA!E4027</f>
        <v>425</v>
      </c>
    </row>
    <row r="4028" spans="1:5" x14ac:dyDescent="0.55000000000000004">
      <c r="A4028" t="str">
        <f>TEST_DATA!A4028</f>
        <v>27AAAAA4028Z5</v>
      </c>
      <c r="B4028" t="str">
        <f>TEST_DATA!B4028</f>
        <v>Mar-2021</v>
      </c>
      <c r="C4028">
        <f>TEST_DATA!C4028</f>
        <v>45464</v>
      </c>
      <c r="D4028" t="str">
        <f>TEST_DATA!D4028</f>
        <v>NON-NIL</v>
      </c>
      <c r="E4028">
        <f>TEST_DATA!E4028</f>
        <v>2484</v>
      </c>
    </row>
    <row r="4029" spans="1:5" x14ac:dyDescent="0.55000000000000004">
      <c r="A4029" t="str">
        <f>TEST_DATA!A4029</f>
        <v>27AAAAA4029Z5</v>
      </c>
      <c r="B4029" t="str">
        <f>TEST_DATA!B4029</f>
        <v>Jun-2019</v>
      </c>
      <c r="C4029">
        <f>TEST_DATA!C4029</f>
        <v>45033</v>
      </c>
      <c r="D4029" t="str">
        <f>TEST_DATA!D4029</f>
        <v>NIL</v>
      </c>
      <c r="E4029">
        <f>TEST_DATA!E4029</f>
        <v>2464</v>
      </c>
    </row>
    <row r="4030" spans="1:5" x14ac:dyDescent="0.55000000000000004">
      <c r="A4030" t="str">
        <f>TEST_DATA!A4030</f>
        <v>27AAAAA4030Z5</v>
      </c>
      <c r="B4030" t="str">
        <f>TEST_DATA!B4030</f>
        <v>Oct-2017</v>
      </c>
      <c r="C4030">
        <f>TEST_DATA!C4030</f>
        <v>44126</v>
      </c>
      <c r="D4030" t="str">
        <f>TEST_DATA!D4030</f>
        <v>NIL</v>
      </c>
      <c r="E4030">
        <f>TEST_DATA!E4030</f>
        <v>2357</v>
      </c>
    </row>
    <row r="4031" spans="1:5" x14ac:dyDescent="0.55000000000000004">
      <c r="A4031" t="str">
        <f>TEST_DATA!A4031</f>
        <v>27AAAAA4031Z5</v>
      </c>
      <c r="B4031" t="str">
        <f>TEST_DATA!B4031</f>
        <v>Oct-2017</v>
      </c>
      <c r="C4031">
        <f>TEST_DATA!C4031</f>
        <v>43157</v>
      </c>
      <c r="D4031" t="str">
        <f>TEST_DATA!D4031</f>
        <v>NIL</v>
      </c>
      <c r="E4031">
        <f>TEST_DATA!E4031</f>
        <v>1477</v>
      </c>
    </row>
    <row r="4032" spans="1:5" x14ac:dyDescent="0.55000000000000004">
      <c r="A4032" t="str">
        <f>TEST_DATA!A4032</f>
        <v>27AAAAA4032Z5</v>
      </c>
      <c r="B4032" t="str">
        <f>TEST_DATA!B4032</f>
        <v>Mar-2020</v>
      </c>
      <c r="C4032">
        <f>TEST_DATA!C4032</f>
        <v>44694</v>
      </c>
      <c r="D4032" t="str">
        <f>TEST_DATA!D4032</f>
        <v>NON-NIL</v>
      </c>
      <c r="E4032">
        <f>TEST_DATA!E4032</f>
        <v>2942</v>
      </c>
    </row>
    <row r="4033" spans="1:5" x14ac:dyDescent="0.55000000000000004">
      <c r="A4033" t="str">
        <f>TEST_DATA!A4033</f>
        <v>27AAAAA4033Z5</v>
      </c>
      <c r="B4033" t="str">
        <f>TEST_DATA!B4033</f>
        <v>Jan-2021</v>
      </c>
      <c r="C4033">
        <f>TEST_DATA!C4033</f>
        <v>43629</v>
      </c>
      <c r="D4033" t="str">
        <f>TEST_DATA!D4033</f>
        <v>NON-NIL</v>
      </c>
      <c r="E4033">
        <f>TEST_DATA!E4033</f>
        <v>2650</v>
      </c>
    </row>
    <row r="4034" spans="1:5" x14ac:dyDescent="0.55000000000000004">
      <c r="A4034" t="str">
        <f>TEST_DATA!A4034</f>
        <v>27AAAAA4034Z5</v>
      </c>
      <c r="B4034" t="str">
        <f>TEST_DATA!B4034</f>
        <v>Apr-2021</v>
      </c>
      <c r="C4034">
        <f>TEST_DATA!C4034</f>
        <v>45269</v>
      </c>
      <c r="D4034" t="str">
        <f>TEST_DATA!D4034</f>
        <v>NON-NIL</v>
      </c>
      <c r="E4034">
        <f>TEST_DATA!E4034</f>
        <v>2348</v>
      </c>
    </row>
    <row r="4035" spans="1:5" x14ac:dyDescent="0.55000000000000004">
      <c r="A4035" t="str">
        <f>TEST_DATA!A4035</f>
        <v>27AAAAA4035Z5</v>
      </c>
      <c r="B4035" t="str">
        <f>TEST_DATA!B4035</f>
        <v>Mar-2023</v>
      </c>
      <c r="C4035">
        <f>TEST_DATA!C4035</f>
        <v>45607</v>
      </c>
      <c r="D4035" t="str">
        <f>TEST_DATA!D4035</f>
        <v>NIL</v>
      </c>
      <c r="E4035">
        <f>TEST_DATA!E4035</f>
        <v>1633</v>
      </c>
    </row>
    <row r="4036" spans="1:5" x14ac:dyDescent="0.55000000000000004">
      <c r="A4036" t="str">
        <f>TEST_DATA!A4036</f>
        <v>27AAAAA4036Z5</v>
      </c>
      <c r="B4036" t="str">
        <f>TEST_DATA!B4036</f>
        <v>Dec-2022</v>
      </c>
      <c r="C4036">
        <f>TEST_DATA!C4036</f>
        <v>45234</v>
      </c>
      <c r="D4036" t="str">
        <f>TEST_DATA!D4036</f>
        <v>NIL</v>
      </c>
      <c r="E4036">
        <f>TEST_DATA!E4036</f>
        <v>884</v>
      </c>
    </row>
    <row r="4037" spans="1:5" x14ac:dyDescent="0.55000000000000004">
      <c r="A4037" t="str">
        <f>TEST_DATA!A4037</f>
        <v>27AAAAA4037Z5</v>
      </c>
      <c r="B4037" t="str">
        <f>TEST_DATA!B4037</f>
        <v>Mar-2020</v>
      </c>
      <c r="C4037">
        <f>TEST_DATA!C4037</f>
        <v>44201</v>
      </c>
      <c r="D4037" t="str">
        <f>TEST_DATA!D4037</f>
        <v>NIL</v>
      </c>
      <c r="E4037">
        <f>TEST_DATA!E4037</f>
        <v>2582</v>
      </c>
    </row>
    <row r="4038" spans="1:5" x14ac:dyDescent="0.55000000000000004">
      <c r="A4038" t="str">
        <f>TEST_DATA!A4038</f>
        <v>27AAAAA4038Z5</v>
      </c>
      <c r="B4038" t="str">
        <f>TEST_DATA!B4038</f>
        <v>May-2018</v>
      </c>
      <c r="C4038">
        <f>TEST_DATA!C4038</f>
        <v>43119</v>
      </c>
      <c r="D4038" t="str">
        <f>TEST_DATA!D4038</f>
        <v>NON-NIL</v>
      </c>
      <c r="E4038">
        <f>TEST_DATA!E4038</f>
        <v>1688</v>
      </c>
    </row>
    <row r="4039" spans="1:5" x14ac:dyDescent="0.55000000000000004">
      <c r="A4039" t="str">
        <f>TEST_DATA!A4039</f>
        <v>27AAAAA4039Z5</v>
      </c>
      <c r="B4039" t="str">
        <f>TEST_DATA!B4039</f>
        <v>Apr-2021</v>
      </c>
      <c r="C4039">
        <f>TEST_DATA!C4039</f>
        <v>43582</v>
      </c>
      <c r="D4039" t="str">
        <f>TEST_DATA!D4039</f>
        <v>NON-NIL</v>
      </c>
      <c r="E4039">
        <f>TEST_DATA!E4039</f>
        <v>1038</v>
      </c>
    </row>
    <row r="4040" spans="1:5" x14ac:dyDescent="0.55000000000000004">
      <c r="A4040" t="str">
        <f>TEST_DATA!A4040</f>
        <v>27AAAAA4040Z5</v>
      </c>
      <c r="B4040" t="str">
        <f>TEST_DATA!B4040</f>
        <v>Jun-2018</v>
      </c>
      <c r="C4040">
        <f>TEST_DATA!C4040</f>
        <v>44315</v>
      </c>
      <c r="D4040" t="str">
        <f>TEST_DATA!D4040</f>
        <v>NON-NIL</v>
      </c>
      <c r="E4040">
        <f>TEST_DATA!E4040</f>
        <v>1443</v>
      </c>
    </row>
    <row r="4041" spans="1:5" x14ac:dyDescent="0.55000000000000004">
      <c r="A4041" t="str">
        <f>TEST_DATA!A4041</f>
        <v>27AAAAA4041Z5</v>
      </c>
      <c r="B4041" t="str">
        <f>TEST_DATA!B4041</f>
        <v>Feb-2018</v>
      </c>
      <c r="C4041">
        <f>TEST_DATA!C4041</f>
        <v>43483</v>
      </c>
      <c r="D4041" t="str">
        <f>TEST_DATA!D4041</f>
        <v>NON-NIL</v>
      </c>
      <c r="E4041">
        <f>TEST_DATA!E4041</f>
        <v>195</v>
      </c>
    </row>
    <row r="4042" spans="1:5" x14ac:dyDescent="0.55000000000000004">
      <c r="A4042" t="str">
        <f>TEST_DATA!A4042</f>
        <v>27AAAAA4042Z5</v>
      </c>
      <c r="B4042" t="str">
        <f>TEST_DATA!B4042</f>
        <v>May-2018</v>
      </c>
      <c r="C4042">
        <f>TEST_DATA!C4042</f>
        <v>43855</v>
      </c>
      <c r="D4042" t="str">
        <f>TEST_DATA!D4042</f>
        <v>NON-NIL</v>
      </c>
      <c r="E4042">
        <f>TEST_DATA!E4042</f>
        <v>657</v>
      </c>
    </row>
    <row r="4043" spans="1:5" x14ac:dyDescent="0.55000000000000004">
      <c r="A4043" t="str">
        <f>TEST_DATA!A4043</f>
        <v>27AAAAA4043Z5</v>
      </c>
      <c r="B4043" t="str">
        <f>TEST_DATA!B4043</f>
        <v>Jan-2018</v>
      </c>
      <c r="C4043">
        <f>TEST_DATA!C4043</f>
        <v>44060</v>
      </c>
      <c r="D4043" t="str">
        <f>TEST_DATA!D4043</f>
        <v>NON-NIL</v>
      </c>
      <c r="E4043">
        <f>TEST_DATA!E4043</f>
        <v>1643</v>
      </c>
    </row>
    <row r="4044" spans="1:5" x14ac:dyDescent="0.55000000000000004">
      <c r="A4044" t="str">
        <f>TEST_DATA!A4044</f>
        <v>27AAAAA4044Z5</v>
      </c>
      <c r="B4044" t="str">
        <f>TEST_DATA!B4044</f>
        <v>Mar-2021</v>
      </c>
      <c r="C4044">
        <f>TEST_DATA!C4044</f>
        <v>44893</v>
      </c>
      <c r="D4044" t="str">
        <f>TEST_DATA!D4044</f>
        <v>NIL</v>
      </c>
      <c r="E4044">
        <f>TEST_DATA!E4044</f>
        <v>2047</v>
      </c>
    </row>
    <row r="4045" spans="1:5" x14ac:dyDescent="0.55000000000000004">
      <c r="A4045" t="str">
        <f>TEST_DATA!A4045</f>
        <v>27AAAAA4045Z5</v>
      </c>
      <c r="B4045" t="str">
        <f>TEST_DATA!B4045</f>
        <v>Mar-2023</v>
      </c>
      <c r="C4045">
        <f>TEST_DATA!C4045</f>
        <v>43830</v>
      </c>
      <c r="D4045" t="str">
        <f>TEST_DATA!D4045</f>
        <v>NON-NIL</v>
      </c>
      <c r="E4045">
        <f>TEST_DATA!E4045</f>
        <v>1440</v>
      </c>
    </row>
    <row r="4046" spans="1:5" x14ac:dyDescent="0.55000000000000004">
      <c r="A4046" t="str">
        <f>TEST_DATA!A4046</f>
        <v>27AAAAA4046Z5</v>
      </c>
      <c r="B4046" t="str">
        <f>TEST_DATA!B4046</f>
        <v>Apr-2020</v>
      </c>
      <c r="C4046">
        <f>TEST_DATA!C4046</f>
        <v>44297</v>
      </c>
      <c r="D4046" t="str">
        <f>TEST_DATA!D4046</f>
        <v>NON-NIL</v>
      </c>
      <c r="E4046">
        <f>TEST_DATA!E4046</f>
        <v>1252</v>
      </c>
    </row>
    <row r="4047" spans="1:5" x14ac:dyDescent="0.55000000000000004">
      <c r="A4047" t="str">
        <f>TEST_DATA!A4047</f>
        <v>27AAAAA4047Z5</v>
      </c>
      <c r="B4047" t="str">
        <f>TEST_DATA!B4047</f>
        <v>Oct-2017</v>
      </c>
      <c r="C4047">
        <f>TEST_DATA!C4047</f>
        <v>44395</v>
      </c>
      <c r="D4047" t="str">
        <f>TEST_DATA!D4047</f>
        <v>NIL</v>
      </c>
      <c r="E4047">
        <f>TEST_DATA!E4047</f>
        <v>2619</v>
      </c>
    </row>
    <row r="4048" spans="1:5" x14ac:dyDescent="0.55000000000000004">
      <c r="A4048" t="str">
        <f>TEST_DATA!A4048</f>
        <v>27AAAAA4048Z5</v>
      </c>
      <c r="B4048" t="str">
        <f>TEST_DATA!B4048</f>
        <v>Jul-2018</v>
      </c>
      <c r="C4048">
        <f>TEST_DATA!C4048</f>
        <v>43557</v>
      </c>
      <c r="D4048" t="str">
        <f>TEST_DATA!D4048</f>
        <v>NON-NIL</v>
      </c>
      <c r="E4048">
        <f>TEST_DATA!E4048</f>
        <v>2619</v>
      </c>
    </row>
    <row r="4049" spans="1:5" x14ac:dyDescent="0.55000000000000004">
      <c r="A4049" t="str">
        <f>TEST_DATA!A4049</f>
        <v>27AAAAA4049Z5</v>
      </c>
      <c r="B4049" t="str">
        <f>TEST_DATA!B4049</f>
        <v>Dec-2017</v>
      </c>
      <c r="C4049">
        <f>TEST_DATA!C4049</f>
        <v>44466</v>
      </c>
      <c r="D4049" t="str">
        <f>TEST_DATA!D4049</f>
        <v>NON-NIL</v>
      </c>
      <c r="E4049">
        <f>TEST_DATA!E4049</f>
        <v>828</v>
      </c>
    </row>
    <row r="4050" spans="1:5" x14ac:dyDescent="0.55000000000000004">
      <c r="A4050" t="str">
        <f>TEST_DATA!A4050</f>
        <v>27AAAAA4050Z5</v>
      </c>
      <c r="B4050" t="str">
        <f>TEST_DATA!B4050</f>
        <v>Mar-2018</v>
      </c>
      <c r="C4050">
        <f>TEST_DATA!C4050</f>
        <v>44365</v>
      </c>
      <c r="D4050" t="str">
        <f>TEST_DATA!D4050</f>
        <v>NON-NIL</v>
      </c>
      <c r="E4050">
        <f>TEST_DATA!E4050</f>
        <v>1436</v>
      </c>
    </row>
    <row r="4051" spans="1:5" x14ac:dyDescent="0.55000000000000004">
      <c r="A4051" t="str">
        <f>TEST_DATA!A4051</f>
        <v>27AAAAA4051Z5</v>
      </c>
      <c r="B4051" t="str">
        <f>TEST_DATA!B4051</f>
        <v>May-2018</v>
      </c>
      <c r="C4051">
        <f>TEST_DATA!C4051</f>
        <v>43813</v>
      </c>
      <c r="D4051" t="str">
        <f>TEST_DATA!D4051</f>
        <v>NON-NIL</v>
      </c>
      <c r="E4051">
        <f>TEST_DATA!E4051</f>
        <v>652</v>
      </c>
    </row>
    <row r="4052" spans="1:5" x14ac:dyDescent="0.55000000000000004">
      <c r="A4052" t="str">
        <f>TEST_DATA!A4052</f>
        <v>27AAAAA4052Z5</v>
      </c>
      <c r="B4052" t="str">
        <f>TEST_DATA!B4052</f>
        <v>Dec-2017</v>
      </c>
      <c r="C4052">
        <f>TEST_DATA!C4052</f>
        <v>43578</v>
      </c>
      <c r="D4052" t="str">
        <f>TEST_DATA!D4052</f>
        <v>NIL</v>
      </c>
      <c r="E4052">
        <f>TEST_DATA!E4052</f>
        <v>456</v>
      </c>
    </row>
    <row r="4053" spans="1:5" x14ac:dyDescent="0.55000000000000004">
      <c r="A4053" t="str">
        <f>TEST_DATA!A4053</f>
        <v>27AAAAA4053Z5</v>
      </c>
      <c r="B4053" t="str">
        <f>TEST_DATA!B4053</f>
        <v>Jan-2018</v>
      </c>
      <c r="C4053">
        <f>TEST_DATA!C4053</f>
        <v>44108</v>
      </c>
      <c r="D4053" t="str">
        <f>TEST_DATA!D4053</f>
        <v>NON-NIL</v>
      </c>
      <c r="E4053">
        <f>TEST_DATA!E4053</f>
        <v>2073</v>
      </c>
    </row>
    <row r="4054" spans="1:5" x14ac:dyDescent="0.55000000000000004">
      <c r="A4054" t="str">
        <f>TEST_DATA!A4054</f>
        <v>27AAAAA4054Z5</v>
      </c>
      <c r="B4054" t="str">
        <f>TEST_DATA!B4054</f>
        <v>Jul-2020</v>
      </c>
      <c r="C4054">
        <f>TEST_DATA!C4054</f>
        <v>44437</v>
      </c>
      <c r="D4054" t="str">
        <f>TEST_DATA!D4054</f>
        <v>NIL</v>
      </c>
      <c r="E4054">
        <f>TEST_DATA!E4054</f>
        <v>1630</v>
      </c>
    </row>
    <row r="4055" spans="1:5" x14ac:dyDescent="0.55000000000000004">
      <c r="A4055" t="str">
        <f>TEST_DATA!A4055</f>
        <v>27AAAAA4055Z5</v>
      </c>
      <c r="B4055" t="str">
        <f>TEST_DATA!B4055</f>
        <v>Apr-2020</v>
      </c>
      <c r="C4055">
        <f>TEST_DATA!C4055</f>
        <v>43986</v>
      </c>
      <c r="D4055" t="str">
        <f>TEST_DATA!D4055</f>
        <v>NIL</v>
      </c>
      <c r="E4055">
        <f>TEST_DATA!E4055</f>
        <v>382</v>
      </c>
    </row>
    <row r="4056" spans="1:5" x14ac:dyDescent="0.55000000000000004">
      <c r="A4056" t="str">
        <f>TEST_DATA!A4056</f>
        <v>27AAAAA4056Z5</v>
      </c>
      <c r="B4056" t="str">
        <f>TEST_DATA!B4056</f>
        <v>Sep-2017</v>
      </c>
      <c r="C4056">
        <f>TEST_DATA!C4056</f>
        <v>44374</v>
      </c>
      <c r="D4056" t="str">
        <f>TEST_DATA!D4056</f>
        <v>NON-NIL</v>
      </c>
      <c r="E4056">
        <f>TEST_DATA!E4056</f>
        <v>1078</v>
      </c>
    </row>
    <row r="4057" spans="1:5" x14ac:dyDescent="0.55000000000000004">
      <c r="A4057" t="str">
        <f>TEST_DATA!A4057</f>
        <v>27AAAAA4057Z5</v>
      </c>
      <c r="B4057" t="str">
        <f>TEST_DATA!B4057</f>
        <v>Nov-2017</v>
      </c>
      <c r="C4057">
        <f>TEST_DATA!C4057</f>
        <v>44383</v>
      </c>
      <c r="D4057" t="str">
        <f>TEST_DATA!D4057</f>
        <v>NON-NIL</v>
      </c>
      <c r="E4057">
        <f>TEST_DATA!E4057</f>
        <v>2182</v>
      </c>
    </row>
    <row r="4058" spans="1:5" x14ac:dyDescent="0.55000000000000004">
      <c r="A4058" t="str">
        <f>TEST_DATA!A4058</f>
        <v>27AAAAA4058Z5</v>
      </c>
      <c r="B4058" t="str">
        <f>TEST_DATA!B4058</f>
        <v>Jun-2018</v>
      </c>
      <c r="C4058">
        <f>TEST_DATA!C4058</f>
        <v>43729</v>
      </c>
      <c r="D4058" t="str">
        <f>TEST_DATA!D4058</f>
        <v>NIL</v>
      </c>
      <c r="E4058">
        <f>TEST_DATA!E4058</f>
        <v>1577</v>
      </c>
    </row>
    <row r="4059" spans="1:5" x14ac:dyDescent="0.55000000000000004">
      <c r="A4059" t="str">
        <f>TEST_DATA!A4059</f>
        <v>27AAAAA4059Z5</v>
      </c>
      <c r="B4059" t="str">
        <f>TEST_DATA!B4059</f>
        <v>Oct-2017</v>
      </c>
      <c r="C4059">
        <f>TEST_DATA!C4059</f>
        <v>44424</v>
      </c>
      <c r="D4059" t="str">
        <f>TEST_DATA!D4059</f>
        <v>NON-NIL</v>
      </c>
      <c r="E4059">
        <f>TEST_DATA!E4059</f>
        <v>2512</v>
      </c>
    </row>
    <row r="4060" spans="1:5" x14ac:dyDescent="0.55000000000000004">
      <c r="A4060" t="str">
        <f>TEST_DATA!A4060</f>
        <v>27AAAAA4060Z5</v>
      </c>
      <c r="B4060" t="str">
        <f>TEST_DATA!B4060</f>
        <v>Mar-2020</v>
      </c>
      <c r="C4060">
        <f>TEST_DATA!C4060</f>
        <v>43999</v>
      </c>
      <c r="D4060" t="str">
        <f>TEST_DATA!D4060</f>
        <v>NON-NIL</v>
      </c>
      <c r="E4060">
        <f>TEST_DATA!E4060</f>
        <v>920</v>
      </c>
    </row>
    <row r="4061" spans="1:5" x14ac:dyDescent="0.55000000000000004">
      <c r="A4061" t="str">
        <f>TEST_DATA!A4061</f>
        <v>27AAAAA4061Z5</v>
      </c>
      <c r="B4061" t="str">
        <f>TEST_DATA!B4061</f>
        <v>Sep-2018</v>
      </c>
      <c r="C4061">
        <f>TEST_DATA!C4061</f>
        <v>43000</v>
      </c>
      <c r="D4061" t="str">
        <f>TEST_DATA!D4061</f>
        <v>NIL</v>
      </c>
      <c r="E4061">
        <f>TEST_DATA!E4061</f>
        <v>2244</v>
      </c>
    </row>
    <row r="4062" spans="1:5" x14ac:dyDescent="0.55000000000000004">
      <c r="A4062" t="str">
        <f>TEST_DATA!A4062</f>
        <v>27AAAAA4062Z5</v>
      </c>
      <c r="B4062" t="str">
        <f>TEST_DATA!B4062</f>
        <v>Nov-2017</v>
      </c>
      <c r="C4062">
        <f>TEST_DATA!C4062</f>
        <v>44284</v>
      </c>
      <c r="D4062" t="str">
        <f>TEST_DATA!D4062</f>
        <v>NON-NIL</v>
      </c>
      <c r="E4062">
        <f>TEST_DATA!E4062</f>
        <v>107</v>
      </c>
    </row>
    <row r="4063" spans="1:5" x14ac:dyDescent="0.55000000000000004">
      <c r="A4063" t="str">
        <f>TEST_DATA!A4063</f>
        <v>27AAAAA4063Z5</v>
      </c>
      <c r="B4063" t="str">
        <f>TEST_DATA!B4063</f>
        <v>Jan-2019</v>
      </c>
      <c r="C4063">
        <f>TEST_DATA!C4063</f>
        <v>44385</v>
      </c>
      <c r="D4063" t="str">
        <f>TEST_DATA!D4063</f>
        <v>NIL</v>
      </c>
      <c r="E4063">
        <f>TEST_DATA!E4063</f>
        <v>1004</v>
      </c>
    </row>
    <row r="4064" spans="1:5" x14ac:dyDescent="0.55000000000000004">
      <c r="A4064" t="str">
        <f>TEST_DATA!A4064</f>
        <v>27AAAAA4064Z5</v>
      </c>
      <c r="B4064" t="str">
        <f>TEST_DATA!B4064</f>
        <v>Dec-2024</v>
      </c>
      <c r="C4064">
        <f>TEST_DATA!C4064</f>
        <v>44391</v>
      </c>
      <c r="D4064" t="str">
        <f>TEST_DATA!D4064</f>
        <v>NON-NIL</v>
      </c>
      <c r="E4064">
        <f>TEST_DATA!E4064</f>
        <v>2653</v>
      </c>
    </row>
    <row r="4065" spans="1:5" x14ac:dyDescent="0.55000000000000004">
      <c r="A4065" t="str">
        <f>TEST_DATA!A4065</f>
        <v>27AAAAA4065Z5</v>
      </c>
      <c r="B4065" t="str">
        <f>TEST_DATA!B4065</f>
        <v>Apr-2021</v>
      </c>
      <c r="C4065">
        <f>TEST_DATA!C4065</f>
        <v>44350</v>
      </c>
      <c r="D4065" t="str">
        <f>TEST_DATA!D4065</f>
        <v>NIL</v>
      </c>
      <c r="E4065">
        <f>TEST_DATA!E4065</f>
        <v>50</v>
      </c>
    </row>
    <row r="4066" spans="1:5" x14ac:dyDescent="0.55000000000000004">
      <c r="A4066" t="str">
        <f>TEST_DATA!A4066</f>
        <v>27AAAAA4066Z5</v>
      </c>
      <c r="B4066" t="str">
        <f>TEST_DATA!B4066</f>
        <v>Apr-2018</v>
      </c>
      <c r="C4066">
        <f>TEST_DATA!C4066</f>
        <v>43416</v>
      </c>
      <c r="D4066" t="str">
        <f>TEST_DATA!D4066</f>
        <v>NIL</v>
      </c>
      <c r="E4066">
        <f>TEST_DATA!E4066</f>
        <v>2507</v>
      </c>
    </row>
    <row r="4067" spans="1:5" x14ac:dyDescent="0.55000000000000004">
      <c r="A4067" t="str">
        <f>TEST_DATA!A4067</f>
        <v>27AAAAA4067Z5</v>
      </c>
      <c r="B4067" t="str">
        <f>TEST_DATA!B4067</f>
        <v>Jan-2019</v>
      </c>
      <c r="C4067">
        <f>TEST_DATA!C4067</f>
        <v>45263</v>
      </c>
      <c r="D4067" t="str">
        <f>TEST_DATA!D4067</f>
        <v>NON-NIL</v>
      </c>
      <c r="E4067">
        <f>TEST_DATA!E4067</f>
        <v>2278</v>
      </c>
    </row>
    <row r="4068" spans="1:5" x14ac:dyDescent="0.55000000000000004">
      <c r="A4068" t="str">
        <f>TEST_DATA!A4068</f>
        <v>27AAAAA4068Z5</v>
      </c>
      <c r="B4068" t="str">
        <f>TEST_DATA!B4068</f>
        <v>Dec-2019</v>
      </c>
      <c r="C4068">
        <f>TEST_DATA!C4068</f>
        <v>45792</v>
      </c>
      <c r="D4068" t="str">
        <f>TEST_DATA!D4068</f>
        <v>NIL</v>
      </c>
      <c r="E4068">
        <f>TEST_DATA!E4068</f>
        <v>1688</v>
      </c>
    </row>
    <row r="4069" spans="1:5" x14ac:dyDescent="0.55000000000000004">
      <c r="A4069" t="str">
        <f>TEST_DATA!A4069</f>
        <v>27AAAAA4069Z5</v>
      </c>
      <c r="B4069" t="str">
        <f>TEST_DATA!B4069</f>
        <v>Dec-2017</v>
      </c>
      <c r="C4069">
        <f>TEST_DATA!C4069</f>
        <v>43979</v>
      </c>
      <c r="D4069" t="str">
        <f>TEST_DATA!D4069</f>
        <v>NON-NIL</v>
      </c>
      <c r="E4069">
        <f>TEST_DATA!E4069</f>
        <v>2569</v>
      </c>
    </row>
    <row r="4070" spans="1:5" x14ac:dyDescent="0.55000000000000004">
      <c r="A4070" t="str">
        <f>TEST_DATA!A4070</f>
        <v>27AAAAA4070Z5</v>
      </c>
      <c r="B4070" t="str">
        <f>TEST_DATA!B4070</f>
        <v>Mar-2020</v>
      </c>
      <c r="C4070">
        <f>TEST_DATA!C4070</f>
        <v>44623</v>
      </c>
      <c r="D4070" t="str">
        <f>TEST_DATA!D4070</f>
        <v>NON-NIL</v>
      </c>
      <c r="E4070">
        <f>TEST_DATA!E4070</f>
        <v>2894</v>
      </c>
    </row>
    <row r="4071" spans="1:5" x14ac:dyDescent="0.55000000000000004">
      <c r="A4071" t="str">
        <f>TEST_DATA!A4071</f>
        <v>27AAAAA4071Z5</v>
      </c>
      <c r="B4071" t="str">
        <f>TEST_DATA!B4071</f>
        <v>Apr-2021</v>
      </c>
      <c r="C4071">
        <f>TEST_DATA!C4071</f>
        <v>44956</v>
      </c>
      <c r="D4071" t="str">
        <f>TEST_DATA!D4071</f>
        <v>NON-NIL</v>
      </c>
      <c r="E4071">
        <f>TEST_DATA!E4071</f>
        <v>1766</v>
      </c>
    </row>
    <row r="4072" spans="1:5" x14ac:dyDescent="0.55000000000000004">
      <c r="A4072" t="str">
        <f>TEST_DATA!A4072</f>
        <v>27AAAAA4072Z5</v>
      </c>
      <c r="B4072" t="str">
        <f>TEST_DATA!B4072</f>
        <v>Jun-2018</v>
      </c>
      <c r="C4072">
        <f>TEST_DATA!C4072</f>
        <v>43663</v>
      </c>
      <c r="D4072" t="str">
        <f>TEST_DATA!D4072</f>
        <v>NIL</v>
      </c>
      <c r="E4072">
        <f>TEST_DATA!E4072</f>
        <v>1311</v>
      </c>
    </row>
    <row r="4073" spans="1:5" x14ac:dyDescent="0.55000000000000004">
      <c r="A4073" t="str">
        <f>TEST_DATA!A4073</f>
        <v>27AAAAA4073Z5</v>
      </c>
      <c r="B4073" t="str">
        <f>TEST_DATA!B4073</f>
        <v>Dec-2019</v>
      </c>
      <c r="C4073">
        <f>TEST_DATA!C4073</f>
        <v>44928</v>
      </c>
      <c r="D4073" t="str">
        <f>TEST_DATA!D4073</f>
        <v>NIL</v>
      </c>
      <c r="E4073">
        <f>TEST_DATA!E4073</f>
        <v>2839</v>
      </c>
    </row>
    <row r="4074" spans="1:5" x14ac:dyDescent="0.55000000000000004">
      <c r="A4074" t="str">
        <f>TEST_DATA!A4074</f>
        <v>27AAAAA4074Z5</v>
      </c>
      <c r="B4074" t="str">
        <f>TEST_DATA!B4074</f>
        <v>Nov-2017</v>
      </c>
      <c r="C4074">
        <f>TEST_DATA!C4074</f>
        <v>43575</v>
      </c>
      <c r="D4074" t="str">
        <f>TEST_DATA!D4074</f>
        <v>NIL</v>
      </c>
      <c r="E4074">
        <f>TEST_DATA!E4074</f>
        <v>2204</v>
      </c>
    </row>
    <row r="4075" spans="1:5" x14ac:dyDescent="0.55000000000000004">
      <c r="A4075" t="str">
        <f>TEST_DATA!A4075</f>
        <v>27AAAAA4075Z5</v>
      </c>
      <c r="B4075" t="str">
        <f>TEST_DATA!B4075</f>
        <v>Mar-2020</v>
      </c>
      <c r="C4075">
        <f>TEST_DATA!C4075</f>
        <v>44094</v>
      </c>
      <c r="D4075" t="str">
        <f>TEST_DATA!D4075</f>
        <v>NIL</v>
      </c>
      <c r="E4075">
        <f>TEST_DATA!E4075</f>
        <v>2078</v>
      </c>
    </row>
    <row r="4076" spans="1:5" x14ac:dyDescent="0.55000000000000004">
      <c r="A4076" t="str">
        <f>TEST_DATA!A4076</f>
        <v>27AAAAA4076Z5</v>
      </c>
      <c r="B4076" t="str">
        <f>TEST_DATA!B4076</f>
        <v>Jul-2020</v>
      </c>
      <c r="C4076">
        <f>TEST_DATA!C4076</f>
        <v>44805</v>
      </c>
      <c r="D4076" t="str">
        <f>TEST_DATA!D4076</f>
        <v>NON-NIL</v>
      </c>
      <c r="E4076">
        <f>TEST_DATA!E4076</f>
        <v>429</v>
      </c>
    </row>
    <row r="4077" spans="1:5" x14ac:dyDescent="0.55000000000000004">
      <c r="A4077" t="str">
        <f>TEST_DATA!A4077</f>
        <v>27AAAAA4077Z5</v>
      </c>
      <c r="B4077" t="str">
        <f>TEST_DATA!B4077</f>
        <v>Apr-2021</v>
      </c>
      <c r="C4077">
        <f>TEST_DATA!C4077</f>
        <v>44399</v>
      </c>
      <c r="D4077" t="str">
        <f>TEST_DATA!D4077</f>
        <v>NON-NIL</v>
      </c>
      <c r="E4077">
        <f>TEST_DATA!E4077</f>
        <v>2939</v>
      </c>
    </row>
    <row r="4078" spans="1:5" x14ac:dyDescent="0.55000000000000004">
      <c r="A4078" t="str">
        <f>TEST_DATA!A4078</f>
        <v>27AAAAA4078Z5</v>
      </c>
      <c r="B4078" t="str">
        <f>TEST_DATA!B4078</f>
        <v>Jul-2020</v>
      </c>
      <c r="C4078">
        <f>TEST_DATA!C4078</f>
        <v>44289</v>
      </c>
      <c r="D4078" t="str">
        <f>TEST_DATA!D4078</f>
        <v>NON-NIL</v>
      </c>
      <c r="E4078">
        <f>TEST_DATA!E4078</f>
        <v>1102</v>
      </c>
    </row>
    <row r="4079" spans="1:5" x14ac:dyDescent="0.55000000000000004">
      <c r="A4079" t="str">
        <f>TEST_DATA!A4079</f>
        <v>27AAAAA4079Z5</v>
      </c>
      <c r="B4079" t="str">
        <f>TEST_DATA!B4079</f>
        <v>Mar-2020</v>
      </c>
      <c r="C4079">
        <f>TEST_DATA!C4079</f>
        <v>43939</v>
      </c>
      <c r="D4079" t="str">
        <f>TEST_DATA!D4079</f>
        <v>NON-NIL</v>
      </c>
      <c r="E4079">
        <f>TEST_DATA!E4079</f>
        <v>2534</v>
      </c>
    </row>
    <row r="4080" spans="1:5" x14ac:dyDescent="0.55000000000000004">
      <c r="A4080" t="str">
        <f>TEST_DATA!A4080</f>
        <v>27AAAAA4080Z5</v>
      </c>
      <c r="B4080" t="str">
        <f>TEST_DATA!B4080</f>
        <v>Sep-2018</v>
      </c>
      <c r="C4080">
        <f>TEST_DATA!C4080</f>
        <v>43935</v>
      </c>
      <c r="D4080" t="str">
        <f>TEST_DATA!D4080</f>
        <v>NON-NIL</v>
      </c>
      <c r="E4080">
        <f>TEST_DATA!E4080</f>
        <v>264</v>
      </c>
    </row>
    <row r="4081" spans="1:5" x14ac:dyDescent="0.55000000000000004">
      <c r="A4081" t="str">
        <f>TEST_DATA!A4081</f>
        <v>27AAAAA4081Z5</v>
      </c>
      <c r="B4081" t="str">
        <f>TEST_DATA!B4081</f>
        <v>Dec-2017</v>
      </c>
      <c r="C4081">
        <f>TEST_DATA!C4081</f>
        <v>42962</v>
      </c>
      <c r="D4081" t="str">
        <f>TEST_DATA!D4081</f>
        <v>NON-NIL</v>
      </c>
      <c r="E4081">
        <f>TEST_DATA!E4081</f>
        <v>2289</v>
      </c>
    </row>
    <row r="4082" spans="1:5" x14ac:dyDescent="0.55000000000000004">
      <c r="A4082" t="str">
        <f>TEST_DATA!A4082</f>
        <v>27AAAAA4082Z5</v>
      </c>
      <c r="B4082" t="str">
        <f>TEST_DATA!B4082</f>
        <v>May-2020</v>
      </c>
      <c r="C4082">
        <f>TEST_DATA!C4082</f>
        <v>43948</v>
      </c>
      <c r="D4082" t="str">
        <f>TEST_DATA!D4082</f>
        <v>NON-NIL</v>
      </c>
      <c r="E4082">
        <f>TEST_DATA!E4082</f>
        <v>1952</v>
      </c>
    </row>
    <row r="4083" spans="1:5" x14ac:dyDescent="0.55000000000000004">
      <c r="A4083" t="str">
        <f>TEST_DATA!A4083</f>
        <v>27AAAAA4083Z5</v>
      </c>
      <c r="B4083" t="str">
        <f>TEST_DATA!B4083</f>
        <v>Mar-2023</v>
      </c>
      <c r="C4083">
        <f>TEST_DATA!C4083</f>
        <v>44071</v>
      </c>
      <c r="D4083" t="str">
        <f>TEST_DATA!D4083</f>
        <v>NIL</v>
      </c>
      <c r="E4083">
        <f>TEST_DATA!E4083</f>
        <v>2793</v>
      </c>
    </row>
    <row r="4084" spans="1:5" x14ac:dyDescent="0.55000000000000004">
      <c r="A4084" t="str">
        <f>TEST_DATA!A4084</f>
        <v>27AAAAA4084Z5</v>
      </c>
      <c r="B4084" t="str">
        <f>TEST_DATA!B4084</f>
        <v>Jun-2018</v>
      </c>
      <c r="C4084">
        <f>TEST_DATA!C4084</f>
        <v>43050</v>
      </c>
      <c r="D4084" t="str">
        <f>TEST_DATA!D4084</f>
        <v>NON-NIL</v>
      </c>
      <c r="E4084">
        <f>TEST_DATA!E4084</f>
        <v>2333</v>
      </c>
    </row>
    <row r="4085" spans="1:5" x14ac:dyDescent="0.55000000000000004">
      <c r="A4085" t="str">
        <f>TEST_DATA!A4085</f>
        <v>27AAAAA4085Z5</v>
      </c>
      <c r="B4085" t="str">
        <f>TEST_DATA!B4085</f>
        <v>Mar-2018</v>
      </c>
      <c r="C4085">
        <f>TEST_DATA!C4085</f>
        <v>44407</v>
      </c>
      <c r="D4085" t="str">
        <f>TEST_DATA!D4085</f>
        <v>NIL</v>
      </c>
      <c r="E4085">
        <f>TEST_DATA!E4085</f>
        <v>2922</v>
      </c>
    </row>
    <row r="4086" spans="1:5" x14ac:dyDescent="0.55000000000000004">
      <c r="A4086" t="str">
        <f>TEST_DATA!A4086</f>
        <v>27AAAAA4086Z5</v>
      </c>
      <c r="B4086" t="str">
        <f>TEST_DATA!B4086</f>
        <v>Apr-2020</v>
      </c>
      <c r="C4086">
        <f>TEST_DATA!C4086</f>
        <v>44836</v>
      </c>
      <c r="D4086" t="str">
        <f>TEST_DATA!D4086</f>
        <v>NON-NIL</v>
      </c>
      <c r="E4086">
        <f>TEST_DATA!E4086</f>
        <v>2884</v>
      </c>
    </row>
    <row r="4087" spans="1:5" x14ac:dyDescent="0.55000000000000004">
      <c r="A4087" t="str">
        <f>TEST_DATA!A4087</f>
        <v>27AAAAA4087Z5</v>
      </c>
      <c r="B4087" t="str">
        <f>TEST_DATA!B4087</f>
        <v>Mar-2021</v>
      </c>
      <c r="C4087">
        <f>TEST_DATA!C4087</f>
        <v>44012</v>
      </c>
      <c r="D4087" t="str">
        <f>TEST_DATA!D4087</f>
        <v>NON-NIL</v>
      </c>
      <c r="E4087">
        <f>TEST_DATA!E4087</f>
        <v>881</v>
      </c>
    </row>
    <row r="4088" spans="1:5" x14ac:dyDescent="0.55000000000000004">
      <c r="A4088" t="str">
        <f>TEST_DATA!A4088</f>
        <v>27AAAAA4088Z5</v>
      </c>
      <c r="B4088" t="str">
        <f>TEST_DATA!B4088</f>
        <v>Jun-2020</v>
      </c>
      <c r="C4088">
        <f>TEST_DATA!C4088</f>
        <v>44756</v>
      </c>
      <c r="D4088" t="str">
        <f>TEST_DATA!D4088</f>
        <v>NON-NIL</v>
      </c>
      <c r="E4088">
        <f>TEST_DATA!E4088</f>
        <v>2205</v>
      </c>
    </row>
    <row r="4089" spans="1:5" x14ac:dyDescent="0.55000000000000004">
      <c r="A4089" t="str">
        <f>TEST_DATA!A4089</f>
        <v>27AAAAA4089Z5</v>
      </c>
      <c r="B4089" t="str">
        <f>TEST_DATA!B4089</f>
        <v>Jul-2020</v>
      </c>
      <c r="C4089">
        <f>TEST_DATA!C4089</f>
        <v>44454</v>
      </c>
      <c r="D4089" t="str">
        <f>TEST_DATA!D4089</f>
        <v>NON-NIL</v>
      </c>
      <c r="E4089">
        <f>TEST_DATA!E4089</f>
        <v>952</v>
      </c>
    </row>
    <row r="4090" spans="1:5" x14ac:dyDescent="0.55000000000000004">
      <c r="A4090" t="str">
        <f>TEST_DATA!A4090</f>
        <v>27AAAAA4090Z5</v>
      </c>
      <c r="B4090" t="str">
        <f>TEST_DATA!B4090</f>
        <v>Mar-2020</v>
      </c>
      <c r="C4090">
        <f>TEST_DATA!C4090</f>
        <v>44871</v>
      </c>
      <c r="D4090" t="str">
        <f>TEST_DATA!D4090</f>
        <v>NON-NIL</v>
      </c>
      <c r="E4090">
        <f>TEST_DATA!E4090</f>
        <v>590</v>
      </c>
    </row>
    <row r="4091" spans="1:5" x14ac:dyDescent="0.55000000000000004">
      <c r="A4091" t="str">
        <f>TEST_DATA!A4091</f>
        <v>27AAAAA4091Z5</v>
      </c>
      <c r="B4091" t="str">
        <f>TEST_DATA!B4091</f>
        <v>Mar-2021</v>
      </c>
      <c r="C4091">
        <f>TEST_DATA!C4091</f>
        <v>45676</v>
      </c>
      <c r="D4091" t="str">
        <f>TEST_DATA!D4091</f>
        <v>NON-NIL</v>
      </c>
      <c r="E4091">
        <f>TEST_DATA!E4091</f>
        <v>27</v>
      </c>
    </row>
    <row r="4092" spans="1:5" x14ac:dyDescent="0.55000000000000004">
      <c r="A4092" t="str">
        <f>TEST_DATA!A4092</f>
        <v>27AAAAA4092Z5</v>
      </c>
      <c r="B4092" t="str">
        <f>TEST_DATA!B4092</f>
        <v>Apr-2020</v>
      </c>
      <c r="C4092">
        <f>TEST_DATA!C4092</f>
        <v>43939</v>
      </c>
      <c r="D4092" t="str">
        <f>TEST_DATA!D4092</f>
        <v>NON-NIL</v>
      </c>
      <c r="E4092">
        <f>TEST_DATA!E4092</f>
        <v>2406</v>
      </c>
    </row>
    <row r="4093" spans="1:5" x14ac:dyDescent="0.55000000000000004">
      <c r="A4093" t="str">
        <f>TEST_DATA!A4093</f>
        <v>27AAAAA4093Z5</v>
      </c>
      <c r="B4093" t="str">
        <f>TEST_DATA!B4093</f>
        <v>Oct-2017</v>
      </c>
      <c r="C4093">
        <f>TEST_DATA!C4093</f>
        <v>44503</v>
      </c>
      <c r="D4093" t="str">
        <f>TEST_DATA!D4093</f>
        <v>NIL</v>
      </c>
      <c r="E4093">
        <f>TEST_DATA!E4093</f>
        <v>2514</v>
      </c>
    </row>
    <row r="4094" spans="1:5" x14ac:dyDescent="0.55000000000000004">
      <c r="A4094" t="str">
        <f>TEST_DATA!A4094</f>
        <v>27AAAAA4094Z5</v>
      </c>
      <c r="B4094" t="str">
        <f>TEST_DATA!B4094</f>
        <v>Sep-2017</v>
      </c>
      <c r="C4094">
        <f>TEST_DATA!C4094</f>
        <v>44001</v>
      </c>
      <c r="D4094" t="str">
        <f>TEST_DATA!D4094</f>
        <v>NON-NIL</v>
      </c>
      <c r="E4094">
        <f>TEST_DATA!E4094</f>
        <v>2991</v>
      </c>
    </row>
    <row r="4095" spans="1:5" x14ac:dyDescent="0.55000000000000004">
      <c r="A4095" t="str">
        <f>TEST_DATA!A4095</f>
        <v>27AAAAA4095Z5</v>
      </c>
      <c r="B4095" t="str">
        <f>TEST_DATA!B4095</f>
        <v>Dec-2017</v>
      </c>
      <c r="C4095">
        <f>TEST_DATA!C4095</f>
        <v>44417</v>
      </c>
      <c r="D4095" t="str">
        <f>TEST_DATA!D4095</f>
        <v>NIL</v>
      </c>
      <c r="E4095">
        <f>TEST_DATA!E4095</f>
        <v>1019</v>
      </c>
    </row>
    <row r="4096" spans="1:5" x14ac:dyDescent="0.55000000000000004">
      <c r="A4096" t="str">
        <f>TEST_DATA!A4096</f>
        <v>27AAAAA4096Z5</v>
      </c>
      <c r="B4096" t="str">
        <f>TEST_DATA!B4096</f>
        <v>Apr-2020</v>
      </c>
      <c r="C4096">
        <f>TEST_DATA!C4096</f>
        <v>44198</v>
      </c>
      <c r="D4096" t="str">
        <f>TEST_DATA!D4096</f>
        <v>NIL</v>
      </c>
      <c r="E4096">
        <f>TEST_DATA!E4096</f>
        <v>120</v>
      </c>
    </row>
    <row r="4097" spans="1:5" x14ac:dyDescent="0.55000000000000004">
      <c r="A4097" t="str">
        <f>TEST_DATA!A4097</f>
        <v>27AAAAA4097Z5</v>
      </c>
      <c r="B4097" t="str">
        <f>TEST_DATA!B4097</f>
        <v>May-2020</v>
      </c>
      <c r="C4097">
        <f>TEST_DATA!C4097</f>
        <v>44844</v>
      </c>
      <c r="D4097" t="str">
        <f>TEST_DATA!D4097</f>
        <v>NIL</v>
      </c>
      <c r="E4097">
        <f>TEST_DATA!E4097</f>
        <v>1359</v>
      </c>
    </row>
    <row r="4098" spans="1:5" x14ac:dyDescent="0.55000000000000004">
      <c r="A4098" t="str">
        <f>TEST_DATA!A4098</f>
        <v>27AAAAA4098Z5</v>
      </c>
      <c r="B4098" t="str">
        <f>TEST_DATA!B4098</f>
        <v>Sep-2017</v>
      </c>
      <c r="C4098">
        <f>TEST_DATA!C4098</f>
        <v>43109</v>
      </c>
      <c r="D4098" t="str">
        <f>TEST_DATA!D4098</f>
        <v>NON-NIL</v>
      </c>
      <c r="E4098">
        <f>TEST_DATA!E4098</f>
        <v>2351</v>
      </c>
    </row>
    <row r="4099" spans="1:5" x14ac:dyDescent="0.55000000000000004">
      <c r="A4099" t="str">
        <f>TEST_DATA!A4099</f>
        <v>27AAAAA4099Z5</v>
      </c>
      <c r="B4099" t="str">
        <f>TEST_DATA!B4099</f>
        <v>Jul-2020</v>
      </c>
      <c r="C4099">
        <f>TEST_DATA!C4099</f>
        <v>44624</v>
      </c>
      <c r="D4099" t="str">
        <f>TEST_DATA!D4099</f>
        <v>NON-NIL</v>
      </c>
      <c r="E4099">
        <f>TEST_DATA!E4099</f>
        <v>1561</v>
      </c>
    </row>
    <row r="4100" spans="1:5" x14ac:dyDescent="0.55000000000000004">
      <c r="A4100" t="str">
        <f>TEST_DATA!A4100</f>
        <v>27AAAAA4100Z5</v>
      </c>
      <c r="B4100" t="str">
        <f>TEST_DATA!B4100</f>
        <v>Jul-2020</v>
      </c>
      <c r="C4100">
        <f>TEST_DATA!C4100</f>
        <v>44802</v>
      </c>
      <c r="D4100" t="str">
        <f>TEST_DATA!D4100</f>
        <v>NIL</v>
      </c>
      <c r="E4100">
        <f>TEST_DATA!E4100</f>
        <v>1406</v>
      </c>
    </row>
    <row r="4101" spans="1:5" x14ac:dyDescent="0.55000000000000004">
      <c r="A4101" t="str">
        <f>TEST_DATA!A4101</f>
        <v>27AAAAA4101Z5</v>
      </c>
      <c r="B4101" t="str">
        <f>TEST_DATA!B4101</f>
        <v>Dec-2017</v>
      </c>
      <c r="C4101">
        <f>TEST_DATA!C4101</f>
        <v>43113</v>
      </c>
      <c r="D4101" t="str">
        <f>TEST_DATA!D4101</f>
        <v>NON-NIL</v>
      </c>
      <c r="E4101">
        <f>TEST_DATA!E4101</f>
        <v>1454</v>
      </c>
    </row>
    <row r="4102" spans="1:5" x14ac:dyDescent="0.55000000000000004">
      <c r="A4102" t="str">
        <f>TEST_DATA!A4102</f>
        <v>27AAAAA4102Z5</v>
      </c>
      <c r="B4102" t="str">
        <f>TEST_DATA!B4102</f>
        <v>Dec-2017</v>
      </c>
      <c r="C4102">
        <f>TEST_DATA!C4102</f>
        <v>44365</v>
      </c>
      <c r="D4102" t="str">
        <f>TEST_DATA!D4102</f>
        <v>NON-NIL</v>
      </c>
      <c r="E4102">
        <f>TEST_DATA!E4102</f>
        <v>1032</v>
      </c>
    </row>
    <row r="4103" spans="1:5" x14ac:dyDescent="0.55000000000000004">
      <c r="A4103" t="str">
        <f>TEST_DATA!A4103</f>
        <v>27AAAAA4103Z5</v>
      </c>
      <c r="B4103" t="str">
        <f>TEST_DATA!B4103</f>
        <v>Jan-2019</v>
      </c>
      <c r="C4103">
        <f>TEST_DATA!C4103</f>
        <v>43837</v>
      </c>
      <c r="D4103" t="str">
        <f>TEST_DATA!D4103</f>
        <v>NIL</v>
      </c>
      <c r="E4103">
        <f>TEST_DATA!E4103</f>
        <v>1067</v>
      </c>
    </row>
    <row r="4104" spans="1:5" x14ac:dyDescent="0.55000000000000004">
      <c r="A4104" t="str">
        <f>TEST_DATA!A4104</f>
        <v>27AAAAA4104Z5</v>
      </c>
      <c r="B4104" t="str">
        <f>TEST_DATA!B4104</f>
        <v>Jul-2018</v>
      </c>
      <c r="C4104">
        <f>TEST_DATA!C4104</f>
        <v>43327</v>
      </c>
      <c r="D4104" t="str">
        <f>TEST_DATA!D4104</f>
        <v>NIL</v>
      </c>
      <c r="E4104">
        <f>TEST_DATA!E4104</f>
        <v>1438</v>
      </c>
    </row>
    <row r="4105" spans="1:5" x14ac:dyDescent="0.55000000000000004">
      <c r="A4105" t="str">
        <f>TEST_DATA!A4105</f>
        <v>27AAAAA4105Z5</v>
      </c>
      <c r="B4105" t="str">
        <f>TEST_DATA!B4105</f>
        <v>May-2020</v>
      </c>
      <c r="C4105">
        <f>TEST_DATA!C4105</f>
        <v>43998</v>
      </c>
      <c r="D4105" t="str">
        <f>TEST_DATA!D4105</f>
        <v>NON-NIL</v>
      </c>
      <c r="E4105">
        <f>TEST_DATA!E4105</f>
        <v>1850</v>
      </c>
    </row>
    <row r="4106" spans="1:5" x14ac:dyDescent="0.55000000000000004">
      <c r="A4106" t="str">
        <f>TEST_DATA!A4106</f>
        <v>27AAAAA4106Z5</v>
      </c>
      <c r="B4106" t="str">
        <f>TEST_DATA!B4106</f>
        <v>Mar-2021</v>
      </c>
      <c r="C4106">
        <f>TEST_DATA!C4106</f>
        <v>43851</v>
      </c>
      <c r="D4106" t="str">
        <f>TEST_DATA!D4106</f>
        <v>NON-NIL</v>
      </c>
      <c r="E4106">
        <f>TEST_DATA!E4106</f>
        <v>83</v>
      </c>
    </row>
    <row r="4107" spans="1:5" x14ac:dyDescent="0.55000000000000004">
      <c r="A4107" t="str">
        <f>TEST_DATA!A4107</f>
        <v>27AAAAA4107Z5</v>
      </c>
      <c r="B4107" t="str">
        <f>TEST_DATA!B4107</f>
        <v>Dec-2024</v>
      </c>
      <c r="C4107">
        <f>TEST_DATA!C4107</f>
        <v>43715</v>
      </c>
      <c r="D4107" t="str">
        <f>TEST_DATA!D4107</f>
        <v>NIL</v>
      </c>
      <c r="E4107">
        <f>TEST_DATA!E4107</f>
        <v>2796</v>
      </c>
    </row>
    <row r="4108" spans="1:5" x14ac:dyDescent="0.55000000000000004">
      <c r="A4108" t="str">
        <f>TEST_DATA!A4108</f>
        <v>27AAAAA4108Z5</v>
      </c>
      <c r="B4108" t="str">
        <f>TEST_DATA!B4108</f>
        <v>Jun-2018</v>
      </c>
      <c r="C4108">
        <f>TEST_DATA!C4108</f>
        <v>43112</v>
      </c>
      <c r="D4108" t="str">
        <f>TEST_DATA!D4108</f>
        <v>NIL</v>
      </c>
      <c r="E4108">
        <f>TEST_DATA!E4108</f>
        <v>7</v>
      </c>
    </row>
    <row r="4109" spans="1:5" x14ac:dyDescent="0.55000000000000004">
      <c r="A4109" t="str">
        <f>TEST_DATA!A4109</f>
        <v>27AAAAA4109Z5</v>
      </c>
      <c r="B4109" t="str">
        <f>TEST_DATA!B4109</f>
        <v>Jun-2019</v>
      </c>
      <c r="C4109">
        <f>TEST_DATA!C4109</f>
        <v>43517</v>
      </c>
      <c r="D4109" t="str">
        <f>TEST_DATA!D4109</f>
        <v>NIL</v>
      </c>
      <c r="E4109">
        <f>TEST_DATA!E4109</f>
        <v>1338</v>
      </c>
    </row>
    <row r="4110" spans="1:5" x14ac:dyDescent="0.55000000000000004">
      <c r="A4110" t="str">
        <f>TEST_DATA!A4110</f>
        <v>27AAAAA4110Z5</v>
      </c>
      <c r="B4110" t="str">
        <f>TEST_DATA!B4110</f>
        <v>Jul-2018</v>
      </c>
      <c r="C4110">
        <f>TEST_DATA!C4110</f>
        <v>43544</v>
      </c>
      <c r="D4110" t="str">
        <f>TEST_DATA!D4110</f>
        <v>NIL</v>
      </c>
      <c r="E4110">
        <f>TEST_DATA!E4110</f>
        <v>2326</v>
      </c>
    </row>
    <row r="4111" spans="1:5" x14ac:dyDescent="0.55000000000000004">
      <c r="A4111" t="str">
        <f>TEST_DATA!A4111</f>
        <v>27AAAAA4111Z5</v>
      </c>
      <c r="B4111" t="str">
        <f>TEST_DATA!B4111</f>
        <v>Mar-2020</v>
      </c>
      <c r="C4111">
        <f>TEST_DATA!C4111</f>
        <v>44598</v>
      </c>
      <c r="D4111" t="str">
        <f>TEST_DATA!D4111</f>
        <v>NIL</v>
      </c>
      <c r="E4111">
        <f>TEST_DATA!E4111</f>
        <v>706</v>
      </c>
    </row>
    <row r="4112" spans="1:5" x14ac:dyDescent="0.55000000000000004">
      <c r="A4112" t="str">
        <f>TEST_DATA!A4112</f>
        <v>27AAAAA4112Z5</v>
      </c>
      <c r="B4112" t="str">
        <f>TEST_DATA!B4112</f>
        <v>Jan-2018</v>
      </c>
      <c r="C4112">
        <f>TEST_DATA!C4112</f>
        <v>44220</v>
      </c>
      <c r="D4112" t="str">
        <f>TEST_DATA!D4112</f>
        <v>NON-NIL</v>
      </c>
      <c r="E4112">
        <f>TEST_DATA!E4112</f>
        <v>744</v>
      </c>
    </row>
    <row r="4113" spans="1:5" x14ac:dyDescent="0.55000000000000004">
      <c r="A4113" t="str">
        <f>TEST_DATA!A4113</f>
        <v>27AAAAA4113Z5</v>
      </c>
      <c r="B4113" t="str">
        <f>TEST_DATA!B4113</f>
        <v>Dec-2019</v>
      </c>
      <c r="C4113">
        <f>TEST_DATA!C4113</f>
        <v>44360</v>
      </c>
      <c r="D4113" t="str">
        <f>TEST_DATA!D4113</f>
        <v>NON-NIL</v>
      </c>
      <c r="E4113">
        <f>TEST_DATA!E4113</f>
        <v>397</v>
      </c>
    </row>
    <row r="4114" spans="1:5" x14ac:dyDescent="0.55000000000000004">
      <c r="A4114" t="str">
        <f>TEST_DATA!A4114</f>
        <v>27AAAAA4114Z5</v>
      </c>
      <c r="B4114" t="str">
        <f>TEST_DATA!B4114</f>
        <v>Mar-2023</v>
      </c>
      <c r="C4114">
        <f>TEST_DATA!C4114</f>
        <v>44099</v>
      </c>
      <c r="D4114" t="str">
        <f>TEST_DATA!D4114</f>
        <v>NON-NIL</v>
      </c>
      <c r="E4114">
        <f>TEST_DATA!E4114</f>
        <v>2351</v>
      </c>
    </row>
    <row r="4115" spans="1:5" x14ac:dyDescent="0.55000000000000004">
      <c r="A4115" t="str">
        <f>TEST_DATA!A4115</f>
        <v>27AAAAA4115Z5</v>
      </c>
      <c r="B4115" t="str">
        <f>TEST_DATA!B4115</f>
        <v>Dec-2017</v>
      </c>
      <c r="C4115">
        <f>TEST_DATA!C4115</f>
        <v>43819</v>
      </c>
      <c r="D4115" t="str">
        <f>TEST_DATA!D4115</f>
        <v>NIL</v>
      </c>
      <c r="E4115">
        <f>TEST_DATA!E4115</f>
        <v>2078</v>
      </c>
    </row>
    <row r="4116" spans="1:5" x14ac:dyDescent="0.55000000000000004">
      <c r="A4116" t="str">
        <f>TEST_DATA!A4116</f>
        <v>27AAAAA4116Z5</v>
      </c>
      <c r="B4116" t="str">
        <f>TEST_DATA!B4116</f>
        <v>Nov-2017</v>
      </c>
      <c r="C4116">
        <f>TEST_DATA!C4116</f>
        <v>43828</v>
      </c>
      <c r="D4116" t="str">
        <f>TEST_DATA!D4116</f>
        <v>NIL</v>
      </c>
      <c r="E4116">
        <f>TEST_DATA!E4116</f>
        <v>2548</v>
      </c>
    </row>
    <row r="4117" spans="1:5" x14ac:dyDescent="0.55000000000000004">
      <c r="A4117" t="str">
        <f>TEST_DATA!A4117</f>
        <v>27AAAAA4117Z5</v>
      </c>
      <c r="B4117" t="str">
        <f>TEST_DATA!B4117</f>
        <v>Aug-2017</v>
      </c>
      <c r="C4117">
        <f>TEST_DATA!C4117</f>
        <v>44017</v>
      </c>
      <c r="D4117" t="str">
        <f>TEST_DATA!D4117</f>
        <v>NIL</v>
      </c>
      <c r="E4117">
        <f>TEST_DATA!E4117</f>
        <v>1276</v>
      </c>
    </row>
    <row r="4118" spans="1:5" x14ac:dyDescent="0.55000000000000004">
      <c r="A4118" t="str">
        <f>TEST_DATA!A4118</f>
        <v>27AAAAA4118Z5</v>
      </c>
      <c r="B4118" t="str">
        <f>TEST_DATA!B4118</f>
        <v>Apr-2018</v>
      </c>
      <c r="C4118">
        <f>TEST_DATA!C4118</f>
        <v>43137</v>
      </c>
      <c r="D4118" t="str">
        <f>TEST_DATA!D4118</f>
        <v>NON-NIL</v>
      </c>
      <c r="E4118">
        <f>TEST_DATA!E4118</f>
        <v>2797</v>
      </c>
    </row>
    <row r="4119" spans="1:5" x14ac:dyDescent="0.55000000000000004">
      <c r="A4119" t="str">
        <f>TEST_DATA!A4119</f>
        <v>27AAAAA4119Z5</v>
      </c>
      <c r="B4119" t="str">
        <f>TEST_DATA!B4119</f>
        <v>Dec-2017</v>
      </c>
      <c r="C4119">
        <f>TEST_DATA!C4119</f>
        <v>44125</v>
      </c>
      <c r="D4119" t="str">
        <f>TEST_DATA!D4119</f>
        <v>NIL</v>
      </c>
      <c r="E4119">
        <f>TEST_DATA!E4119</f>
        <v>408</v>
      </c>
    </row>
    <row r="4120" spans="1:5" x14ac:dyDescent="0.55000000000000004">
      <c r="A4120" t="str">
        <f>TEST_DATA!A4120</f>
        <v>27AAAAA4120Z5</v>
      </c>
      <c r="B4120" t="str">
        <f>TEST_DATA!B4120</f>
        <v>Jan-2019</v>
      </c>
      <c r="C4120">
        <f>TEST_DATA!C4120</f>
        <v>44257</v>
      </c>
      <c r="D4120" t="str">
        <f>TEST_DATA!D4120</f>
        <v>NIL</v>
      </c>
      <c r="E4120">
        <f>TEST_DATA!E4120</f>
        <v>2511</v>
      </c>
    </row>
    <row r="4121" spans="1:5" x14ac:dyDescent="0.55000000000000004">
      <c r="A4121" t="str">
        <f>TEST_DATA!A4121</f>
        <v>27AAAAA4121Z5</v>
      </c>
      <c r="B4121" t="str">
        <f>TEST_DATA!B4121</f>
        <v>May-2018</v>
      </c>
      <c r="C4121">
        <f>TEST_DATA!C4121</f>
        <v>43848</v>
      </c>
      <c r="D4121" t="str">
        <f>TEST_DATA!D4121</f>
        <v>NON-NIL</v>
      </c>
      <c r="E4121">
        <f>TEST_DATA!E4121</f>
        <v>1834</v>
      </c>
    </row>
    <row r="4122" spans="1:5" x14ac:dyDescent="0.55000000000000004">
      <c r="A4122" t="str">
        <f>TEST_DATA!A4122</f>
        <v>27AAAAA4122Z5</v>
      </c>
      <c r="B4122" t="str">
        <f>TEST_DATA!B4122</f>
        <v>Oct-2017</v>
      </c>
      <c r="C4122">
        <f>TEST_DATA!C4122</f>
        <v>44286</v>
      </c>
      <c r="D4122" t="str">
        <f>TEST_DATA!D4122</f>
        <v>NIL</v>
      </c>
      <c r="E4122">
        <f>TEST_DATA!E4122</f>
        <v>1385</v>
      </c>
    </row>
    <row r="4123" spans="1:5" x14ac:dyDescent="0.55000000000000004">
      <c r="A4123" t="str">
        <f>TEST_DATA!A4123</f>
        <v>27AAAAA4123Z5</v>
      </c>
      <c r="B4123" t="str">
        <f>TEST_DATA!B4123</f>
        <v>Feb-2018</v>
      </c>
      <c r="C4123">
        <f>TEST_DATA!C4123</f>
        <v>43665</v>
      </c>
      <c r="D4123" t="str">
        <f>TEST_DATA!D4123</f>
        <v>NIL</v>
      </c>
      <c r="E4123">
        <f>TEST_DATA!E4123</f>
        <v>980</v>
      </c>
    </row>
    <row r="4124" spans="1:5" x14ac:dyDescent="0.55000000000000004">
      <c r="A4124" t="str">
        <f>TEST_DATA!A4124</f>
        <v>27AAAAA4124Z5</v>
      </c>
      <c r="B4124" t="str">
        <f>TEST_DATA!B4124</f>
        <v>Dec-2022</v>
      </c>
      <c r="C4124">
        <f>TEST_DATA!C4124</f>
        <v>45476</v>
      </c>
      <c r="D4124" t="str">
        <f>TEST_DATA!D4124</f>
        <v>NIL</v>
      </c>
      <c r="E4124">
        <f>TEST_DATA!E4124</f>
        <v>1655</v>
      </c>
    </row>
    <row r="4125" spans="1:5" x14ac:dyDescent="0.55000000000000004">
      <c r="A4125" t="str">
        <f>TEST_DATA!A4125</f>
        <v>27AAAAA4125Z5</v>
      </c>
      <c r="B4125" t="str">
        <f>TEST_DATA!B4125</f>
        <v>Aug-2017</v>
      </c>
      <c r="C4125">
        <f>TEST_DATA!C4125</f>
        <v>43650</v>
      </c>
      <c r="D4125" t="str">
        <f>TEST_DATA!D4125</f>
        <v>NIL</v>
      </c>
      <c r="E4125">
        <f>TEST_DATA!E4125</f>
        <v>1967</v>
      </c>
    </row>
    <row r="4126" spans="1:5" x14ac:dyDescent="0.55000000000000004">
      <c r="A4126" t="str">
        <f>TEST_DATA!A4126</f>
        <v>27AAAAA4126Z5</v>
      </c>
      <c r="B4126" t="str">
        <f>TEST_DATA!B4126</f>
        <v>Apr-2021</v>
      </c>
      <c r="C4126">
        <f>TEST_DATA!C4126</f>
        <v>43870</v>
      </c>
      <c r="D4126" t="str">
        <f>TEST_DATA!D4126</f>
        <v>NIL</v>
      </c>
      <c r="E4126">
        <f>TEST_DATA!E4126</f>
        <v>2717</v>
      </c>
    </row>
    <row r="4127" spans="1:5" x14ac:dyDescent="0.55000000000000004">
      <c r="A4127" t="str">
        <f>TEST_DATA!A4127</f>
        <v>27AAAAA4127Z5</v>
      </c>
      <c r="B4127" t="str">
        <f>TEST_DATA!B4127</f>
        <v>May-2020</v>
      </c>
      <c r="C4127">
        <f>TEST_DATA!C4127</f>
        <v>44487</v>
      </c>
      <c r="D4127" t="str">
        <f>TEST_DATA!D4127</f>
        <v>NON-NIL</v>
      </c>
      <c r="E4127">
        <f>TEST_DATA!E4127</f>
        <v>2237</v>
      </c>
    </row>
    <row r="4128" spans="1:5" x14ac:dyDescent="0.55000000000000004">
      <c r="A4128" t="str">
        <f>TEST_DATA!A4128</f>
        <v>27AAAAA4128Z5</v>
      </c>
      <c r="B4128" t="str">
        <f>TEST_DATA!B4128</f>
        <v>May-2020</v>
      </c>
      <c r="C4128">
        <f>TEST_DATA!C4128</f>
        <v>44242</v>
      </c>
      <c r="D4128" t="str">
        <f>TEST_DATA!D4128</f>
        <v>NON-NIL</v>
      </c>
      <c r="E4128">
        <f>TEST_DATA!E4128</f>
        <v>1312</v>
      </c>
    </row>
    <row r="4129" spans="1:5" x14ac:dyDescent="0.55000000000000004">
      <c r="A4129" t="str">
        <f>TEST_DATA!A4129</f>
        <v>27AAAAA4129Z5</v>
      </c>
      <c r="B4129" t="str">
        <f>TEST_DATA!B4129</f>
        <v>Nov-2017</v>
      </c>
      <c r="C4129">
        <f>TEST_DATA!C4129</f>
        <v>43834</v>
      </c>
      <c r="D4129" t="str">
        <f>TEST_DATA!D4129</f>
        <v>NIL</v>
      </c>
      <c r="E4129">
        <f>TEST_DATA!E4129</f>
        <v>1199</v>
      </c>
    </row>
    <row r="4130" spans="1:5" x14ac:dyDescent="0.55000000000000004">
      <c r="A4130" t="str">
        <f>TEST_DATA!A4130</f>
        <v>27AAAAA4130Z5</v>
      </c>
      <c r="B4130" t="str">
        <f>TEST_DATA!B4130</f>
        <v>May-2020</v>
      </c>
      <c r="C4130">
        <f>TEST_DATA!C4130</f>
        <v>44704</v>
      </c>
      <c r="D4130" t="str">
        <f>TEST_DATA!D4130</f>
        <v>NON-NIL</v>
      </c>
      <c r="E4130">
        <f>TEST_DATA!E4130</f>
        <v>1782</v>
      </c>
    </row>
    <row r="4131" spans="1:5" x14ac:dyDescent="0.55000000000000004">
      <c r="A4131" t="str">
        <f>TEST_DATA!A4131</f>
        <v>27AAAAA4131Z5</v>
      </c>
      <c r="B4131" t="str">
        <f>TEST_DATA!B4131</f>
        <v>Jul-2018</v>
      </c>
      <c r="C4131">
        <f>TEST_DATA!C4131</f>
        <v>43085</v>
      </c>
      <c r="D4131" t="str">
        <f>TEST_DATA!D4131</f>
        <v>NON-NIL</v>
      </c>
      <c r="E4131">
        <f>TEST_DATA!E4131</f>
        <v>97</v>
      </c>
    </row>
    <row r="4132" spans="1:5" x14ac:dyDescent="0.55000000000000004">
      <c r="A4132" t="str">
        <f>TEST_DATA!A4132</f>
        <v>27AAAAA4132Z5</v>
      </c>
      <c r="B4132" t="str">
        <f>TEST_DATA!B4132</f>
        <v>Jan-2019</v>
      </c>
      <c r="C4132">
        <f>TEST_DATA!C4132</f>
        <v>43893</v>
      </c>
      <c r="D4132" t="str">
        <f>TEST_DATA!D4132</f>
        <v>NON-NIL</v>
      </c>
      <c r="E4132">
        <f>TEST_DATA!E4132</f>
        <v>2298</v>
      </c>
    </row>
    <row r="4133" spans="1:5" x14ac:dyDescent="0.55000000000000004">
      <c r="A4133" t="str">
        <f>TEST_DATA!A4133</f>
        <v>27AAAAA4133Z5</v>
      </c>
      <c r="B4133" t="str">
        <f>TEST_DATA!B4133</f>
        <v>Jan-2019</v>
      </c>
      <c r="C4133">
        <f>TEST_DATA!C4133</f>
        <v>45058</v>
      </c>
      <c r="D4133" t="str">
        <f>TEST_DATA!D4133</f>
        <v>NON-NIL</v>
      </c>
      <c r="E4133">
        <f>TEST_DATA!E4133</f>
        <v>2038</v>
      </c>
    </row>
    <row r="4134" spans="1:5" x14ac:dyDescent="0.55000000000000004">
      <c r="A4134" t="str">
        <f>TEST_DATA!A4134</f>
        <v>27AAAAA4134Z5</v>
      </c>
      <c r="B4134" t="str">
        <f>TEST_DATA!B4134</f>
        <v>Apr-2021</v>
      </c>
      <c r="C4134">
        <f>TEST_DATA!C4134</f>
        <v>44642</v>
      </c>
      <c r="D4134" t="str">
        <f>TEST_DATA!D4134</f>
        <v>NIL</v>
      </c>
      <c r="E4134">
        <f>TEST_DATA!E4134</f>
        <v>2160</v>
      </c>
    </row>
    <row r="4135" spans="1:5" x14ac:dyDescent="0.55000000000000004">
      <c r="A4135" t="str">
        <f>TEST_DATA!A4135</f>
        <v>27AAAAA4135Z5</v>
      </c>
      <c r="B4135" t="str">
        <f>TEST_DATA!B4135</f>
        <v>Dec-2022</v>
      </c>
      <c r="C4135">
        <f>TEST_DATA!C4135</f>
        <v>43636</v>
      </c>
      <c r="D4135" t="str">
        <f>TEST_DATA!D4135</f>
        <v>NIL</v>
      </c>
      <c r="E4135">
        <f>TEST_DATA!E4135</f>
        <v>365</v>
      </c>
    </row>
    <row r="4136" spans="1:5" x14ac:dyDescent="0.55000000000000004">
      <c r="A4136" t="str">
        <f>TEST_DATA!A4136</f>
        <v>27AAAAA4136Z5</v>
      </c>
      <c r="B4136" t="str">
        <f>TEST_DATA!B4136</f>
        <v>Apr-2018</v>
      </c>
      <c r="C4136">
        <f>TEST_DATA!C4136</f>
        <v>44120</v>
      </c>
      <c r="D4136" t="str">
        <f>TEST_DATA!D4136</f>
        <v>NIL</v>
      </c>
      <c r="E4136">
        <f>TEST_DATA!E4136</f>
        <v>2625</v>
      </c>
    </row>
    <row r="4137" spans="1:5" x14ac:dyDescent="0.55000000000000004">
      <c r="A4137" t="str">
        <f>TEST_DATA!A4137</f>
        <v>27AAAAA4137Z5</v>
      </c>
      <c r="B4137" t="str">
        <f>TEST_DATA!B4137</f>
        <v>May-2018</v>
      </c>
      <c r="C4137">
        <f>TEST_DATA!C4137</f>
        <v>44430</v>
      </c>
      <c r="D4137" t="str">
        <f>TEST_DATA!D4137</f>
        <v>NIL</v>
      </c>
      <c r="E4137">
        <f>TEST_DATA!E4137</f>
        <v>2188</v>
      </c>
    </row>
    <row r="4138" spans="1:5" x14ac:dyDescent="0.55000000000000004">
      <c r="A4138" t="str">
        <f>TEST_DATA!A4138</f>
        <v>27AAAAA4138Z5</v>
      </c>
      <c r="B4138" t="str">
        <f>TEST_DATA!B4138</f>
        <v>Jul-2017</v>
      </c>
      <c r="C4138">
        <f>TEST_DATA!C4138</f>
        <v>43013</v>
      </c>
      <c r="D4138" t="str">
        <f>TEST_DATA!D4138</f>
        <v>NON-NIL</v>
      </c>
      <c r="E4138">
        <f>TEST_DATA!E4138</f>
        <v>1576</v>
      </c>
    </row>
    <row r="4139" spans="1:5" x14ac:dyDescent="0.55000000000000004">
      <c r="A4139" t="str">
        <f>TEST_DATA!A4139</f>
        <v>27AAAAA4139Z5</v>
      </c>
      <c r="B4139" t="str">
        <f>TEST_DATA!B4139</f>
        <v>Jan-2018</v>
      </c>
      <c r="C4139">
        <f>TEST_DATA!C4139</f>
        <v>43637</v>
      </c>
      <c r="D4139" t="str">
        <f>TEST_DATA!D4139</f>
        <v>NIL</v>
      </c>
      <c r="E4139">
        <f>TEST_DATA!E4139</f>
        <v>2802</v>
      </c>
    </row>
    <row r="4140" spans="1:5" x14ac:dyDescent="0.55000000000000004">
      <c r="A4140" t="str">
        <f>TEST_DATA!A4140</f>
        <v>27AAAAA4140Z5</v>
      </c>
      <c r="B4140" t="str">
        <f>TEST_DATA!B4140</f>
        <v>Mar-2023</v>
      </c>
      <c r="C4140">
        <f>TEST_DATA!C4140</f>
        <v>45242</v>
      </c>
      <c r="D4140" t="str">
        <f>TEST_DATA!D4140</f>
        <v>NIL</v>
      </c>
      <c r="E4140">
        <f>TEST_DATA!E4140</f>
        <v>2083</v>
      </c>
    </row>
    <row r="4141" spans="1:5" x14ac:dyDescent="0.55000000000000004">
      <c r="A4141" t="str">
        <f>TEST_DATA!A4141</f>
        <v>27AAAAA4141Z5</v>
      </c>
      <c r="B4141" t="str">
        <f>TEST_DATA!B4141</f>
        <v>Jun-2018</v>
      </c>
      <c r="C4141">
        <f>TEST_DATA!C4141</f>
        <v>44311</v>
      </c>
      <c r="D4141" t="str">
        <f>TEST_DATA!D4141</f>
        <v>NIL</v>
      </c>
      <c r="E4141">
        <f>TEST_DATA!E4141</f>
        <v>878</v>
      </c>
    </row>
    <row r="4142" spans="1:5" x14ac:dyDescent="0.55000000000000004">
      <c r="A4142" t="str">
        <f>TEST_DATA!A4142</f>
        <v>27AAAAA4142Z5</v>
      </c>
      <c r="B4142" t="str">
        <f>TEST_DATA!B4142</f>
        <v>Oct-2017</v>
      </c>
      <c r="C4142">
        <f>TEST_DATA!C4142</f>
        <v>43853</v>
      </c>
      <c r="D4142" t="str">
        <f>TEST_DATA!D4142</f>
        <v>NIL</v>
      </c>
      <c r="E4142">
        <f>TEST_DATA!E4142</f>
        <v>907</v>
      </c>
    </row>
    <row r="4143" spans="1:5" x14ac:dyDescent="0.55000000000000004">
      <c r="A4143" t="str">
        <f>TEST_DATA!A4143</f>
        <v>27AAAAA4143Z5</v>
      </c>
      <c r="B4143" t="str">
        <f>TEST_DATA!B4143</f>
        <v>Jul-2020</v>
      </c>
      <c r="C4143">
        <f>TEST_DATA!C4143</f>
        <v>44486</v>
      </c>
      <c r="D4143" t="str">
        <f>TEST_DATA!D4143</f>
        <v>NIL</v>
      </c>
      <c r="E4143">
        <f>TEST_DATA!E4143</f>
        <v>2924</v>
      </c>
    </row>
    <row r="4144" spans="1:5" x14ac:dyDescent="0.55000000000000004">
      <c r="A4144" t="str">
        <f>TEST_DATA!A4144</f>
        <v>27AAAAA4144Z5</v>
      </c>
      <c r="B4144" t="str">
        <f>TEST_DATA!B4144</f>
        <v>Jan-2018</v>
      </c>
      <c r="C4144">
        <f>TEST_DATA!C4144</f>
        <v>43931</v>
      </c>
      <c r="D4144" t="str">
        <f>TEST_DATA!D4144</f>
        <v>NIL</v>
      </c>
      <c r="E4144">
        <f>TEST_DATA!E4144</f>
        <v>2339</v>
      </c>
    </row>
    <row r="4145" spans="1:5" x14ac:dyDescent="0.55000000000000004">
      <c r="A4145" t="str">
        <f>TEST_DATA!A4145</f>
        <v>27AAAAA4145Z5</v>
      </c>
      <c r="B4145" t="str">
        <f>TEST_DATA!B4145</f>
        <v>May-2020</v>
      </c>
      <c r="C4145">
        <f>TEST_DATA!C4145</f>
        <v>43862</v>
      </c>
      <c r="D4145" t="str">
        <f>TEST_DATA!D4145</f>
        <v>NIL</v>
      </c>
      <c r="E4145">
        <f>TEST_DATA!E4145</f>
        <v>1562</v>
      </c>
    </row>
    <row r="4146" spans="1:5" x14ac:dyDescent="0.55000000000000004">
      <c r="A4146" t="str">
        <f>TEST_DATA!A4146</f>
        <v>27AAAAA4146Z5</v>
      </c>
      <c r="B4146" t="str">
        <f>TEST_DATA!B4146</f>
        <v>Jan-2018</v>
      </c>
      <c r="C4146">
        <f>TEST_DATA!C4146</f>
        <v>44328</v>
      </c>
      <c r="D4146" t="str">
        <f>TEST_DATA!D4146</f>
        <v>NIL</v>
      </c>
      <c r="E4146">
        <f>TEST_DATA!E4146</f>
        <v>1189</v>
      </c>
    </row>
    <row r="4147" spans="1:5" x14ac:dyDescent="0.55000000000000004">
      <c r="A4147" t="str">
        <f>TEST_DATA!A4147</f>
        <v>27AAAAA4147Z5</v>
      </c>
      <c r="B4147" t="str">
        <f>TEST_DATA!B4147</f>
        <v>Jul-2017</v>
      </c>
      <c r="C4147">
        <f>TEST_DATA!C4147</f>
        <v>43409</v>
      </c>
      <c r="D4147" t="str">
        <f>TEST_DATA!D4147</f>
        <v>NON-NIL</v>
      </c>
      <c r="E4147">
        <f>TEST_DATA!E4147</f>
        <v>725</v>
      </c>
    </row>
    <row r="4148" spans="1:5" x14ac:dyDescent="0.55000000000000004">
      <c r="A4148" t="str">
        <f>TEST_DATA!A4148</f>
        <v>27AAAAA4148Z5</v>
      </c>
      <c r="B4148" t="str">
        <f>TEST_DATA!B4148</f>
        <v>Jul-2018</v>
      </c>
      <c r="C4148">
        <f>TEST_DATA!C4148</f>
        <v>43384</v>
      </c>
      <c r="D4148" t="str">
        <f>TEST_DATA!D4148</f>
        <v>NON-NIL</v>
      </c>
      <c r="E4148">
        <f>TEST_DATA!E4148</f>
        <v>1646</v>
      </c>
    </row>
    <row r="4149" spans="1:5" x14ac:dyDescent="0.55000000000000004">
      <c r="A4149" t="str">
        <f>TEST_DATA!A4149</f>
        <v>27AAAAA4149Z5</v>
      </c>
      <c r="B4149" t="str">
        <f>TEST_DATA!B4149</f>
        <v>Aug-2017</v>
      </c>
      <c r="C4149">
        <f>TEST_DATA!C4149</f>
        <v>43236</v>
      </c>
      <c r="D4149" t="str">
        <f>TEST_DATA!D4149</f>
        <v>NIL</v>
      </c>
      <c r="E4149">
        <f>TEST_DATA!E4149</f>
        <v>2452</v>
      </c>
    </row>
    <row r="4150" spans="1:5" x14ac:dyDescent="0.55000000000000004">
      <c r="A4150" t="str">
        <f>TEST_DATA!A4150</f>
        <v>27AAAAA4150Z5</v>
      </c>
      <c r="B4150" t="str">
        <f>TEST_DATA!B4150</f>
        <v>Feb-2018</v>
      </c>
      <c r="C4150">
        <f>TEST_DATA!C4150</f>
        <v>44190</v>
      </c>
      <c r="D4150" t="str">
        <f>TEST_DATA!D4150</f>
        <v>NON-NIL</v>
      </c>
      <c r="E4150">
        <f>TEST_DATA!E4150</f>
        <v>1731</v>
      </c>
    </row>
    <row r="4151" spans="1:5" x14ac:dyDescent="0.55000000000000004">
      <c r="A4151" t="str">
        <f>TEST_DATA!A4151</f>
        <v>27AAAAA4151Z5</v>
      </c>
      <c r="B4151" t="str">
        <f>TEST_DATA!B4151</f>
        <v>Jun-2020</v>
      </c>
      <c r="C4151">
        <f>TEST_DATA!C4151</f>
        <v>44465</v>
      </c>
      <c r="D4151" t="str">
        <f>TEST_DATA!D4151</f>
        <v>NIL</v>
      </c>
      <c r="E4151">
        <f>TEST_DATA!E4151</f>
        <v>2676</v>
      </c>
    </row>
    <row r="4152" spans="1:5" x14ac:dyDescent="0.55000000000000004">
      <c r="A4152" t="str">
        <f>TEST_DATA!A4152</f>
        <v>27AAAAA4152Z5</v>
      </c>
      <c r="B4152" t="str">
        <f>TEST_DATA!B4152</f>
        <v>Jan-2021</v>
      </c>
      <c r="C4152">
        <f>TEST_DATA!C4152</f>
        <v>44582</v>
      </c>
      <c r="D4152" t="str">
        <f>TEST_DATA!D4152</f>
        <v>NON-NIL</v>
      </c>
      <c r="E4152">
        <f>TEST_DATA!E4152</f>
        <v>2827</v>
      </c>
    </row>
    <row r="4153" spans="1:5" x14ac:dyDescent="0.55000000000000004">
      <c r="A4153" t="str">
        <f>TEST_DATA!A4153</f>
        <v>27AAAAA4153Z5</v>
      </c>
      <c r="B4153" t="str">
        <f>TEST_DATA!B4153</f>
        <v>Jul-2017</v>
      </c>
      <c r="C4153">
        <f>TEST_DATA!C4153</f>
        <v>43768</v>
      </c>
      <c r="D4153" t="str">
        <f>TEST_DATA!D4153</f>
        <v>NON-NIL</v>
      </c>
      <c r="E4153">
        <f>TEST_DATA!E4153</f>
        <v>1544</v>
      </c>
    </row>
    <row r="4154" spans="1:5" x14ac:dyDescent="0.55000000000000004">
      <c r="A4154" t="str">
        <f>TEST_DATA!A4154</f>
        <v>27AAAAA4154Z5</v>
      </c>
      <c r="B4154" t="str">
        <f>TEST_DATA!B4154</f>
        <v>Mar-2018</v>
      </c>
      <c r="C4154">
        <f>TEST_DATA!C4154</f>
        <v>43305</v>
      </c>
      <c r="D4154" t="str">
        <f>TEST_DATA!D4154</f>
        <v>NON-NIL</v>
      </c>
      <c r="E4154">
        <f>TEST_DATA!E4154</f>
        <v>1038</v>
      </c>
    </row>
    <row r="4155" spans="1:5" x14ac:dyDescent="0.55000000000000004">
      <c r="A4155" t="str">
        <f>TEST_DATA!A4155</f>
        <v>27AAAAA4155Z5</v>
      </c>
      <c r="B4155" t="str">
        <f>TEST_DATA!B4155</f>
        <v>Apr-2020</v>
      </c>
      <c r="C4155">
        <f>TEST_DATA!C4155</f>
        <v>43852</v>
      </c>
      <c r="D4155" t="str">
        <f>TEST_DATA!D4155</f>
        <v>NON-NIL</v>
      </c>
      <c r="E4155">
        <f>TEST_DATA!E4155</f>
        <v>171</v>
      </c>
    </row>
    <row r="4156" spans="1:5" x14ac:dyDescent="0.55000000000000004">
      <c r="A4156" t="str">
        <f>TEST_DATA!A4156</f>
        <v>27AAAAA4156Z5</v>
      </c>
      <c r="B4156" t="str">
        <f>TEST_DATA!B4156</f>
        <v>Jul-2020</v>
      </c>
      <c r="C4156">
        <f>TEST_DATA!C4156</f>
        <v>44750</v>
      </c>
      <c r="D4156" t="str">
        <f>TEST_DATA!D4156</f>
        <v>NIL</v>
      </c>
      <c r="E4156">
        <f>TEST_DATA!E4156</f>
        <v>2715</v>
      </c>
    </row>
    <row r="4157" spans="1:5" x14ac:dyDescent="0.55000000000000004">
      <c r="A4157" t="str">
        <f>TEST_DATA!A4157</f>
        <v>27AAAAA4157Z5</v>
      </c>
      <c r="B4157" t="str">
        <f>TEST_DATA!B4157</f>
        <v>Jul-2020</v>
      </c>
      <c r="C4157">
        <f>TEST_DATA!C4157</f>
        <v>44287</v>
      </c>
      <c r="D4157" t="str">
        <f>TEST_DATA!D4157</f>
        <v>NIL</v>
      </c>
      <c r="E4157">
        <f>TEST_DATA!E4157</f>
        <v>2611</v>
      </c>
    </row>
    <row r="4158" spans="1:5" x14ac:dyDescent="0.55000000000000004">
      <c r="A4158" t="str">
        <f>TEST_DATA!A4158</f>
        <v>27AAAAA4158Z5</v>
      </c>
      <c r="B4158" t="str">
        <f>TEST_DATA!B4158</f>
        <v>Oct-2017</v>
      </c>
      <c r="C4158">
        <f>TEST_DATA!C4158</f>
        <v>43153</v>
      </c>
      <c r="D4158" t="str">
        <f>TEST_DATA!D4158</f>
        <v>NIL</v>
      </c>
      <c r="E4158">
        <f>TEST_DATA!E4158</f>
        <v>2001</v>
      </c>
    </row>
    <row r="4159" spans="1:5" x14ac:dyDescent="0.55000000000000004">
      <c r="A4159" t="str">
        <f>TEST_DATA!A4159</f>
        <v>27AAAAA4159Z5</v>
      </c>
      <c r="B4159" t="str">
        <f>TEST_DATA!B4159</f>
        <v>Sep-2017</v>
      </c>
      <c r="C4159">
        <f>TEST_DATA!C4159</f>
        <v>43292</v>
      </c>
      <c r="D4159" t="str">
        <f>TEST_DATA!D4159</f>
        <v>NON-NIL</v>
      </c>
      <c r="E4159">
        <f>TEST_DATA!E4159</f>
        <v>685</v>
      </c>
    </row>
    <row r="4160" spans="1:5" x14ac:dyDescent="0.55000000000000004">
      <c r="A4160" t="str">
        <f>TEST_DATA!A4160</f>
        <v>27AAAAA4160Z5</v>
      </c>
      <c r="B4160" t="str">
        <f>TEST_DATA!B4160</f>
        <v>Jan-2021</v>
      </c>
      <c r="C4160">
        <f>TEST_DATA!C4160</f>
        <v>44516</v>
      </c>
      <c r="D4160" t="str">
        <f>TEST_DATA!D4160</f>
        <v>NON-NIL</v>
      </c>
      <c r="E4160">
        <f>TEST_DATA!E4160</f>
        <v>1166</v>
      </c>
    </row>
    <row r="4161" spans="1:5" x14ac:dyDescent="0.55000000000000004">
      <c r="A4161" t="str">
        <f>TEST_DATA!A4161</f>
        <v>27AAAAA4161Z5</v>
      </c>
      <c r="B4161" t="str">
        <f>TEST_DATA!B4161</f>
        <v>Dec-2019</v>
      </c>
      <c r="C4161">
        <f>TEST_DATA!C4161</f>
        <v>44639</v>
      </c>
      <c r="D4161" t="str">
        <f>TEST_DATA!D4161</f>
        <v>NON-NIL</v>
      </c>
      <c r="E4161">
        <f>TEST_DATA!E4161</f>
        <v>2335</v>
      </c>
    </row>
    <row r="4162" spans="1:5" x14ac:dyDescent="0.55000000000000004">
      <c r="A4162" t="str">
        <f>TEST_DATA!A4162</f>
        <v>27AAAAA4162Z5</v>
      </c>
      <c r="B4162" t="str">
        <f>TEST_DATA!B4162</f>
        <v>Mar-2018</v>
      </c>
      <c r="C4162">
        <f>TEST_DATA!C4162</f>
        <v>43139</v>
      </c>
      <c r="D4162" t="str">
        <f>TEST_DATA!D4162</f>
        <v>NIL</v>
      </c>
      <c r="E4162">
        <f>TEST_DATA!E4162</f>
        <v>1617</v>
      </c>
    </row>
    <row r="4163" spans="1:5" x14ac:dyDescent="0.55000000000000004">
      <c r="A4163" t="str">
        <f>TEST_DATA!A4163</f>
        <v>27AAAAA4163Z5</v>
      </c>
      <c r="B4163" t="str">
        <f>TEST_DATA!B4163</f>
        <v>Dec-2022</v>
      </c>
      <c r="C4163">
        <f>TEST_DATA!C4163</f>
        <v>44293</v>
      </c>
      <c r="D4163" t="str">
        <f>TEST_DATA!D4163</f>
        <v>NIL</v>
      </c>
      <c r="E4163">
        <f>TEST_DATA!E4163</f>
        <v>2272</v>
      </c>
    </row>
    <row r="4164" spans="1:5" x14ac:dyDescent="0.55000000000000004">
      <c r="A4164" t="str">
        <f>TEST_DATA!A4164</f>
        <v>27AAAAA4164Z5</v>
      </c>
      <c r="B4164" t="str">
        <f>TEST_DATA!B4164</f>
        <v>Mar-2023</v>
      </c>
      <c r="C4164">
        <f>TEST_DATA!C4164</f>
        <v>45505</v>
      </c>
      <c r="D4164" t="str">
        <f>TEST_DATA!D4164</f>
        <v>NIL</v>
      </c>
      <c r="E4164">
        <f>TEST_DATA!E4164</f>
        <v>520</v>
      </c>
    </row>
    <row r="4165" spans="1:5" x14ac:dyDescent="0.55000000000000004">
      <c r="A4165" t="str">
        <f>TEST_DATA!A4165</f>
        <v>27AAAAA4165Z5</v>
      </c>
      <c r="B4165" t="str">
        <f>TEST_DATA!B4165</f>
        <v>Jun-2019</v>
      </c>
      <c r="C4165">
        <f>TEST_DATA!C4165</f>
        <v>43612</v>
      </c>
      <c r="D4165" t="str">
        <f>TEST_DATA!D4165</f>
        <v>NON-NIL</v>
      </c>
      <c r="E4165">
        <f>TEST_DATA!E4165</f>
        <v>1961</v>
      </c>
    </row>
    <row r="4166" spans="1:5" x14ac:dyDescent="0.55000000000000004">
      <c r="A4166" t="str">
        <f>TEST_DATA!A4166</f>
        <v>27AAAAA4166Z5</v>
      </c>
      <c r="B4166" t="str">
        <f>TEST_DATA!B4166</f>
        <v>Oct-2017</v>
      </c>
      <c r="C4166">
        <f>TEST_DATA!C4166</f>
        <v>43145</v>
      </c>
      <c r="D4166" t="str">
        <f>TEST_DATA!D4166</f>
        <v>NIL</v>
      </c>
      <c r="E4166">
        <f>TEST_DATA!E4166</f>
        <v>155</v>
      </c>
    </row>
    <row r="4167" spans="1:5" x14ac:dyDescent="0.55000000000000004">
      <c r="A4167" t="str">
        <f>TEST_DATA!A4167</f>
        <v>27AAAAA4167Z5</v>
      </c>
      <c r="B4167" t="str">
        <f>TEST_DATA!B4167</f>
        <v>Dec-2022</v>
      </c>
      <c r="C4167">
        <f>TEST_DATA!C4167</f>
        <v>45055</v>
      </c>
      <c r="D4167" t="str">
        <f>TEST_DATA!D4167</f>
        <v>NIL</v>
      </c>
      <c r="E4167">
        <f>TEST_DATA!E4167</f>
        <v>342</v>
      </c>
    </row>
    <row r="4168" spans="1:5" x14ac:dyDescent="0.55000000000000004">
      <c r="A4168" t="str">
        <f>TEST_DATA!A4168</f>
        <v>27AAAAA4168Z5</v>
      </c>
      <c r="B4168" t="str">
        <f>TEST_DATA!B4168</f>
        <v>Mar-2021</v>
      </c>
      <c r="C4168">
        <f>TEST_DATA!C4168</f>
        <v>43742</v>
      </c>
      <c r="D4168" t="str">
        <f>TEST_DATA!D4168</f>
        <v>NIL</v>
      </c>
      <c r="E4168">
        <f>TEST_DATA!E4168</f>
        <v>1785</v>
      </c>
    </row>
    <row r="4169" spans="1:5" x14ac:dyDescent="0.55000000000000004">
      <c r="A4169" t="str">
        <f>TEST_DATA!A4169</f>
        <v>27AAAAA4169Z5</v>
      </c>
      <c r="B4169" t="str">
        <f>TEST_DATA!B4169</f>
        <v>Apr-2020</v>
      </c>
      <c r="C4169">
        <f>TEST_DATA!C4169</f>
        <v>44590</v>
      </c>
      <c r="D4169" t="str">
        <f>TEST_DATA!D4169</f>
        <v>NON-NIL</v>
      </c>
      <c r="E4169">
        <f>TEST_DATA!E4169</f>
        <v>584</v>
      </c>
    </row>
    <row r="4170" spans="1:5" x14ac:dyDescent="0.55000000000000004">
      <c r="A4170" t="str">
        <f>TEST_DATA!A4170</f>
        <v>27AAAAA4170Z5</v>
      </c>
      <c r="B4170" t="str">
        <f>TEST_DATA!B4170</f>
        <v>Sep-2018</v>
      </c>
      <c r="C4170">
        <f>TEST_DATA!C4170</f>
        <v>44139</v>
      </c>
      <c r="D4170" t="str">
        <f>TEST_DATA!D4170</f>
        <v>NIL</v>
      </c>
      <c r="E4170">
        <f>TEST_DATA!E4170</f>
        <v>2715</v>
      </c>
    </row>
    <row r="4171" spans="1:5" x14ac:dyDescent="0.55000000000000004">
      <c r="A4171" t="str">
        <f>TEST_DATA!A4171</f>
        <v>27AAAAA4171Z5</v>
      </c>
      <c r="B4171" t="str">
        <f>TEST_DATA!B4171</f>
        <v>Jun-2019</v>
      </c>
      <c r="C4171">
        <f>TEST_DATA!C4171</f>
        <v>44240</v>
      </c>
      <c r="D4171" t="str">
        <f>TEST_DATA!D4171</f>
        <v>NIL</v>
      </c>
      <c r="E4171">
        <f>TEST_DATA!E4171</f>
        <v>2969</v>
      </c>
    </row>
    <row r="4172" spans="1:5" x14ac:dyDescent="0.55000000000000004">
      <c r="A4172" t="str">
        <f>TEST_DATA!A4172</f>
        <v>27AAAAA4172Z5</v>
      </c>
      <c r="B4172" t="str">
        <f>TEST_DATA!B4172</f>
        <v>May-2018</v>
      </c>
      <c r="C4172">
        <f>TEST_DATA!C4172</f>
        <v>43006</v>
      </c>
      <c r="D4172" t="str">
        <f>TEST_DATA!D4172</f>
        <v>NIL</v>
      </c>
      <c r="E4172">
        <f>TEST_DATA!E4172</f>
        <v>625</v>
      </c>
    </row>
    <row r="4173" spans="1:5" x14ac:dyDescent="0.55000000000000004">
      <c r="A4173" t="str">
        <f>TEST_DATA!A4173</f>
        <v>27AAAAA4173Z5</v>
      </c>
      <c r="B4173" t="str">
        <f>TEST_DATA!B4173</f>
        <v>May-2018</v>
      </c>
      <c r="C4173">
        <f>TEST_DATA!C4173</f>
        <v>43430</v>
      </c>
      <c r="D4173" t="str">
        <f>TEST_DATA!D4173</f>
        <v>NIL</v>
      </c>
      <c r="E4173">
        <f>TEST_DATA!E4173</f>
        <v>1434</v>
      </c>
    </row>
    <row r="4174" spans="1:5" x14ac:dyDescent="0.55000000000000004">
      <c r="A4174" t="str">
        <f>TEST_DATA!A4174</f>
        <v>27AAAAA4174Z5</v>
      </c>
      <c r="B4174" t="str">
        <f>TEST_DATA!B4174</f>
        <v>Sep-2018</v>
      </c>
      <c r="C4174">
        <f>TEST_DATA!C4174</f>
        <v>43327</v>
      </c>
      <c r="D4174" t="str">
        <f>TEST_DATA!D4174</f>
        <v>NIL</v>
      </c>
      <c r="E4174">
        <f>TEST_DATA!E4174</f>
        <v>1602</v>
      </c>
    </row>
    <row r="4175" spans="1:5" x14ac:dyDescent="0.55000000000000004">
      <c r="A4175" t="str">
        <f>TEST_DATA!A4175</f>
        <v>27AAAAA4175Z5</v>
      </c>
      <c r="B4175" t="str">
        <f>TEST_DATA!B4175</f>
        <v>Jul-2018</v>
      </c>
      <c r="C4175">
        <f>TEST_DATA!C4175</f>
        <v>43230</v>
      </c>
      <c r="D4175" t="str">
        <f>TEST_DATA!D4175</f>
        <v>NON-NIL</v>
      </c>
      <c r="E4175">
        <f>TEST_DATA!E4175</f>
        <v>2070</v>
      </c>
    </row>
    <row r="4176" spans="1:5" x14ac:dyDescent="0.55000000000000004">
      <c r="A4176" t="str">
        <f>TEST_DATA!A4176</f>
        <v>27AAAAA4176Z5</v>
      </c>
      <c r="B4176" t="str">
        <f>TEST_DATA!B4176</f>
        <v>Sep-2017</v>
      </c>
      <c r="C4176">
        <f>TEST_DATA!C4176</f>
        <v>43378</v>
      </c>
      <c r="D4176" t="str">
        <f>TEST_DATA!D4176</f>
        <v>NIL</v>
      </c>
      <c r="E4176">
        <f>TEST_DATA!E4176</f>
        <v>2569</v>
      </c>
    </row>
    <row r="4177" spans="1:5" x14ac:dyDescent="0.55000000000000004">
      <c r="A4177" t="str">
        <f>TEST_DATA!A4177</f>
        <v>27AAAAA4177Z5</v>
      </c>
      <c r="B4177" t="str">
        <f>TEST_DATA!B4177</f>
        <v>Jan-2018</v>
      </c>
      <c r="C4177">
        <f>TEST_DATA!C4177</f>
        <v>43604</v>
      </c>
      <c r="D4177" t="str">
        <f>TEST_DATA!D4177</f>
        <v>NON-NIL</v>
      </c>
      <c r="E4177">
        <f>TEST_DATA!E4177</f>
        <v>103</v>
      </c>
    </row>
    <row r="4178" spans="1:5" x14ac:dyDescent="0.55000000000000004">
      <c r="A4178" t="str">
        <f>TEST_DATA!A4178</f>
        <v>27AAAAA4178Z5</v>
      </c>
      <c r="B4178" t="str">
        <f>TEST_DATA!B4178</f>
        <v>Mar-2023</v>
      </c>
      <c r="C4178">
        <f>TEST_DATA!C4178</f>
        <v>45270</v>
      </c>
      <c r="D4178" t="str">
        <f>TEST_DATA!D4178</f>
        <v>NIL</v>
      </c>
      <c r="E4178">
        <f>TEST_DATA!E4178</f>
        <v>1006</v>
      </c>
    </row>
    <row r="4179" spans="1:5" x14ac:dyDescent="0.55000000000000004">
      <c r="A4179" t="str">
        <f>TEST_DATA!A4179</f>
        <v>27AAAAA4179Z5</v>
      </c>
      <c r="B4179" t="str">
        <f>TEST_DATA!B4179</f>
        <v>Apr-2020</v>
      </c>
      <c r="C4179">
        <f>TEST_DATA!C4179</f>
        <v>44913</v>
      </c>
      <c r="D4179" t="str">
        <f>TEST_DATA!D4179</f>
        <v>NON-NIL</v>
      </c>
      <c r="E4179">
        <f>TEST_DATA!E4179</f>
        <v>2280</v>
      </c>
    </row>
    <row r="4180" spans="1:5" x14ac:dyDescent="0.55000000000000004">
      <c r="A4180" t="str">
        <f>TEST_DATA!A4180</f>
        <v>27AAAAA4180Z5</v>
      </c>
      <c r="B4180" t="str">
        <f>TEST_DATA!B4180</f>
        <v>Dec-2017</v>
      </c>
      <c r="C4180">
        <f>TEST_DATA!C4180</f>
        <v>43210</v>
      </c>
      <c r="D4180" t="str">
        <f>TEST_DATA!D4180</f>
        <v>NON-NIL</v>
      </c>
      <c r="E4180">
        <f>TEST_DATA!E4180</f>
        <v>232</v>
      </c>
    </row>
    <row r="4181" spans="1:5" x14ac:dyDescent="0.55000000000000004">
      <c r="A4181" t="str">
        <f>TEST_DATA!A4181</f>
        <v>27AAAAA4181Z5</v>
      </c>
      <c r="B4181" t="str">
        <f>TEST_DATA!B4181</f>
        <v>Oct-2017</v>
      </c>
      <c r="C4181">
        <f>TEST_DATA!C4181</f>
        <v>44319</v>
      </c>
      <c r="D4181" t="str">
        <f>TEST_DATA!D4181</f>
        <v>NIL</v>
      </c>
      <c r="E4181">
        <f>TEST_DATA!E4181</f>
        <v>1679</v>
      </c>
    </row>
    <row r="4182" spans="1:5" x14ac:dyDescent="0.55000000000000004">
      <c r="A4182" t="str">
        <f>TEST_DATA!A4182</f>
        <v>27AAAAA4182Z5</v>
      </c>
      <c r="B4182" t="str">
        <f>TEST_DATA!B4182</f>
        <v>Jun-2019</v>
      </c>
      <c r="C4182">
        <f>TEST_DATA!C4182</f>
        <v>45654</v>
      </c>
      <c r="D4182" t="str">
        <f>TEST_DATA!D4182</f>
        <v>NIL</v>
      </c>
      <c r="E4182">
        <f>TEST_DATA!E4182</f>
        <v>2533</v>
      </c>
    </row>
    <row r="4183" spans="1:5" x14ac:dyDescent="0.55000000000000004">
      <c r="A4183" t="str">
        <f>TEST_DATA!A4183</f>
        <v>27AAAAA4183Z5</v>
      </c>
      <c r="B4183" t="str">
        <f>TEST_DATA!B4183</f>
        <v>Jan-2021</v>
      </c>
      <c r="C4183">
        <f>TEST_DATA!C4183</f>
        <v>44161</v>
      </c>
      <c r="D4183" t="str">
        <f>TEST_DATA!D4183</f>
        <v>NON-NIL</v>
      </c>
      <c r="E4183">
        <f>TEST_DATA!E4183</f>
        <v>1517</v>
      </c>
    </row>
    <row r="4184" spans="1:5" x14ac:dyDescent="0.55000000000000004">
      <c r="A4184" t="str">
        <f>TEST_DATA!A4184</f>
        <v>27AAAAA4184Z5</v>
      </c>
      <c r="B4184" t="str">
        <f>TEST_DATA!B4184</f>
        <v>Aug-2017</v>
      </c>
      <c r="C4184">
        <f>TEST_DATA!C4184</f>
        <v>43210</v>
      </c>
      <c r="D4184" t="str">
        <f>TEST_DATA!D4184</f>
        <v>NIL</v>
      </c>
      <c r="E4184">
        <f>TEST_DATA!E4184</f>
        <v>2802</v>
      </c>
    </row>
    <row r="4185" spans="1:5" x14ac:dyDescent="0.55000000000000004">
      <c r="A4185" t="str">
        <f>TEST_DATA!A4185</f>
        <v>27AAAAA4185Z5</v>
      </c>
      <c r="B4185" t="str">
        <f>TEST_DATA!B4185</f>
        <v>Feb-2018</v>
      </c>
      <c r="C4185">
        <f>TEST_DATA!C4185</f>
        <v>42929</v>
      </c>
      <c r="D4185" t="str">
        <f>TEST_DATA!D4185</f>
        <v>NON-NIL</v>
      </c>
      <c r="E4185">
        <f>TEST_DATA!E4185</f>
        <v>14</v>
      </c>
    </row>
    <row r="4186" spans="1:5" x14ac:dyDescent="0.55000000000000004">
      <c r="A4186" t="str">
        <f>TEST_DATA!A4186</f>
        <v>27AAAAA4186Z5</v>
      </c>
      <c r="B4186" t="str">
        <f>TEST_DATA!B4186</f>
        <v>Mar-2020</v>
      </c>
      <c r="C4186">
        <f>TEST_DATA!C4186</f>
        <v>43950</v>
      </c>
      <c r="D4186" t="str">
        <f>TEST_DATA!D4186</f>
        <v>NON-NIL</v>
      </c>
      <c r="E4186">
        <f>TEST_DATA!E4186</f>
        <v>2322</v>
      </c>
    </row>
    <row r="4187" spans="1:5" x14ac:dyDescent="0.55000000000000004">
      <c r="A4187" t="str">
        <f>TEST_DATA!A4187</f>
        <v>27AAAAA4187Z5</v>
      </c>
      <c r="B4187" t="str">
        <f>TEST_DATA!B4187</f>
        <v>Oct-2017</v>
      </c>
      <c r="C4187">
        <f>TEST_DATA!C4187</f>
        <v>43376</v>
      </c>
      <c r="D4187" t="str">
        <f>TEST_DATA!D4187</f>
        <v>NIL</v>
      </c>
      <c r="E4187">
        <f>TEST_DATA!E4187</f>
        <v>2308</v>
      </c>
    </row>
    <row r="4188" spans="1:5" x14ac:dyDescent="0.55000000000000004">
      <c r="A4188" t="str">
        <f>TEST_DATA!A4188</f>
        <v>27AAAAA4188Z5</v>
      </c>
      <c r="B4188" t="str">
        <f>TEST_DATA!B4188</f>
        <v>Dec-2019</v>
      </c>
      <c r="C4188">
        <f>TEST_DATA!C4188</f>
        <v>43768</v>
      </c>
      <c r="D4188" t="str">
        <f>TEST_DATA!D4188</f>
        <v>NIL</v>
      </c>
      <c r="E4188">
        <f>TEST_DATA!E4188</f>
        <v>2657</v>
      </c>
    </row>
    <row r="4189" spans="1:5" x14ac:dyDescent="0.55000000000000004">
      <c r="A4189" t="str">
        <f>TEST_DATA!A4189</f>
        <v>27AAAAA4189Z5</v>
      </c>
      <c r="B4189" t="str">
        <f>TEST_DATA!B4189</f>
        <v>Dec-2022</v>
      </c>
      <c r="C4189">
        <f>TEST_DATA!C4189</f>
        <v>45417</v>
      </c>
      <c r="D4189" t="str">
        <f>TEST_DATA!D4189</f>
        <v>NON-NIL</v>
      </c>
      <c r="E4189">
        <f>TEST_DATA!E4189</f>
        <v>1156</v>
      </c>
    </row>
    <row r="4190" spans="1:5" x14ac:dyDescent="0.55000000000000004">
      <c r="A4190" t="str">
        <f>TEST_DATA!A4190</f>
        <v>27AAAAA4190Z5</v>
      </c>
      <c r="B4190" t="str">
        <f>TEST_DATA!B4190</f>
        <v>Jun-2020</v>
      </c>
      <c r="C4190">
        <f>TEST_DATA!C4190</f>
        <v>44623</v>
      </c>
      <c r="D4190" t="str">
        <f>TEST_DATA!D4190</f>
        <v>NON-NIL</v>
      </c>
      <c r="E4190">
        <f>TEST_DATA!E4190</f>
        <v>973</v>
      </c>
    </row>
    <row r="4191" spans="1:5" x14ac:dyDescent="0.55000000000000004">
      <c r="A4191" t="str">
        <f>TEST_DATA!A4191</f>
        <v>27AAAAA4191Z5</v>
      </c>
      <c r="B4191" t="str">
        <f>TEST_DATA!B4191</f>
        <v>Jun-2020</v>
      </c>
      <c r="C4191">
        <f>TEST_DATA!C4191</f>
        <v>44835</v>
      </c>
      <c r="D4191" t="str">
        <f>TEST_DATA!D4191</f>
        <v>NON-NIL</v>
      </c>
      <c r="E4191">
        <f>TEST_DATA!E4191</f>
        <v>1413</v>
      </c>
    </row>
    <row r="4192" spans="1:5" x14ac:dyDescent="0.55000000000000004">
      <c r="A4192" t="str">
        <f>TEST_DATA!A4192</f>
        <v>27AAAAA4192Z5</v>
      </c>
      <c r="B4192" t="str">
        <f>TEST_DATA!B4192</f>
        <v>May-2020</v>
      </c>
      <c r="C4192">
        <f>TEST_DATA!C4192</f>
        <v>44762</v>
      </c>
      <c r="D4192" t="str">
        <f>TEST_DATA!D4192</f>
        <v>NON-NIL</v>
      </c>
      <c r="E4192">
        <f>TEST_DATA!E4192</f>
        <v>627</v>
      </c>
    </row>
    <row r="4193" spans="1:5" x14ac:dyDescent="0.55000000000000004">
      <c r="A4193" t="str">
        <f>TEST_DATA!A4193</f>
        <v>27AAAAA4193Z5</v>
      </c>
      <c r="B4193" t="str">
        <f>TEST_DATA!B4193</f>
        <v>Sep-2018</v>
      </c>
      <c r="C4193">
        <f>TEST_DATA!C4193</f>
        <v>44015</v>
      </c>
      <c r="D4193" t="str">
        <f>TEST_DATA!D4193</f>
        <v>NON-NIL</v>
      </c>
      <c r="E4193">
        <f>TEST_DATA!E4193</f>
        <v>916</v>
      </c>
    </row>
    <row r="4194" spans="1:5" x14ac:dyDescent="0.55000000000000004">
      <c r="A4194" t="str">
        <f>TEST_DATA!A4194</f>
        <v>27AAAAA4194Z5</v>
      </c>
      <c r="B4194" t="str">
        <f>TEST_DATA!B4194</f>
        <v>Nov-2017</v>
      </c>
      <c r="C4194">
        <f>TEST_DATA!C4194</f>
        <v>43504</v>
      </c>
      <c r="D4194" t="str">
        <f>TEST_DATA!D4194</f>
        <v>NIL</v>
      </c>
      <c r="E4194">
        <f>TEST_DATA!E4194</f>
        <v>1591</v>
      </c>
    </row>
    <row r="4195" spans="1:5" x14ac:dyDescent="0.55000000000000004">
      <c r="A4195" t="str">
        <f>TEST_DATA!A4195</f>
        <v>27AAAAA4195Z5</v>
      </c>
      <c r="B4195" t="str">
        <f>TEST_DATA!B4195</f>
        <v>Mar-2018</v>
      </c>
      <c r="C4195">
        <f>TEST_DATA!C4195</f>
        <v>43245</v>
      </c>
      <c r="D4195" t="str">
        <f>TEST_DATA!D4195</f>
        <v>NON-NIL</v>
      </c>
      <c r="E4195">
        <f>TEST_DATA!E4195</f>
        <v>85</v>
      </c>
    </row>
    <row r="4196" spans="1:5" x14ac:dyDescent="0.55000000000000004">
      <c r="A4196" t="str">
        <f>TEST_DATA!A4196</f>
        <v>27AAAAA4196Z5</v>
      </c>
      <c r="B4196" t="str">
        <f>TEST_DATA!B4196</f>
        <v>Aug-2018</v>
      </c>
      <c r="C4196">
        <f>TEST_DATA!C4196</f>
        <v>43531</v>
      </c>
      <c r="D4196" t="str">
        <f>TEST_DATA!D4196</f>
        <v>NIL</v>
      </c>
      <c r="E4196">
        <f>TEST_DATA!E4196</f>
        <v>174</v>
      </c>
    </row>
    <row r="4197" spans="1:5" x14ac:dyDescent="0.55000000000000004">
      <c r="A4197" t="str">
        <f>TEST_DATA!A4197</f>
        <v>27AAAAA4197Z5</v>
      </c>
      <c r="B4197" t="str">
        <f>TEST_DATA!B4197</f>
        <v>Sep-2018</v>
      </c>
      <c r="C4197">
        <f>TEST_DATA!C4197</f>
        <v>43757</v>
      </c>
      <c r="D4197" t="str">
        <f>TEST_DATA!D4197</f>
        <v>NIL</v>
      </c>
      <c r="E4197">
        <f>TEST_DATA!E4197</f>
        <v>1647</v>
      </c>
    </row>
    <row r="4198" spans="1:5" x14ac:dyDescent="0.55000000000000004">
      <c r="A4198" t="str">
        <f>TEST_DATA!A4198</f>
        <v>27AAAAA4198Z5</v>
      </c>
      <c r="B4198" t="str">
        <f>TEST_DATA!B4198</f>
        <v>Nov-2017</v>
      </c>
      <c r="C4198">
        <f>TEST_DATA!C4198</f>
        <v>44200</v>
      </c>
      <c r="D4198" t="str">
        <f>TEST_DATA!D4198</f>
        <v>NON-NIL</v>
      </c>
      <c r="E4198">
        <f>TEST_DATA!E4198</f>
        <v>852</v>
      </c>
    </row>
    <row r="4199" spans="1:5" x14ac:dyDescent="0.55000000000000004">
      <c r="A4199" t="str">
        <f>TEST_DATA!A4199</f>
        <v>27AAAAA4199Z5</v>
      </c>
      <c r="B4199" t="str">
        <f>TEST_DATA!B4199</f>
        <v>Jul-2018</v>
      </c>
      <c r="C4199">
        <f>TEST_DATA!C4199</f>
        <v>43779</v>
      </c>
      <c r="D4199" t="str">
        <f>TEST_DATA!D4199</f>
        <v>NON-NIL</v>
      </c>
      <c r="E4199">
        <f>TEST_DATA!E4199</f>
        <v>1886</v>
      </c>
    </row>
    <row r="4200" spans="1:5" x14ac:dyDescent="0.55000000000000004">
      <c r="A4200" t="str">
        <f>TEST_DATA!A4200</f>
        <v>27AAAAA4200Z5</v>
      </c>
      <c r="B4200" t="str">
        <f>TEST_DATA!B4200</f>
        <v>Jan-2021</v>
      </c>
      <c r="C4200">
        <f>TEST_DATA!C4200</f>
        <v>45318</v>
      </c>
      <c r="D4200" t="str">
        <f>TEST_DATA!D4200</f>
        <v>NON-NIL</v>
      </c>
      <c r="E4200">
        <f>TEST_DATA!E4200</f>
        <v>1591</v>
      </c>
    </row>
    <row r="4201" spans="1:5" x14ac:dyDescent="0.55000000000000004">
      <c r="A4201" t="str">
        <f>TEST_DATA!A4201</f>
        <v>27AAAAA4201Z5</v>
      </c>
      <c r="B4201" t="str">
        <f>TEST_DATA!B4201</f>
        <v>Sep-2018</v>
      </c>
      <c r="C4201">
        <f>TEST_DATA!C4201</f>
        <v>43661</v>
      </c>
      <c r="D4201" t="str">
        <f>TEST_DATA!D4201</f>
        <v>NON-NIL</v>
      </c>
      <c r="E4201">
        <f>TEST_DATA!E4201</f>
        <v>1335</v>
      </c>
    </row>
    <row r="4202" spans="1:5" x14ac:dyDescent="0.55000000000000004">
      <c r="A4202" t="str">
        <f>TEST_DATA!A4202</f>
        <v>27AAAAA4202Z5</v>
      </c>
      <c r="B4202" t="str">
        <f>TEST_DATA!B4202</f>
        <v>Jun-2020</v>
      </c>
      <c r="C4202">
        <f>TEST_DATA!C4202</f>
        <v>44647</v>
      </c>
      <c r="D4202" t="str">
        <f>TEST_DATA!D4202</f>
        <v>NIL</v>
      </c>
      <c r="E4202">
        <f>TEST_DATA!E4202</f>
        <v>2962</v>
      </c>
    </row>
    <row r="4203" spans="1:5" x14ac:dyDescent="0.55000000000000004">
      <c r="A4203" t="str">
        <f>TEST_DATA!A4203</f>
        <v>27AAAAA4203Z5</v>
      </c>
      <c r="B4203" t="str">
        <f>TEST_DATA!B4203</f>
        <v>Jun-2019</v>
      </c>
      <c r="C4203">
        <f>TEST_DATA!C4203</f>
        <v>44309</v>
      </c>
      <c r="D4203" t="str">
        <f>TEST_DATA!D4203</f>
        <v>NIL</v>
      </c>
      <c r="E4203">
        <f>TEST_DATA!E4203</f>
        <v>888</v>
      </c>
    </row>
    <row r="4204" spans="1:5" x14ac:dyDescent="0.55000000000000004">
      <c r="A4204" t="str">
        <f>TEST_DATA!A4204</f>
        <v>27AAAAA4204Z5</v>
      </c>
      <c r="B4204" t="str">
        <f>TEST_DATA!B4204</f>
        <v>Jul-2020</v>
      </c>
      <c r="C4204">
        <f>TEST_DATA!C4204</f>
        <v>44222</v>
      </c>
      <c r="D4204" t="str">
        <f>TEST_DATA!D4204</f>
        <v>NIL</v>
      </c>
      <c r="E4204">
        <f>TEST_DATA!E4204</f>
        <v>2987</v>
      </c>
    </row>
    <row r="4205" spans="1:5" x14ac:dyDescent="0.55000000000000004">
      <c r="A4205" t="str">
        <f>TEST_DATA!A4205</f>
        <v>27AAAAA4205Z5</v>
      </c>
      <c r="B4205" t="str">
        <f>TEST_DATA!B4205</f>
        <v>Jun-2020</v>
      </c>
      <c r="C4205">
        <f>TEST_DATA!C4205</f>
        <v>44575</v>
      </c>
      <c r="D4205" t="str">
        <f>TEST_DATA!D4205</f>
        <v>NON-NIL</v>
      </c>
      <c r="E4205">
        <f>TEST_DATA!E4205</f>
        <v>2245</v>
      </c>
    </row>
    <row r="4206" spans="1:5" x14ac:dyDescent="0.55000000000000004">
      <c r="A4206" t="str">
        <f>TEST_DATA!A4206</f>
        <v>27AAAAA4206Z5</v>
      </c>
      <c r="B4206" t="str">
        <f>TEST_DATA!B4206</f>
        <v>Mar-2023</v>
      </c>
      <c r="C4206">
        <f>TEST_DATA!C4206</f>
        <v>45138</v>
      </c>
      <c r="D4206" t="str">
        <f>TEST_DATA!D4206</f>
        <v>NON-NIL</v>
      </c>
      <c r="E4206">
        <f>TEST_DATA!E4206</f>
        <v>2637</v>
      </c>
    </row>
    <row r="4207" spans="1:5" x14ac:dyDescent="0.55000000000000004">
      <c r="A4207" t="str">
        <f>TEST_DATA!A4207</f>
        <v>27AAAAA4207Z5</v>
      </c>
      <c r="B4207" t="str">
        <f>TEST_DATA!B4207</f>
        <v>Apr-2018</v>
      </c>
      <c r="C4207">
        <f>TEST_DATA!C4207</f>
        <v>43354</v>
      </c>
      <c r="D4207" t="str">
        <f>TEST_DATA!D4207</f>
        <v>NON-NIL</v>
      </c>
      <c r="E4207">
        <f>TEST_DATA!E4207</f>
        <v>578</v>
      </c>
    </row>
    <row r="4208" spans="1:5" x14ac:dyDescent="0.55000000000000004">
      <c r="A4208" t="str">
        <f>TEST_DATA!A4208</f>
        <v>27AAAAA4208Z5</v>
      </c>
      <c r="B4208" t="str">
        <f>TEST_DATA!B4208</f>
        <v>Jan-2019</v>
      </c>
      <c r="C4208">
        <f>TEST_DATA!C4208</f>
        <v>43911</v>
      </c>
      <c r="D4208" t="str">
        <f>TEST_DATA!D4208</f>
        <v>NON-NIL</v>
      </c>
      <c r="E4208">
        <f>TEST_DATA!E4208</f>
        <v>1230</v>
      </c>
    </row>
    <row r="4209" spans="1:5" x14ac:dyDescent="0.55000000000000004">
      <c r="A4209" t="str">
        <f>TEST_DATA!A4209</f>
        <v>27AAAAA4209Z5</v>
      </c>
      <c r="B4209" t="str">
        <f>TEST_DATA!B4209</f>
        <v>Dec-2024</v>
      </c>
      <c r="C4209">
        <f>TEST_DATA!C4209</f>
        <v>45154</v>
      </c>
      <c r="D4209" t="str">
        <f>TEST_DATA!D4209</f>
        <v>NIL</v>
      </c>
      <c r="E4209">
        <f>TEST_DATA!E4209</f>
        <v>816</v>
      </c>
    </row>
    <row r="4210" spans="1:5" x14ac:dyDescent="0.55000000000000004">
      <c r="A4210" t="str">
        <f>TEST_DATA!A4210</f>
        <v>27AAAAA4210Z5</v>
      </c>
      <c r="B4210" t="str">
        <f>TEST_DATA!B4210</f>
        <v>Jan-2018</v>
      </c>
      <c r="C4210">
        <f>TEST_DATA!C4210</f>
        <v>43608</v>
      </c>
      <c r="D4210" t="str">
        <f>TEST_DATA!D4210</f>
        <v>NIL</v>
      </c>
      <c r="E4210">
        <f>TEST_DATA!E4210</f>
        <v>2701</v>
      </c>
    </row>
    <row r="4211" spans="1:5" x14ac:dyDescent="0.55000000000000004">
      <c r="A4211" t="str">
        <f>TEST_DATA!A4211</f>
        <v>27AAAAA4211Z5</v>
      </c>
      <c r="B4211" t="str">
        <f>TEST_DATA!B4211</f>
        <v>Jul-2018</v>
      </c>
      <c r="C4211">
        <f>TEST_DATA!C4211</f>
        <v>43976</v>
      </c>
      <c r="D4211" t="str">
        <f>TEST_DATA!D4211</f>
        <v>NON-NIL</v>
      </c>
      <c r="E4211">
        <f>TEST_DATA!E4211</f>
        <v>738</v>
      </c>
    </row>
    <row r="4212" spans="1:5" x14ac:dyDescent="0.55000000000000004">
      <c r="A4212" t="str">
        <f>TEST_DATA!A4212</f>
        <v>27AAAAA4212Z5</v>
      </c>
      <c r="B4212" t="str">
        <f>TEST_DATA!B4212</f>
        <v>Sep-2018</v>
      </c>
      <c r="C4212">
        <f>TEST_DATA!C4212</f>
        <v>42965</v>
      </c>
      <c r="D4212" t="str">
        <f>TEST_DATA!D4212</f>
        <v>NIL</v>
      </c>
      <c r="E4212">
        <f>TEST_DATA!E4212</f>
        <v>1580</v>
      </c>
    </row>
    <row r="4213" spans="1:5" x14ac:dyDescent="0.55000000000000004">
      <c r="A4213" t="str">
        <f>TEST_DATA!A4213</f>
        <v>27AAAAA4213Z5</v>
      </c>
      <c r="B4213" t="str">
        <f>TEST_DATA!B4213</f>
        <v>Mar-2020</v>
      </c>
      <c r="C4213">
        <f>TEST_DATA!C4213</f>
        <v>44183</v>
      </c>
      <c r="D4213" t="str">
        <f>TEST_DATA!D4213</f>
        <v>NON-NIL</v>
      </c>
      <c r="E4213">
        <f>TEST_DATA!E4213</f>
        <v>2787</v>
      </c>
    </row>
    <row r="4214" spans="1:5" x14ac:dyDescent="0.55000000000000004">
      <c r="A4214" t="str">
        <f>TEST_DATA!A4214</f>
        <v>27AAAAA4214Z5</v>
      </c>
      <c r="B4214" t="str">
        <f>TEST_DATA!B4214</f>
        <v>Mar-2020</v>
      </c>
      <c r="C4214">
        <f>TEST_DATA!C4214</f>
        <v>44150</v>
      </c>
      <c r="D4214" t="str">
        <f>TEST_DATA!D4214</f>
        <v>NON-NIL</v>
      </c>
      <c r="E4214">
        <f>TEST_DATA!E4214</f>
        <v>2355</v>
      </c>
    </row>
    <row r="4215" spans="1:5" x14ac:dyDescent="0.55000000000000004">
      <c r="A4215" t="str">
        <f>TEST_DATA!A4215</f>
        <v>27AAAAA4215Z5</v>
      </c>
      <c r="B4215" t="str">
        <f>TEST_DATA!B4215</f>
        <v>Apr-2021</v>
      </c>
      <c r="C4215">
        <f>TEST_DATA!C4215</f>
        <v>44276</v>
      </c>
      <c r="D4215" t="str">
        <f>TEST_DATA!D4215</f>
        <v>NIL</v>
      </c>
      <c r="E4215">
        <f>TEST_DATA!E4215</f>
        <v>1684</v>
      </c>
    </row>
    <row r="4216" spans="1:5" x14ac:dyDescent="0.55000000000000004">
      <c r="A4216" t="str">
        <f>TEST_DATA!A4216</f>
        <v>27AAAAA4216Z5</v>
      </c>
      <c r="B4216" t="str">
        <f>TEST_DATA!B4216</f>
        <v>May-2018</v>
      </c>
      <c r="C4216">
        <f>TEST_DATA!C4216</f>
        <v>43876</v>
      </c>
      <c r="D4216" t="str">
        <f>TEST_DATA!D4216</f>
        <v>NIL</v>
      </c>
      <c r="E4216">
        <f>TEST_DATA!E4216</f>
        <v>534</v>
      </c>
    </row>
    <row r="4217" spans="1:5" x14ac:dyDescent="0.55000000000000004">
      <c r="A4217" t="str">
        <f>TEST_DATA!A4217</f>
        <v>27AAAAA4217Z5</v>
      </c>
      <c r="B4217" t="str">
        <f>TEST_DATA!B4217</f>
        <v>Mar-2021</v>
      </c>
      <c r="C4217">
        <f>TEST_DATA!C4217</f>
        <v>45459</v>
      </c>
      <c r="D4217" t="str">
        <f>TEST_DATA!D4217</f>
        <v>NON-NIL</v>
      </c>
      <c r="E4217">
        <f>TEST_DATA!E4217</f>
        <v>2500</v>
      </c>
    </row>
    <row r="4218" spans="1:5" x14ac:dyDescent="0.55000000000000004">
      <c r="A4218" t="str">
        <f>TEST_DATA!A4218</f>
        <v>27AAAAA4218Z5</v>
      </c>
      <c r="B4218" t="str">
        <f>TEST_DATA!B4218</f>
        <v>Mar-2021</v>
      </c>
      <c r="C4218">
        <f>TEST_DATA!C4218</f>
        <v>45639</v>
      </c>
      <c r="D4218" t="str">
        <f>TEST_DATA!D4218</f>
        <v>NIL</v>
      </c>
      <c r="E4218">
        <f>TEST_DATA!E4218</f>
        <v>2769</v>
      </c>
    </row>
    <row r="4219" spans="1:5" x14ac:dyDescent="0.55000000000000004">
      <c r="A4219" t="str">
        <f>TEST_DATA!A4219</f>
        <v>27AAAAA4219Z5</v>
      </c>
      <c r="B4219" t="str">
        <f>TEST_DATA!B4219</f>
        <v>Oct-2017</v>
      </c>
      <c r="C4219">
        <f>TEST_DATA!C4219</f>
        <v>44528</v>
      </c>
      <c r="D4219" t="str">
        <f>TEST_DATA!D4219</f>
        <v>NIL</v>
      </c>
      <c r="E4219">
        <f>TEST_DATA!E4219</f>
        <v>351</v>
      </c>
    </row>
    <row r="4220" spans="1:5" x14ac:dyDescent="0.55000000000000004">
      <c r="A4220" t="str">
        <f>TEST_DATA!A4220</f>
        <v>27AAAAA4220Z5</v>
      </c>
      <c r="B4220" t="str">
        <f>TEST_DATA!B4220</f>
        <v>Jul-2017</v>
      </c>
      <c r="C4220">
        <f>TEST_DATA!C4220</f>
        <v>42934</v>
      </c>
      <c r="D4220" t="str">
        <f>TEST_DATA!D4220</f>
        <v>NIL</v>
      </c>
      <c r="E4220">
        <f>TEST_DATA!E4220</f>
        <v>1357</v>
      </c>
    </row>
    <row r="4221" spans="1:5" x14ac:dyDescent="0.55000000000000004">
      <c r="A4221" t="str">
        <f>TEST_DATA!A4221</f>
        <v>27AAAAA4221Z5</v>
      </c>
      <c r="B4221" t="str">
        <f>TEST_DATA!B4221</f>
        <v>Mar-2023</v>
      </c>
      <c r="C4221">
        <f>TEST_DATA!C4221</f>
        <v>43834</v>
      </c>
      <c r="D4221" t="str">
        <f>TEST_DATA!D4221</f>
        <v>NON-NIL</v>
      </c>
      <c r="E4221">
        <f>TEST_DATA!E4221</f>
        <v>1461</v>
      </c>
    </row>
    <row r="4222" spans="1:5" x14ac:dyDescent="0.55000000000000004">
      <c r="A4222" t="str">
        <f>TEST_DATA!A4222</f>
        <v>27AAAAA4222Z5</v>
      </c>
      <c r="B4222" t="str">
        <f>TEST_DATA!B4222</f>
        <v>Jan-2018</v>
      </c>
      <c r="C4222">
        <f>TEST_DATA!C4222</f>
        <v>44439</v>
      </c>
      <c r="D4222" t="str">
        <f>TEST_DATA!D4222</f>
        <v>NIL</v>
      </c>
      <c r="E4222">
        <f>TEST_DATA!E4222</f>
        <v>872</v>
      </c>
    </row>
    <row r="4223" spans="1:5" x14ac:dyDescent="0.55000000000000004">
      <c r="A4223" t="str">
        <f>TEST_DATA!A4223</f>
        <v>27AAAAA4223Z5</v>
      </c>
      <c r="B4223" t="str">
        <f>TEST_DATA!B4223</f>
        <v>Apr-2018</v>
      </c>
      <c r="C4223">
        <f>TEST_DATA!C4223</f>
        <v>43052</v>
      </c>
      <c r="D4223" t="str">
        <f>TEST_DATA!D4223</f>
        <v>NON-NIL</v>
      </c>
      <c r="E4223">
        <f>TEST_DATA!E4223</f>
        <v>2552</v>
      </c>
    </row>
    <row r="4224" spans="1:5" x14ac:dyDescent="0.55000000000000004">
      <c r="A4224" t="str">
        <f>TEST_DATA!A4224</f>
        <v>27AAAAA4224Z5</v>
      </c>
      <c r="B4224" t="str">
        <f>TEST_DATA!B4224</f>
        <v>May-2018</v>
      </c>
      <c r="C4224">
        <f>TEST_DATA!C4224</f>
        <v>44111</v>
      </c>
      <c r="D4224" t="str">
        <f>TEST_DATA!D4224</f>
        <v>NON-NIL</v>
      </c>
      <c r="E4224">
        <f>TEST_DATA!E4224</f>
        <v>1945</v>
      </c>
    </row>
    <row r="4225" spans="1:5" x14ac:dyDescent="0.55000000000000004">
      <c r="A4225" t="str">
        <f>TEST_DATA!A4225</f>
        <v>27AAAAA4225Z5</v>
      </c>
      <c r="B4225" t="str">
        <f>TEST_DATA!B4225</f>
        <v>May-2018</v>
      </c>
      <c r="C4225">
        <f>TEST_DATA!C4225</f>
        <v>44357</v>
      </c>
      <c r="D4225" t="str">
        <f>TEST_DATA!D4225</f>
        <v>NIL</v>
      </c>
      <c r="E4225">
        <f>TEST_DATA!E4225</f>
        <v>1186</v>
      </c>
    </row>
    <row r="4226" spans="1:5" x14ac:dyDescent="0.55000000000000004">
      <c r="A4226" t="str">
        <f>TEST_DATA!A4226</f>
        <v>27AAAAA4226Z5</v>
      </c>
      <c r="B4226" t="str">
        <f>TEST_DATA!B4226</f>
        <v>Apr-2018</v>
      </c>
      <c r="C4226">
        <f>TEST_DATA!C4226</f>
        <v>43124</v>
      </c>
      <c r="D4226" t="str">
        <f>TEST_DATA!D4226</f>
        <v>NIL</v>
      </c>
      <c r="E4226">
        <f>TEST_DATA!E4226</f>
        <v>622</v>
      </c>
    </row>
    <row r="4227" spans="1:5" x14ac:dyDescent="0.55000000000000004">
      <c r="A4227" t="str">
        <f>TEST_DATA!A4227</f>
        <v>27AAAAA4227Z5</v>
      </c>
      <c r="B4227" t="str">
        <f>TEST_DATA!B4227</f>
        <v>Dec-2017</v>
      </c>
      <c r="C4227">
        <f>TEST_DATA!C4227</f>
        <v>43767</v>
      </c>
      <c r="D4227" t="str">
        <f>TEST_DATA!D4227</f>
        <v>NIL</v>
      </c>
      <c r="E4227">
        <f>TEST_DATA!E4227</f>
        <v>2180</v>
      </c>
    </row>
    <row r="4228" spans="1:5" x14ac:dyDescent="0.55000000000000004">
      <c r="A4228" t="str">
        <f>TEST_DATA!A4228</f>
        <v>27AAAAA4228Z5</v>
      </c>
      <c r="B4228" t="str">
        <f>TEST_DATA!B4228</f>
        <v>Apr-2020</v>
      </c>
      <c r="C4228">
        <f>TEST_DATA!C4228</f>
        <v>44670</v>
      </c>
      <c r="D4228" t="str">
        <f>TEST_DATA!D4228</f>
        <v>NIL</v>
      </c>
      <c r="E4228">
        <f>TEST_DATA!E4228</f>
        <v>2300</v>
      </c>
    </row>
    <row r="4229" spans="1:5" x14ac:dyDescent="0.55000000000000004">
      <c r="A4229" t="str">
        <f>TEST_DATA!A4229</f>
        <v>27AAAAA4229Z5</v>
      </c>
      <c r="B4229" t="str">
        <f>TEST_DATA!B4229</f>
        <v>Dec-2019</v>
      </c>
      <c r="C4229">
        <f>TEST_DATA!C4229</f>
        <v>45389</v>
      </c>
      <c r="D4229" t="str">
        <f>TEST_DATA!D4229</f>
        <v>NON-NIL</v>
      </c>
      <c r="E4229">
        <f>TEST_DATA!E4229</f>
        <v>2826</v>
      </c>
    </row>
    <row r="4230" spans="1:5" x14ac:dyDescent="0.55000000000000004">
      <c r="A4230" t="str">
        <f>TEST_DATA!A4230</f>
        <v>27AAAAA4230Z5</v>
      </c>
      <c r="B4230" t="str">
        <f>TEST_DATA!B4230</f>
        <v>Mar-2023</v>
      </c>
      <c r="C4230">
        <f>TEST_DATA!C4230</f>
        <v>44487</v>
      </c>
      <c r="D4230" t="str">
        <f>TEST_DATA!D4230</f>
        <v>NIL</v>
      </c>
      <c r="E4230">
        <f>TEST_DATA!E4230</f>
        <v>2719</v>
      </c>
    </row>
    <row r="4231" spans="1:5" x14ac:dyDescent="0.55000000000000004">
      <c r="A4231" t="str">
        <f>TEST_DATA!A4231</f>
        <v>27AAAAA4231Z5</v>
      </c>
      <c r="B4231" t="str">
        <f>TEST_DATA!B4231</f>
        <v>Nov-2017</v>
      </c>
      <c r="C4231">
        <f>TEST_DATA!C4231</f>
        <v>43828</v>
      </c>
      <c r="D4231" t="str">
        <f>TEST_DATA!D4231</f>
        <v>NIL</v>
      </c>
      <c r="E4231">
        <f>TEST_DATA!E4231</f>
        <v>161</v>
      </c>
    </row>
    <row r="4232" spans="1:5" x14ac:dyDescent="0.55000000000000004">
      <c r="A4232" t="str">
        <f>TEST_DATA!A4232</f>
        <v>27AAAAA4232Z5</v>
      </c>
      <c r="B4232" t="str">
        <f>TEST_DATA!B4232</f>
        <v>Nov-2017</v>
      </c>
      <c r="C4232">
        <f>TEST_DATA!C4232</f>
        <v>43697</v>
      </c>
      <c r="D4232" t="str">
        <f>TEST_DATA!D4232</f>
        <v>NON-NIL</v>
      </c>
      <c r="E4232">
        <f>TEST_DATA!E4232</f>
        <v>1553</v>
      </c>
    </row>
    <row r="4233" spans="1:5" x14ac:dyDescent="0.55000000000000004">
      <c r="A4233" t="str">
        <f>TEST_DATA!A4233</f>
        <v>27AAAAA4233Z5</v>
      </c>
      <c r="B4233" t="str">
        <f>TEST_DATA!B4233</f>
        <v>Jan-2019</v>
      </c>
      <c r="C4233">
        <f>TEST_DATA!C4233</f>
        <v>44164</v>
      </c>
      <c r="D4233" t="str">
        <f>TEST_DATA!D4233</f>
        <v>NIL</v>
      </c>
      <c r="E4233">
        <f>TEST_DATA!E4233</f>
        <v>2400</v>
      </c>
    </row>
    <row r="4234" spans="1:5" x14ac:dyDescent="0.55000000000000004">
      <c r="A4234" t="str">
        <f>TEST_DATA!A4234</f>
        <v>27AAAAA4234Z5</v>
      </c>
      <c r="B4234" t="str">
        <f>TEST_DATA!B4234</f>
        <v>Jul-2020</v>
      </c>
      <c r="C4234">
        <f>TEST_DATA!C4234</f>
        <v>44573</v>
      </c>
      <c r="D4234" t="str">
        <f>TEST_DATA!D4234</f>
        <v>NON-NIL</v>
      </c>
      <c r="E4234">
        <f>TEST_DATA!E4234</f>
        <v>2395</v>
      </c>
    </row>
    <row r="4235" spans="1:5" x14ac:dyDescent="0.55000000000000004">
      <c r="A4235" t="str">
        <f>TEST_DATA!A4235</f>
        <v>27AAAAA4235Z5</v>
      </c>
      <c r="B4235" t="str">
        <f>TEST_DATA!B4235</f>
        <v>Mar-2020</v>
      </c>
      <c r="C4235">
        <f>TEST_DATA!C4235</f>
        <v>44203</v>
      </c>
      <c r="D4235" t="str">
        <f>TEST_DATA!D4235</f>
        <v>NON-NIL</v>
      </c>
      <c r="E4235">
        <f>TEST_DATA!E4235</f>
        <v>81</v>
      </c>
    </row>
    <row r="4236" spans="1:5" x14ac:dyDescent="0.55000000000000004">
      <c r="A4236" t="str">
        <f>TEST_DATA!A4236</f>
        <v>27AAAAA4236Z5</v>
      </c>
      <c r="B4236" t="str">
        <f>TEST_DATA!B4236</f>
        <v>Jan-2019</v>
      </c>
      <c r="C4236">
        <f>TEST_DATA!C4236</f>
        <v>45787</v>
      </c>
      <c r="D4236" t="str">
        <f>TEST_DATA!D4236</f>
        <v>NON-NIL</v>
      </c>
      <c r="E4236">
        <f>TEST_DATA!E4236</f>
        <v>1391</v>
      </c>
    </row>
    <row r="4237" spans="1:5" x14ac:dyDescent="0.55000000000000004">
      <c r="A4237" t="str">
        <f>TEST_DATA!A4237</f>
        <v>27AAAAA4237Z5</v>
      </c>
      <c r="B4237" t="str">
        <f>TEST_DATA!B4237</f>
        <v>Sep-2017</v>
      </c>
      <c r="C4237">
        <f>TEST_DATA!C4237</f>
        <v>43674</v>
      </c>
      <c r="D4237" t="str">
        <f>TEST_DATA!D4237</f>
        <v>NIL</v>
      </c>
      <c r="E4237">
        <f>TEST_DATA!E4237</f>
        <v>725</v>
      </c>
    </row>
    <row r="4238" spans="1:5" x14ac:dyDescent="0.55000000000000004">
      <c r="A4238" t="str">
        <f>TEST_DATA!A4238</f>
        <v>27AAAAA4238Z5</v>
      </c>
      <c r="B4238" t="str">
        <f>TEST_DATA!B4238</f>
        <v>Nov-2017</v>
      </c>
      <c r="C4238">
        <f>TEST_DATA!C4238</f>
        <v>44195</v>
      </c>
      <c r="D4238" t="str">
        <f>TEST_DATA!D4238</f>
        <v>NON-NIL</v>
      </c>
      <c r="E4238">
        <f>TEST_DATA!E4238</f>
        <v>2774</v>
      </c>
    </row>
    <row r="4239" spans="1:5" x14ac:dyDescent="0.55000000000000004">
      <c r="A4239" t="str">
        <f>TEST_DATA!A4239</f>
        <v>27AAAAA4239Z5</v>
      </c>
      <c r="B4239" t="str">
        <f>TEST_DATA!B4239</f>
        <v>Jul-2018</v>
      </c>
      <c r="C4239">
        <f>TEST_DATA!C4239</f>
        <v>43223</v>
      </c>
      <c r="D4239" t="str">
        <f>TEST_DATA!D4239</f>
        <v>NIL</v>
      </c>
      <c r="E4239">
        <f>TEST_DATA!E4239</f>
        <v>2739</v>
      </c>
    </row>
    <row r="4240" spans="1:5" x14ac:dyDescent="0.55000000000000004">
      <c r="A4240" t="str">
        <f>TEST_DATA!A4240</f>
        <v>27AAAAA4240Z5</v>
      </c>
      <c r="B4240" t="str">
        <f>TEST_DATA!B4240</f>
        <v>Jan-2018</v>
      </c>
      <c r="C4240">
        <f>TEST_DATA!C4240</f>
        <v>44215</v>
      </c>
      <c r="D4240" t="str">
        <f>TEST_DATA!D4240</f>
        <v>NON-NIL</v>
      </c>
      <c r="E4240">
        <f>TEST_DATA!E4240</f>
        <v>1197</v>
      </c>
    </row>
    <row r="4241" spans="1:5" x14ac:dyDescent="0.55000000000000004">
      <c r="A4241" t="str">
        <f>TEST_DATA!A4241</f>
        <v>27AAAAA4241Z5</v>
      </c>
      <c r="B4241" t="str">
        <f>TEST_DATA!B4241</f>
        <v>Jul-2020</v>
      </c>
      <c r="C4241">
        <f>TEST_DATA!C4241</f>
        <v>44001</v>
      </c>
      <c r="D4241" t="str">
        <f>TEST_DATA!D4241</f>
        <v>NON-NIL</v>
      </c>
      <c r="E4241">
        <f>TEST_DATA!E4241</f>
        <v>2469</v>
      </c>
    </row>
    <row r="4242" spans="1:5" x14ac:dyDescent="0.55000000000000004">
      <c r="A4242" t="str">
        <f>TEST_DATA!A4242</f>
        <v>27AAAAA4242Z5</v>
      </c>
      <c r="B4242" t="str">
        <f>TEST_DATA!B4242</f>
        <v>Apr-2021</v>
      </c>
      <c r="C4242">
        <f>TEST_DATA!C4242</f>
        <v>45492</v>
      </c>
      <c r="D4242" t="str">
        <f>TEST_DATA!D4242</f>
        <v>NIL</v>
      </c>
      <c r="E4242">
        <f>TEST_DATA!E4242</f>
        <v>2547</v>
      </c>
    </row>
    <row r="4243" spans="1:5" x14ac:dyDescent="0.55000000000000004">
      <c r="A4243" t="str">
        <f>TEST_DATA!A4243</f>
        <v>27AAAAA4243Z5</v>
      </c>
      <c r="B4243" t="str">
        <f>TEST_DATA!B4243</f>
        <v>Dec-2024</v>
      </c>
      <c r="C4243">
        <f>TEST_DATA!C4243</f>
        <v>45177</v>
      </c>
      <c r="D4243" t="str">
        <f>TEST_DATA!D4243</f>
        <v>NIL</v>
      </c>
      <c r="E4243">
        <f>TEST_DATA!E4243</f>
        <v>1495</v>
      </c>
    </row>
    <row r="4244" spans="1:5" x14ac:dyDescent="0.55000000000000004">
      <c r="A4244" t="str">
        <f>TEST_DATA!A4244</f>
        <v>27AAAAA4244Z5</v>
      </c>
      <c r="B4244" t="str">
        <f>TEST_DATA!B4244</f>
        <v>Mar-2023</v>
      </c>
      <c r="C4244">
        <f>TEST_DATA!C4244</f>
        <v>44501</v>
      </c>
      <c r="D4244" t="str">
        <f>TEST_DATA!D4244</f>
        <v>NIL</v>
      </c>
      <c r="E4244">
        <f>TEST_DATA!E4244</f>
        <v>2102</v>
      </c>
    </row>
    <row r="4245" spans="1:5" x14ac:dyDescent="0.55000000000000004">
      <c r="A4245" t="str">
        <f>TEST_DATA!A4245</f>
        <v>27AAAAA4245Z5</v>
      </c>
      <c r="B4245" t="str">
        <f>TEST_DATA!B4245</f>
        <v>Mar-2018</v>
      </c>
      <c r="C4245">
        <f>TEST_DATA!C4245</f>
        <v>43982</v>
      </c>
      <c r="D4245" t="str">
        <f>TEST_DATA!D4245</f>
        <v>NIL</v>
      </c>
      <c r="E4245">
        <f>TEST_DATA!E4245</f>
        <v>2005</v>
      </c>
    </row>
    <row r="4246" spans="1:5" x14ac:dyDescent="0.55000000000000004">
      <c r="A4246" t="str">
        <f>TEST_DATA!A4246</f>
        <v>27AAAAA4246Z5</v>
      </c>
      <c r="B4246" t="str">
        <f>TEST_DATA!B4246</f>
        <v>May-2018</v>
      </c>
      <c r="C4246">
        <f>TEST_DATA!C4246</f>
        <v>43258</v>
      </c>
      <c r="D4246" t="str">
        <f>TEST_DATA!D4246</f>
        <v>NIL</v>
      </c>
      <c r="E4246">
        <f>TEST_DATA!E4246</f>
        <v>2659</v>
      </c>
    </row>
    <row r="4247" spans="1:5" x14ac:dyDescent="0.55000000000000004">
      <c r="A4247" t="str">
        <f>TEST_DATA!A4247</f>
        <v>27AAAAA4247Z5</v>
      </c>
      <c r="B4247" t="str">
        <f>TEST_DATA!B4247</f>
        <v>Feb-2018</v>
      </c>
      <c r="C4247">
        <f>TEST_DATA!C4247</f>
        <v>44351</v>
      </c>
      <c r="D4247" t="str">
        <f>TEST_DATA!D4247</f>
        <v>NON-NIL</v>
      </c>
      <c r="E4247">
        <f>TEST_DATA!E4247</f>
        <v>1077</v>
      </c>
    </row>
    <row r="4248" spans="1:5" x14ac:dyDescent="0.55000000000000004">
      <c r="A4248" t="str">
        <f>TEST_DATA!A4248</f>
        <v>27AAAAA4248Z5</v>
      </c>
      <c r="B4248" t="str">
        <f>TEST_DATA!B4248</f>
        <v>Sep-2018</v>
      </c>
      <c r="C4248">
        <f>TEST_DATA!C4248</f>
        <v>43803</v>
      </c>
      <c r="D4248" t="str">
        <f>TEST_DATA!D4248</f>
        <v>NON-NIL</v>
      </c>
      <c r="E4248">
        <f>TEST_DATA!E4248</f>
        <v>165</v>
      </c>
    </row>
    <row r="4249" spans="1:5" x14ac:dyDescent="0.55000000000000004">
      <c r="A4249" t="str">
        <f>TEST_DATA!A4249</f>
        <v>27AAAAA4249Z5</v>
      </c>
      <c r="B4249" t="str">
        <f>TEST_DATA!B4249</f>
        <v>Mar-2018</v>
      </c>
      <c r="C4249">
        <f>TEST_DATA!C4249</f>
        <v>44452</v>
      </c>
      <c r="D4249" t="str">
        <f>TEST_DATA!D4249</f>
        <v>NON-NIL</v>
      </c>
      <c r="E4249">
        <f>TEST_DATA!E4249</f>
        <v>2700</v>
      </c>
    </row>
    <row r="4250" spans="1:5" x14ac:dyDescent="0.55000000000000004">
      <c r="A4250" t="str">
        <f>TEST_DATA!A4250</f>
        <v>27AAAAA4250Z5</v>
      </c>
      <c r="B4250" t="str">
        <f>TEST_DATA!B4250</f>
        <v>Sep-2017</v>
      </c>
      <c r="C4250">
        <f>TEST_DATA!C4250</f>
        <v>43598</v>
      </c>
      <c r="D4250" t="str">
        <f>TEST_DATA!D4250</f>
        <v>NIL</v>
      </c>
      <c r="E4250">
        <f>TEST_DATA!E4250</f>
        <v>535</v>
      </c>
    </row>
    <row r="4251" spans="1:5" x14ac:dyDescent="0.55000000000000004">
      <c r="A4251" t="str">
        <f>TEST_DATA!A4251</f>
        <v>27AAAAA4251Z5</v>
      </c>
      <c r="B4251" t="str">
        <f>TEST_DATA!B4251</f>
        <v>Mar-2023</v>
      </c>
      <c r="C4251">
        <f>TEST_DATA!C4251</f>
        <v>43509</v>
      </c>
      <c r="D4251" t="str">
        <f>TEST_DATA!D4251</f>
        <v>NIL</v>
      </c>
      <c r="E4251">
        <f>TEST_DATA!E4251</f>
        <v>1239</v>
      </c>
    </row>
    <row r="4252" spans="1:5" x14ac:dyDescent="0.55000000000000004">
      <c r="A4252" t="str">
        <f>TEST_DATA!A4252</f>
        <v>27AAAAA4252Z5</v>
      </c>
      <c r="B4252" t="str">
        <f>TEST_DATA!B4252</f>
        <v>Jul-2018</v>
      </c>
      <c r="C4252">
        <f>TEST_DATA!C4252</f>
        <v>43325</v>
      </c>
      <c r="D4252" t="str">
        <f>TEST_DATA!D4252</f>
        <v>NON-NIL</v>
      </c>
      <c r="E4252">
        <f>TEST_DATA!E4252</f>
        <v>1556</v>
      </c>
    </row>
    <row r="4253" spans="1:5" x14ac:dyDescent="0.55000000000000004">
      <c r="A4253" t="str">
        <f>TEST_DATA!A4253</f>
        <v>27AAAAA4253Z5</v>
      </c>
      <c r="B4253" t="str">
        <f>TEST_DATA!B4253</f>
        <v>Jul-2018</v>
      </c>
      <c r="C4253">
        <f>TEST_DATA!C4253</f>
        <v>42990</v>
      </c>
      <c r="D4253" t="str">
        <f>TEST_DATA!D4253</f>
        <v>NON-NIL</v>
      </c>
      <c r="E4253">
        <f>TEST_DATA!E4253</f>
        <v>2854</v>
      </c>
    </row>
    <row r="4254" spans="1:5" x14ac:dyDescent="0.55000000000000004">
      <c r="A4254" t="str">
        <f>TEST_DATA!A4254</f>
        <v>27AAAAA4254Z5</v>
      </c>
      <c r="B4254" t="str">
        <f>TEST_DATA!B4254</f>
        <v>Jul-2018</v>
      </c>
      <c r="C4254">
        <f>TEST_DATA!C4254</f>
        <v>43604</v>
      </c>
      <c r="D4254" t="str">
        <f>TEST_DATA!D4254</f>
        <v>NON-NIL</v>
      </c>
      <c r="E4254">
        <f>TEST_DATA!E4254</f>
        <v>2099</v>
      </c>
    </row>
    <row r="4255" spans="1:5" x14ac:dyDescent="0.55000000000000004">
      <c r="A4255" t="str">
        <f>TEST_DATA!A4255</f>
        <v>27AAAAA4255Z5</v>
      </c>
      <c r="B4255" t="str">
        <f>TEST_DATA!B4255</f>
        <v>Mar-2023</v>
      </c>
      <c r="C4255">
        <f>TEST_DATA!C4255</f>
        <v>45204</v>
      </c>
      <c r="D4255" t="str">
        <f>TEST_DATA!D4255</f>
        <v>NON-NIL</v>
      </c>
      <c r="E4255">
        <f>TEST_DATA!E4255</f>
        <v>2897</v>
      </c>
    </row>
    <row r="4256" spans="1:5" x14ac:dyDescent="0.55000000000000004">
      <c r="A4256" t="str">
        <f>TEST_DATA!A4256</f>
        <v>27AAAAA4256Z5</v>
      </c>
      <c r="B4256" t="str">
        <f>TEST_DATA!B4256</f>
        <v>May-2018</v>
      </c>
      <c r="C4256">
        <f>TEST_DATA!C4256</f>
        <v>43188</v>
      </c>
      <c r="D4256" t="str">
        <f>TEST_DATA!D4256</f>
        <v>NON-NIL</v>
      </c>
      <c r="E4256">
        <f>TEST_DATA!E4256</f>
        <v>2945</v>
      </c>
    </row>
    <row r="4257" spans="1:5" x14ac:dyDescent="0.55000000000000004">
      <c r="A4257" t="str">
        <f>TEST_DATA!A4257</f>
        <v>27AAAAA4257Z5</v>
      </c>
      <c r="B4257" t="str">
        <f>TEST_DATA!B4257</f>
        <v>Mar-2018</v>
      </c>
      <c r="C4257">
        <f>TEST_DATA!C4257</f>
        <v>44048</v>
      </c>
      <c r="D4257" t="str">
        <f>TEST_DATA!D4257</f>
        <v>NIL</v>
      </c>
      <c r="E4257">
        <f>TEST_DATA!E4257</f>
        <v>2002</v>
      </c>
    </row>
    <row r="4258" spans="1:5" x14ac:dyDescent="0.55000000000000004">
      <c r="A4258" t="str">
        <f>TEST_DATA!A4258</f>
        <v>27AAAAA4258Z5</v>
      </c>
      <c r="B4258" t="str">
        <f>TEST_DATA!B4258</f>
        <v>Apr-2018</v>
      </c>
      <c r="C4258">
        <f>TEST_DATA!C4258</f>
        <v>43463</v>
      </c>
      <c r="D4258" t="str">
        <f>TEST_DATA!D4258</f>
        <v>NIL</v>
      </c>
      <c r="E4258">
        <f>TEST_DATA!E4258</f>
        <v>1842</v>
      </c>
    </row>
    <row r="4259" spans="1:5" x14ac:dyDescent="0.55000000000000004">
      <c r="A4259" t="str">
        <f>TEST_DATA!A4259</f>
        <v>27AAAAA4259Z5</v>
      </c>
      <c r="B4259" t="str">
        <f>TEST_DATA!B4259</f>
        <v>Jun-2020</v>
      </c>
      <c r="C4259">
        <f>TEST_DATA!C4259</f>
        <v>44004</v>
      </c>
      <c r="D4259" t="str">
        <f>TEST_DATA!D4259</f>
        <v>NON-NIL</v>
      </c>
      <c r="E4259">
        <f>TEST_DATA!E4259</f>
        <v>2084</v>
      </c>
    </row>
    <row r="4260" spans="1:5" x14ac:dyDescent="0.55000000000000004">
      <c r="A4260" t="str">
        <f>TEST_DATA!A4260</f>
        <v>27AAAAA4260Z5</v>
      </c>
      <c r="B4260" t="str">
        <f>TEST_DATA!B4260</f>
        <v>Dec-2024</v>
      </c>
      <c r="C4260">
        <f>TEST_DATA!C4260</f>
        <v>43930</v>
      </c>
      <c r="D4260" t="str">
        <f>TEST_DATA!D4260</f>
        <v>NIL</v>
      </c>
      <c r="E4260">
        <f>TEST_DATA!E4260</f>
        <v>526</v>
      </c>
    </row>
    <row r="4261" spans="1:5" x14ac:dyDescent="0.55000000000000004">
      <c r="A4261" t="str">
        <f>TEST_DATA!A4261</f>
        <v>27AAAAA4261Z5</v>
      </c>
      <c r="B4261" t="str">
        <f>TEST_DATA!B4261</f>
        <v>Apr-2021</v>
      </c>
      <c r="C4261">
        <f>TEST_DATA!C4261</f>
        <v>43904</v>
      </c>
      <c r="D4261" t="str">
        <f>TEST_DATA!D4261</f>
        <v>NIL</v>
      </c>
      <c r="E4261">
        <f>TEST_DATA!E4261</f>
        <v>304</v>
      </c>
    </row>
    <row r="4262" spans="1:5" x14ac:dyDescent="0.55000000000000004">
      <c r="A4262" t="str">
        <f>TEST_DATA!A4262</f>
        <v>27AAAAA4262Z5</v>
      </c>
      <c r="B4262" t="str">
        <f>TEST_DATA!B4262</f>
        <v>Dec-2017</v>
      </c>
      <c r="C4262">
        <f>TEST_DATA!C4262</f>
        <v>43681</v>
      </c>
      <c r="D4262" t="str">
        <f>TEST_DATA!D4262</f>
        <v>NIL</v>
      </c>
      <c r="E4262">
        <f>TEST_DATA!E4262</f>
        <v>630</v>
      </c>
    </row>
    <row r="4263" spans="1:5" x14ac:dyDescent="0.55000000000000004">
      <c r="A4263" t="str">
        <f>TEST_DATA!A4263</f>
        <v>27AAAAA4263Z5</v>
      </c>
      <c r="B4263" t="str">
        <f>TEST_DATA!B4263</f>
        <v>Mar-2020</v>
      </c>
      <c r="C4263">
        <f>TEST_DATA!C4263</f>
        <v>44316</v>
      </c>
      <c r="D4263" t="str">
        <f>TEST_DATA!D4263</f>
        <v>NIL</v>
      </c>
      <c r="E4263">
        <f>TEST_DATA!E4263</f>
        <v>308</v>
      </c>
    </row>
    <row r="4264" spans="1:5" x14ac:dyDescent="0.55000000000000004">
      <c r="A4264" t="str">
        <f>TEST_DATA!A4264</f>
        <v>27AAAAA4264Z5</v>
      </c>
      <c r="B4264" t="str">
        <f>TEST_DATA!B4264</f>
        <v>Jul-2017</v>
      </c>
      <c r="C4264">
        <f>TEST_DATA!C4264</f>
        <v>44397</v>
      </c>
      <c r="D4264" t="str">
        <f>TEST_DATA!D4264</f>
        <v>NIL</v>
      </c>
      <c r="E4264">
        <f>TEST_DATA!E4264</f>
        <v>1397</v>
      </c>
    </row>
    <row r="4265" spans="1:5" x14ac:dyDescent="0.55000000000000004">
      <c r="A4265" t="str">
        <f>TEST_DATA!A4265</f>
        <v>27AAAAA4265Z5</v>
      </c>
      <c r="B4265" t="str">
        <f>TEST_DATA!B4265</f>
        <v>Mar-2023</v>
      </c>
      <c r="C4265">
        <f>TEST_DATA!C4265</f>
        <v>43754</v>
      </c>
      <c r="D4265" t="str">
        <f>TEST_DATA!D4265</f>
        <v>NIL</v>
      </c>
      <c r="E4265">
        <f>TEST_DATA!E4265</f>
        <v>2386</v>
      </c>
    </row>
    <row r="4266" spans="1:5" x14ac:dyDescent="0.55000000000000004">
      <c r="A4266" t="str">
        <f>TEST_DATA!A4266</f>
        <v>27AAAAA4266Z5</v>
      </c>
      <c r="B4266" t="str">
        <f>TEST_DATA!B4266</f>
        <v>May-2020</v>
      </c>
      <c r="C4266">
        <f>TEST_DATA!C4266</f>
        <v>44774</v>
      </c>
      <c r="D4266" t="str">
        <f>TEST_DATA!D4266</f>
        <v>NON-NIL</v>
      </c>
      <c r="E4266">
        <f>TEST_DATA!E4266</f>
        <v>2723</v>
      </c>
    </row>
    <row r="4267" spans="1:5" x14ac:dyDescent="0.55000000000000004">
      <c r="A4267" t="str">
        <f>TEST_DATA!A4267</f>
        <v>27AAAAA4267Z5</v>
      </c>
      <c r="B4267" t="str">
        <f>TEST_DATA!B4267</f>
        <v>Oct-2017</v>
      </c>
      <c r="C4267">
        <f>TEST_DATA!C4267</f>
        <v>44171</v>
      </c>
      <c r="D4267" t="str">
        <f>TEST_DATA!D4267</f>
        <v>NIL</v>
      </c>
      <c r="E4267">
        <f>TEST_DATA!E4267</f>
        <v>230</v>
      </c>
    </row>
    <row r="4268" spans="1:5" x14ac:dyDescent="0.55000000000000004">
      <c r="A4268" t="str">
        <f>TEST_DATA!A4268</f>
        <v>27AAAAA4268Z5</v>
      </c>
      <c r="B4268" t="str">
        <f>TEST_DATA!B4268</f>
        <v>Jul-2020</v>
      </c>
      <c r="C4268">
        <f>TEST_DATA!C4268</f>
        <v>44115</v>
      </c>
      <c r="D4268" t="str">
        <f>TEST_DATA!D4268</f>
        <v>NIL</v>
      </c>
      <c r="E4268">
        <f>TEST_DATA!E4268</f>
        <v>332</v>
      </c>
    </row>
    <row r="4269" spans="1:5" x14ac:dyDescent="0.55000000000000004">
      <c r="A4269" t="str">
        <f>TEST_DATA!A4269</f>
        <v>27AAAAA4269Z5</v>
      </c>
      <c r="B4269" t="str">
        <f>TEST_DATA!B4269</f>
        <v>Dec-2017</v>
      </c>
      <c r="C4269">
        <f>TEST_DATA!C4269</f>
        <v>43104</v>
      </c>
      <c r="D4269" t="str">
        <f>TEST_DATA!D4269</f>
        <v>NIL</v>
      </c>
      <c r="E4269">
        <f>TEST_DATA!E4269</f>
        <v>15</v>
      </c>
    </row>
    <row r="4270" spans="1:5" x14ac:dyDescent="0.55000000000000004">
      <c r="A4270" t="str">
        <f>TEST_DATA!A4270</f>
        <v>27AAAAA4270Z5</v>
      </c>
      <c r="B4270" t="str">
        <f>TEST_DATA!B4270</f>
        <v>Aug-2018</v>
      </c>
      <c r="C4270">
        <f>TEST_DATA!C4270</f>
        <v>44538</v>
      </c>
      <c r="D4270" t="str">
        <f>TEST_DATA!D4270</f>
        <v>NIL</v>
      </c>
      <c r="E4270">
        <f>TEST_DATA!E4270</f>
        <v>861</v>
      </c>
    </row>
    <row r="4271" spans="1:5" x14ac:dyDescent="0.55000000000000004">
      <c r="A4271" t="str">
        <f>TEST_DATA!A4271</f>
        <v>27AAAAA4271Z5</v>
      </c>
      <c r="B4271" t="str">
        <f>TEST_DATA!B4271</f>
        <v>Aug-2017</v>
      </c>
      <c r="C4271">
        <f>TEST_DATA!C4271</f>
        <v>44385</v>
      </c>
      <c r="D4271" t="str">
        <f>TEST_DATA!D4271</f>
        <v>NIL</v>
      </c>
      <c r="E4271">
        <f>TEST_DATA!E4271</f>
        <v>1584</v>
      </c>
    </row>
    <row r="4272" spans="1:5" x14ac:dyDescent="0.55000000000000004">
      <c r="A4272" t="str">
        <f>TEST_DATA!A4272</f>
        <v>27AAAAA4272Z5</v>
      </c>
      <c r="B4272" t="str">
        <f>TEST_DATA!B4272</f>
        <v>May-2018</v>
      </c>
      <c r="C4272">
        <f>TEST_DATA!C4272</f>
        <v>44197</v>
      </c>
      <c r="D4272" t="str">
        <f>TEST_DATA!D4272</f>
        <v>NIL</v>
      </c>
      <c r="E4272">
        <f>TEST_DATA!E4272</f>
        <v>1949</v>
      </c>
    </row>
    <row r="4273" spans="1:5" x14ac:dyDescent="0.55000000000000004">
      <c r="A4273" t="str">
        <f>TEST_DATA!A4273</f>
        <v>27AAAAA4273Z5</v>
      </c>
      <c r="B4273" t="str">
        <f>TEST_DATA!B4273</f>
        <v>Dec-2022</v>
      </c>
      <c r="C4273">
        <f>TEST_DATA!C4273</f>
        <v>44274</v>
      </c>
      <c r="D4273" t="str">
        <f>TEST_DATA!D4273</f>
        <v>NON-NIL</v>
      </c>
      <c r="E4273">
        <f>TEST_DATA!E4273</f>
        <v>2479</v>
      </c>
    </row>
    <row r="4274" spans="1:5" x14ac:dyDescent="0.55000000000000004">
      <c r="A4274" t="str">
        <f>TEST_DATA!A4274</f>
        <v>27AAAAA4274Z5</v>
      </c>
      <c r="B4274" t="str">
        <f>TEST_DATA!B4274</f>
        <v>Jul-2020</v>
      </c>
      <c r="C4274">
        <f>TEST_DATA!C4274</f>
        <v>44212</v>
      </c>
      <c r="D4274" t="str">
        <f>TEST_DATA!D4274</f>
        <v>NON-NIL</v>
      </c>
      <c r="E4274">
        <f>TEST_DATA!E4274</f>
        <v>1179</v>
      </c>
    </row>
    <row r="4275" spans="1:5" x14ac:dyDescent="0.55000000000000004">
      <c r="A4275" t="str">
        <f>TEST_DATA!A4275</f>
        <v>27AAAAA4275Z5</v>
      </c>
      <c r="B4275" t="str">
        <f>TEST_DATA!B4275</f>
        <v>Jan-2021</v>
      </c>
      <c r="C4275">
        <f>TEST_DATA!C4275</f>
        <v>43716</v>
      </c>
      <c r="D4275" t="str">
        <f>TEST_DATA!D4275</f>
        <v>NON-NIL</v>
      </c>
      <c r="E4275">
        <f>TEST_DATA!E4275</f>
        <v>757</v>
      </c>
    </row>
    <row r="4276" spans="1:5" x14ac:dyDescent="0.55000000000000004">
      <c r="A4276" t="str">
        <f>TEST_DATA!A4276</f>
        <v>27AAAAA4276Z5</v>
      </c>
      <c r="B4276" t="str">
        <f>TEST_DATA!B4276</f>
        <v>Jun-2019</v>
      </c>
      <c r="C4276">
        <f>TEST_DATA!C4276</f>
        <v>43491</v>
      </c>
      <c r="D4276" t="str">
        <f>TEST_DATA!D4276</f>
        <v>NIL</v>
      </c>
      <c r="E4276">
        <f>TEST_DATA!E4276</f>
        <v>720</v>
      </c>
    </row>
    <row r="4277" spans="1:5" x14ac:dyDescent="0.55000000000000004">
      <c r="A4277" t="str">
        <f>TEST_DATA!A4277</f>
        <v>27AAAAA4277Z5</v>
      </c>
      <c r="B4277" t="str">
        <f>TEST_DATA!B4277</f>
        <v>Jan-2018</v>
      </c>
      <c r="C4277">
        <f>TEST_DATA!C4277</f>
        <v>43456</v>
      </c>
      <c r="D4277" t="str">
        <f>TEST_DATA!D4277</f>
        <v>NIL</v>
      </c>
      <c r="E4277">
        <f>TEST_DATA!E4277</f>
        <v>2220</v>
      </c>
    </row>
    <row r="4278" spans="1:5" x14ac:dyDescent="0.55000000000000004">
      <c r="A4278" t="str">
        <f>TEST_DATA!A4278</f>
        <v>27AAAAA4278Z5</v>
      </c>
      <c r="B4278" t="str">
        <f>TEST_DATA!B4278</f>
        <v>Mar-2020</v>
      </c>
      <c r="C4278">
        <f>TEST_DATA!C4278</f>
        <v>44218</v>
      </c>
      <c r="D4278" t="str">
        <f>TEST_DATA!D4278</f>
        <v>NIL</v>
      </c>
      <c r="E4278">
        <f>TEST_DATA!E4278</f>
        <v>2878</v>
      </c>
    </row>
    <row r="4279" spans="1:5" x14ac:dyDescent="0.55000000000000004">
      <c r="A4279" t="str">
        <f>TEST_DATA!A4279</f>
        <v>27AAAAA4279Z5</v>
      </c>
      <c r="B4279" t="str">
        <f>TEST_DATA!B4279</f>
        <v>Mar-2021</v>
      </c>
      <c r="C4279">
        <f>TEST_DATA!C4279</f>
        <v>43776</v>
      </c>
      <c r="D4279" t="str">
        <f>TEST_DATA!D4279</f>
        <v>NIL</v>
      </c>
      <c r="E4279">
        <f>TEST_DATA!E4279</f>
        <v>766</v>
      </c>
    </row>
    <row r="4280" spans="1:5" x14ac:dyDescent="0.55000000000000004">
      <c r="A4280" t="str">
        <f>TEST_DATA!A4280</f>
        <v>27AAAAA4280Z5</v>
      </c>
      <c r="B4280" t="str">
        <f>TEST_DATA!B4280</f>
        <v>Mar-2023</v>
      </c>
      <c r="C4280">
        <f>TEST_DATA!C4280</f>
        <v>44782</v>
      </c>
      <c r="D4280" t="str">
        <f>TEST_DATA!D4280</f>
        <v>NIL</v>
      </c>
      <c r="E4280">
        <f>TEST_DATA!E4280</f>
        <v>665</v>
      </c>
    </row>
    <row r="4281" spans="1:5" x14ac:dyDescent="0.55000000000000004">
      <c r="A4281" t="str">
        <f>TEST_DATA!A4281</f>
        <v>27AAAAA4281Z5</v>
      </c>
      <c r="B4281" t="str">
        <f>TEST_DATA!B4281</f>
        <v>Jul-2018</v>
      </c>
      <c r="C4281">
        <f>TEST_DATA!C4281</f>
        <v>44218</v>
      </c>
      <c r="D4281" t="str">
        <f>TEST_DATA!D4281</f>
        <v>NON-NIL</v>
      </c>
      <c r="E4281">
        <f>TEST_DATA!E4281</f>
        <v>2463</v>
      </c>
    </row>
    <row r="4282" spans="1:5" x14ac:dyDescent="0.55000000000000004">
      <c r="A4282" t="str">
        <f>TEST_DATA!A4282</f>
        <v>27AAAAA4282Z5</v>
      </c>
      <c r="B4282" t="str">
        <f>TEST_DATA!B4282</f>
        <v>Aug-2018</v>
      </c>
      <c r="C4282">
        <f>TEST_DATA!C4282</f>
        <v>43954</v>
      </c>
      <c r="D4282" t="str">
        <f>TEST_DATA!D4282</f>
        <v>NON-NIL</v>
      </c>
      <c r="E4282">
        <f>TEST_DATA!E4282</f>
        <v>893</v>
      </c>
    </row>
    <row r="4283" spans="1:5" x14ac:dyDescent="0.55000000000000004">
      <c r="A4283" t="str">
        <f>TEST_DATA!A4283</f>
        <v>27AAAAA4283Z5</v>
      </c>
      <c r="B4283" t="str">
        <f>TEST_DATA!B4283</f>
        <v>Aug-2018</v>
      </c>
      <c r="C4283">
        <f>TEST_DATA!C4283</f>
        <v>43430</v>
      </c>
      <c r="D4283" t="str">
        <f>TEST_DATA!D4283</f>
        <v>NON-NIL</v>
      </c>
      <c r="E4283">
        <f>TEST_DATA!E4283</f>
        <v>986</v>
      </c>
    </row>
    <row r="4284" spans="1:5" x14ac:dyDescent="0.55000000000000004">
      <c r="A4284" t="str">
        <f>TEST_DATA!A4284</f>
        <v>27AAAAA4284Z5</v>
      </c>
      <c r="B4284" t="str">
        <f>TEST_DATA!B4284</f>
        <v>Jun-2019</v>
      </c>
      <c r="C4284">
        <f>TEST_DATA!C4284</f>
        <v>43494</v>
      </c>
      <c r="D4284" t="str">
        <f>TEST_DATA!D4284</f>
        <v>NON-NIL</v>
      </c>
      <c r="E4284">
        <f>TEST_DATA!E4284</f>
        <v>1152</v>
      </c>
    </row>
    <row r="4285" spans="1:5" x14ac:dyDescent="0.55000000000000004">
      <c r="A4285" t="str">
        <f>TEST_DATA!A4285</f>
        <v>27AAAAA4285Z5</v>
      </c>
      <c r="B4285" t="str">
        <f>TEST_DATA!B4285</f>
        <v>Mar-2021</v>
      </c>
      <c r="C4285">
        <f>TEST_DATA!C4285</f>
        <v>44126</v>
      </c>
      <c r="D4285" t="str">
        <f>TEST_DATA!D4285</f>
        <v>NIL</v>
      </c>
      <c r="E4285">
        <f>TEST_DATA!E4285</f>
        <v>252</v>
      </c>
    </row>
    <row r="4286" spans="1:5" x14ac:dyDescent="0.55000000000000004">
      <c r="A4286" t="str">
        <f>TEST_DATA!A4286</f>
        <v>27AAAAA4286Z5</v>
      </c>
      <c r="B4286" t="str">
        <f>TEST_DATA!B4286</f>
        <v>Sep-2017</v>
      </c>
      <c r="C4286">
        <f>TEST_DATA!C4286</f>
        <v>43928</v>
      </c>
      <c r="D4286" t="str">
        <f>TEST_DATA!D4286</f>
        <v>NON-NIL</v>
      </c>
      <c r="E4286">
        <f>TEST_DATA!E4286</f>
        <v>247</v>
      </c>
    </row>
    <row r="4287" spans="1:5" x14ac:dyDescent="0.55000000000000004">
      <c r="A4287" t="str">
        <f>TEST_DATA!A4287</f>
        <v>27AAAAA4287Z5</v>
      </c>
      <c r="B4287" t="str">
        <f>TEST_DATA!B4287</f>
        <v>Apr-2020</v>
      </c>
      <c r="C4287">
        <f>TEST_DATA!C4287</f>
        <v>44711</v>
      </c>
      <c r="D4287" t="str">
        <f>TEST_DATA!D4287</f>
        <v>NIL</v>
      </c>
      <c r="E4287">
        <f>TEST_DATA!E4287</f>
        <v>2760</v>
      </c>
    </row>
    <row r="4288" spans="1:5" x14ac:dyDescent="0.55000000000000004">
      <c r="A4288" t="str">
        <f>TEST_DATA!A4288</f>
        <v>27AAAAA4288Z5</v>
      </c>
      <c r="B4288" t="str">
        <f>TEST_DATA!B4288</f>
        <v>Mar-2021</v>
      </c>
      <c r="C4288">
        <f>TEST_DATA!C4288</f>
        <v>45292</v>
      </c>
      <c r="D4288" t="str">
        <f>TEST_DATA!D4288</f>
        <v>NIL</v>
      </c>
      <c r="E4288">
        <f>TEST_DATA!E4288</f>
        <v>2762</v>
      </c>
    </row>
    <row r="4289" spans="1:5" x14ac:dyDescent="0.55000000000000004">
      <c r="A4289" t="str">
        <f>TEST_DATA!A4289</f>
        <v>27AAAAA4289Z5</v>
      </c>
      <c r="B4289" t="str">
        <f>TEST_DATA!B4289</f>
        <v>Sep-2017</v>
      </c>
      <c r="C4289">
        <f>TEST_DATA!C4289</f>
        <v>43569</v>
      </c>
      <c r="D4289" t="str">
        <f>TEST_DATA!D4289</f>
        <v>NON-NIL</v>
      </c>
      <c r="E4289">
        <f>TEST_DATA!E4289</f>
        <v>2859</v>
      </c>
    </row>
    <row r="4290" spans="1:5" x14ac:dyDescent="0.55000000000000004">
      <c r="A4290" t="str">
        <f>TEST_DATA!A4290</f>
        <v>27AAAAA4290Z5</v>
      </c>
      <c r="B4290" t="str">
        <f>TEST_DATA!B4290</f>
        <v>Jun-2020</v>
      </c>
      <c r="C4290">
        <f>TEST_DATA!C4290</f>
        <v>43965</v>
      </c>
      <c r="D4290" t="str">
        <f>TEST_DATA!D4290</f>
        <v>NON-NIL</v>
      </c>
      <c r="E4290">
        <f>TEST_DATA!E4290</f>
        <v>2978</v>
      </c>
    </row>
    <row r="4291" spans="1:5" x14ac:dyDescent="0.55000000000000004">
      <c r="A4291" t="str">
        <f>TEST_DATA!A4291</f>
        <v>27AAAAA4291Z5</v>
      </c>
      <c r="B4291" t="str">
        <f>TEST_DATA!B4291</f>
        <v>Dec-2022</v>
      </c>
      <c r="C4291">
        <f>TEST_DATA!C4291</f>
        <v>44772</v>
      </c>
      <c r="D4291" t="str">
        <f>TEST_DATA!D4291</f>
        <v>NON-NIL</v>
      </c>
      <c r="E4291">
        <f>TEST_DATA!E4291</f>
        <v>1466</v>
      </c>
    </row>
    <row r="4292" spans="1:5" x14ac:dyDescent="0.55000000000000004">
      <c r="A4292" t="str">
        <f>TEST_DATA!A4292</f>
        <v>27AAAAA4292Z5</v>
      </c>
      <c r="B4292" t="str">
        <f>TEST_DATA!B4292</f>
        <v>Jan-2021</v>
      </c>
      <c r="C4292">
        <f>TEST_DATA!C4292</f>
        <v>45433</v>
      </c>
      <c r="D4292" t="str">
        <f>TEST_DATA!D4292</f>
        <v>NON-NIL</v>
      </c>
      <c r="E4292">
        <f>TEST_DATA!E4292</f>
        <v>2046</v>
      </c>
    </row>
    <row r="4293" spans="1:5" x14ac:dyDescent="0.55000000000000004">
      <c r="A4293" t="str">
        <f>TEST_DATA!A4293</f>
        <v>27AAAAA4293Z5</v>
      </c>
      <c r="B4293" t="str">
        <f>TEST_DATA!B4293</f>
        <v>Apr-2018</v>
      </c>
      <c r="C4293">
        <f>TEST_DATA!C4293</f>
        <v>44480</v>
      </c>
      <c r="D4293" t="str">
        <f>TEST_DATA!D4293</f>
        <v>NON-NIL</v>
      </c>
      <c r="E4293">
        <f>TEST_DATA!E4293</f>
        <v>1283</v>
      </c>
    </row>
    <row r="4294" spans="1:5" x14ac:dyDescent="0.55000000000000004">
      <c r="A4294" t="str">
        <f>TEST_DATA!A4294</f>
        <v>27AAAAA4294Z5</v>
      </c>
      <c r="B4294" t="str">
        <f>TEST_DATA!B4294</f>
        <v>Dec-2019</v>
      </c>
      <c r="C4294">
        <f>TEST_DATA!C4294</f>
        <v>44245</v>
      </c>
      <c r="D4294" t="str">
        <f>TEST_DATA!D4294</f>
        <v>NIL</v>
      </c>
      <c r="E4294">
        <f>TEST_DATA!E4294</f>
        <v>2405</v>
      </c>
    </row>
    <row r="4295" spans="1:5" x14ac:dyDescent="0.55000000000000004">
      <c r="A4295" t="str">
        <f>TEST_DATA!A4295</f>
        <v>27AAAAA4295Z5</v>
      </c>
      <c r="B4295" t="str">
        <f>TEST_DATA!B4295</f>
        <v>Dec-2017</v>
      </c>
      <c r="C4295">
        <f>TEST_DATA!C4295</f>
        <v>43004</v>
      </c>
      <c r="D4295" t="str">
        <f>TEST_DATA!D4295</f>
        <v>NON-NIL</v>
      </c>
      <c r="E4295">
        <f>TEST_DATA!E4295</f>
        <v>1678</v>
      </c>
    </row>
    <row r="4296" spans="1:5" x14ac:dyDescent="0.55000000000000004">
      <c r="A4296" t="str">
        <f>TEST_DATA!A4296</f>
        <v>27AAAAA4296Z5</v>
      </c>
      <c r="B4296" t="str">
        <f>TEST_DATA!B4296</f>
        <v>Sep-2018</v>
      </c>
      <c r="C4296">
        <f>TEST_DATA!C4296</f>
        <v>43862</v>
      </c>
      <c r="D4296" t="str">
        <f>TEST_DATA!D4296</f>
        <v>NON-NIL</v>
      </c>
      <c r="E4296">
        <f>TEST_DATA!E4296</f>
        <v>1651</v>
      </c>
    </row>
    <row r="4297" spans="1:5" x14ac:dyDescent="0.55000000000000004">
      <c r="A4297" t="str">
        <f>TEST_DATA!A4297</f>
        <v>27AAAAA4297Z5</v>
      </c>
      <c r="B4297" t="str">
        <f>TEST_DATA!B4297</f>
        <v>Sep-2018</v>
      </c>
      <c r="C4297">
        <f>TEST_DATA!C4297</f>
        <v>43868</v>
      </c>
      <c r="D4297" t="str">
        <f>TEST_DATA!D4297</f>
        <v>NON-NIL</v>
      </c>
      <c r="E4297">
        <f>TEST_DATA!E4297</f>
        <v>625</v>
      </c>
    </row>
    <row r="4298" spans="1:5" x14ac:dyDescent="0.55000000000000004">
      <c r="A4298" t="str">
        <f>TEST_DATA!A4298</f>
        <v>27AAAAA4298Z5</v>
      </c>
      <c r="B4298" t="str">
        <f>TEST_DATA!B4298</f>
        <v>Nov-2017</v>
      </c>
      <c r="C4298">
        <f>TEST_DATA!C4298</f>
        <v>44428</v>
      </c>
      <c r="D4298" t="str">
        <f>TEST_DATA!D4298</f>
        <v>NON-NIL</v>
      </c>
      <c r="E4298">
        <f>TEST_DATA!E4298</f>
        <v>1718</v>
      </c>
    </row>
    <row r="4299" spans="1:5" x14ac:dyDescent="0.55000000000000004">
      <c r="A4299" t="str">
        <f>TEST_DATA!A4299</f>
        <v>27AAAAA4299Z5</v>
      </c>
      <c r="B4299" t="str">
        <f>TEST_DATA!B4299</f>
        <v>Jul-2017</v>
      </c>
      <c r="C4299">
        <f>TEST_DATA!C4299</f>
        <v>43202</v>
      </c>
      <c r="D4299" t="str">
        <f>TEST_DATA!D4299</f>
        <v>NON-NIL</v>
      </c>
      <c r="E4299">
        <f>TEST_DATA!E4299</f>
        <v>1562</v>
      </c>
    </row>
    <row r="4300" spans="1:5" x14ac:dyDescent="0.55000000000000004">
      <c r="A4300" t="str">
        <f>TEST_DATA!A4300</f>
        <v>27AAAAA4300Z5</v>
      </c>
      <c r="B4300" t="str">
        <f>TEST_DATA!B4300</f>
        <v>Mar-2023</v>
      </c>
      <c r="C4300">
        <f>TEST_DATA!C4300</f>
        <v>44077</v>
      </c>
      <c r="D4300" t="str">
        <f>TEST_DATA!D4300</f>
        <v>NON-NIL</v>
      </c>
      <c r="E4300">
        <f>TEST_DATA!E4300</f>
        <v>1497</v>
      </c>
    </row>
    <row r="4301" spans="1:5" x14ac:dyDescent="0.55000000000000004">
      <c r="A4301" t="str">
        <f>TEST_DATA!A4301</f>
        <v>27AAAAA4301Z5</v>
      </c>
      <c r="B4301" t="str">
        <f>TEST_DATA!B4301</f>
        <v>Jul-2017</v>
      </c>
      <c r="C4301">
        <f>TEST_DATA!C4301</f>
        <v>43806</v>
      </c>
      <c r="D4301" t="str">
        <f>TEST_DATA!D4301</f>
        <v>NIL</v>
      </c>
      <c r="E4301">
        <f>TEST_DATA!E4301</f>
        <v>618</v>
      </c>
    </row>
    <row r="4302" spans="1:5" x14ac:dyDescent="0.55000000000000004">
      <c r="A4302" t="str">
        <f>TEST_DATA!A4302</f>
        <v>27AAAAA4302Z5</v>
      </c>
      <c r="B4302" t="str">
        <f>TEST_DATA!B4302</f>
        <v>Mar-2020</v>
      </c>
      <c r="C4302">
        <f>TEST_DATA!C4302</f>
        <v>44207</v>
      </c>
      <c r="D4302" t="str">
        <f>TEST_DATA!D4302</f>
        <v>NIL</v>
      </c>
      <c r="E4302">
        <f>TEST_DATA!E4302</f>
        <v>388</v>
      </c>
    </row>
    <row r="4303" spans="1:5" x14ac:dyDescent="0.55000000000000004">
      <c r="A4303" t="str">
        <f>TEST_DATA!A4303</f>
        <v>27AAAAA4303Z5</v>
      </c>
      <c r="B4303" t="str">
        <f>TEST_DATA!B4303</f>
        <v>Jul-2017</v>
      </c>
      <c r="C4303">
        <f>TEST_DATA!C4303</f>
        <v>43718</v>
      </c>
      <c r="D4303" t="str">
        <f>TEST_DATA!D4303</f>
        <v>NON-NIL</v>
      </c>
      <c r="E4303">
        <f>TEST_DATA!E4303</f>
        <v>613</v>
      </c>
    </row>
    <row r="4304" spans="1:5" x14ac:dyDescent="0.55000000000000004">
      <c r="A4304" t="str">
        <f>TEST_DATA!A4304</f>
        <v>27AAAAA4304Z5</v>
      </c>
      <c r="B4304" t="str">
        <f>TEST_DATA!B4304</f>
        <v>Mar-2018</v>
      </c>
      <c r="C4304">
        <f>TEST_DATA!C4304</f>
        <v>43607</v>
      </c>
      <c r="D4304" t="str">
        <f>TEST_DATA!D4304</f>
        <v>NIL</v>
      </c>
      <c r="E4304">
        <f>TEST_DATA!E4304</f>
        <v>88</v>
      </c>
    </row>
    <row r="4305" spans="1:5" x14ac:dyDescent="0.55000000000000004">
      <c r="A4305" t="str">
        <f>TEST_DATA!A4305</f>
        <v>27AAAAA4305Z5</v>
      </c>
      <c r="B4305" t="str">
        <f>TEST_DATA!B4305</f>
        <v>Jan-2019</v>
      </c>
      <c r="C4305">
        <f>TEST_DATA!C4305</f>
        <v>45072</v>
      </c>
      <c r="D4305" t="str">
        <f>TEST_DATA!D4305</f>
        <v>NIL</v>
      </c>
      <c r="E4305">
        <f>TEST_DATA!E4305</f>
        <v>1243</v>
      </c>
    </row>
    <row r="4306" spans="1:5" x14ac:dyDescent="0.55000000000000004">
      <c r="A4306" t="str">
        <f>TEST_DATA!A4306</f>
        <v>27AAAAA4306Z5</v>
      </c>
      <c r="B4306" t="str">
        <f>TEST_DATA!B4306</f>
        <v>Dec-2022</v>
      </c>
      <c r="C4306">
        <f>TEST_DATA!C4306</f>
        <v>45716</v>
      </c>
      <c r="D4306" t="str">
        <f>TEST_DATA!D4306</f>
        <v>NON-NIL</v>
      </c>
      <c r="E4306">
        <f>TEST_DATA!E4306</f>
        <v>932</v>
      </c>
    </row>
    <row r="4307" spans="1:5" x14ac:dyDescent="0.55000000000000004">
      <c r="A4307" t="str">
        <f>TEST_DATA!A4307</f>
        <v>27AAAAA4307Z5</v>
      </c>
      <c r="B4307" t="str">
        <f>TEST_DATA!B4307</f>
        <v>Jan-2018</v>
      </c>
      <c r="C4307">
        <f>TEST_DATA!C4307</f>
        <v>43913</v>
      </c>
      <c r="D4307" t="str">
        <f>TEST_DATA!D4307</f>
        <v>NON-NIL</v>
      </c>
      <c r="E4307">
        <f>TEST_DATA!E4307</f>
        <v>1772</v>
      </c>
    </row>
    <row r="4308" spans="1:5" x14ac:dyDescent="0.55000000000000004">
      <c r="A4308" t="str">
        <f>TEST_DATA!A4308</f>
        <v>27AAAAA4308Z5</v>
      </c>
      <c r="B4308" t="str">
        <f>TEST_DATA!B4308</f>
        <v>Aug-2018</v>
      </c>
      <c r="C4308">
        <f>TEST_DATA!C4308</f>
        <v>43244</v>
      </c>
      <c r="D4308" t="str">
        <f>TEST_DATA!D4308</f>
        <v>NON-NIL</v>
      </c>
      <c r="E4308">
        <f>TEST_DATA!E4308</f>
        <v>2727</v>
      </c>
    </row>
    <row r="4309" spans="1:5" x14ac:dyDescent="0.55000000000000004">
      <c r="A4309" t="str">
        <f>TEST_DATA!A4309</f>
        <v>27AAAAA4309Z5</v>
      </c>
      <c r="B4309" t="str">
        <f>TEST_DATA!B4309</f>
        <v>Aug-2017</v>
      </c>
      <c r="C4309">
        <f>TEST_DATA!C4309</f>
        <v>43640</v>
      </c>
      <c r="D4309" t="str">
        <f>TEST_DATA!D4309</f>
        <v>NIL</v>
      </c>
      <c r="E4309">
        <f>TEST_DATA!E4309</f>
        <v>274</v>
      </c>
    </row>
    <row r="4310" spans="1:5" x14ac:dyDescent="0.55000000000000004">
      <c r="A4310" t="str">
        <f>TEST_DATA!A4310</f>
        <v>27AAAAA4310Z5</v>
      </c>
      <c r="B4310" t="str">
        <f>TEST_DATA!B4310</f>
        <v>May-2018</v>
      </c>
      <c r="C4310">
        <f>TEST_DATA!C4310</f>
        <v>44362</v>
      </c>
      <c r="D4310" t="str">
        <f>TEST_DATA!D4310</f>
        <v>NON-NIL</v>
      </c>
      <c r="E4310">
        <f>TEST_DATA!E4310</f>
        <v>2489</v>
      </c>
    </row>
    <row r="4311" spans="1:5" x14ac:dyDescent="0.55000000000000004">
      <c r="A4311" t="str">
        <f>TEST_DATA!A4311</f>
        <v>27AAAAA4311Z5</v>
      </c>
      <c r="B4311" t="str">
        <f>TEST_DATA!B4311</f>
        <v>Apr-2018</v>
      </c>
      <c r="C4311">
        <f>TEST_DATA!C4311</f>
        <v>43206</v>
      </c>
      <c r="D4311" t="str">
        <f>TEST_DATA!D4311</f>
        <v>NIL</v>
      </c>
      <c r="E4311">
        <f>TEST_DATA!E4311</f>
        <v>2124</v>
      </c>
    </row>
    <row r="4312" spans="1:5" x14ac:dyDescent="0.55000000000000004">
      <c r="A4312" t="str">
        <f>TEST_DATA!A4312</f>
        <v>27AAAAA4312Z5</v>
      </c>
      <c r="B4312" t="str">
        <f>TEST_DATA!B4312</f>
        <v>Jan-2019</v>
      </c>
      <c r="C4312">
        <f>TEST_DATA!C4312</f>
        <v>44352</v>
      </c>
      <c r="D4312" t="str">
        <f>TEST_DATA!D4312</f>
        <v>NON-NIL</v>
      </c>
      <c r="E4312">
        <f>TEST_DATA!E4312</f>
        <v>2009</v>
      </c>
    </row>
    <row r="4313" spans="1:5" x14ac:dyDescent="0.55000000000000004">
      <c r="A4313" t="str">
        <f>TEST_DATA!A4313</f>
        <v>27AAAAA4313Z5</v>
      </c>
      <c r="B4313" t="str">
        <f>TEST_DATA!B4313</f>
        <v>Jul-2017</v>
      </c>
      <c r="C4313">
        <f>TEST_DATA!C4313</f>
        <v>43547</v>
      </c>
      <c r="D4313" t="str">
        <f>TEST_DATA!D4313</f>
        <v>NIL</v>
      </c>
      <c r="E4313">
        <f>TEST_DATA!E4313</f>
        <v>1386</v>
      </c>
    </row>
    <row r="4314" spans="1:5" x14ac:dyDescent="0.55000000000000004">
      <c r="A4314" t="str">
        <f>TEST_DATA!A4314</f>
        <v>27AAAAA4314Z5</v>
      </c>
      <c r="B4314" t="str">
        <f>TEST_DATA!B4314</f>
        <v>May-2020</v>
      </c>
      <c r="C4314">
        <f>TEST_DATA!C4314</f>
        <v>44467</v>
      </c>
      <c r="D4314" t="str">
        <f>TEST_DATA!D4314</f>
        <v>NON-NIL</v>
      </c>
      <c r="E4314">
        <f>TEST_DATA!E4314</f>
        <v>2505</v>
      </c>
    </row>
    <row r="4315" spans="1:5" x14ac:dyDescent="0.55000000000000004">
      <c r="A4315" t="str">
        <f>TEST_DATA!A4315</f>
        <v>27AAAAA4315Z5</v>
      </c>
      <c r="B4315" t="str">
        <f>TEST_DATA!B4315</f>
        <v>Oct-2017</v>
      </c>
      <c r="C4315">
        <f>TEST_DATA!C4315</f>
        <v>44143</v>
      </c>
      <c r="D4315" t="str">
        <f>TEST_DATA!D4315</f>
        <v>NIL</v>
      </c>
      <c r="E4315">
        <f>TEST_DATA!E4315</f>
        <v>2169</v>
      </c>
    </row>
    <row r="4316" spans="1:5" x14ac:dyDescent="0.55000000000000004">
      <c r="A4316" t="str">
        <f>TEST_DATA!A4316</f>
        <v>27AAAAA4316Z5</v>
      </c>
      <c r="B4316" t="str">
        <f>TEST_DATA!B4316</f>
        <v>Apr-2018</v>
      </c>
      <c r="C4316">
        <f>TEST_DATA!C4316</f>
        <v>43615</v>
      </c>
      <c r="D4316" t="str">
        <f>TEST_DATA!D4316</f>
        <v>NON-NIL</v>
      </c>
      <c r="E4316">
        <f>TEST_DATA!E4316</f>
        <v>2820</v>
      </c>
    </row>
    <row r="4317" spans="1:5" x14ac:dyDescent="0.55000000000000004">
      <c r="A4317" t="str">
        <f>TEST_DATA!A4317</f>
        <v>27AAAAA4317Z5</v>
      </c>
      <c r="B4317" t="str">
        <f>TEST_DATA!B4317</f>
        <v>Mar-2023</v>
      </c>
      <c r="C4317">
        <f>TEST_DATA!C4317</f>
        <v>43990</v>
      </c>
      <c r="D4317" t="str">
        <f>TEST_DATA!D4317</f>
        <v>NON-NIL</v>
      </c>
      <c r="E4317">
        <f>TEST_DATA!E4317</f>
        <v>2315</v>
      </c>
    </row>
    <row r="4318" spans="1:5" x14ac:dyDescent="0.55000000000000004">
      <c r="A4318" t="str">
        <f>TEST_DATA!A4318</f>
        <v>27AAAAA4318Z5</v>
      </c>
      <c r="B4318" t="str">
        <f>TEST_DATA!B4318</f>
        <v>Jan-2019</v>
      </c>
      <c r="C4318">
        <f>TEST_DATA!C4318</f>
        <v>43724</v>
      </c>
      <c r="D4318" t="str">
        <f>TEST_DATA!D4318</f>
        <v>NIL</v>
      </c>
      <c r="E4318">
        <f>TEST_DATA!E4318</f>
        <v>1831</v>
      </c>
    </row>
    <row r="4319" spans="1:5" x14ac:dyDescent="0.55000000000000004">
      <c r="A4319" t="str">
        <f>TEST_DATA!A4319</f>
        <v>27AAAAA4319Z5</v>
      </c>
      <c r="B4319" t="str">
        <f>TEST_DATA!B4319</f>
        <v>Jun-2018</v>
      </c>
      <c r="C4319">
        <f>TEST_DATA!C4319</f>
        <v>43771</v>
      </c>
      <c r="D4319" t="str">
        <f>TEST_DATA!D4319</f>
        <v>NIL</v>
      </c>
      <c r="E4319">
        <f>TEST_DATA!E4319</f>
        <v>857</v>
      </c>
    </row>
    <row r="4320" spans="1:5" x14ac:dyDescent="0.55000000000000004">
      <c r="A4320" t="str">
        <f>TEST_DATA!A4320</f>
        <v>27AAAAA4320Z5</v>
      </c>
      <c r="B4320" t="str">
        <f>TEST_DATA!B4320</f>
        <v>May-2018</v>
      </c>
      <c r="C4320">
        <f>TEST_DATA!C4320</f>
        <v>44326</v>
      </c>
      <c r="D4320" t="str">
        <f>TEST_DATA!D4320</f>
        <v>NIL</v>
      </c>
      <c r="E4320">
        <f>TEST_DATA!E4320</f>
        <v>1280</v>
      </c>
    </row>
    <row r="4321" spans="1:5" x14ac:dyDescent="0.55000000000000004">
      <c r="A4321" t="str">
        <f>TEST_DATA!A4321</f>
        <v>27AAAAA4321Z5</v>
      </c>
      <c r="B4321" t="str">
        <f>TEST_DATA!B4321</f>
        <v>May-2020</v>
      </c>
      <c r="C4321">
        <f>TEST_DATA!C4321</f>
        <v>44806</v>
      </c>
      <c r="D4321" t="str">
        <f>TEST_DATA!D4321</f>
        <v>NON-NIL</v>
      </c>
      <c r="E4321">
        <f>TEST_DATA!E4321</f>
        <v>2273</v>
      </c>
    </row>
    <row r="4322" spans="1:5" x14ac:dyDescent="0.55000000000000004">
      <c r="A4322" t="str">
        <f>TEST_DATA!A4322</f>
        <v>27AAAAA4322Z5</v>
      </c>
      <c r="B4322" t="str">
        <f>TEST_DATA!B4322</f>
        <v>May-2018</v>
      </c>
      <c r="C4322">
        <f>TEST_DATA!C4322</f>
        <v>44099</v>
      </c>
      <c r="D4322" t="str">
        <f>TEST_DATA!D4322</f>
        <v>NON-NIL</v>
      </c>
      <c r="E4322">
        <f>TEST_DATA!E4322</f>
        <v>2860</v>
      </c>
    </row>
    <row r="4323" spans="1:5" x14ac:dyDescent="0.55000000000000004">
      <c r="A4323" t="str">
        <f>TEST_DATA!A4323</f>
        <v>27AAAAA4323Z5</v>
      </c>
      <c r="B4323" t="str">
        <f>TEST_DATA!B4323</f>
        <v>Jan-2018</v>
      </c>
      <c r="C4323">
        <f>TEST_DATA!C4323</f>
        <v>43177</v>
      </c>
      <c r="D4323" t="str">
        <f>TEST_DATA!D4323</f>
        <v>NON-NIL</v>
      </c>
      <c r="E4323">
        <f>TEST_DATA!E4323</f>
        <v>2591</v>
      </c>
    </row>
    <row r="4324" spans="1:5" x14ac:dyDescent="0.55000000000000004">
      <c r="A4324" t="str">
        <f>TEST_DATA!A4324</f>
        <v>27AAAAA4324Z5</v>
      </c>
      <c r="B4324" t="str">
        <f>TEST_DATA!B4324</f>
        <v>Mar-2020</v>
      </c>
      <c r="C4324">
        <f>TEST_DATA!C4324</f>
        <v>44299</v>
      </c>
      <c r="D4324" t="str">
        <f>TEST_DATA!D4324</f>
        <v>NIL</v>
      </c>
      <c r="E4324">
        <f>TEST_DATA!E4324</f>
        <v>1020</v>
      </c>
    </row>
    <row r="4325" spans="1:5" x14ac:dyDescent="0.55000000000000004">
      <c r="A4325" t="str">
        <f>TEST_DATA!A4325</f>
        <v>27AAAAA4325Z5</v>
      </c>
      <c r="B4325" t="str">
        <f>TEST_DATA!B4325</f>
        <v>Jan-2019</v>
      </c>
      <c r="C4325">
        <f>TEST_DATA!C4325</f>
        <v>45773</v>
      </c>
      <c r="D4325" t="str">
        <f>TEST_DATA!D4325</f>
        <v>NON-NIL</v>
      </c>
      <c r="E4325">
        <f>TEST_DATA!E4325</f>
        <v>79</v>
      </c>
    </row>
    <row r="4326" spans="1:5" x14ac:dyDescent="0.55000000000000004">
      <c r="A4326" t="str">
        <f>TEST_DATA!A4326</f>
        <v>27AAAAA4326Z5</v>
      </c>
      <c r="B4326" t="str">
        <f>TEST_DATA!B4326</f>
        <v>May-2018</v>
      </c>
      <c r="C4326">
        <f>TEST_DATA!C4326</f>
        <v>43963</v>
      </c>
      <c r="D4326" t="str">
        <f>TEST_DATA!D4326</f>
        <v>NIL</v>
      </c>
      <c r="E4326">
        <f>TEST_DATA!E4326</f>
        <v>1573</v>
      </c>
    </row>
    <row r="4327" spans="1:5" x14ac:dyDescent="0.55000000000000004">
      <c r="A4327" t="str">
        <f>TEST_DATA!A4327</f>
        <v>27AAAAA4327Z5</v>
      </c>
      <c r="B4327" t="str">
        <f>TEST_DATA!B4327</f>
        <v>Mar-2021</v>
      </c>
      <c r="C4327">
        <f>TEST_DATA!C4327</f>
        <v>44073</v>
      </c>
      <c r="D4327" t="str">
        <f>TEST_DATA!D4327</f>
        <v>NON-NIL</v>
      </c>
      <c r="E4327">
        <f>TEST_DATA!E4327</f>
        <v>333</v>
      </c>
    </row>
    <row r="4328" spans="1:5" x14ac:dyDescent="0.55000000000000004">
      <c r="A4328" t="str">
        <f>TEST_DATA!A4328</f>
        <v>27AAAAA4328Z5</v>
      </c>
      <c r="B4328" t="str">
        <f>TEST_DATA!B4328</f>
        <v>Jun-2019</v>
      </c>
      <c r="C4328">
        <f>TEST_DATA!C4328</f>
        <v>45476</v>
      </c>
      <c r="D4328" t="str">
        <f>TEST_DATA!D4328</f>
        <v>NON-NIL</v>
      </c>
      <c r="E4328">
        <f>TEST_DATA!E4328</f>
        <v>2468</v>
      </c>
    </row>
    <row r="4329" spans="1:5" x14ac:dyDescent="0.55000000000000004">
      <c r="A4329" t="str">
        <f>TEST_DATA!A4329</f>
        <v>27AAAAA4329Z5</v>
      </c>
      <c r="B4329" t="str">
        <f>TEST_DATA!B4329</f>
        <v>Dec-2024</v>
      </c>
      <c r="C4329">
        <f>TEST_DATA!C4329</f>
        <v>44555</v>
      </c>
      <c r="D4329" t="str">
        <f>TEST_DATA!D4329</f>
        <v>NIL</v>
      </c>
      <c r="E4329">
        <f>TEST_DATA!E4329</f>
        <v>1841</v>
      </c>
    </row>
    <row r="4330" spans="1:5" x14ac:dyDescent="0.55000000000000004">
      <c r="A4330" t="str">
        <f>TEST_DATA!A4330</f>
        <v>27AAAAA4330Z5</v>
      </c>
      <c r="B4330" t="str">
        <f>TEST_DATA!B4330</f>
        <v>Jul-2018</v>
      </c>
      <c r="C4330">
        <f>TEST_DATA!C4330</f>
        <v>44509</v>
      </c>
      <c r="D4330" t="str">
        <f>TEST_DATA!D4330</f>
        <v>NIL</v>
      </c>
      <c r="E4330">
        <f>TEST_DATA!E4330</f>
        <v>1131</v>
      </c>
    </row>
    <row r="4331" spans="1:5" x14ac:dyDescent="0.55000000000000004">
      <c r="A4331" t="str">
        <f>TEST_DATA!A4331</f>
        <v>27AAAAA4331Z5</v>
      </c>
      <c r="B4331" t="str">
        <f>TEST_DATA!B4331</f>
        <v>Jul-2020</v>
      </c>
      <c r="C4331">
        <f>TEST_DATA!C4331</f>
        <v>44124</v>
      </c>
      <c r="D4331" t="str">
        <f>TEST_DATA!D4331</f>
        <v>NON-NIL</v>
      </c>
      <c r="E4331">
        <f>TEST_DATA!E4331</f>
        <v>241</v>
      </c>
    </row>
    <row r="4332" spans="1:5" x14ac:dyDescent="0.55000000000000004">
      <c r="A4332" t="str">
        <f>TEST_DATA!A4332</f>
        <v>27AAAAA4332Z5</v>
      </c>
      <c r="B4332" t="str">
        <f>TEST_DATA!B4332</f>
        <v>Jan-2019</v>
      </c>
      <c r="C4332">
        <f>TEST_DATA!C4332</f>
        <v>44476</v>
      </c>
      <c r="D4332" t="str">
        <f>TEST_DATA!D4332</f>
        <v>NIL</v>
      </c>
      <c r="E4332">
        <f>TEST_DATA!E4332</f>
        <v>2593</v>
      </c>
    </row>
    <row r="4333" spans="1:5" x14ac:dyDescent="0.55000000000000004">
      <c r="A4333" t="str">
        <f>TEST_DATA!A4333</f>
        <v>27AAAAA4333Z5</v>
      </c>
      <c r="B4333" t="str">
        <f>TEST_DATA!B4333</f>
        <v>Jul-2017</v>
      </c>
      <c r="C4333">
        <f>TEST_DATA!C4333</f>
        <v>43587</v>
      </c>
      <c r="D4333" t="str">
        <f>TEST_DATA!D4333</f>
        <v>NON-NIL</v>
      </c>
      <c r="E4333">
        <f>TEST_DATA!E4333</f>
        <v>2542</v>
      </c>
    </row>
    <row r="4334" spans="1:5" x14ac:dyDescent="0.55000000000000004">
      <c r="A4334" t="str">
        <f>TEST_DATA!A4334</f>
        <v>27AAAAA4334Z5</v>
      </c>
      <c r="B4334" t="str">
        <f>TEST_DATA!B4334</f>
        <v>Jan-2019</v>
      </c>
      <c r="C4334">
        <f>TEST_DATA!C4334</f>
        <v>45767</v>
      </c>
      <c r="D4334" t="str">
        <f>TEST_DATA!D4334</f>
        <v>NIL</v>
      </c>
      <c r="E4334">
        <f>TEST_DATA!E4334</f>
        <v>1117</v>
      </c>
    </row>
    <row r="4335" spans="1:5" x14ac:dyDescent="0.55000000000000004">
      <c r="A4335" t="str">
        <f>TEST_DATA!A4335</f>
        <v>27AAAAA4335Z5</v>
      </c>
      <c r="B4335" t="str">
        <f>TEST_DATA!B4335</f>
        <v>May-2018</v>
      </c>
      <c r="C4335">
        <f>TEST_DATA!C4335</f>
        <v>43909</v>
      </c>
      <c r="D4335" t="str">
        <f>TEST_DATA!D4335</f>
        <v>NON-NIL</v>
      </c>
      <c r="E4335">
        <f>TEST_DATA!E4335</f>
        <v>2477</v>
      </c>
    </row>
    <row r="4336" spans="1:5" x14ac:dyDescent="0.55000000000000004">
      <c r="A4336" t="str">
        <f>TEST_DATA!A4336</f>
        <v>27AAAAA4336Z5</v>
      </c>
      <c r="B4336" t="str">
        <f>TEST_DATA!B4336</f>
        <v>Dec-2024</v>
      </c>
      <c r="C4336">
        <f>TEST_DATA!C4336</f>
        <v>45662</v>
      </c>
      <c r="D4336" t="str">
        <f>TEST_DATA!D4336</f>
        <v>NIL</v>
      </c>
      <c r="E4336">
        <f>TEST_DATA!E4336</f>
        <v>2645</v>
      </c>
    </row>
    <row r="4337" spans="1:5" x14ac:dyDescent="0.55000000000000004">
      <c r="A4337" t="str">
        <f>TEST_DATA!A4337</f>
        <v>27AAAAA4337Z5</v>
      </c>
      <c r="B4337" t="str">
        <f>TEST_DATA!B4337</f>
        <v>Jan-2018</v>
      </c>
      <c r="C4337">
        <f>TEST_DATA!C4337</f>
        <v>44140</v>
      </c>
      <c r="D4337" t="str">
        <f>TEST_DATA!D4337</f>
        <v>NIL</v>
      </c>
      <c r="E4337">
        <f>TEST_DATA!E4337</f>
        <v>1210</v>
      </c>
    </row>
    <row r="4338" spans="1:5" x14ac:dyDescent="0.55000000000000004">
      <c r="A4338" t="str">
        <f>TEST_DATA!A4338</f>
        <v>27AAAAA4338Z5</v>
      </c>
      <c r="B4338" t="str">
        <f>TEST_DATA!B4338</f>
        <v>Jan-2021</v>
      </c>
      <c r="C4338">
        <f>TEST_DATA!C4338</f>
        <v>43714</v>
      </c>
      <c r="D4338" t="str">
        <f>TEST_DATA!D4338</f>
        <v>NIL</v>
      </c>
      <c r="E4338">
        <f>TEST_DATA!E4338</f>
        <v>2144</v>
      </c>
    </row>
    <row r="4339" spans="1:5" x14ac:dyDescent="0.55000000000000004">
      <c r="A4339" t="str">
        <f>TEST_DATA!A4339</f>
        <v>27AAAAA4339Z5</v>
      </c>
      <c r="B4339" t="str">
        <f>TEST_DATA!B4339</f>
        <v>Apr-2021</v>
      </c>
      <c r="C4339">
        <f>TEST_DATA!C4339</f>
        <v>45530</v>
      </c>
      <c r="D4339" t="str">
        <f>TEST_DATA!D4339</f>
        <v>NON-NIL</v>
      </c>
      <c r="E4339">
        <f>TEST_DATA!E4339</f>
        <v>1016</v>
      </c>
    </row>
    <row r="4340" spans="1:5" x14ac:dyDescent="0.55000000000000004">
      <c r="A4340" t="str">
        <f>TEST_DATA!A4340</f>
        <v>27AAAAA4340Z5</v>
      </c>
      <c r="B4340" t="str">
        <f>TEST_DATA!B4340</f>
        <v>Apr-2021</v>
      </c>
      <c r="C4340">
        <f>TEST_DATA!C4340</f>
        <v>45006</v>
      </c>
      <c r="D4340" t="str">
        <f>TEST_DATA!D4340</f>
        <v>NON-NIL</v>
      </c>
      <c r="E4340">
        <f>TEST_DATA!E4340</f>
        <v>2869</v>
      </c>
    </row>
    <row r="4341" spans="1:5" x14ac:dyDescent="0.55000000000000004">
      <c r="A4341" t="str">
        <f>TEST_DATA!A4341</f>
        <v>27AAAAA4341Z5</v>
      </c>
      <c r="B4341" t="str">
        <f>TEST_DATA!B4341</f>
        <v>Dec-2022</v>
      </c>
      <c r="C4341">
        <f>TEST_DATA!C4341</f>
        <v>43510</v>
      </c>
      <c r="D4341" t="str">
        <f>TEST_DATA!D4341</f>
        <v>NON-NIL</v>
      </c>
      <c r="E4341">
        <f>TEST_DATA!E4341</f>
        <v>1069</v>
      </c>
    </row>
    <row r="4342" spans="1:5" x14ac:dyDescent="0.55000000000000004">
      <c r="A4342" t="str">
        <f>TEST_DATA!A4342</f>
        <v>27AAAAA4342Z5</v>
      </c>
      <c r="B4342" t="str">
        <f>TEST_DATA!B4342</f>
        <v>Jan-2018</v>
      </c>
      <c r="C4342">
        <f>TEST_DATA!C4342</f>
        <v>43212</v>
      </c>
      <c r="D4342" t="str">
        <f>TEST_DATA!D4342</f>
        <v>NON-NIL</v>
      </c>
      <c r="E4342">
        <f>TEST_DATA!E4342</f>
        <v>103</v>
      </c>
    </row>
    <row r="4343" spans="1:5" x14ac:dyDescent="0.55000000000000004">
      <c r="A4343" t="str">
        <f>TEST_DATA!A4343</f>
        <v>27AAAAA4343Z5</v>
      </c>
      <c r="B4343" t="str">
        <f>TEST_DATA!B4343</f>
        <v>Jul-2017</v>
      </c>
      <c r="C4343">
        <f>TEST_DATA!C4343</f>
        <v>44251</v>
      </c>
      <c r="D4343" t="str">
        <f>TEST_DATA!D4343</f>
        <v>NON-NIL</v>
      </c>
      <c r="E4343">
        <f>TEST_DATA!E4343</f>
        <v>322</v>
      </c>
    </row>
    <row r="4344" spans="1:5" x14ac:dyDescent="0.55000000000000004">
      <c r="A4344" t="str">
        <f>TEST_DATA!A4344</f>
        <v>27AAAAA4344Z5</v>
      </c>
      <c r="B4344" t="str">
        <f>TEST_DATA!B4344</f>
        <v>Jun-2018</v>
      </c>
      <c r="C4344">
        <f>TEST_DATA!C4344</f>
        <v>43869</v>
      </c>
      <c r="D4344" t="str">
        <f>TEST_DATA!D4344</f>
        <v>NIL</v>
      </c>
      <c r="E4344">
        <f>TEST_DATA!E4344</f>
        <v>1829</v>
      </c>
    </row>
    <row r="4345" spans="1:5" x14ac:dyDescent="0.55000000000000004">
      <c r="A4345" t="str">
        <f>TEST_DATA!A4345</f>
        <v>27AAAAA4345Z5</v>
      </c>
      <c r="B4345" t="str">
        <f>TEST_DATA!B4345</f>
        <v>May-2020</v>
      </c>
      <c r="C4345">
        <f>TEST_DATA!C4345</f>
        <v>44613</v>
      </c>
      <c r="D4345" t="str">
        <f>TEST_DATA!D4345</f>
        <v>NIL</v>
      </c>
      <c r="E4345">
        <f>TEST_DATA!E4345</f>
        <v>2432</v>
      </c>
    </row>
    <row r="4346" spans="1:5" x14ac:dyDescent="0.55000000000000004">
      <c r="A4346" t="str">
        <f>TEST_DATA!A4346</f>
        <v>27AAAAA4346Z5</v>
      </c>
      <c r="B4346" t="str">
        <f>TEST_DATA!B4346</f>
        <v>Sep-2018</v>
      </c>
      <c r="C4346">
        <f>TEST_DATA!C4346</f>
        <v>44470</v>
      </c>
      <c r="D4346" t="str">
        <f>TEST_DATA!D4346</f>
        <v>NON-NIL</v>
      </c>
      <c r="E4346">
        <f>TEST_DATA!E4346</f>
        <v>441</v>
      </c>
    </row>
    <row r="4347" spans="1:5" x14ac:dyDescent="0.55000000000000004">
      <c r="A4347" t="str">
        <f>TEST_DATA!A4347</f>
        <v>27AAAAA4347Z5</v>
      </c>
      <c r="B4347" t="str">
        <f>TEST_DATA!B4347</f>
        <v>Mar-2018</v>
      </c>
      <c r="C4347">
        <f>TEST_DATA!C4347</f>
        <v>43850</v>
      </c>
      <c r="D4347" t="str">
        <f>TEST_DATA!D4347</f>
        <v>NON-NIL</v>
      </c>
      <c r="E4347">
        <f>TEST_DATA!E4347</f>
        <v>810</v>
      </c>
    </row>
    <row r="4348" spans="1:5" x14ac:dyDescent="0.55000000000000004">
      <c r="A4348" t="str">
        <f>TEST_DATA!A4348</f>
        <v>27AAAAA4348Z5</v>
      </c>
      <c r="B4348" t="str">
        <f>TEST_DATA!B4348</f>
        <v>Jul-2020</v>
      </c>
      <c r="C4348">
        <f>TEST_DATA!C4348</f>
        <v>44759</v>
      </c>
      <c r="D4348" t="str">
        <f>TEST_DATA!D4348</f>
        <v>NON-NIL</v>
      </c>
      <c r="E4348">
        <f>TEST_DATA!E4348</f>
        <v>667</v>
      </c>
    </row>
    <row r="4349" spans="1:5" x14ac:dyDescent="0.55000000000000004">
      <c r="A4349" t="str">
        <f>TEST_DATA!A4349</f>
        <v>27AAAAA4349Z5</v>
      </c>
      <c r="B4349" t="str">
        <f>TEST_DATA!B4349</f>
        <v>Mar-2020</v>
      </c>
      <c r="C4349">
        <f>TEST_DATA!C4349</f>
        <v>44094</v>
      </c>
      <c r="D4349" t="str">
        <f>TEST_DATA!D4349</f>
        <v>NON-NIL</v>
      </c>
      <c r="E4349">
        <f>TEST_DATA!E4349</f>
        <v>69</v>
      </c>
    </row>
    <row r="4350" spans="1:5" x14ac:dyDescent="0.55000000000000004">
      <c r="A4350" t="str">
        <f>TEST_DATA!A4350</f>
        <v>27AAAAA4350Z5</v>
      </c>
      <c r="B4350" t="str">
        <f>TEST_DATA!B4350</f>
        <v>Oct-2017</v>
      </c>
      <c r="C4350">
        <f>TEST_DATA!C4350</f>
        <v>43024</v>
      </c>
      <c r="D4350" t="str">
        <f>TEST_DATA!D4350</f>
        <v>NON-NIL</v>
      </c>
      <c r="E4350">
        <f>TEST_DATA!E4350</f>
        <v>2263</v>
      </c>
    </row>
    <row r="4351" spans="1:5" x14ac:dyDescent="0.55000000000000004">
      <c r="A4351" t="str">
        <f>TEST_DATA!A4351</f>
        <v>27AAAAA4351Z5</v>
      </c>
      <c r="B4351" t="str">
        <f>TEST_DATA!B4351</f>
        <v>Jan-2019</v>
      </c>
      <c r="C4351">
        <f>TEST_DATA!C4351</f>
        <v>44976</v>
      </c>
      <c r="D4351" t="str">
        <f>TEST_DATA!D4351</f>
        <v>NIL</v>
      </c>
      <c r="E4351">
        <f>TEST_DATA!E4351</f>
        <v>1291</v>
      </c>
    </row>
    <row r="4352" spans="1:5" x14ac:dyDescent="0.55000000000000004">
      <c r="A4352" t="str">
        <f>TEST_DATA!A4352</f>
        <v>27AAAAA4352Z5</v>
      </c>
      <c r="B4352" t="str">
        <f>TEST_DATA!B4352</f>
        <v>Dec-2022</v>
      </c>
      <c r="C4352">
        <f>TEST_DATA!C4352</f>
        <v>45002</v>
      </c>
      <c r="D4352" t="str">
        <f>TEST_DATA!D4352</f>
        <v>NIL</v>
      </c>
      <c r="E4352">
        <f>TEST_DATA!E4352</f>
        <v>2575</v>
      </c>
    </row>
    <row r="4353" spans="1:5" x14ac:dyDescent="0.55000000000000004">
      <c r="A4353" t="str">
        <f>TEST_DATA!A4353</f>
        <v>27AAAAA4353Z5</v>
      </c>
      <c r="B4353" t="str">
        <f>TEST_DATA!B4353</f>
        <v>Aug-2018</v>
      </c>
      <c r="C4353">
        <f>TEST_DATA!C4353</f>
        <v>44240</v>
      </c>
      <c r="D4353" t="str">
        <f>TEST_DATA!D4353</f>
        <v>NON-NIL</v>
      </c>
      <c r="E4353">
        <f>TEST_DATA!E4353</f>
        <v>1620</v>
      </c>
    </row>
    <row r="4354" spans="1:5" x14ac:dyDescent="0.55000000000000004">
      <c r="A4354" t="str">
        <f>TEST_DATA!A4354</f>
        <v>27AAAAA4354Z5</v>
      </c>
      <c r="B4354" t="str">
        <f>TEST_DATA!B4354</f>
        <v>Dec-2017</v>
      </c>
      <c r="C4354">
        <f>TEST_DATA!C4354</f>
        <v>43585</v>
      </c>
      <c r="D4354" t="str">
        <f>TEST_DATA!D4354</f>
        <v>NIL</v>
      </c>
      <c r="E4354">
        <f>TEST_DATA!E4354</f>
        <v>2636</v>
      </c>
    </row>
    <row r="4355" spans="1:5" x14ac:dyDescent="0.55000000000000004">
      <c r="A4355" t="str">
        <f>TEST_DATA!A4355</f>
        <v>27AAAAA4355Z5</v>
      </c>
      <c r="B4355" t="str">
        <f>TEST_DATA!B4355</f>
        <v>Apr-2018</v>
      </c>
      <c r="C4355">
        <f>TEST_DATA!C4355</f>
        <v>43580</v>
      </c>
      <c r="D4355" t="str">
        <f>TEST_DATA!D4355</f>
        <v>NIL</v>
      </c>
      <c r="E4355">
        <f>TEST_DATA!E4355</f>
        <v>2095</v>
      </c>
    </row>
    <row r="4356" spans="1:5" x14ac:dyDescent="0.55000000000000004">
      <c r="A4356" t="str">
        <f>TEST_DATA!A4356</f>
        <v>27AAAAA4356Z5</v>
      </c>
      <c r="B4356" t="str">
        <f>TEST_DATA!B4356</f>
        <v>Aug-2017</v>
      </c>
      <c r="C4356">
        <f>TEST_DATA!C4356</f>
        <v>44397</v>
      </c>
      <c r="D4356" t="str">
        <f>TEST_DATA!D4356</f>
        <v>NIL</v>
      </c>
      <c r="E4356">
        <f>TEST_DATA!E4356</f>
        <v>2034</v>
      </c>
    </row>
    <row r="4357" spans="1:5" x14ac:dyDescent="0.55000000000000004">
      <c r="A4357" t="str">
        <f>TEST_DATA!A4357</f>
        <v>27AAAAA4357Z5</v>
      </c>
      <c r="B4357" t="str">
        <f>TEST_DATA!B4357</f>
        <v>Sep-2017</v>
      </c>
      <c r="C4357">
        <f>TEST_DATA!C4357</f>
        <v>43056</v>
      </c>
      <c r="D4357" t="str">
        <f>TEST_DATA!D4357</f>
        <v>NIL</v>
      </c>
      <c r="E4357">
        <f>TEST_DATA!E4357</f>
        <v>620</v>
      </c>
    </row>
    <row r="4358" spans="1:5" x14ac:dyDescent="0.55000000000000004">
      <c r="A4358" t="str">
        <f>TEST_DATA!A4358</f>
        <v>27AAAAA4358Z5</v>
      </c>
      <c r="B4358" t="str">
        <f>TEST_DATA!B4358</f>
        <v>Oct-2017</v>
      </c>
      <c r="C4358">
        <f>TEST_DATA!C4358</f>
        <v>43987</v>
      </c>
      <c r="D4358" t="str">
        <f>TEST_DATA!D4358</f>
        <v>NIL</v>
      </c>
      <c r="E4358">
        <f>TEST_DATA!E4358</f>
        <v>2923</v>
      </c>
    </row>
    <row r="4359" spans="1:5" x14ac:dyDescent="0.55000000000000004">
      <c r="A4359" t="str">
        <f>TEST_DATA!A4359</f>
        <v>27AAAAA4359Z5</v>
      </c>
      <c r="B4359" t="str">
        <f>TEST_DATA!B4359</f>
        <v>Feb-2018</v>
      </c>
      <c r="C4359">
        <f>TEST_DATA!C4359</f>
        <v>43105</v>
      </c>
      <c r="D4359" t="str">
        <f>TEST_DATA!D4359</f>
        <v>NON-NIL</v>
      </c>
      <c r="E4359">
        <f>TEST_DATA!E4359</f>
        <v>1462</v>
      </c>
    </row>
    <row r="4360" spans="1:5" x14ac:dyDescent="0.55000000000000004">
      <c r="A4360" t="str">
        <f>TEST_DATA!A4360</f>
        <v>27AAAAA4360Z5</v>
      </c>
      <c r="B4360" t="str">
        <f>TEST_DATA!B4360</f>
        <v>May-2018</v>
      </c>
      <c r="C4360">
        <f>TEST_DATA!C4360</f>
        <v>43083</v>
      </c>
      <c r="D4360" t="str">
        <f>TEST_DATA!D4360</f>
        <v>NON-NIL</v>
      </c>
      <c r="E4360">
        <f>TEST_DATA!E4360</f>
        <v>1407</v>
      </c>
    </row>
    <row r="4361" spans="1:5" x14ac:dyDescent="0.55000000000000004">
      <c r="A4361" t="str">
        <f>TEST_DATA!A4361</f>
        <v>27AAAAA4361Z5</v>
      </c>
      <c r="B4361" t="str">
        <f>TEST_DATA!B4361</f>
        <v>Mar-2021</v>
      </c>
      <c r="C4361">
        <f>TEST_DATA!C4361</f>
        <v>43750</v>
      </c>
      <c r="D4361" t="str">
        <f>TEST_DATA!D4361</f>
        <v>NON-NIL</v>
      </c>
      <c r="E4361">
        <f>TEST_DATA!E4361</f>
        <v>1640</v>
      </c>
    </row>
    <row r="4362" spans="1:5" x14ac:dyDescent="0.55000000000000004">
      <c r="A4362" t="str">
        <f>TEST_DATA!A4362</f>
        <v>27AAAAA4362Z5</v>
      </c>
      <c r="B4362" t="str">
        <f>TEST_DATA!B4362</f>
        <v>Dec-2019</v>
      </c>
      <c r="C4362">
        <f>TEST_DATA!C4362</f>
        <v>43720</v>
      </c>
      <c r="D4362" t="str">
        <f>TEST_DATA!D4362</f>
        <v>NON-NIL</v>
      </c>
      <c r="E4362">
        <f>TEST_DATA!E4362</f>
        <v>2628</v>
      </c>
    </row>
    <row r="4363" spans="1:5" x14ac:dyDescent="0.55000000000000004">
      <c r="A4363" t="str">
        <f>TEST_DATA!A4363</f>
        <v>27AAAAA4363Z5</v>
      </c>
      <c r="B4363" t="str">
        <f>TEST_DATA!B4363</f>
        <v>Apr-2021</v>
      </c>
      <c r="C4363">
        <f>TEST_DATA!C4363</f>
        <v>45087</v>
      </c>
      <c r="D4363" t="str">
        <f>TEST_DATA!D4363</f>
        <v>NIL</v>
      </c>
      <c r="E4363">
        <f>TEST_DATA!E4363</f>
        <v>2245</v>
      </c>
    </row>
    <row r="4364" spans="1:5" x14ac:dyDescent="0.55000000000000004">
      <c r="A4364" t="str">
        <f>TEST_DATA!A4364</f>
        <v>27AAAAA4364Z5</v>
      </c>
      <c r="B4364" t="str">
        <f>TEST_DATA!B4364</f>
        <v>Dec-2022</v>
      </c>
      <c r="C4364">
        <f>TEST_DATA!C4364</f>
        <v>43832</v>
      </c>
      <c r="D4364" t="str">
        <f>TEST_DATA!D4364</f>
        <v>NIL</v>
      </c>
      <c r="E4364">
        <f>TEST_DATA!E4364</f>
        <v>1837</v>
      </c>
    </row>
    <row r="4365" spans="1:5" x14ac:dyDescent="0.55000000000000004">
      <c r="A4365" t="str">
        <f>TEST_DATA!A4365</f>
        <v>27AAAAA4365Z5</v>
      </c>
      <c r="B4365" t="str">
        <f>TEST_DATA!B4365</f>
        <v>Dec-2017</v>
      </c>
      <c r="C4365">
        <f>TEST_DATA!C4365</f>
        <v>43153</v>
      </c>
      <c r="D4365" t="str">
        <f>TEST_DATA!D4365</f>
        <v>NON-NIL</v>
      </c>
      <c r="E4365">
        <f>TEST_DATA!E4365</f>
        <v>931</v>
      </c>
    </row>
    <row r="4366" spans="1:5" x14ac:dyDescent="0.55000000000000004">
      <c r="A4366" t="str">
        <f>TEST_DATA!A4366</f>
        <v>27AAAAA4366Z5</v>
      </c>
      <c r="B4366" t="str">
        <f>TEST_DATA!B4366</f>
        <v>Feb-2018</v>
      </c>
      <c r="C4366">
        <f>TEST_DATA!C4366</f>
        <v>43032</v>
      </c>
      <c r="D4366" t="str">
        <f>TEST_DATA!D4366</f>
        <v>NIL</v>
      </c>
      <c r="E4366">
        <f>TEST_DATA!E4366</f>
        <v>214</v>
      </c>
    </row>
    <row r="4367" spans="1:5" x14ac:dyDescent="0.55000000000000004">
      <c r="A4367" t="str">
        <f>TEST_DATA!A4367</f>
        <v>27AAAAA4367Z5</v>
      </c>
      <c r="B4367" t="str">
        <f>TEST_DATA!B4367</f>
        <v>May-2020</v>
      </c>
      <c r="C4367">
        <f>TEST_DATA!C4367</f>
        <v>44292</v>
      </c>
      <c r="D4367" t="str">
        <f>TEST_DATA!D4367</f>
        <v>NON-NIL</v>
      </c>
      <c r="E4367">
        <f>TEST_DATA!E4367</f>
        <v>173</v>
      </c>
    </row>
    <row r="4368" spans="1:5" x14ac:dyDescent="0.55000000000000004">
      <c r="A4368" t="str">
        <f>TEST_DATA!A4368</f>
        <v>27AAAAA4368Z5</v>
      </c>
      <c r="B4368" t="str">
        <f>TEST_DATA!B4368</f>
        <v>Aug-2017</v>
      </c>
      <c r="C4368">
        <f>TEST_DATA!C4368</f>
        <v>43365</v>
      </c>
      <c r="D4368" t="str">
        <f>TEST_DATA!D4368</f>
        <v>NIL</v>
      </c>
      <c r="E4368">
        <f>TEST_DATA!E4368</f>
        <v>625</v>
      </c>
    </row>
    <row r="4369" spans="1:5" x14ac:dyDescent="0.55000000000000004">
      <c r="A4369" t="str">
        <f>TEST_DATA!A4369</f>
        <v>27AAAAA4369Z5</v>
      </c>
      <c r="B4369" t="str">
        <f>TEST_DATA!B4369</f>
        <v>Mar-2023</v>
      </c>
      <c r="C4369">
        <f>TEST_DATA!C4369</f>
        <v>44029</v>
      </c>
      <c r="D4369" t="str">
        <f>TEST_DATA!D4369</f>
        <v>NON-NIL</v>
      </c>
      <c r="E4369">
        <f>TEST_DATA!E4369</f>
        <v>1322</v>
      </c>
    </row>
    <row r="4370" spans="1:5" x14ac:dyDescent="0.55000000000000004">
      <c r="A4370" t="str">
        <f>TEST_DATA!A4370</f>
        <v>27AAAAA4370Z5</v>
      </c>
      <c r="B4370" t="str">
        <f>TEST_DATA!B4370</f>
        <v>Jul-2018</v>
      </c>
      <c r="C4370">
        <f>TEST_DATA!C4370</f>
        <v>44465</v>
      </c>
      <c r="D4370" t="str">
        <f>TEST_DATA!D4370</f>
        <v>NON-NIL</v>
      </c>
      <c r="E4370">
        <f>TEST_DATA!E4370</f>
        <v>78</v>
      </c>
    </row>
    <row r="4371" spans="1:5" x14ac:dyDescent="0.55000000000000004">
      <c r="A4371" t="str">
        <f>TEST_DATA!A4371</f>
        <v>27AAAAA4371Z5</v>
      </c>
      <c r="B4371" t="str">
        <f>TEST_DATA!B4371</f>
        <v>Jun-2019</v>
      </c>
      <c r="C4371">
        <f>TEST_DATA!C4371</f>
        <v>44652</v>
      </c>
      <c r="D4371" t="str">
        <f>TEST_DATA!D4371</f>
        <v>NON-NIL</v>
      </c>
      <c r="E4371">
        <f>TEST_DATA!E4371</f>
        <v>96</v>
      </c>
    </row>
    <row r="4372" spans="1:5" x14ac:dyDescent="0.55000000000000004">
      <c r="A4372" t="str">
        <f>TEST_DATA!A4372</f>
        <v>27AAAAA4372Z5</v>
      </c>
      <c r="B4372" t="str">
        <f>TEST_DATA!B4372</f>
        <v>Jun-2020</v>
      </c>
      <c r="C4372">
        <f>TEST_DATA!C4372</f>
        <v>44680</v>
      </c>
      <c r="D4372" t="str">
        <f>TEST_DATA!D4372</f>
        <v>NIL</v>
      </c>
      <c r="E4372">
        <f>TEST_DATA!E4372</f>
        <v>164</v>
      </c>
    </row>
    <row r="4373" spans="1:5" x14ac:dyDescent="0.55000000000000004">
      <c r="A4373" t="str">
        <f>TEST_DATA!A4373</f>
        <v>27AAAAA4373Z5</v>
      </c>
      <c r="B4373" t="str">
        <f>TEST_DATA!B4373</f>
        <v>Jan-2018</v>
      </c>
      <c r="C4373">
        <f>TEST_DATA!C4373</f>
        <v>44124</v>
      </c>
      <c r="D4373" t="str">
        <f>TEST_DATA!D4373</f>
        <v>NIL</v>
      </c>
      <c r="E4373">
        <f>TEST_DATA!E4373</f>
        <v>855</v>
      </c>
    </row>
    <row r="4374" spans="1:5" x14ac:dyDescent="0.55000000000000004">
      <c r="A4374" t="str">
        <f>TEST_DATA!A4374</f>
        <v>27AAAAA4374Z5</v>
      </c>
      <c r="B4374" t="str">
        <f>TEST_DATA!B4374</f>
        <v>Feb-2018</v>
      </c>
      <c r="C4374">
        <f>TEST_DATA!C4374</f>
        <v>44110</v>
      </c>
      <c r="D4374" t="str">
        <f>TEST_DATA!D4374</f>
        <v>NON-NIL</v>
      </c>
      <c r="E4374">
        <f>TEST_DATA!E4374</f>
        <v>29</v>
      </c>
    </row>
    <row r="4375" spans="1:5" x14ac:dyDescent="0.55000000000000004">
      <c r="A4375" t="str">
        <f>TEST_DATA!A4375</f>
        <v>27AAAAA4375Z5</v>
      </c>
      <c r="B4375" t="str">
        <f>TEST_DATA!B4375</f>
        <v>Jun-2018</v>
      </c>
      <c r="C4375">
        <f>TEST_DATA!C4375</f>
        <v>44354</v>
      </c>
      <c r="D4375" t="str">
        <f>TEST_DATA!D4375</f>
        <v>NIL</v>
      </c>
      <c r="E4375">
        <f>TEST_DATA!E4375</f>
        <v>2382</v>
      </c>
    </row>
    <row r="4376" spans="1:5" x14ac:dyDescent="0.55000000000000004">
      <c r="A4376" t="str">
        <f>TEST_DATA!A4376</f>
        <v>27AAAAA4376Z5</v>
      </c>
      <c r="B4376" t="str">
        <f>TEST_DATA!B4376</f>
        <v>Dec-2024</v>
      </c>
      <c r="C4376">
        <f>TEST_DATA!C4376</f>
        <v>44973</v>
      </c>
      <c r="D4376" t="str">
        <f>TEST_DATA!D4376</f>
        <v>NIL</v>
      </c>
      <c r="E4376">
        <f>TEST_DATA!E4376</f>
        <v>1626</v>
      </c>
    </row>
    <row r="4377" spans="1:5" x14ac:dyDescent="0.55000000000000004">
      <c r="A4377" t="str">
        <f>TEST_DATA!A4377</f>
        <v>27AAAAA4377Z5</v>
      </c>
      <c r="B4377" t="str">
        <f>TEST_DATA!B4377</f>
        <v>Jan-2018</v>
      </c>
      <c r="C4377">
        <f>TEST_DATA!C4377</f>
        <v>43228</v>
      </c>
      <c r="D4377" t="str">
        <f>TEST_DATA!D4377</f>
        <v>NIL</v>
      </c>
      <c r="E4377">
        <f>TEST_DATA!E4377</f>
        <v>2570</v>
      </c>
    </row>
    <row r="4378" spans="1:5" x14ac:dyDescent="0.55000000000000004">
      <c r="A4378" t="str">
        <f>TEST_DATA!A4378</f>
        <v>27AAAAA4378Z5</v>
      </c>
      <c r="B4378" t="str">
        <f>TEST_DATA!B4378</f>
        <v>Jan-2021</v>
      </c>
      <c r="C4378">
        <f>TEST_DATA!C4378</f>
        <v>44618</v>
      </c>
      <c r="D4378" t="str">
        <f>TEST_DATA!D4378</f>
        <v>NON-NIL</v>
      </c>
      <c r="E4378">
        <f>TEST_DATA!E4378</f>
        <v>2278</v>
      </c>
    </row>
    <row r="4379" spans="1:5" x14ac:dyDescent="0.55000000000000004">
      <c r="A4379" t="str">
        <f>TEST_DATA!A4379</f>
        <v>27AAAAA4379Z5</v>
      </c>
      <c r="B4379" t="str">
        <f>TEST_DATA!B4379</f>
        <v>Jun-2018</v>
      </c>
      <c r="C4379">
        <f>TEST_DATA!C4379</f>
        <v>43963</v>
      </c>
      <c r="D4379" t="str">
        <f>TEST_DATA!D4379</f>
        <v>NON-NIL</v>
      </c>
      <c r="E4379">
        <f>TEST_DATA!E4379</f>
        <v>654</v>
      </c>
    </row>
    <row r="4380" spans="1:5" x14ac:dyDescent="0.55000000000000004">
      <c r="A4380" t="str">
        <f>TEST_DATA!A4380</f>
        <v>27AAAAA4380Z5</v>
      </c>
      <c r="B4380" t="str">
        <f>TEST_DATA!B4380</f>
        <v>Dec-2022</v>
      </c>
      <c r="C4380">
        <f>TEST_DATA!C4380</f>
        <v>44291</v>
      </c>
      <c r="D4380" t="str">
        <f>TEST_DATA!D4380</f>
        <v>NON-NIL</v>
      </c>
      <c r="E4380">
        <f>TEST_DATA!E4380</f>
        <v>1370</v>
      </c>
    </row>
    <row r="4381" spans="1:5" x14ac:dyDescent="0.55000000000000004">
      <c r="A4381" t="str">
        <f>TEST_DATA!A4381</f>
        <v>27AAAAA4381Z5</v>
      </c>
      <c r="B4381" t="str">
        <f>TEST_DATA!B4381</f>
        <v>Jan-2018</v>
      </c>
      <c r="C4381">
        <f>TEST_DATA!C4381</f>
        <v>43586</v>
      </c>
      <c r="D4381" t="str">
        <f>TEST_DATA!D4381</f>
        <v>NON-NIL</v>
      </c>
      <c r="E4381">
        <f>TEST_DATA!E4381</f>
        <v>1608</v>
      </c>
    </row>
    <row r="4382" spans="1:5" x14ac:dyDescent="0.55000000000000004">
      <c r="A4382" t="str">
        <f>TEST_DATA!A4382</f>
        <v>27AAAAA4382Z5</v>
      </c>
      <c r="B4382" t="str">
        <f>TEST_DATA!B4382</f>
        <v>Oct-2017</v>
      </c>
      <c r="C4382">
        <f>TEST_DATA!C4382</f>
        <v>44249</v>
      </c>
      <c r="D4382" t="str">
        <f>TEST_DATA!D4382</f>
        <v>NON-NIL</v>
      </c>
      <c r="E4382">
        <f>TEST_DATA!E4382</f>
        <v>1849</v>
      </c>
    </row>
    <row r="4383" spans="1:5" x14ac:dyDescent="0.55000000000000004">
      <c r="A4383" t="str">
        <f>TEST_DATA!A4383</f>
        <v>27AAAAA4383Z5</v>
      </c>
      <c r="B4383" t="str">
        <f>TEST_DATA!B4383</f>
        <v>Jul-2017</v>
      </c>
      <c r="C4383">
        <f>TEST_DATA!C4383</f>
        <v>43829</v>
      </c>
      <c r="D4383" t="str">
        <f>TEST_DATA!D4383</f>
        <v>NON-NIL</v>
      </c>
      <c r="E4383">
        <f>TEST_DATA!E4383</f>
        <v>838</v>
      </c>
    </row>
    <row r="4384" spans="1:5" x14ac:dyDescent="0.55000000000000004">
      <c r="A4384" t="str">
        <f>TEST_DATA!A4384</f>
        <v>27AAAAA4384Z5</v>
      </c>
      <c r="B4384" t="str">
        <f>TEST_DATA!B4384</f>
        <v>Dec-2017</v>
      </c>
      <c r="C4384">
        <f>TEST_DATA!C4384</f>
        <v>43147</v>
      </c>
      <c r="D4384" t="str">
        <f>TEST_DATA!D4384</f>
        <v>NIL</v>
      </c>
      <c r="E4384">
        <f>TEST_DATA!E4384</f>
        <v>1587</v>
      </c>
    </row>
    <row r="4385" spans="1:5" x14ac:dyDescent="0.55000000000000004">
      <c r="A4385" t="str">
        <f>TEST_DATA!A4385</f>
        <v>27AAAAA4385Z5</v>
      </c>
      <c r="B4385" t="str">
        <f>TEST_DATA!B4385</f>
        <v>Apr-2021</v>
      </c>
      <c r="C4385">
        <f>TEST_DATA!C4385</f>
        <v>43903</v>
      </c>
      <c r="D4385" t="str">
        <f>TEST_DATA!D4385</f>
        <v>NIL</v>
      </c>
      <c r="E4385">
        <f>TEST_DATA!E4385</f>
        <v>819</v>
      </c>
    </row>
    <row r="4386" spans="1:5" x14ac:dyDescent="0.55000000000000004">
      <c r="A4386" t="str">
        <f>TEST_DATA!A4386</f>
        <v>27AAAAA4386Z5</v>
      </c>
      <c r="B4386" t="str">
        <f>TEST_DATA!B4386</f>
        <v>Mar-2021</v>
      </c>
      <c r="C4386">
        <f>TEST_DATA!C4386</f>
        <v>45801</v>
      </c>
      <c r="D4386" t="str">
        <f>TEST_DATA!D4386</f>
        <v>NON-NIL</v>
      </c>
      <c r="E4386">
        <f>TEST_DATA!E4386</f>
        <v>2825</v>
      </c>
    </row>
    <row r="4387" spans="1:5" x14ac:dyDescent="0.55000000000000004">
      <c r="A4387" t="str">
        <f>TEST_DATA!A4387</f>
        <v>27AAAAA4387Z5</v>
      </c>
      <c r="B4387" t="str">
        <f>TEST_DATA!B4387</f>
        <v>Jun-2020</v>
      </c>
      <c r="C4387">
        <f>TEST_DATA!C4387</f>
        <v>44269</v>
      </c>
      <c r="D4387" t="str">
        <f>TEST_DATA!D4387</f>
        <v>NON-NIL</v>
      </c>
      <c r="E4387">
        <f>TEST_DATA!E4387</f>
        <v>1478</v>
      </c>
    </row>
    <row r="4388" spans="1:5" x14ac:dyDescent="0.55000000000000004">
      <c r="A4388" t="str">
        <f>TEST_DATA!A4388</f>
        <v>27AAAAA4388Z5</v>
      </c>
      <c r="B4388" t="str">
        <f>TEST_DATA!B4388</f>
        <v>Sep-2018</v>
      </c>
      <c r="C4388">
        <f>TEST_DATA!C4388</f>
        <v>43028</v>
      </c>
      <c r="D4388" t="str">
        <f>TEST_DATA!D4388</f>
        <v>NIL</v>
      </c>
      <c r="E4388">
        <f>TEST_DATA!E4388</f>
        <v>2321</v>
      </c>
    </row>
    <row r="4389" spans="1:5" x14ac:dyDescent="0.55000000000000004">
      <c r="A4389" t="str">
        <f>TEST_DATA!A4389</f>
        <v>27AAAAA4389Z5</v>
      </c>
      <c r="B4389" t="str">
        <f>TEST_DATA!B4389</f>
        <v>Dec-2024</v>
      </c>
      <c r="C4389">
        <f>TEST_DATA!C4389</f>
        <v>44499</v>
      </c>
      <c r="D4389" t="str">
        <f>TEST_DATA!D4389</f>
        <v>NIL</v>
      </c>
      <c r="E4389">
        <f>TEST_DATA!E4389</f>
        <v>2093</v>
      </c>
    </row>
    <row r="4390" spans="1:5" x14ac:dyDescent="0.55000000000000004">
      <c r="A4390" t="str">
        <f>TEST_DATA!A4390</f>
        <v>27AAAAA4390Z5</v>
      </c>
      <c r="B4390" t="str">
        <f>TEST_DATA!B4390</f>
        <v>Jul-2017</v>
      </c>
      <c r="C4390">
        <f>TEST_DATA!C4390</f>
        <v>43551</v>
      </c>
      <c r="D4390" t="str">
        <f>TEST_DATA!D4390</f>
        <v>NIL</v>
      </c>
      <c r="E4390">
        <f>TEST_DATA!E4390</f>
        <v>886</v>
      </c>
    </row>
    <row r="4391" spans="1:5" x14ac:dyDescent="0.55000000000000004">
      <c r="A4391" t="str">
        <f>TEST_DATA!A4391</f>
        <v>27AAAAA4391Z5</v>
      </c>
      <c r="B4391" t="str">
        <f>TEST_DATA!B4391</f>
        <v>Dec-2022</v>
      </c>
      <c r="C4391">
        <f>TEST_DATA!C4391</f>
        <v>44207</v>
      </c>
      <c r="D4391" t="str">
        <f>TEST_DATA!D4391</f>
        <v>NON-NIL</v>
      </c>
      <c r="E4391">
        <f>TEST_DATA!E4391</f>
        <v>845</v>
      </c>
    </row>
    <row r="4392" spans="1:5" x14ac:dyDescent="0.55000000000000004">
      <c r="A4392" t="str">
        <f>TEST_DATA!A4392</f>
        <v>27AAAAA4392Z5</v>
      </c>
      <c r="B4392" t="str">
        <f>TEST_DATA!B4392</f>
        <v>Jan-2019</v>
      </c>
      <c r="C4392">
        <f>TEST_DATA!C4392</f>
        <v>45057</v>
      </c>
      <c r="D4392" t="str">
        <f>TEST_DATA!D4392</f>
        <v>NON-NIL</v>
      </c>
      <c r="E4392">
        <f>TEST_DATA!E4392</f>
        <v>1875</v>
      </c>
    </row>
    <row r="4393" spans="1:5" x14ac:dyDescent="0.55000000000000004">
      <c r="A4393" t="str">
        <f>TEST_DATA!A4393</f>
        <v>27AAAAA4393Z5</v>
      </c>
      <c r="B4393" t="str">
        <f>TEST_DATA!B4393</f>
        <v>Jul-2018</v>
      </c>
      <c r="C4393">
        <f>TEST_DATA!C4393</f>
        <v>44149</v>
      </c>
      <c r="D4393" t="str">
        <f>TEST_DATA!D4393</f>
        <v>NIL</v>
      </c>
      <c r="E4393">
        <f>TEST_DATA!E4393</f>
        <v>2013</v>
      </c>
    </row>
    <row r="4394" spans="1:5" x14ac:dyDescent="0.55000000000000004">
      <c r="A4394" t="str">
        <f>TEST_DATA!A4394</f>
        <v>27AAAAA4394Z5</v>
      </c>
      <c r="B4394" t="str">
        <f>TEST_DATA!B4394</f>
        <v>Jan-2019</v>
      </c>
      <c r="C4394">
        <f>TEST_DATA!C4394</f>
        <v>45763</v>
      </c>
      <c r="D4394" t="str">
        <f>TEST_DATA!D4394</f>
        <v>NON-NIL</v>
      </c>
      <c r="E4394">
        <f>TEST_DATA!E4394</f>
        <v>2732</v>
      </c>
    </row>
    <row r="4395" spans="1:5" x14ac:dyDescent="0.55000000000000004">
      <c r="A4395" t="str">
        <f>TEST_DATA!A4395</f>
        <v>27AAAAA4395Z5</v>
      </c>
      <c r="B4395" t="str">
        <f>TEST_DATA!B4395</f>
        <v>Mar-2023</v>
      </c>
      <c r="C4395">
        <f>TEST_DATA!C4395</f>
        <v>44483</v>
      </c>
      <c r="D4395" t="str">
        <f>TEST_DATA!D4395</f>
        <v>NIL</v>
      </c>
      <c r="E4395">
        <f>TEST_DATA!E4395</f>
        <v>2524</v>
      </c>
    </row>
    <row r="4396" spans="1:5" x14ac:dyDescent="0.55000000000000004">
      <c r="A4396" t="str">
        <f>TEST_DATA!A4396</f>
        <v>27AAAAA4396Z5</v>
      </c>
      <c r="B4396" t="str">
        <f>TEST_DATA!B4396</f>
        <v>Oct-2017</v>
      </c>
      <c r="C4396">
        <f>TEST_DATA!C4396</f>
        <v>42917</v>
      </c>
      <c r="D4396" t="str">
        <f>TEST_DATA!D4396</f>
        <v>NIL</v>
      </c>
      <c r="E4396">
        <f>TEST_DATA!E4396</f>
        <v>2536</v>
      </c>
    </row>
    <row r="4397" spans="1:5" x14ac:dyDescent="0.55000000000000004">
      <c r="A4397" t="str">
        <f>TEST_DATA!A4397</f>
        <v>27AAAAA4397Z5</v>
      </c>
      <c r="B4397" t="str">
        <f>TEST_DATA!B4397</f>
        <v>Aug-2017</v>
      </c>
      <c r="C4397">
        <f>TEST_DATA!C4397</f>
        <v>42939</v>
      </c>
      <c r="D4397" t="str">
        <f>TEST_DATA!D4397</f>
        <v>NON-NIL</v>
      </c>
      <c r="E4397">
        <f>TEST_DATA!E4397</f>
        <v>0</v>
      </c>
    </row>
    <row r="4398" spans="1:5" x14ac:dyDescent="0.55000000000000004">
      <c r="A4398" t="str">
        <f>TEST_DATA!A4398</f>
        <v>27AAAAA4398Z5</v>
      </c>
      <c r="B4398" t="str">
        <f>TEST_DATA!B4398</f>
        <v>Apr-2018</v>
      </c>
      <c r="C4398">
        <f>TEST_DATA!C4398</f>
        <v>43828</v>
      </c>
      <c r="D4398" t="str">
        <f>TEST_DATA!D4398</f>
        <v>NON-NIL</v>
      </c>
      <c r="E4398">
        <f>TEST_DATA!E4398</f>
        <v>2984</v>
      </c>
    </row>
    <row r="4399" spans="1:5" x14ac:dyDescent="0.55000000000000004">
      <c r="A4399" t="str">
        <f>TEST_DATA!A4399</f>
        <v>27AAAAA4399Z5</v>
      </c>
      <c r="B4399" t="str">
        <f>TEST_DATA!B4399</f>
        <v>Mar-2020</v>
      </c>
      <c r="C4399">
        <f>TEST_DATA!C4399</f>
        <v>44157</v>
      </c>
      <c r="D4399" t="str">
        <f>TEST_DATA!D4399</f>
        <v>NIL</v>
      </c>
      <c r="E4399">
        <f>TEST_DATA!E4399</f>
        <v>219</v>
      </c>
    </row>
    <row r="4400" spans="1:5" x14ac:dyDescent="0.55000000000000004">
      <c r="A4400" t="str">
        <f>TEST_DATA!A4400</f>
        <v>27AAAAA4400Z5</v>
      </c>
      <c r="B4400" t="str">
        <f>TEST_DATA!B4400</f>
        <v>Jun-2018</v>
      </c>
      <c r="C4400">
        <f>TEST_DATA!C4400</f>
        <v>43357</v>
      </c>
      <c r="D4400" t="str">
        <f>TEST_DATA!D4400</f>
        <v>NIL</v>
      </c>
      <c r="E4400">
        <f>TEST_DATA!E4400</f>
        <v>1733</v>
      </c>
    </row>
    <row r="4401" spans="1:5" x14ac:dyDescent="0.55000000000000004">
      <c r="A4401" t="str">
        <f>TEST_DATA!A4401</f>
        <v>27AAAAA4401Z5</v>
      </c>
      <c r="B4401" t="str">
        <f>TEST_DATA!B4401</f>
        <v>Jan-2021</v>
      </c>
      <c r="C4401">
        <f>TEST_DATA!C4401</f>
        <v>44993</v>
      </c>
      <c r="D4401" t="str">
        <f>TEST_DATA!D4401</f>
        <v>NIL</v>
      </c>
      <c r="E4401">
        <f>TEST_DATA!E4401</f>
        <v>1146</v>
      </c>
    </row>
    <row r="4402" spans="1:5" x14ac:dyDescent="0.55000000000000004">
      <c r="A4402" t="str">
        <f>TEST_DATA!A4402</f>
        <v>27AAAAA4402Z5</v>
      </c>
      <c r="B4402" t="str">
        <f>TEST_DATA!B4402</f>
        <v>Aug-2018</v>
      </c>
      <c r="C4402">
        <f>TEST_DATA!C4402</f>
        <v>44255</v>
      </c>
      <c r="D4402" t="str">
        <f>TEST_DATA!D4402</f>
        <v>NIL</v>
      </c>
      <c r="E4402">
        <f>TEST_DATA!E4402</f>
        <v>1218</v>
      </c>
    </row>
    <row r="4403" spans="1:5" x14ac:dyDescent="0.55000000000000004">
      <c r="A4403" t="str">
        <f>TEST_DATA!A4403</f>
        <v>27AAAAA4403Z5</v>
      </c>
      <c r="B4403" t="str">
        <f>TEST_DATA!B4403</f>
        <v>Mar-2021</v>
      </c>
      <c r="C4403">
        <f>TEST_DATA!C4403</f>
        <v>43609</v>
      </c>
      <c r="D4403" t="str">
        <f>TEST_DATA!D4403</f>
        <v>NIL</v>
      </c>
      <c r="E4403">
        <f>TEST_DATA!E4403</f>
        <v>1237</v>
      </c>
    </row>
    <row r="4404" spans="1:5" x14ac:dyDescent="0.55000000000000004">
      <c r="A4404" t="str">
        <f>TEST_DATA!A4404</f>
        <v>27AAAAA4404Z5</v>
      </c>
      <c r="B4404" t="str">
        <f>TEST_DATA!B4404</f>
        <v>Nov-2017</v>
      </c>
      <c r="C4404">
        <f>TEST_DATA!C4404</f>
        <v>43455</v>
      </c>
      <c r="D4404" t="str">
        <f>TEST_DATA!D4404</f>
        <v>NON-NIL</v>
      </c>
      <c r="E4404">
        <f>TEST_DATA!E4404</f>
        <v>838</v>
      </c>
    </row>
    <row r="4405" spans="1:5" x14ac:dyDescent="0.55000000000000004">
      <c r="A4405" t="str">
        <f>TEST_DATA!A4405</f>
        <v>27AAAAA4405Z5</v>
      </c>
      <c r="B4405" t="str">
        <f>TEST_DATA!B4405</f>
        <v>Oct-2017</v>
      </c>
      <c r="C4405">
        <f>TEST_DATA!C4405</f>
        <v>44220</v>
      </c>
      <c r="D4405" t="str">
        <f>TEST_DATA!D4405</f>
        <v>NIL</v>
      </c>
      <c r="E4405">
        <f>TEST_DATA!E4405</f>
        <v>1951</v>
      </c>
    </row>
    <row r="4406" spans="1:5" x14ac:dyDescent="0.55000000000000004">
      <c r="A4406" t="str">
        <f>TEST_DATA!A4406</f>
        <v>27AAAAA4406Z5</v>
      </c>
      <c r="B4406" t="str">
        <f>TEST_DATA!B4406</f>
        <v>Dec-2017</v>
      </c>
      <c r="C4406">
        <f>TEST_DATA!C4406</f>
        <v>42946</v>
      </c>
      <c r="D4406" t="str">
        <f>TEST_DATA!D4406</f>
        <v>NIL</v>
      </c>
      <c r="E4406">
        <f>TEST_DATA!E4406</f>
        <v>352</v>
      </c>
    </row>
    <row r="4407" spans="1:5" x14ac:dyDescent="0.55000000000000004">
      <c r="A4407" t="str">
        <f>TEST_DATA!A4407</f>
        <v>27AAAAA4407Z5</v>
      </c>
      <c r="B4407" t="str">
        <f>TEST_DATA!B4407</f>
        <v>Jan-2021</v>
      </c>
      <c r="C4407">
        <f>TEST_DATA!C4407</f>
        <v>44427</v>
      </c>
      <c r="D4407" t="str">
        <f>TEST_DATA!D4407</f>
        <v>NON-NIL</v>
      </c>
      <c r="E4407">
        <f>TEST_DATA!E4407</f>
        <v>2374</v>
      </c>
    </row>
    <row r="4408" spans="1:5" x14ac:dyDescent="0.55000000000000004">
      <c r="A4408" t="str">
        <f>TEST_DATA!A4408</f>
        <v>27AAAAA4408Z5</v>
      </c>
      <c r="B4408" t="str">
        <f>TEST_DATA!B4408</f>
        <v>Jul-2020</v>
      </c>
      <c r="C4408">
        <f>TEST_DATA!C4408</f>
        <v>44390</v>
      </c>
      <c r="D4408" t="str">
        <f>TEST_DATA!D4408</f>
        <v>NON-NIL</v>
      </c>
      <c r="E4408">
        <f>TEST_DATA!E4408</f>
        <v>92</v>
      </c>
    </row>
    <row r="4409" spans="1:5" x14ac:dyDescent="0.55000000000000004">
      <c r="A4409" t="str">
        <f>TEST_DATA!A4409</f>
        <v>27AAAAA4409Z5</v>
      </c>
      <c r="B4409" t="str">
        <f>TEST_DATA!B4409</f>
        <v>Jul-2020</v>
      </c>
      <c r="C4409">
        <f>TEST_DATA!C4409</f>
        <v>44813</v>
      </c>
      <c r="D4409" t="str">
        <f>TEST_DATA!D4409</f>
        <v>NIL</v>
      </c>
      <c r="E4409">
        <f>TEST_DATA!E4409</f>
        <v>2995</v>
      </c>
    </row>
    <row r="4410" spans="1:5" x14ac:dyDescent="0.55000000000000004">
      <c r="A4410" t="str">
        <f>TEST_DATA!A4410</f>
        <v>27AAAAA4410Z5</v>
      </c>
      <c r="B4410" t="str">
        <f>TEST_DATA!B4410</f>
        <v>Jul-2020</v>
      </c>
      <c r="C4410">
        <f>TEST_DATA!C4410</f>
        <v>44144</v>
      </c>
      <c r="D4410" t="str">
        <f>TEST_DATA!D4410</f>
        <v>NIL</v>
      </c>
      <c r="E4410">
        <f>TEST_DATA!E4410</f>
        <v>266</v>
      </c>
    </row>
    <row r="4411" spans="1:5" x14ac:dyDescent="0.55000000000000004">
      <c r="A4411" t="str">
        <f>TEST_DATA!A4411</f>
        <v>27AAAAA4411Z5</v>
      </c>
      <c r="B4411" t="str">
        <f>TEST_DATA!B4411</f>
        <v>Jul-2018</v>
      </c>
      <c r="C4411">
        <f>TEST_DATA!C4411</f>
        <v>44305</v>
      </c>
      <c r="D4411" t="str">
        <f>TEST_DATA!D4411</f>
        <v>NON-NIL</v>
      </c>
      <c r="E4411">
        <f>TEST_DATA!E4411</f>
        <v>122</v>
      </c>
    </row>
    <row r="4412" spans="1:5" x14ac:dyDescent="0.55000000000000004">
      <c r="A4412" t="str">
        <f>TEST_DATA!A4412</f>
        <v>27AAAAA4412Z5</v>
      </c>
      <c r="B4412" t="str">
        <f>TEST_DATA!B4412</f>
        <v>Aug-2017</v>
      </c>
      <c r="C4412">
        <f>TEST_DATA!C4412</f>
        <v>43935</v>
      </c>
      <c r="D4412" t="str">
        <f>TEST_DATA!D4412</f>
        <v>NON-NIL</v>
      </c>
      <c r="E4412">
        <f>TEST_DATA!E4412</f>
        <v>1907</v>
      </c>
    </row>
    <row r="4413" spans="1:5" x14ac:dyDescent="0.55000000000000004">
      <c r="A4413" t="str">
        <f>TEST_DATA!A4413</f>
        <v>27AAAAA4413Z5</v>
      </c>
      <c r="B4413" t="str">
        <f>TEST_DATA!B4413</f>
        <v>Aug-2018</v>
      </c>
      <c r="C4413">
        <f>TEST_DATA!C4413</f>
        <v>43275</v>
      </c>
      <c r="D4413" t="str">
        <f>TEST_DATA!D4413</f>
        <v>NIL</v>
      </c>
      <c r="E4413">
        <f>TEST_DATA!E4413</f>
        <v>2362</v>
      </c>
    </row>
    <row r="4414" spans="1:5" x14ac:dyDescent="0.55000000000000004">
      <c r="A4414" t="str">
        <f>TEST_DATA!A4414</f>
        <v>27AAAAA4414Z5</v>
      </c>
      <c r="B4414" t="str">
        <f>TEST_DATA!B4414</f>
        <v>Dec-2024</v>
      </c>
      <c r="C4414">
        <f>TEST_DATA!C4414</f>
        <v>43646</v>
      </c>
      <c r="D4414" t="str">
        <f>TEST_DATA!D4414</f>
        <v>NIL</v>
      </c>
      <c r="E4414">
        <f>TEST_DATA!E4414</f>
        <v>1150</v>
      </c>
    </row>
    <row r="4415" spans="1:5" x14ac:dyDescent="0.55000000000000004">
      <c r="A4415" t="str">
        <f>TEST_DATA!A4415</f>
        <v>27AAAAA4415Z5</v>
      </c>
      <c r="B4415" t="str">
        <f>TEST_DATA!B4415</f>
        <v>Jul-2020</v>
      </c>
      <c r="C4415">
        <f>TEST_DATA!C4415</f>
        <v>44407</v>
      </c>
      <c r="D4415" t="str">
        <f>TEST_DATA!D4415</f>
        <v>NON-NIL</v>
      </c>
      <c r="E4415">
        <f>TEST_DATA!E4415</f>
        <v>830</v>
      </c>
    </row>
    <row r="4416" spans="1:5" x14ac:dyDescent="0.55000000000000004">
      <c r="A4416" t="str">
        <f>TEST_DATA!A4416</f>
        <v>27AAAAA4416Z5</v>
      </c>
      <c r="B4416" t="str">
        <f>TEST_DATA!B4416</f>
        <v>Apr-2021</v>
      </c>
      <c r="C4416">
        <f>TEST_DATA!C4416</f>
        <v>44560</v>
      </c>
      <c r="D4416" t="str">
        <f>TEST_DATA!D4416</f>
        <v>NIL</v>
      </c>
      <c r="E4416">
        <f>TEST_DATA!E4416</f>
        <v>2749</v>
      </c>
    </row>
    <row r="4417" spans="1:5" x14ac:dyDescent="0.55000000000000004">
      <c r="A4417" t="str">
        <f>TEST_DATA!A4417</f>
        <v>27AAAAA4417Z5</v>
      </c>
      <c r="B4417" t="str">
        <f>TEST_DATA!B4417</f>
        <v>Mar-2018</v>
      </c>
      <c r="C4417">
        <f>TEST_DATA!C4417</f>
        <v>43302</v>
      </c>
      <c r="D4417" t="str">
        <f>TEST_DATA!D4417</f>
        <v>NIL</v>
      </c>
      <c r="E4417">
        <f>TEST_DATA!E4417</f>
        <v>2824</v>
      </c>
    </row>
    <row r="4418" spans="1:5" x14ac:dyDescent="0.55000000000000004">
      <c r="A4418" t="str">
        <f>TEST_DATA!A4418</f>
        <v>27AAAAA4418Z5</v>
      </c>
      <c r="B4418" t="str">
        <f>TEST_DATA!B4418</f>
        <v>Sep-2018</v>
      </c>
      <c r="C4418">
        <f>TEST_DATA!C4418</f>
        <v>42920</v>
      </c>
      <c r="D4418" t="str">
        <f>TEST_DATA!D4418</f>
        <v>NIL</v>
      </c>
      <c r="E4418">
        <f>TEST_DATA!E4418</f>
        <v>2306</v>
      </c>
    </row>
    <row r="4419" spans="1:5" x14ac:dyDescent="0.55000000000000004">
      <c r="A4419" t="str">
        <f>TEST_DATA!A4419</f>
        <v>27AAAAA4419Z5</v>
      </c>
      <c r="B4419" t="str">
        <f>TEST_DATA!B4419</f>
        <v>Dec-2022</v>
      </c>
      <c r="C4419">
        <f>TEST_DATA!C4419</f>
        <v>45249</v>
      </c>
      <c r="D4419" t="str">
        <f>TEST_DATA!D4419</f>
        <v>NON-NIL</v>
      </c>
      <c r="E4419">
        <f>TEST_DATA!E4419</f>
        <v>948</v>
      </c>
    </row>
    <row r="4420" spans="1:5" x14ac:dyDescent="0.55000000000000004">
      <c r="A4420" t="str">
        <f>TEST_DATA!A4420</f>
        <v>27AAAAA4420Z5</v>
      </c>
      <c r="B4420" t="str">
        <f>TEST_DATA!B4420</f>
        <v>Jul-2020</v>
      </c>
      <c r="C4420">
        <f>TEST_DATA!C4420</f>
        <v>43927</v>
      </c>
      <c r="D4420" t="str">
        <f>TEST_DATA!D4420</f>
        <v>NON-NIL</v>
      </c>
      <c r="E4420">
        <f>TEST_DATA!E4420</f>
        <v>1491</v>
      </c>
    </row>
    <row r="4421" spans="1:5" x14ac:dyDescent="0.55000000000000004">
      <c r="A4421" t="str">
        <f>TEST_DATA!A4421</f>
        <v>27AAAAA4421Z5</v>
      </c>
      <c r="B4421" t="str">
        <f>TEST_DATA!B4421</f>
        <v>Sep-2017</v>
      </c>
      <c r="C4421">
        <f>TEST_DATA!C4421</f>
        <v>44141</v>
      </c>
      <c r="D4421" t="str">
        <f>TEST_DATA!D4421</f>
        <v>NON-NIL</v>
      </c>
      <c r="E4421">
        <f>TEST_DATA!E4421</f>
        <v>1868</v>
      </c>
    </row>
    <row r="4422" spans="1:5" x14ac:dyDescent="0.55000000000000004">
      <c r="A4422" t="str">
        <f>TEST_DATA!A4422</f>
        <v>27AAAAA4422Z5</v>
      </c>
      <c r="B4422" t="str">
        <f>TEST_DATA!B4422</f>
        <v>Dec-2022</v>
      </c>
      <c r="C4422">
        <f>TEST_DATA!C4422</f>
        <v>45401</v>
      </c>
      <c r="D4422" t="str">
        <f>TEST_DATA!D4422</f>
        <v>NIL</v>
      </c>
      <c r="E4422">
        <f>TEST_DATA!E4422</f>
        <v>1528</v>
      </c>
    </row>
    <row r="4423" spans="1:5" x14ac:dyDescent="0.55000000000000004">
      <c r="A4423" t="str">
        <f>TEST_DATA!A4423</f>
        <v>27AAAAA4423Z5</v>
      </c>
      <c r="B4423" t="str">
        <f>TEST_DATA!B4423</f>
        <v>Jun-2020</v>
      </c>
      <c r="C4423">
        <f>TEST_DATA!C4423</f>
        <v>44591</v>
      </c>
      <c r="D4423" t="str">
        <f>TEST_DATA!D4423</f>
        <v>NIL</v>
      </c>
      <c r="E4423">
        <f>TEST_DATA!E4423</f>
        <v>1313</v>
      </c>
    </row>
    <row r="4424" spans="1:5" x14ac:dyDescent="0.55000000000000004">
      <c r="A4424" t="str">
        <f>TEST_DATA!A4424</f>
        <v>27AAAAA4424Z5</v>
      </c>
      <c r="B4424" t="str">
        <f>TEST_DATA!B4424</f>
        <v>Jan-2021</v>
      </c>
      <c r="C4424">
        <f>TEST_DATA!C4424</f>
        <v>44886</v>
      </c>
      <c r="D4424" t="str">
        <f>TEST_DATA!D4424</f>
        <v>NON-NIL</v>
      </c>
      <c r="E4424">
        <f>TEST_DATA!E4424</f>
        <v>712</v>
      </c>
    </row>
    <row r="4425" spans="1:5" x14ac:dyDescent="0.55000000000000004">
      <c r="A4425" t="str">
        <f>TEST_DATA!A4425</f>
        <v>27AAAAA4425Z5</v>
      </c>
      <c r="B4425" t="str">
        <f>TEST_DATA!B4425</f>
        <v>Mar-2020</v>
      </c>
      <c r="C4425">
        <f>TEST_DATA!C4425</f>
        <v>44653</v>
      </c>
      <c r="D4425" t="str">
        <f>TEST_DATA!D4425</f>
        <v>NON-NIL</v>
      </c>
      <c r="E4425">
        <f>TEST_DATA!E4425</f>
        <v>1914</v>
      </c>
    </row>
    <row r="4426" spans="1:5" x14ac:dyDescent="0.55000000000000004">
      <c r="A4426" t="str">
        <f>TEST_DATA!A4426</f>
        <v>27AAAAA4426Z5</v>
      </c>
      <c r="B4426" t="str">
        <f>TEST_DATA!B4426</f>
        <v>Jun-2018</v>
      </c>
      <c r="C4426">
        <f>TEST_DATA!C4426</f>
        <v>44488</v>
      </c>
      <c r="D4426" t="str">
        <f>TEST_DATA!D4426</f>
        <v>NON-NIL</v>
      </c>
      <c r="E4426">
        <f>TEST_DATA!E4426</f>
        <v>604</v>
      </c>
    </row>
    <row r="4427" spans="1:5" x14ac:dyDescent="0.55000000000000004">
      <c r="A4427" t="str">
        <f>TEST_DATA!A4427</f>
        <v>27AAAAA4427Z5</v>
      </c>
      <c r="B4427" t="str">
        <f>TEST_DATA!B4427</f>
        <v>Dec-2022</v>
      </c>
      <c r="C4427">
        <f>TEST_DATA!C4427</f>
        <v>45491</v>
      </c>
      <c r="D4427" t="str">
        <f>TEST_DATA!D4427</f>
        <v>NON-NIL</v>
      </c>
      <c r="E4427">
        <f>TEST_DATA!E4427</f>
        <v>1475</v>
      </c>
    </row>
    <row r="4428" spans="1:5" x14ac:dyDescent="0.55000000000000004">
      <c r="A4428" t="str">
        <f>TEST_DATA!A4428</f>
        <v>27AAAAA4428Z5</v>
      </c>
      <c r="B4428" t="str">
        <f>TEST_DATA!B4428</f>
        <v>Aug-2018</v>
      </c>
      <c r="C4428">
        <f>TEST_DATA!C4428</f>
        <v>43094</v>
      </c>
      <c r="D4428" t="str">
        <f>TEST_DATA!D4428</f>
        <v>NON-NIL</v>
      </c>
      <c r="E4428">
        <f>TEST_DATA!E4428</f>
        <v>563</v>
      </c>
    </row>
    <row r="4429" spans="1:5" x14ac:dyDescent="0.55000000000000004">
      <c r="A4429" t="str">
        <f>TEST_DATA!A4429</f>
        <v>27AAAAA4429Z5</v>
      </c>
      <c r="B4429" t="str">
        <f>TEST_DATA!B4429</f>
        <v>May-2018</v>
      </c>
      <c r="C4429">
        <f>TEST_DATA!C4429</f>
        <v>43651</v>
      </c>
      <c r="D4429" t="str">
        <f>TEST_DATA!D4429</f>
        <v>NON-NIL</v>
      </c>
      <c r="E4429">
        <f>TEST_DATA!E4429</f>
        <v>1846</v>
      </c>
    </row>
    <row r="4430" spans="1:5" x14ac:dyDescent="0.55000000000000004">
      <c r="A4430" t="str">
        <f>TEST_DATA!A4430</f>
        <v>27AAAAA4430Z5</v>
      </c>
      <c r="B4430" t="str">
        <f>TEST_DATA!B4430</f>
        <v>Mar-2021</v>
      </c>
      <c r="C4430">
        <f>TEST_DATA!C4430</f>
        <v>45674</v>
      </c>
      <c r="D4430" t="str">
        <f>TEST_DATA!D4430</f>
        <v>NIL</v>
      </c>
      <c r="E4430">
        <f>TEST_DATA!E4430</f>
        <v>175</v>
      </c>
    </row>
    <row r="4431" spans="1:5" x14ac:dyDescent="0.55000000000000004">
      <c r="A4431" t="str">
        <f>TEST_DATA!A4431</f>
        <v>27AAAAA4431Z5</v>
      </c>
      <c r="B4431" t="str">
        <f>TEST_DATA!B4431</f>
        <v>May-2018</v>
      </c>
      <c r="C4431">
        <f>TEST_DATA!C4431</f>
        <v>43954</v>
      </c>
      <c r="D4431" t="str">
        <f>TEST_DATA!D4431</f>
        <v>NIL</v>
      </c>
      <c r="E4431">
        <f>TEST_DATA!E4431</f>
        <v>2452</v>
      </c>
    </row>
    <row r="4432" spans="1:5" x14ac:dyDescent="0.55000000000000004">
      <c r="A4432" t="str">
        <f>TEST_DATA!A4432</f>
        <v>27AAAAA4432Z5</v>
      </c>
      <c r="B4432" t="str">
        <f>TEST_DATA!B4432</f>
        <v>May-2018</v>
      </c>
      <c r="C4432">
        <f>TEST_DATA!C4432</f>
        <v>44023</v>
      </c>
      <c r="D4432" t="str">
        <f>TEST_DATA!D4432</f>
        <v>NIL</v>
      </c>
      <c r="E4432">
        <f>TEST_DATA!E4432</f>
        <v>2349</v>
      </c>
    </row>
    <row r="4433" spans="1:5" x14ac:dyDescent="0.55000000000000004">
      <c r="A4433" t="str">
        <f>TEST_DATA!A4433</f>
        <v>27AAAAA4433Z5</v>
      </c>
      <c r="B4433" t="str">
        <f>TEST_DATA!B4433</f>
        <v>Nov-2017</v>
      </c>
      <c r="C4433">
        <f>TEST_DATA!C4433</f>
        <v>44539</v>
      </c>
      <c r="D4433" t="str">
        <f>TEST_DATA!D4433</f>
        <v>NIL</v>
      </c>
      <c r="E4433">
        <f>TEST_DATA!E4433</f>
        <v>2839</v>
      </c>
    </row>
    <row r="4434" spans="1:5" x14ac:dyDescent="0.55000000000000004">
      <c r="A4434" t="str">
        <f>TEST_DATA!A4434</f>
        <v>27AAAAA4434Z5</v>
      </c>
      <c r="B4434" t="str">
        <f>TEST_DATA!B4434</f>
        <v>Jul-2018</v>
      </c>
      <c r="C4434">
        <f>TEST_DATA!C4434</f>
        <v>43084</v>
      </c>
      <c r="D4434" t="str">
        <f>TEST_DATA!D4434</f>
        <v>NON-NIL</v>
      </c>
      <c r="E4434">
        <f>TEST_DATA!E4434</f>
        <v>458</v>
      </c>
    </row>
    <row r="4435" spans="1:5" x14ac:dyDescent="0.55000000000000004">
      <c r="A4435" t="str">
        <f>TEST_DATA!A4435</f>
        <v>27AAAAA4435Z5</v>
      </c>
      <c r="B4435" t="str">
        <f>TEST_DATA!B4435</f>
        <v>Jun-2019</v>
      </c>
      <c r="C4435">
        <f>TEST_DATA!C4435</f>
        <v>45694</v>
      </c>
      <c r="D4435" t="str">
        <f>TEST_DATA!D4435</f>
        <v>NIL</v>
      </c>
      <c r="E4435">
        <f>TEST_DATA!E4435</f>
        <v>2128</v>
      </c>
    </row>
    <row r="4436" spans="1:5" x14ac:dyDescent="0.55000000000000004">
      <c r="A4436" t="str">
        <f>TEST_DATA!A4436</f>
        <v>27AAAAA4436Z5</v>
      </c>
      <c r="B4436" t="str">
        <f>TEST_DATA!B4436</f>
        <v>Oct-2017</v>
      </c>
      <c r="C4436">
        <f>TEST_DATA!C4436</f>
        <v>44095</v>
      </c>
      <c r="D4436" t="str">
        <f>TEST_DATA!D4436</f>
        <v>NIL</v>
      </c>
      <c r="E4436">
        <f>TEST_DATA!E4436</f>
        <v>1043</v>
      </c>
    </row>
    <row r="4437" spans="1:5" x14ac:dyDescent="0.55000000000000004">
      <c r="A4437" t="str">
        <f>TEST_DATA!A4437</f>
        <v>27AAAAA4437Z5</v>
      </c>
      <c r="B4437" t="str">
        <f>TEST_DATA!B4437</f>
        <v>Dec-2019</v>
      </c>
      <c r="C4437">
        <f>TEST_DATA!C4437</f>
        <v>44140</v>
      </c>
      <c r="D4437" t="str">
        <f>TEST_DATA!D4437</f>
        <v>NIL</v>
      </c>
      <c r="E4437">
        <f>TEST_DATA!E4437</f>
        <v>2801</v>
      </c>
    </row>
    <row r="4438" spans="1:5" x14ac:dyDescent="0.55000000000000004">
      <c r="A4438" t="str">
        <f>TEST_DATA!A4438</f>
        <v>27AAAAA4438Z5</v>
      </c>
      <c r="B4438" t="str">
        <f>TEST_DATA!B4438</f>
        <v>Jul-2020</v>
      </c>
      <c r="C4438">
        <f>TEST_DATA!C4438</f>
        <v>44516</v>
      </c>
      <c r="D4438" t="str">
        <f>TEST_DATA!D4438</f>
        <v>NON-NIL</v>
      </c>
      <c r="E4438">
        <f>TEST_DATA!E4438</f>
        <v>478</v>
      </c>
    </row>
    <row r="4439" spans="1:5" x14ac:dyDescent="0.55000000000000004">
      <c r="A4439" t="str">
        <f>TEST_DATA!A4439</f>
        <v>27AAAAA4439Z5</v>
      </c>
      <c r="B4439" t="str">
        <f>TEST_DATA!B4439</f>
        <v>May-2018</v>
      </c>
      <c r="C4439">
        <f>TEST_DATA!C4439</f>
        <v>44415</v>
      </c>
      <c r="D4439" t="str">
        <f>TEST_DATA!D4439</f>
        <v>NON-NIL</v>
      </c>
      <c r="E4439">
        <f>TEST_DATA!E4439</f>
        <v>2246</v>
      </c>
    </row>
    <row r="4440" spans="1:5" x14ac:dyDescent="0.55000000000000004">
      <c r="A4440" t="str">
        <f>TEST_DATA!A4440</f>
        <v>27AAAAA4440Z5</v>
      </c>
      <c r="B4440" t="str">
        <f>TEST_DATA!B4440</f>
        <v>Jul-2018</v>
      </c>
      <c r="C4440">
        <f>TEST_DATA!C4440</f>
        <v>43988</v>
      </c>
      <c r="D4440" t="str">
        <f>TEST_DATA!D4440</f>
        <v>NON-NIL</v>
      </c>
      <c r="E4440">
        <f>TEST_DATA!E4440</f>
        <v>897</v>
      </c>
    </row>
    <row r="4441" spans="1:5" x14ac:dyDescent="0.55000000000000004">
      <c r="A4441" t="str">
        <f>TEST_DATA!A4441</f>
        <v>27AAAAA4441Z5</v>
      </c>
      <c r="B4441" t="str">
        <f>TEST_DATA!B4441</f>
        <v>Mar-2020</v>
      </c>
      <c r="C4441">
        <f>TEST_DATA!C4441</f>
        <v>44550</v>
      </c>
      <c r="D4441" t="str">
        <f>TEST_DATA!D4441</f>
        <v>NON-NIL</v>
      </c>
      <c r="E4441">
        <f>TEST_DATA!E4441</f>
        <v>2817</v>
      </c>
    </row>
    <row r="4442" spans="1:5" x14ac:dyDescent="0.55000000000000004">
      <c r="A4442" t="str">
        <f>TEST_DATA!A4442</f>
        <v>27AAAAA4442Z5</v>
      </c>
      <c r="B4442" t="str">
        <f>TEST_DATA!B4442</f>
        <v>Mar-2021</v>
      </c>
      <c r="C4442">
        <f>TEST_DATA!C4442</f>
        <v>43901</v>
      </c>
      <c r="D4442" t="str">
        <f>TEST_DATA!D4442</f>
        <v>NIL</v>
      </c>
      <c r="E4442">
        <f>TEST_DATA!E4442</f>
        <v>2623</v>
      </c>
    </row>
    <row r="4443" spans="1:5" x14ac:dyDescent="0.55000000000000004">
      <c r="A4443" t="str">
        <f>TEST_DATA!A4443</f>
        <v>27AAAAA4443Z5</v>
      </c>
      <c r="B4443" t="str">
        <f>TEST_DATA!B4443</f>
        <v>May-2020</v>
      </c>
      <c r="C4443">
        <f>TEST_DATA!C4443</f>
        <v>44760</v>
      </c>
      <c r="D4443" t="str">
        <f>TEST_DATA!D4443</f>
        <v>NIL</v>
      </c>
      <c r="E4443">
        <f>TEST_DATA!E4443</f>
        <v>2842</v>
      </c>
    </row>
    <row r="4444" spans="1:5" x14ac:dyDescent="0.55000000000000004">
      <c r="A4444" t="str">
        <f>TEST_DATA!A4444</f>
        <v>27AAAAA4444Z5</v>
      </c>
      <c r="B4444" t="str">
        <f>TEST_DATA!B4444</f>
        <v>Dec-2024</v>
      </c>
      <c r="C4444">
        <f>TEST_DATA!C4444</f>
        <v>44237</v>
      </c>
      <c r="D4444" t="str">
        <f>TEST_DATA!D4444</f>
        <v>NIL</v>
      </c>
      <c r="E4444">
        <f>TEST_DATA!E4444</f>
        <v>2066</v>
      </c>
    </row>
    <row r="4445" spans="1:5" x14ac:dyDescent="0.55000000000000004">
      <c r="A4445" t="str">
        <f>TEST_DATA!A4445</f>
        <v>27AAAAA4445Z5</v>
      </c>
      <c r="B4445" t="str">
        <f>TEST_DATA!B4445</f>
        <v>Apr-2021</v>
      </c>
      <c r="C4445">
        <f>TEST_DATA!C4445</f>
        <v>43907</v>
      </c>
      <c r="D4445" t="str">
        <f>TEST_DATA!D4445</f>
        <v>NON-NIL</v>
      </c>
      <c r="E4445">
        <f>TEST_DATA!E4445</f>
        <v>591</v>
      </c>
    </row>
    <row r="4446" spans="1:5" x14ac:dyDescent="0.55000000000000004">
      <c r="A4446" t="str">
        <f>TEST_DATA!A4446</f>
        <v>27AAAAA4446Z5</v>
      </c>
      <c r="B4446" t="str">
        <f>TEST_DATA!B4446</f>
        <v>Sep-2017</v>
      </c>
      <c r="C4446">
        <f>TEST_DATA!C4446</f>
        <v>44340</v>
      </c>
      <c r="D4446" t="str">
        <f>TEST_DATA!D4446</f>
        <v>NON-NIL</v>
      </c>
      <c r="E4446">
        <f>TEST_DATA!E4446</f>
        <v>990</v>
      </c>
    </row>
    <row r="4447" spans="1:5" x14ac:dyDescent="0.55000000000000004">
      <c r="A4447" t="str">
        <f>TEST_DATA!A4447</f>
        <v>27AAAAA4447Z5</v>
      </c>
      <c r="B4447" t="str">
        <f>TEST_DATA!B4447</f>
        <v>Mar-2021</v>
      </c>
      <c r="C4447">
        <f>TEST_DATA!C4447</f>
        <v>45129</v>
      </c>
      <c r="D4447" t="str">
        <f>TEST_DATA!D4447</f>
        <v>NON-NIL</v>
      </c>
      <c r="E4447">
        <f>TEST_DATA!E4447</f>
        <v>857</v>
      </c>
    </row>
    <row r="4448" spans="1:5" x14ac:dyDescent="0.55000000000000004">
      <c r="A4448" t="str">
        <f>TEST_DATA!A4448</f>
        <v>27AAAAA4448Z5</v>
      </c>
      <c r="B4448" t="str">
        <f>TEST_DATA!B4448</f>
        <v>Dec-2019</v>
      </c>
      <c r="C4448">
        <f>TEST_DATA!C4448</f>
        <v>43861</v>
      </c>
      <c r="D4448" t="str">
        <f>TEST_DATA!D4448</f>
        <v>NIL</v>
      </c>
      <c r="E4448">
        <f>TEST_DATA!E4448</f>
        <v>96</v>
      </c>
    </row>
    <row r="4449" spans="1:5" x14ac:dyDescent="0.55000000000000004">
      <c r="A4449" t="str">
        <f>TEST_DATA!A4449</f>
        <v>27AAAAA4449Z5</v>
      </c>
      <c r="B4449" t="str">
        <f>TEST_DATA!B4449</f>
        <v>Jul-2017</v>
      </c>
      <c r="C4449">
        <f>TEST_DATA!C4449</f>
        <v>42980</v>
      </c>
      <c r="D4449" t="str">
        <f>TEST_DATA!D4449</f>
        <v>NON-NIL</v>
      </c>
      <c r="E4449">
        <f>TEST_DATA!E4449</f>
        <v>495</v>
      </c>
    </row>
    <row r="4450" spans="1:5" x14ac:dyDescent="0.55000000000000004">
      <c r="A4450" t="str">
        <f>TEST_DATA!A4450</f>
        <v>27AAAAA4450Z5</v>
      </c>
      <c r="B4450" t="str">
        <f>TEST_DATA!B4450</f>
        <v>Jan-2018</v>
      </c>
      <c r="C4450">
        <f>TEST_DATA!C4450</f>
        <v>43297</v>
      </c>
      <c r="D4450" t="str">
        <f>TEST_DATA!D4450</f>
        <v>NIL</v>
      </c>
      <c r="E4450">
        <f>TEST_DATA!E4450</f>
        <v>274</v>
      </c>
    </row>
    <row r="4451" spans="1:5" x14ac:dyDescent="0.55000000000000004">
      <c r="A4451" t="str">
        <f>TEST_DATA!A4451</f>
        <v>27AAAAA4451Z5</v>
      </c>
      <c r="B4451" t="str">
        <f>TEST_DATA!B4451</f>
        <v>Mar-2018</v>
      </c>
      <c r="C4451">
        <f>TEST_DATA!C4451</f>
        <v>43843</v>
      </c>
      <c r="D4451" t="str">
        <f>TEST_DATA!D4451</f>
        <v>NIL</v>
      </c>
      <c r="E4451">
        <f>TEST_DATA!E4451</f>
        <v>1728</v>
      </c>
    </row>
    <row r="4452" spans="1:5" x14ac:dyDescent="0.55000000000000004">
      <c r="A4452" t="str">
        <f>TEST_DATA!A4452</f>
        <v>27AAAAA4452Z5</v>
      </c>
      <c r="B4452" t="str">
        <f>TEST_DATA!B4452</f>
        <v>Jun-2018</v>
      </c>
      <c r="C4452">
        <f>TEST_DATA!C4452</f>
        <v>44271</v>
      </c>
      <c r="D4452" t="str">
        <f>TEST_DATA!D4452</f>
        <v>NON-NIL</v>
      </c>
      <c r="E4452">
        <f>TEST_DATA!E4452</f>
        <v>43</v>
      </c>
    </row>
    <row r="4453" spans="1:5" x14ac:dyDescent="0.55000000000000004">
      <c r="A4453" t="str">
        <f>TEST_DATA!A4453</f>
        <v>27AAAAA4453Z5</v>
      </c>
      <c r="B4453" t="str">
        <f>TEST_DATA!B4453</f>
        <v>Jul-2020</v>
      </c>
      <c r="C4453">
        <f>TEST_DATA!C4453</f>
        <v>44445</v>
      </c>
      <c r="D4453" t="str">
        <f>TEST_DATA!D4453</f>
        <v>NON-NIL</v>
      </c>
      <c r="E4453">
        <f>TEST_DATA!E4453</f>
        <v>1588</v>
      </c>
    </row>
    <row r="4454" spans="1:5" x14ac:dyDescent="0.55000000000000004">
      <c r="A4454" t="str">
        <f>TEST_DATA!A4454</f>
        <v>27AAAAA4454Z5</v>
      </c>
      <c r="B4454" t="str">
        <f>TEST_DATA!B4454</f>
        <v>Jun-2018</v>
      </c>
      <c r="C4454">
        <f>TEST_DATA!C4454</f>
        <v>43343</v>
      </c>
      <c r="D4454" t="str">
        <f>TEST_DATA!D4454</f>
        <v>NON-NIL</v>
      </c>
      <c r="E4454">
        <f>TEST_DATA!E4454</f>
        <v>1755</v>
      </c>
    </row>
    <row r="4455" spans="1:5" x14ac:dyDescent="0.55000000000000004">
      <c r="A4455" t="str">
        <f>TEST_DATA!A4455</f>
        <v>27AAAAA4455Z5</v>
      </c>
      <c r="B4455" t="str">
        <f>TEST_DATA!B4455</f>
        <v>Apr-2020</v>
      </c>
      <c r="C4455">
        <f>TEST_DATA!C4455</f>
        <v>44810</v>
      </c>
      <c r="D4455" t="str">
        <f>TEST_DATA!D4455</f>
        <v>NIL</v>
      </c>
      <c r="E4455">
        <f>TEST_DATA!E4455</f>
        <v>2781</v>
      </c>
    </row>
    <row r="4456" spans="1:5" x14ac:dyDescent="0.55000000000000004">
      <c r="A4456" t="str">
        <f>TEST_DATA!A4456</f>
        <v>27AAAAA4456Z5</v>
      </c>
      <c r="B4456" t="str">
        <f>TEST_DATA!B4456</f>
        <v>Jan-2019</v>
      </c>
      <c r="C4456">
        <f>TEST_DATA!C4456</f>
        <v>43595</v>
      </c>
      <c r="D4456" t="str">
        <f>TEST_DATA!D4456</f>
        <v>NON-NIL</v>
      </c>
      <c r="E4456">
        <f>TEST_DATA!E4456</f>
        <v>1309</v>
      </c>
    </row>
    <row r="4457" spans="1:5" x14ac:dyDescent="0.55000000000000004">
      <c r="A4457" t="str">
        <f>TEST_DATA!A4457</f>
        <v>27AAAAA4457Z5</v>
      </c>
      <c r="B4457" t="str">
        <f>TEST_DATA!B4457</f>
        <v>Jun-2018</v>
      </c>
      <c r="C4457">
        <f>TEST_DATA!C4457</f>
        <v>42980</v>
      </c>
      <c r="D4457" t="str">
        <f>TEST_DATA!D4457</f>
        <v>NON-NIL</v>
      </c>
      <c r="E4457">
        <f>TEST_DATA!E4457</f>
        <v>2869</v>
      </c>
    </row>
    <row r="4458" spans="1:5" x14ac:dyDescent="0.55000000000000004">
      <c r="A4458" t="str">
        <f>TEST_DATA!A4458</f>
        <v>27AAAAA4458Z5</v>
      </c>
      <c r="B4458" t="str">
        <f>TEST_DATA!B4458</f>
        <v>Jan-2019</v>
      </c>
      <c r="C4458">
        <f>TEST_DATA!C4458</f>
        <v>45037</v>
      </c>
      <c r="D4458" t="str">
        <f>TEST_DATA!D4458</f>
        <v>NIL</v>
      </c>
      <c r="E4458">
        <f>TEST_DATA!E4458</f>
        <v>1731</v>
      </c>
    </row>
    <row r="4459" spans="1:5" x14ac:dyDescent="0.55000000000000004">
      <c r="A4459" t="str">
        <f>TEST_DATA!A4459</f>
        <v>27AAAAA4459Z5</v>
      </c>
      <c r="B4459" t="str">
        <f>TEST_DATA!B4459</f>
        <v>Jul-2020</v>
      </c>
      <c r="C4459">
        <f>TEST_DATA!C4459</f>
        <v>44549</v>
      </c>
      <c r="D4459" t="str">
        <f>TEST_DATA!D4459</f>
        <v>NON-NIL</v>
      </c>
      <c r="E4459">
        <f>TEST_DATA!E4459</f>
        <v>111</v>
      </c>
    </row>
    <row r="4460" spans="1:5" x14ac:dyDescent="0.55000000000000004">
      <c r="A4460" t="str">
        <f>TEST_DATA!A4460</f>
        <v>27AAAAA4460Z5</v>
      </c>
      <c r="B4460" t="str">
        <f>TEST_DATA!B4460</f>
        <v>Jul-2018</v>
      </c>
      <c r="C4460">
        <f>TEST_DATA!C4460</f>
        <v>42996</v>
      </c>
      <c r="D4460" t="str">
        <f>TEST_DATA!D4460</f>
        <v>NON-NIL</v>
      </c>
      <c r="E4460">
        <f>TEST_DATA!E4460</f>
        <v>355</v>
      </c>
    </row>
    <row r="4461" spans="1:5" x14ac:dyDescent="0.55000000000000004">
      <c r="A4461" t="str">
        <f>TEST_DATA!A4461</f>
        <v>27AAAAA4461Z5</v>
      </c>
      <c r="B4461" t="str">
        <f>TEST_DATA!B4461</f>
        <v>Jan-2019</v>
      </c>
      <c r="C4461">
        <f>TEST_DATA!C4461</f>
        <v>44498</v>
      </c>
      <c r="D4461" t="str">
        <f>TEST_DATA!D4461</f>
        <v>NIL</v>
      </c>
      <c r="E4461">
        <f>TEST_DATA!E4461</f>
        <v>339</v>
      </c>
    </row>
    <row r="4462" spans="1:5" x14ac:dyDescent="0.55000000000000004">
      <c r="A4462" t="str">
        <f>TEST_DATA!A4462</f>
        <v>27AAAAA4462Z5</v>
      </c>
      <c r="B4462" t="str">
        <f>TEST_DATA!B4462</f>
        <v>Feb-2018</v>
      </c>
      <c r="C4462">
        <f>TEST_DATA!C4462</f>
        <v>44400</v>
      </c>
      <c r="D4462" t="str">
        <f>TEST_DATA!D4462</f>
        <v>NIL</v>
      </c>
      <c r="E4462">
        <f>TEST_DATA!E4462</f>
        <v>1862</v>
      </c>
    </row>
    <row r="4463" spans="1:5" x14ac:dyDescent="0.55000000000000004">
      <c r="A4463" t="str">
        <f>TEST_DATA!A4463</f>
        <v>27AAAAA4463Z5</v>
      </c>
      <c r="B4463" t="str">
        <f>TEST_DATA!B4463</f>
        <v>Jul-2018</v>
      </c>
      <c r="C4463">
        <f>TEST_DATA!C4463</f>
        <v>44451</v>
      </c>
      <c r="D4463" t="str">
        <f>TEST_DATA!D4463</f>
        <v>NON-NIL</v>
      </c>
      <c r="E4463">
        <f>TEST_DATA!E4463</f>
        <v>988</v>
      </c>
    </row>
    <row r="4464" spans="1:5" x14ac:dyDescent="0.55000000000000004">
      <c r="A4464" t="str">
        <f>TEST_DATA!A4464</f>
        <v>27AAAAA4464Z5</v>
      </c>
      <c r="B4464" t="str">
        <f>TEST_DATA!B4464</f>
        <v>Apr-2020</v>
      </c>
      <c r="C4464">
        <f>TEST_DATA!C4464</f>
        <v>44792</v>
      </c>
      <c r="D4464" t="str">
        <f>TEST_DATA!D4464</f>
        <v>NIL</v>
      </c>
      <c r="E4464">
        <f>TEST_DATA!E4464</f>
        <v>1322</v>
      </c>
    </row>
    <row r="4465" spans="1:5" x14ac:dyDescent="0.55000000000000004">
      <c r="A4465" t="str">
        <f>TEST_DATA!A4465</f>
        <v>27AAAAA4465Z5</v>
      </c>
      <c r="B4465" t="str">
        <f>TEST_DATA!B4465</f>
        <v>Apr-2018</v>
      </c>
      <c r="C4465">
        <f>TEST_DATA!C4465</f>
        <v>44048</v>
      </c>
      <c r="D4465" t="str">
        <f>TEST_DATA!D4465</f>
        <v>NON-NIL</v>
      </c>
      <c r="E4465">
        <f>TEST_DATA!E4465</f>
        <v>887</v>
      </c>
    </row>
    <row r="4466" spans="1:5" x14ac:dyDescent="0.55000000000000004">
      <c r="A4466" t="str">
        <f>TEST_DATA!A4466</f>
        <v>27AAAAA4466Z5</v>
      </c>
      <c r="B4466" t="str">
        <f>TEST_DATA!B4466</f>
        <v>Apr-2020</v>
      </c>
      <c r="C4466">
        <f>TEST_DATA!C4466</f>
        <v>44671</v>
      </c>
      <c r="D4466" t="str">
        <f>TEST_DATA!D4466</f>
        <v>NIL</v>
      </c>
      <c r="E4466">
        <f>TEST_DATA!E4466</f>
        <v>42</v>
      </c>
    </row>
    <row r="4467" spans="1:5" x14ac:dyDescent="0.55000000000000004">
      <c r="A4467" t="str">
        <f>TEST_DATA!A4467</f>
        <v>27AAAAA4467Z5</v>
      </c>
      <c r="B4467" t="str">
        <f>TEST_DATA!B4467</f>
        <v>Jun-2020</v>
      </c>
      <c r="C4467">
        <f>TEST_DATA!C4467</f>
        <v>44093</v>
      </c>
      <c r="D4467" t="str">
        <f>TEST_DATA!D4467</f>
        <v>NIL</v>
      </c>
      <c r="E4467">
        <f>TEST_DATA!E4467</f>
        <v>2073</v>
      </c>
    </row>
    <row r="4468" spans="1:5" x14ac:dyDescent="0.55000000000000004">
      <c r="A4468" t="str">
        <f>TEST_DATA!A4468</f>
        <v>27AAAAA4468Z5</v>
      </c>
      <c r="B4468" t="str">
        <f>TEST_DATA!B4468</f>
        <v>Sep-2018</v>
      </c>
      <c r="C4468">
        <f>TEST_DATA!C4468</f>
        <v>43058</v>
      </c>
      <c r="D4468" t="str">
        <f>TEST_DATA!D4468</f>
        <v>NIL</v>
      </c>
      <c r="E4468">
        <f>TEST_DATA!E4468</f>
        <v>1897</v>
      </c>
    </row>
    <row r="4469" spans="1:5" x14ac:dyDescent="0.55000000000000004">
      <c r="A4469" t="str">
        <f>TEST_DATA!A4469</f>
        <v>27AAAAA4469Z5</v>
      </c>
      <c r="B4469" t="str">
        <f>TEST_DATA!B4469</f>
        <v>Mar-2018</v>
      </c>
      <c r="C4469">
        <f>TEST_DATA!C4469</f>
        <v>44344</v>
      </c>
      <c r="D4469" t="str">
        <f>TEST_DATA!D4469</f>
        <v>NON-NIL</v>
      </c>
      <c r="E4469">
        <f>TEST_DATA!E4469</f>
        <v>2194</v>
      </c>
    </row>
    <row r="4470" spans="1:5" x14ac:dyDescent="0.55000000000000004">
      <c r="A4470" t="str">
        <f>TEST_DATA!A4470</f>
        <v>27AAAAA4470Z5</v>
      </c>
      <c r="B4470" t="str">
        <f>TEST_DATA!B4470</f>
        <v>May-2020</v>
      </c>
      <c r="C4470">
        <f>TEST_DATA!C4470</f>
        <v>43930</v>
      </c>
      <c r="D4470" t="str">
        <f>TEST_DATA!D4470</f>
        <v>NON-NIL</v>
      </c>
      <c r="E4470">
        <f>TEST_DATA!E4470</f>
        <v>2398</v>
      </c>
    </row>
    <row r="4471" spans="1:5" x14ac:dyDescent="0.55000000000000004">
      <c r="A4471" t="str">
        <f>TEST_DATA!A4471</f>
        <v>27AAAAA4471Z5</v>
      </c>
      <c r="B4471" t="str">
        <f>TEST_DATA!B4471</f>
        <v>Oct-2017</v>
      </c>
      <c r="C4471">
        <f>TEST_DATA!C4471</f>
        <v>44346</v>
      </c>
      <c r="D4471" t="str">
        <f>TEST_DATA!D4471</f>
        <v>NON-NIL</v>
      </c>
      <c r="E4471">
        <f>TEST_DATA!E4471</f>
        <v>712</v>
      </c>
    </row>
    <row r="4472" spans="1:5" x14ac:dyDescent="0.55000000000000004">
      <c r="A4472" t="str">
        <f>TEST_DATA!A4472</f>
        <v>27AAAAA4472Z5</v>
      </c>
      <c r="B4472" t="str">
        <f>TEST_DATA!B4472</f>
        <v>Dec-2024</v>
      </c>
      <c r="C4472">
        <f>TEST_DATA!C4472</f>
        <v>45316</v>
      </c>
      <c r="D4472" t="str">
        <f>TEST_DATA!D4472</f>
        <v>NON-NIL</v>
      </c>
      <c r="E4472">
        <f>TEST_DATA!E4472</f>
        <v>666</v>
      </c>
    </row>
    <row r="4473" spans="1:5" x14ac:dyDescent="0.55000000000000004">
      <c r="A4473" t="str">
        <f>TEST_DATA!A4473</f>
        <v>27AAAAA4473Z5</v>
      </c>
      <c r="B4473" t="str">
        <f>TEST_DATA!B4473</f>
        <v>Aug-2017</v>
      </c>
      <c r="C4473">
        <f>TEST_DATA!C4473</f>
        <v>43511</v>
      </c>
      <c r="D4473" t="str">
        <f>TEST_DATA!D4473</f>
        <v>NON-NIL</v>
      </c>
      <c r="E4473">
        <f>TEST_DATA!E4473</f>
        <v>1747</v>
      </c>
    </row>
    <row r="4474" spans="1:5" x14ac:dyDescent="0.55000000000000004">
      <c r="A4474" t="str">
        <f>TEST_DATA!A4474</f>
        <v>27AAAAA4474Z5</v>
      </c>
      <c r="B4474" t="str">
        <f>TEST_DATA!B4474</f>
        <v>Oct-2017</v>
      </c>
      <c r="C4474">
        <f>TEST_DATA!C4474</f>
        <v>44323</v>
      </c>
      <c r="D4474" t="str">
        <f>TEST_DATA!D4474</f>
        <v>NIL</v>
      </c>
      <c r="E4474">
        <f>TEST_DATA!E4474</f>
        <v>314</v>
      </c>
    </row>
    <row r="4475" spans="1:5" x14ac:dyDescent="0.55000000000000004">
      <c r="A4475" t="str">
        <f>TEST_DATA!A4475</f>
        <v>27AAAAA4475Z5</v>
      </c>
      <c r="B4475" t="str">
        <f>TEST_DATA!B4475</f>
        <v>Jan-2018</v>
      </c>
      <c r="C4475">
        <f>TEST_DATA!C4475</f>
        <v>43904</v>
      </c>
      <c r="D4475" t="str">
        <f>TEST_DATA!D4475</f>
        <v>NON-NIL</v>
      </c>
      <c r="E4475">
        <f>TEST_DATA!E4475</f>
        <v>1020</v>
      </c>
    </row>
    <row r="4476" spans="1:5" x14ac:dyDescent="0.55000000000000004">
      <c r="A4476" t="str">
        <f>TEST_DATA!A4476</f>
        <v>27AAAAA4476Z5</v>
      </c>
      <c r="B4476" t="str">
        <f>TEST_DATA!B4476</f>
        <v>Jul-2017</v>
      </c>
      <c r="C4476">
        <f>TEST_DATA!C4476</f>
        <v>43710</v>
      </c>
      <c r="D4476" t="str">
        <f>TEST_DATA!D4476</f>
        <v>NIL</v>
      </c>
      <c r="E4476">
        <f>TEST_DATA!E4476</f>
        <v>1543</v>
      </c>
    </row>
    <row r="4477" spans="1:5" x14ac:dyDescent="0.55000000000000004">
      <c r="A4477" t="str">
        <f>TEST_DATA!A4477</f>
        <v>27AAAAA4477Z5</v>
      </c>
      <c r="B4477" t="str">
        <f>TEST_DATA!B4477</f>
        <v>Aug-2017</v>
      </c>
      <c r="C4477">
        <f>TEST_DATA!C4477</f>
        <v>43536</v>
      </c>
      <c r="D4477" t="str">
        <f>TEST_DATA!D4477</f>
        <v>NIL</v>
      </c>
      <c r="E4477">
        <f>TEST_DATA!E4477</f>
        <v>915</v>
      </c>
    </row>
    <row r="4478" spans="1:5" x14ac:dyDescent="0.55000000000000004">
      <c r="A4478" t="str">
        <f>TEST_DATA!A4478</f>
        <v>27AAAAA4478Z5</v>
      </c>
      <c r="B4478" t="str">
        <f>TEST_DATA!B4478</f>
        <v>May-2018</v>
      </c>
      <c r="C4478">
        <f>TEST_DATA!C4478</f>
        <v>44315</v>
      </c>
      <c r="D4478" t="str">
        <f>TEST_DATA!D4478</f>
        <v>NON-NIL</v>
      </c>
      <c r="E4478">
        <f>TEST_DATA!E4478</f>
        <v>936</v>
      </c>
    </row>
    <row r="4479" spans="1:5" x14ac:dyDescent="0.55000000000000004">
      <c r="A4479" t="str">
        <f>TEST_DATA!A4479</f>
        <v>27AAAAA4479Z5</v>
      </c>
      <c r="B4479" t="str">
        <f>TEST_DATA!B4479</f>
        <v>Jul-2020</v>
      </c>
      <c r="C4479">
        <f>TEST_DATA!C4479</f>
        <v>44741</v>
      </c>
      <c r="D4479" t="str">
        <f>TEST_DATA!D4479</f>
        <v>NIL</v>
      </c>
      <c r="E4479">
        <f>TEST_DATA!E4479</f>
        <v>415</v>
      </c>
    </row>
    <row r="4480" spans="1:5" x14ac:dyDescent="0.55000000000000004">
      <c r="A4480" t="str">
        <f>TEST_DATA!A4480</f>
        <v>27AAAAA4480Z5</v>
      </c>
      <c r="B4480" t="str">
        <f>TEST_DATA!B4480</f>
        <v>Dec-2017</v>
      </c>
      <c r="C4480">
        <f>TEST_DATA!C4480</f>
        <v>43202</v>
      </c>
      <c r="D4480" t="str">
        <f>TEST_DATA!D4480</f>
        <v>NIL</v>
      </c>
      <c r="E4480">
        <f>TEST_DATA!E4480</f>
        <v>2478</v>
      </c>
    </row>
    <row r="4481" spans="1:5" x14ac:dyDescent="0.55000000000000004">
      <c r="A4481" t="str">
        <f>TEST_DATA!A4481</f>
        <v>27AAAAA4481Z5</v>
      </c>
      <c r="B4481" t="str">
        <f>TEST_DATA!B4481</f>
        <v>Mar-2020</v>
      </c>
      <c r="C4481">
        <f>TEST_DATA!C4481</f>
        <v>43879</v>
      </c>
      <c r="D4481" t="str">
        <f>TEST_DATA!D4481</f>
        <v>NON-NIL</v>
      </c>
      <c r="E4481">
        <f>TEST_DATA!E4481</f>
        <v>2032</v>
      </c>
    </row>
    <row r="4482" spans="1:5" x14ac:dyDescent="0.55000000000000004">
      <c r="A4482" t="str">
        <f>TEST_DATA!A4482</f>
        <v>27AAAAA4482Z5</v>
      </c>
      <c r="B4482" t="str">
        <f>TEST_DATA!B4482</f>
        <v>Jun-2018</v>
      </c>
      <c r="C4482">
        <f>TEST_DATA!C4482</f>
        <v>44543</v>
      </c>
      <c r="D4482" t="str">
        <f>TEST_DATA!D4482</f>
        <v>NON-NIL</v>
      </c>
      <c r="E4482">
        <f>TEST_DATA!E4482</f>
        <v>84</v>
      </c>
    </row>
    <row r="4483" spans="1:5" x14ac:dyDescent="0.55000000000000004">
      <c r="A4483" t="str">
        <f>TEST_DATA!A4483</f>
        <v>27AAAAA4483Z5</v>
      </c>
      <c r="B4483" t="str">
        <f>TEST_DATA!B4483</f>
        <v>Jul-2020</v>
      </c>
      <c r="C4483">
        <f>TEST_DATA!C4483</f>
        <v>44906</v>
      </c>
      <c r="D4483" t="str">
        <f>TEST_DATA!D4483</f>
        <v>NON-NIL</v>
      </c>
      <c r="E4483">
        <f>TEST_DATA!E4483</f>
        <v>2600</v>
      </c>
    </row>
    <row r="4484" spans="1:5" x14ac:dyDescent="0.55000000000000004">
      <c r="A4484" t="str">
        <f>TEST_DATA!A4484</f>
        <v>27AAAAA4484Z5</v>
      </c>
      <c r="B4484" t="str">
        <f>TEST_DATA!B4484</f>
        <v>Dec-2019</v>
      </c>
      <c r="C4484">
        <f>TEST_DATA!C4484</f>
        <v>43901</v>
      </c>
      <c r="D4484" t="str">
        <f>TEST_DATA!D4484</f>
        <v>NON-NIL</v>
      </c>
      <c r="E4484">
        <f>TEST_DATA!E4484</f>
        <v>1940</v>
      </c>
    </row>
    <row r="4485" spans="1:5" x14ac:dyDescent="0.55000000000000004">
      <c r="A4485" t="str">
        <f>TEST_DATA!A4485</f>
        <v>27AAAAA4485Z5</v>
      </c>
      <c r="B4485" t="str">
        <f>TEST_DATA!B4485</f>
        <v>Aug-2017</v>
      </c>
      <c r="C4485">
        <f>TEST_DATA!C4485</f>
        <v>43488</v>
      </c>
      <c r="D4485" t="str">
        <f>TEST_DATA!D4485</f>
        <v>NON-NIL</v>
      </c>
      <c r="E4485">
        <f>TEST_DATA!E4485</f>
        <v>2282</v>
      </c>
    </row>
    <row r="4486" spans="1:5" x14ac:dyDescent="0.55000000000000004">
      <c r="A4486" t="str">
        <f>TEST_DATA!A4486</f>
        <v>27AAAAA4486Z5</v>
      </c>
      <c r="B4486" t="str">
        <f>TEST_DATA!B4486</f>
        <v>Jul-2020</v>
      </c>
      <c r="C4486">
        <f>TEST_DATA!C4486</f>
        <v>44695</v>
      </c>
      <c r="D4486" t="str">
        <f>TEST_DATA!D4486</f>
        <v>NIL</v>
      </c>
      <c r="E4486">
        <f>TEST_DATA!E4486</f>
        <v>266</v>
      </c>
    </row>
    <row r="4487" spans="1:5" x14ac:dyDescent="0.55000000000000004">
      <c r="A4487" t="str">
        <f>TEST_DATA!A4487</f>
        <v>27AAAAA4487Z5</v>
      </c>
      <c r="B4487" t="str">
        <f>TEST_DATA!B4487</f>
        <v>Sep-2017</v>
      </c>
      <c r="C4487">
        <f>TEST_DATA!C4487</f>
        <v>43455</v>
      </c>
      <c r="D4487" t="str">
        <f>TEST_DATA!D4487</f>
        <v>NON-NIL</v>
      </c>
      <c r="E4487">
        <f>TEST_DATA!E4487</f>
        <v>1944</v>
      </c>
    </row>
    <row r="4488" spans="1:5" x14ac:dyDescent="0.55000000000000004">
      <c r="A4488" t="str">
        <f>TEST_DATA!A4488</f>
        <v>27AAAAA4488Z5</v>
      </c>
      <c r="B4488" t="str">
        <f>TEST_DATA!B4488</f>
        <v>Jul-2018</v>
      </c>
      <c r="C4488">
        <f>TEST_DATA!C4488</f>
        <v>43955</v>
      </c>
      <c r="D4488" t="str">
        <f>TEST_DATA!D4488</f>
        <v>NIL</v>
      </c>
      <c r="E4488">
        <f>TEST_DATA!E4488</f>
        <v>563</v>
      </c>
    </row>
    <row r="4489" spans="1:5" x14ac:dyDescent="0.55000000000000004">
      <c r="A4489" t="str">
        <f>TEST_DATA!A4489</f>
        <v>27AAAAA4489Z5</v>
      </c>
      <c r="B4489" t="str">
        <f>TEST_DATA!B4489</f>
        <v>Oct-2017</v>
      </c>
      <c r="C4489">
        <f>TEST_DATA!C4489</f>
        <v>42966</v>
      </c>
      <c r="D4489" t="str">
        <f>TEST_DATA!D4489</f>
        <v>NIL</v>
      </c>
      <c r="E4489">
        <f>TEST_DATA!E4489</f>
        <v>353</v>
      </c>
    </row>
    <row r="4490" spans="1:5" x14ac:dyDescent="0.55000000000000004">
      <c r="A4490" t="str">
        <f>TEST_DATA!A4490</f>
        <v>27AAAAA4490Z5</v>
      </c>
      <c r="B4490" t="str">
        <f>TEST_DATA!B4490</f>
        <v>Mar-2020</v>
      </c>
      <c r="C4490">
        <f>TEST_DATA!C4490</f>
        <v>44213</v>
      </c>
      <c r="D4490" t="str">
        <f>TEST_DATA!D4490</f>
        <v>NIL</v>
      </c>
      <c r="E4490">
        <f>TEST_DATA!E4490</f>
        <v>1827</v>
      </c>
    </row>
    <row r="4491" spans="1:5" x14ac:dyDescent="0.55000000000000004">
      <c r="A4491" t="str">
        <f>TEST_DATA!A4491</f>
        <v>27AAAAA4491Z5</v>
      </c>
      <c r="B4491" t="str">
        <f>TEST_DATA!B4491</f>
        <v>Jun-2020</v>
      </c>
      <c r="C4491">
        <f>TEST_DATA!C4491</f>
        <v>44595</v>
      </c>
      <c r="D4491" t="str">
        <f>TEST_DATA!D4491</f>
        <v>NON-NIL</v>
      </c>
      <c r="E4491">
        <f>TEST_DATA!E4491</f>
        <v>1957</v>
      </c>
    </row>
    <row r="4492" spans="1:5" x14ac:dyDescent="0.55000000000000004">
      <c r="A4492" t="str">
        <f>TEST_DATA!A4492</f>
        <v>27AAAAA4492Z5</v>
      </c>
      <c r="B4492" t="str">
        <f>TEST_DATA!B4492</f>
        <v>Sep-2017</v>
      </c>
      <c r="C4492">
        <f>TEST_DATA!C4492</f>
        <v>44534</v>
      </c>
      <c r="D4492" t="str">
        <f>TEST_DATA!D4492</f>
        <v>NIL</v>
      </c>
      <c r="E4492">
        <f>TEST_DATA!E4492</f>
        <v>2384</v>
      </c>
    </row>
    <row r="4493" spans="1:5" x14ac:dyDescent="0.55000000000000004">
      <c r="A4493" t="str">
        <f>TEST_DATA!A4493</f>
        <v>27AAAAA4493Z5</v>
      </c>
      <c r="B4493" t="str">
        <f>TEST_DATA!B4493</f>
        <v>Aug-2018</v>
      </c>
      <c r="C4493">
        <f>TEST_DATA!C4493</f>
        <v>43154</v>
      </c>
      <c r="D4493" t="str">
        <f>TEST_DATA!D4493</f>
        <v>NIL</v>
      </c>
      <c r="E4493">
        <f>TEST_DATA!E4493</f>
        <v>951</v>
      </c>
    </row>
    <row r="4494" spans="1:5" x14ac:dyDescent="0.55000000000000004">
      <c r="A4494" t="str">
        <f>TEST_DATA!A4494</f>
        <v>27AAAAA4494Z5</v>
      </c>
      <c r="B4494" t="str">
        <f>TEST_DATA!B4494</f>
        <v>Jan-2018</v>
      </c>
      <c r="C4494">
        <f>TEST_DATA!C4494</f>
        <v>43218</v>
      </c>
      <c r="D4494" t="str">
        <f>TEST_DATA!D4494</f>
        <v>NON-NIL</v>
      </c>
      <c r="E4494">
        <f>TEST_DATA!E4494</f>
        <v>545</v>
      </c>
    </row>
    <row r="4495" spans="1:5" x14ac:dyDescent="0.55000000000000004">
      <c r="A4495" t="str">
        <f>TEST_DATA!A4495</f>
        <v>27AAAAA4495Z5</v>
      </c>
      <c r="B4495" t="str">
        <f>TEST_DATA!B4495</f>
        <v>Jan-2021</v>
      </c>
      <c r="C4495">
        <f>TEST_DATA!C4495</f>
        <v>45066</v>
      </c>
      <c r="D4495" t="str">
        <f>TEST_DATA!D4495</f>
        <v>NIL</v>
      </c>
      <c r="E4495">
        <f>TEST_DATA!E4495</f>
        <v>1523</v>
      </c>
    </row>
    <row r="4496" spans="1:5" x14ac:dyDescent="0.55000000000000004">
      <c r="A4496" t="str">
        <f>TEST_DATA!A4496</f>
        <v>27AAAAA4496Z5</v>
      </c>
      <c r="B4496" t="str">
        <f>TEST_DATA!B4496</f>
        <v>Aug-2017</v>
      </c>
      <c r="C4496">
        <f>TEST_DATA!C4496</f>
        <v>43961</v>
      </c>
      <c r="D4496" t="str">
        <f>TEST_DATA!D4496</f>
        <v>NIL</v>
      </c>
      <c r="E4496">
        <f>TEST_DATA!E4496</f>
        <v>461</v>
      </c>
    </row>
    <row r="4497" spans="1:5" x14ac:dyDescent="0.55000000000000004">
      <c r="A4497" t="str">
        <f>TEST_DATA!A4497</f>
        <v>27AAAAA4497Z5</v>
      </c>
      <c r="B4497" t="str">
        <f>TEST_DATA!B4497</f>
        <v>Jun-2019</v>
      </c>
      <c r="C4497">
        <f>TEST_DATA!C4497</f>
        <v>44555</v>
      </c>
      <c r="D4497" t="str">
        <f>TEST_DATA!D4497</f>
        <v>NIL</v>
      </c>
      <c r="E4497">
        <f>TEST_DATA!E4497</f>
        <v>1242</v>
      </c>
    </row>
    <row r="4498" spans="1:5" x14ac:dyDescent="0.55000000000000004">
      <c r="A4498" t="str">
        <f>TEST_DATA!A4498</f>
        <v>27AAAAA4498Z5</v>
      </c>
      <c r="B4498" t="str">
        <f>TEST_DATA!B4498</f>
        <v>Dec-2024</v>
      </c>
      <c r="C4498">
        <f>TEST_DATA!C4498</f>
        <v>44027</v>
      </c>
      <c r="D4498" t="str">
        <f>TEST_DATA!D4498</f>
        <v>NON-NIL</v>
      </c>
      <c r="E4498">
        <f>TEST_DATA!E4498</f>
        <v>998</v>
      </c>
    </row>
    <row r="4499" spans="1:5" x14ac:dyDescent="0.55000000000000004">
      <c r="A4499" t="str">
        <f>TEST_DATA!A4499</f>
        <v>27AAAAA4499Z5</v>
      </c>
      <c r="B4499" t="str">
        <f>TEST_DATA!B4499</f>
        <v>Mar-2023</v>
      </c>
      <c r="C4499">
        <f>TEST_DATA!C4499</f>
        <v>45433</v>
      </c>
      <c r="D4499" t="str">
        <f>TEST_DATA!D4499</f>
        <v>NIL</v>
      </c>
      <c r="E4499">
        <f>TEST_DATA!E4499</f>
        <v>772</v>
      </c>
    </row>
    <row r="4500" spans="1:5" x14ac:dyDescent="0.55000000000000004">
      <c r="A4500" t="str">
        <f>TEST_DATA!A4500</f>
        <v>27AAAAA4500Z5</v>
      </c>
      <c r="B4500" t="str">
        <f>TEST_DATA!B4500</f>
        <v>Jun-2020</v>
      </c>
      <c r="C4500">
        <f>TEST_DATA!C4500</f>
        <v>44803</v>
      </c>
      <c r="D4500" t="str">
        <f>TEST_DATA!D4500</f>
        <v>NON-NIL</v>
      </c>
      <c r="E4500">
        <f>TEST_DATA!E4500</f>
        <v>1960</v>
      </c>
    </row>
    <row r="4501" spans="1:5" x14ac:dyDescent="0.55000000000000004">
      <c r="A4501" t="str">
        <f>TEST_DATA!A4501</f>
        <v>27AAAAA4501Z5</v>
      </c>
      <c r="B4501" t="str">
        <f>TEST_DATA!B4501</f>
        <v>Jan-2018</v>
      </c>
      <c r="C4501">
        <f>TEST_DATA!C4501</f>
        <v>43119</v>
      </c>
      <c r="D4501" t="str">
        <f>TEST_DATA!D4501</f>
        <v>NIL</v>
      </c>
      <c r="E4501">
        <f>TEST_DATA!E4501</f>
        <v>1588</v>
      </c>
    </row>
    <row r="4502" spans="1:5" x14ac:dyDescent="0.55000000000000004">
      <c r="A4502" t="str">
        <f>TEST_DATA!A4502</f>
        <v>27AAAAA4502Z5</v>
      </c>
      <c r="B4502" t="str">
        <f>TEST_DATA!B4502</f>
        <v>Dec-2019</v>
      </c>
      <c r="C4502">
        <f>TEST_DATA!C4502</f>
        <v>45683</v>
      </c>
      <c r="D4502" t="str">
        <f>TEST_DATA!D4502</f>
        <v>NIL</v>
      </c>
      <c r="E4502">
        <f>TEST_DATA!E4502</f>
        <v>598</v>
      </c>
    </row>
    <row r="4503" spans="1:5" x14ac:dyDescent="0.55000000000000004">
      <c r="A4503" t="str">
        <f>TEST_DATA!A4503</f>
        <v>27AAAAA4503Z5</v>
      </c>
      <c r="B4503" t="str">
        <f>TEST_DATA!B4503</f>
        <v>Jun-2020</v>
      </c>
      <c r="C4503">
        <f>TEST_DATA!C4503</f>
        <v>44091</v>
      </c>
      <c r="D4503" t="str">
        <f>TEST_DATA!D4503</f>
        <v>NIL</v>
      </c>
      <c r="E4503">
        <f>TEST_DATA!E4503</f>
        <v>278</v>
      </c>
    </row>
    <row r="4504" spans="1:5" x14ac:dyDescent="0.55000000000000004">
      <c r="A4504" t="str">
        <f>TEST_DATA!A4504</f>
        <v>27AAAAA4504Z5</v>
      </c>
      <c r="B4504" t="str">
        <f>TEST_DATA!B4504</f>
        <v>Jan-2019</v>
      </c>
      <c r="C4504">
        <f>TEST_DATA!C4504</f>
        <v>45568</v>
      </c>
      <c r="D4504" t="str">
        <f>TEST_DATA!D4504</f>
        <v>NIL</v>
      </c>
      <c r="E4504">
        <f>TEST_DATA!E4504</f>
        <v>2318</v>
      </c>
    </row>
    <row r="4505" spans="1:5" x14ac:dyDescent="0.55000000000000004">
      <c r="A4505" t="str">
        <f>TEST_DATA!A4505</f>
        <v>27AAAAA4505Z5</v>
      </c>
      <c r="B4505" t="str">
        <f>TEST_DATA!B4505</f>
        <v>Dec-2017</v>
      </c>
      <c r="C4505">
        <f>TEST_DATA!C4505</f>
        <v>43422</v>
      </c>
      <c r="D4505" t="str">
        <f>TEST_DATA!D4505</f>
        <v>NON-NIL</v>
      </c>
      <c r="E4505">
        <f>TEST_DATA!E4505</f>
        <v>2562</v>
      </c>
    </row>
    <row r="4506" spans="1:5" x14ac:dyDescent="0.55000000000000004">
      <c r="A4506" t="str">
        <f>TEST_DATA!A4506</f>
        <v>27AAAAA4506Z5</v>
      </c>
      <c r="B4506" t="str">
        <f>TEST_DATA!B4506</f>
        <v>Jun-2018</v>
      </c>
      <c r="C4506">
        <f>TEST_DATA!C4506</f>
        <v>43378</v>
      </c>
      <c r="D4506" t="str">
        <f>TEST_DATA!D4506</f>
        <v>NON-NIL</v>
      </c>
      <c r="E4506">
        <f>TEST_DATA!E4506</f>
        <v>1664</v>
      </c>
    </row>
    <row r="4507" spans="1:5" x14ac:dyDescent="0.55000000000000004">
      <c r="A4507" t="str">
        <f>TEST_DATA!A4507</f>
        <v>27AAAAA4507Z5</v>
      </c>
      <c r="B4507" t="str">
        <f>TEST_DATA!B4507</f>
        <v>Aug-2017</v>
      </c>
      <c r="C4507">
        <f>TEST_DATA!C4507</f>
        <v>44457</v>
      </c>
      <c r="D4507" t="str">
        <f>TEST_DATA!D4507</f>
        <v>NON-NIL</v>
      </c>
      <c r="E4507">
        <f>TEST_DATA!E4507</f>
        <v>175</v>
      </c>
    </row>
    <row r="4508" spans="1:5" x14ac:dyDescent="0.55000000000000004">
      <c r="A4508" t="str">
        <f>TEST_DATA!A4508</f>
        <v>27AAAAA4508Z5</v>
      </c>
      <c r="B4508" t="str">
        <f>TEST_DATA!B4508</f>
        <v>Mar-2023</v>
      </c>
      <c r="C4508">
        <f>TEST_DATA!C4508</f>
        <v>44778</v>
      </c>
      <c r="D4508" t="str">
        <f>TEST_DATA!D4508</f>
        <v>NON-NIL</v>
      </c>
      <c r="E4508">
        <f>TEST_DATA!E4508</f>
        <v>113</v>
      </c>
    </row>
    <row r="4509" spans="1:5" x14ac:dyDescent="0.55000000000000004">
      <c r="A4509" t="str">
        <f>TEST_DATA!A4509</f>
        <v>27AAAAA4509Z5</v>
      </c>
      <c r="B4509" t="str">
        <f>TEST_DATA!B4509</f>
        <v>Jan-2018</v>
      </c>
      <c r="C4509">
        <f>TEST_DATA!C4509</f>
        <v>44292</v>
      </c>
      <c r="D4509" t="str">
        <f>TEST_DATA!D4509</f>
        <v>NON-NIL</v>
      </c>
      <c r="E4509">
        <f>TEST_DATA!E4509</f>
        <v>1600</v>
      </c>
    </row>
    <row r="4510" spans="1:5" x14ac:dyDescent="0.55000000000000004">
      <c r="A4510" t="str">
        <f>TEST_DATA!A4510</f>
        <v>27AAAAA4510Z5</v>
      </c>
      <c r="B4510" t="str">
        <f>TEST_DATA!B4510</f>
        <v>Sep-2018</v>
      </c>
      <c r="C4510">
        <f>TEST_DATA!C4510</f>
        <v>44158</v>
      </c>
      <c r="D4510" t="str">
        <f>TEST_DATA!D4510</f>
        <v>NIL</v>
      </c>
      <c r="E4510">
        <f>TEST_DATA!E4510</f>
        <v>521</v>
      </c>
    </row>
    <row r="4511" spans="1:5" x14ac:dyDescent="0.55000000000000004">
      <c r="A4511" t="str">
        <f>TEST_DATA!A4511</f>
        <v>27AAAAA4511Z5</v>
      </c>
      <c r="B4511" t="str">
        <f>TEST_DATA!B4511</f>
        <v>Jan-2019</v>
      </c>
      <c r="C4511">
        <f>TEST_DATA!C4511</f>
        <v>45553</v>
      </c>
      <c r="D4511" t="str">
        <f>TEST_DATA!D4511</f>
        <v>NON-NIL</v>
      </c>
      <c r="E4511">
        <f>TEST_DATA!E4511</f>
        <v>2646</v>
      </c>
    </row>
    <row r="4512" spans="1:5" x14ac:dyDescent="0.55000000000000004">
      <c r="A4512" t="str">
        <f>TEST_DATA!A4512</f>
        <v>27AAAAA4512Z5</v>
      </c>
      <c r="B4512" t="str">
        <f>TEST_DATA!B4512</f>
        <v>Mar-2023</v>
      </c>
      <c r="C4512">
        <f>TEST_DATA!C4512</f>
        <v>44110</v>
      </c>
      <c r="D4512" t="str">
        <f>TEST_DATA!D4512</f>
        <v>NIL</v>
      </c>
      <c r="E4512">
        <f>TEST_DATA!E4512</f>
        <v>2453</v>
      </c>
    </row>
    <row r="4513" spans="1:5" x14ac:dyDescent="0.55000000000000004">
      <c r="A4513" t="str">
        <f>TEST_DATA!A4513</f>
        <v>27AAAAA4513Z5</v>
      </c>
      <c r="B4513" t="str">
        <f>TEST_DATA!B4513</f>
        <v>Jun-2019</v>
      </c>
      <c r="C4513">
        <f>TEST_DATA!C4513</f>
        <v>44644</v>
      </c>
      <c r="D4513" t="str">
        <f>TEST_DATA!D4513</f>
        <v>NON-NIL</v>
      </c>
      <c r="E4513">
        <f>TEST_DATA!E4513</f>
        <v>307</v>
      </c>
    </row>
    <row r="4514" spans="1:5" x14ac:dyDescent="0.55000000000000004">
      <c r="A4514" t="str">
        <f>TEST_DATA!A4514</f>
        <v>27AAAAA4514Z5</v>
      </c>
      <c r="B4514" t="str">
        <f>TEST_DATA!B4514</f>
        <v>Aug-2018</v>
      </c>
      <c r="C4514">
        <f>TEST_DATA!C4514</f>
        <v>44145</v>
      </c>
      <c r="D4514" t="str">
        <f>TEST_DATA!D4514</f>
        <v>NIL</v>
      </c>
      <c r="E4514">
        <f>TEST_DATA!E4514</f>
        <v>1709</v>
      </c>
    </row>
    <row r="4515" spans="1:5" x14ac:dyDescent="0.55000000000000004">
      <c r="A4515" t="str">
        <f>TEST_DATA!A4515</f>
        <v>27AAAAA4515Z5</v>
      </c>
      <c r="B4515" t="str">
        <f>TEST_DATA!B4515</f>
        <v>Sep-2017</v>
      </c>
      <c r="C4515">
        <f>TEST_DATA!C4515</f>
        <v>44067</v>
      </c>
      <c r="D4515" t="str">
        <f>TEST_DATA!D4515</f>
        <v>NIL</v>
      </c>
      <c r="E4515">
        <f>TEST_DATA!E4515</f>
        <v>2885</v>
      </c>
    </row>
    <row r="4516" spans="1:5" x14ac:dyDescent="0.55000000000000004">
      <c r="A4516" t="str">
        <f>TEST_DATA!A4516</f>
        <v>27AAAAA4516Z5</v>
      </c>
      <c r="B4516" t="str">
        <f>TEST_DATA!B4516</f>
        <v>Dec-2024</v>
      </c>
      <c r="C4516">
        <f>TEST_DATA!C4516</f>
        <v>44062</v>
      </c>
      <c r="D4516" t="str">
        <f>TEST_DATA!D4516</f>
        <v>NIL</v>
      </c>
      <c r="E4516">
        <f>TEST_DATA!E4516</f>
        <v>1513</v>
      </c>
    </row>
    <row r="4517" spans="1:5" x14ac:dyDescent="0.55000000000000004">
      <c r="A4517" t="str">
        <f>TEST_DATA!A4517</f>
        <v>27AAAAA4517Z5</v>
      </c>
      <c r="B4517" t="str">
        <f>TEST_DATA!B4517</f>
        <v>Mar-2018</v>
      </c>
      <c r="C4517">
        <f>TEST_DATA!C4517</f>
        <v>43722</v>
      </c>
      <c r="D4517" t="str">
        <f>TEST_DATA!D4517</f>
        <v>NON-NIL</v>
      </c>
      <c r="E4517">
        <f>TEST_DATA!E4517</f>
        <v>1902</v>
      </c>
    </row>
    <row r="4518" spans="1:5" x14ac:dyDescent="0.55000000000000004">
      <c r="A4518" t="str">
        <f>TEST_DATA!A4518</f>
        <v>27AAAAA4518Z5</v>
      </c>
      <c r="B4518" t="str">
        <f>TEST_DATA!B4518</f>
        <v>May-2020</v>
      </c>
      <c r="C4518">
        <f>TEST_DATA!C4518</f>
        <v>44530</v>
      </c>
      <c r="D4518" t="str">
        <f>TEST_DATA!D4518</f>
        <v>NON-NIL</v>
      </c>
      <c r="E4518">
        <f>TEST_DATA!E4518</f>
        <v>2192</v>
      </c>
    </row>
    <row r="4519" spans="1:5" x14ac:dyDescent="0.55000000000000004">
      <c r="A4519" t="str">
        <f>TEST_DATA!A4519</f>
        <v>27AAAAA4519Z5</v>
      </c>
      <c r="B4519" t="str">
        <f>TEST_DATA!B4519</f>
        <v>Apr-2020</v>
      </c>
      <c r="C4519">
        <f>TEST_DATA!C4519</f>
        <v>44500</v>
      </c>
      <c r="D4519" t="str">
        <f>TEST_DATA!D4519</f>
        <v>NON-NIL</v>
      </c>
      <c r="E4519">
        <f>TEST_DATA!E4519</f>
        <v>1924</v>
      </c>
    </row>
    <row r="4520" spans="1:5" x14ac:dyDescent="0.55000000000000004">
      <c r="A4520" t="str">
        <f>TEST_DATA!A4520</f>
        <v>27AAAAA4520Z5</v>
      </c>
      <c r="B4520" t="str">
        <f>TEST_DATA!B4520</f>
        <v>Jun-2019</v>
      </c>
      <c r="C4520">
        <f>TEST_DATA!C4520</f>
        <v>45463</v>
      </c>
      <c r="D4520" t="str">
        <f>TEST_DATA!D4520</f>
        <v>NON-NIL</v>
      </c>
      <c r="E4520">
        <f>TEST_DATA!E4520</f>
        <v>2819</v>
      </c>
    </row>
    <row r="4521" spans="1:5" x14ac:dyDescent="0.55000000000000004">
      <c r="A4521" t="str">
        <f>TEST_DATA!A4521</f>
        <v>27AAAAA4521Z5</v>
      </c>
      <c r="B4521" t="str">
        <f>TEST_DATA!B4521</f>
        <v>Mar-2020</v>
      </c>
      <c r="C4521">
        <f>TEST_DATA!C4521</f>
        <v>44112</v>
      </c>
      <c r="D4521" t="str">
        <f>TEST_DATA!D4521</f>
        <v>NON-NIL</v>
      </c>
      <c r="E4521">
        <f>TEST_DATA!E4521</f>
        <v>1380</v>
      </c>
    </row>
    <row r="4522" spans="1:5" x14ac:dyDescent="0.55000000000000004">
      <c r="A4522" t="str">
        <f>TEST_DATA!A4522</f>
        <v>27AAAAA4522Z5</v>
      </c>
      <c r="B4522" t="str">
        <f>TEST_DATA!B4522</f>
        <v>Sep-2017</v>
      </c>
      <c r="C4522">
        <f>TEST_DATA!C4522</f>
        <v>44333</v>
      </c>
      <c r="D4522" t="str">
        <f>TEST_DATA!D4522</f>
        <v>NON-NIL</v>
      </c>
      <c r="E4522">
        <f>TEST_DATA!E4522</f>
        <v>1402</v>
      </c>
    </row>
    <row r="4523" spans="1:5" x14ac:dyDescent="0.55000000000000004">
      <c r="A4523" t="str">
        <f>TEST_DATA!A4523</f>
        <v>27AAAAA4523Z5</v>
      </c>
      <c r="B4523" t="str">
        <f>TEST_DATA!B4523</f>
        <v>Dec-2019</v>
      </c>
      <c r="C4523">
        <f>TEST_DATA!C4523</f>
        <v>45583</v>
      </c>
      <c r="D4523" t="str">
        <f>TEST_DATA!D4523</f>
        <v>NIL</v>
      </c>
      <c r="E4523">
        <f>TEST_DATA!E4523</f>
        <v>1030</v>
      </c>
    </row>
    <row r="4524" spans="1:5" x14ac:dyDescent="0.55000000000000004">
      <c r="A4524" t="str">
        <f>TEST_DATA!A4524</f>
        <v>27AAAAA4524Z5</v>
      </c>
      <c r="B4524" t="str">
        <f>TEST_DATA!B4524</f>
        <v>May-2020</v>
      </c>
      <c r="C4524">
        <f>TEST_DATA!C4524</f>
        <v>44380</v>
      </c>
      <c r="D4524" t="str">
        <f>TEST_DATA!D4524</f>
        <v>NON-NIL</v>
      </c>
      <c r="E4524">
        <f>TEST_DATA!E4524</f>
        <v>1183</v>
      </c>
    </row>
    <row r="4525" spans="1:5" x14ac:dyDescent="0.55000000000000004">
      <c r="A4525" t="str">
        <f>TEST_DATA!A4525</f>
        <v>27AAAAA4525Z5</v>
      </c>
      <c r="B4525" t="str">
        <f>TEST_DATA!B4525</f>
        <v>Apr-2020</v>
      </c>
      <c r="C4525">
        <f>TEST_DATA!C4525</f>
        <v>44882</v>
      </c>
      <c r="D4525" t="str">
        <f>TEST_DATA!D4525</f>
        <v>NIL</v>
      </c>
      <c r="E4525">
        <f>TEST_DATA!E4525</f>
        <v>1282</v>
      </c>
    </row>
    <row r="4526" spans="1:5" x14ac:dyDescent="0.55000000000000004">
      <c r="A4526" t="str">
        <f>TEST_DATA!A4526</f>
        <v>27AAAAA4526Z5</v>
      </c>
      <c r="B4526" t="str">
        <f>TEST_DATA!B4526</f>
        <v>Dec-2024</v>
      </c>
      <c r="C4526">
        <f>TEST_DATA!C4526</f>
        <v>44793</v>
      </c>
      <c r="D4526" t="str">
        <f>TEST_DATA!D4526</f>
        <v>NIL</v>
      </c>
      <c r="E4526">
        <f>TEST_DATA!E4526</f>
        <v>2318</v>
      </c>
    </row>
    <row r="4527" spans="1:5" x14ac:dyDescent="0.55000000000000004">
      <c r="A4527" t="str">
        <f>TEST_DATA!A4527</f>
        <v>27AAAAA4527Z5</v>
      </c>
      <c r="B4527" t="str">
        <f>TEST_DATA!B4527</f>
        <v>Jan-2018</v>
      </c>
      <c r="C4527">
        <f>TEST_DATA!C4527</f>
        <v>43630</v>
      </c>
      <c r="D4527" t="str">
        <f>TEST_DATA!D4527</f>
        <v>NON-NIL</v>
      </c>
      <c r="E4527">
        <f>TEST_DATA!E4527</f>
        <v>785</v>
      </c>
    </row>
    <row r="4528" spans="1:5" x14ac:dyDescent="0.55000000000000004">
      <c r="A4528" t="str">
        <f>TEST_DATA!A4528</f>
        <v>27AAAAA4528Z5</v>
      </c>
      <c r="B4528" t="str">
        <f>TEST_DATA!B4528</f>
        <v>Dec-2022</v>
      </c>
      <c r="C4528">
        <f>TEST_DATA!C4528</f>
        <v>44838</v>
      </c>
      <c r="D4528" t="str">
        <f>TEST_DATA!D4528</f>
        <v>NON-NIL</v>
      </c>
      <c r="E4528">
        <f>TEST_DATA!E4528</f>
        <v>1140</v>
      </c>
    </row>
    <row r="4529" spans="1:5" x14ac:dyDescent="0.55000000000000004">
      <c r="A4529" t="str">
        <f>TEST_DATA!A4529</f>
        <v>27AAAAA4529Z5</v>
      </c>
      <c r="B4529" t="str">
        <f>TEST_DATA!B4529</f>
        <v>Mar-2018</v>
      </c>
      <c r="C4529">
        <f>TEST_DATA!C4529</f>
        <v>44141</v>
      </c>
      <c r="D4529" t="str">
        <f>TEST_DATA!D4529</f>
        <v>NON-NIL</v>
      </c>
      <c r="E4529">
        <f>TEST_DATA!E4529</f>
        <v>2743</v>
      </c>
    </row>
    <row r="4530" spans="1:5" x14ac:dyDescent="0.55000000000000004">
      <c r="A4530" t="str">
        <f>TEST_DATA!A4530</f>
        <v>27AAAAA4530Z5</v>
      </c>
      <c r="B4530" t="str">
        <f>TEST_DATA!B4530</f>
        <v>Jun-2020</v>
      </c>
      <c r="C4530">
        <f>TEST_DATA!C4530</f>
        <v>44216</v>
      </c>
      <c r="D4530" t="str">
        <f>TEST_DATA!D4530</f>
        <v>NIL</v>
      </c>
      <c r="E4530">
        <f>TEST_DATA!E4530</f>
        <v>2819</v>
      </c>
    </row>
    <row r="4531" spans="1:5" x14ac:dyDescent="0.55000000000000004">
      <c r="A4531" t="str">
        <f>TEST_DATA!A4531</f>
        <v>27AAAAA4531Z5</v>
      </c>
      <c r="B4531" t="str">
        <f>TEST_DATA!B4531</f>
        <v>Apr-2018</v>
      </c>
      <c r="C4531">
        <f>TEST_DATA!C4531</f>
        <v>43306</v>
      </c>
      <c r="D4531" t="str">
        <f>TEST_DATA!D4531</f>
        <v>NON-NIL</v>
      </c>
      <c r="E4531">
        <f>TEST_DATA!E4531</f>
        <v>2918</v>
      </c>
    </row>
    <row r="4532" spans="1:5" x14ac:dyDescent="0.55000000000000004">
      <c r="A4532" t="str">
        <f>TEST_DATA!A4532</f>
        <v>27AAAAA4532Z5</v>
      </c>
      <c r="B4532" t="str">
        <f>TEST_DATA!B4532</f>
        <v>Dec-2019</v>
      </c>
      <c r="C4532">
        <f>TEST_DATA!C4532</f>
        <v>45730</v>
      </c>
      <c r="D4532" t="str">
        <f>TEST_DATA!D4532</f>
        <v>NON-NIL</v>
      </c>
      <c r="E4532">
        <f>TEST_DATA!E4532</f>
        <v>837</v>
      </c>
    </row>
    <row r="4533" spans="1:5" x14ac:dyDescent="0.55000000000000004">
      <c r="A4533" t="str">
        <f>TEST_DATA!A4533</f>
        <v>27AAAAA4533Z5</v>
      </c>
      <c r="B4533" t="str">
        <f>TEST_DATA!B4533</f>
        <v>Apr-2021</v>
      </c>
      <c r="C4533">
        <f>TEST_DATA!C4533</f>
        <v>45361</v>
      </c>
      <c r="D4533" t="str">
        <f>TEST_DATA!D4533</f>
        <v>NIL</v>
      </c>
      <c r="E4533">
        <f>TEST_DATA!E4533</f>
        <v>480</v>
      </c>
    </row>
    <row r="4534" spans="1:5" x14ac:dyDescent="0.55000000000000004">
      <c r="A4534" t="str">
        <f>TEST_DATA!A4534</f>
        <v>27AAAAA4534Z5</v>
      </c>
      <c r="B4534" t="str">
        <f>TEST_DATA!B4534</f>
        <v>Jan-2021</v>
      </c>
      <c r="C4534">
        <f>TEST_DATA!C4534</f>
        <v>44659</v>
      </c>
      <c r="D4534" t="str">
        <f>TEST_DATA!D4534</f>
        <v>NIL</v>
      </c>
      <c r="E4534">
        <f>TEST_DATA!E4534</f>
        <v>842</v>
      </c>
    </row>
    <row r="4535" spans="1:5" x14ac:dyDescent="0.55000000000000004">
      <c r="A4535" t="str">
        <f>TEST_DATA!A4535</f>
        <v>27AAAAA4535Z5</v>
      </c>
      <c r="B4535" t="str">
        <f>TEST_DATA!B4535</f>
        <v>Apr-2020</v>
      </c>
      <c r="C4535">
        <f>TEST_DATA!C4535</f>
        <v>44521</v>
      </c>
      <c r="D4535" t="str">
        <f>TEST_DATA!D4535</f>
        <v>NIL</v>
      </c>
      <c r="E4535">
        <f>TEST_DATA!E4535</f>
        <v>2652</v>
      </c>
    </row>
    <row r="4536" spans="1:5" x14ac:dyDescent="0.55000000000000004">
      <c r="A4536" t="str">
        <f>TEST_DATA!A4536</f>
        <v>27AAAAA4536Z5</v>
      </c>
      <c r="B4536" t="str">
        <f>TEST_DATA!B4536</f>
        <v>Apr-2021</v>
      </c>
      <c r="C4536">
        <f>TEST_DATA!C4536</f>
        <v>45501</v>
      </c>
      <c r="D4536" t="str">
        <f>TEST_DATA!D4536</f>
        <v>NON-NIL</v>
      </c>
      <c r="E4536">
        <f>TEST_DATA!E4536</f>
        <v>1006</v>
      </c>
    </row>
    <row r="4537" spans="1:5" x14ac:dyDescent="0.55000000000000004">
      <c r="A4537" t="str">
        <f>TEST_DATA!A4537</f>
        <v>27AAAAA4537Z5</v>
      </c>
      <c r="B4537" t="str">
        <f>TEST_DATA!B4537</f>
        <v>Jul-2018</v>
      </c>
      <c r="C4537">
        <f>TEST_DATA!C4537</f>
        <v>43908</v>
      </c>
      <c r="D4537" t="str">
        <f>TEST_DATA!D4537</f>
        <v>NON-NIL</v>
      </c>
      <c r="E4537">
        <f>TEST_DATA!E4537</f>
        <v>2327</v>
      </c>
    </row>
    <row r="4538" spans="1:5" x14ac:dyDescent="0.55000000000000004">
      <c r="A4538" t="str">
        <f>TEST_DATA!A4538</f>
        <v>27AAAAA4538Z5</v>
      </c>
      <c r="B4538" t="str">
        <f>TEST_DATA!B4538</f>
        <v>Sep-2018</v>
      </c>
      <c r="C4538">
        <f>TEST_DATA!C4538</f>
        <v>44017</v>
      </c>
      <c r="D4538" t="str">
        <f>TEST_DATA!D4538</f>
        <v>NON-NIL</v>
      </c>
      <c r="E4538">
        <f>TEST_DATA!E4538</f>
        <v>599</v>
      </c>
    </row>
    <row r="4539" spans="1:5" x14ac:dyDescent="0.55000000000000004">
      <c r="A4539" t="str">
        <f>TEST_DATA!A4539</f>
        <v>27AAAAA4539Z5</v>
      </c>
      <c r="B4539" t="str">
        <f>TEST_DATA!B4539</f>
        <v>Mar-2018</v>
      </c>
      <c r="C4539">
        <f>TEST_DATA!C4539</f>
        <v>44158</v>
      </c>
      <c r="D4539" t="str">
        <f>TEST_DATA!D4539</f>
        <v>NIL</v>
      </c>
      <c r="E4539">
        <f>TEST_DATA!E4539</f>
        <v>1034</v>
      </c>
    </row>
    <row r="4540" spans="1:5" x14ac:dyDescent="0.55000000000000004">
      <c r="A4540" t="str">
        <f>TEST_DATA!A4540</f>
        <v>27AAAAA4540Z5</v>
      </c>
      <c r="B4540" t="str">
        <f>TEST_DATA!B4540</f>
        <v>Oct-2017</v>
      </c>
      <c r="C4540">
        <f>TEST_DATA!C4540</f>
        <v>43688</v>
      </c>
      <c r="D4540" t="str">
        <f>TEST_DATA!D4540</f>
        <v>NON-NIL</v>
      </c>
      <c r="E4540">
        <f>TEST_DATA!E4540</f>
        <v>13</v>
      </c>
    </row>
    <row r="4541" spans="1:5" x14ac:dyDescent="0.55000000000000004">
      <c r="A4541" t="str">
        <f>TEST_DATA!A4541</f>
        <v>27AAAAA4541Z5</v>
      </c>
      <c r="B4541" t="str">
        <f>TEST_DATA!B4541</f>
        <v>Sep-2017</v>
      </c>
      <c r="C4541">
        <f>TEST_DATA!C4541</f>
        <v>43303</v>
      </c>
      <c r="D4541" t="str">
        <f>TEST_DATA!D4541</f>
        <v>NON-NIL</v>
      </c>
      <c r="E4541">
        <f>TEST_DATA!E4541</f>
        <v>2027</v>
      </c>
    </row>
    <row r="4542" spans="1:5" x14ac:dyDescent="0.55000000000000004">
      <c r="A4542" t="str">
        <f>TEST_DATA!A4542</f>
        <v>27AAAAA4542Z5</v>
      </c>
      <c r="B4542" t="str">
        <f>TEST_DATA!B4542</f>
        <v>Sep-2018</v>
      </c>
      <c r="C4542">
        <f>TEST_DATA!C4542</f>
        <v>44044</v>
      </c>
      <c r="D4542" t="str">
        <f>TEST_DATA!D4542</f>
        <v>NON-NIL</v>
      </c>
      <c r="E4542">
        <f>TEST_DATA!E4542</f>
        <v>2093</v>
      </c>
    </row>
    <row r="4543" spans="1:5" x14ac:dyDescent="0.55000000000000004">
      <c r="A4543" t="str">
        <f>TEST_DATA!A4543</f>
        <v>27AAAAA4543Z5</v>
      </c>
      <c r="B4543" t="str">
        <f>TEST_DATA!B4543</f>
        <v>Mar-2020</v>
      </c>
      <c r="C4543">
        <f>TEST_DATA!C4543</f>
        <v>44692</v>
      </c>
      <c r="D4543" t="str">
        <f>TEST_DATA!D4543</f>
        <v>NIL</v>
      </c>
      <c r="E4543">
        <f>TEST_DATA!E4543</f>
        <v>1088</v>
      </c>
    </row>
    <row r="4544" spans="1:5" x14ac:dyDescent="0.55000000000000004">
      <c r="A4544" t="str">
        <f>TEST_DATA!A4544</f>
        <v>27AAAAA4544Z5</v>
      </c>
      <c r="B4544" t="str">
        <f>TEST_DATA!B4544</f>
        <v>Aug-2017</v>
      </c>
      <c r="C4544">
        <f>TEST_DATA!C4544</f>
        <v>43792</v>
      </c>
      <c r="D4544" t="str">
        <f>TEST_DATA!D4544</f>
        <v>NON-NIL</v>
      </c>
      <c r="E4544">
        <f>TEST_DATA!E4544</f>
        <v>2438</v>
      </c>
    </row>
    <row r="4545" spans="1:5" x14ac:dyDescent="0.55000000000000004">
      <c r="A4545" t="str">
        <f>TEST_DATA!A4545</f>
        <v>27AAAAA4545Z5</v>
      </c>
      <c r="B4545" t="str">
        <f>TEST_DATA!B4545</f>
        <v>Oct-2017</v>
      </c>
      <c r="C4545">
        <f>TEST_DATA!C4545</f>
        <v>43892</v>
      </c>
      <c r="D4545" t="str">
        <f>TEST_DATA!D4545</f>
        <v>NON-NIL</v>
      </c>
      <c r="E4545">
        <f>TEST_DATA!E4545</f>
        <v>1584</v>
      </c>
    </row>
    <row r="4546" spans="1:5" x14ac:dyDescent="0.55000000000000004">
      <c r="A4546" t="str">
        <f>TEST_DATA!A4546</f>
        <v>27AAAAA4546Z5</v>
      </c>
      <c r="B4546" t="str">
        <f>TEST_DATA!B4546</f>
        <v>May-2018</v>
      </c>
      <c r="C4546">
        <f>TEST_DATA!C4546</f>
        <v>43161</v>
      </c>
      <c r="D4546" t="str">
        <f>TEST_DATA!D4546</f>
        <v>NIL</v>
      </c>
      <c r="E4546">
        <f>TEST_DATA!E4546</f>
        <v>741</v>
      </c>
    </row>
    <row r="4547" spans="1:5" x14ac:dyDescent="0.55000000000000004">
      <c r="A4547" t="str">
        <f>TEST_DATA!A4547</f>
        <v>27AAAAA4547Z5</v>
      </c>
      <c r="B4547" t="str">
        <f>TEST_DATA!B4547</f>
        <v>Oct-2017</v>
      </c>
      <c r="C4547">
        <f>TEST_DATA!C4547</f>
        <v>43657</v>
      </c>
      <c r="D4547" t="str">
        <f>TEST_DATA!D4547</f>
        <v>NIL</v>
      </c>
      <c r="E4547">
        <f>TEST_DATA!E4547</f>
        <v>168</v>
      </c>
    </row>
    <row r="4548" spans="1:5" x14ac:dyDescent="0.55000000000000004">
      <c r="A4548" t="str">
        <f>TEST_DATA!A4548</f>
        <v>27AAAAA4548Z5</v>
      </c>
      <c r="B4548" t="str">
        <f>TEST_DATA!B4548</f>
        <v>Mar-2023</v>
      </c>
      <c r="C4548">
        <f>TEST_DATA!C4548</f>
        <v>43753</v>
      </c>
      <c r="D4548" t="str">
        <f>TEST_DATA!D4548</f>
        <v>NON-NIL</v>
      </c>
      <c r="E4548">
        <f>TEST_DATA!E4548</f>
        <v>440</v>
      </c>
    </row>
    <row r="4549" spans="1:5" x14ac:dyDescent="0.55000000000000004">
      <c r="A4549" t="str">
        <f>TEST_DATA!A4549</f>
        <v>27AAAAA4549Z5</v>
      </c>
      <c r="B4549" t="str">
        <f>TEST_DATA!B4549</f>
        <v>Dec-2019</v>
      </c>
      <c r="C4549">
        <f>TEST_DATA!C4549</f>
        <v>45658</v>
      </c>
      <c r="D4549" t="str">
        <f>TEST_DATA!D4549</f>
        <v>NON-NIL</v>
      </c>
      <c r="E4549">
        <f>TEST_DATA!E4549</f>
        <v>521</v>
      </c>
    </row>
    <row r="4550" spans="1:5" x14ac:dyDescent="0.55000000000000004">
      <c r="A4550" t="str">
        <f>TEST_DATA!A4550</f>
        <v>27AAAAA4550Z5</v>
      </c>
      <c r="B4550" t="str">
        <f>TEST_DATA!B4550</f>
        <v>Apr-2021</v>
      </c>
      <c r="C4550">
        <f>TEST_DATA!C4550</f>
        <v>43858</v>
      </c>
      <c r="D4550" t="str">
        <f>TEST_DATA!D4550</f>
        <v>NON-NIL</v>
      </c>
      <c r="E4550">
        <f>TEST_DATA!E4550</f>
        <v>839</v>
      </c>
    </row>
    <row r="4551" spans="1:5" x14ac:dyDescent="0.55000000000000004">
      <c r="A4551" t="str">
        <f>TEST_DATA!A4551</f>
        <v>27AAAAA4551Z5</v>
      </c>
      <c r="B4551" t="str">
        <f>TEST_DATA!B4551</f>
        <v>Aug-2017</v>
      </c>
      <c r="C4551">
        <f>TEST_DATA!C4551</f>
        <v>44269</v>
      </c>
      <c r="D4551" t="str">
        <f>TEST_DATA!D4551</f>
        <v>NIL</v>
      </c>
      <c r="E4551">
        <f>TEST_DATA!E4551</f>
        <v>40</v>
      </c>
    </row>
    <row r="4552" spans="1:5" x14ac:dyDescent="0.55000000000000004">
      <c r="A4552" t="str">
        <f>TEST_DATA!A4552</f>
        <v>27AAAAA4552Z5</v>
      </c>
      <c r="B4552" t="str">
        <f>TEST_DATA!B4552</f>
        <v>Oct-2017</v>
      </c>
      <c r="C4552">
        <f>TEST_DATA!C4552</f>
        <v>43608</v>
      </c>
      <c r="D4552" t="str">
        <f>TEST_DATA!D4552</f>
        <v>NON-NIL</v>
      </c>
      <c r="E4552">
        <f>TEST_DATA!E4552</f>
        <v>1164</v>
      </c>
    </row>
    <row r="4553" spans="1:5" x14ac:dyDescent="0.55000000000000004">
      <c r="A4553" t="str">
        <f>TEST_DATA!A4553</f>
        <v>27AAAAA4553Z5</v>
      </c>
      <c r="B4553" t="str">
        <f>TEST_DATA!B4553</f>
        <v>Aug-2018</v>
      </c>
      <c r="C4553">
        <f>TEST_DATA!C4553</f>
        <v>43409</v>
      </c>
      <c r="D4553" t="str">
        <f>TEST_DATA!D4553</f>
        <v>NIL</v>
      </c>
      <c r="E4553">
        <f>TEST_DATA!E4553</f>
        <v>902</v>
      </c>
    </row>
    <row r="4554" spans="1:5" x14ac:dyDescent="0.55000000000000004">
      <c r="A4554" t="str">
        <f>TEST_DATA!A4554</f>
        <v>27AAAAA4554Z5</v>
      </c>
      <c r="B4554" t="str">
        <f>TEST_DATA!B4554</f>
        <v>Apr-2020</v>
      </c>
      <c r="C4554">
        <f>TEST_DATA!C4554</f>
        <v>44377</v>
      </c>
      <c r="D4554" t="str">
        <f>TEST_DATA!D4554</f>
        <v>NON-NIL</v>
      </c>
      <c r="E4554">
        <f>TEST_DATA!E4554</f>
        <v>968</v>
      </c>
    </row>
    <row r="4555" spans="1:5" x14ac:dyDescent="0.55000000000000004">
      <c r="A4555" t="str">
        <f>TEST_DATA!A4555</f>
        <v>27AAAAA4555Z5</v>
      </c>
      <c r="B4555" t="str">
        <f>TEST_DATA!B4555</f>
        <v>Nov-2017</v>
      </c>
      <c r="C4555">
        <f>TEST_DATA!C4555</f>
        <v>42964</v>
      </c>
      <c r="D4555" t="str">
        <f>TEST_DATA!D4555</f>
        <v>NON-NIL</v>
      </c>
      <c r="E4555">
        <f>TEST_DATA!E4555</f>
        <v>900</v>
      </c>
    </row>
    <row r="4556" spans="1:5" x14ac:dyDescent="0.55000000000000004">
      <c r="A4556" t="str">
        <f>TEST_DATA!A4556</f>
        <v>27AAAAA4556Z5</v>
      </c>
      <c r="B4556" t="str">
        <f>TEST_DATA!B4556</f>
        <v>Dec-2017</v>
      </c>
      <c r="C4556">
        <f>TEST_DATA!C4556</f>
        <v>43701</v>
      </c>
      <c r="D4556" t="str">
        <f>TEST_DATA!D4556</f>
        <v>NIL</v>
      </c>
      <c r="E4556">
        <f>TEST_DATA!E4556</f>
        <v>2218</v>
      </c>
    </row>
    <row r="4557" spans="1:5" x14ac:dyDescent="0.55000000000000004">
      <c r="A4557" t="str">
        <f>TEST_DATA!A4557</f>
        <v>27AAAAA4557Z5</v>
      </c>
      <c r="B4557" t="str">
        <f>TEST_DATA!B4557</f>
        <v>Apr-2020</v>
      </c>
      <c r="C4557">
        <f>TEST_DATA!C4557</f>
        <v>43866</v>
      </c>
      <c r="D4557" t="str">
        <f>TEST_DATA!D4557</f>
        <v>NIL</v>
      </c>
      <c r="E4557">
        <f>TEST_DATA!E4557</f>
        <v>373</v>
      </c>
    </row>
    <row r="4558" spans="1:5" x14ac:dyDescent="0.55000000000000004">
      <c r="A4558" t="str">
        <f>TEST_DATA!A4558</f>
        <v>27AAAAA4558Z5</v>
      </c>
      <c r="B4558" t="str">
        <f>TEST_DATA!B4558</f>
        <v>Mar-2020</v>
      </c>
      <c r="C4558">
        <f>TEST_DATA!C4558</f>
        <v>44383</v>
      </c>
      <c r="D4558" t="str">
        <f>TEST_DATA!D4558</f>
        <v>NON-NIL</v>
      </c>
      <c r="E4558">
        <f>TEST_DATA!E4558</f>
        <v>510</v>
      </c>
    </row>
    <row r="4559" spans="1:5" x14ac:dyDescent="0.55000000000000004">
      <c r="A4559" t="str">
        <f>TEST_DATA!A4559</f>
        <v>27AAAAA4559Z5</v>
      </c>
      <c r="B4559" t="str">
        <f>TEST_DATA!B4559</f>
        <v>Oct-2017</v>
      </c>
      <c r="C4559">
        <f>TEST_DATA!C4559</f>
        <v>43421</v>
      </c>
      <c r="D4559" t="str">
        <f>TEST_DATA!D4559</f>
        <v>NON-NIL</v>
      </c>
      <c r="E4559">
        <f>TEST_DATA!E4559</f>
        <v>905</v>
      </c>
    </row>
    <row r="4560" spans="1:5" x14ac:dyDescent="0.55000000000000004">
      <c r="A4560" t="str">
        <f>TEST_DATA!A4560</f>
        <v>27AAAAA4560Z5</v>
      </c>
      <c r="B4560" t="str">
        <f>TEST_DATA!B4560</f>
        <v>Feb-2018</v>
      </c>
      <c r="C4560">
        <f>TEST_DATA!C4560</f>
        <v>43858</v>
      </c>
      <c r="D4560" t="str">
        <f>TEST_DATA!D4560</f>
        <v>NIL</v>
      </c>
      <c r="E4560">
        <f>TEST_DATA!E4560</f>
        <v>710</v>
      </c>
    </row>
    <row r="4561" spans="1:5" x14ac:dyDescent="0.55000000000000004">
      <c r="A4561" t="str">
        <f>TEST_DATA!A4561</f>
        <v>27AAAAA4561Z5</v>
      </c>
      <c r="B4561" t="str">
        <f>TEST_DATA!B4561</f>
        <v>Feb-2018</v>
      </c>
      <c r="C4561">
        <f>TEST_DATA!C4561</f>
        <v>43489</v>
      </c>
      <c r="D4561" t="str">
        <f>TEST_DATA!D4561</f>
        <v>NIL</v>
      </c>
      <c r="E4561">
        <f>TEST_DATA!E4561</f>
        <v>12</v>
      </c>
    </row>
    <row r="4562" spans="1:5" x14ac:dyDescent="0.55000000000000004">
      <c r="A4562" t="str">
        <f>TEST_DATA!A4562</f>
        <v>27AAAAA4562Z5</v>
      </c>
      <c r="B4562" t="str">
        <f>TEST_DATA!B4562</f>
        <v>Feb-2018</v>
      </c>
      <c r="C4562">
        <f>TEST_DATA!C4562</f>
        <v>44291</v>
      </c>
      <c r="D4562" t="str">
        <f>TEST_DATA!D4562</f>
        <v>NON-NIL</v>
      </c>
      <c r="E4562">
        <f>TEST_DATA!E4562</f>
        <v>1782</v>
      </c>
    </row>
    <row r="4563" spans="1:5" x14ac:dyDescent="0.55000000000000004">
      <c r="A4563" t="str">
        <f>TEST_DATA!A4563</f>
        <v>27AAAAA4563Z5</v>
      </c>
      <c r="B4563" t="str">
        <f>TEST_DATA!B4563</f>
        <v>Mar-2020</v>
      </c>
      <c r="C4563">
        <f>TEST_DATA!C4563</f>
        <v>44622</v>
      </c>
      <c r="D4563" t="str">
        <f>TEST_DATA!D4563</f>
        <v>NON-NIL</v>
      </c>
      <c r="E4563">
        <f>TEST_DATA!E4563</f>
        <v>874</v>
      </c>
    </row>
    <row r="4564" spans="1:5" x14ac:dyDescent="0.55000000000000004">
      <c r="A4564" t="str">
        <f>TEST_DATA!A4564</f>
        <v>27AAAAA4564Z5</v>
      </c>
      <c r="B4564" t="str">
        <f>TEST_DATA!B4564</f>
        <v>Feb-2018</v>
      </c>
      <c r="C4564">
        <f>TEST_DATA!C4564</f>
        <v>43122</v>
      </c>
      <c r="D4564" t="str">
        <f>TEST_DATA!D4564</f>
        <v>NIL</v>
      </c>
      <c r="E4564">
        <f>TEST_DATA!E4564</f>
        <v>1673</v>
      </c>
    </row>
    <row r="4565" spans="1:5" x14ac:dyDescent="0.55000000000000004">
      <c r="A4565" t="str">
        <f>TEST_DATA!A4565</f>
        <v>27AAAAA4565Z5</v>
      </c>
      <c r="B4565" t="str">
        <f>TEST_DATA!B4565</f>
        <v>Jul-2020</v>
      </c>
      <c r="C4565">
        <f>TEST_DATA!C4565</f>
        <v>44740</v>
      </c>
      <c r="D4565" t="str">
        <f>TEST_DATA!D4565</f>
        <v>NON-NIL</v>
      </c>
      <c r="E4565">
        <f>TEST_DATA!E4565</f>
        <v>615</v>
      </c>
    </row>
    <row r="4566" spans="1:5" x14ac:dyDescent="0.55000000000000004">
      <c r="A4566" t="str">
        <f>TEST_DATA!A4566</f>
        <v>27AAAAA4566Z5</v>
      </c>
      <c r="B4566" t="str">
        <f>TEST_DATA!B4566</f>
        <v>Jan-2021</v>
      </c>
      <c r="C4566">
        <f>TEST_DATA!C4566</f>
        <v>45040</v>
      </c>
      <c r="D4566" t="str">
        <f>TEST_DATA!D4566</f>
        <v>NON-NIL</v>
      </c>
      <c r="E4566">
        <f>TEST_DATA!E4566</f>
        <v>94</v>
      </c>
    </row>
    <row r="4567" spans="1:5" x14ac:dyDescent="0.55000000000000004">
      <c r="A4567" t="str">
        <f>TEST_DATA!A4567</f>
        <v>27AAAAA4567Z5</v>
      </c>
      <c r="B4567" t="str">
        <f>TEST_DATA!B4567</f>
        <v>Dec-2019</v>
      </c>
      <c r="C4567">
        <f>TEST_DATA!C4567</f>
        <v>44578</v>
      </c>
      <c r="D4567" t="str">
        <f>TEST_DATA!D4567</f>
        <v>NIL</v>
      </c>
      <c r="E4567">
        <f>TEST_DATA!E4567</f>
        <v>2757</v>
      </c>
    </row>
    <row r="4568" spans="1:5" x14ac:dyDescent="0.55000000000000004">
      <c r="A4568" t="str">
        <f>TEST_DATA!A4568</f>
        <v>27AAAAA4568Z5</v>
      </c>
      <c r="B4568" t="str">
        <f>TEST_DATA!B4568</f>
        <v>Jan-2019</v>
      </c>
      <c r="C4568">
        <f>TEST_DATA!C4568</f>
        <v>45254</v>
      </c>
      <c r="D4568" t="str">
        <f>TEST_DATA!D4568</f>
        <v>NON-NIL</v>
      </c>
      <c r="E4568">
        <f>TEST_DATA!E4568</f>
        <v>1319</v>
      </c>
    </row>
    <row r="4569" spans="1:5" x14ac:dyDescent="0.55000000000000004">
      <c r="A4569" t="str">
        <f>TEST_DATA!A4569</f>
        <v>27AAAAA4569Z5</v>
      </c>
      <c r="B4569" t="str">
        <f>TEST_DATA!B4569</f>
        <v>Jul-2017</v>
      </c>
      <c r="C4569">
        <f>TEST_DATA!C4569</f>
        <v>43939</v>
      </c>
      <c r="D4569" t="str">
        <f>TEST_DATA!D4569</f>
        <v>NON-NIL</v>
      </c>
      <c r="E4569">
        <f>TEST_DATA!E4569</f>
        <v>1811</v>
      </c>
    </row>
    <row r="4570" spans="1:5" x14ac:dyDescent="0.55000000000000004">
      <c r="A4570" t="str">
        <f>TEST_DATA!A4570</f>
        <v>27AAAAA4570Z5</v>
      </c>
      <c r="B4570" t="str">
        <f>TEST_DATA!B4570</f>
        <v>Apr-2020</v>
      </c>
      <c r="C4570">
        <f>TEST_DATA!C4570</f>
        <v>44251</v>
      </c>
      <c r="D4570" t="str">
        <f>TEST_DATA!D4570</f>
        <v>NON-NIL</v>
      </c>
      <c r="E4570">
        <f>TEST_DATA!E4570</f>
        <v>591</v>
      </c>
    </row>
    <row r="4571" spans="1:5" x14ac:dyDescent="0.55000000000000004">
      <c r="A4571" t="str">
        <f>TEST_DATA!A4571</f>
        <v>27AAAAA4571Z5</v>
      </c>
      <c r="B4571" t="str">
        <f>TEST_DATA!B4571</f>
        <v>Jul-2020</v>
      </c>
      <c r="C4571">
        <f>TEST_DATA!C4571</f>
        <v>43989</v>
      </c>
      <c r="D4571" t="str">
        <f>TEST_DATA!D4571</f>
        <v>NON-NIL</v>
      </c>
      <c r="E4571">
        <f>TEST_DATA!E4571</f>
        <v>689</v>
      </c>
    </row>
    <row r="4572" spans="1:5" x14ac:dyDescent="0.55000000000000004">
      <c r="A4572" t="str">
        <f>TEST_DATA!A4572</f>
        <v>27AAAAA4572Z5</v>
      </c>
      <c r="B4572" t="str">
        <f>TEST_DATA!B4572</f>
        <v>Apr-2021</v>
      </c>
      <c r="C4572">
        <f>TEST_DATA!C4572</f>
        <v>45120</v>
      </c>
      <c r="D4572" t="str">
        <f>TEST_DATA!D4572</f>
        <v>NIL</v>
      </c>
      <c r="E4572">
        <f>TEST_DATA!E4572</f>
        <v>892</v>
      </c>
    </row>
    <row r="4573" spans="1:5" x14ac:dyDescent="0.55000000000000004">
      <c r="A4573" t="str">
        <f>TEST_DATA!A4573</f>
        <v>27AAAAA4573Z5</v>
      </c>
      <c r="B4573" t="str">
        <f>TEST_DATA!B4573</f>
        <v>May-2018</v>
      </c>
      <c r="C4573">
        <f>TEST_DATA!C4573</f>
        <v>43640</v>
      </c>
      <c r="D4573" t="str">
        <f>TEST_DATA!D4573</f>
        <v>NON-NIL</v>
      </c>
      <c r="E4573">
        <f>TEST_DATA!E4573</f>
        <v>1122</v>
      </c>
    </row>
    <row r="4574" spans="1:5" x14ac:dyDescent="0.55000000000000004">
      <c r="A4574" t="str">
        <f>TEST_DATA!A4574</f>
        <v>27AAAAA4574Z5</v>
      </c>
      <c r="B4574" t="str">
        <f>TEST_DATA!B4574</f>
        <v>Feb-2018</v>
      </c>
      <c r="C4574">
        <f>TEST_DATA!C4574</f>
        <v>44381</v>
      </c>
      <c r="D4574" t="str">
        <f>TEST_DATA!D4574</f>
        <v>NON-NIL</v>
      </c>
      <c r="E4574">
        <f>TEST_DATA!E4574</f>
        <v>945</v>
      </c>
    </row>
    <row r="4575" spans="1:5" x14ac:dyDescent="0.55000000000000004">
      <c r="A4575" t="str">
        <f>TEST_DATA!A4575</f>
        <v>27AAAAA4575Z5</v>
      </c>
      <c r="B4575" t="str">
        <f>TEST_DATA!B4575</f>
        <v>Jul-2018</v>
      </c>
      <c r="C4575">
        <f>TEST_DATA!C4575</f>
        <v>44146</v>
      </c>
      <c r="D4575" t="str">
        <f>TEST_DATA!D4575</f>
        <v>NON-NIL</v>
      </c>
      <c r="E4575">
        <f>TEST_DATA!E4575</f>
        <v>99</v>
      </c>
    </row>
    <row r="4576" spans="1:5" x14ac:dyDescent="0.55000000000000004">
      <c r="A4576" t="str">
        <f>TEST_DATA!A4576</f>
        <v>27AAAAA4576Z5</v>
      </c>
      <c r="B4576" t="str">
        <f>TEST_DATA!B4576</f>
        <v>Jun-2020</v>
      </c>
      <c r="C4576">
        <f>TEST_DATA!C4576</f>
        <v>44330</v>
      </c>
      <c r="D4576" t="str">
        <f>TEST_DATA!D4576</f>
        <v>NIL</v>
      </c>
      <c r="E4576">
        <f>TEST_DATA!E4576</f>
        <v>1852</v>
      </c>
    </row>
    <row r="4577" spans="1:5" x14ac:dyDescent="0.55000000000000004">
      <c r="A4577" t="str">
        <f>TEST_DATA!A4577</f>
        <v>27AAAAA4577Z5</v>
      </c>
      <c r="B4577" t="str">
        <f>TEST_DATA!B4577</f>
        <v>Jul-2020</v>
      </c>
      <c r="C4577">
        <f>TEST_DATA!C4577</f>
        <v>43875</v>
      </c>
      <c r="D4577" t="str">
        <f>TEST_DATA!D4577</f>
        <v>NON-NIL</v>
      </c>
      <c r="E4577">
        <f>TEST_DATA!E4577</f>
        <v>2341</v>
      </c>
    </row>
    <row r="4578" spans="1:5" x14ac:dyDescent="0.55000000000000004">
      <c r="A4578" t="str">
        <f>TEST_DATA!A4578</f>
        <v>27AAAAA4578Z5</v>
      </c>
      <c r="B4578" t="str">
        <f>TEST_DATA!B4578</f>
        <v>Jun-2018</v>
      </c>
      <c r="C4578">
        <f>TEST_DATA!C4578</f>
        <v>43653</v>
      </c>
      <c r="D4578" t="str">
        <f>TEST_DATA!D4578</f>
        <v>NON-NIL</v>
      </c>
      <c r="E4578">
        <f>TEST_DATA!E4578</f>
        <v>83</v>
      </c>
    </row>
    <row r="4579" spans="1:5" x14ac:dyDescent="0.55000000000000004">
      <c r="A4579" t="str">
        <f>TEST_DATA!A4579</f>
        <v>27AAAAA4579Z5</v>
      </c>
      <c r="B4579" t="str">
        <f>TEST_DATA!B4579</f>
        <v>Jan-2019</v>
      </c>
      <c r="C4579">
        <f>TEST_DATA!C4579</f>
        <v>45253</v>
      </c>
      <c r="D4579" t="str">
        <f>TEST_DATA!D4579</f>
        <v>NON-NIL</v>
      </c>
      <c r="E4579">
        <f>TEST_DATA!E4579</f>
        <v>1737</v>
      </c>
    </row>
    <row r="4580" spans="1:5" x14ac:dyDescent="0.55000000000000004">
      <c r="A4580" t="str">
        <f>TEST_DATA!A4580</f>
        <v>27AAAAA4580Z5</v>
      </c>
      <c r="B4580" t="str">
        <f>TEST_DATA!B4580</f>
        <v>Sep-2017</v>
      </c>
      <c r="C4580">
        <f>TEST_DATA!C4580</f>
        <v>43812</v>
      </c>
      <c r="D4580" t="str">
        <f>TEST_DATA!D4580</f>
        <v>NON-NIL</v>
      </c>
      <c r="E4580">
        <f>TEST_DATA!E4580</f>
        <v>1426</v>
      </c>
    </row>
    <row r="4581" spans="1:5" x14ac:dyDescent="0.55000000000000004">
      <c r="A4581" t="str">
        <f>TEST_DATA!A4581</f>
        <v>27AAAAA4581Z5</v>
      </c>
      <c r="B4581" t="str">
        <f>TEST_DATA!B4581</f>
        <v>Feb-2018</v>
      </c>
      <c r="C4581">
        <f>TEST_DATA!C4581</f>
        <v>43468</v>
      </c>
      <c r="D4581" t="str">
        <f>TEST_DATA!D4581</f>
        <v>NON-NIL</v>
      </c>
      <c r="E4581">
        <f>TEST_DATA!E4581</f>
        <v>1064</v>
      </c>
    </row>
    <row r="4582" spans="1:5" x14ac:dyDescent="0.55000000000000004">
      <c r="A4582" t="str">
        <f>TEST_DATA!A4582</f>
        <v>27AAAAA4582Z5</v>
      </c>
      <c r="B4582" t="str">
        <f>TEST_DATA!B4582</f>
        <v>Jan-2019</v>
      </c>
      <c r="C4582">
        <f>TEST_DATA!C4582</f>
        <v>44113</v>
      </c>
      <c r="D4582" t="str">
        <f>TEST_DATA!D4582</f>
        <v>NIL</v>
      </c>
      <c r="E4582">
        <f>TEST_DATA!E4582</f>
        <v>897</v>
      </c>
    </row>
    <row r="4583" spans="1:5" x14ac:dyDescent="0.55000000000000004">
      <c r="A4583" t="str">
        <f>TEST_DATA!A4583</f>
        <v>27AAAAA4583Z5</v>
      </c>
      <c r="B4583" t="str">
        <f>TEST_DATA!B4583</f>
        <v>Mar-2023</v>
      </c>
      <c r="C4583">
        <f>TEST_DATA!C4583</f>
        <v>45584</v>
      </c>
      <c r="D4583" t="str">
        <f>TEST_DATA!D4583</f>
        <v>NIL</v>
      </c>
      <c r="E4583">
        <f>TEST_DATA!E4583</f>
        <v>148</v>
      </c>
    </row>
    <row r="4584" spans="1:5" x14ac:dyDescent="0.55000000000000004">
      <c r="A4584" t="str">
        <f>TEST_DATA!A4584</f>
        <v>27AAAAA4584Z5</v>
      </c>
      <c r="B4584" t="str">
        <f>TEST_DATA!B4584</f>
        <v>Jul-2018</v>
      </c>
      <c r="C4584">
        <f>TEST_DATA!C4584</f>
        <v>43663</v>
      </c>
      <c r="D4584" t="str">
        <f>TEST_DATA!D4584</f>
        <v>NIL</v>
      </c>
      <c r="E4584">
        <f>TEST_DATA!E4584</f>
        <v>936</v>
      </c>
    </row>
    <row r="4585" spans="1:5" x14ac:dyDescent="0.55000000000000004">
      <c r="A4585" t="str">
        <f>TEST_DATA!A4585</f>
        <v>27AAAAA4585Z5</v>
      </c>
      <c r="B4585" t="str">
        <f>TEST_DATA!B4585</f>
        <v>Sep-2017</v>
      </c>
      <c r="C4585">
        <f>TEST_DATA!C4585</f>
        <v>44365</v>
      </c>
      <c r="D4585" t="str">
        <f>TEST_DATA!D4585</f>
        <v>NIL</v>
      </c>
      <c r="E4585">
        <f>TEST_DATA!E4585</f>
        <v>378</v>
      </c>
    </row>
    <row r="4586" spans="1:5" x14ac:dyDescent="0.55000000000000004">
      <c r="A4586" t="str">
        <f>TEST_DATA!A4586</f>
        <v>27AAAAA4586Z5</v>
      </c>
      <c r="B4586" t="str">
        <f>TEST_DATA!B4586</f>
        <v>Apr-2020</v>
      </c>
      <c r="C4586">
        <f>TEST_DATA!C4586</f>
        <v>43933</v>
      </c>
      <c r="D4586" t="str">
        <f>TEST_DATA!D4586</f>
        <v>NON-NIL</v>
      </c>
      <c r="E4586">
        <f>TEST_DATA!E4586</f>
        <v>324</v>
      </c>
    </row>
    <row r="4587" spans="1:5" x14ac:dyDescent="0.55000000000000004">
      <c r="A4587" t="str">
        <f>TEST_DATA!A4587</f>
        <v>27AAAAA4587Z5</v>
      </c>
      <c r="B4587" t="str">
        <f>TEST_DATA!B4587</f>
        <v>Jun-2019</v>
      </c>
      <c r="C4587">
        <f>TEST_DATA!C4587</f>
        <v>44511</v>
      </c>
      <c r="D4587" t="str">
        <f>TEST_DATA!D4587</f>
        <v>NON-NIL</v>
      </c>
      <c r="E4587">
        <f>TEST_DATA!E4587</f>
        <v>610</v>
      </c>
    </row>
    <row r="4588" spans="1:5" x14ac:dyDescent="0.55000000000000004">
      <c r="A4588" t="str">
        <f>TEST_DATA!A4588</f>
        <v>27AAAAA4588Z5</v>
      </c>
      <c r="B4588" t="str">
        <f>TEST_DATA!B4588</f>
        <v>Apr-2018</v>
      </c>
      <c r="C4588">
        <f>TEST_DATA!C4588</f>
        <v>43207</v>
      </c>
      <c r="D4588" t="str">
        <f>TEST_DATA!D4588</f>
        <v>NON-NIL</v>
      </c>
      <c r="E4588">
        <f>TEST_DATA!E4588</f>
        <v>1140</v>
      </c>
    </row>
    <row r="4589" spans="1:5" x14ac:dyDescent="0.55000000000000004">
      <c r="A4589" t="str">
        <f>TEST_DATA!A4589</f>
        <v>27AAAAA4589Z5</v>
      </c>
      <c r="B4589" t="str">
        <f>TEST_DATA!B4589</f>
        <v>Mar-2023</v>
      </c>
      <c r="C4589">
        <f>TEST_DATA!C4589</f>
        <v>44227</v>
      </c>
      <c r="D4589" t="str">
        <f>TEST_DATA!D4589</f>
        <v>NIL</v>
      </c>
      <c r="E4589">
        <f>TEST_DATA!E4589</f>
        <v>1677</v>
      </c>
    </row>
    <row r="4590" spans="1:5" x14ac:dyDescent="0.55000000000000004">
      <c r="A4590" t="str">
        <f>TEST_DATA!A4590</f>
        <v>27AAAAA4590Z5</v>
      </c>
      <c r="B4590" t="str">
        <f>TEST_DATA!B4590</f>
        <v>Apr-2018</v>
      </c>
      <c r="C4590">
        <f>TEST_DATA!C4590</f>
        <v>43258</v>
      </c>
      <c r="D4590" t="str">
        <f>TEST_DATA!D4590</f>
        <v>NIL</v>
      </c>
      <c r="E4590">
        <f>TEST_DATA!E4590</f>
        <v>949</v>
      </c>
    </row>
    <row r="4591" spans="1:5" x14ac:dyDescent="0.55000000000000004">
      <c r="A4591" t="str">
        <f>TEST_DATA!A4591</f>
        <v>27AAAAA4591Z5</v>
      </c>
      <c r="B4591" t="str">
        <f>TEST_DATA!B4591</f>
        <v>Mar-2023</v>
      </c>
      <c r="C4591">
        <f>TEST_DATA!C4591</f>
        <v>43843</v>
      </c>
      <c r="D4591" t="str">
        <f>TEST_DATA!D4591</f>
        <v>NIL</v>
      </c>
      <c r="E4591">
        <f>TEST_DATA!E4591</f>
        <v>2345</v>
      </c>
    </row>
    <row r="4592" spans="1:5" x14ac:dyDescent="0.55000000000000004">
      <c r="A4592" t="str">
        <f>TEST_DATA!A4592</f>
        <v>27AAAAA4592Z5</v>
      </c>
      <c r="B4592" t="str">
        <f>TEST_DATA!B4592</f>
        <v>May-2020</v>
      </c>
      <c r="C4592">
        <f>TEST_DATA!C4592</f>
        <v>44191</v>
      </c>
      <c r="D4592" t="str">
        <f>TEST_DATA!D4592</f>
        <v>NON-NIL</v>
      </c>
      <c r="E4592">
        <f>TEST_DATA!E4592</f>
        <v>2244</v>
      </c>
    </row>
    <row r="4593" spans="1:5" x14ac:dyDescent="0.55000000000000004">
      <c r="A4593" t="str">
        <f>TEST_DATA!A4593</f>
        <v>27AAAAA4593Z5</v>
      </c>
      <c r="B4593" t="str">
        <f>TEST_DATA!B4593</f>
        <v>Jan-2019</v>
      </c>
      <c r="C4593">
        <f>TEST_DATA!C4593</f>
        <v>45199</v>
      </c>
      <c r="D4593" t="str">
        <f>TEST_DATA!D4593</f>
        <v>NIL</v>
      </c>
      <c r="E4593">
        <f>TEST_DATA!E4593</f>
        <v>967</v>
      </c>
    </row>
    <row r="4594" spans="1:5" x14ac:dyDescent="0.55000000000000004">
      <c r="A4594" t="str">
        <f>TEST_DATA!A4594</f>
        <v>27AAAAA4594Z5</v>
      </c>
      <c r="B4594" t="str">
        <f>TEST_DATA!B4594</f>
        <v>Jul-2017</v>
      </c>
      <c r="C4594">
        <f>TEST_DATA!C4594</f>
        <v>43317</v>
      </c>
      <c r="D4594" t="str">
        <f>TEST_DATA!D4594</f>
        <v>NIL</v>
      </c>
      <c r="E4594">
        <f>TEST_DATA!E4594</f>
        <v>275</v>
      </c>
    </row>
    <row r="4595" spans="1:5" x14ac:dyDescent="0.55000000000000004">
      <c r="A4595" t="str">
        <f>TEST_DATA!A4595</f>
        <v>27AAAAA4595Z5</v>
      </c>
      <c r="B4595" t="str">
        <f>TEST_DATA!B4595</f>
        <v>Mar-2021</v>
      </c>
      <c r="C4595">
        <f>TEST_DATA!C4595</f>
        <v>43881</v>
      </c>
      <c r="D4595" t="str">
        <f>TEST_DATA!D4595</f>
        <v>NON-NIL</v>
      </c>
      <c r="E4595">
        <f>TEST_DATA!E4595</f>
        <v>732</v>
      </c>
    </row>
    <row r="4596" spans="1:5" x14ac:dyDescent="0.55000000000000004">
      <c r="A4596" t="str">
        <f>TEST_DATA!A4596</f>
        <v>27AAAAA4596Z5</v>
      </c>
      <c r="B4596" t="str">
        <f>TEST_DATA!B4596</f>
        <v>Dec-2019</v>
      </c>
      <c r="C4596">
        <f>TEST_DATA!C4596</f>
        <v>43974</v>
      </c>
      <c r="D4596" t="str">
        <f>TEST_DATA!D4596</f>
        <v>NON-NIL</v>
      </c>
      <c r="E4596">
        <f>TEST_DATA!E4596</f>
        <v>2266</v>
      </c>
    </row>
    <row r="4597" spans="1:5" x14ac:dyDescent="0.55000000000000004">
      <c r="A4597" t="str">
        <f>TEST_DATA!A4597</f>
        <v>27AAAAA4597Z5</v>
      </c>
      <c r="B4597" t="str">
        <f>TEST_DATA!B4597</f>
        <v>Mar-2021</v>
      </c>
      <c r="C4597">
        <f>TEST_DATA!C4597</f>
        <v>44977</v>
      </c>
      <c r="D4597" t="str">
        <f>TEST_DATA!D4597</f>
        <v>NIL</v>
      </c>
      <c r="E4597">
        <f>TEST_DATA!E4597</f>
        <v>625</v>
      </c>
    </row>
    <row r="4598" spans="1:5" x14ac:dyDescent="0.55000000000000004">
      <c r="A4598" t="str">
        <f>TEST_DATA!A4598</f>
        <v>27AAAAA4598Z5</v>
      </c>
      <c r="B4598" t="str">
        <f>TEST_DATA!B4598</f>
        <v>Dec-2019</v>
      </c>
      <c r="C4598">
        <f>TEST_DATA!C4598</f>
        <v>44231</v>
      </c>
      <c r="D4598" t="str">
        <f>TEST_DATA!D4598</f>
        <v>NIL</v>
      </c>
      <c r="E4598">
        <f>TEST_DATA!E4598</f>
        <v>35</v>
      </c>
    </row>
    <row r="4599" spans="1:5" x14ac:dyDescent="0.55000000000000004">
      <c r="A4599" t="str">
        <f>TEST_DATA!A4599</f>
        <v>27AAAAA4599Z5</v>
      </c>
      <c r="B4599" t="str">
        <f>TEST_DATA!B4599</f>
        <v>May-2018</v>
      </c>
      <c r="C4599">
        <f>TEST_DATA!C4599</f>
        <v>43268</v>
      </c>
      <c r="D4599" t="str">
        <f>TEST_DATA!D4599</f>
        <v>NON-NIL</v>
      </c>
      <c r="E4599">
        <f>TEST_DATA!E4599</f>
        <v>2102</v>
      </c>
    </row>
    <row r="4600" spans="1:5" x14ac:dyDescent="0.55000000000000004">
      <c r="A4600" t="str">
        <f>TEST_DATA!A4600</f>
        <v>27AAAAA4600Z5</v>
      </c>
      <c r="B4600" t="str">
        <f>TEST_DATA!B4600</f>
        <v>Dec-2022</v>
      </c>
      <c r="C4600">
        <f>TEST_DATA!C4600</f>
        <v>43550</v>
      </c>
      <c r="D4600" t="str">
        <f>TEST_DATA!D4600</f>
        <v>NIL</v>
      </c>
      <c r="E4600">
        <f>TEST_DATA!E4600</f>
        <v>1613</v>
      </c>
    </row>
    <row r="4601" spans="1:5" x14ac:dyDescent="0.55000000000000004">
      <c r="A4601" t="str">
        <f>TEST_DATA!A4601</f>
        <v>27AAAAA4601Z5</v>
      </c>
      <c r="B4601" t="str">
        <f>TEST_DATA!B4601</f>
        <v>Nov-2017</v>
      </c>
      <c r="C4601">
        <f>TEST_DATA!C4601</f>
        <v>43259</v>
      </c>
      <c r="D4601" t="str">
        <f>TEST_DATA!D4601</f>
        <v>NIL</v>
      </c>
      <c r="E4601">
        <f>TEST_DATA!E4601</f>
        <v>1921</v>
      </c>
    </row>
    <row r="4602" spans="1:5" x14ac:dyDescent="0.55000000000000004">
      <c r="A4602" t="str">
        <f>TEST_DATA!A4602</f>
        <v>27AAAAA4602Z5</v>
      </c>
      <c r="B4602" t="str">
        <f>TEST_DATA!B4602</f>
        <v>Nov-2017</v>
      </c>
      <c r="C4602">
        <f>TEST_DATA!C4602</f>
        <v>43187</v>
      </c>
      <c r="D4602" t="str">
        <f>TEST_DATA!D4602</f>
        <v>NIL</v>
      </c>
      <c r="E4602">
        <f>TEST_DATA!E4602</f>
        <v>2494</v>
      </c>
    </row>
    <row r="4603" spans="1:5" x14ac:dyDescent="0.55000000000000004">
      <c r="A4603" t="str">
        <f>TEST_DATA!A4603</f>
        <v>27AAAAA4603Z5</v>
      </c>
      <c r="B4603" t="str">
        <f>TEST_DATA!B4603</f>
        <v>Dec-2022</v>
      </c>
      <c r="C4603">
        <f>TEST_DATA!C4603</f>
        <v>44970</v>
      </c>
      <c r="D4603" t="str">
        <f>TEST_DATA!D4603</f>
        <v>NON-NIL</v>
      </c>
      <c r="E4603">
        <f>TEST_DATA!E4603</f>
        <v>1894</v>
      </c>
    </row>
    <row r="4604" spans="1:5" x14ac:dyDescent="0.55000000000000004">
      <c r="A4604" t="str">
        <f>TEST_DATA!A4604</f>
        <v>27AAAAA4604Z5</v>
      </c>
      <c r="B4604" t="str">
        <f>TEST_DATA!B4604</f>
        <v>Feb-2018</v>
      </c>
      <c r="C4604">
        <f>TEST_DATA!C4604</f>
        <v>43848</v>
      </c>
      <c r="D4604" t="str">
        <f>TEST_DATA!D4604</f>
        <v>NIL</v>
      </c>
      <c r="E4604">
        <f>TEST_DATA!E4604</f>
        <v>2909</v>
      </c>
    </row>
    <row r="4605" spans="1:5" x14ac:dyDescent="0.55000000000000004">
      <c r="A4605" t="str">
        <f>TEST_DATA!A4605</f>
        <v>27AAAAA4605Z5</v>
      </c>
      <c r="B4605" t="str">
        <f>TEST_DATA!B4605</f>
        <v>Oct-2017</v>
      </c>
      <c r="C4605">
        <f>TEST_DATA!C4605</f>
        <v>44378</v>
      </c>
      <c r="D4605" t="str">
        <f>TEST_DATA!D4605</f>
        <v>NIL</v>
      </c>
      <c r="E4605">
        <f>TEST_DATA!E4605</f>
        <v>663</v>
      </c>
    </row>
    <row r="4606" spans="1:5" x14ac:dyDescent="0.55000000000000004">
      <c r="A4606" t="str">
        <f>TEST_DATA!A4606</f>
        <v>27AAAAA4606Z5</v>
      </c>
      <c r="B4606" t="str">
        <f>TEST_DATA!B4606</f>
        <v>May-2020</v>
      </c>
      <c r="C4606">
        <f>TEST_DATA!C4606</f>
        <v>43917</v>
      </c>
      <c r="D4606" t="str">
        <f>TEST_DATA!D4606</f>
        <v>NIL</v>
      </c>
      <c r="E4606">
        <f>TEST_DATA!E4606</f>
        <v>1545</v>
      </c>
    </row>
    <row r="4607" spans="1:5" x14ac:dyDescent="0.55000000000000004">
      <c r="A4607" t="str">
        <f>TEST_DATA!A4607</f>
        <v>27AAAAA4607Z5</v>
      </c>
      <c r="B4607" t="str">
        <f>TEST_DATA!B4607</f>
        <v>Nov-2017</v>
      </c>
      <c r="C4607">
        <f>TEST_DATA!C4607</f>
        <v>42918</v>
      </c>
      <c r="D4607" t="str">
        <f>TEST_DATA!D4607</f>
        <v>NON-NIL</v>
      </c>
      <c r="E4607">
        <f>TEST_DATA!E4607</f>
        <v>1887</v>
      </c>
    </row>
    <row r="4608" spans="1:5" x14ac:dyDescent="0.55000000000000004">
      <c r="A4608" t="str">
        <f>TEST_DATA!A4608</f>
        <v>27AAAAA4608Z5</v>
      </c>
      <c r="B4608" t="str">
        <f>TEST_DATA!B4608</f>
        <v>Jun-2019</v>
      </c>
      <c r="C4608">
        <f>TEST_DATA!C4608</f>
        <v>45472</v>
      </c>
      <c r="D4608" t="str">
        <f>TEST_DATA!D4608</f>
        <v>NON-NIL</v>
      </c>
      <c r="E4608">
        <f>TEST_DATA!E4608</f>
        <v>2254</v>
      </c>
    </row>
    <row r="4609" spans="1:5" x14ac:dyDescent="0.55000000000000004">
      <c r="A4609" t="str">
        <f>TEST_DATA!A4609</f>
        <v>27AAAAA4609Z5</v>
      </c>
      <c r="B4609" t="str">
        <f>TEST_DATA!B4609</f>
        <v>Dec-2019</v>
      </c>
      <c r="C4609">
        <f>TEST_DATA!C4609</f>
        <v>45120</v>
      </c>
      <c r="D4609" t="str">
        <f>TEST_DATA!D4609</f>
        <v>NON-NIL</v>
      </c>
      <c r="E4609">
        <f>TEST_DATA!E4609</f>
        <v>2651</v>
      </c>
    </row>
    <row r="4610" spans="1:5" x14ac:dyDescent="0.55000000000000004">
      <c r="A4610" t="str">
        <f>TEST_DATA!A4610</f>
        <v>27AAAAA4610Z5</v>
      </c>
      <c r="B4610" t="str">
        <f>TEST_DATA!B4610</f>
        <v>Jun-2019</v>
      </c>
      <c r="C4610">
        <f>TEST_DATA!C4610</f>
        <v>44915</v>
      </c>
      <c r="D4610" t="str">
        <f>TEST_DATA!D4610</f>
        <v>NON-NIL</v>
      </c>
      <c r="E4610">
        <f>TEST_DATA!E4610</f>
        <v>1029</v>
      </c>
    </row>
    <row r="4611" spans="1:5" x14ac:dyDescent="0.55000000000000004">
      <c r="A4611" t="str">
        <f>TEST_DATA!A4611</f>
        <v>27AAAAA4611Z5</v>
      </c>
      <c r="B4611" t="str">
        <f>TEST_DATA!B4611</f>
        <v>Jun-2019</v>
      </c>
      <c r="C4611">
        <f>TEST_DATA!C4611</f>
        <v>45135</v>
      </c>
      <c r="D4611" t="str">
        <f>TEST_DATA!D4611</f>
        <v>NIL</v>
      </c>
      <c r="E4611">
        <f>TEST_DATA!E4611</f>
        <v>2060</v>
      </c>
    </row>
    <row r="4612" spans="1:5" x14ac:dyDescent="0.55000000000000004">
      <c r="A4612" t="str">
        <f>TEST_DATA!A4612</f>
        <v>27AAAAA4612Z5</v>
      </c>
      <c r="B4612" t="str">
        <f>TEST_DATA!B4612</f>
        <v>Mar-2023</v>
      </c>
      <c r="C4612">
        <f>TEST_DATA!C4612</f>
        <v>45512</v>
      </c>
      <c r="D4612" t="str">
        <f>TEST_DATA!D4612</f>
        <v>NIL</v>
      </c>
      <c r="E4612">
        <f>TEST_DATA!E4612</f>
        <v>149</v>
      </c>
    </row>
    <row r="4613" spans="1:5" x14ac:dyDescent="0.55000000000000004">
      <c r="A4613" t="str">
        <f>TEST_DATA!A4613</f>
        <v>27AAAAA4613Z5</v>
      </c>
      <c r="B4613" t="str">
        <f>TEST_DATA!B4613</f>
        <v>Jan-2018</v>
      </c>
      <c r="C4613">
        <f>TEST_DATA!C4613</f>
        <v>43067</v>
      </c>
      <c r="D4613" t="str">
        <f>TEST_DATA!D4613</f>
        <v>NON-NIL</v>
      </c>
      <c r="E4613">
        <f>TEST_DATA!E4613</f>
        <v>1222</v>
      </c>
    </row>
    <row r="4614" spans="1:5" x14ac:dyDescent="0.55000000000000004">
      <c r="A4614" t="str">
        <f>TEST_DATA!A4614</f>
        <v>27AAAAA4614Z5</v>
      </c>
      <c r="B4614" t="str">
        <f>TEST_DATA!B4614</f>
        <v>Oct-2017</v>
      </c>
      <c r="C4614">
        <f>TEST_DATA!C4614</f>
        <v>44154</v>
      </c>
      <c r="D4614" t="str">
        <f>TEST_DATA!D4614</f>
        <v>NON-NIL</v>
      </c>
      <c r="E4614">
        <f>TEST_DATA!E4614</f>
        <v>1567</v>
      </c>
    </row>
    <row r="4615" spans="1:5" x14ac:dyDescent="0.55000000000000004">
      <c r="A4615" t="str">
        <f>TEST_DATA!A4615</f>
        <v>27AAAAA4615Z5</v>
      </c>
      <c r="B4615" t="str">
        <f>TEST_DATA!B4615</f>
        <v>Jul-2018</v>
      </c>
      <c r="C4615">
        <f>TEST_DATA!C4615</f>
        <v>43530</v>
      </c>
      <c r="D4615" t="str">
        <f>TEST_DATA!D4615</f>
        <v>NON-NIL</v>
      </c>
      <c r="E4615">
        <f>TEST_DATA!E4615</f>
        <v>97</v>
      </c>
    </row>
    <row r="4616" spans="1:5" x14ac:dyDescent="0.55000000000000004">
      <c r="A4616" t="str">
        <f>TEST_DATA!A4616</f>
        <v>27AAAAA4616Z5</v>
      </c>
      <c r="B4616" t="str">
        <f>TEST_DATA!B4616</f>
        <v>May-2018</v>
      </c>
      <c r="C4616">
        <f>TEST_DATA!C4616</f>
        <v>43914</v>
      </c>
      <c r="D4616" t="str">
        <f>TEST_DATA!D4616</f>
        <v>NIL</v>
      </c>
      <c r="E4616">
        <f>TEST_DATA!E4616</f>
        <v>65</v>
      </c>
    </row>
    <row r="4617" spans="1:5" x14ac:dyDescent="0.55000000000000004">
      <c r="A4617" t="str">
        <f>TEST_DATA!A4617</f>
        <v>27AAAAA4617Z5</v>
      </c>
      <c r="B4617" t="str">
        <f>TEST_DATA!B4617</f>
        <v>Jan-2018</v>
      </c>
      <c r="C4617">
        <f>TEST_DATA!C4617</f>
        <v>43808</v>
      </c>
      <c r="D4617" t="str">
        <f>TEST_DATA!D4617</f>
        <v>NIL</v>
      </c>
      <c r="E4617">
        <f>TEST_DATA!E4617</f>
        <v>1842</v>
      </c>
    </row>
    <row r="4618" spans="1:5" x14ac:dyDescent="0.55000000000000004">
      <c r="A4618" t="str">
        <f>TEST_DATA!A4618</f>
        <v>27AAAAA4618Z5</v>
      </c>
      <c r="B4618" t="str">
        <f>TEST_DATA!B4618</f>
        <v>Mar-2023</v>
      </c>
      <c r="C4618">
        <f>TEST_DATA!C4618</f>
        <v>44038</v>
      </c>
      <c r="D4618" t="str">
        <f>TEST_DATA!D4618</f>
        <v>NON-NIL</v>
      </c>
      <c r="E4618">
        <f>TEST_DATA!E4618</f>
        <v>1623</v>
      </c>
    </row>
    <row r="4619" spans="1:5" x14ac:dyDescent="0.55000000000000004">
      <c r="A4619" t="str">
        <f>TEST_DATA!A4619</f>
        <v>27AAAAA4619Z5</v>
      </c>
      <c r="B4619" t="str">
        <f>TEST_DATA!B4619</f>
        <v>Feb-2018</v>
      </c>
      <c r="C4619">
        <f>TEST_DATA!C4619</f>
        <v>43208</v>
      </c>
      <c r="D4619" t="str">
        <f>TEST_DATA!D4619</f>
        <v>NIL</v>
      </c>
      <c r="E4619">
        <f>TEST_DATA!E4619</f>
        <v>930</v>
      </c>
    </row>
    <row r="4620" spans="1:5" x14ac:dyDescent="0.55000000000000004">
      <c r="A4620" t="str">
        <f>TEST_DATA!A4620</f>
        <v>27AAAAA4620Z5</v>
      </c>
      <c r="B4620" t="str">
        <f>TEST_DATA!B4620</f>
        <v>Dec-2024</v>
      </c>
      <c r="C4620">
        <f>TEST_DATA!C4620</f>
        <v>45264</v>
      </c>
      <c r="D4620" t="str">
        <f>TEST_DATA!D4620</f>
        <v>NON-NIL</v>
      </c>
      <c r="E4620">
        <f>TEST_DATA!E4620</f>
        <v>1993</v>
      </c>
    </row>
    <row r="4621" spans="1:5" x14ac:dyDescent="0.55000000000000004">
      <c r="A4621" t="str">
        <f>TEST_DATA!A4621</f>
        <v>27AAAAA4621Z5</v>
      </c>
      <c r="B4621" t="str">
        <f>TEST_DATA!B4621</f>
        <v>Jul-2018</v>
      </c>
      <c r="C4621">
        <f>TEST_DATA!C4621</f>
        <v>43872</v>
      </c>
      <c r="D4621" t="str">
        <f>TEST_DATA!D4621</f>
        <v>NON-NIL</v>
      </c>
      <c r="E4621">
        <f>TEST_DATA!E4621</f>
        <v>1521</v>
      </c>
    </row>
    <row r="4622" spans="1:5" x14ac:dyDescent="0.55000000000000004">
      <c r="A4622" t="str">
        <f>TEST_DATA!A4622</f>
        <v>27AAAAA4622Z5</v>
      </c>
      <c r="B4622" t="str">
        <f>TEST_DATA!B4622</f>
        <v>Dec-2024</v>
      </c>
      <c r="C4622">
        <f>TEST_DATA!C4622</f>
        <v>44304</v>
      </c>
      <c r="D4622" t="str">
        <f>TEST_DATA!D4622</f>
        <v>NON-NIL</v>
      </c>
      <c r="E4622">
        <f>TEST_DATA!E4622</f>
        <v>534</v>
      </c>
    </row>
    <row r="4623" spans="1:5" x14ac:dyDescent="0.55000000000000004">
      <c r="A4623" t="str">
        <f>TEST_DATA!A4623</f>
        <v>27AAAAA4623Z5</v>
      </c>
      <c r="B4623" t="str">
        <f>TEST_DATA!B4623</f>
        <v>Aug-2018</v>
      </c>
      <c r="C4623">
        <f>TEST_DATA!C4623</f>
        <v>43022</v>
      </c>
      <c r="D4623" t="str">
        <f>TEST_DATA!D4623</f>
        <v>NIL</v>
      </c>
      <c r="E4623">
        <f>TEST_DATA!E4623</f>
        <v>596</v>
      </c>
    </row>
    <row r="4624" spans="1:5" x14ac:dyDescent="0.55000000000000004">
      <c r="A4624" t="str">
        <f>TEST_DATA!A4624</f>
        <v>27AAAAA4624Z5</v>
      </c>
      <c r="B4624" t="str">
        <f>TEST_DATA!B4624</f>
        <v>Dec-2024</v>
      </c>
      <c r="C4624">
        <f>TEST_DATA!C4624</f>
        <v>43880</v>
      </c>
      <c r="D4624" t="str">
        <f>TEST_DATA!D4624</f>
        <v>NON-NIL</v>
      </c>
      <c r="E4624">
        <f>TEST_DATA!E4624</f>
        <v>1532</v>
      </c>
    </row>
    <row r="4625" spans="1:5" x14ac:dyDescent="0.55000000000000004">
      <c r="A4625" t="str">
        <f>TEST_DATA!A4625</f>
        <v>27AAAAA4625Z5</v>
      </c>
      <c r="B4625" t="str">
        <f>TEST_DATA!B4625</f>
        <v>Aug-2017</v>
      </c>
      <c r="C4625">
        <f>TEST_DATA!C4625</f>
        <v>43634</v>
      </c>
      <c r="D4625" t="str">
        <f>TEST_DATA!D4625</f>
        <v>NON-NIL</v>
      </c>
      <c r="E4625">
        <f>TEST_DATA!E4625</f>
        <v>1583</v>
      </c>
    </row>
    <row r="4626" spans="1:5" x14ac:dyDescent="0.55000000000000004">
      <c r="A4626" t="str">
        <f>TEST_DATA!A4626</f>
        <v>27AAAAA4626Z5</v>
      </c>
      <c r="B4626" t="str">
        <f>TEST_DATA!B4626</f>
        <v>Dec-2024</v>
      </c>
      <c r="C4626">
        <f>TEST_DATA!C4626</f>
        <v>45241</v>
      </c>
      <c r="D4626" t="str">
        <f>TEST_DATA!D4626</f>
        <v>NIL</v>
      </c>
      <c r="E4626">
        <f>TEST_DATA!E4626</f>
        <v>2450</v>
      </c>
    </row>
    <row r="4627" spans="1:5" x14ac:dyDescent="0.55000000000000004">
      <c r="A4627" t="str">
        <f>TEST_DATA!A4627</f>
        <v>27AAAAA4627Z5</v>
      </c>
      <c r="B4627" t="str">
        <f>TEST_DATA!B4627</f>
        <v>Apr-2018</v>
      </c>
      <c r="C4627">
        <f>TEST_DATA!C4627</f>
        <v>43643</v>
      </c>
      <c r="D4627" t="str">
        <f>TEST_DATA!D4627</f>
        <v>NON-NIL</v>
      </c>
      <c r="E4627">
        <f>TEST_DATA!E4627</f>
        <v>165</v>
      </c>
    </row>
    <row r="4628" spans="1:5" x14ac:dyDescent="0.55000000000000004">
      <c r="A4628" t="str">
        <f>TEST_DATA!A4628</f>
        <v>27AAAAA4628Z5</v>
      </c>
      <c r="B4628" t="str">
        <f>TEST_DATA!B4628</f>
        <v>Mar-2023</v>
      </c>
      <c r="C4628">
        <f>TEST_DATA!C4628</f>
        <v>45429</v>
      </c>
      <c r="D4628" t="str">
        <f>TEST_DATA!D4628</f>
        <v>NIL</v>
      </c>
      <c r="E4628">
        <f>TEST_DATA!E4628</f>
        <v>1443</v>
      </c>
    </row>
    <row r="4629" spans="1:5" x14ac:dyDescent="0.55000000000000004">
      <c r="A4629" t="str">
        <f>TEST_DATA!A4629</f>
        <v>27AAAAA4629Z5</v>
      </c>
      <c r="B4629" t="str">
        <f>TEST_DATA!B4629</f>
        <v>May-2018</v>
      </c>
      <c r="C4629">
        <f>TEST_DATA!C4629</f>
        <v>43313</v>
      </c>
      <c r="D4629" t="str">
        <f>TEST_DATA!D4629</f>
        <v>NON-NIL</v>
      </c>
      <c r="E4629">
        <f>TEST_DATA!E4629</f>
        <v>2075</v>
      </c>
    </row>
    <row r="4630" spans="1:5" x14ac:dyDescent="0.55000000000000004">
      <c r="A4630" t="str">
        <f>TEST_DATA!A4630</f>
        <v>27AAAAA4630Z5</v>
      </c>
      <c r="B4630" t="str">
        <f>TEST_DATA!B4630</f>
        <v>Dec-2017</v>
      </c>
      <c r="C4630">
        <f>TEST_DATA!C4630</f>
        <v>42939</v>
      </c>
      <c r="D4630" t="str">
        <f>TEST_DATA!D4630</f>
        <v>NIL</v>
      </c>
      <c r="E4630">
        <f>TEST_DATA!E4630</f>
        <v>597</v>
      </c>
    </row>
    <row r="4631" spans="1:5" x14ac:dyDescent="0.55000000000000004">
      <c r="A4631" t="str">
        <f>TEST_DATA!A4631</f>
        <v>27AAAAA4631Z5</v>
      </c>
      <c r="B4631" t="str">
        <f>TEST_DATA!B4631</f>
        <v>Jan-2021</v>
      </c>
      <c r="C4631">
        <f>TEST_DATA!C4631</f>
        <v>45766</v>
      </c>
      <c r="D4631" t="str">
        <f>TEST_DATA!D4631</f>
        <v>NON-NIL</v>
      </c>
      <c r="E4631">
        <f>TEST_DATA!E4631</f>
        <v>245</v>
      </c>
    </row>
    <row r="4632" spans="1:5" x14ac:dyDescent="0.55000000000000004">
      <c r="A4632" t="str">
        <f>TEST_DATA!A4632</f>
        <v>27AAAAA4632Z5</v>
      </c>
      <c r="B4632" t="str">
        <f>TEST_DATA!B4632</f>
        <v>Jul-2017</v>
      </c>
      <c r="C4632">
        <f>TEST_DATA!C4632</f>
        <v>43960</v>
      </c>
      <c r="D4632" t="str">
        <f>TEST_DATA!D4632</f>
        <v>NIL</v>
      </c>
      <c r="E4632">
        <f>TEST_DATA!E4632</f>
        <v>2583</v>
      </c>
    </row>
    <row r="4633" spans="1:5" x14ac:dyDescent="0.55000000000000004">
      <c r="A4633" t="str">
        <f>TEST_DATA!A4633</f>
        <v>27AAAAA4633Z5</v>
      </c>
      <c r="B4633" t="str">
        <f>TEST_DATA!B4633</f>
        <v>Jun-2019</v>
      </c>
      <c r="C4633">
        <f>TEST_DATA!C4633</f>
        <v>44986</v>
      </c>
      <c r="D4633" t="str">
        <f>TEST_DATA!D4633</f>
        <v>NIL</v>
      </c>
      <c r="E4633">
        <f>TEST_DATA!E4633</f>
        <v>1836</v>
      </c>
    </row>
    <row r="4634" spans="1:5" x14ac:dyDescent="0.55000000000000004">
      <c r="A4634" t="str">
        <f>TEST_DATA!A4634</f>
        <v>27AAAAA4634Z5</v>
      </c>
      <c r="B4634" t="str">
        <f>TEST_DATA!B4634</f>
        <v>Jul-2018</v>
      </c>
      <c r="C4634">
        <f>TEST_DATA!C4634</f>
        <v>43601</v>
      </c>
      <c r="D4634" t="str">
        <f>TEST_DATA!D4634</f>
        <v>NON-NIL</v>
      </c>
      <c r="E4634">
        <f>TEST_DATA!E4634</f>
        <v>1421</v>
      </c>
    </row>
    <row r="4635" spans="1:5" x14ac:dyDescent="0.55000000000000004">
      <c r="A4635" t="str">
        <f>TEST_DATA!A4635</f>
        <v>27AAAAA4635Z5</v>
      </c>
      <c r="B4635" t="str">
        <f>TEST_DATA!B4635</f>
        <v>Apr-2020</v>
      </c>
      <c r="C4635">
        <f>TEST_DATA!C4635</f>
        <v>44499</v>
      </c>
      <c r="D4635" t="str">
        <f>TEST_DATA!D4635</f>
        <v>NON-NIL</v>
      </c>
      <c r="E4635">
        <f>TEST_DATA!E4635</f>
        <v>1507</v>
      </c>
    </row>
    <row r="4636" spans="1:5" x14ac:dyDescent="0.55000000000000004">
      <c r="A4636" t="str">
        <f>TEST_DATA!A4636</f>
        <v>27AAAAA4636Z5</v>
      </c>
      <c r="B4636" t="str">
        <f>TEST_DATA!B4636</f>
        <v>Aug-2017</v>
      </c>
      <c r="C4636">
        <f>TEST_DATA!C4636</f>
        <v>44557</v>
      </c>
      <c r="D4636" t="str">
        <f>TEST_DATA!D4636</f>
        <v>NIL</v>
      </c>
      <c r="E4636">
        <f>TEST_DATA!E4636</f>
        <v>1795</v>
      </c>
    </row>
    <row r="4637" spans="1:5" x14ac:dyDescent="0.55000000000000004">
      <c r="A4637" t="str">
        <f>TEST_DATA!A4637</f>
        <v>27AAAAA4637Z5</v>
      </c>
      <c r="B4637" t="str">
        <f>TEST_DATA!B4637</f>
        <v>Mar-2021</v>
      </c>
      <c r="C4637">
        <f>TEST_DATA!C4637</f>
        <v>45462</v>
      </c>
      <c r="D4637" t="str">
        <f>TEST_DATA!D4637</f>
        <v>NON-NIL</v>
      </c>
      <c r="E4637">
        <f>TEST_DATA!E4637</f>
        <v>2105</v>
      </c>
    </row>
    <row r="4638" spans="1:5" x14ac:dyDescent="0.55000000000000004">
      <c r="A4638" t="str">
        <f>TEST_DATA!A4638</f>
        <v>27AAAAA4638Z5</v>
      </c>
      <c r="B4638" t="str">
        <f>TEST_DATA!B4638</f>
        <v>Aug-2017</v>
      </c>
      <c r="C4638">
        <f>TEST_DATA!C4638</f>
        <v>44281</v>
      </c>
      <c r="D4638" t="str">
        <f>TEST_DATA!D4638</f>
        <v>NIL</v>
      </c>
      <c r="E4638">
        <f>TEST_DATA!E4638</f>
        <v>628</v>
      </c>
    </row>
    <row r="4639" spans="1:5" x14ac:dyDescent="0.55000000000000004">
      <c r="A4639" t="str">
        <f>TEST_DATA!A4639</f>
        <v>27AAAAA4639Z5</v>
      </c>
      <c r="B4639" t="str">
        <f>TEST_DATA!B4639</f>
        <v>Dec-2022</v>
      </c>
      <c r="C4639">
        <f>TEST_DATA!C4639</f>
        <v>45013</v>
      </c>
      <c r="D4639" t="str">
        <f>TEST_DATA!D4639</f>
        <v>NON-NIL</v>
      </c>
      <c r="E4639">
        <f>TEST_DATA!E4639</f>
        <v>2705</v>
      </c>
    </row>
    <row r="4640" spans="1:5" x14ac:dyDescent="0.55000000000000004">
      <c r="A4640" t="str">
        <f>TEST_DATA!A4640</f>
        <v>27AAAAA4640Z5</v>
      </c>
      <c r="B4640" t="str">
        <f>TEST_DATA!B4640</f>
        <v>Jul-2020</v>
      </c>
      <c r="C4640">
        <f>TEST_DATA!C4640</f>
        <v>44731</v>
      </c>
      <c r="D4640" t="str">
        <f>TEST_DATA!D4640</f>
        <v>NON-NIL</v>
      </c>
      <c r="E4640">
        <f>TEST_DATA!E4640</f>
        <v>589</v>
      </c>
    </row>
    <row r="4641" spans="1:5" x14ac:dyDescent="0.55000000000000004">
      <c r="A4641" t="str">
        <f>TEST_DATA!A4641</f>
        <v>27AAAAA4641Z5</v>
      </c>
      <c r="B4641" t="str">
        <f>TEST_DATA!B4641</f>
        <v>Nov-2017</v>
      </c>
      <c r="C4641">
        <f>TEST_DATA!C4641</f>
        <v>44477</v>
      </c>
      <c r="D4641" t="str">
        <f>TEST_DATA!D4641</f>
        <v>NIL</v>
      </c>
      <c r="E4641">
        <f>TEST_DATA!E4641</f>
        <v>381</v>
      </c>
    </row>
    <row r="4642" spans="1:5" x14ac:dyDescent="0.55000000000000004">
      <c r="A4642" t="str">
        <f>TEST_DATA!A4642</f>
        <v>27AAAAA4642Z5</v>
      </c>
      <c r="B4642" t="str">
        <f>TEST_DATA!B4642</f>
        <v>Apr-2020</v>
      </c>
      <c r="C4642">
        <f>TEST_DATA!C4642</f>
        <v>44617</v>
      </c>
      <c r="D4642" t="str">
        <f>TEST_DATA!D4642</f>
        <v>NON-NIL</v>
      </c>
      <c r="E4642">
        <f>TEST_DATA!E4642</f>
        <v>1615</v>
      </c>
    </row>
    <row r="4643" spans="1:5" x14ac:dyDescent="0.55000000000000004">
      <c r="A4643" t="str">
        <f>TEST_DATA!A4643</f>
        <v>27AAAAA4643Z5</v>
      </c>
      <c r="B4643" t="str">
        <f>TEST_DATA!B4643</f>
        <v>Feb-2018</v>
      </c>
      <c r="C4643">
        <f>TEST_DATA!C4643</f>
        <v>43002</v>
      </c>
      <c r="D4643" t="str">
        <f>TEST_DATA!D4643</f>
        <v>NIL</v>
      </c>
      <c r="E4643">
        <f>TEST_DATA!E4643</f>
        <v>1240</v>
      </c>
    </row>
    <row r="4644" spans="1:5" x14ac:dyDescent="0.55000000000000004">
      <c r="A4644" t="str">
        <f>TEST_DATA!A4644</f>
        <v>27AAAAA4644Z5</v>
      </c>
      <c r="B4644" t="str">
        <f>TEST_DATA!B4644</f>
        <v>Jul-2017</v>
      </c>
      <c r="C4644">
        <f>TEST_DATA!C4644</f>
        <v>43189</v>
      </c>
      <c r="D4644" t="str">
        <f>TEST_DATA!D4644</f>
        <v>NIL</v>
      </c>
      <c r="E4644">
        <f>TEST_DATA!E4644</f>
        <v>1713</v>
      </c>
    </row>
    <row r="4645" spans="1:5" x14ac:dyDescent="0.55000000000000004">
      <c r="A4645" t="str">
        <f>TEST_DATA!A4645</f>
        <v>27AAAAA4645Z5</v>
      </c>
      <c r="B4645" t="str">
        <f>TEST_DATA!B4645</f>
        <v>Mar-2020</v>
      </c>
      <c r="C4645">
        <f>TEST_DATA!C4645</f>
        <v>44227</v>
      </c>
      <c r="D4645" t="str">
        <f>TEST_DATA!D4645</f>
        <v>NON-NIL</v>
      </c>
      <c r="E4645">
        <f>TEST_DATA!E4645</f>
        <v>621</v>
      </c>
    </row>
    <row r="4646" spans="1:5" x14ac:dyDescent="0.55000000000000004">
      <c r="A4646" t="str">
        <f>TEST_DATA!A4646</f>
        <v>27AAAAA4646Z5</v>
      </c>
      <c r="B4646" t="str">
        <f>TEST_DATA!B4646</f>
        <v>Aug-2018</v>
      </c>
      <c r="C4646">
        <f>TEST_DATA!C4646</f>
        <v>44037</v>
      </c>
      <c r="D4646" t="str">
        <f>TEST_DATA!D4646</f>
        <v>NON-NIL</v>
      </c>
      <c r="E4646">
        <f>TEST_DATA!E4646</f>
        <v>862</v>
      </c>
    </row>
    <row r="4647" spans="1:5" x14ac:dyDescent="0.55000000000000004">
      <c r="A4647" t="str">
        <f>TEST_DATA!A4647</f>
        <v>27AAAAA4647Z5</v>
      </c>
      <c r="B4647" t="str">
        <f>TEST_DATA!B4647</f>
        <v>Jul-2017</v>
      </c>
      <c r="C4647">
        <f>TEST_DATA!C4647</f>
        <v>43052</v>
      </c>
      <c r="D4647" t="str">
        <f>TEST_DATA!D4647</f>
        <v>NIL</v>
      </c>
      <c r="E4647">
        <f>TEST_DATA!E4647</f>
        <v>153</v>
      </c>
    </row>
    <row r="4648" spans="1:5" x14ac:dyDescent="0.55000000000000004">
      <c r="A4648" t="str">
        <f>TEST_DATA!A4648</f>
        <v>27AAAAA4648Z5</v>
      </c>
      <c r="B4648" t="str">
        <f>TEST_DATA!B4648</f>
        <v>Mar-2018</v>
      </c>
      <c r="C4648">
        <f>TEST_DATA!C4648</f>
        <v>44406</v>
      </c>
      <c r="D4648" t="str">
        <f>TEST_DATA!D4648</f>
        <v>NON-NIL</v>
      </c>
      <c r="E4648">
        <f>TEST_DATA!E4648</f>
        <v>270</v>
      </c>
    </row>
    <row r="4649" spans="1:5" x14ac:dyDescent="0.55000000000000004">
      <c r="A4649" t="str">
        <f>TEST_DATA!A4649</f>
        <v>27AAAAA4649Z5</v>
      </c>
      <c r="B4649" t="str">
        <f>TEST_DATA!B4649</f>
        <v>Feb-2018</v>
      </c>
      <c r="C4649">
        <f>TEST_DATA!C4649</f>
        <v>43876</v>
      </c>
      <c r="D4649" t="str">
        <f>TEST_DATA!D4649</f>
        <v>NIL</v>
      </c>
      <c r="E4649">
        <f>TEST_DATA!E4649</f>
        <v>2755</v>
      </c>
    </row>
    <row r="4650" spans="1:5" x14ac:dyDescent="0.55000000000000004">
      <c r="A4650" t="str">
        <f>TEST_DATA!A4650</f>
        <v>27AAAAA4650Z5</v>
      </c>
      <c r="B4650" t="str">
        <f>TEST_DATA!B4650</f>
        <v>Jan-2019</v>
      </c>
      <c r="C4650">
        <f>TEST_DATA!C4650</f>
        <v>43933</v>
      </c>
      <c r="D4650" t="str">
        <f>TEST_DATA!D4650</f>
        <v>NIL</v>
      </c>
      <c r="E4650">
        <f>TEST_DATA!E4650</f>
        <v>2741</v>
      </c>
    </row>
    <row r="4651" spans="1:5" x14ac:dyDescent="0.55000000000000004">
      <c r="A4651" t="str">
        <f>TEST_DATA!A4651</f>
        <v>27AAAAA4651Z5</v>
      </c>
      <c r="B4651" t="str">
        <f>TEST_DATA!B4651</f>
        <v>Sep-2018</v>
      </c>
      <c r="C4651">
        <f>TEST_DATA!C4651</f>
        <v>43618</v>
      </c>
      <c r="D4651" t="str">
        <f>TEST_DATA!D4651</f>
        <v>NON-NIL</v>
      </c>
      <c r="E4651">
        <f>TEST_DATA!E4651</f>
        <v>1920</v>
      </c>
    </row>
    <row r="4652" spans="1:5" x14ac:dyDescent="0.55000000000000004">
      <c r="A4652" t="str">
        <f>TEST_DATA!A4652</f>
        <v>27AAAAA4652Z5</v>
      </c>
      <c r="B4652" t="str">
        <f>TEST_DATA!B4652</f>
        <v>Mar-2018</v>
      </c>
      <c r="C4652">
        <f>TEST_DATA!C4652</f>
        <v>44098</v>
      </c>
      <c r="D4652" t="str">
        <f>TEST_DATA!D4652</f>
        <v>NON-NIL</v>
      </c>
      <c r="E4652">
        <f>TEST_DATA!E4652</f>
        <v>2586</v>
      </c>
    </row>
    <row r="4653" spans="1:5" x14ac:dyDescent="0.55000000000000004">
      <c r="A4653" t="str">
        <f>TEST_DATA!A4653</f>
        <v>27AAAAA4653Z5</v>
      </c>
      <c r="B4653" t="str">
        <f>TEST_DATA!B4653</f>
        <v>Jun-2020</v>
      </c>
      <c r="C4653">
        <f>TEST_DATA!C4653</f>
        <v>44499</v>
      </c>
      <c r="D4653" t="str">
        <f>TEST_DATA!D4653</f>
        <v>NIL</v>
      </c>
      <c r="E4653">
        <f>TEST_DATA!E4653</f>
        <v>2735</v>
      </c>
    </row>
    <row r="4654" spans="1:5" x14ac:dyDescent="0.55000000000000004">
      <c r="A4654" t="str">
        <f>TEST_DATA!A4654</f>
        <v>27AAAAA4654Z5</v>
      </c>
      <c r="B4654" t="str">
        <f>TEST_DATA!B4654</f>
        <v>Jun-2020</v>
      </c>
      <c r="C4654">
        <f>TEST_DATA!C4654</f>
        <v>44896</v>
      </c>
      <c r="D4654" t="str">
        <f>TEST_DATA!D4654</f>
        <v>NON-NIL</v>
      </c>
      <c r="E4654">
        <f>TEST_DATA!E4654</f>
        <v>2432</v>
      </c>
    </row>
    <row r="4655" spans="1:5" x14ac:dyDescent="0.55000000000000004">
      <c r="A4655" t="str">
        <f>TEST_DATA!A4655</f>
        <v>27AAAAA4655Z5</v>
      </c>
      <c r="B4655" t="str">
        <f>TEST_DATA!B4655</f>
        <v>Mar-2021</v>
      </c>
      <c r="C4655">
        <f>TEST_DATA!C4655</f>
        <v>44470</v>
      </c>
      <c r="D4655" t="str">
        <f>TEST_DATA!D4655</f>
        <v>NIL</v>
      </c>
      <c r="E4655">
        <f>TEST_DATA!E4655</f>
        <v>91</v>
      </c>
    </row>
    <row r="4656" spans="1:5" x14ac:dyDescent="0.55000000000000004">
      <c r="A4656" t="str">
        <f>TEST_DATA!A4656</f>
        <v>27AAAAA4656Z5</v>
      </c>
      <c r="B4656" t="str">
        <f>TEST_DATA!B4656</f>
        <v>Aug-2018</v>
      </c>
      <c r="C4656">
        <f>TEST_DATA!C4656</f>
        <v>43906</v>
      </c>
      <c r="D4656" t="str">
        <f>TEST_DATA!D4656</f>
        <v>NON-NIL</v>
      </c>
      <c r="E4656">
        <f>TEST_DATA!E4656</f>
        <v>1344</v>
      </c>
    </row>
    <row r="4657" spans="1:5" x14ac:dyDescent="0.55000000000000004">
      <c r="A4657" t="str">
        <f>TEST_DATA!A4657</f>
        <v>27AAAAA4657Z5</v>
      </c>
      <c r="B4657" t="str">
        <f>TEST_DATA!B4657</f>
        <v>Jun-2019</v>
      </c>
      <c r="C4657">
        <f>TEST_DATA!C4657</f>
        <v>44697</v>
      </c>
      <c r="D4657" t="str">
        <f>TEST_DATA!D4657</f>
        <v>NON-NIL</v>
      </c>
      <c r="E4657">
        <f>TEST_DATA!E4657</f>
        <v>2966</v>
      </c>
    </row>
    <row r="4658" spans="1:5" x14ac:dyDescent="0.55000000000000004">
      <c r="A4658" t="str">
        <f>TEST_DATA!A4658</f>
        <v>27AAAAA4658Z5</v>
      </c>
      <c r="B4658" t="str">
        <f>TEST_DATA!B4658</f>
        <v>Jul-2018</v>
      </c>
      <c r="C4658">
        <f>TEST_DATA!C4658</f>
        <v>43022</v>
      </c>
      <c r="D4658" t="str">
        <f>TEST_DATA!D4658</f>
        <v>NON-NIL</v>
      </c>
      <c r="E4658">
        <f>TEST_DATA!E4658</f>
        <v>1055</v>
      </c>
    </row>
    <row r="4659" spans="1:5" x14ac:dyDescent="0.55000000000000004">
      <c r="A4659" t="str">
        <f>TEST_DATA!A4659</f>
        <v>27AAAAA4659Z5</v>
      </c>
      <c r="B4659" t="str">
        <f>TEST_DATA!B4659</f>
        <v>Oct-2017</v>
      </c>
      <c r="C4659">
        <f>TEST_DATA!C4659</f>
        <v>43220</v>
      </c>
      <c r="D4659" t="str">
        <f>TEST_DATA!D4659</f>
        <v>NIL</v>
      </c>
      <c r="E4659">
        <f>TEST_DATA!E4659</f>
        <v>896</v>
      </c>
    </row>
    <row r="4660" spans="1:5" x14ac:dyDescent="0.55000000000000004">
      <c r="A4660" t="str">
        <f>TEST_DATA!A4660</f>
        <v>27AAAAA4660Z5</v>
      </c>
      <c r="B4660" t="str">
        <f>TEST_DATA!B4660</f>
        <v>Dec-2024</v>
      </c>
      <c r="C4660">
        <f>TEST_DATA!C4660</f>
        <v>44484</v>
      </c>
      <c r="D4660" t="str">
        <f>TEST_DATA!D4660</f>
        <v>NON-NIL</v>
      </c>
      <c r="E4660">
        <f>TEST_DATA!E4660</f>
        <v>627</v>
      </c>
    </row>
    <row r="4661" spans="1:5" x14ac:dyDescent="0.55000000000000004">
      <c r="A4661" t="str">
        <f>TEST_DATA!A4661</f>
        <v>27AAAAA4661Z5</v>
      </c>
      <c r="B4661" t="str">
        <f>TEST_DATA!B4661</f>
        <v>Oct-2017</v>
      </c>
      <c r="C4661">
        <f>TEST_DATA!C4661</f>
        <v>44345</v>
      </c>
      <c r="D4661" t="str">
        <f>TEST_DATA!D4661</f>
        <v>NON-NIL</v>
      </c>
      <c r="E4661">
        <f>TEST_DATA!E4661</f>
        <v>1690</v>
      </c>
    </row>
    <row r="4662" spans="1:5" x14ac:dyDescent="0.55000000000000004">
      <c r="A4662" t="str">
        <f>TEST_DATA!A4662</f>
        <v>27AAAAA4662Z5</v>
      </c>
      <c r="B4662" t="str">
        <f>TEST_DATA!B4662</f>
        <v>Jan-2021</v>
      </c>
      <c r="C4662">
        <f>TEST_DATA!C4662</f>
        <v>45103</v>
      </c>
      <c r="D4662" t="str">
        <f>TEST_DATA!D4662</f>
        <v>NON-NIL</v>
      </c>
      <c r="E4662">
        <f>TEST_DATA!E4662</f>
        <v>2320</v>
      </c>
    </row>
    <row r="4663" spans="1:5" x14ac:dyDescent="0.55000000000000004">
      <c r="A4663" t="str">
        <f>TEST_DATA!A4663</f>
        <v>27AAAAA4663Z5</v>
      </c>
      <c r="B4663" t="str">
        <f>TEST_DATA!B4663</f>
        <v>May-2018</v>
      </c>
      <c r="C4663">
        <f>TEST_DATA!C4663</f>
        <v>43529</v>
      </c>
      <c r="D4663" t="str">
        <f>TEST_DATA!D4663</f>
        <v>NIL</v>
      </c>
      <c r="E4663">
        <f>TEST_DATA!E4663</f>
        <v>993</v>
      </c>
    </row>
    <row r="4664" spans="1:5" x14ac:dyDescent="0.55000000000000004">
      <c r="A4664" t="str">
        <f>TEST_DATA!A4664</f>
        <v>27AAAAA4664Z5</v>
      </c>
      <c r="B4664" t="str">
        <f>TEST_DATA!B4664</f>
        <v>Dec-2017</v>
      </c>
      <c r="C4664">
        <f>TEST_DATA!C4664</f>
        <v>44193</v>
      </c>
      <c r="D4664" t="str">
        <f>TEST_DATA!D4664</f>
        <v>NON-NIL</v>
      </c>
      <c r="E4664">
        <f>TEST_DATA!E4664</f>
        <v>2715</v>
      </c>
    </row>
    <row r="4665" spans="1:5" x14ac:dyDescent="0.55000000000000004">
      <c r="A4665" t="str">
        <f>TEST_DATA!A4665</f>
        <v>27AAAAA4665Z5</v>
      </c>
      <c r="B4665" t="str">
        <f>TEST_DATA!B4665</f>
        <v>Sep-2017</v>
      </c>
      <c r="C4665">
        <f>TEST_DATA!C4665</f>
        <v>44504</v>
      </c>
      <c r="D4665" t="str">
        <f>TEST_DATA!D4665</f>
        <v>NON-NIL</v>
      </c>
      <c r="E4665">
        <f>TEST_DATA!E4665</f>
        <v>233</v>
      </c>
    </row>
    <row r="4666" spans="1:5" x14ac:dyDescent="0.55000000000000004">
      <c r="A4666" t="str">
        <f>TEST_DATA!A4666</f>
        <v>27AAAAA4666Z5</v>
      </c>
      <c r="B4666" t="str">
        <f>TEST_DATA!B4666</f>
        <v>Aug-2018</v>
      </c>
      <c r="C4666">
        <f>TEST_DATA!C4666</f>
        <v>43748</v>
      </c>
      <c r="D4666" t="str">
        <f>TEST_DATA!D4666</f>
        <v>NON-NIL</v>
      </c>
      <c r="E4666">
        <f>TEST_DATA!E4666</f>
        <v>630</v>
      </c>
    </row>
    <row r="4667" spans="1:5" x14ac:dyDescent="0.55000000000000004">
      <c r="A4667" t="str">
        <f>TEST_DATA!A4667</f>
        <v>27AAAAA4667Z5</v>
      </c>
      <c r="B4667" t="str">
        <f>TEST_DATA!B4667</f>
        <v>Aug-2018</v>
      </c>
      <c r="C4667">
        <f>TEST_DATA!C4667</f>
        <v>43886</v>
      </c>
      <c r="D4667" t="str">
        <f>TEST_DATA!D4667</f>
        <v>NIL</v>
      </c>
      <c r="E4667">
        <f>TEST_DATA!E4667</f>
        <v>1367</v>
      </c>
    </row>
    <row r="4668" spans="1:5" x14ac:dyDescent="0.55000000000000004">
      <c r="A4668" t="str">
        <f>TEST_DATA!A4668</f>
        <v>27AAAAA4668Z5</v>
      </c>
      <c r="B4668" t="str">
        <f>TEST_DATA!B4668</f>
        <v>Jun-2018</v>
      </c>
      <c r="C4668">
        <f>TEST_DATA!C4668</f>
        <v>43159</v>
      </c>
      <c r="D4668" t="str">
        <f>TEST_DATA!D4668</f>
        <v>NON-NIL</v>
      </c>
      <c r="E4668">
        <f>TEST_DATA!E4668</f>
        <v>965</v>
      </c>
    </row>
    <row r="4669" spans="1:5" x14ac:dyDescent="0.55000000000000004">
      <c r="A4669" t="str">
        <f>TEST_DATA!A4669</f>
        <v>27AAAAA4669Z5</v>
      </c>
      <c r="B4669" t="str">
        <f>TEST_DATA!B4669</f>
        <v>Jan-2019</v>
      </c>
      <c r="C4669">
        <f>TEST_DATA!C4669</f>
        <v>45480</v>
      </c>
      <c r="D4669" t="str">
        <f>TEST_DATA!D4669</f>
        <v>NON-NIL</v>
      </c>
      <c r="E4669">
        <f>TEST_DATA!E4669</f>
        <v>2410</v>
      </c>
    </row>
    <row r="4670" spans="1:5" x14ac:dyDescent="0.55000000000000004">
      <c r="A4670" t="str">
        <f>TEST_DATA!A4670</f>
        <v>27AAAAA4670Z5</v>
      </c>
      <c r="B4670" t="str">
        <f>TEST_DATA!B4670</f>
        <v>Jan-2018</v>
      </c>
      <c r="C4670">
        <f>TEST_DATA!C4670</f>
        <v>43747</v>
      </c>
      <c r="D4670" t="str">
        <f>TEST_DATA!D4670</f>
        <v>NON-NIL</v>
      </c>
      <c r="E4670">
        <f>TEST_DATA!E4670</f>
        <v>963</v>
      </c>
    </row>
    <row r="4671" spans="1:5" x14ac:dyDescent="0.55000000000000004">
      <c r="A4671" t="str">
        <f>TEST_DATA!A4671</f>
        <v>27AAAAA4671Z5</v>
      </c>
      <c r="B4671" t="str">
        <f>TEST_DATA!B4671</f>
        <v>Apr-2018</v>
      </c>
      <c r="C4671">
        <f>TEST_DATA!C4671</f>
        <v>43415</v>
      </c>
      <c r="D4671" t="str">
        <f>TEST_DATA!D4671</f>
        <v>NIL</v>
      </c>
      <c r="E4671">
        <f>TEST_DATA!E4671</f>
        <v>1376</v>
      </c>
    </row>
    <row r="4672" spans="1:5" x14ac:dyDescent="0.55000000000000004">
      <c r="A4672" t="str">
        <f>TEST_DATA!A4672</f>
        <v>27AAAAA4672Z5</v>
      </c>
      <c r="B4672" t="str">
        <f>TEST_DATA!B4672</f>
        <v>Dec-2017</v>
      </c>
      <c r="C4672">
        <f>TEST_DATA!C4672</f>
        <v>44141</v>
      </c>
      <c r="D4672" t="str">
        <f>TEST_DATA!D4672</f>
        <v>NON-NIL</v>
      </c>
      <c r="E4672">
        <f>TEST_DATA!E4672</f>
        <v>2430</v>
      </c>
    </row>
    <row r="4673" spans="1:5" x14ac:dyDescent="0.55000000000000004">
      <c r="A4673" t="str">
        <f>TEST_DATA!A4673</f>
        <v>27AAAAA4673Z5</v>
      </c>
      <c r="B4673" t="str">
        <f>TEST_DATA!B4673</f>
        <v>Jul-2018</v>
      </c>
      <c r="C4673">
        <f>TEST_DATA!C4673</f>
        <v>43086</v>
      </c>
      <c r="D4673" t="str">
        <f>TEST_DATA!D4673</f>
        <v>NIL</v>
      </c>
      <c r="E4673">
        <f>TEST_DATA!E4673</f>
        <v>336</v>
      </c>
    </row>
    <row r="4674" spans="1:5" x14ac:dyDescent="0.55000000000000004">
      <c r="A4674" t="str">
        <f>TEST_DATA!A4674</f>
        <v>27AAAAA4674Z5</v>
      </c>
      <c r="B4674" t="str">
        <f>TEST_DATA!B4674</f>
        <v>Sep-2017</v>
      </c>
      <c r="C4674">
        <f>TEST_DATA!C4674</f>
        <v>44547</v>
      </c>
      <c r="D4674" t="str">
        <f>TEST_DATA!D4674</f>
        <v>NIL</v>
      </c>
      <c r="E4674">
        <f>TEST_DATA!E4674</f>
        <v>614</v>
      </c>
    </row>
    <row r="4675" spans="1:5" x14ac:dyDescent="0.55000000000000004">
      <c r="A4675" t="str">
        <f>TEST_DATA!A4675</f>
        <v>27AAAAA4675Z5</v>
      </c>
      <c r="B4675" t="str">
        <f>TEST_DATA!B4675</f>
        <v>Dec-2019</v>
      </c>
      <c r="C4675">
        <f>TEST_DATA!C4675</f>
        <v>45221</v>
      </c>
      <c r="D4675" t="str">
        <f>TEST_DATA!D4675</f>
        <v>NON-NIL</v>
      </c>
      <c r="E4675">
        <f>TEST_DATA!E4675</f>
        <v>378</v>
      </c>
    </row>
    <row r="4676" spans="1:5" x14ac:dyDescent="0.55000000000000004">
      <c r="A4676" t="str">
        <f>TEST_DATA!A4676</f>
        <v>27AAAAA4676Z5</v>
      </c>
      <c r="B4676" t="str">
        <f>TEST_DATA!B4676</f>
        <v>Apr-2021</v>
      </c>
      <c r="C4676">
        <f>TEST_DATA!C4676</f>
        <v>44088</v>
      </c>
      <c r="D4676" t="str">
        <f>TEST_DATA!D4676</f>
        <v>NIL</v>
      </c>
      <c r="E4676">
        <f>TEST_DATA!E4676</f>
        <v>8</v>
      </c>
    </row>
    <row r="4677" spans="1:5" x14ac:dyDescent="0.55000000000000004">
      <c r="A4677" t="str">
        <f>TEST_DATA!A4677</f>
        <v>27AAAAA4677Z5</v>
      </c>
      <c r="B4677" t="str">
        <f>TEST_DATA!B4677</f>
        <v>Jan-2019</v>
      </c>
      <c r="C4677">
        <f>TEST_DATA!C4677</f>
        <v>44193</v>
      </c>
      <c r="D4677" t="str">
        <f>TEST_DATA!D4677</f>
        <v>NIL</v>
      </c>
      <c r="E4677">
        <f>TEST_DATA!E4677</f>
        <v>546</v>
      </c>
    </row>
    <row r="4678" spans="1:5" x14ac:dyDescent="0.55000000000000004">
      <c r="A4678" t="str">
        <f>TEST_DATA!A4678</f>
        <v>27AAAAA4678Z5</v>
      </c>
      <c r="B4678" t="str">
        <f>TEST_DATA!B4678</f>
        <v>Apr-2018</v>
      </c>
      <c r="C4678">
        <f>TEST_DATA!C4678</f>
        <v>43668</v>
      </c>
      <c r="D4678" t="str">
        <f>TEST_DATA!D4678</f>
        <v>NON-NIL</v>
      </c>
      <c r="E4678">
        <f>TEST_DATA!E4678</f>
        <v>2728</v>
      </c>
    </row>
    <row r="4679" spans="1:5" x14ac:dyDescent="0.55000000000000004">
      <c r="A4679" t="str">
        <f>TEST_DATA!A4679</f>
        <v>27AAAAA4679Z5</v>
      </c>
      <c r="B4679" t="str">
        <f>TEST_DATA!B4679</f>
        <v>Mar-2020</v>
      </c>
      <c r="C4679">
        <f>TEST_DATA!C4679</f>
        <v>44010</v>
      </c>
      <c r="D4679" t="str">
        <f>TEST_DATA!D4679</f>
        <v>NIL</v>
      </c>
      <c r="E4679">
        <f>TEST_DATA!E4679</f>
        <v>676</v>
      </c>
    </row>
    <row r="4680" spans="1:5" x14ac:dyDescent="0.55000000000000004">
      <c r="A4680" t="str">
        <f>TEST_DATA!A4680</f>
        <v>27AAAAA4680Z5</v>
      </c>
      <c r="B4680" t="str">
        <f>TEST_DATA!B4680</f>
        <v>Dec-2024</v>
      </c>
      <c r="C4680">
        <f>TEST_DATA!C4680</f>
        <v>44734</v>
      </c>
      <c r="D4680" t="str">
        <f>TEST_DATA!D4680</f>
        <v>NON-NIL</v>
      </c>
      <c r="E4680">
        <f>TEST_DATA!E4680</f>
        <v>409</v>
      </c>
    </row>
    <row r="4681" spans="1:5" x14ac:dyDescent="0.55000000000000004">
      <c r="A4681" t="str">
        <f>TEST_DATA!A4681</f>
        <v>27AAAAA4681Z5</v>
      </c>
      <c r="B4681" t="str">
        <f>TEST_DATA!B4681</f>
        <v>Aug-2017</v>
      </c>
      <c r="C4681">
        <f>TEST_DATA!C4681</f>
        <v>44110</v>
      </c>
      <c r="D4681" t="str">
        <f>TEST_DATA!D4681</f>
        <v>NIL</v>
      </c>
      <c r="E4681">
        <f>TEST_DATA!E4681</f>
        <v>161</v>
      </c>
    </row>
    <row r="4682" spans="1:5" x14ac:dyDescent="0.55000000000000004">
      <c r="A4682" t="str">
        <f>TEST_DATA!A4682</f>
        <v>27AAAAA4682Z5</v>
      </c>
      <c r="B4682" t="str">
        <f>TEST_DATA!B4682</f>
        <v>Apr-2020</v>
      </c>
      <c r="C4682">
        <f>TEST_DATA!C4682</f>
        <v>43831</v>
      </c>
      <c r="D4682" t="str">
        <f>TEST_DATA!D4682</f>
        <v>NIL</v>
      </c>
      <c r="E4682">
        <f>TEST_DATA!E4682</f>
        <v>696</v>
      </c>
    </row>
    <row r="4683" spans="1:5" x14ac:dyDescent="0.55000000000000004">
      <c r="A4683" t="str">
        <f>TEST_DATA!A4683</f>
        <v>27AAAAA4683Z5</v>
      </c>
      <c r="B4683" t="str">
        <f>TEST_DATA!B4683</f>
        <v>Dec-2024</v>
      </c>
      <c r="C4683">
        <f>TEST_DATA!C4683</f>
        <v>45066</v>
      </c>
      <c r="D4683" t="str">
        <f>TEST_DATA!D4683</f>
        <v>NON-NIL</v>
      </c>
      <c r="E4683">
        <f>TEST_DATA!E4683</f>
        <v>440</v>
      </c>
    </row>
    <row r="4684" spans="1:5" x14ac:dyDescent="0.55000000000000004">
      <c r="A4684" t="str">
        <f>TEST_DATA!A4684</f>
        <v>27AAAAA4684Z5</v>
      </c>
      <c r="B4684" t="str">
        <f>TEST_DATA!B4684</f>
        <v>Mar-2018</v>
      </c>
      <c r="C4684">
        <f>TEST_DATA!C4684</f>
        <v>44132</v>
      </c>
      <c r="D4684" t="str">
        <f>TEST_DATA!D4684</f>
        <v>NON-NIL</v>
      </c>
      <c r="E4684">
        <f>TEST_DATA!E4684</f>
        <v>2520</v>
      </c>
    </row>
    <row r="4685" spans="1:5" x14ac:dyDescent="0.55000000000000004">
      <c r="A4685" t="str">
        <f>TEST_DATA!A4685</f>
        <v>27AAAAA4685Z5</v>
      </c>
      <c r="B4685" t="str">
        <f>TEST_DATA!B4685</f>
        <v>Dec-2022</v>
      </c>
      <c r="C4685">
        <f>TEST_DATA!C4685</f>
        <v>45620</v>
      </c>
      <c r="D4685" t="str">
        <f>TEST_DATA!D4685</f>
        <v>NIL</v>
      </c>
      <c r="E4685">
        <f>TEST_DATA!E4685</f>
        <v>2509</v>
      </c>
    </row>
    <row r="4686" spans="1:5" x14ac:dyDescent="0.55000000000000004">
      <c r="A4686" t="str">
        <f>TEST_DATA!A4686</f>
        <v>27AAAAA4686Z5</v>
      </c>
      <c r="B4686" t="str">
        <f>TEST_DATA!B4686</f>
        <v>Apr-2018</v>
      </c>
      <c r="C4686">
        <f>TEST_DATA!C4686</f>
        <v>43200</v>
      </c>
      <c r="D4686" t="str">
        <f>TEST_DATA!D4686</f>
        <v>NIL</v>
      </c>
      <c r="E4686">
        <f>TEST_DATA!E4686</f>
        <v>1893</v>
      </c>
    </row>
    <row r="4687" spans="1:5" x14ac:dyDescent="0.55000000000000004">
      <c r="A4687" t="str">
        <f>TEST_DATA!A4687</f>
        <v>27AAAAA4687Z5</v>
      </c>
      <c r="B4687" t="str">
        <f>TEST_DATA!B4687</f>
        <v>Apr-2020</v>
      </c>
      <c r="C4687">
        <f>TEST_DATA!C4687</f>
        <v>44363</v>
      </c>
      <c r="D4687" t="str">
        <f>TEST_DATA!D4687</f>
        <v>NIL</v>
      </c>
      <c r="E4687">
        <f>TEST_DATA!E4687</f>
        <v>2635</v>
      </c>
    </row>
    <row r="4688" spans="1:5" x14ac:dyDescent="0.55000000000000004">
      <c r="A4688" t="str">
        <f>TEST_DATA!A4688</f>
        <v>27AAAAA4688Z5</v>
      </c>
      <c r="B4688" t="str">
        <f>TEST_DATA!B4688</f>
        <v>Mar-2021</v>
      </c>
      <c r="C4688">
        <f>TEST_DATA!C4688</f>
        <v>45574</v>
      </c>
      <c r="D4688" t="str">
        <f>TEST_DATA!D4688</f>
        <v>NIL</v>
      </c>
      <c r="E4688">
        <f>TEST_DATA!E4688</f>
        <v>2033</v>
      </c>
    </row>
    <row r="4689" spans="1:5" x14ac:dyDescent="0.55000000000000004">
      <c r="A4689" t="str">
        <f>TEST_DATA!A4689</f>
        <v>27AAAAA4689Z5</v>
      </c>
      <c r="B4689" t="str">
        <f>TEST_DATA!B4689</f>
        <v>Apr-2020</v>
      </c>
      <c r="C4689">
        <f>TEST_DATA!C4689</f>
        <v>44289</v>
      </c>
      <c r="D4689" t="str">
        <f>TEST_DATA!D4689</f>
        <v>NON-NIL</v>
      </c>
      <c r="E4689">
        <f>TEST_DATA!E4689</f>
        <v>131</v>
      </c>
    </row>
    <row r="4690" spans="1:5" x14ac:dyDescent="0.55000000000000004">
      <c r="A4690" t="str">
        <f>TEST_DATA!A4690</f>
        <v>27AAAAA4690Z5</v>
      </c>
      <c r="B4690" t="str">
        <f>TEST_DATA!B4690</f>
        <v>Jul-2018</v>
      </c>
      <c r="C4690">
        <f>TEST_DATA!C4690</f>
        <v>43610</v>
      </c>
      <c r="D4690" t="str">
        <f>TEST_DATA!D4690</f>
        <v>NIL</v>
      </c>
      <c r="E4690">
        <f>TEST_DATA!E4690</f>
        <v>2846</v>
      </c>
    </row>
    <row r="4691" spans="1:5" x14ac:dyDescent="0.55000000000000004">
      <c r="A4691" t="str">
        <f>TEST_DATA!A4691</f>
        <v>27AAAAA4691Z5</v>
      </c>
      <c r="B4691" t="str">
        <f>TEST_DATA!B4691</f>
        <v>Jan-2019</v>
      </c>
      <c r="C4691">
        <f>TEST_DATA!C4691</f>
        <v>45319</v>
      </c>
      <c r="D4691" t="str">
        <f>TEST_DATA!D4691</f>
        <v>NON-NIL</v>
      </c>
      <c r="E4691">
        <f>TEST_DATA!E4691</f>
        <v>2084</v>
      </c>
    </row>
    <row r="4692" spans="1:5" x14ac:dyDescent="0.55000000000000004">
      <c r="A4692" t="str">
        <f>TEST_DATA!A4692</f>
        <v>27AAAAA4692Z5</v>
      </c>
      <c r="B4692" t="str">
        <f>TEST_DATA!B4692</f>
        <v>Apr-2018</v>
      </c>
      <c r="C4692">
        <f>TEST_DATA!C4692</f>
        <v>43518</v>
      </c>
      <c r="D4692" t="str">
        <f>TEST_DATA!D4692</f>
        <v>NON-NIL</v>
      </c>
      <c r="E4692">
        <f>TEST_DATA!E4692</f>
        <v>1712</v>
      </c>
    </row>
    <row r="4693" spans="1:5" x14ac:dyDescent="0.55000000000000004">
      <c r="A4693" t="str">
        <f>TEST_DATA!A4693</f>
        <v>27AAAAA4693Z5</v>
      </c>
      <c r="B4693" t="str">
        <f>TEST_DATA!B4693</f>
        <v>Apr-2021</v>
      </c>
      <c r="C4693">
        <f>TEST_DATA!C4693</f>
        <v>44429</v>
      </c>
      <c r="D4693" t="str">
        <f>TEST_DATA!D4693</f>
        <v>NON-NIL</v>
      </c>
      <c r="E4693">
        <f>TEST_DATA!E4693</f>
        <v>2728</v>
      </c>
    </row>
    <row r="4694" spans="1:5" x14ac:dyDescent="0.55000000000000004">
      <c r="A4694" t="str">
        <f>TEST_DATA!A4694</f>
        <v>27AAAAA4694Z5</v>
      </c>
      <c r="B4694" t="str">
        <f>TEST_DATA!B4694</f>
        <v>May-2018</v>
      </c>
      <c r="C4694">
        <f>TEST_DATA!C4694</f>
        <v>43348</v>
      </c>
      <c r="D4694" t="str">
        <f>TEST_DATA!D4694</f>
        <v>NIL</v>
      </c>
      <c r="E4694">
        <f>TEST_DATA!E4694</f>
        <v>1889</v>
      </c>
    </row>
    <row r="4695" spans="1:5" x14ac:dyDescent="0.55000000000000004">
      <c r="A4695" t="str">
        <f>TEST_DATA!A4695</f>
        <v>27AAAAA4695Z5</v>
      </c>
      <c r="B4695" t="str">
        <f>TEST_DATA!B4695</f>
        <v>Nov-2017</v>
      </c>
      <c r="C4695">
        <f>TEST_DATA!C4695</f>
        <v>44357</v>
      </c>
      <c r="D4695" t="str">
        <f>TEST_DATA!D4695</f>
        <v>NIL</v>
      </c>
      <c r="E4695">
        <f>TEST_DATA!E4695</f>
        <v>150</v>
      </c>
    </row>
    <row r="4696" spans="1:5" x14ac:dyDescent="0.55000000000000004">
      <c r="A4696" t="str">
        <f>TEST_DATA!A4696</f>
        <v>27AAAAA4696Z5</v>
      </c>
      <c r="B4696" t="str">
        <f>TEST_DATA!B4696</f>
        <v>Sep-2017</v>
      </c>
      <c r="C4696">
        <f>TEST_DATA!C4696</f>
        <v>43037</v>
      </c>
      <c r="D4696" t="str">
        <f>TEST_DATA!D4696</f>
        <v>NIL</v>
      </c>
      <c r="E4696">
        <f>TEST_DATA!E4696</f>
        <v>604</v>
      </c>
    </row>
    <row r="4697" spans="1:5" x14ac:dyDescent="0.55000000000000004">
      <c r="A4697" t="str">
        <f>TEST_DATA!A4697</f>
        <v>27AAAAA4697Z5</v>
      </c>
      <c r="B4697" t="str">
        <f>TEST_DATA!B4697</f>
        <v>Oct-2017</v>
      </c>
      <c r="C4697">
        <f>TEST_DATA!C4697</f>
        <v>43836</v>
      </c>
      <c r="D4697" t="str">
        <f>TEST_DATA!D4697</f>
        <v>NIL</v>
      </c>
      <c r="E4697">
        <f>TEST_DATA!E4697</f>
        <v>611</v>
      </c>
    </row>
    <row r="4698" spans="1:5" x14ac:dyDescent="0.55000000000000004">
      <c r="A4698" t="str">
        <f>TEST_DATA!A4698</f>
        <v>27AAAAA4698Z5</v>
      </c>
      <c r="B4698" t="str">
        <f>TEST_DATA!B4698</f>
        <v>Jan-2021</v>
      </c>
      <c r="C4698">
        <f>TEST_DATA!C4698</f>
        <v>43766</v>
      </c>
      <c r="D4698" t="str">
        <f>TEST_DATA!D4698</f>
        <v>NON-NIL</v>
      </c>
      <c r="E4698">
        <f>TEST_DATA!E4698</f>
        <v>1362</v>
      </c>
    </row>
    <row r="4699" spans="1:5" x14ac:dyDescent="0.55000000000000004">
      <c r="A4699" t="str">
        <f>TEST_DATA!A4699</f>
        <v>27AAAAA4699Z5</v>
      </c>
      <c r="B4699" t="str">
        <f>TEST_DATA!B4699</f>
        <v>Jul-2020</v>
      </c>
      <c r="C4699">
        <f>TEST_DATA!C4699</f>
        <v>44486</v>
      </c>
      <c r="D4699" t="str">
        <f>TEST_DATA!D4699</f>
        <v>NIL</v>
      </c>
      <c r="E4699">
        <f>TEST_DATA!E4699</f>
        <v>2943</v>
      </c>
    </row>
    <row r="4700" spans="1:5" x14ac:dyDescent="0.55000000000000004">
      <c r="A4700" t="str">
        <f>TEST_DATA!A4700</f>
        <v>27AAAAA4700Z5</v>
      </c>
      <c r="B4700" t="str">
        <f>TEST_DATA!B4700</f>
        <v>Jan-2019</v>
      </c>
      <c r="C4700">
        <f>TEST_DATA!C4700</f>
        <v>45249</v>
      </c>
      <c r="D4700" t="str">
        <f>TEST_DATA!D4700</f>
        <v>NON-NIL</v>
      </c>
      <c r="E4700">
        <f>TEST_DATA!E4700</f>
        <v>502</v>
      </c>
    </row>
    <row r="4701" spans="1:5" x14ac:dyDescent="0.55000000000000004">
      <c r="A4701" t="str">
        <f>TEST_DATA!A4701</f>
        <v>27AAAAA4701Z5</v>
      </c>
      <c r="B4701" t="str">
        <f>TEST_DATA!B4701</f>
        <v>May-2020</v>
      </c>
      <c r="C4701">
        <f>TEST_DATA!C4701</f>
        <v>44450</v>
      </c>
      <c r="D4701" t="str">
        <f>TEST_DATA!D4701</f>
        <v>NIL</v>
      </c>
      <c r="E4701">
        <f>TEST_DATA!E4701</f>
        <v>1938</v>
      </c>
    </row>
    <row r="4702" spans="1:5" x14ac:dyDescent="0.55000000000000004">
      <c r="A4702" t="str">
        <f>TEST_DATA!A4702</f>
        <v>27AAAAA4702Z5</v>
      </c>
      <c r="B4702" t="str">
        <f>TEST_DATA!B4702</f>
        <v>May-2020</v>
      </c>
      <c r="C4702">
        <f>TEST_DATA!C4702</f>
        <v>43900</v>
      </c>
      <c r="D4702" t="str">
        <f>TEST_DATA!D4702</f>
        <v>NON-NIL</v>
      </c>
      <c r="E4702">
        <f>TEST_DATA!E4702</f>
        <v>641</v>
      </c>
    </row>
    <row r="4703" spans="1:5" x14ac:dyDescent="0.55000000000000004">
      <c r="A4703" t="str">
        <f>TEST_DATA!A4703</f>
        <v>27AAAAA4703Z5</v>
      </c>
      <c r="B4703" t="str">
        <f>TEST_DATA!B4703</f>
        <v>Jul-2018</v>
      </c>
      <c r="C4703">
        <f>TEST_DATA!C4703</f>
        <v>43309</v>
      </c>
      <c r="D4703" t="str">
        <f>TEST_DATA!D4703</f>
        <v>NON-NIL</v>
      </c>
      <c r="E4703">
        <f>TEST_DATA!E4703</f>
        <v>270</v>
      </c>
    </row>
    <row r="4704" spans="1:5" x14ac:dyDescent="0.55000000000000004">
      <c r="A4704" t="str">
        <f>TEST_DATA!A4704</f>
        <v>27AAAAA4704Z5</v>
      </c>
      <c r="B4704" t="str">
        <f>TEST_DATA!B4704</f>
        <v>Aug-2017</v>
      </c>
      <c r="C4704">
        <f>TEST_DATA!C4704</f>
        <v>42981</v>
      </c>
      <c r="D4704" t="str">
        <f>TEST_DATA!D4704</f>
        <v>NON-NIL</v>
      </c>
      <c r="E4704">
        <f>TEST_DATA!E4704</f>
        <v>1595</v>
      </c>
    </row>
    <row r="4705" spans="1:5" x14ac:dyDescent="0.55000000000000004">
      <c r="A4705" t="str">
        <f>TEST_DATA!A4705</f>
        <v>27AAAAA4705Z5</v>
      </c>
      <c r="B4705" t="str">
        <f>TEST_DATA!B4705</f>
        <v>Dec-2017</v>
      </c>
      <c r="C4705">
        <f>TEST_DATA!C4705</f>
        <v>43936</v>
      </c>
      <c r="D4705" t="str">
        <f>TEST_DATA!D4705</f>
        <v>NON-NIL</v>
      </c>
      <c r="E4705">
        <f>TEST_DATA!E4705</f>
        <v>2696</v>
      </c>
    </row>
    <row r="4706" spans="1:5" x14ac:dyDescent="0.55000000000000004">
      <c r="A4706" t="str">
        <f>TEST_DATA!A4706</f>
        <v>27AAAAA4706Z5</v>
      </c>
      <c r="B4706" t="str">
        <f>TEST_DATA!B4706</f>
        <v>Jul-2018</v>
      </c>
      <c r="C4706">
        <f>TEST_DATA!C4706</f>
        <v>44522</v>
      </c>
      <c r="D4706" t="str">
        <f>TEST_DATA!D4706</f>
        <v>NON-NIL</v>
      </c>
      <c r="E4706">
        <f>TEST_DATA!E4706</f>
        <v>1841</v>
      </c>
    </row>
    <row r="4707" spans="1:5" x14ac:dyDescent="0.55000000000000004">
      <c r="A4707" t="str">
        <f>TEST_DATA!A4707</f>
        <v>27AAAAA4707Z5</v>
      </c>
      <c r="B4707" t="str">
        <f>TEST_DATA!B4707</f>
        <v>Nov-2017</v>
      </c>
      <c r="C4707">
        <f>TEST_DATA!C4707</f>
        <v>43586</v>
      </c>
      <c r="D4707" t="str">
        <f>TEST_DATA!D4707</f>
        <v>NON-NIL</v>
      </c>
      <c r="E4707">
        <f>TEST_DATA!E4707</f>
        <v>2696</v>
      </c>
    </row>
    <row r="4708" spans="1:5" x14ac:dyDescent="0.55000000000000004">
      <c r="A4708" t="str">
        <f>TEST_DATA!A4708</f>
        <v>27AAAAA4708Z5</v>
      </c>
      <c r="B4708" t="str">
        <f>TEST_DATA!B4708</f>
        <v>May-2018</v>
      </c>
      <c r="C4708">
        <f>TEST_DATA!C4708</f>
        <v>44456</v>
      </c>
      <c r="D4708" t="str">
        <f>TEST_DATA!D4708</f>
        <v>NIL</v>
      </c>
      <c r="E4708">
        <f>TEST_DATA!E4708</f>
        <v>30</v>
      </c>
    </row>
    <row r="4709" spans="1:5" x14ac:dyDescent="0.55000000000000004">
      <c r="A4709" t="str">
        <f>TEST_DATA!A4709</f>
        <v>27AAAAA4709Z5</v>
      </c>
      <c r="B4709" t="str">
        <f>TEST_DATA!B4709</f>
        <v>Mar-2023</v>
      </c>
      <c r="C4709">
        <f>TEST_DATA!C4709</f>
        <v>44138</v>
      </c>
      <c r="D4709" t="str">
        <f>TEST_DATA!D4709</f>
        <v>NON-NIL</v>
      </c>
      <c r="E4709">
        <f>TEST_DATA!E4709</f>
        <v>1703</v>
      </c>
    </row>
    <row r="4710" spans="1:5" x14ac:dyDescent="0.55000000000000004">
      <c r="A4710" t="str">
        <f>TEST_DATA!A4710</f>
        <v>27AAAAA4710Z5</v>
      </c>
      <c r="B4710" t="str">
        <f>TEST_DATA!B4710</f>
        <v>Sep-2017</v>
      </c>
      <c r="C4710">
        <f>TEST_DATA!C4710</f>
        <v>43914</v>
      </c>
      <c r="D4710" t="str">
        <f>TEST_DATA!D4710</f>
        <v>NON-NIL</v>
      </c>
      <c r="E4710">
        <f>TEST_DATA!E4710</f>
        <v>606</v>
      </c>
    </row>
    <row r="4711" spans="1:5" x14ac:dyDescent="0.55000000000000004">
      <c r="A4711" t="str">
        <f>TEST_DATA!A4711</f>
        <v>27AAAAA4711Z5</v>
      </c>
      <c r="B4711" t="str">
        <f>TEST_DATA!B4711</f>
        <v>Aug-2017</v>
      </c>
      <c r="C4711">
        <f>TEST_DATA!C4711</f>
        <v>43204</v>
      </c>
      <c r="D4711" t="str">
        <f>TEST_DATA!D4711</f>
        <v>NIL</v>
      </c>
      <c r="E4711">
        <f>TEST_DATA!E4711</f>
        <v>2100</v>
      </c>
    </row>
    <row r="4712" spans="1:5" x14ac:dyDescent="0.55000000000000004">
      <c r="A4712" t="str">
        <f>TEST_DATA!A4712</f>
        <v>27AAAAA4712Z5</v>
      </c>
      <c r="B4712" t="str">
        <f>TEST_DATA!B4712</f>
        <v>Apr-2020</v>
      </c>
      <c r="C4712">
        <f>TEST_DATA!C4712</f>
        <v>44845</v>
      </c>
      <c r="D4712" t="str">
        <f>TEST_DATA!D4712</f>
        <v>NON-NIL</v>
      </c>
      <c r="E4712">
        <f>TEST_DATA!E4712</f>
        <v>828</v>
      </c>
    </row>
    <row r="4713" spans="1:5" x14ac:dyDescent="0.55000000000000004">
      <c r="A4713" t="str">
        <f>TEST_DATA!A4713</f>
        <v>27AAAAA4713Z5</v>
      </c>
      <c r="B4713" t="str">
        <f>TEST_DATA!B4713</f>
        <v>Jan-2021</v>
      </c>
      <c r="C4713">
        <f>TEST_DATA!C4713</f>
        <v>44205</v>
      </c>
      <c r="D4713" t="str">
        <f>TEST_DATA!D4713</f>
        <v>NON-NIL</v>
      </c>
      <c r="E4713">
        <f>TEST_DATA!E4713</f>
        <v>157</v>
      </c>
    </row>
    <row r="4714" spans="1:5" x14ac:dyDescent="0.55000000000000004">
      <c r="A4714" t="str">
        <f>TEST_DATA!A4714</f>
        <v>27AAAAA4714Z5</v>
      </c>
      <c r="B4714" t="str">
        <f>TEST_DATA!B4714</f>
        <v>Mar-2021</v>
      </c>
      <c r="C4714">
        <f>TEST_DATA!C4714</f>
        <v>43503</v>
      </c>
      <c r="D4714" t="str">
        <f>TEST_DATA!D4714</f>
        <v>NON-NIL</v>
      </c>
      <c r="E4714">
        <f>TEST_DATA!E4714</f>
        <v>2913</v>
      </c>
    </row>
    <row r="4715" spans="1:5" x14ac:dyDescent="0.55000000000000004">
      <c r="A4715" t="str">
        <f>TEST_DATA!A4715</f>
        <v>27AAAAA4715Z5</v>
      </c>
      <c r="B4715" t="str">
        <f>TEST_DATA!B4715</f>
        <v>May-2018</v>
      </c>
      <c r="C4715">
        <f>TEST_DATA!C4715</f>
        <v>44555</v>
      </c>
      <c r="D4715" t="str">
        <f>TEST_DATA!D4715</f>
        <v>NON-NIL</v>
      </c>
      <c r="E4715">
        <f>TEST_DATA!E4715</f>
        <v>1381</v>
      </c>
    </row>
    <row r="4716" spans="1:5" x14ac:dyDescent="0.55000000000000004">
      <c r="A4716" t="str">
        <f>TEST_DATA!A4716</f>
        <v>27AAAAA4716Z5</v>
      </c>
      <c r="B4716" t="str">
        <f>TEST_DATA!B4716</f>
        <v>Jul-2017</v>
      </c>
      <c r="C4716">
        <f>TEST_DATA!C4716</f>
        <v>43131</v>
      </c>
      <c r="D4716" t="str">
        <f>TEST_DATA!D4716</f>
        <v>NON-NIL</v>
      </c>
      <c r="E4716">
        <f>TEST_DATA!E4716</f>
        <v>2052</v>
      </c>
    </row>
    <row r="4717" spans="1:5" x14ac:dyDescent="0.55000000000000004">
      <c r="A4717" t="str">
        <f>TEST_DATA!A4717</f>
        <v>27AAAAA4717Z5</v>
      </c>
      <c r="B4717" t="str">
        <f>TEST_DATA!B4717</f>
        <v>Jan-2018</v>
      </c>
      <c r="C4717">
        <f>TEST_DATA!C4717</f>
        <v>43349</v>
      </c>
      <c r="D4717" t="str">
        <f>TEST_DATA!D4717</f>
        <v>NIL</v>
      </c>
      <c r="E4717">
        <f>TEST_DATA!E4717</f>
        <v>1361</v>
      </c>
    </row>
    <row r="4718" spans="1:5" x14ac:dyDescent="0.55000000000000004">
      <c r="A4718" t="str">
        <f>TEST_DATA!A4718</f>
        <v>27AAAAA4718Z5</v>
      </c>
      <c r="B4718" t="str">
        <f>TEST_DATA!B4718</f>
        <v>Jun-2020</v>
      </c>
      <c r="C4718">
        <f>TEST_DATA!C4718</f>
        <v>44865</v>
      </c>
      <c r="D4718" t="str">
        <f>TEST_DATA!D4718</f>
        <v>NON-NIL</v>
      </c>
      <c r="E4718">
        <f>TEST_DATA!E4718</f>
        <v>2174</v>
      </c>
    </row>
    <row r="4719" spans="1:5" x14ac:dyDescent="0.55000000000000004">
      <c r="A4719" t="str">
        <f>TEST_DATA!A4719</f>
        <v>27AAAAA4719Z5</v>
      </c>
      <c r="B4719" t="str">
        <f>TEST_DATA!B4719</f>
        <v>Jul-2018</v>
      </c>
      <c r="C4719">
        <f>TEST_DATA!C4719</f>
        <v>43999</v>
      </c>
      <c r="D4719" t="str">
        <f>TEST_DATA!D4719</f>
        <v>NIL</v>
      </c>
      <c r="E4719">
        <f>TEST_DATA!E4719</f>
        <v>1781</v>
      </c>
    </row>
    <row r="4720" spans="1:5" x14ac:dyDescent="0.55000000000000004">
      <c r="A4720" t="str">
        <f>TEST_DATA!A4720</f>
        <v>27AAAAA4720Z5</v>
      </c>
      <c r="B4720" t="str">
        <f>TEST_DATA!B4720</f>
        <v>Mar-2021</v>
      </c>
      <c r="C4720">
        <f>TEST_DATA!C4720</f>
        <v>43627</v>
      </c>
      <c r="D4720" t="str">
        <f>TEST_DATA!D4720</f>
        <v>NON-NIL</v>
      </c>
      <c r="E4720">
        <f>TEST_DATA!E4720</f>
        <v>2945</v>
      </c>
    </row>
    <row r="4721" spans="1:5" x14ac:dyDescent="0.55000000000000004">
      <c r="A4721" t="str">
        <f>TEST_DATA!A4721</f>
        <v>27AAAAA4721Z5</v>
      </c>
      <c r="B4721" t="str">
        <f>TEST_DATA!B4721</f>
        <v>Mar-2020</v>
      </c>
      <c r="C4721">
        <f>TEST_DATA!C4721</f>
        <v>44425</v>
      </c>
      <c r="D4721" t="str">
        <f>TEST_DATA!D4721</f>
        <v>NON-NIL</v>
      </c>
      <c r="E4721">
        <f>TEST_DATA!E4721</f>
        <v>182</v>
      </c>
    </row>
    <row r="4722" spans="1:5" x14ac:dyDescent="0.55000000000000004">
      <c r="A4722" t="str">
        <f>TEST_DATA!A4722</f>
        <v>27AAAAA4722Z5</v>
      </c>
      <c r="B4722" t="str">
        <f>TEST_DATA!B4722</f>
        <v>Apr-2018</v>
      </c>
      <c r="C4722">
        <f>TEST_DATA!C4722</f>
        <v>43598</v>
      </c>
      <c r="D4722" t="str">
        <f>TEST_DATA!D4722</f>
        <v>NIL</v>
      </c>
      <c r="E4722">
        <f>TEST_DATA!E4722</f>
        <v>1668</v>
      </c>
    </row>
    <row r="4723" spans="1:5" x14ac:dyDescent="0.55000000000000004">
      <c r="A4723" t="str">
        <f>TEST_DATA!A4723</f>
        <v>27AAAAA4723Z5</v>
      </c>
      <c r="B4723" t="str">
        <f>TEST_DATA!B4723</f>
        <v>Mar-2020</v>
      </c>
      <c r="C4723">
        <f>TEST_DATA!C4723</f>
        <v>43959</v>
      </c>
      <c r="D4723" t="str">
        <f>TEST_DATA!D4723</f>
        <v>NON-NIL</v>
      </c>
      <c r="E4723">
        <f>TEST_DATA!E4723</f>
        <v>1709</v>
      </c>
    </row>
    <row r="4724" spans="1:5" x14ac:dyDescent="0.55000000000000004">
      <c r="A4724" t="str">
        <f>TEST_DATA!A4724</f>
        <v>27AAAAA4724Z5</v>
      </c>
      <c r="B4724" t="str">
        <f>TEST_DATA!B4724</f>
        <v>Sep-2018</v>
      </c>
      <c r="C4724">
        <f>TEST_DATA!C4724</f>
        <v>44163</v>
      </c>
      <c r="D4724" t="str">
        <f>TEST_DATA!D4724</f>
        <v>NIL</v>
      </c>
      <c r="E4724">
        <f>TEST_DATA!E4724</f>
        <v>1290</v>
      </c>
    </row>
    <row r="4725" spans="1:5" x14ac:dyDescent="0.55000000000000004">
      <c r="A4725" t="str">
        <f>TEST_DATA!A4725</f>
        <v>27AAAAA4725Z5</v>
      </c>
      <c r="B4725" t="str">
        <f>TEST_DATA!B4725</f>
        <v>Dec-2022</v>
      </c>
      <c r="C4725">
        <f>TEST_DATA!C4725</f>
        <v>44378</v>
      </c>
      <c r="D4725" t="str">
        <f>TEST_DATA!D4725</f>
        <v>NON-NIL</v>
      </c>
      <c r="E4725">
        <f>TEST_DATA!E4725</f>
        <v>1084</v>
      </c>
    </row>
    <row r="4726" spans="1:5" x14ac:dyDescent="0.55000000000000004">
      <c r="A4726" t="str">
        <f>TEST_DATA!A4726</f>
        <v>27AAAAA4726Z5</v>
      </c>
      <c r="B4726" t="str">
        <f>TEST_DATA!B4726</f>
        <v>Apr-2018</v>
      </c>
      <c r="C4726">
        <f>TEST_DATA!C4726</f>
        <v>44252</v>
      </c>
      <c r="D4726" t="str">
        <f>TEST_DATA!D4726</f>
        <v>NIL</v>
      </c>
      <c r="E4726">
        <f>TEST_DATA!E4726</f>
        <v>939</v>
      </c>
    </row>
    <row r="4727" spans="1:5" x14ac:dyDescent="0.55000000000000004">
      <c r="A4727" t="str">
        <f>TEST_DATA!A4727</f>
        <v>27AAAAA4727Z5</v>
      </c>
      <c r="B4727" t="str">
        <f>TEST_DATA!B4727</f>
        <v>Jun-2020</v>
      </c>
      <c r="C4727">
        <f>TEST_DATA!C4727</f>
        <v>44351</v>
      </c>
      <c r="D4727" t="str">
        <f>TEST_DATA!D4727</f>
        <v>NON-NIL</v>
      </c>
      <c r="E4727">
        <f>TEST_DATA!E4727</f>
        <v>1086</v>
      </c>
    </row>
    <row r="4728" spans="1:5" x14ac:dyDescent="0.55000000000000004">
      <c r="A4728" t="str">
        <f>TEST_DATA!A4728</f>
        <v>27AAAAA4728Z5</v>
      </c>
      <c r="B4728" t="str">
        <f>TEST_DATA!B4728</f>
        <v>Jul-2017</v>
      </c>
      <c r="C4728">
        <f>TEST_DATA!C4728</f>
        <v>44003</v>
      </c>
      <c r="D4728" t="str">
        <f>TEST_DATA!D4728</f>
        <v>NIL</v>
      </c>
      <c r="E4728">
        <f>TEST_DATA!E4728</f>
        <v>166</v>
      </c>
    </row>
    <row r="4729" spans="1:5" x14ac:dyDescent="0.55000000000000004">
      <c r="A4729" t="str">
        <f>TEST_DATA!A4729</f>
        <v>27AAAAA4729Z5</v>
      </c>
      <c r="B4729" t="str">
        <f>TEST_DATA!B4729</f>
        <v>Feb-2018</v>
      </c>
      <c r="C4729">
        <f>TEST_DATA!C4729</f>
        <v>43837</v>
      </c>
      <c r="D4729" t="str">
        <f>TEST_DATA!D4729</f>
        <v>NIL</v>
      </c>
      <c r="E4729">
        <f>TEST_DATA!E4729</f>
        <v>1626</v>
      </c>
    </row>
    <row r="4730" spans="1:5" x14ac:dyDescent="0.55000000000000004">
      <c r="A4730" t="str">
        <f>TEST_DATA!A4730</f>
        <v>27AAAAA4730Z5</v>
      </c>
      <c r="B4730" t="str">
        <f>TEST_DATA!B4730</f>
        <v>Jul-2017</v>
      </c>
      <c r="C4730">
        <f>TEST_DATA!C4730</f>
        <v>43797</v>
      </c>
      <c r="D4730" t="str">
        <f>TEST_DATA!D4730</f>
        <v>NIL</v>
      </c>
      <c r="E4730">
        <f>TEST_DATA!E4730</f>
        <v>311</v>
      </c>
    </row>
    <row r="4731" spans="1:5" x14ac:dyDescent="0.55000000000000004">
      <c r="A4731" t="str">
        <f>TEST_DATA!A4731</f>
        <v>27AAAAA4731Z5</v>
      </c>
      <c r="B4731" t="str">
        <f>TEST_DATA!B4731</f>
        <v>Apr-2021</v>
      </c>
      <c r="C4731">
        <f>TEST_DATA!C4731</f>
        <v>44586</v>
      </c>
      <c r="D4731" t="str">
        <f>TEST_DATA!D4731</f>
        <v>NON-NIL</v>
      </c>
      <c r="E4731">
        <f>TEST_DATA!E4731</f>
        <v>66</v>
      </c>
    </row>
    <row r="4732" spans="1:5" x14ac:dyDescent="0.55000000000000004">
      <c r="A4732" t="str">
        <f>TEST_DATA!A4732</f>
        <v>27AAAAA4732Z5</v>
      </c>
      <c r="B4732" t="str">
        <f>TEST_DATA!B4732</f>
        <v>Jun-2019</v>
      </c>
      <c r="C4732">
        <f>TEST_DATA!C4732</f>
        <v>44720</v>
      </c>
      <c r="D4732" t="str">
        <f>TEST_DATA!D4732</f>
        <v>NIL</v>
      </c>
      <c r="E4732">
        <f>TEST_DATA!E4732</f>
        <v>2034</v>
      </c>
    </row>
    <row r="4733" spans="1:5" x14ac:dyDescent="0.55000000000000004">
      <c r="A4733" t="str">
        <f>TEST_DATA!A4733</f>
        <v>27AAAAA4733Z5</v>
      </c>
      <c r="B4733" t="str">
        <f>TEST_DATA!B4733</f>
        <v>Mar-2020</v>
      </c>
      <c r="C4733">
        <f>TEST_DATA!C4733</f>
        <v>44268</v>
      </c>
      <c r="D4733" t="str">
        <f>TEST_DATA!D4733</f>
        <v>NON-NIL</v>
      </c>
      <c r="E4733">
        <f>TEST_DATA!E4733</f>
        <v>474</v>
      </c>
    </row>
    <row r="4734" spans="1:5" x14ac:dyDescent="0.55000000000000004">
      <c r="A4734" t="str">
        <f>TEST_DATA!A4734</f>
        <v>27AAAAA4734Z5</v>
      </c>
      <c r="B4734" t="str">
        <f>TEST_DATA!B4734</f>
        <v>Mar-2023</v>
      </c>
      <c r="C4734">
        <f>TEST_DATA!C4734</f>
        <v>44427</v>
      </c>
      <c r="D4734" t="str">
        <f>TEST_DATA!D4734</f>
        <v>NON-NIL</v>
      </c>
      <c r="E4734">
        <f>TEST_DATA!E4734</f>
        <v>2296</v>
      </c>
    </row>
    <row r="4735" spans="1:5" x14ac:dyDescent="0.55000000000000004">
      <c r="A4735" t="str">
        <f>TEST_DATA!A4735</f>
        <v>27AAAAA4735Z5</v>
      </c>
      <c r="B4735" t="str">
        <f>TEST_DATA!B4735</f>
        <v>Jan-2021</v>
      </c>
      <c r="C4735">
        <f>TEST_DATA!C4735</f>
        <v>44811</v>
      </c>
      <c r="D4735" t="str">
        <f>TEST_DATA!D4735</f>
        <v>NIL</v>
      </c>
      <c r="E4735">
        <f>TEST_DATA!E4735</f>
        <v>2232</v>
      </c>
    </row>
    <row r="4736" spans="1:5" x14ac:dyDescent="0.55000000000000004">
      <c r="A4736" t="str">
        <f>TEST_DATA!A4736</f>
        <v>27AAAAA4736Z5</v>
      </c>
      <c r="B4736" t="str">
        <f>TEST_DATA!B4736</f>
        <v>May-2020</v>
      </c>
      <c r="C4736">
        <f>TEST_DATA!C4736</f>
        <v>44241</v>
      </c>
      <c r="D4736" t="str">
        <f>TEST_DATA!D4736</f>
        <v>NIL</v>
      </c>
      <c r="E4736">
        <f>TEST_DATA!E4736</f>
        <v>2806</v>
      </c>
    </row>
    <row r="4737" spans="1:5" x14ac:dyDescent="0.55000000000000004">
      <c r="A4737" t="str">
        <f>TEST_DATA!A4737</f>
        <v>27AAAAA4737Z5</v>
      </c>
      <c r="B4737" t="str">
        <f>TEST_DATA!B4737</f>
        <v>Aug-2018</v>
      </c>
      <c r="C4737">
        <f>TEST_DATA!C4737</f>
        <v>43080</v>
      </c>
      <c r="D4737" t="str">
        <f>TEST_DATA!D4737</f>
        <v>NON-NIL</v>
      </c>
      <c r="E4737">
        <f>TEST_DATA!E4737</f>
        <v>2649</v>
      </c>
    </row>
    <row r="4738" spans="1:5" x14ac:dyDescent="0.55000000000000004">
      <c r="A4738" t="str">
        <f>TEST_DATA!A4738</f>
        <v>27AAAAA4738Z5</v>
      </c>
      <c r="B4738" t="str">
        <f>TEST_DATA!B4738</f>
        <v>Feb-2018</v>
      </c>
      <c r="C4738">
        <f>TEST_DATA!C4738</f>
        <v>43899</v>
      </c>
      <c r="D4738" t="str">
        <f>TEST_DATA!D4738</f>
        <v>NIL</v>
      </c>
      <c r="E4738">
        <f>TEST_DATA!E4738</f>
        <v>407</v>
      </c>
    </row>
    <row r="4739" spans="1:5" x14ac:dyDescent="0.55000000000000004">
      <c r="A4739" t="str">
        <f>TEST_DATA!A4739</f>
        <v>27AAAAA4739Z5</v>
      </c>
      <c r="B4739" t="str">
        <f>TEST_DATA!B4739</f>
        <v>Nov-2017</v>
      </c>
      <c r="C4739">
        <f>TEST_DATA!C4739</f>
        <v>44451</v>
      </c>
      <c r="D4739" t="str">
        <f>TEST_DATA!D4739</f>
        <v>NON-NIL</v>
      </c>
      <c r="E4739">
        <f>TEST_DATA!E4739</f>
        <v>692</v>
      </c>
    </row>
    <row r="4740" spans="1:5" x14ac:dyDescent="0.55000000000000004">
      <c r="A4740" t="str">
        <f>TEST_DATA!A4740</f>
        <v>27AAAAA4740Z5</v>
      </c>
      <c r="B4740" t="str">
        <f>TEST_DATA!B4740</f>
        <v>Jun-2020</v>
      </c>
      <c r="C4740">
        <f>TEST_DATA!C4740</f>
        <v>44429</v>
      </c>
      <c r="D4740" t="str">
        <f>TEST_DATA!D4740</f>
        <v>NON-NIL</v>
      </c>
      <c r="E4740">
        <f>TEST_DATA!E4740</f>
        <v>1702</v>
      </c>
    </row>
    <row r="4741" spans="1:5" x14ac:dyDescent="0.55000000000000004">
      <c r="A4741" t="str">
        <f>TEST_DATA!A4741</f>
        <v>27AAAAA4741Z5</v>
      </c>
      <c r="B4741" t="str">
        <f>TEST_DATA!B4741</f>
        <v>Dec-2017</v>
      </c>
      <c r="C4741">
        <f>TEST_DATA!C4741</f>
        <v>43790</v>
      </c>
      <c r="D4741" t="str">
        <f>TEST_DATA!D4741</f>
        <v>NIL</v>
      </c>
      <c r="E4741">
        <f>TEST_DATA!E4741</f>
        <v>2986</v>
      </c>
    </row>
    <row r="4742" spans="1:5" x14ac:dyDescent="0.55000000000000004">
      <c r="A4742" t="str">
        <f>TEST_DATA!A4742</f>
        <v>27AAAAA4742Z5</v>
      </c>
      <c r="B4742" t="str">
        <f>TEST_DATA!B4742</f>
        <v>Dec-2017</v>
      </c>
      <c r="C4742">
        <f>TEST_DATA!C4742</f>
        <v>43657</v>
      </c>
      <c r="D4742" t="str">
        <f>TEST_DATA!D4742</f>
        <v>NIL</v>
      </c>
      <c r="E4742">
        <f>TEST_DATA!E4742</f>
        <v>1182</v>
      </c>
    </row>
    <row r="4743" spans="1:5" x14ac:dyDescent="0.55000000000000004">
      <c r="A4743" t="str">
        <f>TEST_DATA!A4743</f>
        <v>27AAAAA4743Z5</v>
      </c>
      <c r="B4743" t="str">
        <f>TEST_DATA!B4743</f>
        <v>Apr-2018</v>
      </c>
      <c r="C4743">
        <f>TEST_DATA!C4743</f>
        <v>44027</v>
      </c>
      <c r="D4743" t="str">
        <f>TEST_DATA!D4743</f>
        <v>NIL</v>
      </c>
      <c r="E4743">
        <f>TEST_DATA!E4743</f>
        <v>312</v>
      </c>
    </row>
    <row r="4744" spans="1:5" x14ac:dyDescent="0.55000000000000004">
      <c r="A4744" t="str">
        <f>TEST_DATA!A4744</f>
        <v>27AAAAA4744Z5</v>
      </c>
      <c r="B4744" t="str">
        <f>TEST_DATA!B4744</f>
        <v>Nov-2017</v>
      </c>
      <c r="C4744">
        <f>TEST_DATA!C4744</f>
        <v>43165</v>
      </c>
      <c r="D4744" t="str">
        <f>TEST_DATA!D4744</f>
        <v>NIL</v>
      </c>
      <c r="E4744">
        <f>TEST_DATA!E4744</f>
        <v>981</v>
      </c>
    </row>
    <row r="4745" spans="1:5" x14ac:dyDescent="0.55000000000000004">
      <c r="A4745" t="str">
        <f>TEST_DATA!A4745</f>
        <v>27AAAAA4745Z5</v>
      </c>
      <c r="B4745" t="str">
        <f>TEST_DATA!B4745</f>
        <v>Sep-2017</v>
      </c>
      <c r="C4745">
        <f>TEST_DATA!C4745</f>
        <v>44511</v>
      </c>
      <c r="D4745" t="str">
        <f>TEST_DATA!D4745</f>
        <v>NON-NIL</v>
      </c>
      <c r="E4745">
        <f>TEST_DATA!E4745</f>
        <v>733</v>
      </c>
    </row>
    <row r="4746" spans="1:5" x14ac:dyDescent="0.55000000000000004">
      <c r="A4746" t="str">
        <f>TEST_DATA!A4746</f>
        <v>27AAAAA4746Z5</v>
      </c>
      <c r="B4746" t="str">
        <f>TEST_DATA!B4746</f>
        <v>Oct-2017</v>
      </c>
      <c r="C4746">
        <f>TEST_DATA!C4746</f>
        <v>44483</v>
      </c>
      <c r="D4746" t="str">
        <f>TEST_DATA!D4746</f>
        <v>NON-NIL</v>
      </c>
      <c r="E4746">
        <f>TEST_DATA!E4746</f>
        <v>1382</v>
      </c>
    </row>
    <row r="4747" spans="1:5" x14ac:dyDescent="0.55000000000000004">
      <c r="A4747" t="str">
        <f>TEST_DATA!A4747</f>
        <v>27AAAAA4747Z5</v>
      </c>
      <c r="B4747" t="str">
        <f>TEST_DATA!B4747</f>
        <v>Oct-2017</v>
      </c>
      <c r="C4747">
        <f>TEST_DATA!C4747</f>
        <v>43941</v>
      </c>
      <c r="D4747" t="str">
        <f>TEST_DATA!D4747</f>
        <v>NON-NIL</v>
      </c>
      <c r="E4747">
        <f>TEST_DATA!E4747</f>
        <v>2092</v>
      </c>
    </row>
    <row r="4748" spans="1:5" x14ac:dyDescent="0.55000000000000004">
      <c r="A4748" t="str">
        <f>TEST_DATA!A4748</f>
        <v>27AAAAA4748Z5</v>
      </c>
      <c r="B4748" t="str">
        <f>TEST_DATA!B4748</f>
        <v>Oct-2017</v>
      </c>
      <c r="C4748">
        <f>TEST_DATA!C4748</f>
        <v>43902</v>
      </c>
      <c r="D4748" t="str">
        <f>TEST_DATA!D4748</f>
        <v>NON-NIL</v>
      </c>
      <c r="E4748">
        <f>TEST_DATA!E4748</f>
        <v>341</v>
      </c>
    </row>
    <row r="4749" spans="1:5" x14ac:dyDescent="0.55000000000000004">
      <c r="A4749" t="str">
        <f>TEST_DATA!A4749</f>
        <v>27AAAAA4749Z5</v>
      </c>
      <c r="B4749" t="str">
        <f>TEST_DATA!B4749</f>
        <v>Jun-2018</v>
      </c>
      <c r="C4749">
        <f>TEST_DATA!C4749</f>
        <v>44532</v>
      </c>
      <c r="D4749" t="str">
        <f>TEST_DATA!D4749</f>
        <v>NIL</v>
      </c>
      <c r="E4749">
        <f>TEST_DATA!E4749</f>
        <v>1446</v>
      </c>
    </row>
    <row r="4750" spans="1:5" x14ac:dyDescent="0.55000000000000004">
      <c r="A4750" t="str">
        <f>TEST_DATA!A4750</f>
        <v>27AAAAA4750Z5</v>
      </c>
      <c r="B4750" t="str">
        <f>TEST_DATA!B4750</f>
        <v>Dec-2017</v>
      </c>
      <c r="C4750">
        <f>TEST_DATA!C4750</f>
        <v>43711</v>
      </c>
      <c r="D4750" t="str">
        <f>TEST_DATA!D4750</f>
        <v>NIL</v>
      </c>
      <c r="E4750">
        <f>TEST_DATA!E4750</f>
        <v>2233</v>
      </c>
    </row>
    <row r="4751" spans="1:5" x14ac:dyDescent="0.55000000000000004">
      <c r="A4751" t="str">
        <f>TEST_DATA!A4751</f>
        <v>27AAAAA4751Z5</v>
      </c>
      <c r="B4751" t="str">
        <f>TEST_DATA!B4751</f>
        <v>Mar-2018</v>
      </c>
      <c r="C4751">
        <f>TEST_DATA!C4751</f>
        <v>44402</v>
      </c>
      <c r="D4751" t="str">
        <f>TEST_DATA!D4751</f>
        <v>NIL</v>
      </c>
      <c r="E4751">
        <f>TEST_DATA!E4751</f>
        <v>2540</v>
      </c>
    </row>
    <row r="4752" spans="1:5" x14ac:dyDescent="0.55000000000000004">
      <c r="A4752" t="str">
        <f>TEST_DATA!A4752</f>
        <v>27AAAAA4752Z5</v>
      </c>
      <c r="B4752" t="str">
        <f>TEST_DATA!B4752</f>
        <v>Apr-2021</v>
      </c>
      <c r="C4752">
        <f>TEST_DATA!C4752</f>
        <v>43819</v>
      </c>
      <c r="D4752" t="str">
        <f>TEST_DATA!D4752</f>
        <v>NIL</v>
      </c>
      <c r="E4752">
        <f>TEST_DATA!E4752</f>
        <v>664</v>
      </c>
    </row>
    <row r="4753" spans="1:5" x14ac:dyDescent="0.55000000000000004">
      <c r="A4753" t="str">
        <f>TEST_DATA!A4753</f>
        <v>27AAAAA4753Z5</v>
      </c>
      <c r="B4753" t="str">
        <f>TEST_DATA!B4753</f>
        <v>Nov-2017</v>
      </c>
      <c r="C4753">
        <f>TEST_DATA!C4753</f>
        <v>43617</v>
      </c>
      <c r="D4753" t="str">
        <f>TEST_DATA!D4753</f>
        <v>NIL</v>
      </c>
      <c r="E4753">
        <f>TEST_DATA!E4753</f>
        <v>2138</v>
      </c>
    </row>
    <row r="4754" spans="1:5" x14ac:dyDescent="0.55000000000000004">
      <c r="A4754" t="str">
        <f>TEST_DATA!A4754</f>
        <v>27AAAAA4754Z5</v>
      </c>
      <c r="B4754" t="str">
        <f>TEST_DATA!B4754</f>
        <v>Dec-2022</v>
      </c>
      <c r="C4754">
        <f>TEST_DATA!C4754</f>
        <v>45656</v>
      </c>
      <c r="D4754" t="str">
        <f>TEST_DATA!D4754</f>
        <v>NIL</v>
      </c>
      <c r="E4754">
        <f>TEST_DATA!E4754</f>
        <v>1960</v>
      </c>
    </row>
    <row r="4755" spans="1:5" x14ac:dyDescent="0.55000000000000004">
      <c r="A4755" t="str">
        <f>TEST_DATA!A4755</f>
        <v>27AAAAA4755Z5</v>
      </c>
      <c r="B4755" t="str">
        <f>TEST_DATA!B4755</f>
        <v>Mar-2021</v>
      </c>
      <c r="C4755">
        <f>TEST_DATA!C4755</f>
        <v>44905</v>
      </c>
      <c r="D4755" t="str">
        <f>TEST_DATA!D4755</f>
        <v>NIL</v>
      </c>
      <c r="E4755">
        <f>TEST_DATA!E4755</f>
        <v>1393</v>
      </c>
    </row>
    <row r="4756" spans="1:5" x14ac:dyDescent="0.55000000000000004">
      <c r="A4756" t="str">
        <f>TEST_DATA!A4756</f>
        <v>27AAAAA4756Z5</v>
      </c>
      <c r="B4756" t="str">
        <f>TEST_DATA!B4756</f>
        <v>Mar-2023</v>
      </c>
      <c r="C4756">
        <f>TEST_DATA!C4756</f>
        <v>45060</v>
      </c>
      <c r="D4756" t="str">
        <f>TEST_DATA!D4756</f>
        <v>NON-NIL</v>
      </c>
      <c r="E4756">
        <f>TEST_DATA!E4756</f>
        <v>424</v>
      </c>
    </row>
    <row r="4757" spans="1:5" x14ac:dyDescent="0.55000000000000004">
      <c r="A4757" t="str">
        <f>TEST_DATA!A4757</f>
        <v>27AAAAA4757Z5</v>
      </c>
      <c r="B4757" t="str">
        <f>TEST_DATA!B4757</f>
        <v>Apr-2021</v>
      </c>
      <c r="C4757">
        <f>TEST_DATA!C4757</f>
        <v>45564</v>
      </c>
      <c r="D4757" t="str">
        <f>TEST_DATA!D4757</f>
        <v>NON-NIL</v>
      </c>
      <c r="E4757">
        <f>TEST_DATA!E4757</f>
        <v>869</v>
      </c>
    </row>
    <row r="4758" spans="1:5" x14ac:dyDescent="0.55000000000000004">
      <c r="A4758" t="str">
        <f>TEST_DATA!A4758</f>
        <v>27AAAAA4758Z5</v>
      </c>
      <c r="B4758" t="str">
        <f>TEST_DATA!B4758</f>
        <v>Dec-2017</v>
      </c>
      <c r="C4758">
        <f>TEST_DATA!C4758</f>
        <v>43306</v>
      </c>
      <c r="D4758" t="str">
        <f>TEST_DATA!D4758</f>
        <v>NON-NIL</v>
      </c>
      <c r="E4758">
        <f>TEST_DATA!E4758</f>
        <v>2401</v>
      </c>
    </row>
    <row r="4759" spans="1:5" x14ac:dyDescent="0.55000000000000004">
      <c r="A4759" t="str">
        <f>TEST_DATA!A4759</f>
        <v>27AAAAA4759Z5</v>
      </c>
      <c r="B4759" t="str">
        <f>TEST_DATA!B4759</f>
        <v>Jan-2021</v>
      </c>
      <c r="C4759">
        <f>TEST_DATA!C4759</f>
        <v>43740</v>
      </c>
      <c r="D4759" t="str">
        <f>TEST_DATA!D4759</f>
        <v>NIL</v>
      </c>
      <c r="E4759">
        <f>TEST_DATA!E4759</f>
        <v>2691</v>
      </c>
    </row>
    <row r="4760" spans="1:5" x14ac:dyDescent="0.55000000000000004">
      <c r="A4760" t="str">
        <f>TEST_DATA!A4760</f>
        <v>27AAAAA4760Z5</v>
      </c>
      <c r="B4760" t="str">
        <f>TEST_DATA!B4760</f>
        <v>Mar-2021</v>
      </c>
      <c r="C4760">
        <f>TEST_DATA!C4760</f>
        <v>45490</v>
      </c>
      <c r="D4760" t="str">
        <f>TEST_DATA!D4760</f>
        <v>NON-NIL</v>
      </c>
      <c r="E4760">
        <f>TEST_DATA!E4760</f>
        <v>1586</v>
      </c>
    </row>
    <row r="4761" spans="1:5" x14ac:dyDescent="0.55000000000000004">
      <c r="A4761" t="str">
        <f>TEST_DATA!A4761</f>
        <v>27AAAAA4761Z5</v>
      </c>
      <c r="B4761" t="str">
        <f>TEST_DATA!B4761</f>
        <v>May-2018</v>
      </c>
      <c r="C4761">
        <f>TEST_DATA!C4761</f>
        <v>44232</v>
      </c>
      <c r="D4761" t="str">
        <f>TEST_DATA!D4761</f>
        <v>NON-NIL</v>
      </c>
      <c r="E4761">
        <f>TEST_DATA!E4761</f>
        <v>815</v>
      </c>
    </row>
    <row r="4762" spans="1:5" x14ac:dyDescent="0.55000000000000004">
      <c r="A4762" t="str">
        <f>TEST_DATA!A4762</f>
        <v>27AAAAA4762Z5</v>
      </c>
      <c r="B4762" t="str">
        <f>TEST_DATA!B4762</f>
        <v>Dec-2024</v>
      </c>
      <c r="C4762">
        <f>TEST_DATA!C4762</f>
        <v>43637</v>
      </c>
      <c r="D4762" t="str">
        <f>TEST_DATA!D4762</f>
        <v>NIL</v>
      </c>
      <c r="E4762">
        <f>TEST_DATA!E4762</f>
        <v>1855</v>
      </c>
    </row>
    <row r="4763" spans="1:5" x14ac:dyDescent="0.55000000000000004">
      <c r="A4763" t="str">
        <f>TEST_DATA!A4763</f>
        <v>27AAAAA4763Z5</v>
      </c>
      <c r="B4763" t="str">
        <f>TEST_DATA!B4763</f>
        <v>Jan-2018</v>
      </c>
      <c r="C4763">
        <f>TEST_DATA!C4763</f>
        <v>42924</v>
      </c>
      <c r="D4763" t="str">
        <f>TEST_DATA!D4763</f>
        <v>NON-NIL</v>
      </c>
      <c r="E4763">
        <f>TEST_DATA!E4763</f>
        <v>70</v>
      </c>
    </row>
    <row r="4764" spans="1:5" x14ac:dyDescent="0.55000000000000004">
      <c r="A4764" t="str">
        <f>TEST_DATA!A4764</f>
        <v>27AAAAA4764Z5</v>
      </c>
      <c r="B4764" t="str">
        <f>TEST_DATA!B4764</f>
        <v>Jun-2020</v>
      </c>
      <c r="C4764">
        <f>TEST_DATA!C4764</f>
        <v>44593</v>
      </c>
      <c r="D4764" t="str">
        <f>TEST_DATA!D4764</f>
        <v>NON-NIL</v>
      </c>
      <c r="E4764">
        <f>TEST_DATA!E4764</f>
        <v>1702</v>
      </c>
    </row>
    <row r="4765" spans="1:5" x14ac:dyDescent="0.55000000000000004">
      <c r="A4765" t="str">
        <f>TEST_DATA!A4765</f>
        <v>27AAAAA4765Z5</v>
      </c>
      <c r="B4765" t="str">
        <f>TEST_DATA!B4765</f>
        <v>Jan-2021</v>
      </c>
      <c r="C4765">
        <f>TEST_DATA!C4765</f>
        <v>43496</v>
      </c>
      <c r="D4765" t="str">
        <f>TEST_DATA!D4765</f>
        <v>NON-NIL</v>
      </c>
      <c r="E4765">
        <f>TEST_DATA!E4765</f>
        <v>1898</v>
      </c>
    </row>
    <row r="4766" spans="1:5" x14ac:dyDescent="0.55000000000000004">
      <c r="A4766" t="str">
        <f>TEST_DATA!A4766</f>
        <v>27AAAAA4766Z5</v>
      </c>
      <c r="B4766" t="str">
        <f>TEST_DATA!B4766</f>
        <v>Sep-2017</v>
      </c>
      <c r="C4766">
        <f>TEST_DATA!C4766</f>
        <v>43191</v>
      </c>
      <c r="D4766" t="str">
        <f>TEST_DATA!D4766</f>
        <v>NIL</v>
      </c>
      <c r="E4766">
        <f>TEST_DATA!E4766</f>
        <v>2435</v>
      </c>
    </row>
    <row r="4767" spans="1:5" x14ac:dyDescent="0.55000000000000004">
      <c r="A4767" t="str">
        <f>TEST_DATA!A4767</f>
        <v>27AAAAA4767Z5</v>
      </c>
      <c r="B4767" t="str">
        <f>TEST_DATA!B4767</f>
        <v>Jun-2019</v>
      </c>
      <c r="C4767">
        <f>TEST_DATA!C4767</f>
        <v>45765</v>
      </c>
      <c r="D4767" t="str">
        <f>TEST_DATA!D4767</f>
        <v>NIL</v>
      </c>
      <c r="E4767">
        <f>TEST_DATA!E4767</f>
        <v>2428</v>
      </c>
    </row>
    <row r="4768" spans="1:5" x14ac:dyDescent="0.55000000000000004">
      <c r="A4768" t="str">
        <f>TEST_DATA!A4768</f>
        <v>27AAAAA4768Z5</v>
      </c>
      <c r="B4768" t="str">
        <f>TEST_DATA!B4768</f>
        <v>Nov-2017</v>
      </c>
      <c r="C4768">
        <f>TEST_DATA!C4768</f>
        <v>43886</v>
      </c>
      <c r="D4768" t="str">
        <f>TEST_DATA!D4768</f>
        <v>NON-NIL</v>
      </c>
      <c r="E4768">
        <f>TEST_DATA!E4768</f>
        <v>2267</v>
      </c>
    </row>
    <row r="4769" spans="1:5" x14ac:dyDescent="0.55000000000000004">
      <c r="A4769" t="str">
        <f>TEST_DATA!A4769</f>
        <v>27AAAAA4769Z5</v>
      </c>
      <c r="B4769" t="str">
        <f>TEST_DATA!B4769</f>
        <v>Dec-2019</v>
      </c>
      <c r="C4769">
        <f>TEST_DATA!C4769</f>
        <v>44861</v>
      </c>
      <c r="D4769" t="str">
        <f>TEST_DATA!D4769</f>
        <v>NIL</v>
      </c>
      <c r="E4769">
        <f>TEST_DATA!E4769</f>
        <v>2559</v>
      </c>
    </row>
    <row r="4770" spans="1:5" x14ac:dyDescent="0.55000000000000004">
      <c r="A4770" t="str">
        <f>TEST_DATA!A4770</f>
        <v>27AAAAA4770Z5</v>
      </c>
      <c r="B4770" t="str">
        <f>TEST_DATA!B4770</f>
        <v>Apr-2021</v>
      </c>
      <c r="C4770">
        <f>TEST_DATA!C4770</f>
        <v>43599</v>
      </c>
      <c r="D4770" t="str">
        <f>TEST_DATA!D4770</f>
        <v>NON-NIL</v>
      </c>
      <c r="E4770">
        <f>TEST_DATA!E4770</f>
        <v>1007</v>
      </c>
    </row>
    <row r="4771" spans="1:5" x14ac:dyDescent="0.55000000000000004">
      <c r="A4771" t="str">
        <f>TEST_DATA!A4771</f>
        <v>27AAAAA4771Z5</v>
      </c>
      <c r="B4771" t="str">
        <f>TEST_DATA!B4771</f>
        <v>Apr-2018</v>
      </c>
      <c r="C4771">
        <f>TEST_DATA!C4771</f>
        <v>44016</v>
      </c>
      <c r="D4771" t="str">
        <f>TEST_DATA!D4771</f>
        <v>NON-NIL</v>
      </c>
      <c r="E4771">
        <f>TEST_DATA!E4771</f>
        <v>1201</v>
      </c>
    </row>
    <row r="4772" spans="1:5" x14ac:dyDescent="0.55000000000000004">
      <c r="A4772" t="str">
        <f>TEST_DATA!A4772</f>
        <v>27AAAAA4772Z5</v>
      </c>
      <c r="B4772" t="str">
        <f>TEST_DATA!B4772</f>
        <v>Aug-2017</v>
      </c>
      <c r="C4772">
        <f>TEST_DATA!C4772</f>
        <v>43135</v>
      </c>
      <c r="D4772" t="str">
        <f>TEST_DATA!D4772</f>
        <v>NIL</v>
      </c>
      <c r="E4772">
        <f>TEST_DATA!E4772</f>
        <v>1229</v>
      </c>
    </row>
    <row r="4773" spans="1:5" x14ac:dyDescent="0.55000000000000004">
      <c r="A4773" t="str">
        <f>TEST_DATA!A4773</f>
        <v>27AAAAA4773Z5</v>
      </c>
      <c r="B4773" t="str">
        <f>TEST_DATA!B4773</f>
        <v>Jun-2020</v>
      </c>
      <c r="C4773">
        <f>TEST_DATA!C4773</f>
        <v>44111</v>
      </c>
      <c r="D4773" t="str">
        <f>TEST_DATA!D4773</f>
        <v>NON-NIL</v>
      </c>
      <c r="E4773">
        <f>TEST_DATA!E4773</f>
        <v>1554</v>
      </c>
    </row>
    <row r="4774" spans="1:5" x14ac:dyDescent="0.55000000000000004">
      <c r="A4774" t="str">
        <f>TEST_DATA!A4774</f>
        <v>27AAAAA4774Z5</v>
      </c>
      <c r="B4774" t="str">
        <f>TEST_DATA!B4774</f>
        <v>Nov-2017</v>
      </c>
      <c r="C4774">
        <f>TEST_DATA!C4774</f>
        <v>43491</v>
      </c>
      <c r="D4774" t="str">
        <f>TEST_DATA!D4774</f>
        <v>NON-NIL</v>
      </c>
      <c r="E4774">
        <f>TEST_DATA!E4774</f>
        <v>1687</v>
      </c>
    </row>
    <row r="4775" spans="1:5" x14ac:dyDescent="0.55000000000000004">
      <c r="A4775" t="str">
        <f>TEST_DATA!A4775</f>
        <v>27AAAAA4775Z5</v>
      </c>
      <c r="B4775" t="str">
        <f>TEST_DATA!B4775</f>
        <v>Sep-2017</v>
      </c>
      <c r="C4775">
        <f>TEST_DATA!C4775</f>
        <v>44004</v>
      </c>
      <c r="D4775" t="str">
        <f>TEST_DATA!D4775</f>
        <v>NON-NIL</v>
      </c>
      <c r="E4775">
        <f>TEST_DATA!E4775</f>
        <v>307</v>
      </c>
    </row>
    <row r="4776" spans="1:5" x14ac:dyDescent="0.55000000000000004">
      <c r="A4776" t="str">
        <f>TEST_DATA!A4776</f>
        <v>27AAAAA4776Z5</v>
      </c>
      <c r="B4776" t="str">
        <f>TEST_DATA!B4776</f>
        <v>Jan-2019</v>
      </c>
      <c r="C4776">
        <f>TEST_DATA!C4776</f>
        <v>44729</v>
      </c>
      <c r="D4776" t="str">
        <f>TEST_DATA!D4776</f>
        <v>NON-NIL</v>
      </c>
      <c r="E4776">
        <f>TEST_DATA!E4776</f>
        <v>1666</v>
      </c>
    </row>
    <row r="4777" spans="1:5" x14ac:dyDescent="0.55000000000000004">
      <c r="A4777" t="str">
        <f>TEST_DATA!A4777</f>
        <v>27AAAAA4777Z5</v>
      </c>
      <c r="B4777" t="str">
        <f>TEST_DATA!B4777</f>
        <v>Jul-2017</v>
      </c>
      <c r="C4777">
        <f>TEST_DATA!C4777</f>
        <v>42970</v>
      </c>
      <c r="D4777" t="str">
        <f>TEST_DATA!D4777</f>
        <v>NON-NIL</v>
      </c>
      <c r="E4777">
        <f>TEST_DATA!E4777</f>
        <v>1342</v>
      </c>
    </row>
    <row r="4778" spans="1:5" x14ac:dyDescent="0.55000000000000004">
      <c r="A4778" t="str">
        <f>TEST_DATA!A4778</f>
        <v>27AAAAA4778Z5</v>
      </c>
      <c r="B4778" t="str">
        <f>TEST_DATA!B4778</f>
        <v>Dec-2017</v>
      </c>
      <c r="C4778">
        <f>TEST_DATA!C4778</f>
        <v>44374</v>
      </c>
      <c r="D4778" t="str">
        <f>TEST_DATA!D4778</f>
        <v>NIL</v>
      </c>
      <c r="E4778">
        <f>TEST_DATA!E4778</f>
        <v>562</v>
      </c>
    </row>
    <row r="4779" spans="1:5" x14ac:dyDescent="0.55000000000000004">
      <c r="A4779" t="str">
        <f>TEST_DATA!A4779</f>
        <v>27AAAAA4779Z5</v>
      </c>
      <c r="B4779" t="str">
        <f>TEST_DATA!B4779</f>
        <v>Jun-2019</v>
      </c>
      <c r="C4779">
        <f>TEST_DATA!C4779</f>
        <v>43876</v>
      </c>
      <c r="D4779" t="str">
        <f>TEST_DATA!D4779</f>
        <v>NON-NIL</v>
      </c>
      <c r="E4779">
        <f>TEST_DATA!E4779</f>
        <v>464</v>
      </c>
    </row>
    <row r="4780" spans="1:5" x14ac:dyDescent="0.55000000000000004">
      <c r="A4780" t="str">
        <f>TEST_DATA!A4780</f>
        <v>27AAAAA4780Z5</v>
      </c>
      <c r="B4780" t="str">
        <f>TEST_DATA!B4780</f>
        <v>Oct-2017</v>
      </c>
      <c r="C4780">
        <f>TEST_DATA!C4780</f>
        <v>43458</v>
      </c>
      <c r="D4780" t="str">
        <f>TEST_DATA!D4780</f>
        <v>NON-NIL</v>
      </c>
      <c r="E4780">
        <f>TEST_DATA!E4780</f>
        <v>1303</v>
      </c>
    </row>
    <row r="4781" spans="1:5" x14ac:dyDescent="0.55000000000000004">
      <c r="A4781" t="str">
        <f>TEST_DATA!A4781</f>
        <v>27AAAAA4781Z5</v>
      </c>
      <c r="B4781" t="str">
        <f>TEST_DATA!B4781</f>
        <v>Dec-2024</v>
      </c>
      <c r="C4781">
        <f>TEST_DATA!C4781</f>
        <v>43972</v>
      </c>
      <c r="D4781" t="str">
        <f>TEST_DATA!D4781</f>
        <v>NIL</v>
      </c>
      <c r="E4781">
        <f>TEST_DATA!E4781</f>
        <v>2360</v>
      </c>
    </row>
    <row r="4782" spans="1:5" x14ac:dyDescent="0.55000000000000004">
      <c r="A4782" t="str">
        <f>TEST_DATA!A4782</f>
        <v>27AAAAA4782Z5</v>
      </c>
      <c r="B4782" t="str">
        <f>TEST_DATA!B4782</f>
        <v>Jan-2018</v>
      </c>
      <c r="C4782">
        <f>TEST_DATA!C4782</f>
        <v>44109</v>
      </c>
      <c r="D4782" t="str">
        <f>TEST_DATA!D4782</f>
        <v>NIL</v>
      </c>
      <c r="E4782">
        <f>TEST_DATA!E4782</f>
        <v>948</v>
      </c>
    </row>
    <row r="4783" spans="1:5" x14ac:dyDescent="0.55000000000000004">
      <c r="A4783" t="str">
        <f>TEST_DATA!A4783</f>
        <v>27AAAAA4783Z5</v>
      </c>
      <c r="B4783" t="str">
        <f>TEST_DATA!B4783</f>
        <v>Aug-2017</v>
      </c>
      <c r="C4783">
        <f>TEST_DATA!C4783</f>
        <v>43483</v>
      </c>
      <c r="D4783" t="str">
        <f>TEST_DATA!D4783</f>
        <v>NON-NIL</v>
      </c>
      <c r="E4783">
        <f>TEST_DATA!E4783</f>
        <v>2253</v>
      </c>
    </row>
    <row r="4784" spans="1:5" x14ac:dyDescent="0.55000000000000004">
      <c r="A4784" t="str">
        <f>TEST_DATA!A4784</f>
        <v>27AAAAA4784Z5</v>
      </c>
      <c r="B4784" t="str">
        <f>TEST_DATA!B4784</f>
        <v>Mar-2021</v>
      </c>
      <c r="C4784">
        <f>TEST_DATA!C4784</f>
        <v>45683</v>
      </c>
      <c r="D4784" t="str">
        <f>TEST_DATA!D4784</f>
        <v>NIL</v>
      </c>
      <c r="E4784">
        <f>TEST_DATA!E4784</f>
        <v>2919</v>
      </c>
    </row>
    <row r="4785" spans="1:5" x14ac:dyDescent="0.55000000000000004">
      <c r="A4785" t="str">
        <f>TEST_DATA!A4785</f>
        <v>27AAAAA4785Z5</v>
      </c>
      <c r="B4785" t="str">
        <f>TEST_DATA!B4785</f>
        <v>Dec-2019</v>
      </c>
      <c r="C4785">
        <f>TEST_DATA!C4785</f>
        <v>45830</v>
      </c>
      <c r="D4785" t="str">
        <f>TEST_DATA!D4785</f>
        <v>NON-NIL</v>
      </c>
      <c r="E4785">
        <f>TEST_DATA!E4785</f>
        <v>2262</v>
      </c>
    </row>
    <row r="4786" spans="1:5" x14ac:dyDescent="0.55000000000000004">
      <c r="A4786" t="str">
        <f>TEST_DATA!A4786</f>
        <v>27AAAAA4786Z5</v>
      </c>
      <c r="B4786" t="str">
        <f>TEST_DATA!B4786</f>
        <v>Jun-2020</v>
      </c>
      <c r="C4786">
        <f>TEST_DATA!C4786</f>
        <v>44440</v>
      </c>
      <c r="D4786" t="str">
        <f>TEST_DATA!D4786</f>
        <v>NIL</v>
      </c>
      <c r="E4786">
        <f>TEST_DATA!E4786</f>
        <v>1653</v>
      </c>
    </row>
    <row r="4787" spans="1:5" x14ac:dyDescent="0.55000000000000004">
      <c r="A4787" t="str">
        <f>TEST_DATA!A4787</f>
        <v>27AAAAA4787Z5</v>
      </c>
      <c r="B4787" t="str">
        <f>TEST_DATA!B4787</f>
        <v>Mar-2021</v>
      </c>
      <c r="C4787">
        <f>TEST_DATA!C4787</f>
        <v>43632</v>
      </c>
      <c r="D4787" t="str">
        <f>TEST_DATA!D4787</f>
        <v>NON-NIL</v>
      </c>
      <c r="E4787">
        <f>TEST_DATA!E4787</f>
        <v>1721</v>
      </c>
    </row>
    <row r="4788" spans="1:5" x14ac:dyDescent="0.55000000000000004">
      <c r="A4788" t="str">
        <f>TEST_DATA!A4788</f>
        <v>27AAAAA4788Z5</v>
      </c>
      <c r="B4788" t="str">
        <f>TEST_DATA!B4788</f>
        <v>Sep-2017</v>
      </c>
      <c r="C4788">
        <f>TEST_DATA!C4788</f>
        <v>44264</v>
      </c>
      <c r="D4788" t="str">
        <f>TEST_DATA!D4788</f>
        <v>NON-NIL</v>
      </c>
      <c r="E4788">
        <f>TEST_DATA!E4788</f>
        <v>1102</v>
      </c>
    </row>
    <row r="4789" spans="1:5" x14ac:dyDescent="0.55000000000000004">
      <c r="A4789" t="str">
        <f>TEST_DATA!A4789</f>
        <v>27AAAAA4789Z5</v>
      </c>
      <c r="B4789" t="str">
        <f>TEST_DATA!B4789</f>
        <v>Jan-2021</v>
      </c>
      <c r="C4789">
        <f>TEST_DATA!C4789</f>
        <v>43679</v>
      </c>
      <c r="D4789" t="str">
        <f>TEST_DATA!D4789</f>
        <v>NIL</v>
      </c>
      <c r="E4789">
        <f>TEST_DATA!E4789</f>
        <v>281</v>
      </c>
    </row>
    <row r="4790" spans="1:5" x14ac:dyDescent="0.55000000000000004">
      <c r="A4790" t="str">
        <f>TEST_DATA!A4790</f>
        <v>27AAAAA4790Z5</v>
      </c>
      <c r="B4790" t="str">
        <f>TEST_DATA!B4790</f>
        <v>Oct-2017</v>
      </c>
      <c r="C4790">
        <f>TEST_DATA!C4790</f>
        <v>44121</v>
      </c>
      <c r="D4790" t="str">
        <f>TEST_DATA!D4790</f>
        <v>NIL</v>
      </c>
      <c r="E4790">
        <f>TEST_DATA!E4790</f>
        <v>437</v>
      </c>
    </row>
    <row r="4791" spans="1:5" x14ac:dyDescent="0.55000000000000004">
      <c r="A4791" t="str">
        <f>TEST_DATA!A4791</f>
        <v>27AAAAA4791Z5</v>
      </c>
      <c r="B4791" t="str">
        <f>TEST_DATA!B4791</f>
        <v>Dec-2024</v>
      </c>
      <c r="C4791">
        <f>TEST_DATA!C4791</f>
        <v>45419</v>
      </c>
      <c r="D4791" t="str">
        <f>TEST_DATA!D4791</f>
        <v>NIL</v>
      </c>
      <c r="E4791">
        <f>TEST_DATA!E4791</f>
        <v>1921</v>
      </c>
    </row>
    <row r="4792" spans="1:5" x14ac:dyDescent="0.55000000000000004">
      <c r="A4792" t="str">
        <f>TEST_DATA!A4792</f>
        <v>27AAAAA4792Z5</v>
      </c>
      <c r="B4792" t="str">
        <f>TEST_DATA!B4792</f>
        <v>Apr-2021</v>
      </c>
      <c r="C4792">
        <f>TEST_DATA!C4792</f>
        <v>44945</v>
      </c>
      <c r="D4792" t="str">
        <f>TEST_DATA!D4792</f>
        <v>NON-NIL</v>
      </c>
      <c r="E4792">
        <f>TEST_DATA!E4792</f>
        <v>2219</v>
      </c>
    </row>
    <row r="4793" spans="1:5" x14ac:dyDescent="0.55000000000000004">
      <c r="A4793" t="str">
        <f>TEST_DATA!A4793</f>
        <v>27AAAAA4793Z5</v>
      </c>
      <c r="B4793" t="str">
        <f>TEST_DATA!B4793</f>
        <v>Oct-2017</v>
      </c>
      <c r="C4793">
        <f>TEST_DATA!C4793</f>
        <v>43458</v>
      </c>
      <c r="D4793" t="str">
        <f>TEST_DATA!D4793</f>
        <v>NIL</v>
      </c>
      <c r="E4793">
        <f>TEST_DATA!E4793</f>
        <v>2420</v>
      </c>
    </row>
    <row r="4794" spans="1:5" x14ac:dyDescent="0.55000000000000004">
      <c r="A4794" t="str">
        <f>TEST_DATA!A4794</f>
        <v>27AAAAA4794Z5</v>
      </c>
      <c r="B4794" t="str">
        <f>TEST_DATA!B4794</f>
        <v>Dec-2019</v>
      </c>
      <c r="C4794">
        <f>TEST_DATA!C4794</f>
        <v>44480</v>
      </c>
      <c r="D4794" t="str">
        <f>TEST_DATA!D4794</f>
        <v>NIL</v>
      </c>
      <c r="E4794">
        <f>TEST_DATA!E4794</f>
        <v>1368</v>
      </c>
    </row>
    <row r="4795" spans="1:5" x14ac:dyDescent="0.55000000000000004">
      <c r="A4795" t="str">
        <f>TEST_DATA!A4795</f>
        <v>27AAAAA4795Z5</v>
      </c>
      <c r="B4795" t="str">
        <f>TEST_DATA!B4795</f>
        <v>Dec-2017</v>
      </c>
      <c r="C4795">
        <f>TEST_DATA!C4795</f>
        <v>43296</v>
      </c>
      <c r="D4795" t="str">
        <f>TEST_DATA!D4795</f>
        <v>NIL</v>
      </c>
      <c r="E4795">
        <f>TEST_DATA!E4795</f>
        <v>2583</v>
      </c>
    </row>
    <row r="4796" spans="1:5" x14ac:dyDescent="0.55000000000000004">
      <c r="A4796" t="str">
        <f>TEST_DATA!A4796</f>
        <v>27AAAAA4796Z5</v>
      </c>
      <c r="B4796" t="str">
        <f>TEST_DATA!B4796</f>
        <v>Apr-2021</v>
      </c>
      <c r="C4796">
        <f>TEST_DATA!C4796</f>
        <v>43534</v>
      </c>
      <c r="D4796" t="str">
        <f>TEST_DATA!D4796</f>
        <v>NON-NIL</v>
      </c>
      <c r="E4796">
        <f>TEST_DATA!E4796</f>
        <v>894</v>
      </c>
    </row>
    <row r="4797" spans="1:5" x14ac:dyDescent="0.55000000000000004">
      <c r="A4797" t="str">
        <f>TEST_DATA!A4797</f>
        <v>27AAAAA4797Z5</v>
      </c>
      <c r="B4797" t="str">
        <f>TEST_DATA!B4797</f>
        <v>Jan-2021</v>
      </c>
      <c r="C4797">
        <f>TEST_DATA!C4797</f>
        <v>43984</v>
      </c>
      <c r="D4797" t="str">
        <f>TEST_DATA!D4797</f>
        <v>NIL</v>
      </c>
      <c r="E4797">
        <f>TEST_DATA!E4797</f>
        <v>2795</v>
      </c>
    </row>
    <row r="4798" spans="1:5" x14ac:dyDescent="0.55000000000000004">
      <c r="A4798" t="str">
        <f>TEST_DATA!A4798</f>
        <v>27AAAAA4798Z5</v>
      </c>
      <c r="B4798" t="str">
        <f>TEST_DATA!B4798</f>
        <v>Jun-2019</v>
      </c>
      <c r="C4798">
        <f>TEST_DATA!C4798</f>
        <v>44443</v>
      </c>
      <c r="D4798" t="str">
        <f>TEST_DATA!D4798</f>
        <v>NON-NIL</v>
      </c>
      <c r="E4798">
        <f>TEST_DATA!E4798</f>
        <v>21</v>
      </c>
    </row>
    <row r="4799" spans="1:5" x14ac:dyDescent="0.55000000000000004">
      <c r="A4799" t="str">
        <f>TEST_DATA!A4799</f>
        <v>27AAAAA4799Z5</v>
      </c>
      <c r="B4799" t="str">
        <f>TEST_DATA!B4799</f>
        <v>Jun-2020</v>
      </c>
      <c r="C4799">
        <f>TEST_DATA!C4799</f>
        <v>44902</v>
      </c>
      <c r="D4799" t="str">
        <f>TEST_DATA!D4799</f>
        <v>NON-NIL</v>
      </c>
      <c r="E4799">
        <f>TEST_DATA!E4799</f>
        <v>2362</v>
      </c>
    </row>
    <row r="4800" spans="1:5" x14ac:dyDescent="0.55000000000000004">
      <c r="A4800" t="str">
        <f>TEST_DATA!A4800</f>
        <v>27AAAAA4800Z5</v>
      </c>
      <c r="B4800" t="str">
        <f>TEST_DATA!B4800</f>
        <v>Apr-2021</v>
      </c>
      <c r="C4800">
        <f>TEST_DATA!C4800</f>
        <v>44234</v>
      </c>
      <c r="D4800" t="str">
        <f>TEST_DATA!D4800</f>
        <v>NON-NIL</v>
      </c>
      <c r="E4800">
        <f>TEST_DATA!E4800</f>
        <v>2242</v>
      </c>
    </row>
    <row r="4801" spans="1:5" x14ac:dyDescent="0.55000000000000004">
      <c r="A4801" t="str">
        <f>TEST_DATA!A4801</f>
        <v>27AAAAA4801Z5</v>
      </c>
      <c r="B4801" t="str">
        <f>TEST_DATA!B4801</f>
        <v>Feb-2018</v>
      </c>
      <c r="C4801">
        <f>TEST_DATA!C4801</f>
        <v>43038</v>
      </c>
      <c r="D4801" t="str">
        <f>TEST_DATA!D4801</f>
        <v>NON-NIL</v>
      </c>
      <c r="E4801">
        <f>TEST_DATA!E4801</f>
        <v>864</v>
      </c>
    </row>
    <row r="4802" spans="1:5" x14ac:dyDescent="0.55000000000000004">
      <c r="A4802" t="str">
        <f>TEST_DATA!A4802</f>
        <v>27AAAAA4802Z5</v>
      </c>
      <c r="B4802" t="str">
        <f>TEST_DATA!B4802</f>
        <v>Apr-2020</v>
      </c>
      <c r="C4802">
        <f>TEST_DATA!C4802</f>
        <v>44626</v>
      </c>
      <c r="D4802" t="str">
        <f>TEST_DATA!D4802</f>
        <v>NIL</v>
      </c>
      <c r="E4802">
        <f>TEST_DATA!E4802</f>
        <v>2161</v>
      </c>
    </row>
    <row r="4803" spans="1:5" x14ac:dyDescent="0.55000000000000004">
      <c r="A4803" t="str">
        <f>TEST_DATA!A4803</f>
        <v>27AAAAA4803Z5</v>
      </c>
      <c r="B4803" t="str">
        <f>TEST_DATA!B4803</f>
        <v>Apr-2018</v>
      </c>
      <c r="C4803">
        <f>TEST_DATA!C4803</f>
        <v>43622</v>
      </c>
      <c r="D4803" t="str">
        <f>TEST_DATA!D4803</f>
        <v>NIL</v>
      </c>
      <c r="E4803">
        <f>TEST_DATA!E4803</f>
        <v>1656</v>
      </c>
    </row>
    <row r="4804" spans="1:5" x14ac:dyDescent="0.55000000000000004">
      <c r="A4804" t="str">
        <f>TEST_DATA!A4804</f>
        <v>27AAAAA4804Z5</v>
      </c>
      <c r="B4804" t="str">
        <f>TEST_DATA!B4804</f>
        <v>Mar-2020</v>
      </c>
      <c r="C4804">
        <f>TEST_DATA!C4804</f>
        <v>44673</v>
      </c>
      <c r="D4804" t="str">
        <f>TEST_DATA!D4804</f>
        <v>NON-NIL</v>
      </c>
      <c r="E4804">
        <f>TEST_DATA!E4804</f>
        <v>1103</v>
      </c>
    </row>
    <row r="4805" spans="1:5" x14ac:dyDescent="0.55000000000000004">
      <c r="A4805" t="str">
        <f>TEST_DATA!A4805</f>
        <v>27AAAAA4805Z5</v>
      </c>
      <c r="B4805" t="str">
        <f>TEST_DATA!B4805</f>
        <v>Feb-2018</v>
      </c>
      <c r="C4805">
        <f>TEST_DATA!C4805</f>
        <v>44179</v>
      </c>
      <c r="D4805" t="str">
        <f>TEST_DATA!D4805</f>
        <v>NIL</v>
      </c>
      <c r="E4805">
        <f>TEST_DATA!E4805</f>
        <v>2895</v>
      </c>
    </row>
    <row r="4806" spans="1:5" x14ac:dyDescent="0.55000000000000004">
      <c r="A4806" t="str">
        <f>TEST_DATA!A4806</f>
        <v>27AAAAA4806Z5</v>
      </c>
      <c r="B4806" t="str">
        <f>TEST_DATA!B4806</f>
        <v>Aug-2018</v>
      </c>
      <c r="C4806">
        <f>TEST_DATA!C4806</f>
        <v>43439</v>
      </c>
      <c r="D4806" t="str">
        <f>TEST_DATA!D4806</f>
        <v>NON-NIL</v>
      </c>
      <c r="E4806">
        <f>TEST_DATA!E4806</f>
        <v>5</v>
      </c>
    </row>
    <row r="4807" spans="1:5" x14ac:dyDescent="0.55000000000000004">
      <c r="A4807" t="str">
        <f>TEST_DATA!A4807</f>
        <v>27AAAAA4807Z5</v>
      </c>
      <c r="B4807" t="str">
        <f>TEST_DATA!B4807</f>
        <v>Oct-2017</v>
      </c>
      <c r="C4807">
        <f>TEST_DATA!C4807</f>
        <v>43747</v>
      </c>
      <c r="D4807" t="str">
        <f>TEST_DATA!D4807</f>
        <v>NIL</v>
      </c>
      <c r="E4807">
        <f>TEST_DATA!E4807</f>
        <v>1036</v>
      </c>
    </row>
    <row r="4808" spans="1:5" x14ac:dyDescent="0.55000000000000004">
      <c r="A4808" t="str">
        <f>TEST_DATA!A4808</f>
        <v>27AAAAA4808Z5</v>
      </c>
      <c r="B4808" t="str">
        <f>TEST_DATA!B4808</f>
        <v>Jul-2020</v>
      </c>
      <c r="C4808">
        <f>TEST_DATA!C4808</f>
        <v>44093</v>
      </c>
      <c r="D4808" t="str">
        <f>TEST_DATA!D4808</f>
        <v>NIL</v>
      </c>
      <c r="E4808">
        <f>TEST_DATA!E4808</f>
        <v>2624</v>
      </c>
    </row>
    <row r="4809" spans="1:5" x14ac:dyDescent="0.55000000000000004">
      <c r="A4809" t="str">
        <f>TEST_DATA!A4809</f>
        <v>27AAAAA4809Z5</v>
      </c>
      <c r="B4809" t="str">
        <f>TEST_DATA!B4809</f>
        <v>Mar-2020</v>
      </c>
      <c r="C4809">
        <f>TEST_DATA!C4809</f>
        <v>44076</v>
      </c>
      <c r="D4809" t="str">
        <f>TEST_DATA!D4809</f>
        <v>NIL</v>
      </c>
      <c r="E4809">
        <f>TEST_DATA!E4809</f>
        <v>542</v>
      </c>
    </row>
    <row r="4810" spans="1:5" x14ac:dyDescent="0.55000000000000004">
      <c r="A4810" t="str">
        <f>TEST_DATA!A4810</f>
        <v>27AAAAA4810Z5</v>
      </c>
      <c r="B4810" t="str">
        <f>TEST_DATA!B4810</f>
        <v>Jul-2020</v>
      </c>
      <c r="C4810">
        <f>TEST_DATA!C4810</f>
        <v>43913</v>
      </c>
      <c r="D4810" t="str">
        <f>TEST_DATA!D4810</f>
        <v>NIL</v>
      </c>
      <c r="E4810">
        <f>TEST_DATA!E4810</f>
        <v>1023</v>
      </c>
    </row>
    <row r="4811" spans="1:5" x14ac:dyDescent="0.55000000000000004">
      <c r="A4811" t="str">
        <f>TEST_DATA!A4811</f>
        <v>27AAAAA4811Z5</v>
      </c>
      <c r="B4811" t="str">
        <f>TEST_DATA!B4811</f>
        <v>Jan-2021</v>
      </c>
      <c r="C4811">
        <f>TEST_DATA!C4811</f>
        <v>43656</v>
      </c>
      <c r="D4811" t="str">
        <f>TEST_DATA!D4811</f>
        <v>NIL</v>
      </c>
      <c r="E4811">
        <f>TEST_DATA!E4811</f>
        <v>2801</v>
      </c>
    </row>
    <row r="4812" spans="1:5" x14ac:dyDescent="0.55000000000000004">
      <c r="A4812" t="str">
        <f>TEST_DATA!A4812</f>
        <v>27AAAAA4812Z5</v>
      </c>
      <c r="B4812" t="str">
        <f>TEST_DATA!B4812</f>
        <v>Jul-2018</v>
      </c>
      <c r="C4812">
        <f>TEST_DATA!C4812</f>
        <v>43189</v>
      </c>
      <c r="D4812" t="str">
        <f>TEST_DATA!D4812</f>
        <v>NIL</v>
      </c>
      <c r="E4812">
        <f>TEST_DATA!E4812</f>
        <v>1132</v>
      </c>
    </row>
    <row r="4813" spans="1:5" x14ac:dyDescent="0.55000000000000004">
      <c r="A4813" t="str">
        <f>TEST_DATA!A4813</f>
        <v>27AAAAA4813Z5</v>
      </c>
      <c r="B4813" t="str">
        <f>TEST_DATA!B4813</f>
        <v>Oct-2017</v>
      </c>
      <c r="C4813">
        <f>TEST_DATA!C4813</f>
        <v>44093</v>
      </c>
      <c r="D4813" t="str">
        <f>TEST_DATA!D4813</f>
        <v>NIL</v>
      </c>
      <c r="E4813">
        <f>TEST_DATA!E4813</f>
        <v>2669</v>
      </c>
    </row>
    <row r="4814" spans="1:5" x14ac:dyDescent="0.55000000000000004">
      <c r="A4814" t="str">
        <f>TEST_DATA!A4814</f>
        <v>27AAAAA4814Z5</v>
      </c>
      <c r="B4814" t="str">
        <f>TEST_DATA!B4814</f>
        <v>Jan-2018</v>
      </c>
      <c r="C4814">
        <f>TEST_DATA!C4814</f>
        <v>44385</v>
      </c>
      <c r="D4814" t="str">
        <f>TEST_DATA!D4814</f>
        <v>NIL</v>
      </c>
      <c r="E4814">
        <f>TEST_DATA!E4814</f>
        <v>2851</v>
      </c>
    </row>
    <row r="4815" spans="1:5" x14ac:dyDescent="0.55000000000000004">
      <c r="A4815" t="str">
        <f>TEST_DATA!A4815</f>
        <v>27AAAAA4815Z5</v>
      </c>
      <c r="B4815" t="str">
        <f>TEST_DATA!B4815</f>
        <v>Jul-2017</v>
      </c>
      <c r="C4815">
        <f>TEST_DATA!C4815</f>
        <v>43763</v>
      </c>
      <c r="D4815" t="str">
        <f>TEST_DATA!D4815</f>
        <v>NIL</v>
      </c>
      <c r="E4815">
        <f>TEST_DATA!E4815</f>
        <v>1398</v>
      </c>
    </row>
    <row r="4816" spans="1:5" x14ac:dyDescent="0.55000000000000004">
      <c r="A4816" t="str">
        <f>TEST_DATA!A4816</f>
        <v>27AAAAA4816Z5</v>
      </c>
      <c r="B4816" t="str">
        <f>TEST_DATA!B4816</f>
        <v>Jan-2018</v>
      </c>
      <c r="C4816">
        <f>TEST_DATA!C4816</f>
        <v>43832</v>
      </c>
      <c r="D4816" t="str">
        <f>TEST_DATA!D4816</f>
        <v>NIL</v>
      </c>
      <c r="E4816">
        <f>TEST_DATA!E4816</f>
        <v>602</v>
      </c>
    </row>
    <row r="4817" spans="1:5" x14ac:dyDescent="0.55000000000000004">
      <c r="A4817" t="str">
        <f>TEST_DATA!A4817</f>
        <v>27AAAAA4817Z5</v>
      </c>
      <c r="B4817" t="str">
        <f>TEST_DATA!B4817</f>
        <v>Jan-2021</v>
      </c>
      <c r="C4817">
        <f>TEST_DATA!C4817</f>
        <v>43970</v>
      </c>
      <c r="D4817" t="str">
        <f>TEST_DATA!D4817</f>
        <v>NON-NIL</v>
      </c>
      <c r="E4817">
        <f>TEST_DATA!E4817</f>
        <v>1331</v>
      </c>
    </row>
    <row r="4818" spans="1:5" x14ac:dyDescent="0.55000000000000004">
      <c r="A4818" t="str">
        <f>TEST_DATA!A4818</f>
        <v>27AAAAA4818Z5</v>
      </c>
      <c r="B4818" t="str">
        <f>TEST_DATA!B4818</f>
        <v>Aug-2018</v>
      </c>
      <c r="C4818">
        <f>TEST_DATA!C4818</f>
        <v>43692</v>
      </c>
      <c r="D4818" t="str">
        <f>TEST_DATA!D4818</f>
        <v>NON-NIL</v>
      </c>
      <c r="E4818">
        <f>TEST_DATA!E4818</f>
        <v>1816</v>
      </c>
    </row>
    <row r="4819" spans="1:5" x14ac:dyDescent="0.55000000000000004">
      <c r="A4819" t="str">
        <f>TEST_DATA!A4819</f>
        <v>27AAAAA4819Z5</v>
      </c>
      <c r="B4819" t="str">
        <f>TEST_DATA!B4819</f>
        <v>Jun-2020</v>
      </c>
      <c r="C4819">
        <f>TEST_DATA!C4819</f>
        <v>44243</v>
      </c>
      <c r="D4819" t="str">
        <f>TEST_DATA!D4819</f>
        <v>NIL</v>
      </c>
      <c r="E4819">
        <f>TEST_DATA!E4819</f>
        <v>846</v>
      </c>
    </row>
    <row r="4820" spans="1:5" x14ac:dyDescent="0.55000000000000004">
      <c r="A4820" t="str">
        <f>TEST_DATA!A4820</f>
        <v>27AAAAA4820Z5</v>
      </c>
      <c r="B4820" t="str">
        <f>TEST_DATA!B4820</f>
        <v>Jul-2018</v>
      </c>
      <c r="C4820">
        <f>TEST_DATA!C4820</f>
        <v>43640</v>
      </c>
      <c r="D4820" t="str">
        <f>TEST_DATA!D4820</f>
        <v>NIL</v>
      </c>
      <c r="E4820">
        <f>TEST_DATA!E4820</f>
        <v>2727</v>
      </c>
    </row>
    <row r="4821" spans="1:5" x14ac:dyDescent="0.55000000000000004">
      <c r="A4821" t="str">
        <f>TEST_DATA!A4821</f>
        <v>27AAAAA4821Z5</v>
      </c>
      <c r="B4821" t="str">
        <f>TEST_DATA!B4821</f>
        <v>Mar-2023</v>
      </c>
      <c r="C4821">
        <f>TEST_DATA!C4821</f>
        <v>44460</v>
      </c>
      <c r="D4821" t="str">
        <f>TEST_DATA!D4821</f>
        <v>NON-NIL</v>
      </c>
      <c r="E4821">
        <f>TEST_DATA!E4821</f>
        <v>2002</v>
      </c>
    </row>
    <row r="4822" spans="1:5" x14ac:dyDescent="0.55000000000000004">
      <c r="A4822" t="str">
        <f>TEST_DATA!A4822</f>
        <v>27AAAAA4822Z5</v>
      </c>
      <c r="B4822" t="str">
        <f>TEST_DATA!B4822</f>
        <v>Mar-2018</v>
      </c>
      <c r="C4822">
        <f>TEST_DATA!C4822</f>
        <v>43812</v>
      </c>
      <c r="D4822" t="str">
        <f>TEST_DATA!D4822</f>
        <v>NIL</v>
      </c>
      <c r="E4822">
        <f>TEST_DATA!E4822</f>
        <v>1032</v>
      </c>
    </row>
    <row r="4823" spans="1:5" x14ac:dyDescent="0.55000000000000004">
      <c r="A4823" t="str">
        <f>TEST_DATA!A4823</f>
        <v>27AAAAA4823Z5</v>
      </c>
      <c r="B4823" t="str">
        <f>TEST_DATA!B4823</f>
        <v>Jul-2017</v>
      </c>
      <c r="C4823">
        <f>TEST_DATA!C4823</f>
        <v>43804</v>
      </c>
      <c r="D4823" t="str">
        <f>TEST_DATA!D4823</f>
        <v>NON-NIL</v>
      </c>
      <c r="E4823">
        <f>TEST_DATA!E4823</f>
        <v>649</v>
      </c>
    </row>
    <row r="4824" spans="1:5" x14ac:dyDescent="0.55000000000000004">
      <c r="A4824" t="str">
        <f>TEST_DATA!A4824</f>
        <v>27AAAAA4824Z5</v>
      </c>
      <c r="B4824" t="str">
        <f>TEST_DATA!B4824</f>
        <v>Aug-2017</v>
      </c>
      <c r="C4824">
        <f>TEST_DATA!C4824</f>
        <v>44517</v>
      </c>
      <c r="D4824" t="str">
        <f>TEST_DATA!D4824</f>
        <v>NIL</v>
      </c>
      <c r="E4824">
        <f>TEST_DATA!E4824</f>
        <v>1879</v>
      </c>
    </row>
    <row r="4825" spans="1:5" x14ac:dyDescent="0.55000000000000004">
      <c r="A4825" t="str">
        <f>TEST_DATA!A4825</f>
        <v>27AAAAA4825Z5</v>
      </c>
      <c r="B4825" t="str">
        <f>TEST_DATA!B4825</f>
        <v>Jun-2019</v>
      </c>
      <c r="C4825">
        <f>TEST_DATA!C4825</f>
        <v>44650</v>
      </c>
      <c r="D4825" t="str">
        <f>TEST_DATA!D4825</f>
        <v>NIL</v>
      </c>
      <c r="E4825">
        <f>TEST_DATA!E4825</f>
        <v>1693</v>
      </c>
    </row>
    <row r="4826" spans="1:5" x14ac:dyDescent="0.55000000000000004">
      <c r="A4826" t="str">
        <f>TEST_DATA!A4826</f>
        <v>27AAAAA4826Z5</v>
      </c>
      <c r="B4826" t="str">
        <f>TEST_DATA!B4826</f>
        <v>Oct-2017</v>
      </c>
      <c r="C4826">
        <f>TEST_DATA!C4826</f>
        <v>43505</v>
      </c>
      <c r="D4826" t="str">
        <f>TEST_DATA!D4826</f>
        <v>NIL</v>
      </c>
      <c r="E4826">
        <f>TEST_DATA!E4826</f>
        <v>1160</v>
      </c>
    </row>
    <row r="4827" spans="1:5" x14ac:dyDescent="0.55000000000000004">
      <c r="A4827" t="str">
        <f>TEST_DATA!A4827</f>
        <v>27AAAAA4827Z5</v>
      </c>
      <c r="B4827" t="str">
        <f>TEST_DATA!B4827</f>
        <v>Mar-2018</v>
      </c>
      <c r="C4827">
        <f>TEST_DATA!C4827</f>
        <v>43279</v>
      </c>
      <c r="D4827" t="str">
        <f>TEST_DATA!D4827</f>
        <v>NON-NIL</v>
      </c>
      <c r="E4827">
        <f>TEST_DATA!E4827</f>
        <v>56</v>
      </c>
    </row>
    <row r="4828" spans="1:5" x14ac:dyDescent="0.55000000000000004">
      <c r="A4828" t="str">
        <f>TEST_DATA!A4828</f>
        <v>27AAAAA4828Z5</v>
      </c>
      <c r="B4828" t="str">
        <f>TEST_DATA!B4828</f>
        <v>Jan-2019</v>
      </c>
      <c r="C4828">
        <f>TEST_DATA!C4828</f>
        <v>45635</v>
      </c>
      <c r="D4828" t="str">
        <f>TEST_DATA!D4828</f>
        <v>NIL</v>
      </c>
      <c r="E4828">
        <f>TEST_DATA!E4828</f>
        <v>2402</v>
      </c>
    </row>
    <row r="4829" spans="1:5" x14ac:dyDescent="0.55000000000000004">
      <c r="A4829" t="str">
        <f>TEST_DATA!A4829</f>
        <v>27AAAAA4829Z5</v>
      </c>
      <c r="B4829" t="str">
        <f>TEST_DATA!B4829</f>
        <v>Sep-2018</v>
      </c>
      <c r="C4829">
        <f>TEST_DATA!C4829</f>
        <v>43629</v>
      </c>
      <c r="D4829" t="str">
        <f>TEST_DATA!D4829</f>
        <v>NON-NIL</v>
      </c>
      <c r="E4829">
        <f>TEST_DATA!E4829</f>
        <v>2638</v>
      </c>
    </row>
    <row r="4830" spans="1:5" x14ac:dyDescent="0.55000000000000004">
      <c r="A4830" t="str">
        <f>TEST_DATA!A4830</f>
        <v>27AAAAA4830Z5</v>
      </c>
      <c r="B4830" t="str">
        <f>TEST_DATA!B4830</f>
        <v>Feb-2018</v>
      </c>
      <c r="C4830">
        <f>TEST_DATA!C4830</f>
        <v>43837</v>
      </c>
      <c r="D4830" t="str">
        <f>TEST_DATA!D4830</f>
        <v>NIL</v>
      </c>
      <c r="E4830">
        <f>TEST_DATA!E4830</f>
        <v>2819</v>
      </c>
    </row>
    <row r="4831" spans="1:5" x14ac:dyDescent="0.55000000000000004">
      <c r="A4831" t="str">
        <f>TEST_DATA!A4831</f>
        <v>27AAAAA4831Z5</v>
      </c>
      <c r="B4831" t="str">
        <f>TEST_DATA!B4831</f>
        <v>Mar-2023</v>
      </c>
      <c r="C4831">
        <f>TEST_DATA!C4831</f>
        <v>44594</v>
      </c>
      <c r="D4831" t="str">
        <f>TEST_DATA!D4831</f>
        <v>NON-NIL</v>
      </c>
      <c r="E4831">
        <f>TEST_DATA!E4831</f>
        <v>1599</v>
      </c>
    </row>
    <row r="4832" spans="1:5" x14ac:dyDescent="0.55000000000000004">
      <c r="A4832" t="str">
        <f>TEST_DATA!A4832</f>
        <v>27AAAAA4832Z5</v>
      </c>
      <c r="B4832" t="str">
        <f>TEST_DATA!B4832</f>
        <v>Mar-2018</v>
      </c>
      <c r="C4832">
        <f>TEST_DATA!C4832</f>
        <v>43245</v>
      </c>
      <c r="D4832" t="str">
        <f>TEST_DATA!D4832</f>
        <v>NON-NIL</v>
      </c>
      <c r="E4832">
        <f>TEST_DATA!E4832</f>
        <v>903</v>
      </c>
    </row>
    <row r="4833" spans="1:5" x14ac:dyDescent="0.55000000000000004">
      <c r="A4833" t="str">
        <f>TEST_DATA!A4833</f>
        <v>27AAAAA4833Z5</v>
      </c>
      <c r="B4833" t="str">
        <f>TEST_DATA!B4833</f>
        <v>Sep-2018</v>
      </c>
      <c r="C4833">
        <f>TEST_DATA!C4833</f>
        <v>43190</v>
      </c>
      <c r="D4833" t="str">
        <f>TEST_DATA!D4833</f>
        <v>NIL</v>
      </c>
      <c r="E4833">
        <f>TEST_DATA!E4833</f>
        <v>960</v>
      </c>
    </row>
    <row r="4834" spans="1:5" x14ac:dyDescent="0.55000000000000004">
      <c r="A4834" t="str">
        <f>TEST_DATA!A4834</f>
        <v>27AAAAA4834Z5</v>
      </c>
      <c r="B4834" t="str">
        <f>TEST_DATA!B4834</f>
        <v>May-2020</v>
      </c>
      <c r="C4834">
        <f>TEST_DATA!C4834</f>
        <v>44826</v>
      </c>
      <c r="D4834" t="str">
        <f>TEST_DATA!D4834</f>
        <v>NON-NIL</v>
      </c>
      <c r="E4834">
        <f>TEST_DATA!E4834</f>
        <v>896</v>
      </c>
    </row>
    <row r="4835" spans="1:5" x14ac:dyDescent="0.55000000000000004">
      <c r="A4835" t="str">
        <f>TEST_DATA!A4835</f>
        <v>27AAAAA4835Z5</v>
      </c>
      <c r="B4835" t="str">
        <f>TEST_DATA!B4835</f>
        <v>Dec-2019</v>
      </c>
      <c r="C4835">
        <f>TEST_DATA!C4835</f>
        <v>45553</v>
      </c>
      <c r="D4835" t="str">
        <f>TEST_DATA!D4835</f>
        <v>NIL</v>
      </c>
      <c r="E4835">
        <f>TEST_DATA!E4835</f>
        <v>449</v>
      </c>
    </row>
    <row r="4836" spans="1:5" x14ac:dyDescent="0.55000000000000004">
      <c r="A4836" t="str">
        <f>TEST_DATA!A4836</f>
        <v>27AAAAA4836Z5</v>
      </c>
      <c r="B4836" t="str">
        <f>TEST_DATA!B4836</f>
        <v>Mar-2018</v>
      </c>
      <c r="C4836">
        <f>TEST_DATA!C4836</f>
        <v>44394</v>
      </c>
      <c r="D4836" t="str">
        <f>TEST_DATA!D4836</f>
        <v>NON-NIL</v>
      </c>
      <c r="E4836">
        <f>TEST_DATA!E4836</f>
        <v>2138</v>
      </c>
    </row>
    <row r="4837" spans="1:5" x14ac:dyDescent="0.55000000000000004">
      <c r="A4837" t="str">
        <f>TEST_DATA!A4837</f>
        <v>27AAAAA4837Z5</v>
      </c>
      <c r="B4837" t="str">
        <f>TEST_DATA!B4837</f>
        <v>Mar-2018</v>
      </c>
      <c r="C4837">
        <f>TEST_DATA!C4837</f>
        <v>44329</v>
      </c>
      <c r="D4837" t="str">
        <f>TEST_DATA!D4837</f>
        <v>NIL</v>
      </c>
      <c r="E4837">
        <f>TEST_DATA!E4837</f>
        <v>1113</v>
      </c>
    </row>
    <row r="4838" spans="1:5" x14ac:dyDescent="0.55000000000000004">
      <c r="A4838" t="str">
        <f>TEST_DATA!A4838</f>
        <v>27AAAAA4838Z5</v>
      </c>
      <c r="B4838" t="str">
        <f>TEST_DATA!B4838</f>
        <v>Mar-2023</v>
      </c>
      <c r="C4838">
        <f>TEST_DATA!C4838</f>
        <v>45581</v>
      </c>
      <c r="D4838" t="str">
        <f>TEST_DATA!D4838</f>
        <v>NON-NIL</v>
      </c>
      <c r="E4838">
        <f>TEST_DATA!E4838</f>
        <v>1653</v>
      </c>
    </row>
    <row r="4839" spans="1:5" x14ac:dyDescent="0.55000000000000004">
      <c r="A4839" t="str">
        <f>TEST_DATA!A4839</f>
        <v>27AAAAA4839Z5</v>
      </c>
      <c r="B4839" t="str">
        <f>TEST_DATA!B4839</f>
        <v>Jul-2017</v>
      </c>
      <c r="C4839">
        <f>TEST_DATA!C4839</f>
        <v>43045</v>
      </c>
      <c r="D4839" t="str">
        <f>TEST_DATA!D4839</f>
        <v>NIL</v>
      </c>
      <c r="E4839">
        <f>TEST_DATA!E4839</f>
        <v>988</v>
      </c>
    </row>
    <row r="4840" spans="1:5" x14ac:dyDescent="0.55000000000000004">
      <c r="A4840" t="str">
        <f>TEST_DATA!A4840</f>
        <v>27AAAAA4840Z5</v>
      </c>
      <c r="B4840" t="str">
        <f>TEST_DATA!B4840</f>
        <v>Dec-2024</v>
      </c>
      <c r="C4840">
        <f>TEST_DATA!C4840</f>
        <v>44624</v>
      </c>
      <c r="D4840" t="str">
        <f>TEST_DATA!D4840</f>
        <v>NON-NIL</v>
      </c>
      <c r="E4840">
        <f>TEST_DATA!E4840</f>
        <v>1000</v>
      </c>
    </row>
    <row r="4841" spans="1:5" x14ac:dyDescent="0.55000000000000004">
      <c r="A4841" t="str">
        <f>TEST_DATA!A4841</f>
        <v>27AAAAA4841Z5</v>
      </c>
      <c r="B4841" t="str">
        <f>TEST_DATA!B4841</f>
        <v>Mar-2021</v>
      </c>
      <c r="C4841">
        <f>TEST_DATA!C4841</f>
        <v>45743</v>
      </c>
      <c r="D4841" t="str">
        <f>TEST_DATA!D4841</f>
        <v>NIL</v>
      </c>
      <c r="E4841">
        <f>TEST_DATA!E4841</f>
        <v>2570</v>
      </c>
    </row>
    <row r="4842" spans="1:5" x14ac:dyDescent="0.55000000000000004">
      <c r="A4842" t="str">
        <f>TEST_DATA!A4842</f>
        <v>27AAAAA4842Z5</v>
      </c>
      <c r="B4842" t="str">
        <f>TEST_DATA!B4842</f>
        <v>Jan-2019</v>
      </c>
      <c r="C4842">
        <f>TEST_DATA!C4842</f>
        <v>45630</v>
      </c>
      <c r="D4842" t="str">
        <f>TEST_DATA!D4842</f>
        <v>NIL</v>
      </c>
      <c r="E4842">
        <f>TEST_DATA!E4842</f>
        <v>610</v>
      </c>
    </row>
    <row r="4843" spans="1:5" x14ac:dyDescent="0.55000000000000004">
      <c r="A4843" t="str">
        <f>TEST_DATA!A4843</f>
        <v>27AAAAA4843Z5</v>
      </c>
      <c r="B4843" t="str">
        <f>TEST_DATA!B4843</f>
        <v>Jul-2017</v>
      </c>
      <c r="C4843">
        <f>TEST_DATA!C4843</f>
        <v>43587</v>
      </c>
      <c r="D4843" t="str">
        <f>TEST_DATA!D4843</f>
        <v>NON-NIL</v>
      </c>
      <c r="E4843">
        <f>TEST_DATA!E4843</f>
        <v>2326</v>
      </c>
    </row>
    <row r="4844" spans="1:5" x14ac:dyDescent="0.55000000000000004">
      <c r="A4844" t="str">
        <f>TEST_DATA!A4844</f>
        <v>27AAAAA4844Z5</v>
      </c>
      <c r="B4844" t="str">
        <f>TEST_DATA!B4844</f>
        <v>May-2018</v>
      </c>
      <c r="C4844">
        <f>TEST_DATA!C4844</f>
        <v>42919</v>
      </c>
      <c r="D4844" t="str">
        <f>TEST_DATA!D4844</f>
        <v>NON-NIL</v>
      </c>
      <c r="E4844">
        <f>TEST_DATA!E4844</f>
        <v>792</v>
      </c>
    </row>
    <row r="4845" spans="1:5" x14ac:dyDescent="0.55000000000000004">
      <c r="A4845" t="str">
        <f>TEST_DATA!A4845</f>
        <v>27AAAAA4845Z5</v>
      </c>
      <c r="B4845" t="str">
        <f>TEST_DATA!B4845</f>
        <v>Dec-2017</v>
      </c>
      <c r="C4845">
        <f>TEST_DATA!C4845</f>
        <v>43139</v>
      </c>
      <c r="D4845" t="str">
        <f>TEST_DATA!D4845</f>
        <v>NON-NIL</v>
      </c>
      <c r="E4845">
        <f>TEST_DATA!E4845</f>
        <v>2952</v>
      </c>
    </row>
    <row r="4846" spans="1:5" x14ac:dyDescent="0.55000000000000004">
      <c r="A4846" t="str">
        <f>TEST_DATA!A4846</f>
        <v>27AAAAA4846Z5</v>
      </c>
      <c r="B4846" t="str">
        <f>TEST_DATA!B4846</f>
        <v>Mar-2021</v>
      </c>
      <c r="C4846">
        <f>TEST_DATA!C4846</f>
        <v>45206</v>
      </c>
      <c r="D4846" t="str">
        <f>TEST_DATA!D4846</f>
        <v>NON-NIL</v>
      </c>
      <c r="E4846">
        <f>TEST_DATA!E4846</f>
        <v>2850</v>
      </c>
    </row>
    <row r="4847" spans="1:5" x14ac:dyDescent="0.55000000000000004">
      <c r="A4847" t="str">
        <f>TEST_DATA!A4847</f>
        <v>27AAAAA4847Z5</v>
      </c>
      <c r="B4847" t="str">
        <f>TEST_DATA!B4847</f>
        <v>Apr-2021</v>
      </c>
      <c r="C4847">
        <f>TEST_DATA!C4847</f>
        <v>44579</v>
      </c>
      <c r="D4847" t="str">
        <f>TEST_DATA!D4847</f>
        <v>NIL</v>
      </c>
      <c r="E4847">
        <f>TEST_DATA!E4847</f>
        <v>2575</v>
      </c>
    </row>
    <row r="4848" spans="1:5" x14ac:dyDescent="0.55000000000000004">
      <c r="A4848" t="str">
        <f>TEST_DATA!A4848</f>
        <v>27AAAAA4848Z5</v>
      </c>
      <c r="B4848" t="str">
        <f>TEST_DATA!B4848</f>
        <v>Jul-2018</v>
      </c>
      <c r="C4848">
        <f>TEST_DATA!C4848</f>
        <v>44288</v>
      </c>
      <c r="D4848" t="str">
        <f>TEST_DATA!D4848</f>
        <v>NON-NIL</v>
      </c>
      <c r="E4848">
        <f>TEST_DATA!E4848</f>
        <v>393</v>
      </c>
    </row>
    <row r="4849" spans="1:5" x14ac:dyDescent="0.55000000000000004">
      <c r="A4849" t="str">
        <f>TEST_DATA!A4849</f>
        <v>27AAAAA4849Z5</v>
      </c>
      <c r="B4849" t="str">
        <f>TEST_DATA!B4849</f>
        <v>Jul-2018</v>
      </c>
      <c r="C4849">
        <f>TEST_DATA!C4849</f>
        <v>43883</v>
      </c>
      <c r="D4849" t="str">
        <f>TEST_DATA!D4849</f>
        <v>NIL</v>
      </c>
      <c r="E4849">
        <f>TEST_DATA!E4849</f>
        <v>1003</v>
      </c>
    </row>
    <row r="4850" spans="1:5" x14ac:dyDescent="0.55000000000000004">
      <c r="A4850" t="str">
        <f>TEST_DATA!A4850</f>
        <v>27AAAAA4850Z5</v>
      </c>
      <c r="B4850" t="str">
        <f>TEST_DATA!B4850</f>
        <v>May-2018</v>
      </c>
      <c r="C4850">
        <f>TEST_DATA!C4850</f>
        <v>43010</v>
      </c>
      <c r="D4850" t="str">
        <f>TEST_DATA!D4850</f>
        <v>NON-NIL</v>
      </c>
      <c r="E4850">
        <f>TEST_DATA!E4850</f>
        <v>1461</v>
      </c>
    </row>
    <row r="4851" spans="1:5" x14ac:dyDescent="0.55000000000000004">
      <c r="A4851" t="str">
        <f>TEST_DATA!A4851</f>
        <v>27AAAAA4851Z5</v>
      </c>
      <c r="B4851" t="str">
        <f>TEST_DATA!B4851</f>
        <v>Jan-2019</v>
      </c>
      <c r="C4851">
        <f>TEST_DATA!C4851</f>
        <v>44453</v>
      </c>
      <c r="D4851" t="str">
        <f>TEST_DATA!D4851</f>
        <v>NON-NIL</v>
      </c>
      <c r="E4851">
        <f>TEST_DATA!E4851</f>
        <v>2019</v>
      </c>
    </row>
    <row r="4852" spans="1:5" x14ac:dyDescent="0.55000000000000004">
      <c r="A4852" t="str">
        <f>TEST_DATA!A4852</f>
        <v>27AAAAA4852Z5</v>
      </c>
      <c r="B4852" t="str">
        <f>TEST_DATA!B4852</f>
        <v>Feb-2018</v>
      </c>
      <c r="C4852">
        <f>TEST_DATA!C4852</f>
        <v>43799</v>
      </c>
      <c r="D4852" t="str">
        <f>TEST_DATA!D4852</f>
        <v>NIL</v>
      </c>
      <c r="E4852">
        <f>TEST_DATA!E4852</f>
        <v>2825</v>
      </c>
    </row>
    <row r="4853" spans="1:5" x14ac:dyDescent="0.55000000000000004">
      <c r="A4853" t="str">
        <f>TEST_DATA!A4853</f>
        <v>27AAAAA4853Z5</v>
      </c>
      <c r="B4853" t="str">
        <f>TEST_DATA!B4853</f>
        <v>Sep-2017</v>
      </c>
      <c r="C4853">
        <f>TEST_DATA!C4853</f>
        <v>43128</v>
      </c>
      <c r="D4853" t="str">
        <f>TEST_DATA!D4853</f>
        <v>NIL</v>
      </c>
      <c r="E4853">
        <f>TEST_DATA!E4853</f>
        <v>947</v>
      </c>
    </row>
    <row r="4854" spans="1:5" x14ac:dyDescent="0.55000000000000004">
      <c r="A4854" t="str">
        <f>TEST_DATA!A4854</f>
        <v>27AAAAA4854Z5</v>
      </c>
      <c r="B4854" t="str">
        <f>TEST_DATA!B4854</f>
        <v>Aug-2018</v>
      </c>
      <c r="C4854">
        <f>TEST_DATA!C4854</f>
        <v>43006</v>
      </c>
      <c r="D4854" t="str">
        <f>TEST_DATA!D4854</f>
        <v>NIL</v>
      </c>
      <c r="E4854">
        <f>TEST_DATA!E4854</f>
        <v>1913</v>
      </c>
    </row>
    <row r="4855" spans="1:5" x14ac:dyDescent="0.55000000000000004">
      <c r="A4855" t="str">
        <f>TEST_DATA!A4855</f>
        <v>27AAAAA4855Z5</v>
      </c>
      <c r="B4855" t="str">
        <f>TEST_DATA!B4855</f>
        <v>Aug-2018</v>
      </c>
      <c r="C4855">
        <f>TEST_DATA!C4855</f>
        <v>44012</v>
      </c>
      <c r="D4855" t="str">
        <f>TEST_DATA!D4855</f>
        <v>NIL</v>
      </c>
      <c r="E4855">
        <f>TEST_DATA!E4855</f>
        <v>420</v>
      </c>
    </row>
    <row r="4856" spans="1:5" x14ac:dyDescent="0.55000000000000004">
      <c r="A4856" t="str">
        <f>TEST_DATA!A4856</f>
        <v>27AAAAA4856Z5</v>
      </c>
      <c r="B4856" t="str">
        <f>TEST_DATA!B4856</f>
        <v>Jun-2020</v>
      </c>
      <c r="C4856">
        <f>TEST_DATA!C4856</f>
        <v>44734</v>
      </c>
      <c r="D4856" t="str">
        <f>TEST_DATA!D4856</f>
        <v>NIL</v>
      </c>
      <c r="E4856">
        <f>TEST_DATA!E4856</f>
        <v>904</v>
      </c>
    </row>
    <row r="4857" spans="1:5" x14ac:dyDescent="0.55000000000000004">
      <c r="A4857" t="str">
        <f>TEST_DATA!A4857</f>
        <v>27AAAAA4857Z5</v>
      </c>
      <c r="B4857" t="str">
        <f>TEST_DATA!B4857</f>
        <v>Jan-2021</v>
      </c>
      <c r="C4857">
        <f>TEST_DATA!C4857</f>
        <v>44344</v>
      </c>
      <c r="D4857" t="str">
        <f>TEST_DATA!D4857</f>
        <v>NIL</v>
      </c>
      <c r="E4857">
        <f>TEST_DATA!E4857</f>
        <v>1519</v>
      </c>
    </row>
    <row r="4858" spans="1:5" x14ac:dyDescent="0.55000000000000004">
      <c r="A4858" t="str">
        <f>TEST_DATA!A4858</f>
        <v>27AAAAA4858Z5</v>
      </c>
      <c r="B4858" t="str">
        <f>TEST_DATA!B4858</f>
        <v>Oct-2017</v>
      </c>
      <c r="C4858">
        <f>TEST_DATA!C4858</f>
        <v>42991</v>
      </c>
      <c r="D4858" t="str">
        <f>TEST_DATA!D4858</f>
        <v>NON-NIL</v>
      </c>
      <c r="E4858">
        <f>TEST_DATA!E4858</f>
        <v>47</v>
      </c>
    </row>
    <row r="4859" spans="1:5" x14ac:dyDescent="0.55000000000000004">
      <c r="A4859" t="str">
        <f>TEST_DATA!A4859</f>
        <v>27AAAAA4859Z5</v>
      </c>
      <c r="B4859" t="str">
        <f>TEST_DATA!B4859</f>
        <v>Mar-2020</v>
      </c>
      <c r="C4859">
        <f>TEST_DATA!C4859</f>
        <v>44668</v>
      </c>
      <c r="D4859" t="str">
        <f>TEST_DATA!D4859</f>
        <v>NIL</v>
      </c>
      <c r="E4859">
        <f>TEST_DATA!E4859</f>
        <v>1148</v>
      </c>
    </row>
    <row r="4860" spans="1:5" x14ac:dyDescent="0.55000000000000004">
      <c r="A4860" t="str">
        <f>TEST_DATA!A4860</f>
        <v>27AAAAA4860Z5</v>
      </c>
      <c r="B4860" t="str">
        <f>TEST_DATA!B4860</f>
        <v>May-2020</v>
      </c>
      <c r="C4860">
        <f>TEST_DATA!C4860</f>
        <v>44752</v>
      </c>
      <c r="D4860" t="str">
        <f>TEST_DATA!D4860</f>
        <v>NIL</v>
      </c>
      <c r="E4860">
        <f>TEST_DATA!E4860</f>
        <v>382</v>
      </c>
    </row>
    <row r="4861" spans="1:5" x14ac:dyDescent="0.55000000000000004">
      <c r="A4861" t="str">
        <f>TEST_DATA!A4861</f>
        <v>27AAAAA4861Z5</v>
      </c>
      <c r="B4861" t="str">
        <f>TEST_DATA!B4861</f>
        <v>May-2018</v>
      </c>
      <c r="C4861">
        <f>TEST_DATA!C4861</f>
        <v>43401</v>
      </c>
      <c r="D4861" t="str">
        <f>TEST_DATA!D4861</f>
        <v>NIL</v>
      </c>
      <c r="E4861">
        <f>TEST_DATA!E4861</f>
        <v>383</v>
      </c>
    </row>
    <row r="4862" spans="1:5" x14ac:dyDescent="0.55000000000000004">
      <c r="A4862" t="str">
        <f>TEST_DATA!A4862</f>
        <v>27AAAAA4862Z5</v>
      </c>
      <c r="B4862" t="str">
        <f>TEST_DATA!B4862</f>
        <v>Apr-2021</v>
      </c>
      <c r="C4862">
        <f>TEST_DATA!C4862</f>
        <v>44491</v>
      </c>
      <c r="D4862" t="str">
        <f>TEST_DATA!D4862</f>
        <v>NIL</v>
      </c>
      <c r="E4862">
        <f>TEST_DATA!E4862</f>
        <v>180</v>
      </c>
    </row>
    <row r="4863" spans="1:5" x14ac:dyDescent="0.55000000000000004">
      <c r="A4863" t="str">
        <f>TEST_DATA!A4863</f>
        <v>27AAAAA4863Z5</v>
      </c>
      <c r="B4863" t="str">
        <f>TEST_DATA!B4863</f>
        <v>Jan-2019</v>
      </c>
      <c r="C4863">
        <f>TEST_DATA!C4863</f>
        <v>44600</v>
      </c>
      <c r="D4863" t="str">
        <f>TEST_DATA!D4863</f>
        <v>NIL</v>
      </c>
      <c r="E4863">
        <f>TEST_DATA!E4863</f>
        <v>2692</v>
      </c>
    </row>
    <row r="4864" spans="1:5" x14ac:dyDescent="0.55000000000000004">
      <c r="A4864" t="str">
        <f>TEST_DATA!A4864</f>
        <v>27AAAAA4864Z5</v>
      </c>
      <c r="B4864" t="str">
        <f>TEST_DATA!B4864</f>
        <v>Mar-2021</v>
      </c>
      <c r="C4864">
        <f>TEST_DATA!C4864</f>
        <v>43492</v>
      </c>
      <c r="D4864" t="str">
        <f>TEST_DATA!D4864</f>
        <v>NON-NIL</v>
      </c>
      <c r="E4864">
        <f>TEST_DATA!E4864</f>
        <v>886</v>
      </c>
    </row>
    <row r="4865" spans="1:5" x14ac:dyDescent="0.55000000000000004">
      <c r="A4865" t="str">
        <f>TEST_DATA!A4865</f>
        <v>27AAAAA4865Z5</v>
      </c>
      <c r="B4865" t="str">
        <f>TEST_DATA!B4865</f>
        <v>Apr-2021</v>
      </c>
      <c r="C4865">
        <f>TEST_DATA!C4865</f>
        <v>45152</v>
      </c>
      <c r="D4865" t="str">
        <f>TEST_DATA!D4865</f>
        <v>NON-NIL</v>
      </c>
      <c r="E4865">
        <f>TEST_DATA!E4865</f>
        <v>409</v>
      </c>
    </row>
    <row r="4866" spans="1:5" x14ac:dyDescent="0.55000000000000004">
      <c r="A4866" t="str">
        <f>TEST_DATA!A4866</f>
        <v>27AAAAA4866Z5</v>
      </c>
      <c r="B4866" t="str">
        <f>TEST_DATA!B4866</f>
        <v>Sep-2017</v>
      </c>
      <c r="C4866">
        <f>TEST_DATA!C4866</f>
        <v>43948</v>
      </c>
      <c r="D4866" t="str">
        <f>TEST_DATA!D4866</f>
        <v>NIL</v>
      </c>
      <c r="E4866">
        <f>TEST_DATA!E4866</f>
        <v>2357</v>
      </c>
    </row>
    <row r="4867" spans="1:5" x14ac:dyDescent="0.55000000000000004">
      <c r="A4867" t="str">
        <f>TEST_DATA!A4867</f>
        <v>27AAAAA4867Z5</v>
      </c>
      <c r="B4867" t="str">
        <f>TEST_DATA!B4867</f>
        <v>Mar-2018</v>
      </c>
      <c r="C4867">
        <f>TEST_DATA!C4867</f>
        <v>42917</v>
      </c>
      <c r="D4867" t="str">
        <f>TEST_DATA!D4867</f>
        <v>NON-NIL</v>
      </c>
      <c r="E4867">
        <f>TEST_DATA!E4867</f>
        <v>2852</v>
      </c>
    </row>
    <row r="4868" spans="1:5" x14ac:dyDescent="0.55000000000000004">
      <c r="A4868" t="str">
        <f>TEST_DATA!A4868</f>
        <v>27AAAAA4868Z5</v>
      </c>
      <c r="B4868" t="str">
        <f>TEST_DATA!B4868</f>
        <v>Jun-2018</v>
      </c>
      <c r="C4868">
        <f>TEST_DATA!C4868</f>
        <v>43647</v>
      </c>
      <c r="D4868" t="str">
        <f>TEST_DATA!D4868</f>
        <v>NON-NIL</v>
      </c>
      <c r="E4868">
        <f>TEST_DATA!E4868</f>
        <v>2278</v>
      </c>
    </row>
    <row r="4869" spans="1:5" x14ac:dyDescent="0.55000000000000004">
      <c r="A4869" t="str">
        <f>TEST_DATA!A4869</f>
        <v>27AAAAA4869Z5</v>
      </c>
      <c r="B4869" t="str">
        <f>TEST_DATA!B4869</f>
        <v>Jul-2020</v>
      </c>
      <c r="C4869">
        <f>TEST_DATA!C4869</f>
        <v>44167</v>
      </c>
      <c r="D4869" t="str">
        <f>TEST_DATA!D4869</f>
        <v>NIL</v>
      </c>
      <c r="E4869">
        <f>TEST_DATA!E4869</f>
        <v>399</v>
      </c>
    </row>
    <row r="4870" spans="1:5" x14ac:dyDescent="0.55000000000000004">
      <c r="A4870" t="str">
        <f>TEST_DATA!A4870</f>
        <v>27AAAAA4870Z5</v>
      </c>
      <c r="B4870" t="str">
        <f>TEST_DATA!B4870</f>
        <v>May-2020</v>
      </c>
      <c r="C4870">
        <f>TEST_DATA!C4870</f>
        <v>43874</v>
      </c>
      <c r="D4870" t="str">
        <f>TEST_DATA!D4870</f>
        <v>NON-NIL</v>
      </c>
      <c r="E4870">
        <f>TEST_DATA!E4870</f>
        <v>788</v>
      </c>
    </row>
    <row r="4871" spans="1:5" x14ac:dyDescent="0.55000000000000004">
      <c r="A4871" t="str">
        <f>TEST_DATA!A4871</f>
        <v>27AAAAA4871Z5</v>
      </c>
      <c r="B4871" t="str">
        <f>TEST_DATA!B4871</f>
        <v>Dec-2017</v>
      </c>
      <c r="C4871">
        <f>TEST_DATA!C4871</f>
        <v>43238</v>
      </c>
      <c r="D4871" t="str">
        <f>TEST_DATA!D4871</f>
        <v>NIL</v>
      </c>
      <c r="E4871">
        <f>TEST_DATA!E4871</f>
        <v>185</v>
      </c>
    </row>
    <row r="4872" spans="1:5" x14ac:dyDescent="0.55000000000000004">
      <c r="A4872" t="str">
        <f>TEST_DATA!A4872</f>
        <v>27AAAAA4872Z5</v>
      </c>
      <c r="B4872" t="str">
        <f>TEST_DATA!B4872</f>
        <v>Jan-2021</v>
      </c>
      <c r="C4872">
        <f>TEST_DATA!C4872</f>
        <v>44200</v>
      </c>
      <c r="D4872" t="str">
        <f>TEST_DATA!D4872</f>
        <v>NIL</v>
      </c>
      <c r="E4872">
        <f>TEST_DATA!E4872</f>
        <v>856</v>
      </c>
    </row>
    <row r="4873" spans="1:5" x14ac:dyDescent="0.55000000000000004">
      <c r="A4873" t="str">
        <f>TEST_DATA!A4873</f>
        <v>27AAAAA4873Z5</v>
      </c>
      <c r="B4873" t="str">
        <f>TEST_DATA!B4873</f>
        <v>Jan-2018</v>
      </c>
      <c r="C4873">
        <f>TEST_DATA!C4873</f>
        <v>43188</v>
      </c>
      <c r="D4873" t="str">
        <f>TEST_DATA!D4873</f>
        <v>NON-NIL</v>
      </c>
      <c r="E4873">
        <f>TEST_DATA!E4873</f>
        <v>1887</v>
      </c>
    </row>
    <row r="4874" spans="1:5" x14ac:dyDescent="0.55000000000000004">
      <c r="A4874" t="str">
        <f>TEST_DATA!A4874</f>
        <v>27AAAAA4874Z5</v>
      </c>
      <c r="B4874" t="str">
        <f>TEST_DATA!B4874</f>
        <v>Aug-2017</v>
      </c>
      <c r="C4874">
        <f>TEST_DATA!C4874</f>
        <v>44272</v>
      </c>
      <c r="D4874" t="str">
        <f>TEST_DATA!D4874</f>
        <v>NON-NIL</v>
      </c>
      <c r="E4874">
        <f>TEST_DATA!E4874</f>
        <v>924</v>
      </c>
    </row>
    <row r="4875" spans="1:5" x14ac:dyDescent="0.55000000000000004">
      <c r="A4875" t="str">
        <f>TEST_DATA!A4875</f>
        <v>27AAAAA4875Z5</v>
      </c>
      <c r="B4875" t="str">
        <f>TEST_DATA!B4875</f>
        <v>Apr-2020</v>
      </c>
      <c r="C4875">
        <f>TEST_DATA!C4875</f>
        <v>44106</v>
      </c>
      <c r="D4875" t="str">
        <f>TEST_DATA!D4875</f>
        <v>NIL</v>
      </c>
      <c r="E4875">
        <f>TEST_DATA!E4875</f>
        <v>482</v>
      </c>
    </row>
    <row r="4876" spans="1:5" x14ac:dyDescent="0.55000000000000004">
      <c r="A4876" t="str">
        <f>TEST_DATA!A4876</f>
        <v>27AAAAA4876Z5</v>
      </c>
      <c r="B4876" t="str">
        <f>TEST_DATA!B4876</f>
        <v>Jan-2021</v>
      </c>
      <c r="C4876">
        <f>TEST_DATA!C4876</f>
        <v>44302</v>
      </c>
      <c r="D4876" t="str">
        <f>TEST_DATA!D4876</f>
        <v>NON-NIL</v>
      </c>
      <c r="E4876">
        <f>TEST_DATA!E4876</f>
        <v>2568</v>
      </c>
    </row>
    <row r="4877" spans="1:5" x14ac:dyDescent="0.55000000000000004">
      <c r="A4877" t="str">
        <f>TEST_DATA!A4877</f>
        <v>27AAAAA4877Z5</v>
      </c>
      <c r="B4877" t="str">
        <f>TEST_DATA!B4877</f>
        <v>Mar-2021</v>
      </c>
      <c r="C4877">
        <f>TEST_DATA!C4877</f>
        <v>44693</v>
      </c>
      <c r="D4877" t="str">
        <f>TEST_DATA!D4877</f>
        <v>NON-NIL</v>
      </c>
      <c r="E4877">
        <f>TEST_DATA!E4877</f>
        <v>630</v>
      </c>
    </row>
    <row r="4878" spans="1:5" x14ac:dyDescent="0.55000000000000004">
      <c r="A4878" t="str">
        <f>TEST_DATA!A4878</f>
        <v>27AAAAA4878Z5</v>
      </c>
      <c r="B4878" t="str">
        <f>TEST_DATA!B4878</f>
        <v>Jul-2020</v>
      </c>
      <c r="C4878">
        <f>TEST_DATA!C4878</f>
        <v>43960</v>
      </c>
      <c r="D4878" t="str">
        <f>TEST_DATA!D4878</f>
        <v>NIL</v>
      </c>
      <c r="E4878">
        <f>TEST_DATA!E4878</f>
        <v>1940</v>
      </c>
    </row>
    <row r="4879" spans="1:5" x14ac:dyDescent="0.55000000000000004">
      <c r="A4879" t="str">
        <f>TEST_DATA!A4879</f>
        <v>27AAAAA4879Z5</v>
      </c>
      <c r="B4879" t="str">
        <f>TEST_DATA!B4879</f>
        <v>Jul-2018</v>
      </c>
      <c r="C4879">
        <f>TEST_DATA!C4879</f>
        <v>42932</v>
      </c>
      <c r="D4879" t="str">
        <f>TEST_DATA!D4879</f>
        <v>NIL</v>
      </c>
      <c r="E4879">
        <f>TEST_DATA!E4879</f>
        <v>1534</v>
      </c>
    </row>
    <row r="4880" spans="1:5" x14ac:dyDescent="0.55000000000000004">
      <c r="A4880" t="str">
        <f>TEST_DATA!A4880</f>
        <v>27AAAAA4880Z5</v>
      </c>
      <c r="B4880" t="str">
        <f>TEST_DATA!B4880</f>
        <v>Aug-2017</v>
      </c>
      <c r="C4880">
        <f>TEST_DATA!C4880</f>
        <v>44008</v>
      </c>
      <c r="D4880" t="str">
        <f>TEST_DATA!D4880</f>
        <v>NIL</v>
      </c>
      <c r="E4880">
        <f>TEST_DATA!E4880</f>
        <v>2803</v>
      </c>
    </row>
    <row r="4881" spans="1:5" x14ac:dyDescent="0.55000000000000004">
      <c r="A4881" t="str">
        <f>TEST_DATA!A4881</f>
        <v>27AAAAA4881Z5</v>
      </c>
      <c r="B4881" t="str">
        <f>TEST_DATA!B4881</f>
        <v>Dec-2022</v>
      </c>
      <c r="C4881">
        <f>TEST_DATA!C4881</f>
        <v>45187</v>
      </c>
      <c r="D4881" t="str">
        <f>TEST_DATA!D4881</f>
        <v>NIL</v>
      </c>
      <c r="E4881">
        <f>TEST_DATA!E4881</f>
        <v>347</v>
      </c>
    </row>
    <row r="4882" spans="1:5" x14ac:dyDescent="0.55000000000000004">
      <c r="A4882" t="str">
        <f>TEST_DATA!A4882</f>
        <v>27AAAAA4882Z5</v>
      </c>
      <c r="B4882" t="str">
        <f>TEST_DATA!B4882</f>
        <v>Mar-2021</v>
      </c>
      <c r="C4882">
        <f>TEST_DATA!C4882</f>
        <v>44111</v>
      </c>
      <c r="D4882" t="str">
        <f>TEST_DATA!D4882</f>
        <v>NIL</v>
      </c>
      <c r="E4882">
        <f>TEST_DATA!E4882</f>
        <v>299</v>
      </c>
    </row>
    <row r="4883" spans="1:5" x14ac:dyDescent="0.55000000000000004">
      <c r="A4883" t="str">
        <f>TEST_DATA!A4883</f>
        <v>27AAAAA4883Z5</v>
      </c>
      <c r="B4883" t="str">
        <f>TEST_DATA!B4883</f>
        <v>Nov-2017</v>
      </c>
      <c r="C4883">
        <f>TEST_DATA!C4883</f>
        <v>43767</v>
      </c>
      <c r="D4883" t="str">
        <f>TEST_DATA!D4883</f>
        <v>NIL</v>
      </c>
      <c r="E4883">
        <f>TEST_DATA!E4883</f>
        <v>1780</v>
      </c>
    </row>
    <row r="4884" spans="1:5" x14ac:dyDescent="0.55000000000000004">
      <c r="A4884" t="str">
        <f>TEST_DATA!A4884</f>
        <v>27AAAAA4884Z5</v>
      </c>
      <c r="B4884" t="str">
        <f>TEST_DATA!B4884</f>
        <v>Feb-2018</v>
      </c>
      <c r="C4884">
        <f>TEST_DATA!C4884</f>
        <v>44349</v>
      </c>
      <c r="D4884" t="str">
        <f>TEST_DATA!D4884</f>
        <v>NIL</v>
      </c>
      <c r="E4884">
        <f>TEST_DATA!E4884</f>
        <v>1090</v>
      </c>
    </row>
    <row r="4885" spans="1:5" x14ac:dyDescent="0.55000000000000004">
      <c r="A4885" t="str">
        <f>TEST_DATA!A4885</f>
        <v>27AAAAA4885Z5</v>
      </c>
      <c r="B4885" t="str">
        <f>TEST_DATA!B4885</f>
        <v>Jul-2020</v>
      </c>
      <c r="C4885">
        <f>TEST_DATA!C4885</f>
        <v>44896</v>
      </c>
      <c r="D4885" t="str">
        <f>TEST_DATA!D4885</f>
        <v>NON-NIL</v>
      </c>
      <c r="E4885">
        <f>TEST_DATA!E4885</f>
        <v>1855</v>
      </c>
    </row>
    <row r="4886" spans="1:5" x14ac:dyDescent="0.55000000000000004">
      <c r="A4886" t="str">
        <f>TEST_DATA!A4886</f>
        <v>27AAAAA4886Z5</v>
      </c>
      <c r="B4886" t="str">
        <f>TEST_DATA!B4886</f>
        <v>Dec-2017</v>
      </c>
      <c r="C4886">
        <f>TEST_DATA!C4886</f>
        <v>44134</v>
      </c>
      <c r="D4886" t="str">
        <f>TEST_DATA!D4886</f>
        <v>NIL</v>
      </c>
      <c r="E4886">
        <f>TEST_DATA!E4886</f>
        <v>1839</v>
      </c>
    </row>
    <row r="4887" spans="1:5" x14ac:dyDescent="0.55000000000000004">
      <c r="A4887" t="str">
        <f>TEST_DATA!A4887</f>
        <v>27AAAAA4887Z5</v>
      </c>
      <c r="B4887" t="str">
        <f>TEST_DATA!B4887</f>
        <v>Aug-2018</v>
      </c>
      <c r="C4887">
        <f>TEST_DATA!C4887</f>
        <v>43269</v>
      </c>
      <c r="D4887" t="str">
        <f>TEST_DATA!D4887</f>
        <v>NON-NIL</v>
      </c>
      <c r="E4887">
        <f>TEST_DATA!E4887</f>
        <v>1143</v>
      </c>
    </row>
    <row r="4888" spans="1:5" x14ac:dyDescent="0.55000000000000004">
      <c r="A4888" t="str">
        <f>TEST_DATA!A4888</f>
        <v>27AAAAA4888Z5</v>
      </c>
      <c r="B4888" t="str">
        <f>TEST_DATA!B4888</f>
        <v>May-2018</v>
      </c>
      <c r="C4888">
        <f>TEST_DATA!C4888</f>
        <v>43449</v>
      </c>
      <c r="D4888" t="str">
        <f>TEST_DATA!D4888</f>
        <v>NIL</v>
      </c>
      <c r="E4888">
        <f>TEST_DATA!E4888</f>
        <v>82</v>
      </c>
    </row>
    <row r="4889" spans="1:5" x14ac:dyDescent="0.55000000000000004">
      <c r="A4889" t="str">
        <f>TEST_DATA!A4889</f>
        <v>27AAAAA4889Z5</v>
      </c>
      <c r="B4889" t="str">
        <f>TEST_DATA!B4889</f>
        <v>Jan-2018</v>
      </c>
      <c r="C4889">
        <f>TEST_DATA!C4889</f>
        <v>43748</v>
      </c>
      <c r="D4889" t="str">
        <f>TEST_DATA!D4889</f>
        <v>NON-NIL</v>
      </c>
      <c r="E4889">
        <f>TEST_DATA!E4889</f>
        <v>1538</v>
      </c>
    </row>
    <row r="4890" spans="1:5" x14ac:dyDescent="0.55000000000000004">
      <c r="A4890" t="str">
        <f>TEST_DATA!A4890</f>
        <v>27AAAAA4890Z5</v>
      </c>
      <c r="B4890" t="str">
        <f>TEST_DATA!B4890</f>
        <v>Mar-2021</v>
      </c>
      <c r="C4890">
        <f>TEST_DATA!C4890</f>
        <v>45659</v>
      </c>
      <c r="D4890" t="str">
        <f>TEST_DATA!D4890</f>
        <v>NON-NIL</v>
      </c>
      <c r="E4890">
        <f>TEST_DATA!E4890</f>
        <v>372</v>
      </c>
    </row>
    <row r="4891" spans="1:5" x14ac:dyDescent="0.55000000000000004">
      <c r="A4891" t="str">
        <f>TEST_DATA!A4891</f>
        <v>27AAAAA4891Z5</v>
      </c>
      <c r="B4891" t="str">
        <f>TEST_DATA!B4891</f>
        <v>Mar-2023</v>
      </c>
      <c r="C4891">
        <f>TEST_DATA!C4891</f>
        <v>43938</v>
      </c>
      <c r="D4891" t="str">
        <f>TEST_DATA!D4891</f>
        <v>NIL</v>
      </c>
      <c r="E4891">
        <f>TEST_DATA!E4891</f>
        <v>220</v>
      </c>
    </row>
    <row r="4892" spans="1:5" x14ac:dyDescent="0.55000000000000004">
      <c r="A4892" t="str">
        <f>TEST_DATA!A4892</f>
        <v>27AAAAA4892Z5</v>
      </c>
      <c r="B4892" t="str">
        <f>TEST_DATA!B4892</f>
        <v>Feb-2018</v>
      </c>
      <c r="C4892">
        <f>TEST_DATA!C4892</f>
        <v>44426</v>
      </c>
      <c r="D4892" t="str">
        <f>TEST_DATA!D4892</f>
        <v>NIL</v>
      </c>
      <c r="E4892">
        <f>TEST_DATA!E4892</f>
        <v>2294</v>
      </c>
    </row>
    <row r="4893" spans="1:5" x14ac:dyDescent="0.55000000000000004">
      <c r="A4893" t="str">
        <f>TEST_DATA!A4893</f>
        <v>27AAAAA4893Z5</v>
      </c>
      <c r="B4893" t="str">
        <f>TEST_DATA!B4893</f>
        <v>Jan-2019</v>
      </c>
      <c r="C4893">
        <f>TEST_DATA!C4893</f>
        <v>45082</v>
      </c>
      <c r="D4893" t="str">
        <f>TEST_DATA!D4893</f>
        <v>NIL</v>
      </c>
      <c r="E4893">
        <f>TEST_DATA!E4893</f>
        <v>216</v>
      </c>
    </row>
    <row r="4894" spans="1:5" x14ac:dyDescent="0.55000000000000004">
      <c r="A4894" t="str">
        <f>TEST_DATA!A4894</f>
        <v>27AAAAA4894Z5</v>
      </c>
      <c r="B4894" t="str">
        <f>TEST_DATA!B4894</f>
        <v>Jun-2019</v>
      </c>
      <c r="C4894">
        <f>TEST_DATA!C4894</f>
        <v>44202</v>
      </c>
      <c r="D4894" t="str">
        <f>TEST_DATA!D4894</f>
        <v>NIL</v>
      </c>
      <c r="E4894">
        <f>TEST_DATA!E4894</f>
        <v>517</v>
      </c>
    </row>
    <row r="4895" spans="1:5" x14ac:dyDescent="0.55000000000000004">
      <c r="A4895" t="str">
        <f>TEST_DATA!A4895</f>
        <v>27AAAAA4895Z5</v>
      </c>
      <c r="B4895" t="str">
        <f>TEST_DATA!B4895</f>
        <v>Feb-2018</v>
      </c>
      <c r="C4895">
        <f>TEST_DATA!C4895</f>
        <v>43020</v>
      </c>
      <c r="D4895" t="str">
        <f>TEST_DATA!D4895</f>
        <v>NIL</v>
      </c>
      <c r="E4895">
        <f>TEST_DATA!E4895</f>
        <v>989</v>
      </c>
    </row>
    <row r="4896" spans="1:5" x14ac:dyDescent="0.55000000000000004">
      <c r="A4896" t="str">
        <f>TEST_DATA!A4896</f>
        <v>27AAAAA4896Z5</v>
      </c>
      <c r="B4896" t="str">
        <f>TEST_DATA!B4896</f>
        <v>Dec-2019</v>
      </c>
      <c r="C4896">
        <f>TEST_DATA!C4896</f>
        <v>45728</v>
      </c>
      <c r="D4896" t="str">
        <f>TEST_DATA!D4896</f>
        <v>NIL</v>
      </c>
      <c r="E4896">
        <f>TEST_DATA!E4896</f>
        <v>1389</v>
      </c>
    </row>
    <row r="4897" spans="1:5" x14ac:dyDescent="0.55000000000000004">
      <c r="A4897" t="str">
        <f>TEST_DATA!A4897</f>
        <v>27AAAAA4897Z5</v>
      </c>
      <c r="B4897" t="str">
        <f>TEST_DATA!B4897</f>
        <v>Jun-2019</v>
      </c>
      <c r="C4897">
        <f>TEST_DATA!C4897</f>
        <v>45667</v>
      </c>
      <c r="D4897" t="str">
        <f>TEST_DATA!D4897</f>
        <v>NIL</v>
      </c>
      <c r="E4897">
        <f>TEST_DATA!E4897</f>
        <v>1063</v>
      </c>
    </row>
    <row r="4898" spans="1:5" x14ac:dyDescent="0.55000000000000004">
      <c r="A4898" t="str">
        <f>TEST_DATA!A4898</f>
        <v>27AAAAA4898Z5</v>
      </c>
      <c r="B4898" t="str">
        <f>TEST_DATA!B4898</f>
        <v>Mar-2018</v>
      </c>
      <c r="C4898">
        <f>TEST_DATA!C4898</f>
        <v>43597</v>
      </c>
      <c r="D4898" t="str">
        <f>TEST_DATA!D4898</f>
        <v>NIL</v>
      </c>
      <c r="E4898">
        <f>TEST_DATA!E4898</f>
        <v>730</v>
      </c>
    </row>
    <row r="4899" spans="1:5" x14ac:dyDescent="0.55000000000000004">
      <c r="A4899" t="str">
        <f>TEST_DATA!A4899</f>
        <v>27AAAAA4899Z5</v>
      </c>
      <c r="B4899" t="str">
        <f>TEST_DATA!B4899</f>
        <v>Aug-2017</v>
      </c>
      <c r="C4899">
        <f>TEST_DATA!C4899</f>
        <v>43792</v>
      </c>
      <c r="D4899" t="str">
        <f>TEST_DATA!D4899</f>
        <v>NON-NIL</v>
      </c>
      <c r="E4899">
        <f>TEST_DATA!E4899</f>
        <v>840</v>
      </c>
    </row>
    <row r="4900" spans="1:5" x14ac:dyDescent="0.55000000000000004">
      <c r="A4900" t="str">
        <f>TEST_DATA!A4900</f>
        <v>27AAAAA4900Z5</v>
      </c>
      <c r="B4900" t="str">
        <f>TEST_DATA!B4900</f>
        <v>Nov-2017</v>
      </c>
      <c r="C4900">
        <f>TEST_DATA!C4900</f>
        <v>44561</v>
      </c>
      <c r="D4900" t="str">
        <f>TEST_DATA!D4900</f>
        <v>NIL</v>
      </c>
      <c r="E4900">
        <f>TEST_DATA!E4900</f>
        <v>2862</v>
      </c>
    </row>
    <row r="4901" spans="1:5" x14ac:dyDescent="0.55000000000000004">
      <c r="A4901" t="str">
        <f>TEST_DATA!A4901</f>
        <v>27AAAAA4901Z5</v>
      </c>
      <c r="B4901" t="str">
        <f>TEST_DATA!B4901</f>
        <v>May-2020</v>
      </c>
      <c r="C4901">
        <f>TEST_DATA!C4901</f>
        <v>44014</v>
      </c>
      <c r="D4901" t="str">
        <f>TEST_DATA!D4901</f>
        <v>NIL</v>
      </c>
      <c r="E4901">
        <f>TEST_DATA!E4901</f>
        <v>2559</v>
      </c>
    </row>
    <row r="4902" spans="1:5" x14ac:dyDescent="0.55000000000000004">
      <c r="A4902" t="str">
        <f>TEST_DATA!A4902</f>
        <v>27AAAAA4902Z5</v>
      </c>
      <c r="B4902" t="str">
        <f>TEST_DATA!B4902</f>
        <v>Sep-2018</v>
      </c>
      <c r="C4902">
        <f>TEST_DATA!C4902</f>
        <v>43063</v>
      </c>
      <c r="D4902" t="str">
        <f>TEST_DATA!D4902</f>
        <v>NON-NIL</v>
      </c>
      <c r="E4902">
        <f>TEST_DATA!E4902</f>
        <v>2952</v>
      </c>
    </row>
    <row r="4903" spans="1:5" x14ac:dyDescent="0.55000000000000004">
      <c r="A4903" t="str">
        <f>TEST_DATA!A4903</f>
        <v>27AAAAA4903Z5</v>
      </c>
      <c r="B4903" t="str">
        <f>TEST_DATA!B4903</f>
        <v>May-2020</v>
      </c>
      <c r="C4903">
        <f>TEST_DATA!C4903</f>
        <v>43995</v>
      </c>
      <c r="D4903" t="str">
        <f>TEST_DATA!D4903</f>
        <v>NON-NIL</v>
      </c>
      <c r="E4903">
        <f>TEST_DATA!E4903</f>
        <v>1887</v>
      </c>
    </row>
    <row r="4904" spans="1:5" x14ac:dyDescent="0.55000000000000004">
      <c r="A4904" t="str">
        <f>TEST_DATA!A4904</f>
        <v>27AAAAA4904Z5</v>
      </c>
      <c r="B4904" t="str">
        <f>TEST_DATA!B4904</f>
        <v>Dec-2017</v>
      </c>
      <c r="C4904">
        <f>TEST_DATA!C4904</f>
        <v>44312</v>
      </c>
      <c r="D4904" t="str">
        <f>TEST_DATA!D4904</f>
        <v>NON-NIL</v>
      </c>
      <c r="E4904">
        <f>TEST_DATA!E4904</f>
        <v>1383</v>
      </c>
    </row>
    <row r="4905" spans="1:5" x14ac:dyDescent="0.55000000000000004">
      <c r="A4905" t="str">
        <f>TEST_DATA!A4905</f>
        <v>27AAAAA4905Z5</v>
      </c>
      <c r="B4905" t="str">
        <f>TEST_DATA!B4905</f>
        <v>Jul-2017</v>
      </c>
      <c r="C4905">
        <f>TEST_DATA!C4905</f>
        <v>42984</v>
      </c>
      <c r="D4905" t="str">
        <f>TEST_DATA!D4905</f>
        <v>NIL</v>
      </c>
      <c r="E4905">
        <f>TEST_DATA!E4905</f>
        <v>111</v>
      </c>
    </row>
    <row r="4906" spans="1:5" x14ac:dyDescent="0.55000000000000004">
      <c r="A4906" t="str">
        <f>TEST_DATA!A4906</f>
        <v>27AAAAA4906Z5</v>
      </c>
      <c r="B4906" t="str">
        <f>TEST_DATA!B4906</f>
        <v>Mar-2021</v>
      </c>
      <c r="C4906">
        <f>TEST_DATA!C4906</f>
        <v>43565</v>
      </c>
      <c r="D4906" t="str">
        <f>TEST_DATA!D4906</f>
        <v>NIL</v>
      </c>
      <c r="E4906">
        <f>TEST_DATA!E4906</f>
        <v>342</v>
      </c>
    </row>
    <row r="4907" spans="1:5" x14ac:dyDescent="0.55000000000000004">
      <c r="A4907" t="str">
        <f>TEST_DATA!A4907</f>
        <v>27AAAAA4907Z5</v>
      </c>
      <c r="B4907" t="str">
        <f>TEST_DATA!B4907</f>
        <v>May-2018</v>
      </c>
      <c r="C4907">
        <f>TEST_DATA!C4907</f>
        <v>43254</v>
      </c>
      <c r="D4907" t="str">
        <f>TEST_DATA!D4907</f>
        <v>NIL</v>
      </c>
      <c r="E4907">
        <f>TEST_DATA!E4907</f>
        <v>338</v>
      </c>
    </row>
    <row r="4908" spans="1:5" x14ac:dyDescent="0.55000000000000004">
      <c r="A4908" t="str">
        <f>TEST_DATA!A4908</f>
        <v>27AAAAA4908Z5</v>
      </c>
      <c r="B4908" t="str">
        <f>TEST_DATA!B4908</f>
        <v>Jul-2020</v>
      </c>
      <c r="C4908">
        <f>TEST_DATA!C4908</f>
        <v>44220</v>
      </c>
      <c r="D4908" t="str">
        <f>TEST_DATA!D4908</f>
        <v>NON-NIL</v>
      </c>
      <c r="E4908">
        <f>TEST_DATA!E4908</f>
        <v>402</v>
      </c>
    </row>
    <row r="4909" spans="1:5" x14ac:dyDescent="0.55000000000000004">
      <c r="A4909" t="str">
        <f>TEST_DATA!A4909</f>
        <v>27AAAAA4909Z5</v>
      </c>
      <c r="B4909" t="str">
        <f>TEST_DATA!B4909</f>
        <v>Sep-2018</v>
      </c>
      <c r="C4909">
        <f>TEST_DATA!C4909</f>
        <v>44521</v>
      </c>
      <c r="D4909" t="str">
        <f>TEST_DATA!D4909</f>
        <v>NON-NIL</v>
      </c>
      <c r="E4909">
        <f>TEST_DATA!E4909</f>
        <v>234</v>
      </c>
    </row>
    <row r="4910" spans="1:5" x14ac:dyDescent="0.55000000000000004">
      <c r="A4910" t="str">
        <f>TEST_DATA!A4910</f>
        <v>27AAAAA4910Z5</v>
      </c>
      <c r="B4910" t="str">
        <f>TEST_DATA!B4910</f>
        <v>Apr-2021</v>
      </c>
      <c r="C4910">
        <f>TEST_DATA!C4910</f>
        <v>43571</v>
      </c>
      <c r="D4910" t="str">
        <f>TEST_DATA!D4910</f>
        <v>NIL</v>
      </c>
      <c r="E4910">
        <f>TEST_DATA!E4910</f>
        <v>1447</v>
      </c>
    </row>
    <row r="4911" spans="1:5" x14ac:dyDescent="0.55000000000000004">
      <c r="A4911" t="str">
        <f>TEST_DATA!A4911</f>
        <v>27AAAAA4911Z5</v>
      </c>
      <c r="B4911" t="str">
        <f>TEST_DATA!B4911</f>
        <v>May-2018</v>
      </c>
      <c r="C4911">
        <f>TEST_DATA!C4911</f>
        <v>43693</v>
      </c>
      <c r="D4911" t="str">
        <f>TEST_DATA!D4911</f>
        <v>NIL</v>
      </c>
      <c r="E4911">
        <f>TEST_DATA!E4911</f>
        <v>2064</v>
      </c>
    </row>
    <row r="4912" spans="1:5" x14ac:dyDescent="0.55000000000000004">
      <c r="A4912" t="str">
        <f>TEST_DATA!A4912</f>
        <v>27AAAAA4912Z5</v>
      </c>
      <c r="B4912" t="str">
        <f>TEST_DATA!B4912</f>
        <v>May-2020</v>
      </c>
      <c r="C4912">
        <f>TEST_DATA!C4912</f>
        <v>44424</v>
      </c>
      <c r="D4912" t="str">
        <f>TEST_DATA!D4912</f>
        <v>NON-NIL</v>
      </c>
      <c r="E4912">
        <f>TEST_DATA!E4912</f>
        <v>1068</v>
      </c>
    </row>
    <row r="4913" spans="1:5" x14ac:dyDescent="0.55000000000000004">
      <c r="A4913" t="str">
        <f>TEST_DATA!A4913</f>
        <v>27AAAAA4913Z5</v>
      </c>
      <c r="B4913" t="str">
        <f>TEST_DATA!B4913</f>
        <v>Dec-2017</v>
      </c>
      <c r="C4913">
        <f>TEST_DATA!C4913</f>
        <v>43091</v>
      </c>
      <c r="D4913" t="str">
        <f>TEST_DATA!D4913</f>
        <v>NIL</v>
      </c>
      <c r="E4913">
        <f>TEST_DATA!E4913</f>
        <v>2459</v>
      </c>
    </row>
    <row r="4914" spans="1:5" x14ac:dyDescent="0.55000000000000004">
      <c r="A4914" t="str">
        <f>TEST_DATA!A4914</f>
        <v>27AAAAA4914Z5</v>
      </c>
      <c r="B4914" t="str">
        <f>TEST_DATA!B4914</f>
        <v>Jun-2020</v>
      </c>
      <c r="C4914">
        <f>TEST_DATA!C4914</f>
        <v>44807</v>
      </c>
      <c r="D4914" t="str">
        <f>TEST_DATA!D4914</f>
        <v>NON-NIL</v>
      </c>
      <c r="E4914">
        <f>TEST_DATA!E4914</f>
        <v>2011</v>
      </c>
    </row>
    <row r="4915" spans="1:5" x14ac:dyDescent="0.55000000000000004">
      <c r="A4915" t="str">
        <f>TEST_DATA!A4915</f>
        <v>27AAAAA4915Z5</v>
      </c>
      <c r="B4915" t="str">
        <f>TEST_DATA!B4915</f>
        <v>Jun-2019</v>
      </c>
      <c r="C4915">
        <f>TEST_DATA!C4915</f>
        <v>43779</v>
      </c>
      <c r="D4915" t="str">
        <f>TEST_DATA!D4915</f>
        <v>NIL</v>
      </c>
      <c r="E4915">
        <f>TEST_DATA!E4915</f>
        <v>719</v>
      </c>
    </row>
    <row r="4916" spans="1:5" x14ac:dyDescent="0.55000000000000004">
      <c r="A4916" t="str">
        <f>TEST_DATA!A4916</f>
        <v>27AAAAA4916Z5</v>
      </c>
      <c r="B4916" t="str">
        <f>TEST_DATA!B4916</f>
        <v>Dec-2022</v>
      </c>
      <c r="C4916">
        <f>TEST_DATA!C4916</f>
        <v>44649</v>
      </c>
      <c r="D4916" t="str">
        <f>TEST_DATA!D4916</f>
        <v>NIL</v>
      </c>
      <c r="E4916">
        <f>TEST_DATA!E4916</f>
        <v>1286</v>
      </c>
    </row>
    <row r="4917" spans="1:5" x14ac:dyDescent="0.55000000000000004">
      <c r="A4917" t="str">
        <f>TEST_DATA!A4917</f>
        <v>27AAAAA4917Z5</v>
      </c>
      <c r="B4917" t="str">
        <f>TEST_DATA!B4917</f>
        <v>Jul-2018</v>
      </c>
      <c r="C4917">
        <f>TEST_DATA!C4917</f>
        <v>43877</v>
      </c>
      <c r="D4917" t="str">
        <f>TEST_DATA!D4917</f>
        <v>NIL</v>
      </c>
      <c r="E4917">
        <f>TEST_DATA!E4917</f>
        <v>2077</v>
      </c>
    </row>
    <row r="4918" spans="1:5" x14ac:dyDescent="0.55000000000000004">
      <c r="A4918" t="str">
        <f>TEST_DATA!A4918</f>
        <v>27AAAAA4918Z5</v>
      </c>
      <c r="B4918" t="str">
        <f>TEST_DATA!B4918</f>
        <v>Aug-2018</v>
      </c>
      <c r="C4918">
        <f>TEST_DATA!C4918</f>
        <v>43874</v>
      </c>
      <c r="D4918" t="str">
        <f>TEST_DATA!D4918</f>
        <v>NIL</v>
      </c>
      <c r="E4918">
        <f>TEST_DATA!E4918</f>
        <v>180</v>
      </c>
    </row>
    <row r="4919" spans="1:5" x14ac:dyDescent="0.55000000000000004">
      <c r="A4919" t="str">
        <f>TEST_DATA!A4919</f>
        <v>27AAAAA4919Z5</v>
      </c>
      <c r="B4919" t="str">
        <f>TEST_DATA!B4919</f>
        <v>Apr-2020</v>
      </c>
      <c r="C4919">
        <f>TEST_DATA!C4919</f>
        <v>43931</v>
      </c>
      <c r="D4919" t="str">
        <f>TEST_DATA!D4919</f>
        <v>NIL</v>
      </c>
      <c r="E4919">
        <f>TEST_DATA!E4919</f>
        <v>2711</v>
      </c>
    </row>
    <row r="4920" spans="1:5" x14ac:dyDescent="0.55000000000000004">
      <c r="A4920" t="str">
        <f>TEST_DATA!A4920</f>
        <v>27AAAAA4920Z5</v>
      </c>
      <c r="B4920" t="str">
        <f>TEST_DATA!B4920</f>
        <v>Mar-2018</v>
      </c>
      <c r="C4920">
        <f>TEST_DATA!C4920</f>
        <v>43420</v>
      </c>
      <c r="D4920" t="str">
        <f>TEST_DATA!D4920</f>
        <v>NON-NIL</v>
      </c>
      <c r="E4920">
        <f>TEST_DATA!E4920</f>
        <v>1414</v>
      </c>
    </row>
    <row r="4921" spans="1:5" x14ac:dyDescent="0.55000000000000004">
      <c r="A4921" t="str">
        <f>TEST_DATA!A4921</f>
        <v>27AAAAA4921Z5</v>
      </c>
      <c r="B4921" t="str">
        <f>TEST_DATA!B4921</f>
        <v>May-2020</v>
      </c>
      <c r="C4921">
        <f>TEST_DATA!C4921</f>
        <v>44530</v>
      </c>
      <c r="D4921" t="str">
        <f>TEST_DATA!D4921</f>
        <v>NIL</v>
      </c>
      <c r="E4921">
        <f>TEST_DATA!E4921</f>
        <v>1480</v>
      </c>
    </row>
    <row r="4922" spans="1:5" x14ac:dyDescent="0.55000000000000004">
      <c r="A4922" t="str">
        <f>TEST_DATA!A4922</f>
        <v>27AAAAA4922Z5</v>
      </c>
      <c r="B4922" t="str">
        <f>TEST_DATA!B4922</f>
        <v>Jan-2021</v>
      </c>
      <c r="C4922">
        <f>TEST_DATA!C4922</f>
        <v>45579</v>
      </c>
      <c r="D4922" t="str">
        <f>TEST_DATA!D4922</f>
        <v>NON-NIL</v>
      </c>
      <c r="E4922">
        <f>TEST_DATA!E4922</f>
        <v>2171</v>
      </c>
    </row>
    <row r="4923" spans="1:5" x14ac:dyDescent="0.55000000000000004">
      <c r="A4923" t="str">
        <f>TEST_DATA!A4923</f>
        <v>27AAAAA4923Z5</v>
      </c>
      <c r="B4923" t="str">
        <f>TEST_DATA!B4923</f>
        <v>Nov-2017</v>
      </c>
      <c r="C4923">
        <f>TEST_DATA!C4923</f>
        <v>43746</v>
      </c>
      <c r="D4923" t="str">
        <f>TEST_DATA!D4923</f>
        <v>NON-NIL</v>
      </c>
      <c r="E4923">
        <f>TEST_DATA!E4923</f>
        <v>2306</v>
      </c>
    </row>
    <row r="4924" spans="1:5" x14ac:dyDescent="0.55000000000000004">
      <c r="A4924" t="str">
        <f>TEST_DATA!A4924</f>
        <v>27AAAAA4924Z5</v>
      </c>
      <c r="B4924" t="str">
        <f>TEST_DATA!B4924</f>
        <v>Oct-2017</v>
      </c>
      <c r="C4924">
        <f>TEST_DATA!C4924</f>
        <v>43399</v>
      </c>
      <c r="D4924" t="str">
        <f>TEST_DATA!D4924</f>
        <v>NON-NIL</v>
      </c>
      <c r="E4924">
        <f>TEST_DATA!E4924</f>
        <v>611</v>
      </c>
    </row>
    <row r="4925" spans="1:5" x14ac:dyDescent="0.55000000000000004">
      <c r="A4925" t="str">
        <f>TEST_DATA!A4925</f>
        <v>27AAAAA4925Z5</v>
      </c>
      <c r="B4925" t="str">
        <f>TEST_DATA!B4925</f>
        <v>Apr-2021</v>
      </c>
      <c r="C4925">
        <f>TEST_DATA!C4925</f>
        <v>44569</v>
      </c>
      <c r="D4925" t="str">
        <f>TEST_DATA!D4925</f>
        <v>NIL</v>
      </c>
      <c r="E4925">
        <f>TEST_DATA!E4925</f>
        <v>1317</v>
      </c>
    </row>
    <row r="4926" spans="1:5" x14ac:dyDescent="0.55000000000000004">
      <c r="A4926" t="str">
        <f>TEST_DATA!A4926</f>
        <v>27AAAAA4926Z5</v>
      </c>
      <c r="B4926" t="str">
        <f>TEST_DATA!B4926</f>
        <v>Jun-2018</v>
      </c>
      <c r="C4926">
        <f>TEST_DATA!C4926</f>
        <v>44271</v>
      </c>
      <c r="D4926" t="str">
        <f>TEST_DATA!D4926</f>
        <v>NIL</v>
      </c>
      <c r="E4926">
        <f>TEST_DATA!E4926</f>
        <v>1499</v>
      </c>
    </row>
    <row r="4927" spans="1:5" x14ac:dyDescent="0.55000000000000004">
      <c r="A4927" t="str">
        <f>TEST_DATA!A4927</f>
        <v>27AAAAA4927Z5</v>
      </c>
      <c r="B4927" t="str">
        <f>TEST_DATA!B4927</f>
        <v>Apr-2018</v>
      </c>
      <c r="C4927">
        <f>TEST_DATA!C4927</f>
        <v>43265</v>
      </c>
      <c r="D4927" t="str">
        <f>TEST_DATA!D4927</f>
        <v>NON-NIL</v>
      </c>
      <c r="E4927">
        <f>TEST_DATA!E4927</f>
        <v>2988</v>
      </c>
    </row>
    <row r="4928" spans="1:5" x14ac:dyDescent="0.55000000000000004">
      <c r="A4928" t="str">
        <f>TEST_DATA!A4928</f>
        <v>27AAAAA4928Z5</v>
      </c>
      <c r="B4928" t="str">
        <f>TEST_DATA!B4928</f>
        <v>Aug-2017</v>
      </c>
      <c r="C4928">
        <f>TEST_DATA!C4928</f>
        <v>44048</v>
      </c>
      <c r="D4928" t="str">
        <f>TEST_DATA!D4928</f>
        <v>NIL</v>
      </c>
      <c r="E4928">
        <f>TEST_DATA!E4928</f>
        <v>2560</v>
      </c>
    </row>
    <row r="4929" spans="1:5" x14ac:dyDescent="0.55000000000000004">
      <c r="A4929" t="str">
        <f>TEST_DATA!A4929</f>
        <v>27AAAAA4929Z5</v>
      </c>
      <c r="B4929" t="str">
        <f>TEST_DATA!B4929</f>
        <v>Jan-2019</v>
      </c>
      <c r="C4929">
        <f>TEST_DATA!C4929</f>
        <v>43683</v>
      </c>
      <c r="D4929" t="str">
        <f>TEST_DATA!D4929</f>
        <v>NON-NIL</v>
      </c>
      <c r="E4929">
        <f>TEST_DATA!E4929</f>
        <v>851</v>
      </c>
    </row>
    <row r="4930" spans="1:5" x14ac:dyDescent="0.55000000000000004">
      <c r="A4930" t="str">
        <f>TEST_DATA!A4930</f>
        <v>27AAAAA4930Z5</v>
      </c>
      <c r="B4930" t="str">
        <f>TEST_DATA!B4930</f>
        <v>Feb-2018</v>
      </c>
      <c r="C4930">
        <f>TEST_DATA!C4930</f>
        <v>43757</v>
      </c>
      <c r="D4930" t="str">
        <f>TEST_DATA!D4930</f>
        <v>NON-NIL</v>
      </c>
      <c r="E4930">
        <f>TEST_DATA!E4930</f>
        <v>2531</v>
      </c>
    </row>
    <row r="4931" spans="1:5" x14ac:dyDescent="0.55000000000000004">
      <c r="A4931" t="str">
        <f>TEST_DATA!A4931</f>
        <v>27AAAAA4931Z5</v>
      </c>
      <c r="B4931" t="str">
        <f>TEST_DATA!B4931</f>
        <v>Jun-2018</v>
      </c>
      <c r="C4931">
        <f>TEST_DATA!C4931</f>
        <v>44527</v>
      </c>
      <c r="D4931" t="str">
        <f>TEST_DATA!D4931</f>
        <v>NIL</v>
      </c>
      <c r="E4931">
        <f>TEST_DATA!E4931</f>
        <v>2557</v>
      </c>
    </row>
    <row r="4932" spans="1:5" x14ac:dyDescent="0.55000000000000004">
      <c r="A4932" t="str">
        <f>TEST_DATA!A4932</f>
        <v>27AAAAA4932Z5</v>
      </c>
      <c r="B4932" t="str">
        <f>TEST_DATA!B4932</f>
        <v>Mar-2021</v>
      </c>
      <c r="C4932">
        <f>TEST_DATA!C4932</f>
        <v>45619</v>
      </c>
      <c r="D4932" t="str">
        <f>TEST_DATA!D4932</f>
        <v>NIL</v>
      </c>
      <c r="E4932">
        <f>TEST_DATA!E4932</f>
        <v>515</v>
      </c>
    </row>
    <row r="4933" spans="1:5" x14ac:dyDescent="0.55000000000000004">
      <c r="A4933" t="str">
        <f>TEST_DATA!A4933</f>
        <v>27AAAAA4933Z5</v>
      </c>
      <c r="B4933" t="str">
        <f>TEST_DATA!B4933</f>
        <v>Sep-2017</v>
      </c>
      <c r="C4933">
        <f>TEST_DATA!C4933</f>
        <v>43041</v>
      </c>
      <c r="D4933" t="str">
        <f>TEST_DATA!D4933</f>
        <v>NON-NIL</v>
      </c>
      <c r="E4933">
        <f>TEST_DATA!E4933</f>
        <v>192</v>
      </c>
    </row>
    <row r="4934" spans="1:5" x14ac:dyDescent="0.55000000000000004">
      <c r="A4934" t="str">
        <f>TEST_DATA!A4934</f>
        <v>27AAAAA4934Z5</v>
      </c>
      <c r="B4934" t="str">
        <f>TEST_DATA!B4934</f>
        <v>Oct-2017</v>
      </c>
      <c r="C4934">
        <f>TEST_DATA!C4934</f>
        <v>43719</v>
      </c>
      <c r="D4934" t="str">
        <f>TEST_DATA!D4934</f>
        <v>NON-NIL</v>
      </c>
      <c r="E4934">
        <f>TEST_DATA!E4934</f>
        <v>2165</v>
      </c>
    </row>
    <row r="4935" spans="1:5" x14ac:dyDescent="0.55000000000000004">
      <c r="A4935" t="str">
        <f>TEST_DATA!A4935</f>
        <v>27AAAAA4935Z5</v>
      </c>
      <c r="B4935" t="str">
        <f>TEST_DATA!B4935</f>
        <v>Oct-2017</v>
      </c>
      <c r="C4935">
        <f>TEST_DATA!C4935</f>
        <v>44055</v>
      </c>
      <c r="D4935" t="str">
        <f>TEST_DATA!D4935</f>
        <v>NIL</v>
      </c>
      <c r="E4935">
        <f>TEST_DATA!E4935</f>
        <v>1071</v>
      </c>
    </row>
    <row r="4936" spans="1:5" x14ac:dyDescent="0.55000000000000004">
      <c r="A4936" t="str">
        <f>TEST_DATA!A4936</f>
        <v>27AAAAA4936Z5</v>
      </c>
      <c r="B4936" t="str">
        <f>TEST_DATA!B4936</f>
        <v>May-2020</v>
      </c>
      <c r="C4936">
        <f>TEST_DATA!C4936</f>
        <v>44360</v>
      </c>
      <c r="D4936" t="str">
        <f>TEST_DATA!D4936</f>
        <v>NIL</v>
      </c>
      <c r="E4936">
        <f>TEST_DATA!E4936</f>
        <v>2242</v>
      </c>
    </row>
    <row r="4937" spans="1:5" x14ac:dyDescent="0.55000000000000004">
      <c r="A4937" t="str">
        <f>TEST_DATA!A4937</f>
        <v>27AAAAA4937Z5</v>
      </c>
      <c r="B4937" t="str">
        <f>TEST_DATA!B4937</f>
        <v>Jan-2019</v>
      </c>
      <c r="C4937">
        <f>TEST_DATA!C4937</f>
        <v>45507</v>
      </c>
      <c r="D4937" t="str">
        <f>TEST_DATA!D4937</f>
        <v>NIL</v>
      </c>
      <c r="E4937">
        <f>TEST_DATA!E4937</f>
        <v>2112</v>
      </c>
    </row>
    <row r="4938" spans="1:5" x14ac:dyDescent="0.55000000000000004">
      <c r="A4938" t="str">
        <f>TEST_DATA!A4938</f>
        <v>27AAAAA4938Z5</v>
      </c>
      <c r="B4938" t="str">
        <f>TEST_DATA!B4938</f>
        <v>Jan-2018</v>
      </c>
      <c r="C4938">
        <f>TEST_DATA!C4938</f>
        <v>43691</v>
      </c>
      <c r="D4938" t="str">
        <f>TEST_DATA!D4938</f>
        <v>NIL</v>
      </c>
      <c r="E4938">
        <f>TEST_DATA!E4938</f>
        <v>2164</v>
      </c>
    </row>
    <row r="4939" spans="1:5" x14ac:dyDescent="0.55000000000000004">
      <c r="A4939" t="str">
        <f>TEST_DATA!A4939</f>
        <v>27AAAAA4939Z5</v>
      </c>
      <c r="B4939" t="str">
        <f>TEST_DATA!B4939</f>
        <v>May-2020</v>
      </c>
      <c r="C4939">
        <f>TEST_DATA!C4939</f>
        <v>43962</v>
      </c>
      <c r="D4939" t="str">
        <f>TEST_DATA!D4939</f>
        <v>NON-NIL</v>
      </c>
      <c r="E4939">
        <f>TEST_DATA!E4939</f>
        <v>1096</v>
      </c>
    </row>
    <row r="4940" spans="1:5" x14ac:dyDescent="0.55000000000000004">
      <c r="A4940" t="str">
        <f>TEST_DATA!A4940</f>
        <v>27AAAAA4940Z5</v>
      </c>
      <c r="B4940" t="str">
        <f>TEST_DATA!B4940</f>
        <v>Feb-2018</v>
      </c>
      <c r="C4940">
        <f>TEST_DATA!C4940</f>
        <v>43234</v>
      </c>
      <c r="D4940" t="str">
        <f>TEST_DATA!D4940</f>
        <v>NIL</v>
      </c>
      <c r="E4940">
        <f>TEST_DATA!E4940</f>
        <v>579</v>
      </c>
    </row>
    <row r="4941" spans="1:5" x14ac:dyDescent="0.55000000000000004">
      <c r="A4941" t="str">
        <f>TEST_DATA!A4941</f>
        <v>27AAAAA4941Z5</v>
      </c>
      <c r="B4941" t="str">
        <f>TEST_DATA!B4941</f>
        <v>Jul-2020</v>
      </c>
      <c r="C4941">
        <f>TEST_DATA!C4941</f>
        <v>44650</v>
      </c>
      <c r="D4941" t="str">
        <f>TEST_DATA!D4941</f>
        <v>NON-NIL</v>
      </c>
      <c r="E4941">
        <f>TEST_DATA!E4941</f>
        <v>2973</v>
      </c>
    </row>
    <row r="4942" spans="1:5" x14ac:dyDescent="0.55000000000000004">
      <c r="A4942" t="str">
        <f>TEST_DATA!A4942</f>
        <v>27AAAAA4942Z5</v>
      </c>
      <c r="B4942" t="str">
        <f>TEST_DATA!B4942</f>
        <v>Dec-2017</v>
      </c>
      <c r="C4942">
        <f>TEST_DATA!C4942</f>
        <v>43985</v>
      </c>
      <c r="D4942" t="str">
        <f>TEST_DATA!D4942</f>
        <v>NON-NIL</v>
      </c>
      <c r="E4942">
        <f>TEST_DATA!E4942</f>
        <v>1669</v>
      </c>
    </row>
    <row r="4943" spans="1:5" x14ac:dyDescent="0.55000000000000004">
      <c r="A4943" t="str">
        <f>TEST_DATA!A4943</f>
        <v>27AAAAA4943Z5</v>
      </c>
      <c r="B4943" t="str">
        <f>TEST_DATA!B4943</f>
        <v>Apr-2018</v>
      </c>
      <c r="C4943">
        <f>TEST_DATA!C4943</f>
        <v>43241</v>
      </c>
      <c r="D4943" t="str">
        <f>TEST_DATA!D4943</f>
        <v>NIL</v>
      </c>
      <c r="E4943">
        <f>TEST_DATA!E4943</f>
        <v>994</v>
      </c>
    </row>
    <row r="4944" spans="1:5" x14ac:dyDescent="0.55000000000000004">
      <c r="A4944" t="str">
        <f>TEST_DATA!A4944</f>
        <v>27AAAAA4944Z5</v>
      </c>
      <c r="B4944" t="str">
        <f>TEST_DATA!B4944</f>
        <v>Dec-2024</v>
      </c>
      <c r="C4944">
        <f>TEST_DATA!C4944</f>
        <v>45185</v>
      </c>
      <c r="D4944" t="str">
        <f>TEST_DATA!D4944</f>
        <v>NIL</v>
      </c>
      <c r="E4944">
        <f>TEST_DATA!E4944</f>
        <v>1508</v>
      </c>
    </row>
    <row r="4945" spans="1:5" x14ac:dyDescent="0.55000000000000004">
      <c r="A4945" t="str">
        <f>TEST_DATA!A4945</f>
        <v>27AAAAA4945Z5</v>
      </c>
      <c r="B4945" t="str">
        <f>TEST_DATA!B4945</f>
        <v>Jan-2021</v>
      </c>
      <c r="C4945">
        <f>TEST_DATA!C4945</f>
        <v>45630</v>
      </c>
      <c r="D4945" t="str">
        <f>TEST_DATA!D4945</f>
        <v>NON-NIL</v>
      </c>
      <c r="E4945">
        <f>TEST_DATA!E4945</f>
        <v>876</v>
      </c>
    </row>
    <row r="4946" spans="1:5" x14ac:dyDescent="0.55000000000000004">
      <c r="A4946" t="str">
        <f>TEST_DATA!A4946</f>
        <v>27AAAAA4946Z5</v>
      </c>
      <c r="B4946" t="str">
        <f>TEST_DATA!B4946</f>
        <v>Oct-2017</v>
      </c>
      <c r="C4946">
        <f>TEST_DATA!C4946</f>
        <v>43551</v>
      </c>
      <c r="D4946" t="str">
        <f>TEST_DATA!D4946</f>
        <v>NON-NIL</v>
      </c>
      <c r="E4946">
        <f>TEST_DATA!E4946</f>
        <v>336</v>
      </c>
    </row>
    <row r="4947" spans="1:5" x14ac:dyDescent="0.55000000000000004">
      <c r="A4947" t="str">
        <f>TEST_DATA!A4947</f>
        <v>27AAAAA4947Z5</v>
      </c>
      <c r="B4947" t="str">
        <f>TEST_DATA!B4947</f>
        <v>Sep-2018</v>
      </c>
      <c r="C4947">
        <f>TEST_DATA!C4947</f>
        <v>43000</v>
      </c>
      <c r="D4947" t="str">
        <f>TEST_DATA!D4947</f>
        <v>NON-NIL</v>
      </c>
      <c r="E4947">
        <f>TEST_DATA!E4947</f>
        <v>1194</v>
      </c>
    </row>
    <row r="4948" spans="1:5" x14ac:dyDescent="0.55000000000000004">
      <c r="A4948" t="str">
        <f>TEST_DATA!A4948</f>
        <v>27AAAAA4948Z5</v>
      </c>
      <c r="B4948" t="str">
        <f>TEST_DATA!B4948</f>
        <v>May-2020</v>
      </c>
      <c r="C4948">
        <f>TEST_DATA!C4948</f>
        <v>44629</v>
      </c>
      <c r="D4948" t="str">
        <f>TEST_DATA!D4948</f>
        <v>NIL</v>
      </c>
      <c r="E4948">
        <f>TEST_DATA!E4948</f>
        <v>1452</v>
      </c>
    </row>
    <row r="4949" spans="1:5" x14ac:dyDescent="0.55000000000000004">
      <c r="A4949" t="str">
        <f>TEST_DATA!A4949</f>
        <v>27AAAAA4949Z5</v>
      </c>
      <c r="B4949" t="str">
        <f>TEST_DATA!B4949</f>
        <v>Mar-2021</v>
      </c>
      <c r="C4949">
        <f>TEST_DATA!C4949</f>
        <v>44996</v>
      </c>
      <c r="D4949" t="str">
        <f>TEST_DATA!D4949</f>
        <v>NON-NIL</v>
      </c>
      <c r="E4949">
        <f>TEST_DATA!E4949</f>
        <v>173</v>
      </c>
    </row>
    <row r="4950" spans="1:5" x14ac:dyDescent="0.55000000000000004">
      <c r="A4950" t="str">
        <f>TEST_DATA!A4950</f>
        <v>27AAAAA4950Z5</v>
      </c>
      <c r="B4950" t="str">
        <f>TEST_DATA!B4950</f>
        <v>Dec-2017</v>
      </c>
      <c r="C4950">
        <f>TEST_DATA!C4950</f>
        <v>43742</v>
      </c>
      <c r="D4950" t="str">
        <f>TEST_DATA!D4950</f>
        <v>NIL</v>
      </c>
      <c r="E4950">
        <f>TEST_DATA!E4950</f>
        <v>2953</v>
      </c>
    </row>
    <row r="4951" spans="1:5" x14ac:dyDescent="0.55000000000000004">
      <c r="A4951" t="str">
        <f>TEST_DATA!A4951</f>
        <v>27AAAAA4951Z5</v>
      </c>
      <c r="B4951" t="str">
        <f>TEST_DATA!B4951</f>
        <v>Jun-2020</v>
      </c>
      <c r="C4951">
        <f>TEST_DATA!C4951</f>
        <v>44586</v>
      </c>
      <c r="D4951" t="str">
        <f>TEST_DATA!D4951</f>
        <v>NON-NIL</v>
      </c>
      <c r="E4951">
        <f>TEST_DATA!E4951</f>
        <v>2226</v>
      </c>
    </row>
    <row r="4952" spans="1:5" x14ac:dyDescent="0.55000000000000004">
      <c r="A4952" t="str">
        <f>TEST_DATA!A4952</f>
        <v>27AAAAA4952Z5</v>
      </c>
      <c r="B4952" t="str">
        <f>TEST_DATA!B4952</f>
        <v>Jun-2020</v>
      </c>
      <c r="C4952">
        <f>TEST_DATA!C4952</f>
        <v>44213</v>
      </c>
      <c r="D4952" t="str">
        <f>TEST_DATA!D4952</f>
        <v>NON-NIL</v>
      </c>
      <c r="E4952">
        <f>TEST_DATA!E4952</f>
        <v>785</v>
      </c>
    </row>
    <row r="4953" spans="1:5" x14ac:dyDescent="0.55000000000000004">
      <c r="A4953" t="str">
        <f>TEST_DATA!A4953</f>
        <v>27AAAAA4953Z5</v>
      </c>
      <c r="B4953" t="str">
        <f>TEST_DATA!B4953</f>
        <v>Mar-2023</v>
      </c>
      <c r="C4953">
        <f>TEST_DATA!C4953</f>
        <v>43561</v>
      </c>
      <c r="D4953" t="str">
        <f>TEST_DATA!D4953</f>
        <v>NIL</v>
      </c>
      <c r="E4953">
        <f>TEST_DATA!E4953</f>
        <v>1924</v>
      </c>
    </row>
    <row r="4954" spans="1:5" x14ac:dyDescent="0.55000000000000004">
      <c r="A4954" t="str">
        <f>TEST_DATA!A4954</f>
        <v>27AAAAA4954Z5</v>
      </c>
      <c r="B4954" t="str">
        <f>TEST_DATA!B4954</f>
        <v>Jul-2018</v>
      </c>
      <c r="C4954">
        <f>TEST_DATA!C4954</f>
        <v>43547</v>
      </c>
      <c r="D4954" t="str">
        <f>TEST_DATA!D4954</f>
        <v>NON-NIL</v>
      </c>
      <c r="E4954">
        <f>TEST_DATA!E4954</f>
        <v>1146</v>
      </c>
    </row>
    <row r="4955" spans="1:5" x14ac:dyDescent="0.55000000000000004">
      <c r="A4955" t="str">
        <f>TEST_DATA!A4955</f>
        <v>27AAAAA4955Z5</v>
      </c>
      <c r="B4955" t="str">
        <f>TEST_DATA!B4955</f>
        <v>Mar-2023</v>
      </c>
      <c r="C4955">
        <f>TEST_DATA!C4955</f>
        <v>44656</v>
      </c>
      <c r="D4955" t="str">
        <f>TEST_DATA!D4955</f>
        <v>NIL</v>
      </c>
      <c r="E4955">
        <f>TEST_DATA!E4955</f>
        <v>925</v>
      </c>
    </row>
    <row r="4956" spans="1:5" x14ac:dyDescent="0.55000000000000004">
      <c r="A4956" t="str">
        <f>TEST_DATA!A4956</f>
        <v>27AAAAA4956Z5</v>
      </c>
      <c r="B4956" t="str">
        <f>TEST_DATA!B4956</f>
        <v>Jan-2021</v>
      </c>
      <c r="C4956">
        <f>TEST_DATA!C4956</f>
        <v>43912</v>
      </c>
      <c r="D4956" t="str">
        <f>TEST_DATA!D4956</f>
        <v>NON-NIL</v>
      </c>
      <c r="E4956">
        <f>TEST_DATA!E4956</f>
        <v>988</v>
      </c>
    </row>
    <row r="4957" spans="1:5" x14ac:dyDescent="0.55000000000000004">
      <c r="A4957" t="str">
        <f>TEST_DATA!A4957</f>
        <v>27AAAAA4957Z5</v>
      </c>
      <c r="B4957" t="str">
        <f>TEST_DATA!B4957</f>
        <v>Dec-2019</v>
      </c>
      <c r="C4957">
        <f>TEST_DATA!C4957</f>
        <v>45517</v>
      </c>
      <c r="D4957" t="str">
        <f>TEST_DATA!D4957</f>
        <v>NIL</v>
      </c>
      <c r="E4957">
        <f>TEST_DATA!E4957</f>
        <v>1128</v>
      </c>
    </row>
    <row r="4958" spans="1:5" x14ac:dyDescent="0.55000000000000004">
      <c r="A4958" t="str">
        <f>TEST_DATA!A4958</f>
        <v>27AAAAA4958Z5</v>
      </c>
      <c r="B4958" t="str">
        <f>TEST_DATA!B4958</f>
        <v>May-2018</v>
      </c>
      <c r="C4958">
        <f>TEST_DATA!C4958</f>
        <v>44402</v>
      </c>
      <c r="D4958" t="str">
        <f>TEST_DATA!D4958</f>
        <v>NIL</v>
      </c>
      <c r="E4958">
        <f>TEST_DATA!E4958</f>
        <v>1907</v>
      </c>
    </row>
    <row r="4959" spans="1:5" x14ac:dyDescent="0.55000000000000004">
      <c r="A4959" t="str">
        <f>TEST_DATA!A4959</f>
        <v>27AAAAA4959Z5</v>
      </c>
      <c r="B4959" t="str">
        <f>TEST_DATA!B4959</f>
        <v>Apr-2020</v>
      </c>
      <c r="C4959">
        <f>TEST_DATA!C4959</f>
        <v>43957</v>
      </c>
      <c r="D4959" t="str">
        <f>TEST_DATA!D4959</f>
        <v>NON-NIL</v>
      </c>
      <c r="E4959">
        <f>TEST_DATA!E4959</f>
        <v>153</v>
      </c>
    </row>
    <row r="4960" spans="1:5" x14ac:dyDescent="0.55000000000000004">
      <c r="A4960" t="str">
        <f>TEST_DATA!A4960</f>
        <v>27AAAAA4960Z5</v>
      </c>
      <c r="B4960" t="str">
        <f>TEST_DATA!B4960</f>
        <v>Apr-2018</v>
      </c>
      <c r="C4960">
        <f>TEST_DATA!C4960</f>
        <v>44323</v>
      </c>
      <c r="D4960" t="str">
        <f>TEST_DATA!D4960</f>
        <v>NIL</v>
      </c>
      <c r="E4960">
        <f>TEST_DATA!E4960</f>
        <v>1193</v>
      </c>
    </row>
    <row r="4961" spans="1:5" x14ac:dyDescent="0.55000000000000004">
      <c r="A4961" t="str">
        <f>TEST_DATA!A4961</f>
        <v>27AAAAA4961Z5</v>
      </c>
      <c r="B4961" t="str">
        <f>TEST_DATA!B4961</f>
        <v>Feb-2018</v>
      </c>
      <c r="C4961">
        <f>TEST_DATA!C4961</f>
        <v>43336</v>
      </c>
      <c r="D4961" t="str">
        <f>TEST_DATA!D4961</f>
        <v>NIL</v>
      </c>
      <c r="E4961">
        <f>TEST_DATA!E4961</f>
        <v>855</v>
      </c>
    </row>
    <row r="4962" spans="1:5" x14ac:dyDescent="0.55000000000000004">
      <c r="A4962" t="str">
        <f>TEST_DATA!A4962</f>
        <v>27AAAAA4962Z5</v>
      </c>
      <c r="B4962" t="str">
        <f>TEST_DATA!B4962</f>
        <v>Mar-2021</v>
      </c>
      <c r="C4962">
        <f>TEST_DATA!C4962</f>
        <v>44920</v>
      </c>
      <c r="D4962" t="str">
        <f>TEST_DATA!D4962</f>
        <v>NIL</v>
      </c>
      <c r="E4962">
        <f>TEST_DATA!E4962</f>
        <v>2155</v>
      </c>
    </row>
    <row r="4963" spans="1:5" x14ac:dyDescent="0.55000000000000004">
      <c r="A4963" t="str">
        <f>TEST_DATA!A4963</f>
        <v>27AAAAA4963Z5</v>
      </c>
      <c r="B4963" t="str">
        <f>TEST_DATA!B4963</f>
        <v>Mar-2018</v>
      </c>
      <c r="C4963">
        <f>TEST_DATA!C4963</f>
        <v>44119</v>
      </c>
      <c r="D4963" t="str">
        <f>TEST_DATA!D4963</f>
        <v>NON-NIL</v>
      </c>
      <c r="E4963">
        <f>TEST_DATA!E4963</f>
        <v>2903</v>
      </c>
    </row>
    <row r="4964" spans="1:5" x14ac:dyDescent="0.55000000000000004">
      <c r="A4964" t="str">
        <f>TEST_DATA!A4964</f>
        <v>27AAAAA4964Z5</v>
      </c>
      <c r="B4964" t="str">
        <f>TEST_DATA!B4964</f>
        <v>Oct-2017</v>
      </c>
      <c r="C4964">
        <f>TEST_DATA!C4964</f>
        <v>43725</v>
      </c>
      <c r="D4964" t="str">
        <f>TEST_DATA!D4964</f>
        <v>NIL</v>
      </c>
      <c r="E4964">
        <f>TEST_DATA!E4964</f>
        <v>579</v>
      </c>
    </row>
    <row r="4965" spans="1:5" x14ac:dyDescent="0.55000000000000004">
      <c r="A4965" t="str">
        <f>TEST_DATA!A4965</f>
        <v>27AAAAA4965Z5</v>
      </c>
      <c r="B4965" t="str">
        <f>TEST_DATA!B4965</f>
        <v>Apr-2021</v>
      </c>
      <c r="C4965">
        <f>TEST_DATA!C4965</f>
        <v>43884</v>
      </c>
      <c r="D4965" t="str">
        <f>TEST_DATA!D4965</f>
        <v>NIL</v>
      </c>
      <c r="E4965">
        <f>TEST_DATA!E4965</f>
        <v>387</v>
      </c>
    </row>
    <row r="4966" spans="1:5" x14ac:dyDescent="0.55000000000000004">
      <c r="A4966" t="str">
        <f>TEST_DATA!A4966</f>
        <v>27AAAAA4966Z5</v>
      </c>
      <c r="B4966" t="str">
        <f>TEST_DATA!B4966</f>
        <v>Jul-2020</v>
      </c>
      <c r="C4966">
        <f>TEST_DATA!C4966</f>
        <v>44762</v>
      </c>
      <c r="D4966" t="str">
        <f>TEST_DATA!D4966</f>
        <v>NON-NIL</v>
      </c>
      <c r="E4966">
        <f>TEST_DATA!E4966</f>
        <v>2954</v>
      </c>
    </row>
    <row r="4967" spans="1:5" x14ac:dyDescent="0.55000000000000004">
      <c r="A4967" t="str">
        <f>TEST_DATA!A4967</f>
        <v>27AAAAA4967Z5</v>
      </c>
      <c r="B4967" t="str">
        <f>TEST_DATA!B4967</f>
        <v>Dec-2024</v>
      </c>
      <c r="C4967">
        <f>TEST_DATA!C4967</f>
        <v>43972</v>
      </c>
      <c r="D4967" t="str">
        <f>TEST_DATA!D4967</f>
        <v>NIL</v>
      </c>
      <c r="E4967">
        <f>TEST_DATA!E4967</f>
        <v>2484</v>
      </c>
    </row>
    <row r="4968" spans="1:5" x14ac:dyDescent="0.55000000000000004">
      <c r="A4968" t="str">
        <f>TEST_DATA!A4968</f>
        <v>27AAAAA4968Z5</v>
      </c>
      <c r="B4968" t="str">
        <f>TEST_DATA!B4968</f>
        <v>Jan-2018</v>
      </c>
      <c r="C4968">
        <f>TEST_DATA!C4968</f>
        <v>43410</v>
      </c>
      <c r="D4968" t="str">
        <f>TEST_DATA!D4968</f>
        <v>NIL</v>
      </c>
      <c r="E4968">
        <f>TEST_DATA!E4968</f>
        <v>2584</v>
      </c>
    </row>
    <row r="4969" spans="1:5" x14ac:dyDescent="0.55000000000000004">
      <c r="A4969" t="str">
        <f>TEST_DATA!A4969</f>
        <v>27AAAAA4969Z5</v>
      </c>
      <c r="B4969" t="str">
        <f>TEST_DATA!B4969</f>
        <v>Jun-2020</v>
      </c>
      <c r="C4969">
        <f>TEST_DATA!C4969</f>
        <v>44236</v>
      </c>
      <c r="D4969" t="str">
        <f>TEST_DATA!D4969</f>
        <v>NON-NIL</v>
      </c>
      <c r="E4969">
        <f>TEST_DATA!E4969</f>
        <v>887</v>
      </c>
    </row>
    <row r="4970" spans="1:5" x14ac:dyDescent="0.55000000000000004">
      <c r="A4970" t="str">
        <f>TEST_DATA!A4970</f>
        <v>27AAAAA4970Z5</v>
      </c>
      <c r="B4970" t="str">
        <f>TEST_DATA!B4970</f>
        <v>Nov-2017</v>
      </c>
      <c r="C4970">
        <f>TEST_DATA!C4970</f>
        <v>43746</v>
      </c>
      <c r="D4970" t="str">
        <f>TEST_DATA!D4970</f>
        <v>NON-NIL</v>
      </c>
      <c r="E4970">
        <f>TEST_DATA!E4970</f>
        <v>924</v>
      </c>
    </row>
    <row r="4971" spans="1:5" x14ac:dyDescent="0.55000000000000004">
      <c r="A4971" t="str">
        <f>TEST_DATA!A4971</f>
        <v>27AAAAA4971Z5</v>
      </c>
      <c r="B4971" t="str">
        <f>TEST_DATA!B4971</f>
        <v>Aug-2017</v>
      </c>
      <c r="C4971">
        <f>TEST_DATA!C4971</f>
        <v>43749</v>
      </c>
      <c r="D4971" t="str">
        <f>TEST_DATA!D4971</f>
        <v>NIL</v>
      </c>
      <c r="E4971">
        <f>TEST_DATA!E4971</f>
        <v>2962</v>
      </c>
    </row>
    <row r="4972" spans="1:5" x14ac:dyDescent="0.55000000000000004">
      <c r="A4972" t="str">
        <f>TEST_DATA!A4972</f>
        <v>27AAAAA4972Z5</v>
      </c>
      <c r="B4972" t="str">
        <f>TEST_DATA!B4972</f>
        <v>Sep-2017</v>
      </c>
      <c r="C4972">
        <f>TEST_DATA!C4972</f>
        <v>43088</v>
      </c>
      <c r="D4972" t="str">
        <f>TEST_DATA!D4972</f>
        <v>NON-NIL</v>
      </c>
      <c r="E4972">
        <f>TEST_DATA!E4972</f>
        <v>1341</v>
      </c>
    </row>
    <row r="4973" spans="1:5" x14ac:dyDescent="0.55000000000000004">
      <c r="A4973" t="str">
        <f>TEST_DATA!A4973</f>
        <v>27AAAAA4973Z5</v>
      </c>
      <c r="B4973" t="str">
        <f>TEST_DATA!B4973</f>
        <v>Jul-2018</v>
      </c>
      <c r="C4973">
        <f>TEST_DATA!C4973</f>
        <v>43112</v>
      </c>
      <c r="D4973" t="str">
        <f>TEST_DATA!D4973</f>
        <v>NON-NIL</v>
      </c>
      <c r="E4973">
        <f>TEST_DATA!E4973</f>
        <v>2050</v>
      </c>
    </row>
    <row r="4974" spans="1:5" x14ac:dyDescent="0.55000000000000004">
      <c r="A4974" t="str">
        <f>TEST_DATA!A4974</f>
        <v>27AAAAA4974Z5</v>
      </c>
      <c r="B4974" t="str">
        <f>TEST_DATA!B4974</f>
        <v>Mar-2023</v>
      </c>
      <c r="C4974">
        <f>TEST_DATA!C4974</f>
        <v>45133</v>
      </c>
      <c r="D4974" t="str">
        <f>TEST_DATA!D4974</f>
        <v>NIL</v>
      </c>
      <c r="E4974">
        <f>TEST_DATA!E4974</f>
        <v>43</v>
      </c>
    </row>
    <row r="4975" spans="1:5" x14ac:dyDescent="0.55000000000000004">
      <c r="A4975" t="str">
        <f>TEST_DATA!A4975</f>
        <v>27AAAAA4975Z5</v>
      </c>
      <c r="B4975" t="str">
        <f>TEST_DATA!B4975</f>
        <v>Dec-2017</v>
      </c>
      <c r="C4975">
        <f>TEST_DATA!C4975</f>
        <v>43344</v>
      </c>
      <c r="D4975" t="str">
        <f>TEST_DATA!D4975</f>
        <v>NIL</v>
      </c>
      <c r="E4975">
        <f>TEST_DATA!E4975</f>
        <v>120</v>
      </c>
    </row>
    <row r="4976" spans="1:5" x14ac:dyDescent="0.55000000000000004">
      <c r="A4976" t="str">
        <f>TEST_DATA!A4976</f>
        <v>27AAAAA4976Z5</v>
      </c>
      <c r="B4976" t="str">
        <f>TEST_DATA!B4976</f>
        <v>Mar-2020</v>
      </c>
      <c r="C4976">
        <f>TEST_DATA!C4976</f>
        <v>44049</v>
      </c>
      <c r="D4976" t="str">
        <f>TEST_DATA!D4976</f>
        <v>NON-NIL</v>
      </c>
      <c r="E4976">
        <f>TEST_DATA!E4976</f>
        <v>1699</v>
      </c>
    </row>
    <row r="4977" spans="1:5" x14ac:dyDescent="0.55000000000000004">
      <c r="A4977" t="str">
        <f>TEST_DATA!A4977</f>
        <v>27AAAAA4977Z5</v>
      </c>
      <c r="B4977" t="str">
        <f>TEST_DATA!B4977</f>
        <v>Oct-2017</v>
      </c>
      <c r="C4977">
        <f>TEST_DATA!C4977</f>
        <v>44042</v>
      </c>
      <c r="D4977" t="str">
        <f>TEST_DATA!D4977</f>
        <v>NIL</v>
      </c>
      <c r="E4977">
        <f>TEST_DATA!E4977</f>
        <v>2446</v>
      </c>
    </row>
    <row r="4978" spans="1:5" x14ac:dyDescent="0.55000000000000004">
      <c r="A4978" t="str">
        <f>TEST_DATA!A4978</f>
        <v>27AAAAA4978Z5</v>
      </c>
      <c r="B4978" t="str">
        <f>TEST_DATA!B4978</f>
        <v>Jun-2019</v>
      </c>
      <c r="C4978">
        <f>TEST_DATA!C4978</f>
        <v>43519</v>
      </c>
      <c r="D4978" t="str">
        <f>TEST_DATA!D4978</f>
        <v>NIL</v>
      </c>
      <c r="E4978">
        <f>TEST_DATA!E4978</f>
        <v>2819</v>
      </c>
    </row>
    <row r="4979" spans="1:5" x14ac:dyDescent="0.55000000000000004">
      <c r="A4979" t="str">
        <f>TEST_DATA!A4979</f>
        <v>27AAAAA4979Z5</v>
      </c>
      <c r="B4979" t="str">
        <f>TEST_DATA!B4979</f>
        <v>Jul-2018</v>
      </c>
      <c r="C4979">
        <f>TEST_DATA!C4979</f>
        <v>43600</v>
      </c>
      <c r="D4979" t="str">
        <f>TEST_DATA!D4979</f>
        <v>NON-NIL</v>
      </c>
      <c r="E4979">
        <f>TEST_DATA!E4979</f>
        <v>2608</v>
      </c>
    </row>
    <row r="4980" spans="1:5" x14ac:dyDescent="0.55000000000000004">
      <c r="A4980" t="str">
        <f>TEST_DATA!A4980</f>
        <v>27AAAAA4980Z5</v>
      </c>
      <c r="B4980" t="str">
        <f>TEST_DATA!B4980</f>
        <v>Jul-2020</v>
      </c>
      <c r="C4980">
        <f>TEST_DATA!C4980</f>
        <v>44849</v>
      </c>
      <c r="D4980" t="str">
        <f>TEST_DATA!D4980</f>
        <v>NON-NIL</v>
      </c>
      <c r="E4980">
        <f>TEST_DATA!E4980</f>
        <v>2987</v>
      </c>
    </row>
    <row r="4981" spans="1:5" x14ac:dyDescent="0.55000000000000004">
      <c r="A4981" t="str">
        <f>TEST_DATA!A4981</f>
        <v>27AAAAA4981Z5</v>
      </c>
      <c r="B4981" t="str">
        <f>TEST_DATA!B4981</f>
        <v>Apr-2018</v>
      </c>
      <c r="C4981">
        <f>TEST_DATA!C4981</f>
        <v>44137</v>
      </c>
      <c r="D4981" t="str">
        <f>TEST_DATA!D4981</f>
        <v>NIL</v>
      </c>
      <c r="E4981">
        <f>TEST_DATA!E4981</f>
        <v>2968</v>
      </c>
    </row>
    <row r="4982" spans="1:5" x14ac:dyDescent="0.55000000000000004">
      <c r="A4982" t="str">
        <f>TEST_DATA!A4982</f>
        <v>27AAAAA4982Z5</v>
      </c>
      <c r="B4982" t="str">
        <f>TEST_DATA!B4982</f>
        <v>Aug-2018</v>
      </c>
      <c r="C4982">
        <f>TEST_DATA!C4982</f>
        <v>42923</v>
      </c>
      <c r="D4982" t="str">
        <f>TEST_DATA!D4982</f>
        <v>NIL</v>
      </c>
      <c r="E4982">
        <f>TEST_DATA!E4982</f>
        <v>1604</v>
      </c>
    </row>
    <row r="4983" spans="1:5" x14ac:dyDescent="0.55000000000000004">
      <c r="A4983" t="str">
        <f>TEST_DATA!A4983</f>
        <v>27AAAAA4983Z5</v>
      </c>
      <c r="B4983" t="str">
        <f>TEST_DATA!B4983</f>
        <v>Jun-2018</v>
      </c>
      <c r="C4983">
        <f>TEST_DATA!C4983</f>
        <v>44165</v>
      </c>
      <c r="D4983" t="str">
        <f>TEST_DATA!D4983</f>
        <v>NON-NIL</v>
      </c>
      <c r="E4983">
        <f>TEST_DATA!E4983</f>
        <v>548</v>
      </c>
    </row>
    <row r="4984" spans="1:5" x14ac:dyDescent="0.55000000000000004">
      <c r="A4984" t="str">
        <f>TEST_DATA!A4984</f>
        <v>27AAAAA4984Z5</v>
      </c>
      <c r="B4984" t="str">
        <f>TEST_DATA!B4984</f>
        <v>Dec-2024</v>
      </c>
      <c r="C4984">
        <f>TEST_DATA!C4984</f>
        <v>43703</v>
      </c>
      <c r="D4984" t="str">
        <f>TEST_DATA!D4984</f>
        <v>NIL</v>
      </c>
      <c r="E4984">
        <f>TEST_DATA!E4984</f>
        <v>1274</v>
      </c>
    </row>
    <row r="4985" spans="1:5" x14ac:dyDescent="0.55000000000000004">
      <c r="A4985" t="str">
        <f>TEST_DATA!A4985</f>
        <v>27AAAAA4985Z5</v>
      </c>
      <c r="B4985" t="str">
        <f>TEST_DATA!B4985</f>
        <v>Apr-2020</v>
      </c>
      <c r="C4985">
        <f>TEST_DATA!C4985</f>
        <v>43976</v>
      </c>
      <c r="D4985" t="str">
        <f>TEST_DATA!D4985</f>
        <v>NIL</v>
      </c>
      <c r="E4985">
        <f>TEST_DATA!E4985</f>
        <v>2154</v>
      </c>
    </row>
    <row r="4986" spans="1:5" x14ac:dyDescent="0.55000000000000004">
      <c r="A4986" t="str">
        <f>TEST_DATA!A4986</f>
        <v>27AAAAA4986Z5</v>
      </c>
      <c r="B4986" t="str">
        <f>TEST_DATA!B4986</f>
        <v>May-2020</v>
      </c>
      <c r="C4986">
        <f>TEST_DATA!C4986</f>
        <v>44418</v>
      </c>
      <c r="D4986" t="str">
        <f>TEST_DATA!D4986</f>
        <v>NIL</v>
      </c>
      <c r="E4986">
        <f>TEST_DATA!E4986</f>
        <v>2208</v>
      </c>
    </row>
    <row r="4987" spans="1:5" x14ac:dyDescent="0.55000000000000004">
      <c r="A4987" t="str">
        <f>TEST_DATA!A4987</f>
        <v>27AAAAA4987Z5</v>
      </c>
      <c r="B4987" t="str">
        <f>TEST_DATA!B4987</f>
        <v>Apr-2018</v>
      </c>
      <c r="C4987">
        <f>TEST_DATA!C4987</f>
        <v>43379</v>
      </c>
      <c r="D4987" t="str">
        <f>TEST_DATA!D4987</f>
        <v>NIL</v>
      </c>
      <c r="E4987">
        <f>TEST_DATA!E4987</f>
        <v>1626</v>
      </c>
    </row>
    <row r="4988" spans="1:5" x14ac:dyDescent="0.55000000000000004">
      <c r="A4988" t="str">
        <f>TEST_DATA!A4988</f>
        <v>27AAAAA4988Z5</v>
      </c>
      <c r="B4988" t="str">
        <f>TEST_DATA!B4988</f>
        <v>Jun-2019</v>
      </c>
      <c r="C4988">
        <f>TEST_DATA!C4988</f>
        <v>45421</v>
      </c>
      <c r="D4988" t="str">
        <f>TEST_DATA!D4988</f>
        <v>NON-NIL</v>
      </c>
      <c r="E4988">
        <f>TEST_DATA!E4988</f>
        <v>108</v>
      </c>
    </row>
    <row r="4989" spans="1:5" x14ac:dyDescent="0.55000000000000004">
      <c r="A4989" t="str">
        <f>TEST_DATA!A4989</f>
        <v>27AAAAA4989Z5</v>
      </c>
      <c r="B4989" t="str">
        <f>TEST_DATA!B4989</f>
        <v>Mar-2020</v>
      </c>
      <c r="C4989">
        <f>TEST_DATA!C4989</f>
        <v>44116</v>
      </c>
      <c r="D4989" t="str">
        <f>TEST_DATA!D4989</f>
        <v>NON-NIL</v>
      </c>
      <c r="E4989">
        <f>TEST_DATA!E4989</f>
        <v>797</v>
      </c>
    </row>
    <row r="4990" spans="1:5" x14ac:dyDescent="0.55000000000000004">
      <c r="A4990" t="str">
        <f>TEST_DATA!A4990</f>
        <v>27AAAAA4990Z5</v>
      </c>
      <c r="B4990" t="str">
        <f>TEST_DATA!B4990</f>
        <v>Dec-2017</v>
      </c>
      <c r="C4990">
        <f>TEST_DATA!C4990</f>
        <v>44397</v>
      </c>
      <c r="D4990" t="str">
        <f>TEST_DATA!D4990</f>
        <v>NIL</v>
      </c>
      <c r="E4990">
        <f>TEST_DATA!E4990</f>
        <v>883</v>
      </c>
    </row>
    <row r="4991" spans="1:5" x14ac:dyDescent="0.55000000000000004">
      <c r="A4991" t="str">
        <f>TEST_DATA!A4991</f>
        <v>27AAAAA4991Z5</v>
      </c>
      <c r="B4991" t="str">
        <f>TEST_DATA!B4991</f>
        <v>Apr-2020</v>
      </c>
      <c r="C4991">
        <f>TEST_DATA!C4991</f>
        <v>44866</v>
      </c>
      <c r="D4991" t="str">
        <f>TEST_DATA!D4991</f>
        <v>NIL</v>
      </c>
      <c r="E4991">
        <f>TEST_DATA!E4991</f>
        <v>301</v>
      </c>
    </row>
    <row r="4992" spans="1:5" x14ac:dyDescent="0.55000000000000004">
      <c r="A4992" t="str">
        <f>TEST_DATA!A4992</f>
        <v>27AAAAA4992Z5</v>
      </c>
      <c r="B4992" t="str">
        <f>TEST_DATA!B4992</f>
        <v>Feb-2018</v>
      </c>
      <c r="C4992">
        <f>TEST_DATA!C4992</f>
        <v>43841</v>
      </c>
      <c r="D4992" t="str">
        <f>TEST_DATA!D4992</f>
        <v>NON-NIL</v>
      </c>
      <c r="E4992">
        <f>TEST_DATA!E4992</f>
        <v>1372</v>
      </c>
    </row>
    <row r="4993" spans="1:5" x14ac:dyDescent="0.55000000000000004">
      <c r="A4993" t="str">
        <f>TEST_DATA!A4993</f>
        <v>27AAAAA4993Z5</v>
      </c>
      <c r="B4993" t="str">
        <f>TEST_DATA!B4993</f>
        <v>May-2018</v>
      </c>
      <c r="C4993">
        <f>TEST_DATA!C4993</f>
        <v>43773</v>
      </c>
      <c r="D4993" t="str">
        <f>TEST_DATA!D4993</f>
        <v>NIL</v>
      </c>
      <c r="E4993">
        <f>TEST_DATA!E4993</f>
        <v>377</v>
      </c>
    </row>
    <row r="4994" spans="1:5" x14ac:dyDescent="0.55000000000000004">
      <c r="A4994" t="str">
        <f>TEST_DATA!A4994</f>
        <v>27AAAAA4994Z5</v>
      </c>
      <c r="B4994" t="str">
        <f>TEST_DATA!B4994</f>
        <v>Mar-2018</v>
      </c>
      <c r="C4994">
        <f>TEST_DATA!C4994</f>
        <v>42991</v>
      </c>
      <c r="D4994" t="str">
        <f>TEST_DATA!D4994</f>
        <v>NON-NIL</v>
      </c>
      <c r="E4994">
        <f>TEST_DATA!E4994</f>
        <v>532</v>
      </c>
    </row>
    <row r="4995" spans="1:5" x14ac:dyDescent="0.55000000000000004">
      <c r="A4995" t="str">
        <f>TEST_DATA!A4995</f>
        <v>27AAAAA4995Z5</v>
      </c>
      <c r="B4995" t="str">
        <f>TEST_DATA!B4995</f>
        <v>Jun-2019</v>
      </c>
      <c r="C4995">
        <f>TEST_DATA!C4995</f>
        <v>45661</v>
      </c>
      <c r="D4995" t="str">
        <f>TEST_DATA!D4995</f>
        <v>NON-NIL</v>
      </c>
      <c r="E4995">
        <f>TEST_DATA!E4995</f>
        <v>175</v>
      </c>
    </row>
    <row r="4996" spans="1:5" x14ac:dyDescent="0.55000000000000004">
      <c r="A4996" t="str">
        <f>TEST_DATA!A4996</f>
        <v>27AAAAA4996Z5</v>
      </c>
      <c r="B4996" t="str">
        <f>TEST_DATA!B4996</f>
        <v>Dec-2022</v>
      </c>
      <c r="C4996">
        <f>TEST_DATA!C4996</f>
        <v>44968</v>
      </c>
      <c r="D4996" t="str">
        <f>TEST_DATA!D4996</f>
        <v>NIL</v>
      </c>
      <c r="E4996">
        <f>TEST_DATA!E4996</f>
        <v>1382</v>
      </c>
    </row>
    <row r="4997" spans="1:5" x14ac:dyDescent="0.55000000000000004">
      <c r="A4997" t="str">
        <f>TEST_DATA!A4997</f>
        <v>27AAAAA4997Z5</v>
      </c>
      <c r="B4997" t="str">
        <f>TEST_DATA!B4997</f>
        <v>Feb-2018</v>
      </c>
      <c r="C4997">
        <f>TEST_DATA!C4997</f>
        <v>43925</v>
      </c>
      <c r="D4997" t="str">
        <f>TEST_DATA!D4997</f>
        <v>NON-NIL</v>
      </c>
      <c r="E4997">
        <f>TEST_DATA!E4997</f>
        <v>1755</v>
      </c>
    </row>
    <row r="4998" spans="1:5" x14ac:dyDescent="0.55000000000000004">
      <c r="A4998" t="str">
        <f>TEST_DATA!A4998</f>
        <v>27AAAAA4998Z5</v>
      </c>
      <c r="B4998" t="str">
        <f>TEST_DATA!B4998</f>
        <v>Aug-2018</v>
      </c>
      <c r="C4998">
        <f>TEST_DATA!C4998</f>
        <v>44536</v>
      </c>
      <c r="D4998" t="str">
        <f>TEST_DATA!D4998</f>
        <v>NIL</v>
      </c>
      <c r="E4998">
        <f>TEST_DATA!E4998</f>
        <v>2127</v>
      </c>
    </row>
    <row r="4999" spans="1:5" x14ac:dyDescent="0.55000000000000004">
      <c r="A4999" t="str">
        <f>TEST_DATA!A4999</f>
        <v>27AAAAA4999Z5</v>
      </c>
      <c r="B4999" t="str">
        <f>TEST_DATA!B4999</f>
        <v>Jul-2020</v>
      </c>
      <c r="C4999">
        <f>TEST_DATA!C4999</f>
        <v>44027</v>
      </c>
      <c r="D4999" t="str">
        <f>TEST_DATA!D4999</f>
        <v>NIL</v>
      </c>
      <c r="E4999">
        <f>TEST_DATA!E4999</f>
        <v>527</v>
      </c>
    </row>
    <row r="5000" spans="1:5" x14ac:dyDescent="0.55000000000000004">
      <c r="A5000" t="str">
        <f>TEST_DATA!A5000</f>
        <v>27AAAAA5000Z5</v>
      </c>
      <c r="B5000" t="str">
        <f>TEST_DATA!B5000</f>
        <v>Aug-2018</v>
      </c>
      <c r="C5000">
        <f>TEST_DATA!C5000</f>
        <v>44515</v>
      </c>
      <c r="D5000" t="str">
        <f>TEST_DATA!D5000</f>
        <v>NIL</v>
      </c>
      <c r="E5000">
        <f>TEST_DATA!E5000</f>
        <v>172</v>
      </c>
    </row>
    <row r="5001" spans="1:5" x14ac:dyDescent="0.55000000000000004">
      <c r="A5001" t="str">
        <f>TEST_DATA!A5001</f>
        <v>27AAAAA5001Z5</v>
      </c>
      <c r="B5001" t="str">
        <f>TEST_DATA!B5001</f>
        <v>Jan-2018</v>
      </c>
      <c r="C5001">
        <f>TEST_DATA!C5001</f>
        <v>43030</v>
      </c>
      <c r="D5001" t="str">
        <f>TEST_DATA!D5001</f>
        <v>NIL</v>
      </c>
      <c r="E5001">
        <f>TEST_DATA!E5001</f>
        <v>1479</v>
      </c>
    </row>
    <row r="5002" spans="1:5" x14ac:dyDescent="0.55000000000000004">
      <c r="A5002" t="str">
        <f>TEST_DATA!A5002</f>
        <v>27AAAAA5002Z5</v>
      </c>
      <c r="B5002" t="str">
        <f>TEST_DATA!B5002</f>
        <v>Jul-2018</v>
      </c>
      <c r="C5002">
        <f>TEST_DATA!C5002</f>
        <v>43731</v>
      </c>
      <c r="D5002" t="str">
        <f>TEST_DATA!D5002</f>
        <v>NIL</v>
      </c>
      <c r="E5002">
        <f>TEST_DATA!E5002</f>
        <v>111</v>
      </c>
    </row>
    <row r="5003" spans="1:5" x14ac:dyDescent="0.55000000000000004">
      <c r="A5003" t="str">
        <f>TEST_DATA!A5003</f>
        <v>27AAAAA5003Z5</v>
      </c>
      <c r="B5003" t="str">
        <f>TEST_DATA!B5003</f>
        <v>Jul-2018</v>
      </c>
      <c r="C5003">
        <f>TEST_DATA!C5003</f>
        <v>43232</v>
      </c>
      <c r="D5003" t="str">
        <f>TEST_DATA!D5003</f>
        <v>NON-NIL</v>
      </c>
      <c r="E5003">
        <f>TEST_DATA!E5003</f>
        <v>297</v>
      </c>
    </row>
    <row r="5004" spans="1:5" x14ac:dyDescent="0.55000000000000004">
      <c r="A5004" t="str">
        <f>TEST_DATA!A5004</f>
        <v>27AAAAA5004Z5</v>
      </c>
      <c r="B5004" t="str">
        <f>TEST_DATA!B5004</f>
        <v>May-2018</v>
      </c>
      <c r="C5004">
        <f>TEST_DATA!C5004</f>
        <v>44443</v>
      </c>
      <c r="D5004" t="str">
        <f>TEST_DATA!D5004</f>
        <v>NIL</v>
      </c>
      <c r="E5004">
        <f>TEST_DATA!E5004</f>
        <v>409</v>
      </c>
    </row>
    <row r="5005" spans="1:5" x14ac:dyDescent="0.55000000000000004">
      <c r="A5005" t="str">
        <f>TEST_DATA!A5005</f>
        <v>27AAAAA5005Z5</v>
      </c>
      <c r="B5005" t="str">
        <f>TEST_DATA!B5005</f>
        <v>Dec-2017</v>
      </c>
      <c r="C5005">
        <f>TEST_DATA!C5005</f>
        <v>44489</v>
      </c>
      <c r="D5005" t="str">
        <f>TEST_DATA!D5005</f>
        <v>NIL</v>
      </c>
      <c r="E5005">
        <f>TEST_DATA!E5005</f>
        <v>1040</v>
      </c>
    </row>
    <row r="5006" spans="1:5" x14ac:dyDescent="0.55000000000000004">
      <c r="A5006" t="str">
        <f>TEST_DATA!A5006</f>
        <v>27AAAAA5006Z5</v>
      </c>
      <c r="B5006" t="str">
        <f>TEST_DATA!B5006</f>
        <v>Dec-2024</v>
      </c>
      <c r="C5006">
        <f>TEST_DATA!C5006</f>
        <v>44860</v>
      </c>
      <c r="D5006" t="str">
        <f>TEST_DATA!D5006</f>
        <v>NON-NIL</v>
      </c>
      <c r="E5006">
        <f>TEST_DATA!E5006</f>
        <v>213</v>
      </c>
    </row>
    <row r="5007" spans="1:5" x14ac:dyDescent="0.55000000000000004">
      <c r="A5007" t="str">
        <f>TEST_DATA!A5007</f>
        <v>27AAAAA5007Z5</v>
      </c>
      <c r="B5007" t="str">
        <f>TEST_DATA!B5007</f>
        <v>Dec-2022</v>
      </c>
      <c r="C5007">
        <f>TEST_DATA!C5007</f>
        <v>45226</v>
      </c>
      <c r="D5007" t="str">
        <f>TEST_DATA!D5007</f>
        <v>NIL</v>
      </c>
      <c r="E5007">
        <f>TEST_DATA!E5007</f>
        <v>1786</v>
      </c>
    </row>
    <row r="5008" spans="1:5" x14ac:dyDescent="0.55000000000000004">
      <c r="A5008" t="str">
        <f>TEST_DATA!A5008</f>
        <v>27AAAAA5008Z5</v>
      </c>
      <c r="B5008" t="str">
        <f>TEST_DATA!B5008</f>
        <v>Mar-2020</v>
      </c>
      <c r="C5008">
        <f>TEST_DATA!C5008</f>
        <v>44053</v>
      </c>
      <c r="D5008" t="str">
        <f>TEST_DATA!D5008</f>
        <v>NON-NIL</v>
      </c>
      <c r="E5008">
        <f>TEST_DATA!E5008</f>
        <v>2565</v>
      </c>
    </row>
    <row r="5009" spans="1:5" x14ac:dyDescent="0.55000000000000004">
      <c r="A5009" t="str">
        <f>TEST_DATA!A5009</f>
        <v>27AAAAA5009Z5</v>
      </c>
      <c r="B5009" t="str">
        <f>TEST_DATA!B5009</f>
        <v>Mar-2023</v>
      </c>
      <c r="C5009">
        <f>TEST_DATA!C5009</f>
        <v>45453</v>
      </c>
      <c r="D5009" t="str">
        <f>TEST_DATA!D5009</f>
        <v>NON-NIL</v>
      </c>
      <c r="E5009">
        <f>TEST_DATA!E5009</f>
        <v>2299</v>
      </c>
    </row>
    <row r="5010" spans="1:5" x14ac:dyDescent="0.55000000000000004">
      <c r="A5010" t="str">
        <f>TEST_DATA!A5010</f>
        <v>27AAAAA5010Z5</v>
      </c>
      <c r="B5010" t="str">
        <f>TEST_DATA!B5010</f>
        <v>May-2020</v>
      </c>
      <c r="C5010">
        <f>TEST_DATA!C5010</f>
        <v>44123</v>
      </c>
      <c r="D5010" t="str">
        <f>TEST_DATA!D5010</f>
        <v>NIL</v>
      </c>
      <c r="E5010">
        <f>TEST_DATA!E5010</f>
        <v>2148</v>
      </c>
    </row>
    <row r="5011" spans="1:5" x14ac:dyDescent="0.55000000000000004">
      <c r="A5011" t="str">
        <f>TEST_DATA!A5011</f>
        <v>27AAAAA5011Z5</v>
      </c>
      <c r="B5011" t="str">
        <f>TEST_DATA!B5011</f>
        <v>Dec-2022</v>
      </c>
      <c r="C5011">
        <f>TEST_DATA!C5011</f>
        <v>44546</v>
      </c>
      <c r="D5011" t="str">
        <f>TEST_DATA!D5011</f>
        <v>NON-NIL</v>
      </c>
      <c r="E5011">
        <f>TEST_DATA!E5011</f>
        <v>165</v>
      </c>
    </row>
    <row r="5012" spans="1:5" x14ac:dyDescent="0.55000000000000004">
      <c r="A5012" t="str">
        <f>TEST_DATA!A5012</f>
        <v>27AAAAA5012Z5</v>
      </c>
      <c r="B5012" t="str">
        <f>TEST_DATA!B5012</f>
        <v>Oct-2017</v>
      </c>
      <c r="C5012">
        <f>TEST_DATA!C5012</f>
        <v>43412</v>
      </c>
      <c r="D5012" t="str">
        <f>TEST_DATA!D5012</f>
        <v>NON-NIL</v>
      </c>
      <c r="E5012">
        <f>TEST_DATA!E5012</f>
        <v>2271</v>
      </c>
    </row>
    <row r="5013" spans="1:5" x14ac:dyDescent="0.55000000000000004">
      <c r="A5013" t="str">
        <f>TEST_DATA!A5013</f>
        <v>27AAAAA5013Z5</v>
      </c>
      <c r="B5013" t="str">
        <f>TEST_DATA!B5013</f>
        <v>Jul-2017</v>
      </c>
      <c r="C5013">
        <f>TEST_DATA!C5013</f>
        <v>44542</v>
      </c>
      <c r="D5013" t="str">
        <f>TEST_DATA!D5013</f>
        <v>NON-NIL</v>
      </c>
      <c r="E5013">
        <f>TEST_DATA!E5013</f>
        <v>794</v>
      </c>
    </row>
    <row r="5014" spans="1:5" x14ac:dyDescent="0.55000000000000004">
      <c r="A5014" t="str">
        <f>TEST_DATA!A5014</f>
        <v>27AAAAA5014Z5</v>
      </c>
      <c r="B5014" t="str">
        <f>TEST_DATA!B5014</f>
        <v>May-2018</v>
      </c>
      <c r="C5014">
        <f>TEST_DATA!C5014</f>
        <v>43528</v>
      </c>
      <c r="D5014" t="str">
        <f>TEST_DATA!D5014</f>
        <v>NIL</v>
      </c>
      <c r="E5014">
        <f>TEST_DATA!E5014</f>
        <v>1953</v>
      </c>
    </row>
    <row r="5015" spans="1:5" x14ac:dyDescent="0.55000000000000004">
      <c r="A5015" t="str">
        <f>TEST_DATA!A5015</f>
        <v>27AAAAA5015Z5</v>
      </c>
      <c r="B5015" t="str">
        <f>TEST_DATA!B5015</f>
        <v>Mar-2023</v>
      </c>
      <c r="C5015">
        <f>TEST_DATA!C5015</f>
        <v>45719</v>
      </c>
      <c r="D5015" t="str">
        <f>TEST_DATA!D5015</f>
        <v>NIL</v>
      </c>
      <c r="E5015">
        <f>TEST_DATA!E5015</f>
        <v>1668</v>
      </c>
    </row>
    <row r="5016" spans="1:5" x14ac:dyDescent="0.55000000000000004">
      <c r="A5016" t="str">
        <f>TEST_DATA!A5016</f>
        <v>27AAAAA5016Z5</v>
      </c>
      <c r="B5016" t="str">
        <f>TEST_DATA!B5016</f>
        <v>Aug-2017</v>
      </c>
      <c r="C5016">
        <f>TEST_DATA!C5016</f>
        <v>43351</v>
      </c>
      <c r="D5016" t="str">
        <f>TEST_DATA!D5016</f>
        <v>NIL</v>
      </c>
      <c r="E5016">
        <f>TEST_DATA!E5016</f>
        <v>2642</v>
      </c>
    </row>
    <row r="5017" spans="1:5" x14ac:dyDescent="0.55000000000000004">
      <c r="A5017" t="str">
        <f>TEST_DATA!A5017</f>
        <v>27AAAAA5017Z5</v>
      </c>
      <c r="B5017" t="str">
        <f>TEST_DATA!B5017</f>
        <v>Jun-2018</v>
      </c>
      <c r="C5017">
        <f>TEST_DATA!C5017</f>
        <v>44175</v>
      </c>
      <c r="D5017" t="str">
        <f>TEST_DATA!D5017</f>
        <v>NIL</v>
      </c>
      <c r="E5017">
        <f>TEST_DATA!E5017</f>
        <v>218</v>
      </c>
    </row>
    <row r="5018" spans="1:5" x14ac:dyDescent="0.55000000000000004">
      <c r="A5018" t="str">
        <f>TEST_DATA!A5018</f>
        <v>27AAAAA5018Z5</v>
      </c>
      <c r="B5018" t="str">
        <f>TEST_DATA!B5018</f>
        <v>Oct-2017</v>
      </c>
      <c r="C5018">
        <f>TEST_DATA!C5018</f>
        <v>44283</v>
      </c>
      <c r="D5018" t="str">
        <f>TEST_DATA!D5018</f>
        <v>NON-NIL</v>
      </c>
      <c r="E5018">
        <f>TEST_DATA!E5018</f>
        <v>1849</v>
      </c>
    </row>
    <row r="5019" spans="1:5" x14ac:dyDescent="0.55000000000000004">
      <c r="A5019" t="str">
        <f>TEST_DATA!A5019</f>
        <v>27AAAAA5019Z5</v>
      </c>
      <c r="B5019" t="str">
        <f>TEST_DATA!B5019</f>
        <v>Jul-2020</v>
      </c>
      <c r="C5019">
        <f>TEST_DATA!C5019</f>
        <v>43867</v>
      </c>
      <c r="D5019" t="str">
        <f>TEST_DATA!D5019</f>
        <v>NIL</v>
      </c>
      <c r="E5019">
        <f>TEST_DATA!E5019</f>
        <v>2078</v>
      </c>
    </row>
    <row r="5020" spans="1:5" x14ac:dyDescent="0.55000000000000004">
      <c r="A5020" t="str">
        <f>TEST_DATA!A5020</f>
        <v>27AAAAA5020Z5</v>
      </c>
      <c r="B5020" t="str">
        <f>TEST_DATA!B5020</f>
        <v>Jun-2018</v>
      </c>
      <c r="C5020">
        <f>TEST_DATA!C5020</f>
        <v>44073</v>
      </c>
      <c r="D5020" t="str">
        <f>TEST_DATA!D5020</f>
        <v>NIL</v>
      </c>
      <c r="E5020">
        <f>TEST_DATA!E5020</f>
        <v>1185</v>
      </c>
    </row>
    <row r="5021" spans="1:5" x14ac:dyDescent="0.55000000000000004">
      <c r="A5021" t="str">
        <f>TEST_DATA!A5021</f>
        <v>27AAAAA5021Z5</v>
      </c>
      <c r="B5021" t="str">
        <f>TEST_DATA!B5021</f>
        <v>Apr-2018</v>
      </c>
      <c r="C5021">
        <f>TEST_DATA!C5021</f>
        <v>44092</v>
      </c>
      <c r="D5021" t="str">
        <f>TEST_DATA!D5021</f>
        <v>NIL</v>
      </c>
      <c r="E5021">
        <f>TEST_DATA!E5021</f>
        <v>64</v>
      </c>
    </row>
    <row r="5022" spans="1:5" x14ac:dyDescent="0.55000000000000004">
      <c r="A5022" t="str">
        <f>TEST_DATA!A5022</f>
        <v>27AAAAA5022Z5</v>
      </c>
      <c r="B5022" t="str">
        <f>TEST_DATA!B5022</f>
        <v>Jul-2020</v>
      </c>
      <c r="C5022">
        <f>TEST_DATA!C5022</f>
        <v>44758</v>
      </c>
      <c r="D5022" t="str">
        <f>TEST_DATA!D5022</f>
        <v>NON-NIL</v>
      </c>
      <c r="E5022">
        <f>TEST_DATA!E5022</f>
        <v>2387</v>
      </c>
    </row>
    <row r="5023" spans="1:5" x14ac:dyDescent="0.55000000000000004">
      <c r="A5023" t="str">
        <f>TEST_DATA!A5023</f>
        <v>27AAAAA5023Z5</v>
      </c>
      <c r="B5023" t="str">
        <f>TEST_DATA!B5023</f>
        <v>Apr-2021</v>
      </c>
      <c r="C5023">
        <f>TEST_DATA!C5023</f>
        <v>44144</v>
      </c>
      <c r="D5023" t="str">
        <f>TEST_DATA!D5023</f>
        <v>NON-NIL</v>
      </c>
      <c r="E5023">
        <f>TEST_DATA!E5023</f>
        <v>2448</v>
      </c>
    </row>
    <row r="5024" spans="1:5" x14ac:dyDescent="0.55000000000000004">
      <c r="A5024" t="str">
        <f>TEST_DATA!A5024</f>
        <v>27AAAAA5024Z5</v>
      </c>
      <c r="B5024" t="str">
        <f>TEST_DATA!B5024</f>
        <v>Jul-2020</v>
      </c>
      <c r="C5024">
        <f>TEST_DATA!C5024</f>
        <v>44692</v>
      </c>
      <c r="D5024" t="str">
        <f>TEST_DATA!D5024</f>
        <v>NON-NIL</v>
      </c>
      <c r="E5024">
        <f>TEST_DATA!E5024</f>
        <v>2690</v>
      </c>
    </row>
    <row r="5025" spans="1:5" x14ac:dyDescent="0.55000000000000004">
      <c r="A5025" t="str">
        <f>TEST_DATA!A5025</f>
        <v>27AAAAA5025Z5</v>
      </c>
      <c r="B5025" t="str">
        <f>TEST_DATA!B5025</f>
        <v>Apr-2018</v>
      </c>
      <c r="C5025">
        <f>TEST_DATA!C5025</f>
        <v>44048</v>
      </c>
      <c r="D5025" t="str">
        <f>TEST_DATA!D5025</f>
        <v>NON-NIL</v>
      </c>
      <c r="E5025">
        <f>TEST_DATA!E5025</f>
        <v>367</v>
      </c>
    </row>
    <row r="5026" spans="1:5" x14ac:dyDescent="0.55000000000000004">
      <c r="A5026" t="str">
        <f>TEST_DATA!A5026</f>
        <v>27AAAAA5026Z5</v>
      </c>
      <c r="B5026" t="str">
        <f>TEST_DATA!B5026</f>
        <v>Dec-2024</v>
      </c>
      <c r="C5026">
        <f>TEST_DATA!C5026</f>
        <v>45604</v>
      </c>
      <c r="D5026" t="str">
        <f>TEST_DATA!D5026</f>
        <v>NON-NIL</v>
      </c>
      <c r="E5026">
        <f>TEST_DATA!E5026</f>
        <v>594</v>
      </c>
    </row>
    <row r="5027" spans="1:5" x14ac:dyDescent="0.55000000000000004">
      <c r="A5027" t="str">
        <f>TEST_DATA!A5027</f>
        <v>27AAAAA5027Z5</v>
      </c>
      <c r="B5027" t="str">
        <f>TEST_DATA!B5027</f>
        <v>Dec-2019</v>
      </c>
      <c r="C5027">
        <f>TEST_DATA!C5027</f>
        <v>44965</v>
      </c>
      <c r="D5027" t="str">
        <f>TEST_DATA!D5027</f>
        <v>NON-NIL</v>
      </c>
      <c r="E5027">
        <f>TEST_DATA!E5027</f>
        <v>2608</v>
      </c>
    </row>
    <row r="5028" spans="1:5" x14ac:dyDescent="0.55000000000000004">
      <c r="A5028" t="str">
        <f>TEST_DATA!A5028</f>
        <v>27AAAAA5028Z5</v>
      </c>
      <c r="B5028" t="str">
        <f>TEST_DATA!B5028</f>
        <v>Mar-2020</v>
      </c>
      <c r="C5028">
        <f>TEST_DATA!C5028</f>
        <v>44339</v>
      </c>
      <c r="D5028" t="str">
        <f>TEST_DATA!D5028</f>
        <v>NIL</v>
      </c>
      <c r="E5028">
        <f>TEST_DATA!E5028</f>
        <v>1353</v>
      </c>
    </row>
    <row r="5029" spans="1:5" x14ac:dyDescent="0.55000000000000004">
      <c r="A5029" t="str">
        <f>TEST_DATA!A5029</f>
        <v>27AAAAA5029Z5</v>
      </c>
      <c r="B5029" t="str">
        <f>TEST_DATA!B5029</f>
        <v>Mar-2020</v>
      </c>
      <c r="C5029">
        <f>TEST_DATA!C5029</f>
        <v>44041</v>
      </c>
      <c r="D5029" t="str">
        <f>TEST_DATA!D5029</f>
        <v>NON-NIL</v>
      </c>
      <c r="E5029">
        <f>TEST_DATA!E5029</f>
        <v>87</v>
      </c>
    </row>
    <row r="5030" spans="1:5" x14ac:dyDescent="0.55000000000000004">
      <c r="A5030" t="str">
        <f>TEST_DATA!A5030</f>
        <v>27AAAAA5030Z5</v>
      </c>
      <c r="B5030" t="str">
        <f>TEST_DATA!B5030</f>
        <v>Mar-2021</v>
      </c>
      <c r="C5030">
        <f>TEST_DATA!C5030</f>
        <v>45515</v>
      </c>
      <c r="D5030" t="str">
        <f>TEST_DATA!D5030</f>
        <v>NON-NIL</v>
      </c>
      <c r="E5030">
        <f>TEST_DATA!E5030</f>
        <v>2332</v>
      </c>
    </row>
    <row r="5031" spans="1:5" x14ac:dyDescent="0.55000000000000004">
      <c r="A5031" t="str">
        <f>TEST_DATA!A5031</f>
        <v>27AAAAA5031Z5</v>
      </c>
      <c r="B5031" t="str">
        <f>TEST_DATA!B5031</f>
        <v>Apr-2020</v>
      </c>
      <c r="C5031">
        <f>TEST_DATA!C5031</f>
        <v>44229</v>
      </c>
      <c r="D5031" t="str">
        <f>TEST_DATA!D5031</f>
        <v>NIL</v>
      </c>
      <c r="E5031">
        <f>TEST_DATA!E5031</f>
        <v>779</v>
      </c>
    </row>
    <row r="5032" spans="1:5" x14ac:dyDescent="0.55000000000000004">
      <c r="A5032" t="str">
        <f>TEST_DATA!A5032</f>
        <v>27AAAAA5032Z5</v>
      </c>
      <c r="B5032" t="str">
        <f>TEST_DATA!B5032</f>
        <v>Oct-2017</v>
      </c>
      <c r="C5032">
        <f>TEST_DATA!C5032</f>
        <v>43295</v>
      </c>
      <c r="D5032" t="str">
        <f>TEST_DATA!D5032</f>
        <v>NIL</v>
      </c>
      <c r="E5032">
        <f>TEST_DATA!E5032</f>
        <v>1205</v>
      </c>
    </row>
    <row r="5033" spans="1:5" x14ac:dyDescent="0.55000000000000004">
      <c r="A5033" t="str">
        <f>TEST_DATA!A5033</f>
        <v>27AAAAA5033Z5</v>
      </c>
      <c r="B5033" t="str">
        <f>TEST_DATA!B5033</f>
        <v>Mar-2021</v>
      </c>
      <c r="C5033">
        <f>TEST_DATA!C5033</f>
        <v>44044</v>
      </c>
      <c r="D5033" t="str">
        <f>TEST_DATA!D5033</f>
        <v>NON-NIL</v>
      </c>
      <c r="E5033">
        <f>TEST_DATA!E5033</f>
        <v>1655</v>
      </c>
    </row>
    <row r="5034" spans="1:5" x14ac:dyDescent="0.55000000000000004">
      <c r="A5034" t="str">
        <f>TEST_DATA!A5034</f>
        <v>27AAAAA5034Z5</v>
      </c>
      <c r="B5034" t="str">
        <f>TEST_DATA!B5034</f>
        <v>Mar-2020</v>
      </c>
      <c r="C5034">
        <f>TEST_DATA!C5034</f>
        <v>43943</v>
      </c>
      <c r="D5034" t="str">
        <f>TEST_DATA!D5034</f>
        <v>NON-NIL</v>
      </c>
      <c r="E5034">
        <f>TEST_DATA!E5034</f>
        <v>2548</v>
      </c>
    </row>
    <row r="5035" spans="1:5" x14ac:dyDescent="0.55000000000000004">
      <c r="A5035" t="str">
        <f>TEST_DATA!A5035</f>
        <v>27AAAAA5035Z5</v>
      </c>
      <c r="B5035" t="str">
        <f>TEST_DATA!B5035</f>
        <v>Jul-2020</v>
      </c>
      <c r="C5035">
        <f>TEST_DATA!C5035</f>
        <v>43878</v>
      </c>
      <c r="D5035" t="str">
        <f>TEST_DATA!D5035</f>
        <v>NON-NIL</v>
      </c>
      <c r="E5035">
        <f>TEST_DATA!E5035</f>
        <v>634</v>
      </c>
    </row>
    <row r="5036" spans="1:5" x14ac:dyDescent="0.55000000000000004">
      <c r="A5036" t="str">
        <f>TEST_DATA!A5036</f>
        <v>27AAAAA5036Z5</v>
      </c>
      <c r="B5036" t="str">
        <f>TEST_DATA!B5036</f>
        <v>Jul-2018</v>
      </c>
      <c r="C5036">
        <f>TEST_DATA!C5036</f>
        <v>44228</v>
      </c>
      <c r="D5036" t="str">
        <f>TEST_DATA!D5036</f>
        <v>NIL</v>
      </c>
      <c r="E5036">
        <f>TEST_DATA!E5036</f>
        <v>1872</v>
      </c>
    </row>
    <row r="5037" spans="1:5" x14ac:dyDescent="0.55000000000000004">
      <c r="A5037" t="str">
        <f>TEST_DATA!A5037</f>
        <v>27AAAAA5037Z5</v>
      </c>
      <c r="B5037" t="str">
        <f>TEST_DATA!B5037</f>
        <v>Mar-2021</v>
      </c>
      <c r="C5037">
        <f>TEST_DATA!C5037</f>
        <v>45176</v>
      </c>
      <c r="D5037" t="str">
        <f>TEST_DATA!D5037</f>
        <v>NIL</v>
      </c>
      <c r="E5037">
        <f>TEST_DATA!E5037</f>
        <v>2629</v>
      </c>
    </row>
    <row r="5038" spans="1:5" x14ac:dyDescent="0.55000000000000004">
      <c r="A5038" t="str">
        <f>TEST_DATA!A5038</f>
        <v>27AAAAA5038Z5</v>
      </c>
      <c r="B5038" t="str">
        <f>TEST_DATA!B5038</f>
        <v>Sep-2018</v>
      </c>
      <c r="C5038">
        <f>TEST_DATA!C5038</f>
        <v>43273</v>
      </c>
      <c r="D5038" t="str">
        <f>TEST_DATA!D5038</f>
        <v>NIL</v>
      </c>
      <c r="E5038">
        <f>TEST_DATA!E5038</f>
        <v>1267</v>
      </c>
    </row>
    <row r="5039" spans="1:5" x14ac:dyDescent="0.55000000000000004">
      <c r="A5039" t="str">
        <f>TEST_DATA!A5039</f>
        <v>27AAAAA5039Z5</v>
      </c>
      <c r="B5039" t="str">
        <f>TEST_DATA!B5039</f>
        <v>Dec-2019</v>
      </c>
      <c r="C5039">
        <f>TEST_DATA!C5039</f>
        <v>44400</v>
      </c>
      <c r="D5039" t="str">
        <f>TEST_DATA!D5039</f>
        <v>NIL</v>
      </c>
      <c r="E5039">
        <f>TEST_DATA!E5039</f>
        <v>1334</v>
      </c>
    </row>
    <row r="5040" spans="1:5" x14ac:dyDescent="0.55000000000000004">
      <c r="A5040" t="str">
        <f>TEST_DATA!A5040</f>
        <v>27AAAAA5040Z5</v>
      </c>
      <c r="B5040" t="str">
        <f>TEST_DATA!B5040</f>
        <v>Jun-2020</v>
      </c>
      <c r="C5040">
        <f>TEST_DATA!C5040</f>
        <v>44571</v>
      </c>
      <c r="D5040" t="str">
        <f>TEST_DATA!D5040</f>
        <v>NIL</v>
      </c>
      <c r="E5040">
        <f>TEST_DATA!E5040</f>
        <v>2130</v>
      </c>
    </row>
    <row r="5041" spans="1:5" x14ac:dyDescent="0.55000000000000004">
      <c r="A5041" t="str">
        <f>TEST_DATA!A5041</f>
        <v>27AAAAA5041Z5</v>
      </c>
      <c r="B5041" t="str">
        <f>TEST_DATA!B5041</f>
        <v>Nov-2017</v>
      </c>
      <c r="C5041">
        <f>TEST_DATA!C5041</f>
        <v>44263</v>
      </c>
      <c r="D5041" t="str">
        <f>TEST_DATA!D5041</f>
        <v>NIL</v>
      </c>
      <c r="E5041">
        <f>TEST_DATA!E5041</f>
        <v>1166</v>
      </c>
    </row>
    <row r="5042" spans="1:5" x14ac:dyDescent="0.55000000000000004">
      <c r="A5042" t="str">
        <f>TEST_DATA!A5042</f>
        <v>27AAAAA5042Z5</v>
      </c>
      <c r="B5042" t="str">
        <f>TEST_DATA!B5042</f>
        <v>Dec-2022</v>
      </c>
      <c r="C5042">
        <f>TEST_DATA!C5042</f>
        <v>43478</v>
      </c>
      <c r="D5042" t="str">
        <f>TEST_DATA!D5042</f>
        <v>NON-NIL</v>
      </c>
      <c r="E5042">
        <f>TEST_DATA!E5042</f>
        <v>1669</v>
      </c>
    </row>
    <row r="5043" spans="1:5" x14ac:dyDescent="0.55000000000000004">
      <c r="A5043" t="str">
        <f>TEST_DATA!A5043</f>
        <v>27AAAAA5043Z5</v>
      </c>
      <c r="B5043" t="str">
        <f>TEST_DATA!B5043</f>
        <v>Dec-2024</v>
      </c>
      <c r="C5043">
        <f>TEST_DATA!C5043</f>
        <v>43948</v>
      </c>
      <c r="D5043" t="str">
        <f>TEST_DATA!D5043</f>
        <v>NIL</v>
      </c>
      <c r="E5043">
        <f>TEST_DATA!E5043</f>
        <v>2847</v>
      </c>
    </row>
    <row r="5044" spans="1:5" x14ac:dyDescent="0.55000000000000004">
      <c r="A5044" t="str">
        <f>TEST_DATA!A5044</f>
        <v>27AAAAA5044Z5</v>
      </c>
      <c r="B5044" t="str">
        <f>TEST_DATA!B5044</f>
        <v>Mar-2020</v>
      </c>
      <c r="C5044">
        <f>TEST_DATA!C5044</f>
        <v>44720</v>
      </c>
      <c r="D5044" t="str">
        <f>TEST_DATA!D5044</f>
        <v>NON-NIL</v>
      </c>
      <c r="E5044">
        <f>TEST_DATA!E5044</f>
        <v>122</v>
      </c>
    </row>
    <row r="5045" spans="1:5" x14ac:dyDescent="0.55000000000000004">
      <c r="A5045" t="str">
        <f>TEST_DATA!A5045</f>
        <v>27AAAAA5045Z5</v>
      </c>
      <c r="B5045" t="str">
        <f>TEST_DATA!B5045</f>
        <v>Dec-2019</v>
      </c>
      <c r="C5045">
        <f>TEST_DATA!C5045</f>
        <v>44069</v>
      </c>
      <c r="D5045" t="str">
        <f>TEST_DATA!D5045</f>
        <v>NON-NIL</v>
      </c>
      <c r="E5045">
        <f>TEST_DATA!E5045</f>
        <v>2418</v>
      </c>
    </row>
    <row r="5046" spans="1:5" x14ac:dyDescent="0.55000000000000004">
      <c r="A5046" t="str">
        <f>TEST_DATA!A5046</f>
        <v>27AAAAA5046Z5</v>
      </c>
      <c r="B5046" t="str">
        <f>TEST_DATA!B5046</f>
        <v>Mar-2021</v>
      </c>
      <c r="C5046">
        <f>TEST_DATA!C5046</f>
        <v>44935</v>
      </c>
      <c r="D5046" t="str">
        <f>TEST_DATA!D5046</f>
        <v>NIL</v>
      </c>
      <c r="E5046">
        <f>TEST_DATA!E5046</f>
        <v>1778</v>
      </c>
    </row>
    <row r="5047" spans="1:5" x14ac:dyDescent="0.55000000000000004">
      <c r="A5047" t="str">
        <f>TEST_DATA!A5047</f>
        <v>27AAAAA5047Z5</v>
      </c>
      <c r="B5047" t="str">
        <f>TEST_DATA!B5047</f>
        <v>Jun-2020</v>
      </c>
      <c r="C5047">
        <f>TEST_DATA!C5047</f>
        <v>44375</v>
      </c>
      <c r="D5047" t="str">
        <f>TEST_DATA!D5047</f>
        <v>NIL</v>
      </c>
      <c r="E5047">
        <f>TEST_DATA!E5047</f>
        <v>2255</v>
      </c>
    </row>
    <row r="5048" spans="1:5" x14ac:dyDescent="0.55000000000000004">
      <c r="A5048" t="str">
        <f>TEST_DATA!A5048</f>
        <v>27AAAAA5048Z5</v>
      </c>
      <c r="B5048" t="str">
        <f>TEST_DATA!B5048</f>
        <v>Jul-2018</v>
      </c>
      <c r="C5048">
        <f>TEST_DATA!C5048</f>
        <v>44090</v>
      </c>
      <c r="D5048" t="str">
        <f>TEST_DATA!D5048</f>
        <v>NON-NIL</v>
      </c>
      <c r="E5048">
        <f>TEST_DATA!E5048</f>
        <v>1411</v>
      </c>
    </row>
    <row r="5049" spans="1:5" x14ac:dyDescent="0.55000000000000004">
      <c r="A5049" t="str">
        <f>TEST_DATA!A5049</f>
        <v>27AAAAA5049Z5</v>
      </c>
      <c r="B5049" t="str">
        <f>TEST_DATA!B5049</f>
        <v>Aug-2018</v>
      </c>
      <c r="C5049">
        <f>TEST_DATA!C5049</f>
        <v>44207</v>
      </c>
      <c r="D5049" t="str">
        <f>TEST_DATA!D5049</f>
        <v>NIL</v>
      </c>
      <c r="E5049">
        <f>TEST_DATA!E5049</f>
        <v>887</v>
      </c>
    </row>
    <row r="5050" spans="1:5" x14ac:dyDescent="0.55000000000000004">
      <c r="A5050" t="str">
        <f>TEST_DATA!A5050</f>
        <v>27AAAAA5050Z5</v>
      </c>
      <c r="B5050" t="str">
        <f>TEST_DATA!B5050</f>
        <v>Jul-2017</v>
      </c>
      <c r="C5050">
        <f>TEST_DATA!C5050</f>
        <v>44067</v>
      </c>
      <c r="D5050" t="str">
        <f>TEST_DATA!D5050</f>
        <v>NON-NIL</v>
      </c>
      <c r="E5050">
        <f>TEST_DATA!E5050</f>
        <v>1744</v>
      </c>
    </row>
    <row r="5051" spans="1:5" x14ac:dyDescent="0.55000000000000004">
      <c r="A5051" t="str">
        <f>TEST_DATA!A5051</f>
        <v>27AAAAA5051Z5</v>
      </c>
      <c r="B5051" t="str">
        <f>TEST_DATA!B5051</f>
        <v>Oct-2017</v>
      </c>
      <c r="C5051">
        <f>TEST_DATA!C5051</f>
        <v>44293</v>
      </c>
      <c r="D5051" t="str">
        <f>TEST_DATA!D5051</f>
        <v>NIL</v>
      </c>
      <c r="E5051">
        <f>TEST_DATA!E5051</f>
        <v>779</v>
      </c>
    </row>
    <row r="5052" spans="1:5" x14ac:dyDescent="0.55000000000000004">
      <c r="A5052" t="str">
        <f>TEST_DATA!A5052</f>
        <v>27AAAAA5052Z5</v>
      </c>
      <c r="B5052" t="str">
        <f>TEST_DATA!B5052</f>
        <v>Apr-2021</v>
      </c>
      <c r="C5052">
        <f>TEST_DATA!C5052</f>
        <v>45630</v>
      </c>
      <c r="D5052" t="str">
        <f>TEST_DATA!D5052</f>
        <v>NON-NIL</v>
      </c>
      <c r="E5052">
        <f>TEST_DATA!E5052</f>
        <v>2340</v>
      </c>
    </row>
    <row r="5053" spans="1:5" x14ac:dyDescent="0.55000000000000004">
      <c r="A5053" t="str">
        <f>TEST_DATA!A5053</f>
        <v>27AAAAA5053Z5</v>
      </c>
      <c r="B5053" t="str">
        <f>TEST_DATA!B5053</f>
        <v>May-2018</v>
      </c>
      <c r="C5053">
        <f>TEST_DATA!C5053</f>
        <v>44453</v>
      </c>
      <c r="D5053" t="str">
        <f>TEST_DATA!D5053</f>
        <v>NIL</v>
      </c>
      <c r="E5053">
        <f>TEST_DATA!E5053</f>
        <v>1031</v>
      </c>
    </row>
    <row r="5054" spans="1:5" x14ac:dyDescent="0.55000000000000004">
      <c r="A5054" t="str">
        <f>TEST_DATA!A5054</f>
        <v>27AAAAA5054Z5</v>
      </c>
      <c r="B5054" t="str">
        <f>TEST_DATA!B5054</f>
        <v>Dec-2022</v>
      </c>
      <c r="C5054">
        <f>TEST_DATA!C5054</f>
        <v>44252</v>
      </c>
      <c r="D5054" t="str">
        <f>TEST_DATA!D5054</f>
        <v>NON-NIL</v>
      </c>
      <c r="E5054">
        <f>TEST_DATA!E5054</f>
        <v>1632</v>
      </c>
    </row>
    <row r="5055" spans="1:5" x14ac:dyDescent="0.55000000000000004">
      <c r="A5055" t="str">
        <f>TEST_DATA!A5055</f>
        <v>27AAAAA5055Z5</v>
      </c>
      <c r="B5055" t="str">
        <f>TEST_DATA!B5055</f>
        <v>Dec-2019</v>
      </c>
      <c r="C5055">
        <f>TEST_DATA!C5055</f>
        <v>44076</v>
      </c>
      <c r="D5055" t="str">
        <f>TEST_DATA!D5055</f>
        <v>NIL</v>
      </c>
      <c r="E5055">
        <f>TEST_DATA!E5055</f>
        <v>2406</v>
      </c>
    </row>
    <row r="5056" spans="1:5" x14ac:dyDescent="0.55000000000000004">
      <c r="A5056" t="str">
        <f>TEST_DATA!A5056</f>
        <v>27AAAAA5056Z5</v>
      </c>
      <c r="B5056" t="str">
        <f>TEST_DATA!B5056</f>
        <v>Apr-2021</v>
      </c>
      <c r="C5056">
        <f>TEST_DATA!C5056</f>
        <v>44738</v>
      </c>
      <c r="D5056" t="str">
        <f>TEST_DATA!D5056</f>
        <v>NON-NIL</v>
      </c>
      <c r="E5056">
        <f>TEST_DATA!E5056</f>
        <v>2564</v>
      </c>
    </row>
    <row r="5057" spans="1:5" x14ac:dyDescent="0.55000000000000004">
      <c r="A5057" t="str">
        <f>TEST_DATA!A5057</f>
        <v>27AAAAA5057Z5</v>
      </c>
      <c r="B5057" t="str">
        <f>TEST_DATA!B5057</f>
        <v>Dec-2024</v>
      </c>
      <c r="C5057">
        <f>TEST_DATA!C5057</f>
        <v>43632</v>
      </c>
      <c r="D5057" t="str">
        <f>TEST_DATA!D5057</f>
        <v>NIL</v>
      </c>
      <c r="E5057">
        <f>TEST_DATA!E5057</f>
        <v>672</v>
      </c>
    </row>
    <row r="5058" spans="1:5" x14ac:dyDescent="0.55000000000000004">
      <c r="A5058" t="str">
        <f>TEST_DATA!A5058</f>
        <v>27AAAAA5058Z5</v>
      </c>
      <c r="B5058" t="str">
        <f>TEST_DATA!B5058</f>
        <v>Jan-2019</v>
      </c>
      <c r="C5058">
        <f>TEST_DATA!C5058</f>
        <v>44382</v>
      </c>
      <c r="D5058" t="str">
        <f>TEST_DATA!D5058</f>
        <v>NIL</v>
      </c>
      <c r="E5058">
        <f>TEST_DATA!E5058</f>
        <v>26</v>
      </c>
    </row>
    <row r="5059" spans="1:5" x14ac:dyDescent="0.55000000000000004">
      <c r="A5059" t="str">
        <f>TEST_DATA!A5059</f>
        <v>27AAAAA5059Z5</v>
      </c>
      <c r="B5059" t="str">
        <f>TEST_DATA!B5059</f>
        <v>Jun-2020</v>
      </c>
      <c r="C5059">
        <f>TEST_DATA!C5059</f>
        <v>44883</v>
      </c>
      <c r="D5059" t="str">
        <f>TEST_DATA!D5059</f>
        <v>NON-NIL</v>
      </c>
      <c r="E5059">
        <f>TEST_DATA!E5059</f>
        <v>2459</v>
      </c>
    </row>
    <row r="5060" spans="1:5" x14ac:dyDescent="0.55000000000000004">
      <c r="A5060" t="str">
        <f>TEST_DATA!A5060</f>
        <v>27AAAAA5060Z5</v>
      </c>
      <c r="B5060" t="str">
        <f>TEST_DATA!B5060</f>
        <v>Jul-2018</v>
      </c>
      <c r="C5060">
        <f>TEST_DATA!C5060</f>
        <v>43714</v>
      </c>
      <c r="D5060" t="str">
        <f>TEST_DATA!D5060</f>
        <v>NIL</v>
      </c>
      <c r="E5060">
        <f>TEST_DATA!E5060</f>
        <v>225</v>
      </c>
    </row>
    <row r="5061" spans="1:5" x14ac:dyDescent="0.55000000000000004">
      <c r="A5061" t="str">
        <f>TEST_DATA!A5061</f>
        <v>27AAAAA5061Z5</v>
      </c>
      <c r="B5061" t="str">
        <f>TEST_DATA!B5061</f>
        <v>Oct-2017</v>
      </c>
      <c r="C5061">
        <f>TEST_DATA!C5061</f>
        <v>44480</v>
      </c>
      <c r="D5061" t="str">
        <f>TEST_DATA!D5061</f>
        <v>NON-NIL</v>
      </c>
      <c r="E5061">
        <f>TEST_DATA!E5061</f>
        <v>2063</v>
      </c>
    </row>
    <row r="5062" spans="1:5" x14ac:dyDescent="0.55000000000000004">
      <c r="A5062" t="str">
        <f>TEST_DATA!A5062</f>
        <v>27AAAAA5062Z5</v>
      </c>
      <c r="B5062" t="str">
        <f>TEST_DATA!B5062</f>
        <v>Jan-2018</v>
      </c>
      <c r="C5062">
        <f>TEST_DATA!C5062</f>
        <v>43070</v>
      </c>
      <c r="D5062" t="str">
        <f>TEST_DATA!D5062</f>
        <v>NIL</v>
      </c>
      <c r="E5062">
        <f>TEST_DATA!E5062</f>
        <v>2737</v>
      </c>
    </row>
    <row r="5063" spans="1:5" x14ac:dyDescent="0.55000000000000004">
      <c r="A5063" t="str">
        <f>TEST_DATA!A5063</f>
        <v>27AAAAA5063Z5</v>
      </c>
      <c r="B5063" t="str">
        <f>TEST_DATA!B5063</f>
        <v>Jan-2018</v>
      </c>
      <c r="C5063">
        <f>TEST_DATA!C5063</f>
        <v>44170</v>
      </c>
      <c r="D5063" t="str">
        <f>TEST_DATA!D5063</f>
        <v>NON-NIL</v>
      </c>
      <c r="E5063">
        <f>TEST_DATA!E5063</f>
        <v>104</v>
      </c>
    </row>
    <row r="5064" spans="1:5" x14ac:dyDescent="0.55000000000000004">
      <c r="A5064" t="str">
        <f>TEST_DATA!A5064</f>
        <v>27AAAAA5064Z5</v>
      </c>
      <c r="B5064" t="str">
        <f>TEST_DATA!B5064</f>
        <v>Aug-2017</v>
      </c>
      <c r="C5064">
        <f>TEST_DATA!C5064</f>
        <v>43052</v>
      </c>
      <c r="D5064" t="str">
        <f>TEST_DATA!D5064</f>
        <v>NON-NIL</v>
      </c>
      <c r="E5064">
        <f>TEST_DATA!E5064</f>
        <v>2161</v>
      </c>
    </row>
    <row r="5065" spans="1:5" x14ac:dyDescent="0.55000000000000004">
      <c r="A5065" t="str">
        <f>TEST_DATA!A5065</f>
        <v>27AAAAA5065Z5</v>
      </c>
      <c r="B5065" t="str">
        <f>TEST_DATA!B5065</f>
        <v>Aug-2017</v>
      </c>
      <c r="C5065">
        <f>TEST_DATA!C5065</f>
        <v>44170</v>
      </c>
      <c r="D5065" t="str">
        <f>TEST_DATA!D5065</f>
        <v>NON-NIL</v>
      </c>
      <c r="E5065">
        <f>TEST_DATA!E5065</f>
        <v>328</v>
      </c>
    </row>
    <row r="5066" spans="1:5" x14ac:dyDescent="0.55000000000000004">
      <c r="A5066" t="str">
        <f>TEST_DATA!A5066</f>
        <v>27AAAAA5066Z5</v>
      </c>
      <c r="B5066" t="str">
        <f>TEST_DATA!B5066</f>
        <v>Apr-2018</v>
      </c>
      <c r="C5066">
        <f>TEST_DATA!C5066</f>
        <v>44206</v>
      </c>
      <c r="D5066" t="str">
        <f>TEST_DATA!D5066</f>
        <v>NIL</v>
      </c>
      <c r="E5066">
        <f>TEST_DATA!E5066</f>
        <v>1316</v>
      </c>
    </row>
    <row r="5067" spans="1:5" x14ac:dyDescent="0.55000000000000004">
      <c r="A5067" t="str">
        <f>TEST_DATA!A5067</f>
        <v>27AAAAA5067Z5</v>
      </c>
      <c r="B5067" t="str">
        <f>TEST_DATA!B5067</f>
        <v>Aug-2017</v>
      </c>
      <c r="C5067">
        <f>TEST_DATA!C5067</f>
        <v>43845</v>
      </c>
      <c r="D5067" t="str">
        <f>TEST_DATA!D5067</f>
        <v>NON-NIL</v>
      </c>
      <c r="E5067">
        <f>TEST_DATA!E5067</f>
        <v>725</v>
      </c>
    </row>
    <row r="5068" spans="1:5" x14ac:dyDescent="0.55000000000000004">
      <c r="A5068" t="str">
        <f>TEST_DATA!A5068</f>
        <v>27AAAAA5068Z5</v>
      </c>
      <c r="B5068" t="str">
        <f>TEST_DATA!B5068</f>
        <v>Mar-2023</v>
      </c>
      <c r="C5068">
        <f>TEST_DATA!C5068</f>
        <v>45603</v>
      </c>
      <c r="D5068" t="str">
        <f>TEST_DATA!D5068</f>
        <v>NIL</v>
      </c>
      <c r="E5068">
        <f>TEST_DATA!E5068</f>
        <v>2385</v>
      </c>
    </row>
    <row r="5069" spans="1:5" x14ac:dyDescent="0.55000000000000004">
      <c r="A5069" t="str">
        <f>TEST_DATA!A5069</f>
        <v>27AAAAA5069Z5</v>
      </c>
      <c r="B5069" t="str">
        <f>TEST_DATA!B5069</f>
        <v>Sep-2018</v>
      </c>
      <c r="C5069">
        <f>TEST_DATA!C5069</f>
        <v>44231</v>
      </c>
      <c r="D5069" t="str">
        <f>TEST_DATA!D5069</f>
        <v>NON-NIL</v>
      </c>
      <c r="E5069">
        <f>TEST_DATA!E5069</f>
        <v>2568</v>
      </c>
    </row>
    <row r="5070" spans="1:5" x14ac:dyDescent="0.55000000000000004">
      <c r="A5070" t="str">
        <f>TEST_DATA!A5070</f>
        <v>27AAAAA5070Z5</v>
      </c>
      <c r="B5070" t="str">
        <f>TEST_DATA!B5070</f>
        <v>Nov-2017</v>
      </c>
      <c r="C5070">
        <f>TEST_DATA!C5070</f>
        <v>43020</v>
      </c>
      <c r="D5070" t="str">
        <f>TEST_DATA!D5070</f>
        <v>NON-NIL</v>
      </c>
      <c r="E5070">
        <f>TEST_DATA!E5070</f>
        <v>903</v>
      </c>
    </row>
    <row r="5071" spans="1:5" x14ac:dyDescent="0.55000000000000004">
      <c r="A5071" t="str">
        <f>TEST_DATA!A5071</f>
        <v>27AAAAA5071Z5</v>
      </c>
      <c r="B5071" t="str">
        <f>TEST_DATA!B5071</f>
        <v>May-2020</v>
      </c>
      <c r="C5071">
        <f>TEST_DATA!C5071</f>
        <v>44404</v>
      </c>
      <c r="D5071" t="str">
        <f>TEST_DATA!D5071</f>
        <v>NON-NIL</v>
      </c>
      <c r="E5071">
        <f>TEST_DATA!E5071</f>
        <v>68</v>
      </c>
    </row>
    <row r="5072" spans="1:5" x14ac:dyDescent="0.55000000000000004">
      <c r="A5072" t="str">
        <f>TEST_DATA!A5072</f>
        <v>27AAAAA5072Z5</v>
      </c>
      <c r="B5072" t="str">
        <f>TEST_DATA!B5072</f>
        <v>Dec-2024</v>
      </c>
      <c r="C5072">
        <f>TEST_DATA!C5072</f>
        <v>45494</v>
      </c>
      <c r="D5072" t="str">
        <f>TEST_DATA!D5072</f>
        <v>NON-NIL</v>
      </c>
      <c r="E5072">
        <f>TEST_DATA!E5072</f>
        <v>1813</v>
      </c>
    </row>
    <row r="5073" spans="1:5" x14ac:dyDescent="0.55000000000000004">
      <c r="A5073" t="str">
        <f>TEST_DATA!A5073</f>
        <v>27AAAAA5073Z5</v>
      </c>
      <c r="B5073" t="str">
        <f>TEST_DATA!B5073</f>
        <v>Apr-2020</v>
      </c>
      <c r="C5073">
        <f>TEST_DATA!C5073</f>
        <v>44407</v>
      </c>
      <c r="D5073" t="str">
        <f>TEST_DATA!D5073</f>
        <v>NON-NIL</v>
      </c>
      <c r="E5073">
        <f>TEST_DATA!E5073</f>
        <v>664</v>
      </c>
    </row>
    <row r="5074" spans="1:5" x14ac:dyDescent="0.55000000000000004">
      <c r="A5074" t="str">
        <f>TEST_DATA!A5074</f>
        <v>27AAAAA5074Z5</v>
      </c>
      <c r="B5074" t="str">
        <f>TEST_DATA!B5074</f>
        <v>Aug-2017</v>
      </c>
      <c r="C5074">
        <f>TEST_DATA!C5074</f>
        <v>44379</v>
      </c>
      <c r="D5074" t="str">
        <f>TEST_DATA!D5074</f>
        <v>NON-NIL</v>
      </c>
      <c r="E5074">
        <f>TEST_DATA!E5074</f>
        <v>572</v>
      </c>
    </row>
    <row r="5075" spans="1:5" x14ac:dyDescent="0.55000000000000004">
      <c r="A5075" t="str">
        <f>TEST_DATA!A5075</f>
        <v>27AAAAA5075Z5</v>
      </c>
      <c r="B5075" t="str">
        <f>TEST_DATA!B5075</f>
        <v>Jan-2021</v>
      </c>
      <c r="C5075">
        <f>TEST_DATA!C5075</f>
        <v>45117</v>
      </c>
      <c r="D5075" t="str">
        <f>TEST_DATA!D5075</f>
        <v>NON-NIL</v>
      </c>
      <c r="E5075">
        <f>TEST_DATA!E5075</f>
        <v>2750</v>
      </c>
    </row>
    <row r="5076" spans="1:5" x14ac:dyDescent="0.55000000000000004">
      <c r="A5076" t="str">
        <f>TEST_DATA!A5076</f>
        <v>27AAAAA5076Z5</v>
      </c>
      <c r="B5076" t="str">
        <f>TEST_DATA!B5076</f>
        <v>Nov-2017</v>
      </c>
      <c r="C5076">
        <f>TEST_DATA!C5076</f>
        <v>44138</v>
      </c>
      <c r="D5076" t="str">
        <f>TEST_DATA!D5076</f>
        <v>NIL</v>
      </c>
      <c r="E5076">
        <f>TEST_DATA!E5076</f>
        <v>1411</v>
      </c>
    </row>
    <row r="5077" spans="1:5" x14ac:dyDescent="0.55000000000000004">
      <c r="A5077" t="str">
        <f>TEST_DATA!A5077</f>
        <v>27AAAAA5077Z5</v>
      </c>
      <c r="B5077" t="str">
        <f>TEST_DATA!B5077</f>
        <v>Jul-2017</v>
      </c>
      <c r="C5077">
        <f>TEST_DATA!C5077</f>
        <v>44054</v>
      </c>
      <c r="D5077" t="str">
        <f>TEST_DATA!D5077</f>
        <v>NIL</v>
      </c>
      <c r="E5077">
        <f>TEST_DATA!E5077</f>
        <v>2015</v>
      </c>
    </row>
    <row r="5078" spans="1:5" x14ac:dyDescent="0.55000000000000004">
      <c r="A5078" t="str">
        <f>TEST_DATA!A5078</f>
        <v>27AAAAA5078Z5</v>
      </c>
      <c r="B5078" t="str">
        <f>TEST_DATA!B5078</f>
        <v>Jan-2021</v>
      </c>
      <c r="C5078">
        <f>TEST_DATA!C5078</f>
        <v>45408</v>
      </c>
      <c r="D5078" t="str">
        <f>TEST_DATA!D5078</f>
        <v>NON-NIL</v>
      </c>
      <c r="E5078">
        <f>TEST_DATA!E5078</f>
        <v>195</v>
      </c>
    </row>
    <row r="5079" spans="1:5" x14ac:dyDescent="0.55000000000000004">
      <c r="A5079" t="str">
        <f>TEST_DATA!A5079</f>
        <v>27AAAAA5079Z5</v>
      </c>
      <c r="B5079" t="str">
        <f>TEST_DATA!B5079</f>
        <v>Dec-2017</v>
      </c>
      <c r="C5079">
        <f>TEST_DATA!C5079</f>
        <v>44074</v>
      </c>
      <c r="D5079" t="str">
        <f>TEST_DATA!D5079</f>
        <v>NIL</v>
      </c>
      <c r="E5079">
        <f>TEST_DATA!E5079</f>
        <v>1079</v>
      </c>
    </row>
    <row r="5080" spans="1:5" x14ac:dyDescent="0.55000000000000004">
      <c r="A5080" t="str">
        <f>TEST_DATA!A5080</f>
        <v>27AAAAA5080Z5</v>
      </c>
      <c r="B5080" t="str">
        <f>TEST_DATA!B5080</f>
        <v>Jul-2017</v>
      </c>
      <c r="C5080">
        <f>TEST_DATA!C5080</f>
        <v>43730</v>
      </c>
      <c r="D5080" t="str">
        <f>TEST_DATA!D5080</f>
        <v>NON-NIL</v>
      </c>
      <c r="E5080">
        <f>TEST_DATA!E5080</f>
        <v>275</v>
      </c>
    </row>
    <row r="5081" spans="1:5" x14ac:dyDescent="0.55000000000000004">
      <c r="A5081" t="str">
        <f>TEST_DATA!A5081</f>
        <v>27AAAAA5081Z5</v>
      </c>
      <c r="B5081" t="str">
        <f>TEST_DATA!B5081</f>
        <v>Jan-2018</v>
      </c>
      <c r="C5081">
        <f>TEST_DATA!C5081</f>
        <v>43323</v>
      </c>
      <c r="D5081" t="str">
        <f>TEST_DATA!D5081</f>
        <v>NIL</v>
      </c>
      <c r="E5081">
        <f>TEST_DATA!E5081</f>
        <v>1859</v>
      </c>
    </row>
    <row r="5082" spans="1:5" x14ac:dyDescent="0.55000000000000004">
      <c r="A5082" t="str">
        <f>TEST_DATA!A5082</f>
        <v>27AAAAA5082Z5</v>
      </c>
      <c r="B5082" t="str">
        <f>TEST_DATA!B5082</f>
        <v>Feb-2018</v>
      </c>
      <c r="C5082">
        <f>TEST_DATA!C5082</f>
        <v>43099</v>
      </c>
      <c r="D5082" t="str">
        <f>TEST_DATA!D5082</f>
        <v>NIL</v>
      </c>
      <c r="E5082">
        <f>TEST_DATA!E5082</f>
        <v>1286</v>
      </c>
    </row>
    <row r="5083" spans="1:5" x14ac:dyDescent="0.55000000000000004">
      <c r="A5083" t="str">
        <f>TEST_DATA!A5083</f>
        <v>27AAAAA5083Z5</v>
      </c>
      <c r="B5083" t="str">
        <f>TEST_DATA!B5083</f>
        <v>Jun-2018</v>
      </c>
      <c r="C5083">
        <f>TEST_DATA!C5083</f>
        <v>44381</v>
      </c>
      <c r="D5083" t="str">
        <f>TEST_DATA!D5083</f>
        <v>NIL</v>
      </c>
      <c r="E5083">
        <f>TEST_DATA!E5083</f>
        <v>829</v>
      </c>
    </row>
    <row r="5084" spans="1:5" x14ac:dyDescent="0.55000000000000004">
      <c r="A5084" t="str">
        <f>TEST_DATA!A5084</f>
        <v>27AAAAA5084Z5</v>
      </c>
      <c r="B5084" t="str">
        <f>TEST_DATA!B5084</f>
        <v>Jun-2018</v>
      </c>
      <c r="C5084">
        <f>TEST_DATA!C5084</f>
        <v>43738</v>
      </c>
      <c r="D5084" t="str">
        <f>TEST_DATA!D5084</f>
        <v>NIL</v>
      </c>
      <c r="E5084">
        <f>TEST_DATA!E5084</f>
        <v>1913</v>
      </c>
    </row>
    <row r="5085" spans="1:5" x14ac:dyDescent="0.55000000000000004">
      <c r="A5085" t="str">
        <f>TEST_DATA!A5085</f>
        <v>27AAAAA5085Z5</v>
      </c>
      <c r="B5085" t="str">
        <f>TEST_DATA!B5085</f>
        <v>Dec-2019</v>
      </c>
      <c r="C5085">
        <f>TEST_DATA!C5085</f>
        <v>43790</v>
      </c>
      <c r="D5085" t="str">
        <f>TEST_DATA!D5085</f>
        <v>NON-NIL</v>
      </c>
      <c r="E5085">
        <f>TEST_DATA!E5085</f>
        <v>43</v>
      </c>
    </row>
    <row r="5086" spans="1:5" x14ac:dyDescent="0.55000000000000004">
      <c r="A5086" t="str">
        <f>TEST_DATA!A5086</f>
        <v>27AAAAA5086Z5</v>
      </c>
      <c r="B5086" t="str">
        <f>TEST_DATA!B5086</f>
        <v>Jan-2018</v>
      </c>
      <c r="C5086">
        <f>TEST_DATA!C5086</f>
        <v>43253</v>
      </c>
      <c r="D5086" t="str">
        <f>TEST_DATA!D5086</f>
        <v>NIL</v>
      </c>
      <c r="E5086">
        <f>TEST_DATA!E5086</f>
        <v>321</v>
      </c>
    </row>
    <row r="5087" spans="1:5" x14ac:dyDescent="0.55000000000000004">
      <c r="A5087" t="str">
        <f>TEST_DATA!A5087</f>
        <v>27AAAAA5087Z5</v>
      </c>
      <c r="B5087" t="str">
        <f>TEST_DATA!B5087</f>
        <v>Apr-2020</v>
      </c>
      <c r="C5087">
        <f>TEST_DATA!C5087</f>
        <v>44165</v>
      </c>
      <c r="D5087" t="str">
        <f>TEST_DATA!D5087</f>
        <v>NIL</v>
      </c>
      <c r="E5087">
        <f>TEST_DATA!E5087</f>
        <v>1555</v>
      </c>
    </row>
    <row r="5088" spans="1:5" x14ac:dyDescent="0.55000000000000004">
      <c r="A5088" t="str">
        <f>TEST_DATA!A5088</f>
        <v>27AAAAA5088Z5</v>
      </c>
      <c r="B5088" t="str">
        <f>TEST_DATA!B5088</f>
        <v>Oct-2017</v>
      </c>
      <c r="C5088">
        <f>TEST_DATA!C5088</f>
        <v>43365</v>
      </c>
      <c r="D5088" t="str">
        <f>TEST_DATA!D5088</f>
        <v>NON-NIL</v>
      </c>
      <c r="E5088">
        <f>TEST_DATA!E5088</f>
        <v>974</v>
      </c>
    </row>
    <row r="5089" spans="1:5" x14ac:dyDescent="0.55000000000000004">
      <c r="A5089" t="str">
        <f>TEST_DATA!A5089</f>
        <v>27AAAAA5089Z5</v>
      </c>
      <c r="B5089" t="str">
        <f>TEST_DATA!B5089</f>
        <v>Dec-2022</v>
      </c>
      <c r="C5089">
        <f>TEST_DATA!C5089</f>
        <v>45568</v>
      </c>
      <c r="D5089" t="str">
        <f>TEST_DATA!D5089</f>
        <v>NON-NIL</v>
      </c>
      <c r="E5089">
        <f>TEST_DATA!E5089</f>
        <v>542</v>
      </c>
    </row>
    <row r="5090" spans="1:5" x14ac:dyDescent="0.55000000000000004">
      <c r="A5090" t="str">
        <f>TEST_DATA!A5090</f>
        <v>27AAAAA5090Z5</v>
      </c>
      <c r="B5090" t="str">
        <f>TEST_DATA!B5090</f>
        <v>Sep-2018</v>
      </c>
      <c r="C5090">
        <f>TEST_DATA!C5090</f>
        <v>43932</v>
      </c>
      <c r="D5090" t="str">
        <f>TEST_DATA!D5090</f>
        <v>NON-NIL</v>
      </c>
      <c r="E5090">
        <f>TEST_DATA!E5090</f>
        <v>1540</v>
      </c>
    </row>
    <row r="5091" spans="1:5" x14ac:dyDescent="0.55000000000000004">
      <c r="A5091" t="str">
        <f>TEST_DATA!A5091</f>
        <v>27AAAAA5091Z5</v>
      </c>
      <c r="B5091" t="str">
        <f>TEST_DATA!B5091</f>
        <v>Oct-2017</v>
      </c>
      <c r="C5091">
        <f>TEST_DATA!C5091</f>
        <v>43306</v>
      </c>
      <c r="D5091" t="str">
        <f>TEST_DATA!D5091</f>
        <v>NIL</v>
      </c>
      <c r="E5091">
        <f>TEST_DATA!E5091</f>
        <v>1832</v>
      </c>
    </row>
    <row r="5092" spans="1:5" x14ac:dyDescent="0.55000000000000004">
      <c r="A5092" t="str">
        <f>TEST_DATA!A5092</f>
        <v>27AAAAA5092Z5</v>
      </c>
      <c r="B5092" t="str">
        <f>TEST_DATA!B5092</f>
        <v>Sep-2017</v>
      </c>
      <c r="C5092">
        <f>TEST_DATA!C5092</f>
        <v>44284</v>
      </c>
      <c r="D5092" t="str">
        <f>TEST_DATA!D5092</f>
        <v>NON-NIL</v>
      </c>
      <c r="E5092">
        <f>TEST_DATA!E5092</f>
        <v>1257</v>
      </c>
    </row>
    <row r="5093" spans="1:5" x14ac:dyDescent="0.55000000000000004">
      <c r="A5093" t="str">
        <f>TEST_DATA!A5093</f>
        <v>27AAAAA5093Z5</v>
      </c>
      <c r="B5093" t="str">
        <f>TEST_DATA!B5093</f>
        <v>Mar-2018</v>
      </c>
      <c r="C5093">
        <f>TEST_DATA!C5093</f>
        <v>44130</v>
      </c>
      <c r="D5093" t="str">
        <f>TEST_DATA!D5093</f>
        <v>NIL</v>
      </c>
      <c r="E5093">
        <f>TEST_DATA!E5093</f>
        <v>2973</v>
      </c>
    </row>
    <row r="5094" spans="1:5" x14ac:dyDescent="0.55000000000000004">
      <c r="A5094" t="str">
        <f>TEST_DATA!A5094</f>
        <v>27AAAAA5094Z5</v>
      </c>
      <c r="B5094" t="str">
        <f>TEST_DATA!B5094</f>
        <v>Dec-2017</v>
      </c>
      <c r="C5094">
        <f>TEST_DATA!C5094</f>
        <v>44102</v>
      </c>
      <c r="D5094" t="str">
        <f>TEST_DATA!D5094</f>
        <v>NON-NIL</v>
      </c>
      <c r="E5094">
        <f>TEST_DATA!E5094</f>
        <v>195</v>
      </c>
    </row>
    <row r="5095" spans="1:5" x14ac:dyDescent="0.55000000000000004">
      <c r="A5095" t="str">
        <f>TEST_DATA!A5095</f>
        <v>27AAAAA5095Z5</v>
      </c>
      <c r="B5095" t="str">
        <f>TEST_DATA!B5095</f>
        <v>Nov-2017</v>
      </c>
      <c r="C5095">
        <f>TEST_DATA!C5095</f>
        <v>43727</v>
      </c>
      <c r="D5095" t="str">
        <f>TEST_DATA!D5095</f>
        <v>NON-NIL</v>
      </c>
      <c r="E5095">
        <f>TEST_DATA!E5095</f>
        <v>2090</v>
      </c>
    </row>
    <row r="5096" spans="1:5" x14ac:dyDescent="0.55000000000000004">
      <c r="A5096" t="str">
        <f>TEST_DATA!A5096</f>
        <v>27AAAAA5096Z5</v>
      </c>
      <c r="B5096" t="str">
        <f>TEST_DATA!B5096</f>
        <v>Aug-2017</v>
      </c>
      <c r="C5096">
        <f>TEST_DATA!C5096</f>
        <v>43110</v>
      </c>
      <c r="D5096" t="str">
        <f>TEST_DATA!D5096</f>
        <v>NON-NIL</v>
      </c>
      <c r="E5096">
        <f>TEST_DATA!E5096</f>
        <v>1128</v>
      </c>
    </row>
    <row r="5097" spans="1:5" x14ac:dyDescent="0.55000000000000004">
      <c r="A5097" t="str">
        <f>TEST_DATA!A5097</f>
        <v>27AAAAA5097Z5</v>
      </c>
      <c r="B5097" t="str">
        <f>TEST_DATA!B5097</f>
        <v>Apr-2018</v>
      </c>
      <c r="C5097">
        <f>TEST_DATA!C5097</f>
        <v>43025</v>
      </c>
      <c r="D5097" t="str">
        <f>TEST_DATA!D5097</f>
        <v>NIL</v>
      </c>
      <c r="E5097">
        <f>TEST_DATA!E5097</f>
        <v>1850</v>
      </c>
    </row>
    <row r="5098" spans="1:5" x14ac:dyDescent="0.55000000000000004">
      <c r="A5098" t="str">
        <f>TEST_DATA!A5098</f>
        <v>27AAAAA5098Z5</v>
      </c>
      <c r="B5098" t="str">
        <f>TEST_DATA!B5098</f>
        <v>Jan-2018</v>
      </c>
      <c r="C5098">
        <f>TEST_DATA!C5098</f>
        <v>44313</v>
      </c>
      <c r="D5098" t="str">
        <f>TEST_DATA!D5098</f>
        <v>NON-NIL</v>
      </c>
      <c r="E5098">
        <f>TEST_DATA!E5098</f>
        <v>416</v>
      </c>
    </row>
    <row r="5099" spans="1:5" x14ac:dyDescent="0.55000000000000004">
      <c r="A5099" t="str">
        <f>TEST_DATA!A5099</f>
        <v>27AAAAA5099Z5</v>
      </c>
      <c r="B5099" t="str">
        <f>TEST_DATA!B5099</f>
        <v>Jul-2018</v>
      </c>
      <c r="C5099">
        <f>TEST_DATA!C5099</f>
        <v>43880</v>
      </c>
      <c r="D5099" t="str">
        <f>TEST_DATA!D5099</f>
        <v>NIL</v>
      </c>
      <c r="E5099">
        <f>TEST_DATA!E5099</f>
        <v>580</v>
      </c>
    </row>
    <row r="5100" spans="1:5" x14ac:dyDescent="0.55000000000000004">
      <c r="A5100" t="str">
        <f>TEST_DATA!A5100</f>
        <v>27AAAAA5100Z5</v>
      </c>
      <c r="B5100" t="str">
        <f>TEST_DATA!B5100</f>
        <v>Dec-2024</v>
      </c>
      <c r="C5100">
        <f>TEST_DATA!C5100</f>
        <v>45363</v>
      </c>
      <c r="D5100" t="str">
        <f>TEST_DATA!D5100</f>
        <v>NON-NIL</v>
      </c>
      <c r="E5100">
        <f>TEST_DATA!E5100</f>
        <v>2733</v>
      </c>
    </row>
    <row r="5101" spans="1:5" x14ac:dyDescent="0.55000000000000004">
      <c r="A5101" t="str">
        <f>TEST_DATA!A5101</f>
        <v>27AAAAA5101Z5</v>
      </c>
      <c r="B5101" t="str">
        <f>TEST_DATA!B5101</f>
        <v>Jun-2019</v>
      </c>
      <c r="C5101">
        <f>TEST_DATA!C5101</f>
        <v>44163</v>
      </c>
      <c r="D5101" t="str">
        <f>TEST_DATA!D5101</f>
        <v>NIL</v>
      </c>
      <c r="E5101">
        <f>TEST_DATA!E5101</f>
        <v>307</v>
      </c>
    </row>
    <row r="5102" spans="1:5" x14ac:dyDescent="0.55000000000000004">
      <c r="A5102" t="str">
        <f>TEST_DATA!A5102</f>
        <v>27AAAAA5102Z5</v>
      </c>
      <c r="B5102" t="str">
        <f>TEST_DATA!B5102</f>
        <v>Jul-2017</v>
      </c>
      <c r="C5102">
        <f>TEST_DATA!C5102</f>
        <v>43247</v>
      </c>
      <c r="D5102" t="str">
        <f>TEST_DATA!D5102</f>
        <v>NIL</v>
      </c>
      <c r="E5102">
        <f>TEST_DATA!E5102</f>
        <v>2013</v>
      </c>
    </row>
    <row r="5103" spans="1:5" x14ac:dyDescent="0.55000000000000004">
      <c r="A5103" t="str">
        <f>TEST_DATA!A5103</f>
        <v>27AAAAA5103Z5</v>
      </c>
      <c r="B5103" t="str">
        <f>TEST_DATA!B5103</f>
        <v>Dec-2024</v>
      </c>
      <c r="C5103">
        <f>TEST_DATA!C5103</f>
        <v>45662</v>
      </c>
      <c r="D5103" t="str">
        <f>TEST_DATA!D5103</f>
        <v>NIL</v>
      </c>
      <c r="E5103">
        <f>TEST_DATA!E5103</f>
        <v>419</v>
      </c>
    </row>
    <row r="5104" spans="1:5" x14ac:dyDescent="0.55000000000000004">
      <c r="A5104" t="str">
        <f>TEST_DATA!A5104</f>
        <v>27AAAAA5104Z5</v>
      </c>
      <c r="B5104" t="str">
        <f>TEST_DATA!B5104</f>
        <v>May-2020</v>
      </c>
      <c r="C5104">
        <f>TEST_DATA!C5104</f>
        <v>44227</v>
      </c>
      <c r="D5104" t="str">
        <f>TEST_DATA!D5104</f>
        <v>NON-NIL</v>
      </c>
      <c r="E5104">
        <f>TEST_DATA!E5104</f>
        <v>2127</v>
      </c>
    </row>
    <row r="5105" spans="1:5" x14ac:dyDescent="0.55000000000000004">
      <c r="A5105" t="str">
        <f>TEST_DATA!A5105</f>
        <v>27AAAAA5105Z5</v>
      </c>
      <c r="B5105" t="str">
        <f>TEST_DATA!B5105</f>
        <v>Aug-2018</v>
      </c>
      <c r="C5105">
        <f>TEST_DATA!C5105</f>
        <v>43268</v>
      </c>
      <c r="D5105" t="str">
        <f>TEST_DATA!D5105</f>
        <v>NON-NIL</v>
      </c>
      <c r="E5105">
        <f>TEST_DATA!E5105</f>
        <v>2012</v>
      </c>
    </row>
    <row r="5106" spans="1:5" x14ac:dyDescent="0.55000000000000004">
      <c r="A5106" t="str">
        <f>TEST_DATA!A5106</f>
        <v>27AAAAA5106Z5</v>
      </c>
      <c r="B5106" t="str">
        <f>TEST_DATA!B5106</f>
        <v>Apr-2021</v>
      </c>
      <c r="C5106">
        <f>TEST_DATA!C5106</f>
        <v>45259</v>
      </c>
      <c r="D5106" t="str">
        <f>TEST_DATA!D5106</f>
        <v>NIL</v>
      </c>
      <c r="E5106">
        <f>TEST_DATA!E5106</f>
        <v>1744</v>
      </c>
    </row>
    <row r="5107" spans="1:5" x14ac:dyDescent="0.55000000000000004">
      <c r="A5107" t="str">
        <f>TEST_DATA!A5107</f>
        <v>27AAAAA5107Z5</v>
      </c>
      <c r="B5107" t="str">
        <f>TEST_DATA!B5107</f>
        <v>Mar-2023</v>
      </c>
      <c r="C5107">
        <f>TEST_DATA!C5107</f>
        <v>44414</v>
      </c>
      <c r="D5107" t="str">
        <f>TEST_DATA!D5107</f>
        <v>NIL</v>
      </c>
      <c r="E5107">
        <f>TEST_DATA!E5107</f>
        <v>470</v>
      </c>
    </row>
    <row r="5108" spans="1:5" x14ac:dyDescent="0.55000000000000004">
      <c r="A5108" t="str">
        <f>TEST_DATA!A5108</f>
        <v>27AAAAA5108Z5</v>
      </c>
      <c r="B5108" t="str">
        <f>TEST_DATA!B5108</f>
        <v>Mar-2023</v>
      </c>
      <c r="C5108">
        <f>TEST_DATA!C5108</f>
        <v>45576</v>
      </c>
      <c r="D5108" t="str">
        <f>TEST_DATA!D5108</f>
        <v>NIL</v>
      </c>
      <c r="E5108">
        <f>TEST_DATA!E5108</f>
        <v>2226</v>
      </c>
    </row>
    <row r="5109" spans="1:5" x14ac:dyDescent="0.55000000000000004">
      <c r="A5109" t="str">
        <f>TEST_DATA!A5109</f>
        <v>27AAAAA5109Z5</v>
      </c>
      <c r="B5109" t="str">
        <f>TEST_DATA!B5109</f>
        <v>Jun-2020</v>
      </c>
      <c r="C5109">
        <f>TEST_DATA!C5109</f>
        <v>44483</v>
      </c>
      <c r="D5109" t="str">
        <f>TEST_DATA!D5109</f>
        <v>NON-NIL</v>
      </c>
      <c r="E5109">
        <f>TEST_DATA!E5109</f>
        <v>119</v>
      </c>
    </row>
    <row r="5110" spans="1:5" x14ac:dyDescent="0.55000000000000004">
      <c r="A5110" t="str">
        <f>TEST_DATA!A5110</f>
        <v>27AAAAA5110Z5</v>
      </c>
      <c r="B5110" t="str">
        <f>TEST_DATA!B5110</f>
        <v>May-2018</v>
      </c>
      <c r="C5110">
        <f>TEST_DATA!C5110</f>
        <v>43385</v>
      </c>
      <c r="D5110" t="str">
        <f>TEST_DATA!D5110</f>
        <v>NON-NIL</v>
      </c>
      <c r="E5110">
        <f>TEST_DATA!E5110</f>
        <v>93</v>
      </c>
    </row>
    <row r="5111" spans="1:5" x14ac:dyDescent="0.55000000000000004">
      <c r="A5111" t="str">
        <f>TEST_DATA!A5111</f>
        <v>27AAAAA5111Z5</v>
      </c>
      <c r="B5111" t="str">
        <f>TEST_DATA!B5111</f>
        <v>Jan-2019</v>
      </c>
      <c r="C5111">
        <f>TEST_DATA!C5111</f>
        <v>45696</v>
      </c>
      <c r="D5111" t="str">
        <f>TEST_DATA!D5111</f>
        <v>NON-NIL</v>
      </c>
      <c r="E5111">
        <f>TEST_DATA!E5111</f>
        <v>1649</v>
      </c>
    </row>
    <row r="5112" spans="1:5" x14ac:dyDescent="0.55000000000000004">
      <c r="A5112" t="str">
        <f>TEST_DATA!A5112</f>
        <v>27AAAAA5112Z5</v>
      </c>
      <c r="B5112" t="str">
        <f>TEST_DATA!B5112</f>
        <v>Jun-2020</v>
      </c>
      <c r="C5112">
        <f>TEST_DATA!C5112</f>
        <v>44074</v>
      </c>
      <c r="D5112" t="str">
        <f>TEST_DATA!D5112</f>
        <v>NON-NIL</v>
      </c>
      <c r="E5112">
        <f>TEST_DATA!E5112</f>
        <v>1959</v>
      </c>
    </row>
    <row r="5113" spans="1:5" x14ac:dyDescent="0.55000000000000004">
      <c r="A5113" t="str">
        <f>TEST_DATA!A5113</f>
        <v>27AAAAA5113Z5</v>
      </c>
      <c r="B5113" t="str">
        <f>TEST_DATA!B5113</f>
        <v>Jul-2020</v>
      </c>
      <c r="C5113">
        <f>TEST_DATA!C5113</f>
        <v>43956</v>
      </c>
      <c r="D5113" t="str">
        <f>TEST_DATA!D5113</f>
        <v>NON-NIL</v>
      </c>
      <c r="E5113">
        <f>TEST_DATA!E5113</f>
        <v>2033</v>
      </c>
    </row>
    <row r="5114" spans="1:5" x14ac:dyDescent="0.55000000000000004">
      <c r="A5114" t="str">
        <f>TEST_DATA!A5114</f>
        <v>27AAAAA5114Z5</v>
      </c>
      <c r="B5114" t="str">
        <f>TEST_DATA!B5114</f>
        <v>Feb-2018</v>
      </c>
      <c r="C5114">
        <f>TEST_DATA!C5114</f>
        <v>43746</v>
      </c>
      <c r="D5114" t="str">
        <f>TEST_DATA!D5114</f>
        <v>NIL</v>
      </c>
      <c r="E5114">
        <f>TEST_DATA!E5114</f>
        <v>63</v>
      </c>
    </row>
    <row r="5115" spans="1:5" x14ac:dyDescent="0.55000000000000004">
      <c r="A5115" t="str">
        <f>TEST_DATA!A5115</f>
        <v>27AAAAA5115Z5</v>
      </c>
      <c r="B5115" t="str">
        <f>TEST_DATA!B5115</f>
        <v>Jun-2018</v>
      </c>
      <c r="C5115">
        <f>TEST_DATA!C5115</f>
        <v>44482</v>
      </c>
      <c r="D5115" t="str">
        <f>TEST_DATA!D5115</f>
        <v>NIL</v>
      </c>
      <c r="E5115">
        <f>TEST_DATA!E5115</f>
        <v>1540</v>
      </c>
    </row>
    <row r="5116" spans="1:5" x14ac:dyDescent="0.55000000000000004">
      <c r="A5116" t="str">
        <f>TEST_DATA!A5116</f>
        <v>27AAAAA5116Z5</v>
      </c>
      <c r="B5116" t="str">
        <f>TEST_DATA!B5116</f>
        <v>Dec-2019</v>
      </c>
      <c r="C5116">
        <f>TEST_DATA!C5116</f>
        <v>44054</v>
      </c>
      <c r="D5116" t="str">
        <f>TEST_DATA!D5116</f>
        <v>NIL</v>
      </c>
      <c r="E5116">
        <f>TEST_DATA!E5116</f>
        <v>2698</v>
      </c>
    </row>
    <row r="5117" spans="1:5" x14ac:dyDescent="0.55000000000000004">
      <c r="A5117" t="str">
        <f>TEST_DATA!A5117</f>
        <v>27AAAAA5117Z5</v>
      </c>
      <c r="B5117" t="str">
        <f>TEST_DATA!B5117</f>
        <v>Dec-2022</v>
      </c>
      <c r="C5117">
        <f>TEST_DATA!C5117</f>
        <v>44166</v>
      </c>
      <c r="D5117" t="str">
        <f>TEST_DATA!D5117</f>
        <v>NIL</v>
      </c>
      <c r="E5117">
        <f>TEST_DATA!E5117</f>
        <v>917</v>
      </c>
    </row>
    <row r="5118" spans="1:5" x14ac:dyDescent="0.55000000000000004">
      <c r="A5118" t="str">
        <f>TEST_DATA!A5118</f>
        <v>27AAAAA5118Z5</v>
      </c>
      <c r="B5118" t="str">
        <f>TEST_DATA!B5118</f>
        <v>May-2020</v>
      </c>
      <c r="C5118">
        <f>TEST_DATA!C5118</f>
        <v>44546</v>
      </c>
      <c r="D5118" t="str">
        <f>TEST_DATA!D5118</f>
        <v>NON-NIL</v>
      </c>
      <c r="E5118">
        <f>TEST_DATA!E5118</f>
        <v>2760</v>
      </c>
    </row>
    <row r="5119" spans="1:5" x14ac:dyDescent="0.55000000000000004">
      <c r="A5119" t="str">
        <f>TEST_DATA!A5119</f>
        <v>27AAAAA5119Z5</v>
      </c>
      <c r="B5119" t="str">
        <f>TEST_DATA!B5119</f>
        <v>Dec-2017</v>
      </c>
      <c r="C5119">
        <f>TEST_DATA!C5119</f>
        <v>43093</v>
      </c>
      <c r="D5119" t="str">
        <f>TEST_DATA!D5119</f>
        <v>NON-NIL</v>
      </c>
      <c r="E5119">
        <f>TEST_DATA!E5119</f>
        <v>2780</v>
      </c>
    </row>
    <row r="5120" spans="1:5" x14ac:dyDescent="0.55000000000000004">
      <c r="A5120" t="str">
        <f>TEST_DATA!A5120</f>
        <v>27AAAAA5120Z5</v>
      </c>
      <c r="B5120" t="str">
        <f>TEST_DATA!B5120</f>
        <v>Mar-2023</v>
      </c>
      <c r="C5120">
        <f>TEST_DATA!C5120</f>
        <v>44965</v>
      </c>
      <c r="D5120" t="str">
        <f>TEST_DATA!D5120</f>
        <v>NIL</v>
      </c>
      <c r="E5120">
        <f>TEST_DATA!E5120</f>
        <v>1372</v>
      </c>
    </row>
    <row r="5121" spans="1:5" x14ac:dyDescent="0.55000000000000004">
      <c r="A5121" t="str">
        <f>TEST_DATA!A5121</f>
        <v>27AAAAA5121Z5</v>
      </c>
      <c r="B5121" t="str">
        <f>TEST_DATA!B5121</f>
        <v>Dec-2019</v>
      </c>
      <c r="C5121">
        <f>TEST_DATA!C5121</f>
        <v>45298</v>
      </c>
      <c r="D5121" t="str">
        <f>TEST_DATA!D5121</f>
        <v>NIL</v>
      </c>
      <c r="E5121">
        <f>TEST_DATA!E5121</f>
        <v>2812</v>
      </c>
    </row>
    <row r="5122" spans="1:5" x14ac:dyDescent="0.55000000000000004">
      <c r="A5122" t="str">
        <f>TEST_DATA!A5122</f>
        <v>27AAAAA5122Z5</v>
      </c>
      <c r="B5122" t="str">
        <f>TEST_DATA!B5122</f>
        <v>Mar-2018</v>
      </c>
      <c r="C5122">
        <f>TEST_DATA!C5122</f>
        <v>43746</v>
      </c>
      <c r="D5122" t="str">
        <f>TEST_DATA!D5122</f>
        <v>NIL</v>
      </c>
      <c r="E5122">
        <f>TEST_DATA!E5122</f>
        <v>3000</v>
      </c>
    </row>
    <row r="5123" spans="1:5" x14ac:dyDescent="0.55000000000000004">
      <c r="A5123" t="str">
        <f>TEST_DATA!A5123</f>
        <v>27AAAAA5123Z5</v>
      </c>
      <c r="B5123" t="str">
        <f>TEST_DATA!B5123</f>
        <v>Sep-2017</v>
      </c>
      <c r="C5123">
        <f>TEST_DATA!C5123</f>
        <v>43987</v>
      </c>
      <c r="D5123" t="str">
        <f>TEST_DATA!D5123</f>
        <v>NIL</v>
      </c>
      <c r="E5123">
        <f>TEST_DATA!E5123</f>
        <v>297</v>
      </c>
    </row>
    <row r="5124" spans="1:5" x14ac:dyDescent="0.55000000000000004">
      <c r="A5124" t="str">
        <f>TEST_DATA!A5124</f>
        <v>27AAAAA5124Z5</v>
      </c>
      <c r="B5124" t="str">
        <f>TEST_DATA!B5124</f>
        <v>Mar-2020</v>
      </c>
      <c r="C5124">
        <f>TEST_DATA!C5124</f>
        <v>44115</v>
      </c>
      <c r="D5124" t="str">
        <f>TEST_DATA!D5124</f>
        <v>NON-NIL</v>
      </c>
      <c r="E5124">
        <f>TEST_DATA!E5124</f>
        <v>2325</v>
      </c>
    </row>
    <row r="5125" spans="1:5" x14ac:dyDescent="0.55000000000000004">
      <c r="A5125" t="str">
        <f>TEST_DATA!A5125</f>
        <v>27AAAAA5125Z5</v>
      </c>
      <c r="B5125" t="str">
        <f>TEST_DATA!B5125</f>
        <v>Jul-2018</v>
      </c>
      <c r="C5125">
        <f>TEST_DATA!C5125</f>
        <v>43852</v>
      </c>
      <c r="D5125" t="str">
        <f>TEST_DATA!D5125</f>
        <v>NIL</v>
      </c>
      <c r="E5125">
        <f>TEST_DATA!E5125</f>
        <v>2283</v>
      </c>
    </row>
    <row r="5126" spans="1:5" x14ac:dyDescent="0.55000000000000004">
      <c r="A5126" t="str">
        <f>TEST_DATA!A5126</f>
        <v>27AAAAA5126Z5</v>
      </c>
      <c r="B5126" t="str">
        <f>TEST_DATA!B5126</f>
        <v>Mar-2020</v>
      </c>
      <c r="C5126">
        <f>TEST_DATA!C5126</f>
        <v>44925</v>
      </c>
      <c r="D5126" t="str">
        <f>TEST_DATA!D5126</f>
        <v>NON-NIL</v>
      </c>
      <c r="E5126">
        <f>TEST_DATA!E5126</f>
        <v>963</v>
      </c>
    </row>
    <row r="5127" spans="1:5" x14ac:dyDescent="0.55000000000000004">
      <c r="A5127" t="str">
        <f>TEST_DATA!A5127</f>
        <v>27AAAAA5127Z5</v>
      </c>
      <c r="B5127" t="str">
        <f>TEST_DATA!B5127</f>
        <v>Aug-2018</v>
      </c>
      <c r="C5127">
        <f>TEST_DATA!C5127</f>
        <v>44193</v>
      </c>
      <c r="D5127" t="str">
        <f>TEST_DATA!D5127</f>
        <v>NON-NIL</v>
      </c>
      <c r="E5127">
        <f>TEST_DATA!E5127</f>
        <v>2239</v>
      </c>
    </row>
    <row r="5128" spans="1:5" x14ac:dyDescent="0.55000000000000004">
      <c r="A5128" t="str">
        <f>TEST_DATA!A5128</f>
        <v>27AAAAA5128Z5</v>
      </c>
      <c r="B5128" t="str">
        <f>TEST_DATA!B5128</f>
        <v>Mar-2023</v>
      </c>
      <c r="C5128">
        <f>TEST_DATA!C5128</f>
        <v>43532</v>
      </c>
      <c r="D5128" t="str">
        <f>TEST_DATA!D5128</f>
        <v>NIL</v>
      </c>
      <c r="E5128">
        <f>TEST_DATA!E5128</f>
        <v>519</v>
      </c>
    </row>
    <row r="5129" spans="1:5" x14ac:dyDescent="0.55000000000000004">
      <c r="A5129" t="str">
        <f>TEST_DATA!A5129</f>
        <v>27AAAAA5129Z5</v>
      </c>
      <c r="B5129" t="str">
        <f>TEST_DATA!B5129</f>
        <v>Dec-2024</v>
      </c>
      <c r="C5129">
        <f>TEST_DATA!C5129</f>
        <v>43620</v>
      </c>
      <c r="D5129" t="str">
        <f>TEST_DATA!D5129</f>
        <v>NON-NIL</v>
      </c>
      <c r="E5129">
        <f>TEST_DATA!E5129</f>
        <v>138</v>
      </c>
    </row>
    <row r="5130" spans="1:5" x14ac:dyDescent="0.55000000000000004">
      <c r="A5130" t="str">
        <f>TEST_DATA!A5130</f>
        <v>27AAAAA5130Z5</v>
      </c>
      <c r="B5130" t="str">
        <f>TEST_DATA!B5130</f>
        <v>Apr-2020</v>
      </c>
      <c r="C5130">
        <f>TEST_DATA!C5130</f>
        <v>44301</v>
      </c>
      <c r="D5130" t="str">
        <f>TEST_DATA!D5130</f>
        <v>NON-NIL</v>
      </c>
      <c r="E5130">
        <f>TEST_DATA!E5130</f>
        <v>2945</v>
      </c>
    </row>
    <row r="5131" spans="1:5" x14ac:dyDescent="0.55000000000000004">
      <c r="A5131" t="str">
        <f>TEST_DATA!A5131</f>
        <v>27AAAAA5131Z5</v>
      </c>
      <c r="B5131" t="str">
        <f>TEST_DATA!B5131</f>
        <v>Apr-2020</v>
      </c>
      <c r="C5131">
        <f>TEST_DATA!C5131</f>
        <v>44344</v>
      </c>
      <c r="D5131" t="str">
        <f>TEST_DATA!D5131</f>
        <v>NON-NIL</v>
      </c>
      <c r="E5131">
        <f>TEST_DATA!E5131</f>
        <v>2655</v>
      </c>
    </row>
    <row r="5132" spans="1:5" x14ac:dyDescent="0.55000000000000004">
      <c r="A5132" t="str">
        <f>TEST_DATA!A5132</f>
        <v>27AAAAA5132Z5</v>
      </c>
      <c r="B5132" t="str">
        <f>TEST_DATA!B5132</f>
        <v>Nov-2017</v>
      </c>
      <c r="C5132">
        <f>TEST_DATA!C5132</f>
        <v>43527</v>
      </c>
      <c r="D5132" t="str">
        <f>TEST_DATA!D5132</f>
        <v>NON-NIL</v>
      </c>
      <c r="E5132">
        <f>TEST_DATA!E5132</f>
        <v>2497</v>
      </c>
    </row>
    <row r="5133" spans="1:5" x14ac:dyDescent="0.55000000000000004">
      <c r="A5133" t="str">
        <f>TEST_DATA!A5133</f>
        <v>27AAAAA5133Z5</v>
      </c>
      <c r="B5133" t="str">
        <f>TEST_DATA!B5133</f>
        <v>Jun-2019</v>
      </c>
      <c r="C5133">
        <f>TEST_DATA!C5133</f>
        <v>45733</v>
      </c>
      <c r="D5133" t="str">
        <f>TEST_DATA!D5133</f>
        <v>NIL</v>
      </c>
      <c r="E5133">
        <f>TEST_DATA!E5133</f>
        <v>2651</v>
      </c>
    </row>
    <row r="5134" spans="1:5" x14ac:dyDescent="0.55000000000000004">
      <c r="A5134" t="str">
        <f>TEST_DATA!A5134</f>
        <v>27AAAAA5134Z5</v>
      </c>
      <c r="B5134" t="str">
        <f>TEST_DATA!B5134</f>
        <v>Sep-2017</v>
      </c>
      <c r="C5134">
        <f>TEST_DATA!C5134</f>
        <v>43497</v>
      </c>
      <c r="D5134" t="str">
        <f>TEST_DATA!D5134</f>
        <v>NON-NIL</v>
      </c>
      <c r="E5134">
        <f>TEST_DATA!E5134</f>
        <v>1850</v>
      </c>
    </row>
    <row r="5135" spans="1:5" x14ac:dyDescent="0.55000000000000004">
      <c r="A5135" t="str">
        <f>TEST_DATA!A5135</f>
        <v>27AAAAA5135Z5</v>
      </c>
      <c r="B5135" t="str">
        <f>TEST_DATA!B5135</f>
        <v>May-2020</v>
      </c>
      <c r="C5135">
        <f>TEST_DATA!C5135</f>
        <v>44870</v>
      </c>
      <c r="D5135" t="str">
        <f>TEST_DATA!D5135</f>
        <v>NON-NIL</v>
      </c>
      <c r="E5135">
        <f>TEST_DATA!E5135</f>
        <v>146</v>
      </c>
    </row>
    <row r="5136" spans="1:5" x14ac:dyDescent="0.55000000000000004">
      <c r="A5136" t="str">
        <f>TEST_DATA!A5136</f>
        <v>27AAAAA5136Z5</v>
      </c>
      <c r="B5136" t="str">
        <f>TEST_DATA!B5136</f>
        <v>Jul-2020</v>
      </c>
      <c r="C5136">
        <f>TEST_DATA!C5136</f>
        <v>44734</v>
      </c>
      <c r="D5136" t="str">
        <f>TEST_DATA!D5136</f>
        <v>NIL</v>
      </c>
      <c r="E5136">
        <f>TEST_DATA!E5136</f>
        <v>1462</v>
      </c>
    </row>
    <row r="5137" spans="1:5" x14ac:dyDescent="0.55000000000000004">
      <c r="A5137" t="str">
        <f>TEST_DATA!A5137</f>
        <v>27AAAAA5137Z5</v>
      </c>
      <c r="B5137" t="str">
        <f>TEST_DATA!B5137</f>
        <v>Dec-2017</v>
      </c>
      <c r="C5137">
        <f>TEST_DATA!C5137</f>
        <v>43398</v>
      </c>
      <c r="D5137" t="str">
        <f>TEST_DATA!D5137</f>
        <v>NON-NIL</v>
      </c>
      <c r="E5137">
        <f>TEST_DATA!E5137</f>
        <v>1833</v>
      </c>
    </row>
    <row r="5138" spans="1:5" x14ac:dyDescent="0.55000000000000004">
      <c r="A5138" t="str">
        <f>TEST_DATA!A5138</f>
        <v>27AAAAA5138Z5</v>
      </c>
      <c r="B5138" t="str">
        <f>TEST_DATA!B5138</f>
        <v>Jul-2018</v>
      </c>
      <c r="C5138">
        <f>TEST_DATA!C5138</f>
        <v>43895</v>
      </c>
      <c r="D5138" t="str">
        <f>TEST_DATA!D5138</f>
        <v>NIL</v>
      </c>
      <c r="E5138">
        <f>TEST_DATA!E5138</f>
        <v>2208</v>
      </c>
    </row>
    <row r="5139" spans="1:5" x14ac:dyDescent="0.55000000000000004">
      <c r="A5139" t="str">
        <f>TEST_DATA!A5139</f>
        <v>27AAAAA5139Z5</v>
      </c>
      <c r="B5139" t="str">
        <f>TEST_DATA!B5139</f>
        <v>Mar-2021</v>
      </c>
      <c r="C5139">
        <f>TEST_DATA!C5139</f>
        <v>44230</v>
      </c>
      <c r="D5139" t="str">
        <f>TEST_DATA!D5139</f>
        <v>NIL</v>
      </c>
      <c r="E5139">
        <f>TEST_DATA!E5139</f>
        <v>2521</v>
      </c>
    </row>
    <row r="5140" spans="1:5" x14ac:dyDescent="0.55000000000000004">
      <c r="A5140" t="str">
        <f>TEST_DATA!A5140</f>
        <v>27AAAAA5140Z5</v>
      </c>
      <c r="B5140" t="str">
        <f>TEST_DATA!B5140</f>
        <v>Sep-2018</v>
      </c>
      <c r="C5140">
        <f>TEST_DATA!C5140</f>
        <v>43479</v>
      </c>
      <c r="D5140" t="str">
        <f>TEST_DATA!D5140</f>
        <v>NON-NIL</v>
      </c>
      <c r="E5140">
        <f>TEST_DATA!E5140</f>
        <v>319</v>
      </c>
    </row>
    <row r="5141" spans="1:5" x14ac:dyDescent="0.55000000000000004">
      <c r="A5141" t="str">
        <f>TEST_DATA!A5141</f>
        <v>27AAAAA5141Z5</v>
      </c>
      <c r="B5141" t="str">
        <f>TEST_DATA!B5141</f>
        <v>Apr-2020</v>
      </c>
      <c r="C5141">
        <f>TEST_DATA!C5141</f>
        <v>43961</v>
      </c>
      <c r="D5141" t="str">
        <f>TEST_DATA!D5141</f>
        <v>NON-NIL</v>
      </c>
      <c r="E5141">
        <f>TEST_DATA!E5141</f>
        <v>2027</v>
      </c>
    </row>
    <row r="5142" spans="1:5" x14ac:dyDescent="0.55000000000000004">
      <c r="A5142" t="str">
        <f>TEST_DATA!A5142</f>
        <v>27AAAAA5142Z5</v>
      </c>
      <c r="B5142" t="str">
        <f>TEST_DATA!B5142</f>
        <v>Apr-2020</v>
      </c>
      <c r="C5142">
        <f>TEST_DATA!C5142</f>
        <v>44920</v>
      </c>
      <c r="D5142" t="str">
        <f>TEST_DATA!D5142</f>
        <v>NON-NIL</v>
      </c>
      <c r="E5142">
        <f>TEST_DATA!E5142</f>
        <v>1574</v>
      </c>
    </row>
    <row r="5143" spans="1:5" x14ac:dyDescent="0.55000000000000004">
      <c r="A5143" t="str">
        <f>TEST_DATA!A5143</f>
        <v>27AAAAA5143Z5</v>
      </c>
      <c r="B5143" t="str">
        <f>TEST_DATA!B5143</f>
        <v>Dec-2019</v>
      </c>
      <c r="C5143">
        <f>TEST_DATA!C5143</f>
        <v>44080</v>
      </c>
      <c r="D5143" t="str">
        <f>TEST_DATA!D5143</f>
        <v>NON-NIL</v>
      </c>
      <c r="E5143">
        <f>TEST_DATA!E5143</f>
        <v>2071</v>
      </c>
    </row>
    <row r="5144" spans="1:5" x14ac:dyDescent="0.55000000000000004">
      <c r="A5144" t="str">
        <f>TEST_DATA!A5144</f>
        <v>27AAAAA5144Z5</v>
      </c>
      <c r="B5144" t="str">
        <f>TEST_DATA!B5144</f>
        <v>Jan-2019</v>
      </c>
      <c r="C5144">
        <f>TEST_DATA!C5144</f>
        <v>44096</v>
      </c>
      <c r="D5144" t="str">
        <f>TEST_DATA!D5144</f>
        <v>NIL</v>
      </c>
      <c r="E5144">
        <f>TEST_DATA!E5144</f>
        <v>1311</v>
      </c>
    </row>
    <row r="5145" spans="1:5" x14ac:dyDescent="0.55000000000000004">
      <c r="A5145" t="str">
        <f>TEST_DATA!A5145</f>
        <v>27AAAAA5145Z5</v>
      </c>
      <c r="B5145" t="str">
        <f>TEST_DATA!B5145</f>
        <v>Jun-2019</v>
      </c>
      <c r="C5145">
        <f>TEST_DATA!C5145</f>
        <v>45828</v>
      </c>
      <c r="D5145" t="str">
        <f>TEST_DATA!D5145</f>
        <v>NIL</v>
      </c>
      <c r="E5145">
        <f>TEST_DATA!E5145</f>
        <v>2023</v>
      </c>
    </row>
    <row r="5146" spans="1:5" x14ac:dyDescent="0.55000000000000004">
      <c r="A5146" t="str">
        <f>TEST_DATA!A5146</f>
        <v>27AAAAA5146Z5</v>
      </c>
      <c r="B5146" t="str">
        <f>TEST_DATA!B5146</f>
        <v>Jan-2021</v>
      </c>
      <c r="C5146">
        <f>TEST_DATA!C5146</f>
        <v>43622</v>
      </c>
      <c r="D5146" t="str">
        <f>TEST_DATA!D5146</f>
        <v>NON-NIL</v>
      </c>
      <c r="E5146">
        <f>TEST_DATA!E5146</f>
        <v>2791</v>
      </c>
    </row>
    <row r="5147" spans="1:5" x14ac:dyDescent="0.55000000000000004">
      <c r="A5147" t="str">
        <f>TEST_DATA!A5147</f>
        <v>27AAAAA5147Z5</v>
      </c>
      <c r="B5147" t="str">
        <f>TEST_DATA!B5147</f>
        <v>Jun-2019</v>
      </c>
      <c r="C5147">
        <f>TEST_DATA!C5147</f>
        <v>43468</v>
      </c>
      <c r="D5147" t="str">
        <f>TEST_DATA!D5147</f>
        <v>NON-NIL</v>
      </c>
      <c r="E5147">
        <f>TEST_DATA!E5147</f>
        <v>2635</v>
      </c>
    </row>
    <row r="5148" spans="1:5" x14ac:dyDescent="0.55000000000000004">
      <c r="A5148" t="str">
        <f>TEST_DATA!A5148</f>
        <v>27AAAAA5148Z5</v>
      </c>
      <c r="B5148" t="str">
        <f>TEST_DATA!B5148</f>
        <v>Dec-2017</v>
      </c>
      <c r="C5148">
        <f>TEST_DATA!C5148</f>
        <v>44314</v>
      </c>
      <c r="D5148" t="str">
        <f>TEST_DATA!D5148</f>
        <v>NIL</v>
      </c>
      <c r="E5148">
        <f>TEST_DATA!E5148</f>
        <v>1510</v>
      </c>
    </row>
    <row r="5149" spans="1:5" x14ac:dyDescent="0.55000000000000004">
      <c r="A5149" t="str">
        <f>TEST_DATA!A5149</f>
        <v>27AAAAA5149Z5</v>
      </c>
      <c r="B5149" t="str">
        <f>TEST_DATA!B5149</f>
        <v>Aug-2017</v>
      </c>
      <c r="C5149">
        <f>TEST_DATA!C5149</f>
        <v>44341</v>
      </c>
      <c r="D5149" t="str">
        <f>TEST_DATA!D5149</f>
        <v>NON-NIL</v>
      </c>
      <c r="E5149">
        <f>TEST_DATA!E5149</f>
        <v>122</v>
      </c>
    </row>
    <row r="5150" spans="1:5" x14ac:dyDescent="0.55000000000000004">
      <c r="A5150" t="str">
        <f>TEST_DATA!A5150</f>
        <v>27AAAAA5150Z5</v>
      </c>
      <c r="B5150" t="str">
        <f>TEST_DATA!B5150</f>
        <v>Jun-2020</v>
      </c>
      <c r="C5150">
        <f>TEST_DATA!C5150</f>
        <v>44569</v>
      </c>
      <c r="D5150" t="str">
        <f>TEST_DATA!D5150</f>
        <v>NON-NIL</v>
      </c>
      <c r="E5150">
        <f>TEST_DATA!E5150</f>
        <v>1560</v>
      </c>
    </row>
    <row r="5151" spans="1:5" x14ac:dyDescent="0.55000000000000004">
      <c r="A5151" t="str">
        <f>TEST_DATA!A5151</f>
        <v>27AAAAA5151Z5</v>
      </c>
      <c r="B5151" t="str">
        <f>TEST_DATA!B5151</f>
        <v>Jan-2021</v>
      </c>
      <c r="C5151">
        <f>TEST_DATA!C5151</f>
        <v>44825</v>
      </c>
      <c r="D5151" t="str">
        <f>TEST_DATA!D5151</f>
        <v>NON-NIL</v>
      </c>
      <c r="E5151">
        <f>TEST_DATA!E5151</f>
        <v>2331</v>
      </c>
    </row>
    <row r="5152" spans="1:5" x14ac:dyDescent="0.55000000000000004">
      <c r="A5152" t="str">
        <f>TEST_DATA!A5152</f>
        <v>27AAAAA5152Z5</v>
      </c>
      <c r="B5152" t="str">
        <f>TEST_DATA!B5152</f>
        <v>Aug-2017</v>
      </c>
      <c r="C5152">
        <f>TEST_DATA!C5152</f>
        <v>42979</v>
      </c>
      <c r="D5152" t="str">
        <f>TEST_DATA!D5152</f>
        <v>NIL</v>
      </c>
      <c r="E5152">
        <f>TEST_DATA!E5152</f>
        <v>687</v>
      </c>
    </row>
    <row r="5153" spans="1:5" x14ac:dyDescent="0.55000000000000004">
      <c r="A5153" t="str">
        <f>TEST_DATA!A5153</f>
        <v>27AAAAA5153Z5</v>
      </c>
      <c r="B5153" t="str">
        <f>TEST_DATA!B5153</f>
        <v>Mar-2018</v>
      </c>
      <c r="C5153">
        <f>TEST_DATA!C5153</f>
        <v>44026</v>
      </c>
      <c r="D5153" t="str">
        <f>TEST_DATA!D5153</f>
        <v>NIL</v>
      </c>
      <c r="E5153">
        <f>TEST_DATA!E5153</f>
        <v>1403</v>
      </c>
    </row>
    <row r="5154" spans="1:5" x14ac:dyDescent="0.55000000000000004">
      <c r="A5154" t="str">
        <f>TEST_DATA!A5154</f>
        <v>27AAAAA5154Z5</v>
      </c>
      <c r="B5154" t="str">
        <f>TEST_DATA!B5154</f>
        <v>Mar-2023</v>
      </c>
      <c r="C5154">
        <f>TEST_DATA!C5154</f>
        <v>45000</v>
      </c>
      <c r="D5154" t="str">
        <f>TEST_DATA!D5154</f>
        <v>NON-NIL</v>
      </c>
      <c r="E5154">
        <f>TEST_DATA!E5154</f>
        <v>1028</v>
      </c>
    </row>
    <row r="5155" spans="1:5" x14ac:dyDescent="0.55000000000000004">
      <c r="A5155" t="str">
        <f>TEST_DATA!A5155</f>
        <v>27AAAAA5155Z5</v>
      </c>
      <c r="B5155" t="str">
        <f>TEST_DATA!B5155</f>
        <v>Dec-2017</v>
      </c>
      <c r="C5155">
        <f>TEST_DATA!C5155</f>
        <v>43989</v>
      </c>
      <c r="D5155" t="str">
        <f>TEST_DATA!D5155</f>
        <v>NON-NIL</v>
      </c>
      <c r="E5155">
        <f>TEST_DATA!E5155</f>
        <v>1886</v>
      </c>
    </row>
    <row r="5156" spans="1:5" x14ac:dyDescent="0.55000000000000004">
      <c r="A5156" t="str">
        <f>TEST_DATA!A5156</f>
        <v>27AAAAA5156Z5</v>
      </c>
      <c r="B5156" t="str">
        <f>TEST_DATA!B5156</f>
        <v>Mar-2020</v>
      </c>
      <c r="C5156">
        <f>TEST_DATA!C5156</f>
        <v>44638</v>
      </c>
      <c r="D5156" t="str">
        <f>TEST_DATA!D5156</f>
        <v>NIL</v>
      </c>
      <c r="E5156">
        <f>TEST_DATA!E5156</f>
        <v>574</v>
      </c>
    </row>
    <row r="5157" spans="1:5" x14ac:dyDescent="0.55000000000000004">
      <c r="A5157" t="str">
        <f>TEST_DATA!A5157</f>
        <v>27AAAAA5157Z5</v>
      </c>
      <c r="B5157" t="str">
        <f>TEST_DATA!B5157</f>
        <v>Jun-2018</v>
      </c>
      <c r="C5157">
        <f>TEST_DATA!C5157</f>
        <v>44169</v>
      </c>
      <c r="D5157" t="str">
        <f>TEST_DATA!D5157</f>
        <v>NON-NIL</v>
      </c>
      <c r="E5157">
        <f>TEST_DATA!E5157</f>
        <v>760</v>
      </c>
    </row>
    <row r="5158" spans="1:5" x14ac:dyDescent="0.55000000000000004">
      <c r="A5158" t="str">
        <f>TEST_DATA!A5158</f>
        <v>27AAAAA5158Z5</v>
      </c>
      <c r="B5158" t="str">
        <f>TEST_DATA!B5158</f>
        <v>May-2020</v>
      </c>
      <c r="C5158">
        <f>TEST_DATA!C5158</f>
        <v>44336</v>
      </c>
      <c r="D5158" t="str">
        <f>TEST_DATA!D5158</f>
        <v>NIL</v>
      </c>
      <c r="E5158">
        <f>TEST_DATA!E5158</f>
        <v>2799</v>
      </c>
    </row>
    <row r="5159" spans="1:5" x14ac:dyDescent="0.55000000000000004">
      <c r="A5159" t="str">
        <f>TEST_DATA!A5159</f>
        <v>27AAAAA5159Z5</v>
      </c>
      <c r="B5159" t="str">
        <f>TEST_DATA!B5159</f>
        <v>Dec-2019</v>
      </c>
      <c r="C5159">
        <f>TEST_DATA!C5159</f>
        <v>45825</v>
      </c>
      <c r="D5159" t="str">
        <f>TEST_DATA!D5159</f>
        <v>NON-NIL</v>
      </c>
      <c r="E5159">
        <f>TEST_DATA!E5159</f>
        <v>1603</v>
      </c>
    </row>
    <row r="5160" spans="1:5" x14ac:dyDescent="0.55000000000000004">
      <c r="A5160" t="str">
        <f>TEST_DATA!A5160</f>
        <v>27AAAAA5160Z5</v>
      </c>
      <c r="B5160" t="str">
        <f>TEST_DATA!B5160</f>
        <v>Dec-2022</v>
      </c>
      <c r="C5160">
        <f>TEST_DATA!C5160</f>
        <v>44376</v>
      </c>
      <c r="D5160" t="str">
        <f>TEST_DATA!D5160</f>
        <v>NIL</v>
      </c>
      <c r="E5160">
        <f>TEST_DATA!E5160</f>
        <v>2237</v>
      </c>
    </row>
    <row r="5161" spans="1:5" x14ac:dyDescent="0.55000000000000004">
      <c r="A5161" t="str">
        <f>TEST_DATA!A5161</f>
        <v>27AAAAA5161Z5</v>
      </c>
      <c r="B5161" t="str">
        <f>TEST_DATA!B5161</f>
        <v>Dec-2024</v>
      </c>
      <c r="C5161">
        <f>TEST_DATA!C5161</f>
        <v>45811</v>
      </c>
      <c r="D5161" t="str">
        <f>TEST_DATA!D5161</f>
        <v>NIL</v>
      </c>
      <c r="E5161">
        <f>TEST_DATA!E5161</f>
        <v>1393</v>
      </c>
    </row>
    <row r="5162" spans="1:5" x14ac:dyDescent="0.55000000000000004">
      <c r="A5162" t="str">
        <f>TEST_DATA!A5162</f>
        <v>27AAAAA5162Z5</v>
      </c>
      <c r="B5162" t="str">
        <f>TEST_DATA!B5162</f>
        <v>Jul-2018</v>
      </c>
      <c r="C5162">
        <f>TEST_DATA!C5162</f>
        <v>43253</v>
      </c>
      <c r="D5162" t="str">
        <f>TEST_DATA!D5162</f>
        <v>NON-NIL</v>
      </c>
      <c r="E5162">
        <f>TEST_DATA!E5162</f>
        <v>326</v>
      </c>
    </row>
    <row r="5163" spans="1:5" x14ac:dyDescent="0.55000000000000004">
      <c r="A5163" t="str">
        <f>TEST_DATA!A5163</f>
        <v>27AAAAA5163Z5</v>
      </c>
      <c r="B5163" t="str">
        <f>TEST_DATA!B5163</f>
        <v>Jun-2020</v>
      </c>
      <c r="C5163">
        <f>TEST_DATA!C5163</f>
        <v>44502</v>
      </c>
      <c r="D5163" t="str">
        <f>TEST_DATA!D5163</f>
        <v>NIL</v>
      </c>
      <c r="E5163">
        <f>TEST_DATA!E5163</f>
        <v>2183</v>
      </c>
    </row>
    <row r="5164" spans="1:5" x14ac:dyDescent="0.55000000000000004">
      <c r="A5164" t="str">
        <f>TEST_DATA!A5164</f>
        <v>27AAAAA5164Z5</v>
      </c>
      <c r="B5164" t="str">
        <f>TEST_DATA!B5164</f>
        <v>Mar-2021</v>
      </c>
      <c r="C5164">
        <f>TEST_DATA!C5164</f>
        <v>44849</v>
      </c>
      <c r="D5164" t="str">
        <f>TEST_DATA!D5164</f>
        <v>NON-NIL</v>
      </c>
      <c r="E5164">
        <f>TEST_DATA!E5164</f>
        <v>728</v>
      </c>
    </row>
    <row r="5165" spans="1:5" x14ac:dyDescent="0.55000000000000004">
      <c r="A5165" t="str">
        <f>TEST_DATA!A5165</f>
        <v>27AAAAA5165Z5</v>
      </c>
      <c r="B5165" t="str">
        <f>TEST_DATA!B5165</f>
        <v>May-2018</v>
      </c>
      <c r="C5165">
        <f>TEST_DATA!C5165</f>
        <v>43713</v>
      </c>
      <c r="D5165" t="str">
        <f>TEST_DATA!D5165</f>
        <v>NIL</v>
      </c>
      <c r="E5165">
        <f>TEST_DATA!E5165</f>
        <v>2357</v>
      </c>
    </row>
    <row r="5166" spans="1:5" x14ac:dyDescent="0.55000000000000004">
      <c r="A5166" t="str">
        <f>TEST_DATA!A5166</f>
        <v>27AAAAA5166Z5</v>
      </c>
      <c r="B5166" t="str">
        <f>TEST_DATA!B5166</f>
        <v>Dec-2017</v>
      </c>
      <c r="C5166">
        <f>TEST_DATA!C5166</f>
        <v>43743</v>
      </c>
      <c r="D5166" t="str">
        <f>TEST_DATA!D5166</f>
        <v>NIL</v>
      </c>
      <c r="E5166">
        <f>TEST_DATA!E5166</f>
        <v>2845</v>
      </c>
    </row>
    <row r="5167" spans="1:5" x14ac:dyDescent="0.55000000000000004">
      <c r="A5167" t="str">
        <f>TEST_DATA!A5167</f>
        <v>27AAAAA5167Z5</v>
      </c>
      <c r="B5167" t="str">
        <f>TEST_DATA!B5167</f>
        <v>Feb-2018</v>
      </c>
      <c r="C5167">
        <f>TEST_DATA!C5167</f>
        <v>43620</v>
      </c>
      <c r="D5167" t="str">
        <f>TEST_DATA!D5167</f>
        <v>NON-NIL</v>
      </c>
      <c r="E5167">
        <f>TEST_DATA!E5167</f>
        <v>418</v>
      </c>
    </row>
    <row r="5168" spans="1:5" x14ac:dyDescent="0.55000000000000004">
      <c r="A5168" t="str">
        <f>TEST_DATA!A5168</f>
        <v>27AAAAA5168Z5</v>
      </c>
      <c r="B5168" t="str">
        <f>TEST_DATA!B5168</f>
        <v>Feb-2018</v>
      </c>
      <c r="C5168">
        <f>TEST_DATA!C5168</f>
        <v>43950</v>
      </c>
      <c r="D5168" t="str">
        <f>TEST_DATA!D5168</f>
        <v>NIL</v>
      </c>
      <c r="E5168">
        <f>TEST_DATA!E5168</f>
        <v>2293</v>
      </c>
    </row>
    <row r="5169" spans="1:5" x14ac:dyDescent="0.55000000000000004">
      <c r="A5169" t="str">
        <f>TEST_DATA!A5169</f>
        <v>27AAAAA5169Z5</v>
      </c>
      <c r="B5169" t="str">
        <f>TEST_DATA!B5169</f>
        <v>Jul-2020</v>
      </c>
      <c r="C5169">
        <f>TEST_DATA!C5169</f>
        <v>44632</v>
      </c>
      <c r="D5169" t="str">
        <f>TEST_DATA!D5169</f>
        <v>NON-NIL</v>
      </c>
      <c r="E5169">
        <f>TEST_DATA!E5169</f>
        <v>1498</v>
      </c>
    </row>
    <row r="5170" spans="1:5" x14ac:dyDescent="0.55000000000000004">
      <c r="A5170" t="str">
        <f>TEST_DATA!A5170</f>
        <v>27AAAAA5170Z5</v>
      </c>
      <c r="B5170" t="str">
        <f>TEST_DATA!B5170</f>
        <v>Jul-2017</v>
      </c>
      <c r="C5170">
        <f>TEST_DATA!C5170</f>
        <v>44239</v>
      </c>
      <c r="D5170" t="str">
        <f>TEST_DATA!D5170</f>
        <v>NON-NIL</v>
      </c>
      <c r="E5170">
        <f>TEST_DATA!E5170</f>
        <v>2125</v>
      </c>
    </row>
    <row r="5171" spans="1:5" x14ac:dyDescent="0.55000000000000004">
      <c r="A5171" t="str">
        <f>TEST_DATA!A5171</f>
        <v>27AAAAA5171Z5</v>
      </c>
      <c r="B5171" t="str">
        <f>TEST_DATA!B5171</f>
        <v>Mar-2018</v>
      </c>
      <c r="C5171">
        <f>TEST_DATA!C5171</f>
        <v>43708</v>
      </c>
      <c r="D5171" t="str">
        <f>TEST_DATA!D5171</f>
        <v>NON-NIL</v>
      </c>
      <c r="E5171">
        <f>TEST_DATA!E5171</f>
        <v>64</v>
      </c>
    </row>
    <row r="5172" spans="1:5" x14ac:dyDescent="0.55000000000000004">
      <c r="A5172" t="str">
        <f>TEST_DATA!A5172</f>
        <v>27AAAAA5172Z5</v>
      </c>
      <c r="B5172" t="str">
        <f>TEST_DATA!B5172</f>
        <v>Apr-2020</v>
      </c>
      <c r="C5172">
        <f>TEST_DATA!C5172</f>
        <v>44487</v>
      </c>
      <c r="D5172" t="str">
        <f>TEST_DATA!D5172</f>
        <v>NON-NIL</v>
      </c>
      <c r="E5172">
        <f>TEST_DATA!E5172</f>
        <v>2785</v>
      </c>
    </row>
    <row r="5173" spans="1:5" x14ac:dyDescent="0.55000000000000004">
      <c r="A5173" t="str">
        <f>TEST_DATA!A5173</f>
        <v>27AAAAA5173Z5</v>
      </c>
      <c r="B5173" t="str">
        <f>TEST_DATA!B5173</f>
        <v>Apr-2018</v>
      </c>
      <c r="C5173">
        <f>TEST_DATA!C5173</f>
        <v>43452</v>
      </c>
      <c r="D5173" t="str">
        <f>TEST_DATA!D5173</f>
        <v>NIL</v>
      </c>
      <c r="E5173">
        <f>TEST_DATA!E5173</f>
        <v>31</v>
      </c>
    </row>
    <row r="5174" spans="1:5" x14ac:dyDescent="0.55000000000000004">
      <c r="A5174" t="str">
        <f>TEST_DATA!A5174</f>
        <v>27AAAAA5174Z5</v>
      </c>
      <c r="B5174" t="str">
        <f>TEST_DATA!B5174</f>
        <v>Jan-2018</v>
      </c>
      <c r="C5174">
        <f>TEST_DATA!C5174</f>
        <v>43544</v>
      </c>
      <c r="D5174" t="str">
        <f>TEST_DATA!D5174</f>
        <v>NIL</v>
      </c>
      <c r="E5174">
        <f>TEST_DATA!E5174</f>
        <v>2766</v>
      </c>
    </row>
    <row r="5175" spans="1:5" x14ac:dyDescent="0.55000000000000004">
      <c r="A5175" t="str">
        <f>TEST_DATA!A5175</f>
        <v>27AAAAA5175Z5</v>
      </c>
      <c r="B5175" t="str">
        <f>TEST_DATA!B5175</f>
        <v>Dec-2024</v>
      </c>
      <c r="C5175">
        <f>TEST_DATA!C5175</f>
        <v>45564</v>
      </c>
      <c r="D5175" t="str">
        <f>TEST_DATA!D5175</f>
        <v>NIL</v>
      </c>
      <c r="E5175">
        <f>TEST_DATA!E5175</f>
        <v>463</v>
      </c>
    </row>
    <row r="5176" spans="1:5" x14ac:dyDescent="0.55000000000000004">
      <c r="A5176" t="str">
        <f>TEST_DATA!A5176</f>
        <v>27AAAAA5176Z5</v>
      </c>
      <c r="B5176" t="str">
        <f>TEST_DATA!B5176</f>
        <v>Jan-2019</v>
      </c>
      <c r="C5176">
        <f>TEST_DATA!C5176</f>
        <v>45449</v>
      </c>
      <c r="D5176" t="str">
        <f>TEST_DATA!D5176</f>
        <v>NIL</v>
      </c>
      <c r="E5176">
        <f>TEST_DATA!E5176</f>
        <v>192</v>
      </c>
    </row>
    <row r="5177" spans="1:5" x14ac:dyDescent="0.55000000000000004">
      <c r="A5177" t="str">
        <f>TEST_DATA!A5177</f>
        <v>27AAAAA5177Z5</v>
      </c>
      <c r="B5177" t="str">
        <f>TEST_DATA!B5177</f>
        <v>Jan-2018</v>
      </c>
      <c r="C5177">
        <f>TEST_DATA!C5177</f>
        <v>43985</v>
      </c>
      <c r="D5177" t="str">
        <f>TEST_DATA!D5177</f>
        <v>NON-NIL</v>
      </c>
      <c r="E5177">
        <f>TEST_DATA!E5177</f>
        <v>2383</v>
      </c>
    </row>
    <row r="5178" spans="1:5" x14ac:dyDescent="0.55000000000000004">
      <c r="A5178" t="str">
        <f>TEST_DATA!A5178</f>
        <v>27AAAAA5178Z5</v>
      </c>
      <c r="B5178" t="str">
        <f>TEST_DATA!B5178</f>
        <v>Feb-2018</v>
      </c>
      <c r="C5178">
        <f>TEST_DATA!C5178</f>
        <v>43468</v>
      </c>
      <c r="D5178" t="str">
        <f>TEST_DATA!D5178</f>
        <v>NIL</v>
      </c>
      <c r="E5178">
        <f>TEST_DATA!E5178</f>
        <v>352</v>
      </c>
    </row>
    <row r="5179" spans="1:5" x14ac:dyDescent="0.55000000000000004">
      <c r="A5179" t="str">
        <f>TEST_DATA!A5179</f>
        <v>27AAAAA5179Z5</v>
      </c>
      <c r="B5179" t="str">
        <f>TEST_DATA!B5179</f>
        <v>Dec-2022</v>
      </c>
      <c r="C5179">
        <f>TEST_DATA!C5179</f>
        <v>44957</v>
      </c>
      <c r="D5179" t="str">
        <f>TEST_DATA!D5179</f>
        <v>NIL</v>
      </c>
      <c r="E5179">
        <f>TEST_DATA!E5179</f>
        <v>1615</v>
      </c>
    </row>
    <row r="5180" spans="1:5" x14ac:dyDescent="0.55000000000000004">
      <c r="A5180" t="str">
        <f>TEST_DATA!A5180</f>
        <v>27AAAAA5180Z5</v>
      </c>
      <c r="B5180" t="str">
        <f>TEST_DATA!B5180</f>
        <v>Apr-2018</v>
      </c>
      <c r="C5180">
        <f>TEST_DATA!C5180</f>
        <v>43097</v>
      </c>
      <c r="D5180" t="str">
        <f>TEST_DATA!D5180</f>
        <v>NON-NIL</v>
      </c>
      <c r="E5180">
        <f>TEST_DATA!E5180</f>
        <v>1202</v>
      </c>
    </row>
    <row r="5181" spans="1:5" x14ac:dyDescent="0.55000000000000004">
      <c r="A5181" t="str">
        <f>TEST_DATA!A5181</f>
        <v>27AAAAA5181Z5</v>
      </c>
      <c r="B5181" t="str">
        <f>TEST_DATA!B5181</f>
        <v>Sep-2018</v>
      </c>
      <c r="C5181">
        <f>TEST_DATA!C5181</f>
        <v>43137</v>
      </c>
      <c r="D5181" t="str">
        <f>TEST_DATA!D5181</f>
        <v>NON-NIL</v>
      </c>
      <c r="E5181">
        <f>TEST_DATA!E5181</f>
        <v>1342</v>
      </c>
    </row>
    <row r="5182" spans="1:5" x14ac:dyDescent="0.55000000000000004">
      <c r="A5182" t="str">
        <f>TEST_DATA!A5182</f>
        <v>27AAAAA5182Z5</v>
      </c>
      <c r="B5182" t="str">
        <f>TEST_DATA!B5182</f>
        <v>Jan-2018</v>
      </c>
      <c r="C5182">
        <f>TEST_DATA!C5182</f>
        <v>43136</v>
      </c>
      <c r="D5182" t="str">
        <f>TEST_DATA!D5182</f>
        <v>NIL</v>
      </c>
      <c r="E5182">
        <f>TEST_DATA!E5182</f>
        <v>2985</v>
      </c>
    </row>
    <row r="5183" spans="1:5" x14ac:dyDescent="0.55000000000000004">
      <c r="A5183" t="str">
        <f>TEST_DATA!A5183</f>
        <v>27AAAAA5183Z5</v>
      </c>
      <c r="B5183" t="str">
        <f>TEST_DATA!B5183</f>
        <v>Dec-2017</v>
      </c>
      <c r="C5183">
        <f>TEST_DATA!C5183</f>
        <v>43666</v>
      </c>
      <c r="D5183" t="str">
        <f>TEST_DATA!D5183</f>
        <v>NIL</v>
      </c>
      <c r="E5183">
        <f>TEST_DATA!E5183</f>
        <v>1718</v>
      </c>
    </row>
    <row r="5184" spans="1:5" x14ac:dyDescent="0.55000000000000004">
      <c r="A5184" t="str">
        <f>TEST_DATA!A5184</f>
        <v>27AAAAA5184Z5</v>
      </c>
      <c r="B5184" t="str">
        <f>TEST_DATA!B5184</f>
        <v>Jan-2019</v>
      </c>
      <c r="C5184">
        <f>TEST_DATA!C5184</f>
        <v>45614</v>
      </c>
      <c r="D5184" t="str">
        <f>TEST_DATA!D5184</f>
        <v>NIL</v>
      </c>
      <c r="E5184">
        <f>TEST_DATA!E5184</f>
        <v>975</v>
      </c>
    </row>
    <row r="5185" spans="1:5" x14ac:dyDescent="0.55000000000000004">
      <c r="A5185" t="str">
        <f>TEST_DATA!A5185</f>
        <v>27AAAAA5185Z5</v>
      </c>
      <c r="B5185" t="str">
        <f>TEST_DATA!B5185</f>
        <v>Apr-2021</v>
      </c>
      <c r="C5185">
        <f>TEST_DATA!C5185</f>
        <v>45211</v>
      </c>
      <c r="D5185" t="str">
        <f>TEST_DATA!D5185</f>
        <v>NON-NIL</v>
      </c>
      <c r="E5185">
        <f>TEST_DATA!E5185</f>
        <v>1299</v>
      </c>
    </row>
    <row r="5186" spans="1:5" x14ac:dyDescent="0.55000000000000004">
      <c r="A5186" t="str">
        <f>TEST_DATA!A5186</f>
        <v>27AAAAA5186Z5</v>
      </c>
      <c r="B5186" t="str">
        <f>TEST_DATA!B5186</f>
        <v>Aug-2017</v>
      </c>
      <c r="C5186">
        <f>TEST_DATA!C5186</f>
        <v>42949</v>
      </c>
      <c r="D5186" t="str">
        <f>TEST_DATA!D5186</f>
        <v>NON-NIL</v>
      </c>
      <c r="E5186">
        <f>TEST_DATA!E5186</f>
        <v>613</v>
      </c>
    </row>
    <row r="5187" spans="1:5" x14ac:dyDescent="0.55000000000000004">
      <c r="A5187" t="str">
        <f>TEST_DATA!A5187</f>
        <v>27AAAAA5187Z5</v>
      </c>
      <c r="B5187" t="str">
        <f>TEST_DATA!B5187</f>
        <v>Jul-2020</v>
      </c>
      <c r="C5187">
        <f>TEST_DATA!C5187</f>
        <v>44054</v>
      </c>
      <c r="D5187" t="str">
        <f>TEST_DATA!D5187</f>
        <v>NON-NIL</v>
      </c>
      <c r="E5187">
        <f>TEST_DATA!E5187</f>
        <v>356</v>
      </c>
    </row>
    <row r="5188" spans="1:5" x14ac:dyDescent="0.55000000000000004">
      <c r="A5188" t="str">
        <f>TEST_DATA!A5188</f>
        <v>27AAAAA5188Z5</v>
      </c>
      <c r="B5188" t="str">
        <f>TEST_DATA!B5188</f>
        <v>Aug-2017</v>
      </c>
      <c r="C5188">
        <f>TEST_DATA!C5188</f>
        <v>44506</v>
      </c>
      <c r="D5188" t="str">
        <f>TEST_DATA!D5188</f>
        <v>NON-NIL</v>
      </c>
      <c r="E5188">
        <f>TEST_DATA!E5188</f>
        <v>726</v>
      </c>
    </row>
    <row r="5189" spans="1:5" x14ac:dyDescent="0.55000000000000004">
      <c r="A5189" t="str">
        <f>TEST_DATA!A5189</f>
        <v>27AAAAA5189Z5</v>
      </c>
      <c r="B5189" t="str">
        <f>TEST_DATA!B5189</f>
        <v>Sep-2018</v>
      </c>
      <c r="C5189">
        <f>TEST_DATA!C5189</f>
        <v>43701</v>
      </c>
      <c r="D5189" t="str">
        <f>TEST_DATA!D5189</f>
        <v>NIL</v>
      </c>
      <c r="E5189">
        <f>TEST_DATA!E5189</f>
        <v>2851</v>
      </c>
    </row>
    <row r="5190" spans="1:5" x14ac:dyDescent="0.55000000000000004">
      <c r="A5190" t="str">
        <f>TEST_DATA!A5190</f>
        <v>27AAAAA5190Z5</v>
      </c>
      <c r="B5190" t="str">
        <f>TEST_DATA!B5190</f>
        <v>Mar-2020</v>
      </c>
      <c r="C5190">
        <f>TEST_DATA!C5190</f>
        <v>44903</v>
      </c>
      <c r="D5190" t="str">
        <f>TEST_DATA!D5190</f>
        <v>NON-NIL</v>
      </c>
      <c r="E5190">
        <f>TEST_DATA!E5190</f>
        <v>2299</v>
      </c>
    </row>
    <row r="5191" spans="1:5" x14ac:dyDescent="0.55000000000000004">
      <c r="A5191" t="str">
        <f>TEST_DATA!A5191</f>
        <v>27AAAAA5191Z5</v>
      </c>
      <c r="B5191" t="str">
        <f>TEST_DATA!B5191</f>
        <v>Aug-2017</v>
      </c>
      <c r="C5191">
        <f>TEST_DATA!C5191</f>
        <v>44156</v>
      </c>
      <c r="D5191" t="str">
        <f>TEST_DATA!D5191</f>
        <v>NIL</v>
      </c>
      <c r="E5191">
        <f>TEST_DATA!E5191</f>
        <v>1957</v>
      </c>
    </row>
    <row r="5192" spans="1:5" x14ac:dyDescent="0.55000000000000004">
      <c r="A5192" t="str">
        <f>TEST_DATA!A5192</f>
        <v>27AAAAA5192Z5</v>
      </c>
      <c r="B5192" t="str">
        <f>TEST_DATA!B5192</f>
        <v>Jul-2017</v>
      </c>
      <c r="C5192">
        <f>TEST_DATA!C5192</f>
        <v>43473</v>
      </c>
      <c r="D5192" t="str">
        <f>TEST_DATA!D5192</f>
        <v>NON-NIL</v>
      </c>
      <c r="E5192">
        <f>TEST_DATA!E5192</f>
        <v>531</v>
      </c>
    </row>
    <row r="5193" spans="1:5" x14ac:dyDescent="0.55000000000000004">
      <c r="A5193" t="str">
        <f>TEST_DATA!A5193</f>
        <v>27AAAAA5193Z5</v>
      </c>
      <c r="B5193" t="str">
        <f>TEST_DATA!B5193</f>
        <v>Feb-2018</v>
      </c>
      <c r="C5193">
        <f>TEST_DATA!C5193</f>
        <v>43970</v>
      </c>
      <c r="D5193" t="str">
        <f>TEST_DATA!D5193</f>
        <v>NON-NIL</v>
      </c>
      <c r="E5193">
        <f>TEST_DATA!E5193</f>
        <v>1647</v>
      </c>
    </row>
    <row r="5194" spans="1:5" x14ac:dyDescent="0.55000000000000004">
      <c r="A5194" t="str">
        <f>TEST_DATA!A5194</f>
        <v>27AAAAA5194Z5</v>
      </c>
      <c r="B5194" t="str">
        <f>TEST_DATA!B5194</f>
        <v>Dec-2017</v>
      </c>
      <c r="C5194">
        <f>TEST_DATA!C5194</f>
        <v>43197</v>
      </c>
      <c r="D5194" t="str">
        <f>TEST_DATA!D5194</f>
        <v>NON-NIL</v>
      </c>
      <c r="E5194">
        <f>TEST_DATA!E5194</f>
        <v>2283</v>
      </c>
    </row>
    <row r="5195" spans="1:5" x14ac:dyDescent="0.55000000000000004">
      <c r="A5195" t="str">
        <f>TEST_DATA!A5195</f>
        <v>27AAAAA5195Z5</v>
      </c>
      <c r="B5195" t="str">
        <f>TEST_DATA!B5195</f>
        <v>Apr-2021</v>
      </c>
      <c r="C5195">
        <f>TEST_DATA!C5195</f>
        <v>45219</v>
      </c>
      <c r="D5195" t="str">
        <f>TEST_DATA!D5195</f>
        <v>NON-NIL</v>
      </c>
      <c r="E5195">
        <f>TEST_DATA!E5195</f>
        <v>239</v>
      </c>
    </row>
    <row r="5196" spans="1:5" x14ac:dyDescent="0.55000000000000004">
      <c r="A5196" t="str">
        <f>TEST_DATA!A5196</f>
        <v>27AAAAA5196Z5</v>
      </c>
      <c r="B5196" t="str">
        <f>TEST_DATA!B5196</f>
        <v>May-2018</v>
      </c>
      <c r="C5196">
        <f>TEST_DATA!C5196</f>
        <v>44499</v>
      </c>
      <c r="D5196" t="str">
        <f>TEST_DATA!D5196</f>
        <v>NON-NIL</v>
      </c>
      <c r="E5196">
        <f>TEST_DATA!E5196</f>
        <v>1842</v>
      </c>
    </row>
    <row r="5197" spans="1:5" x14ac:dyDescent="0.55000000000000004">
      <c r="A5197" t="str">
        <f>TEST_DATA!A5197</f>
        <v>27AAAAA5197Z5</v>
      </c>
      <c r="B5197" t="str">
        <f>TEST_DATA!B5197</f>
        <v>Dec-2019</v>
      </c>
      <c r="C5197">
        <f>TEST_DATA!C5197</f>
        <v>45277</v>
      </c>
      <c r="D5197" t="str">
        <f>TEST_DATA!D5197</f>
        <v>NON-NIL</v>
      </c>
      <c r="E5197">
        <f>TEST_DATA!E5197</f>
        <v>1223</v>
      </c>
    </row>
    <row r="5198" spans="1:5" x14ac:dyDescent="0.55000000000000004">
      <c r="A5198" t="str">
        <f>TEST_DATA!A5198</f>
        <v>27AAAAA5198Z5</v>
      </c>
      <c r="B5198" t="str">
        <f>TEST_DATA!B5198</f>
        <v>Mar-2023</v>
      </c>
      <c r="C5198">
        <f>TEST_DATA!C5198</f>
        <v>44152</v>
      </c>
      <c r="D5198" t="str">
        <f>TEST_DATA!D5198</f>
        <v>NIL</v>
      </c>
      <c r="E5198">
        <f>TEST_DATA!E5198</f>
        <v>2018</v>
      </c>
    </row>
    <row r="5199" spans="1:5" x14ac:dyDescent="0.55000000000000004">
      <c r="A5199" t="str">
        <f>TEST_DATA!A5199</f>
        <v>27AAAAA5199Z5</v>
      </c>
      <c r="B5199" t="str">
        <f>TEST_DATA!B5199</f>
        <v>Jul-2020</v>
      </c>
      <c r="C5199">
        <f>TEST_DATA!C5199</f>
        <v>44522</v>
      </c>
      <c r="D5199" t="str">
        <f>TEST_DATA!D5199</f>
        <v>NON-NIL</v>
      </c>
      <c r="E5199">
        <f>TEST_DATA!E5199</f>
        <v>2741</v>
      </c>
    </row>
    <row r="5200" spans="1:5" x14ac:dyDescent="0.55000000000000004">
      <c r="A5200" t="str">
        <f>TEST_DATA!A5200</f>
        <v>27AAAAA5200Z5</v>
      </c>
      <c r="B5200" t="str">
        <f>TEST_DATA!B5200</f>
        <v>Mar-2018</v>
      </c>
      <c r="C5200">
        <f>TEST_DATA!C5200</f>
        <v>44025</v>
      </c>
      <c r="D5200" t="str">
        <f>TEST_DATA!D5200</f>
        <v>NON-NIL</v>
      </c>
      <c r="E5200">
        <f>TEST_DATA!E5200</f>
        <v>2409</v>
      </c>
    </row>
    <row r="5201" spans="1:5" x14ac:dyDescent="0.55000000000000004">
      <c r="A5201" t="str">
        <f>TEST_DATA!A5201</f>
        <v>27AAAAA5201Z5</v>
      </c>
      <c r="B5201" t="str">
        <f>TEST_DATA!B5201</f>
        <v>Aug-2018</v>
      </c>
      <c r="C5201">
        <f>TEST_DATA!C5201</f>
        <v>43661</v>
      </c>
      <c r="D5201" t="str">
        <f>TEST_DATA!D5201</f>
        <v>NON-NIL</v>
      </c>
      <c r="E5201">
        <f>TEST_DATA!E5201</f>
        <v>2919</v>
      </c>
    </row>
    <row r="5202" spans="1:5" x14ac:dyDescent="0.55000000000000004">
      <c r="A5202" t="str">
        <f>TEST_DATA!A5202</f>
        <v>27AAAAA5202Z5</v>
      </c>
      <c r="B5202" t="str">
        <f>TEST_DATA!B5202</f>
        <v>Dec-2022</v>
      </c>
      <c r="C5202">
        <f>TEST_DATA!C5202</f>
        <v>44645</v>
      </c>
      <c r="D5202" t="str">
        <f>TEST_DATA!D5202</f>
        <v>NIL</v>
      </c>
      <c r="E5202">
        <f>TEST_DATA!E5202</f>
        <v>2056</v>
      </c>
    </row>
    <row r="5203" spans="1:5" x14ac:dyDescent="0.55000000000000004">
      <c r="A5203" t="str">
        <f>TEST_DATA!A5203</f>
        <v>27AAAAA5203Z5</v>
      </c>
      <c r="B5203" t="str">
        <f>TEST_DATA!B5203</f>
        <v>Nov-2017</v>
      </c>
      <c r="C5203">
        <f>TEST_DATA!C5203</f>
        <v>43540</v>
      </c>
      <c r="D5203" t="str">
        <f>TEST_DATA!D5203</f>
        <v>NIL</v>
      </c>
      <c r="E5203">
        <f>TEST_DATA!E5203</f>
        <v>339</v>
      </c>
    </row>
    <row r="5204" spans="1:5" x14ac:dyDescent="0.55000000000000004">
      <c r="A5204" t="str">
        <f>TEST_DATA!A5204</f>
        <v>27AAAAA5204Z5</v>
      </c>
      <c r="B5204" t="str">
        <f>TEST_DATA!B5204</f>
        <v>Apr-2021</v>
      </c>
      <c r="C5204">
        <f>TEST_DATA!C5204</f>
        <v>45219</v>
      </c>
      <c r="D5204" t="str">
        <f>TEST_DATA!D5204</f>
        <v>NON-NIL</v>
      </c>
      <c r="E5204">
        <f>TEST_DATA!E5204</f>
        <v>104</v>
      </c>
    </row>
    <row r="5205" spans="1:5" x14ac:dyDescent="0.55000000000000004">
      <c r="A5205" t="str">
        <f>TEST_DATA!A5205</f>
        <v>27AAAAA5205Z5</v>
      </c>
      <c r="B5205" t="str">
        <f>TEST_DATA!B5205</f>
        <v>Nov-2017</v>
      </c>
      <c r="C5205">
        <f>TEST_DATA!C5205</f>
        <v>42929</v>
      </c>
      <c r="D5205" t="str">
        <f>TEST_DATA!D5205</f>
        <v>NIL</v>
      </c>
      <c r="E5205">
        <f>TEST_DATA!E5205</f>
        <v>175</v>
      </c>
    </row>
    <row r="5206" spans="1:5" x14ac:dyDescent="0.55000000000000004">
      <c r="A5206" t="str">
        <f>TEST_DATA!A5206</f>
        <v>27AAAAA5206Z5</v>
      </c>
      <c r="B5206" t="str">
        <f>TEST_DATA!B5206</f>
        <v>Nov-2017</v>
      </c>
      <c r="C5206">
        <f>TEST_DATA!C5206</f>
        <v>44558</v>
      </c>
      <c r="D5206" t="str">
        <f>TEST_DATA!D5206</f>
        <v>NON-NIL</v>
      </c>
      <c r="E5206">
        <f>TEST_DATA!E5206</f>
        <v>1525</v>
      </c>
    </row>
    <row r="5207" spans="1:5" x14ac:dyDescent="0.55000000000000004">
      <c r="A5207" t="str">
        <f>TEST_DATA!A5207</f>
        <v>27AAAAA5207Z5</v>
      </c>
      <c r="B5207" t="str">
        <f>TEST_DATA!B5207</f>
        <v>May-2020</v>
      </c>
      <c r="C5207">
        <f>TEST_DATA!C5207</f>
        <v>44301</v>
      </c>
      <c r="D5207" t="str">
        <f>TEST_DATA!D5207</f>
        <v>NIL</v>
      </c>
      <c r="E5207">
        <f>TEST_DATA!E5207</f>
        <v>297</v>
      </c>
    </row>
    <row r="5208" spans="1:5" x14ac:dyDescent="0.55000000000000004">
      <c r="A5208" t="str">
        <f>TEST_DATA!A5208</f>
        <v>27AAAAA5208Z5</v>
      </c>
      <c r="B5208" t="str">
        <f>TEST_DATA!B5208</f>
        <v>Feb-2018</v>
      </c>
      <c r="C5208">
        <f>TEST_DATA!C5208</f>
        <v>43185</v>
      </c>
      <c r="D5208" t="str">
        <f>TEST_DATA!D5208</f>
        <v>NIL</v>
      </c>
      <c r="E5208">
        <f>TEST_DATA!E5208</f>
        <v>1335</v>
      </c>
    </row>
    <row r="5209" spans="1:5" x14ac:dyDescent="0.55000000000000004">
      <c r="A5209" t="str">
        <f>TEST_DATA!A5209</f>
        <v>27AAAAA5209Z5</v>
      </c>
      <c r="B5209" t="str">
        <f>TEST_DATA!B5209</f>
        <v>Mar-2023</v>
      </c>
      <c r="C5209">
        <f>TEST_DATA!C5209</f>
        <v>44765</v>
      </c>
      <c r="D5209" t="str">
        <f>TEST_DATA!D5209</f>
        <v>NIL</v>
      </c>
      <c r="E5209">
        <f>TEST_DATA!E5209</f>
        <v>853</v>
      </c>
    </row>
    <row r="5210" spans="1:5" x14ac:dyDescent="0.55000000000000004">
      <c r="A5210" t="str">
        <f>TEST_DATA!A5210</f>
        <v>27AAAAA5210Z5</v>
      </c>
      <c r="B5210" t="str">
        <f>TEST_DATA!B5210</f>
        <v>Jul-2017</v>
      </c>
      <c r="C5210">
        <f>TEST_DATA!C5210</f>
        <v>43580</v>
      </c>
      <c r="D5210" t="str">
        <f>TEST_DATA!D5210</f>
        <v>NON-NIL</v>
      </c>
      <c r="E5210">
        <f>TEST_DATA!E5210</f>
        <v>1968</v>
      </c>
    </row>
    <row r="5211" spans="1:5" x14ac:dyDescent="0.55000000000000004">
      <c r="A5211" t="str">
        <f>TEST_DATA!A5211</f>
        <v>27AAAAA5211Z5</v>
      </c>
      <c r="B5211" t="str">
        <f>TEST_DATA!B5211</f>
        <v>Aug-2017</v>
      </c>
      <c r="C5211">
        <f>TEST_DATA!C5211</f>
        <v>43985</v>
      </c>
      <c r="D5211" t="str">
        <f>TEST_DATA!D5211</f>
        <v>NIL</v>
      </c>
      <c r="E5211">
        <f>TEST_DATA!E5211</f>
        <v>2594</v>
      </c>
    </row>
    <row r="5212" spans="1:5" x14ac:dyDescent="0.55000000000000004">
      <c r="A5212" t="str">
        <f>TEST_DATA!A5212</f>
        <v>27AAAAA5212Z5</v>
      </c>
      <c r="B5212" t="str">
        <f>TEST_DATA!B5212</f>
        <v>May-2020</v>
      </c>
      <c r="C5212">
        <f>TEST_DATA!C5212</f>
        <v>44702</v>
      </c>
      <c r="D5212" t="str">
        <f>TEST_DATA!D5212</f>
        <v>NIL</v>
      </c>
      <c r="E5212">
        <f>TEST_DATA!E5212</f>
        <v>2793</v>
      </c>
    </row>
    <row r="5213" spans="1:5" x14ac:dyDescent="0.55000000000000004">
      <c r="A5213" t="str">
        <f>TEST_DATA!A5213</f>
        <v>27AAAAA5213Z5</v>
      </c>
      <c r="B5213" t="str">
        <f>TEST_DATA!B5213</f>
        <v>Oct-2017</v>
      </c>
      <c r="C5213">
        <f>TEST_DATA!C5213</f>
        <v>43498</v>
      </c>
      <c r="D5213" t="str">
        <f>TEST_DATA!D5213</f>
        <v>NON-NIL</v>
      </c>
      <c r="E5213">
        <f>TEST_DATA!E5213</f>
        <v>1164</v>
      </c>
    </row>
    <row r="5214" spans="1:5" x14ac:dyDescent="0.55000000000000004">
      <c r="A5214" t="str">
        <f>TEST_DATA!A5214</f>
        <v>27AAAAA5214Z5</v>
      </c>
      <c r="B5214" t="str">
        <f>TEST_DATA!B5214</f>
        <v>Mar-2023</v>
      </c>
      <c r="C5214">
        <f>TEST_DATA!C5214</f>
        <v>45595</v>
      </c>
      <c r="D5214" t="str">
        <f>TEST_DATA!D5214</f>
        <v>NON-NIL</v>
      </c>
      <c r="E5214">
        <f>TEST_DATA!E5214</f>
        <v>1580</v>
      </c>
    </row>
    <row r="5215" spans="1:5" x14ac:dyDescent="0.55000000000000004">
      <c r="A5215" t="str">
        <f>TEST_DATA!A5215</f>
        <v>27AAAAA5215Z5</v>
      </c>
      <c r="B5215" t="str">
        <f>TEST_DATA!B5215</f>
        <v>Mar-2020</v>
      </c>
      <c r="C5215">
        <f>TEST_DATA!C5215</f>
        <v>44835</v>
      </c>
      <c r="D5215" t="str">
        <f>TEST_DATA!D5215</f>
        <v>NIL</v>
      </c>
      <c r="E5215">
        <f>TEST_DATA!E5215</f>
        <v>2046</v>
      </c>
    </row>
    <row r="5216" spans="1:5" x14ac:dyDescent="0.55000000000000004">
      <c r="A5216" t="str">
        <f>TEST_DATA!A5216</f>
        <v>27AAAAA5216Z5</v>
      </c>
      <c r="B5216" t="str">
        <f>TEST_DATA!B5216</f>
        <v>Mar-2023</v>
      </c>
      <c r="C5216">
        <f>TEST_DATA!C5216</f>
        <v>44375</v>
      </c>
      <c r="D5216" t="str">
        <f>TEST_DATA!D5216</f>
        <v>NON-NIL</v>
      </c>
      <c r="E5216">
        <f>TEST_DATA!E5216</f>
        <v>1839</v>
      </c>
    </row>
    <row r="5217" spans="1:5" x14ac:dyDescent="0.55000000000000004">
      <c r="A5217" t="str">
        <f>TEST_DATA!A5217</f>
        <v>27AAAAA5217Z5</v>
      </c>
      <c r="B5217" t="str">
        <f>TEST_DATA!B5217</f>
        <v>Dec-2024</v>
      </c>
      <c r="C5217">
        <f>TEST_DATA!C5217</f>
        <v>45272</v>
      </c>
      <c r="D5217" t="str">
        <f>TEST_DATA!D5217</f>
        <v>NON-NIL</v>
      </c>
      <c r="E5217">
        <f>TEST_DATA!E5217</f>
        <v>2634</v>
      </c>
    </row>
    <row r="5218" spans="1:5" x14ac:dyDescent="0.55000000000000004">
      <c r="A5218" t="str">
        <f>TEST_DATA!A5218</f>
        <v>27AAAAA5218Z5</v>
      </c>
      <c r="B5218" t="str">
        <f>TEST_DATA!B5218</f>
        <v>Aug-2018</v>
      </c>
      <c r="C5218">
        <f>TEST_DATA!C5218</f>
        <v>43223</v>
      </c>
      <c r="D5218" t="str">
        <f>TEST_DATA!D5218</f>
        <v>NIL</v>
      </c>
      <c r="E5218">
        <f>TEST_DATA!E5218</f>
        <v>531</v>
      </c>
    </row>
    <row r="5219" spans="1:5" x14ac:dyDescent="0.55000000000000004">
      <c r="A5219" t="str">
        <f>TEST_DATA!A5219</f>
        <v>27AAAAA5219Z5</v>
      </c>
      <c r="B5219" t="str">
        <f>TEST_DATA!B5219</f>
        <v>Jun-2018</v>
      </c>
      <c r="C5219">
        <f>TEST_DATA!C5219</f>
        <v>43972</v>
      </c>
      <c r="D5219" t="str">
        <f>TEST_DATA!D5219</f>
        <v>NIL</v>
      </c>
      <c r="E5219">
        <f>TEST_DATA!E5219</f>
        <v>1510</v>
      </c>
    </row>
    <row r="5220" spans="1:5" x14ac:dyDescent="0.55000000000000004">
      <c r="A5220" t="str">
        <f>TEST_DATA!A5220</f>
        <v>27AAAAA5220Z5</v>
      </c>
      <c r="B5220" t="str">
        <f>TEST_DATA!B5220</f>
        <v>Apr-2018</v>
      </c>
      <c r="C5220">
        <f>TEST_DATA!C5220</f>
        <v>43345</v>
      </c>
      <c r="D5220" t="str">
        <f>TEST_DATA!D5220</f>
        <v>NIL</v>
      </c>
      <c r="E5220">
        <f>TEST_DATA!E5220</f>
        <v>2153</v>
      </c>
    </row>
    <row r="5221" spans="1:5" x14ac:dyDescent="0.55000000000000004">
      <c r="A5221" t="str">
        <f>TEST_DATA!A5221</f>
        <v>27AAAAA5221Z5</v>
      </c>
      <c r="B5221" t="str">
        <f>TEST_DATA!B5221</f>
        <v>Jan-2018</v>
      </c>
      <c r="C5221">
        <f>TEST_DATA!C5221</f>
        <v>43271</v>
      </c>
      <c r="D5221" t="str">
        <f>TEST_DATA!D5221</f>
        <v>NIL</v>
      </c>
      <c r="E5221">
        <f>TEST_DATA!E5221</f>
        <v>547</v>
      </c>
    </row>
    <row r="5222" spans="1:5" x14ac:dyDescent="0.55000000000000004">
      <c r="A5222" t="str">
        <f>TEST_DATA!A5222</f>
        <v>27AAAAA5222Z5</v>
      </c>
      <c r="B5222" t="str">
        <f>TEST_DATA!B5222</f>
        <v>Jan-2018</v>
      </c>
      <c r="C5222">
        <f>TEST_DATA!C5222</f>
        <v>43045</v>
      </c>
      <c r="D5222" t="str">
        <f>TEST_DATA!D5222</f>
        <v>NIL</v>
      </c>
      <c r="E5222">
        <f>TEST_DATA!E5222</f>
        <v>819</v>
      </c>
    </row>
    <row r="5223" spans="1:5" x14ac:dyDescent="0.55000000000000004">
      <c r="A5223" t="str">
        <f>TEST_DATA!A5223</f>
        <v>27AAAAA5223Z5</v>
      </c>
      <c r="B5223" t="str">
        <f>TEST_DATA!B5223</f>
        <v>Apr-2020</v>
      </c>
      <c r="C5223">
        <f>TEST_DATA!C5223</f>
        <v>44124</v>
      </c>
      <c r="D5223" t="str">
        <f>TEST_DATA!D5223</f>
        <v>NIL</v>
      </c>
      <c r="E5223">
        <f>TEST_DATA!E5223</f>
        <v>2567</v>
      </c>
    </row>
    <row r="5224" spans="1:5" x14ac:dyDescent="0.55000000000000004">
      <c r="A5224" t="str">
        <f>TEST_DATA!A5224</f>
        <v>27AAAAA5224Z5</v>
      </c>
      <c r="B5224" t="str">
        <f>TEST_DATA!B5224</f>
        <v>Apr-2018</v>
      </c>
      <c r="C5224">
        <f>TEST_DATA!C5224</f>
        <v>44195</v>
      </c>
      <c r="D5224" t="str">
        <f>TEST_DATA!D5224</f>
        <v>NIL</v>
      </c>
      <c r="E5224">
        <f>TEST_DATA!E5224</f>
        <v>241</v>
      </c>
    </row>
    <row r="5225" spans="1:5" x14ac:dyDescent="0.55000000000000004">
      <c r="A5225" t="str">
        <f>TEST_DATA!A5225</f>
        <v>27AAAAA5225Z5</v>
      </c>
      <c r="B5225" t="str">
        <f>TEST_DATA!B5225</f>
        <v>Jul-2018</v>
      </c>
      <c r="C5225">
        <f>TEST_DATA!C5225</f>
        <v>44429</v>
      </c>
      <c r="D5225" t="str">
        <f>TEST_DATA!D5225</f>
        <v>NIL</v>
      </c>
      <c r="E5225">
        <f>TEST_DATA!E5225</f>
        <v>368</v>
      </c>
    </row>
    <row r="5226" spans="1:5" x14ac:dyDescent="0.55000000000000004">
      <c r="A5226" t="str">
        <f>TEST_DATA!A5226</f>
        <v>27AAAAA5226Z5</v>
      </c>
      <c r="B5226" t="str">
        <f>TEST_DATA!B5226</f>
        <v>Jun-2019</v>
      </c>
      <c r="C5226">
        <f>TEST_DATA!C5226</f>
        <v>44468</v>
      </c>
      <c r="D5226" t="str">
        <f>TEST_DATA!D5226</f>
        <v>NON-NIL</v>
      </c>
      <c r="E5226">
        <f>TEST_DATA!E5226</f>
        <v>1074</v>
      </c>
    </row>
    <row r="5227" spans="1:5" x14ac:dyDescent="0.55000000000000004">
      <c r="A5227" t="str">
        <f>TEST_DATA!A5227</f>
        <v>27AAAAA5227Z5</v>
      </c>
      <c r="B5227" t="str">
        <f>TEST_DATA!B5227</f>
        <v>Jan-2019</v>
      </c>
      <c r="C5227">
        <f>TEST_DATA!C5227</f>
        <v>44121</v>
      </c>
      <c r="D5227" t="str">
        <f>TEST_DATA!D5227</f>
        <v>NIL</v>
      </c>
      <c r="E5227">
        <f>TEST_DATA!E5227</f>
        <v>2939</v>
      </c>
    </row>
    <row r="5228" spans="1:5" x14ac:dyDescent="0.55000000000000004">
      <c r="A5228" t="str">
        <f>TEST_DATA!A5228</f>
        <v>27AAAAA5228Z5</v>
      </c>
      <c r="B5228" t="str">
        <f>TEST_DATA!B5228</f>
        <v>Dec-2019</v>
      </c>
      <c r="C5228">
        <f>TEST_DATA!C5228</f>
        <v>45363</v>
      </c>
      <c r="D5228" t="str">
        <f>TEST_DATA!D5228</f>
        <v>NON-NIL</v>
      </c>
      <c r="E5228">
        <f>TEST_DATA!E5228</f>
        <v>99</v>
      </c>
    </row>
    <row r="5229" spans="1:5" x14ac:dyDescent="0.55000000000000004">
      <c r="A5229" t="str">
        <f>TEST_DATA!A5229</f>
        <v>27AAAAA5229Z5</v>
      </c>
      <c r="B5229" t="str">
        <f>TEST_DATA!B5229</f>
        <v>Dec-2019</v>
      </c>
      <c r="C5229">
        <f>TEST_DATA!C5229</f>
        <v>44142</v>
      </c>
      <c r="D5229" t="str">
        <f>TEST_DATA!D5229</f>
        <v>NON-NIL</v>
      </c>
      <c r="E5229">
        <f>TEST_DATA!E5229</f>
        <v>1654</v>
      </c>
    </row>
    <row r="5230" spans="1:5" x14ac:dyDescent="0.55000000000000004">
      <c r="A5230" t="str">
        <f>TEST_DATA!A5230</f>
        <v>27AAAAA5230Z5</v>
      </c>
      <c r="B5230" t="str">
        <f>TEST_DATA!B5230</f>
        <v>Jun-2019</v>
      </c>
      <c r="C5230">
        <f>TEST_DATA!C5230</f>
        <v>43822</v>
      </c>
      <c r="D5230" t="str">
        <f>TEST_DATA!D5230</f>
        <v>NON-NIL</v>
      </c>
      <c r="E5230">
        <f>TEST_DATA!E5230</f>
        <v>724</v>
      </c>
    </row>
    <row r="5231" spans="1:5" x14ac:dyDescent="0.55000000000000004">
      <c r="A5231" t="str">
        <f>TEST_DATA!A5231</f>
        <v>27AAAAA5231Z5</v>
      </c>
      <c r="B5231" t="str">
        <f>TEST_DATA!B5231</f>
        <v>Apr-2021</v>
      </c>
      <c r="C5231">
        <f>TEST_DATA!C5231</f>
        <v>44206</v>
      </c>
      <c r="D5231" t="str">
        <f>TEST_DATA!D5231</f>
        <v>NON-NIL</v>
      </c>
      <c r="E5231">
        <f>TEST_DATA!E5231</f>
        <v>1966</v>
      </c>
    </row>
    <row r="5232" spans="1:5" x14ac:dyDescent="0.55000000000000004">
      <c r="A5232" t="str">
        <f>TEST_DATA!A5232</f>
        <v>27AAAAA5232Z5</v>
      </c>
      <c r="B5232" t="str">
        <f>TEST_DATA!B5232</f>
        <v>Sep-2018</v>
      </c>
      <c r="C5232">
        <f>TEST_DATA!C5232</f>
        <v>43574</v>
      </c>
      <c r="D5232" t="str">
        <f>TEST_DATA!D5232</f>
        <v>NON-NIL</v>
      </c>
      <c r="E5232">
        <f>TEST_DATA!E5232</f>
        <v>1487</v>
      </c>
    </row>
    <row r="5233" spans="1:5" x14ac:dyDescent="0.55000000000000004">
      <c r="A5233" t="str">
        <f>TEST_DATA!A5233</f>
        <v>27AAAAA5233Z5</v>
      </c>
      <c r="B5233" t="str">
        <f>TEST_DATA!B5233</f>
        <v>Dec-2019</v>
      </c>
      <c r="C5233">
        <f>TEST_DATA!C5233</f>
        <v>44554</v>
      </c>
      <c r="D5233" t="str">
        <f>TEST_DATA!D5233</f>
        <v>NON-NIL</v>
      </c>
      <c r="E5233">
        <f>TEST_DATA!E5233</f>
        <v>555</v>
      </c>
    </row>
    <row r="5234" spans="1:5" x14ac:dyDescent="0.55000000000000004">
      <c r="A5234" t="str">
        <f>TEST_DATA!A5234</f>
        <v>27AAAAA5234Z5</v>
      </c>
      <c r="B5234" t="str">
        <f>TEST_DATA!B5234</f>
        <v>Jul-2018</v>
      </c>
      <c r="C5234">
        <f>TEST_DATA!C5234</f>
        <v>43233</v>
      </c>
      <c r="D5234" t="str">
        <f>TEST_DATA!D5234</f>
        <v>NIL</v>
      </c>
      <c r="E5234">
        <f>TEST_DATA!E5234</f>
        <v>1332</v>
      </c>
    </row>
    <row r="5235" spans="1:5" x14ac:dyDescent="0.55000000000000004">
      <c r="A5235" t="str">
        <f>TEST_DATA!A5235</f>
        <v>27AAAAA5235Z5</v>
      </c>
      <c r="B5235" t="str">
        <f>TEST_DATA!B5235</f>
        <v>Nov-2017</v>
      </c>
      <c r="C5235">
        <f>TEST_DATA!C5235</f>
        <v>44183</v>
      </c>
      <c r="D5235" t="str">
        <f>TEST_DATA!D5235</f>
        <v>NIL</v>
      </c>
      <c r="E5235">
        <f>TEST_DATA!E5235</f>
        <v>2092</v>
      </c>
    </row>
    <row r="5236" spans="1:5" x14ac:dyDescent="0.55000000000000004">
      <c r="A5236" t="str">
        <f>TEST_DATA!A5236</f>
        <v>27AAAAA5236Z5</v>
      </c>
      <c r="B5236" t="str">
        <f>TEST_DATA!B5236</f>
        <v>Dec-2022</v>
      </c>
      <c r="C5236">
        <f>TEST_DATA!C5236</f>
        <v>45323</v>
      </c>
      <c r="D5236" t="str">
        <f>TEST_DATA!D5236</f>
        <v>NON-NIL</v>
      </c>
      <c r="E5236">
        <f>TEST_DATA!E5236</f>
        <v>2693</v>
      </c>
    </row>
    <row r="5237" spans="1:5" x14ac:dyDescent="0.55000000000000004">
      <c r="A5237" t="str">
        <f>TEST_DATA!A5237</f>
        <v>27AAAAA5237Z5</v>
      </c>
      <c r="B5237" t="str">
        <f>TEST_DATA!B5237</f>
        <v>Dec-2019</v>
      </c>
      <c r="C5237">
        <f>TEST_DATA!C5237</f>
        <v>44453</v>
      </c>
      <c r="D5237" t="str">
        <f>TEST_DATA!D5237</f>
        <v>NIL</v>
      </c>
      <c r="E5237">
        <f>TEST_DATA!E5237</f>
        <v>1607</v>
      </c>
    </row>
    <row r="5238" spans="1:5" x14ac:dyDescent="0.55000000000000004">
      <c r="A5238" t="str">
        <f>TEST_DATA!A5238</f>
        <v>27AAAAA5238Z5</v>
      </c>
      <c r="B5238" t="str">
        <f>TEST_DATA!B5238</f>
        <v>Aug-2017</v>
      </c>
      <c r="C5238">
        <f>TEST_DATA!C5238</f>
        <v>44042</v>
      </c>
      <c r="D5238" t="str">
        <f>TEST_DATA!D5238</f>
        <v>NIL</v>
      </c>
      <c r="E5238">
        <f>TEST_DATA!E5238</f>
        <v>2942</v>
      </c>
    </row>
    <row r="5239" spans="1:5" x14ac:dyDescent="0.55000000000000004">
      <c r="A5239" t="str">
        <f>TEST_DATA!A5239</f>
        <v>27AAAAA5239Z5</v>
      </c>
      <c r="B5239" t="str">
        <f>TEST_DATA!B5239</f>
        <v>Sep-2018</v>
      </c>
      <c r="C5239">
        <f>TEST_DATA!C5239</f>
        <v>43164</v>
      </c>
      <c r="D5239" t="str">
        <f>TEST_DATA!D5239</f>
        <v>NON-NIL</v>
      </c>
      <c r="E5239">
        <f>TEST_DATA!E5239</f>
        <v>719</v>
      </c>
    </row>
    <row r="5240" spans="1:5" x14ac:dyDescent="0.55000000000000004">
      <c r="A5240" t="str">
        <f>TEST_DATA!A5240</f>
        <v>27AAAAA5240Z5</v>
      </c>
      <c r="B5240" t="str">
        <f>TEST_DATA!B5240</f>
        <v>Sep-2017</v>
      </c>
      <c r="C5240">
        <f>TEST_DATA!C5240</f>
        <v>43853</v>
      </c>
      <c r="D5240" t="str">
        <f>TEST_DATA!D5240</f>
        <v>NIL</v>
      </c>
      <c r="E5240">
        <f>TEST_DATA!E5240</f>
        <v>812</v>
      </c>
    </row>
    <row r="5241" spans="1:5" x14ac:dyDescent="0.55000000000000004">
      <c r="A5241" t="str">
        <f>TEST_DATA!A5241</f>
        <v>27AAAAA5241Z5</v>
      </c>
      <c r="B5241" t="str">
        <f>TEST_DATA!B5241</f>
        <v>Sep-2018</v>
      </c>
      <c r="C5241">
        <f>TEST_DATA!C5241</f>
        <v>44529</v>
      </c>
      <c r="D5241" t="str">
        <f>TEST_DATA!D5241</f>
        <v>NIL</v>
      </c>
      <c r="E5241">
        <f>TEST_DATA!E5241</f>
        <v>2312</v>
      </c>
    </row>
    <row r="5242" spans="1:5" x14ac:dyDescent="0.55000000000000004">
      <c r="A5242" t="str">
        <f>TEST_DATA!A5242</f>
        <v>27AAAAA5242Z5</v>
      </c>
      <c r="B5242" t="str">
        <f>TEST_DATA!B5242</f>
        <v>May-2020</v>
      </c>
      <c r="C5242">
        <f>TEST_DATA!C5242</f>
        <v>44212</v>
      </c>
      <c r="D5242" t="str">
        <f>TEST_DATA!D5242</f>
        <v>NIL</v>
      </c>
      <c r="E5242">
        <f>TEST_DATA!E5242</f>
        <v>1334</v>
      </c>
    </row>
    <row r="5243" spans="1:5" x14ac:dyDescent="0.55000000000000004">
      <c r="A5243" t="str">
        <f>TEST_DATA!A5243</f>
        <v>27AAAAA5243Z5</v>
      </c>
      <c r="B5243" t="str">
        <f>TEST_DATA!B5243</f>
        <v>Dec-2017</v>
      </c>
      <c r="C5243">
        <f>TEST_DATA!C5243</f>
        <v>43270</v>
      </c>
      <c r="D5243" t="str">
        <f>TEST_DATA!D5243</f>
        <v>NIL</v>
      </c>
      <c r="E5243">
        <f>TEST_DATA!E5243</f>
        <v>2361</v>
      </c>
    </row>
    <row r="5244" spans="1:5" x14ac:dyDescent="0.55000000000000004">
      <c r="A5244" t="str">
        <f>TEST_DATA!A5244</f>
        <v>27AAAAA5244Z5</v>
      </c>
      <c r="B5244" t="str">
        <f>TEST_DATA!B5244</f>
        <v>Mar-2020</v>
      </c>
      <c r="C5244">
        <f>TEST_DATA!C5244</f>
        <v>44269</v>
      </c>
      <c r="D5244" t="str">
        <f>TEST_DATA!D5244</f>
        <v>NON-NIL</v>
      </c>
      <c r="E5244">
        <f>TEST_DATA!E5244</f>
        <v>701</v>
      </c>
    </row>
    <row r="5245" spans="1:5" x14ac:dyDescent="0.55000000000000004">
      <c r="A5245" t="str">
        <f>TEST_DATA!A5245</f>
        <v>27AAAAA5245Z5</v>
      </c>
      <c r="B5245" t="str">
        <f>TEST_DATA!B5245</f>
        <v>Oct-2017</v>
      </c>
      <c r="C5245">
        <f>TEST_DATA!C5245</f>
        <v>44417</v>
      </c>
      <c r="D5245" t="str">
        <f>TEST_DATA!D5245</f>
        <v>NON-NIL</v>
      </c>
      <c r="E5245">
        <f>TEST_DATA!E5245</f>
        <v>1339</v>
      </c>
    </row>
    <row r="5246" spans="1:5" x14ac:dyDescent="0.55000000000000004">
      <c r="A5246" t="str">
        <f>TEST_DATA!A5246</f>
        <v>27AAAAA5246Z5</v>
      </c>
      <c r="B5246" t="str">
        <f>TEST_DATA!B5246</f>
        <v>Jun-2020</v>
      </c>
      <c r="C5246">
        <f>TEST_DATA!C5246</f>
        <v>43985</v>
      </c>
      <c r="D5246" t="str">
        <f>TEST_DATA!D5246</f>
        <v>NON-NIL</v>
      </c>
      <c r="E5246">
        <f>TEST_DATA!E5246</f>
        <v>967</v>
      </c>
    </row>
    <row r="5247" spans="1:5" x14ac:dyDescent="0.55000000000000004">
      <c r="A5247" t="str">
        <f>TEST_DATA!A5247</f>
        <v>27AAAAA5247Z5</v>
      </c>
      <c r="B5247" t="str">
        <f>TEST_DATA!B5247</f>
        <v>Dec-2019</v>
      </c>
      <c r="C5247">
        <f>TEST_DATA!C5247</f>
        <v>45721</v>
      </c>
      <c r="D5247" t="str">
        <f>TEST_DATA!D5247</f>
        <v>NIL</v>
      </c>
      <c r="E5247">
        <f>TEST_DATA!E5247</f>
        <v>968</v>
      </c>
    </row>
    <row r="5248" spans="1:5" x14ac:dyDescent="0.55000000000000004">
      <c r="A5248" t="str">
        <f>TEST_DATA!A5248</f>
        <v>27AAAAA5248Z5</v>
      </c>
      <c r="B5248" t="str">
        <f>TEST_DATA!B5248</f>
        <v>Dec-2024</v>
      </c>
      <c r="C5248">
        <f>TEST_DATA!C5248</f>
        <v>44148</v>
      </c>
      <c r="D5248" t="str">
        <f>TEST_DATA!D5248</f>
        <v>NON-NIL</v>
      </c>
      <c r="E5248">
        <f>TEST_DATA!E5248</f>
        <v>2675</v>
      </c>
    </row>
    <row r="5249" spans="1:5" x14ac:dyDescent="0.55000000000000004">
      <c r="A5249" t="str">
        <f>TEST_DATA!A5249</f>
        <v>27AAAAA5249Z5</v>
      </c>
      <c r="B5249" t="str">
        <f>TEST_DATA!B5249</f>
        <v>Jun-2018</v>
      </c>
      <c r="C5249">
        <f>TEST_DATA!C5249</f>
        <v>44355</v>
      </c>
      <c r="D5249" t="str">
        <f>TEST_DATA!D5249</f>
        <v>NIL</v>
      </c>
      <c r="E5249">
        <f>TEST_DATA!E5249</f>
        <v>2365</v>
      </c>
    </row>
    <row r="5250" spans="1:5" x14ac:dyDescent="0.55000000000000004">
      <c r="A5250" t="str">
        <f>TEST_DATA!A5250</f>
        <v>27AAAAA5250Z5</v>
      </c>
      <c r="B5250" t="str">
        <f>TEST_DATA!B5250</f>
        <v>Mar-2023</v>
      </c>
      <c r="C5250">
        <f>TEST_DATA!C5250</f>
        <v>45678</v>
      </c>
      <c r="D5250" t="str">
        <f>TEST_DATA!D5250</f>
        <v>NIL</v>
      </c>
      <c r="E5250">
        <f>TEST_DATA!E5250</f>
        <v>1311</v>
      </c>
    </row>
    <row r="5251" spans="1:5" x14ac:dyDescent="0.55000000000000004">
      <c r="A5251" t="str">
        <f>TEST_DATA!A5251</f>
        <v>27AAAAA5251Z5</v>
      </c>
      <c r="B5251" t="str">
        <f>TEST_DATA!B5251</f>
        <v>Dec-2019</v>
      </c>
      <c r="C5251">
        <f>TEST_DATA!C5251</f>
        <v>44727</v>
      </c>
      <c r="D5251" t="str">
        <f>TEST_DATA!D5251</f>
        <v>NON-NIL</v>
      </c>
      <c r="E5251">
        <f>TEST_DATA!E5251</f>
        <v>1711</v>
      </c>
    </row>
    <row r="5252" spans="1:5" x14ac:dyDescent="0.55000000000000004">
      <c r="A5252" t="str">
        <f>TEST_DATA!A5252</f>
        <v>27AAAAA5252Z5</v>
      </c>
      <c r="B5252" t="str">
        <f>TEST_DATA!B5252</f>
        <v>Oct-2017</v>
      </c>
      <c r="C5252">
        <f>TEST_DATA!C5252</f>
        <v>43918</v>
      </c>
      <c r="D5252" t="str">
        <f>TEST_DATA!D5252</f>
        <v>NON-NIL</v>
      </c>
      <c r="E5252">
        <f>TEST_DATA!E5252</f>
        <v>2019</v>
      </c>
    </row>
    <row r="5253" spans="1:5" x14ac:dyDescent="0.55000000000000004">
      <c r="A5253" t="str">
        <f>TEST_DATA!A5253</f>
        <v>27AAAAA5253Z5</v>
      </c>
      <c r="B5253" t="str">
        <f>TEST_DATA!B5253</f>
        <v>Feb-2018</v>
      </c>
      <c r="C5253">
        <f>TEST_DATA!C5253</f>
        <v>43247</v>
      </c>
      <c r="D5253" t="str">
        <f>TEST_DATA!D5253</f>
        <v>NON-NIL</v>
      </c>
      <c r="E5253">
        <f>TEST_DATA!E5253</f>
        <v>1187</v>
      </c>
    </row>
    <row r="5254" spans="1:5" x14ac:dyDescent="0.55000000000000004">
      <c r="A5254" t="str">
        <f>TEST_DATA!A5254</f>
        <v>27AAAAA5254Z5</v>
      </c>
      <c r="B5254" t="str">
        <f>TEST_DATA!B5254</f>
        <v>Feb-2018</v>
      </c>
      <c r="C5254">
        <f>TEST_DATA!C5254</f>
        <v>42957</v>
      </c>
      <c r="D5254" t="str">
        <f>TEST_DATA!D5254</f>
        <v>NON-NIL</v>
      </c>
      <c r="E5254">
        <f>TEST_DATA!E5254</f>
        <v>1069</v>
      </c>
    </row>
    <row r="5255" spans="1:5" x14ac:dyDescent="0.55000000000000004">
      <c r="A5255" t="str">
        <f>TEST_DATA!A5255</f>
        <v>27AAAAA5255Z5</v>
      </c>
      <c r="B5255" t="str">
        <f>TEST_DATA!B5255</f>
        <v>Mar-2023</v>
      </c>
      <c r="C5255">
        <f>TEST_DATA!C5255</f>
        <v>44505</v>
      </c>
      <c r="D5255" t="str">
        <f>TEST_DATA!D5255</f>
        <v>NON-NIL</v>
      </c>
      <c r="E5255">
        <f>TEST_DATA!E5255</f>
        <v>2503</v>
      </c>
    </row>
    <row r="5256" spans="1:5" x14ac:dyDescent="0.55000000000000004">
      <c r="A5256" t="str">
        <f>TEST_DATA!A5256</f>
        <v>27AAAAA5256Z5</v>
      </c>
      <c r="B5256" t="str">
        <f>TEST_DATA!B5256</f>
        <v>Jul-2020</v>
      </c>
      <c r="C5256">
        <f>TEST_DATA!C5256</f>
        <v>44069</v>
      </c>
      <c r="D5256" t="str">
        <f>TEST_DATA!D5256</f>
        <v>NIL</v>
      </c>
      <c r="E5256">
        <f>TEST_DATA!E5256</f>
        <v>1830</v>
      </c>
    </row>
    <row r="5257" spans="1:5" x14ac:dyDescent="0.55000000000000004">
      <c r="A5257" t="str">
        <f>TEST_DATA!A5257</f>
        <v>27AAAAA5257Z5</v>
      </c>
      <c r="B5257" t="str">
        <f>TEST_DATA!B5257</f>
        <v>Apr-2020</v>
      </c>
      <c r="C5257">
        <f>TEST_DATA!C5257</f>
        <v>44729</v>
      </c>
      <c r="D5257" t="str">
        <f>TEST_DATA!D5257</f>
        <v>NIL</v>
      </c>
      <c r="E5257">
        <f>TEST_DATA!E5257</f>
        <v>765</v>
      </c>
    </row>
    <row r="5258" spans="1:5" x14ac:dyDescent="0.55000000000000004">
      <c r="A5258" t="str">
        <f>TEST_DATA!A5258</f>
        <v>27AAAAA5258Z5</v>
      </c>
      <c r="B5258" t="str">
        <f>TEST_DATA!B5258</f>
        <v>Mar-2020</v>
      </c>
      <c r="C5258">
        <f>TEST_DATA!C5258</f>
        <v>44188</v>
      </c>
      <c r="D5258" t="str">
        <f>TEST_DATA!D5258</f>
        <v>NON-NIL</v>
      </c>
      <c r="E5258">
        <f>TEST_DATA!E5258</f>
        <v>286</v>
      </c>
    </row>
    <row r="5259" spans="1:5" x14ac:dyDescent="0.55000000000000004">
      <c r="A5259" t="str">
        <f>TEST_DATA!A5259</f>
        <v>27AAAAA5259Z5</v>
      </c>
      <c r="B5259" t="str">
        <f>TEST_DATA!B5259</f>
        <v>Dec-2017</v>
      </c>
      <c r="C5259">
        <f>TEST_DATA!C5259</f>
        <v>43030</v>
      </c>
      <c r="D5259" t="str">
        <f>TEST_DATA!D5259</f>
        <v>NON-NIL</v>
      </c>
      <c r="E5259">
        <f>TEST_DATA!E5259</f>
        <v>1009</v>
      </c>
    </row>
    <row r="5260" spans="1:5" x14ac:dyDescent="0.55000000000000004">
      <c r="A5260" t="str">
        <f>TEST_DATA!A5260</f>
        <v>27AAAAA5260Z5</v>
      </c>
      <c r="B5260" t="str">
        <f>TEST_DATA!B5260</f>
        <v>Jun-2020</v>
      </c>
      <c r="C5260">
        <f>TEST_DATA!C5260</f>
        <v>44790</v>
      </c>
      <c r="D5260" t="str">
        <f>TEST_DATA!D5260</f>
        <v>NON-NIL</v>
      </c>
      <c r="E5260">
        <f>TEST_DATA!E5260</f>
        <v>2944</v>
      </c>
    </row>
    <row r="5261" spans="1:5" x14ac:dyDescent="0.55000000000000004">
      <c r="A5261" t="str">
        <f>TEST_DATA!A5261</f>
        <v>27AAAAA5261Z5</v>
      </c>
      <c r="B5261" t="str">
        <f>TEST_DATA!B5261</f>
        <v>Oct-2017</v>
      </c>
      <c r="C5261">
        <f>TEST_DATA!C5261</f>
        <v>43355</v>
      </c>
      <c r="D5261" t="str">
        <f>TEST_DATA!D5261</f>
        <v>NON-NIL</v>
      </c>
      <c r="E5261">
        <f>TEST_DATA!E5261</f>
        <v>2899</v>
      </c>
    </row>
    <row r="5262" spans="1:5" x14ac:dyDescent="0.55000000000000004">
      <c r="A5262" t="str">
        <f>TEST_DATA!A5262</f>
        <v>27AAAAA5262Z5</v>
      </c>
      <c r="B5262" t="str">
        <f>TEST_DATA!B5262</f>
        <v>Dec-2024</v>
      </c>
      <c r="C5262">
        <f>TEST_DATA!C5262</f>
        <v>44804</v>
      </c>
      <c r="D5262" t="str">
        <f>TEST_DATA!D5262</f>
        <v>NIL</v>
      </c>
      <c r="E5262">
        <f>TEST_DATA!E5262</f>
        <v>2373</v>
      </c>
    </row>
    <row r="5263" spans="1:5" x14ac:dyDescent="0.55000000000000004">
      <c r="A5263" t="str">
        <f>TEST_DATA!A5263</f>
        <v>27AAAAA5263Z5</v>
      </c>
      <c r="B5263" t="str">
        <f>TEST_DATA!B5263</f>
        <v>Dec-2019</v>
      </c>
      <c r="C5263">
        <f>TEST_DATA!C5263</f>
        <v>45591</v>
      </c>
      <c r="D5263" t="str">
        <f>TEST_DATA!D5263</f>
        <v>NIL</v>
      </c>
      <c r="E5263">
        <f>TEST_DATA!E5263</f>
        <v>535</v>
      </c>
    </row>
    <row r="5264" spans="1:5" x14ac:dyDescent="0.55000000000000004">
      <c r="A5264" t="str">
        <f>TEST_DATA!A5264</f>
        <v>27AAAAA5264Z5</v>
      </c>
      <c r="B5264" t="str">
        <f>TEST_DATA!B5264</f>
        <v>Nov-2017</v>
      </c>
      <c r="C5264">
        <f>TEST_DATA!C5264</f>
        <v>42974</v>
      </c>
      <c r="D5264" t="str">
        <f>TEST_DATA!D5264</f>
        <v>NIL</v>
      </c>
      <c r="E5264">
        <f>TEST_DATA!E5264</f>
        <v>551</v>
      </c>
    </row>
    <row r="5265" spans="1:5" x14ac:dyDescent="0.55000000000000004">
      <c r="A5265" t="str">
        <f>TEST_DATA!A5265</f>
        <v>27AAAAA5265Z5</v>
      </c>
      <c r="B5265" t="str">
        <f>TEST_DATA!B5265</f>
        <v>Apr-2021</v>
      </c>
      <c r="C5265">
        <f>TEST_DATA!C5265</f>
        <v>44958</v>
      </c>
      <c r="D5265" t="str">
        <f>TEST_DATA!D5265</f>
        <v>NON-NIL</v>
      </c>
      <c r="E5265">
        <f>TEST_DATA!E5265</f>
        <v>2986</v>
      </c>
    </row>
    <row r="5266" spans="1:5" x14ac:dyDescent="0.55000000000000004">
      <c r="A5266" t="str">
        <f>TEST_DATA!A5266</f>
        <v>27AAAAA5266Z5</v>
      </c>
      <c r="B5266" t="str">
        <f>TEST_DATA!B5266</f>
        <v>Apr-2021</v>
      </c>
      <c r="C5266">
        <f>TEST_DATA!C5266</f>
        <v>43688</v>
      </c>
      <c r="D5266" t="str">
        <f>TEST_DATA!D5266</f>
        <v>NIL</v>
      </c>
      <c r="E5266">
        <f>TEST_DATA!E5266</f>
        <v>709</v>
      </c>
    </row>
    <row r="5267" spans="1:5" x14ac:dyDescent="0.55000000000000004">
      <c r="A5267" t="str">
        <f>TEST_DATA!A5267</f>
        <v>27AAAAA5267Z5</v>
      </c>
      <c r="B5267" t="str">
        <f>TEST_DATA!B5267</f>
        <v>Aug-2017</v>
      </c>
      <c r="C5267">
        <f>TEST_DATA!C5267</f>
        <v>43008</v>
      </c>
      <c r="D5267" t="str">
        <f>TEST_DATA!D5267</f>
        <v>NON-NIL</v>
      </c>
      <c r="E5267">
        <f>TEST_DATA!E5267</f>
        <v>2270</v>
      </c>
    </row>
    <row r="5268" spans="1:5" x14ac:dyDescent="0.55000000000000004">
      <c r="A5268" t="str">
        <f>TEST_DATA!A5268</f>
        <v>27AAAAA5268Z5</v>
      </c>
      <c r="B5268" t="str">
        <f>TEST_DATA!B5268</f>
        <v>Jan-2019</v>
      </c>
      <c r="C5268">
        <f>TEST_DATA!C5268</f>
        <v>45373</v>
      </c>
      <c r="D5268" t="str">
        <f>TEST_DATA!D5268</f>
        <v>NON-NIL</v>
      </c>
      <c r="E5268">
        <f>TEST_DATA!E5268</f>
        <v>1430</v>
      </c>
    </row>
    <row r="5269" spans="1:5" x14ac:dyDescent="0.55000000000000004">
      <c r="A5269" t="str">
        <f>TEST_DATA!A5269</f>
        <v>27AAAAA5269Z5</v>
      </c>
      <c r="B5269" t="str">
        <f>TEST_DATA!B5269</f>
        <v>Jun-2020</v>
      </c>
      <c r="C5269">
        <f>TEST_DATA!C5269</f>
        <v>44262</v>
      </c>
      <c r="D5269" t="str">
        <f>TEST_DATA!D5269</f>
        <v>NON-NIL</v>
      </c>
      <c r="E5269">
        <f>TEST_DATA!E5269</f>
        <v>2733</v>
      </c>
    </row>
    <row r="5270" spans="1:5" x14ac:dyDescent="0.55000000000000004">
      <c r="A5270" t="str">
        <f>TEST_DATA!A5270</f>
        <v>27AAAAA5270Z5</v>
      </c>
      <c r="B5270" t="str">
        <f>TEST_DATA!B5270</f>
        <v>Jun-2019</v>
      </c>
      <c r="C5270">
        <f>TEST_DATA!C5270</f>
        <v>44929</v>
      </c>
      <c r="D5270" t="str">
        <f>TEST_DATA!D5270</f>
        <v>NIL</v>
      </c>
      <c r="E5270">
        <f>TEST_DATA!E5270</f>
        <v>969</v>
      </c>
    </row>
    <row r="5271" spans="1:5" x14ac:dyDescent="0.55000000000000004">
      <c r="A5271" t="str">
        <f>TEST_DATA!A5271</f>
        <v>27AAAAA5271Z5</v>
      </c>
      <c r="B5271" t="str">
        <f>TEST_DATA!B5271</f>
        <v>May-2020</v>
      </c>
      <c r="C5271">
        <f>TEST_DATA!C5271</f>
        <v>44926</v>
      </c>
      <c r="D5271" t="str">
        <f>TEST_DATA!D5271</f>
        <v>NON-NIL</v>
      </c>
      <c r="E5271">
        <f>TEST_DATA!E5271</f>
        <v>249</v>
      </c>
    </row>
    <row r="5272" spans="1:5" x14ac:dyDescent="0.55000000000000004">
      <c r="A5272" t="str">
        <f>TEST_DATA!A5272</f>
        <v>27AAAAA5272Z5</v>
      </c>
      <c r="B5272" t="str">
        <f>TEST_DATA!B5272</f>
        <v>Apr-2021</v>
      </c>
      <c r="C5272">
        <f>TEST_DATA!C5272</f>
        <v>43631</v>
      </c>
      <c r="D5272" t="str">
        <f>TEST_DATA!D5272</f>
        <v>NIL</v>
      </c>
      <c r="E5272">
        <f>TEST_DATA!E5272</f>
        <v>71</v>
      </c>
    </row>
    <row r="5273" spans="1:5" x14ac:dyDescent="0.55000000000000004">
      <c r="A5273" t="str">
        <f>TEST_DATA!A5273</f>
        <v>27AAAAA5273Z5</v>
      </c>
      <c r="B5273" t="str">
        <f>TEST_DATA!B5273</f>
        <v>Mar-2018</v>
      </c>
      <c r="C5273">
        <f>TEST_DATA!C5273</f>
        <v>43535</v>
      </c>
      <c r="D5273" t="str">
        <f>TEST_DATA!D5273</f>
        <v>NIL</v>
      </c>
      <c r="E5273">
        <f>TEST_DATA!E5273</f>
        <v>1588</v>
      </c>
    </row>
    <row r="5274" spans="1:5" x14ac:dyDescent="0.55000000000000004">
      <c r="A5274" t="str">
        <f>TEST_DATA!A5274</f>
        <v>27AAAAA5274Z5</v>
      </c>
      <c r="B5274" t="str">
        <f>TEST_DATA!B5274</f>
        <v>May-2020</v>
      </c>
      <c r="C5274">
        <f>TEST_DATA!C5274</f>
        <v>43998</v>
      </c>
      <c r="D5274" t="str">
        <f>TEST_DATA!D5274</f>
        <v>NON-NIL</v>
      </c>
      <c r="E5274">
        <f>TEST_DATA!E5274</f>
        <v>448</v>
      </c>
    </row>
    <row r="5275" spans="1:5" x14ac:dyDescent="0.55000000000000004">
      <c r="A5275" t="str">
        <f>TEST_DATA!A5275</f>
        <v>27AAAAA5275Z5</v>
      </c>
      <c r="B5275" t="str">
        <f>TEST_DATA!B5275</f>
        <v>Sep-2018</v>
      </c>
      <c r="C5275">
        <f>TEST_DATA!C5275</f>
        <v>43053</v>
      </c>
      <c r="D5275" t="str">
        <f>TEST_DATA!D5275</f>
        <v>NON-NIL</v>
      </c>
      <c r="E5275">
        <f>TEST_DATA!E5275</f>
        <v>667</v>
      </c>
    </row>
    <row r="5276" spans="1:5" x14ac:dyDescent="0.55000000000000004">
      <c r="A5276" t="str">
        <f>TEST_DATA!A5276</f>
        <v>27AAAAA5276Z5</v>
      </c>
      <c r="B5276" t="str">
        <f>TEST_DATA!B5276</f>
        <v>Jan-2018</v>
      </c>
      <c r="C5276">
        <f>TEST_DATA!C5276</f>
        <v>44407</v>
      </c>
      <c r="D5276" t="str">
        <f>TEST_DATA!D5276</f>
        <v>NIL</v>
      </c>
      <c r="E5276">
        <f>TEST_DATA!E5276</f>
        <v>93</v>
      </c>
    </row>
    <row r="5277" spans="1:5" x14ac:dyDescent="0.55000000000000004">
      <c r="A5277" t="str">
        <f>TEST_DATA!A5277</f>
        <v>27AAAAA5277Z5</v>
      </c>
      <c r="B5277" t="str">
        <f>TEST_DATA!B5277</f>
        <v>Mar-2021</v>
      </c>
      <c r="C5277">
        <f>TEST_DATA!C5277</f>
        <v>44077</v>
      </c>
      <c r="D5277" t="str">
        <f>TEST_DATA!D5277</f>
        <v>NIL</v>
      </c>
      <c r="E5277">
        <f>TEST_DATA!E5277</f>
        <v>2989</v>
      </c>
    </row>
    <row r="5278" spans="1:5" x14ac:dyDescent="0.55000000000000004">
      <c r="A5278" t="str">
        <f>TEST_DATA!A5278</f>
        <v>27AAAAA5278Z5</v>
      </c>
      <c r="B5278" t="str">
        <f>TEST_DATA!B5278</f>
        <v>Mar-2020</v>
      </c>
      <c r="C5278">
        <f>TEST_DATA!C5278</f>
        <v>44544</v>
      </c>
      <c r="D5278" t="str">
        <f>TEST_DATA!D5278</f>
        <v>NIL</v>
      </c>
      <c r="E5278">
        <f>TEST_DATA!E5278</f>
        <v>378</v>
      </c>
    </row>
    <row r="5279" spans="1:5" x14ac:dyDescent="0.55000000000000004">
      <c r="A5279" t="str">
        <f>TEST_DATA!A5279</f>
        <v>27AAAAA5279Z5</v>
      </c>
      <c r="B5279" t="str">
        <f>TEST_DATA!B5279</f>
        <v>Apr-2018</v>
      </c>
      <c r="C5279">
        <f>TEST_DATA!C5279</f>
        <v>43324</v>
      </c>
      <c r="D5279" t="str">
        <f>TEST_DATA!D5279</f>
        <v>NON-NIL</v>
      </c>
      <c r="E5279">
        <f>TEST_DATA!E5279</f>
        <v>1135</v>
      </c>
    </row>
    <row r="5280" spans="1:5" x14ac:dyDescent="0.55000000000000004">
      <c r="A5280" t="str">
        <f>TEST_DATA!A5280</f>
        <v>27AAAAA5280Z5</v>
      </c>
      <c r="B5280" t="str">
        <f>TEST_DATA!B5280</f>
        <v>May-2020</v>
      </c>
      <c r="C5280">
        <f>TEST_DATA!C5280</f>
        <v>44878</v>
      </c>
      <c r="D5280" t="str">
        <f>TEST_DATA!D5280</f>
        <v>NIL</v>
      </c>
      <c r="E5280">
        <f>TEST_DATA!E5280</f>
        <v>232</v>
      </c>
    </row>
    <row r="5281" spans="1:5" x14ac:dyDescent="0.55000000000000004">
      <c r="A5281" t="str">
        <f>TEST_DATA!A5281</f>
        <v>27AAAAA5281Z5</v>
      </c>
      <c r="B5281" t="str">
        <f>TEST_DATA!B5281</f>
        <v>Apr-2020</v>
      </c>
      <c r="C5281">
        <f>TEST_DATA!C5281</f>
        <v>44233</v>
      </c>
      <c r="D5281" t="str">
        <f>TEST_DATA!D5281</f>
        <v>NIL</v>
      </c>
      <c r="E5281">
        <f>TEST_DATA!E5281</f>
        <v>2361</v>
      </c>
    </row>
    <row r="5282" spans="1:5" x14ac:dyDescent="0.55000000000000004">
      <c r="A5282" t="str">
        <f>TEST_DATA!A5282</f>
        <v>27AAAAA5282Z5</v>
      </c>
      <c r="B5282" t="str">
        <f>TEST_DATA!B5282</f>
        <v>Aug-2018</v>
      </c>
      <c r="C5282">
        <f>TEST_DATA!C5282</f>
        <v>43879</v>
      </c>
      <c r="D5282" t="str">
        <f>TEST_DATA!D5282</f>
        <v>NIL</v>
      </c>
      <c r="E5282">
        <f>TEST_DATA!E5282</f>
        <v>861</v>
      </c>
    </row>
    <row r="5283" spans="1:5" x14ac:dyDescent="0.55000000000000004">
      <c r="A5283" t="str">
        <f>TEST_DATA!A5283</f>
        <v>27AAAAA5283Z5</v>
      </c>
      <c r="B5283" t="str">
        <f>TEST_DATA!B5283</f>
        <v>Jun-2020</v>
      </c>
      <c r="C5283">
        <f>TEST_DATA!C5283</f>
        <v>44854</v>
      </c>
      <c r="D5283" t="str">
        <f>TEST_DATA!D5283</f>
        <v>NIL</v>
      </c>
      <c r="E5283">
        <f>TEST_DATA!E5283</f>
        <v>2493</v>
      </c>
    </row>
    <row r="5284" spans="1:5" x14ac:dyDescent="0.55000000000000004">
      <c r="A5284" t="str">
        <f>TEST_DATA!A5284</f>
        <v>27AAAAA5284Z5</v>
      </c>
      <c r="B5284" t="str">
        <f>TEST_DATA!B5284</f>
        <v>Oct-2017</v>
      </c>
      <c r="C5284">
        <f>TEST_DATA!C5284</f>
        <v>43214</v>
      </c>
      <c r="D5284" t="str">
        <f>TEST_DATA!D5284</f>
        <v>NON-NIL</v>
      </c>
      <c r="E5284">
        <f>TEST_DATA!E5284</f>
        <v>198</v>
      </c>
    </row>
    <row r="5285" spans="1:5" x14ac:dyDescent="0.55000000000000004">
      <c r="A5285" t="str">
        <f>TEST_DATA!A5285</f>
        <v>27AAAAA5285Z5</v>
      </c>
      <c r="B5285" t="str">
        <f>TEST_DATA!B5285</f>
        <v>May-2020</v>
      </c>
      <c r="C5285">
        <f>TEST_DATA!C5285</f>
        <v>44140</v>
      </c>
      <c r="D5285" t="str">
        <f>TEST_DATA!D5285</f>
        <v>NIL</v>
      </c>
      <c r="E5285">
        <f>TEST_DATA!E5285</f>
        <v>473</v>
      </c>
    </row>
    <row r="5286" spans="1:5" x14ac:dyDescent="0.55000000000000004">
      <c r="A5286" t="str">
        <f>TEST_DATA!A5286</f>
        <v>27AAAAA5286Z5</v>
      </c>
      <c r="B5286" t="str">
        <f>TEST_DATA!B5286</f>
        <v>Jan-2018</v>
      </c>
      <c r="C5286">
        <f>TEST_DATA!C5286</f>
        <v>43239</v>
      </c>
      <c r="D5286" t="str">
        <f>TEST_DATA!D5286</f>
        <v>NIL</v>
      </c>
      <c r="E5286">
        <f>TEST_DATA!E5286</f>
        <v>2813</v>
      </c>
    </row>
    <row r="5287" spans="1:5" x14ac:dyDescent="0.55000000000000004">
      <c r="A5287" t="str">
        <f>TEST_DATA!A5287</f>
        <v>27AAAAA5287Z5</v>
      </c>
      <c r="B5287" t="str">
        <f>TEST_DATA!B5287</f>
        <v>Jul-2020</v>
      </c>
      <c r="C5287">
        <f>TEST_DATA!C5287</f>
        <v>44773</v>
      </c>
      <c r="D5287" t="str">
        <f>TEST_DATA!D5287</f>
        <v>NON-NIL</v>
      </c>
      <c r="E5287">
        <f>TEST_DATA!E5287</f>
        <v>1911</v>
      </c>
    </row>
    <row r="5288" spans="1:5" x14ac:dyDescent="0.55000000000000004">
      <c r="A5288" t="str">
        <f>TEST_DATA!A5288</f>
        <v>27AAAAA5288Z5</v>
      </c>
      <c r="B5288" t="str">
        <f>TEST_DATA!B5288</f>
        <v>Mar-2021</v>
      </c>
      <c r="C5288">
        <f>TEST_DATA!C5288</f>
        <v>44037</v>
      </c>
      <c r="D5288" t="str">
        <f>TEST_DATA!D5288</f>
        <v>NIL</v>
      </c>
      <c r="E5288">
        <f>TEST_DATA!E5288</f>
        <v>471</v>
      </c>
    </row>
    <row r="5289" spans="1:5" x14ac:dyDescent="0.55000000000000004">
      <c r="A5289" t="str">
        <f>TEST_DATA!A5289</f>
        <v>27AAAAA5289Z5</v>
      </c>
      <c r="B5289" t="str">
        <f>TEST_DATA!B5289</f>
        <v>Apr-2020</v>
      </c>
      <c r="C5289">
        <f>TEST_DATA!C5289</f>
        <v>44013</v>
      </c>
      <c r="D5289" t="str">
        <f>TEST_DATA!D5289</f>
        <v>NIL</v>
      </c>
      <c r="E5289">
        <f>TEST_DATA!E5289</f>
        <v>461</v>
      </c>
    </row>
    <row r="5290" spans="1:5" x14ac:dyDescent="0.55000000000000004">
      <c r="A5290" t="str">
        <f>TEST_DATA!A5290</f>
        <v>27AAAAA5290Z5</v>
      </c>
      <c r="B5290" t="str">
        <f>TEST_DATA!B5290</f>
        <v>Jul-2018</v>
      </c>
      <c r="C5290">
        <f>TEST_DATA!C5290</f>
        <v>43741</v>
      </c>
      <c r="D5290" t="str">
        <f>TEST_DATA!D5290</f>
        <v>NIL</v>
      </c>
      <c r="E5290">
        <f>TEST_DATA!E5290</f>
        <v>530</v>
      </c>
    </row>
    <row r="5291" spans="1:5" x14ac:dyDescent="0.55000000000000004">
      <c r="A5291" t="str">
        <f>TEST_DATA!A5291</f>
        <v>27AAAAA5291Z5</v>
      </c>
      <c r="B5291" t="str">
        <f>TEST_DATA!B5291</f>
        <v>Dec-2017</v>
      </c>
      <c r="C5291">
        <f>TEST_DATA!C5291</f>
        <v>43002</v>
      </c>
      <c r="D5291" t="str">
        <f>TEST_DATA!D5291</f>
        <v>NIL</v>
      </c>
      <c r="E5291">
        <f>TEST_DATA!E5291</f>
        <v>2529</v>
      </c>
    </row>
    <row r="5292" spans="1:5" x14ac:dyDescent="0.55000000000000004">
      <c r="A5292" t="str">
        <f>TEST_DATA!A5292</f>
        <v>27AAAAA5292Z5</v>
      </c>
      <c r="B5292" t="str">
        <f>TEST_DATA!B5292</f>
        <v>Jan-2021</v>
      </c>
      <c r="C5292">
        <f>TEST_DATA!C5292</f>
        <v>43596</v>
      </c>
      <c r="D5292" t="str">
        <f>TEST_DATA!D5292</f>
        <v>NON-NIL</v>
      </c>
      <c r="E5292">
        <f>TEST_DATA!E5292</f>
        <v>557</v>
      </c>
    </row>
    <row r="5293" spans="1:5" x14ac:dyDescent="0.55000000000000004">
      <c r="A5293" t="str">
        <f>TEST_DATA!A5293</f>
        <v>27AAAAA5293Z5</v>
      </c>
      <c r="B5293" t="str">
        <f>TEST_DATA!B5293</f>
        <v>Jan-2021</v>
      </c>
      <c r="C5293">
        <f>TEST_DATA!C5293</f>
        <v>44870</v>
      </c>
      <c r="D5293" t="str">
        <f>TEST_DATA!D5293</f>
        <v>NON-NIL</v>
      </c>
      <c r="E5293">
        <f>TEST_DATA!E5293</f>
        <v>1018</v>
      </c>
    </row>
    <row r="5294" spans="1:5" x14ac:dyDescent="0.55000000000000004">
      <c r="A5294" t="str">
        <f>TEST_DATA!A5294</f>
        <v>27AAAAA5294Z5</v>
      </c>
      <c r="B5294" t="str">
        <f>TEST_DATA!B5294</f>
        <v>Jan-2018</v>
      </c>
      <c r="C5294">
        <f>TEST_DATA!C5294</f>
        <v>44192</v>
      </c>
      <c r="D5294" t="str">
        <f>TEST_DATA!D5294</f>
        <v>NIL</v>
      </c>
      <c r="E5294">
        <f>TEST_DATA!E5294</f>
        <v>151</v>
      </c>
    </row>
    <row r="5295" spans="1:5" x14ac:dyDescent="0.55000000000000004">
      <c r="A5295" t="str">
        <f>TEST_DATA!A5295</f>
        <v>27AAAAA5295Z5</v>
      </c>
      <c r="B5295" t="str">
        <f>TEST_DATA!B5295</f>
        <v>Apr-2018</v>
      </c>
      <c r="C5295">
        <f>TEST_DATA!C5295</f>
        <v>44088</v>
      </c>
      <c r="D5295" t="str">
        <f>TEST_DATA!D5295</f>
        <v>NIL</v>
      </c>
      <c r="E5295">
        <f>TEST_DATA!E5295</f>
        <v>1767</v>
      </c>
    </row>
    <row r="5296" spans="1:5" x14ac:dyDescent="0.55000000000000004">
      <c r="A5296" t="str">
        <f>TEST_DATA!A5296</f>
        <v>27AAAAA5296Z5</v>
      </c>
      <c r="B5296" t="str">
        <f>TEST_DATA!B5296</f>
        <v>Jul-2018</v>
      </c>
      <c r="C5296">
        <f>TEST_DATA!C5296</f>
        <v>43607</v>
      </c>
      <c r="D5296" t="str">
        <f>TEST_DATA!D5296</f>
        <v>NIL</v>
      </c>
      <c r="E5296">
        <f>TEST_DATA!E5296</f>
        <v>2196</v>
      </c>
    </row>
    <row r="5297" spans="1:5" x14ac:dyDescent="0.55000000000000004">
      <c r="A5297" t="str">
        <f>TEST_DATA!A5297</f>
        <v>27AAAAA5297Z5</v>
      </c>
      <c r="B5297" t="str">
        <f>TEST_DATA!B5297</f>
        <v>Jul-2017</v>
      </c>
      <c r="C5297">
        <f>TEST_DATA!C5297</f>
        <v>44269</v>
      </c>
      <c r="D5297" t="str">
        <f>TEST_DATA!D5297</f>
        <v>NIL</v>
      </c>
      <c r="E5297">
        <f>TEST_DATA!E5297</f>
        <v>1865</v>
      </c>
    </row>
    <row r="5298" spans="1:5" x14ac:dyDescent="0.55000000000000004">
      <c r="A5298" t="str">
        <f>TEST_DATA!A5298</f>
        <v>27AAAAA5298Z5</v>
      </c>
      <c r="B5298" t="str">
        <f>TEST_DATA!B5298</f>
        <v>May-2020</v>
      </c>
      <c r="C5298">
        <f>TEST_DATA!C5298</f>
        <v>44448</v>
      </c>
      <c r="D5298" t="str">
        <f>TEST_DATA!D5298</f>
        <v>NIL</v>
      </c>
      <c r="E5298">
        <f>TEST_DATA!E5298</f>
        <v>612</v>
      </c>
    </row>
    <row r="5299" spans="1:5" x14ac:dyDescent="0.55000000000000004">
      <c r="A5299" t="str">
        <f>TEST_DATA!A5299</f>
        <v>27AAAAA5299Z5</v>
      </c>
      <c r="B5299" t="str">
        <f>TEST_DATA!B5299</f>
        <v>Mar-2021</v>
      </c>
      <c r="C5299">
        <f>TEST_DATA!C5299</f>
        <v>44621</v>
      </c>
      <c r="D5299" t="str">
        <f>TEST_DATA!D5299</f>
        <v>NIL</v>
      </c>
      <c r="E5299">
        <f>TEST_DATA!E5299</f>
        <v>411</v>
      </c>
    </row>
    <row r="5300" spans="1:5" x14ac:dyDescent="0.55000000000000004">
      <c r="A5300" t="str">
        <f>TEST_DATA!A5300</f>
        <v>27AAAAA5300Z5</v>
      </c>
      <c r="B5300" t="str">
        <f>TEST_DATA!B5300</f>
        <v>Sep-2017</v>
      </c>
      <c r="C5300">
        <f>TEST_DATA!C5300</f>
        <v>43499</v>
      </c>
      <c r="D5300" t="str">
        <f>TEST_DATA!D5300</f>
        <v>NIL</v>
      </c>
      <c r="E5300">
        <f>TEST_DATA!E5300</f>
        <v>2287</v>
      </c>
    </row>
    <row r="5301" spans="1:5" x14ac:dyDescent="0.55000000000000004">
      <c r="A5301" t="str">
        <f>TEST_DATA!A5301</f>
        <v>27AAAAA5301Z5</v>
      </c>
      <c r="B5301" t="str">
        <f>TEST_DATA!B5301</f>
        <v>Jun-2020</v>
      </c>
      <c r="C5301">
        <f>TEST_DATA!C5301</f>
        <v>44639</v>
      </c>
      <c r="D5301" t="str">
        <f>TEST_DATA!D5301</f>
        <v>NIL</v>
      </c>
      <c r="E5301">
        <f>TEST_DATA!E5301</f>
        <v>1380</v>
      </c>
    </row>
    <row r="5302" spans="1:5" x14ac:dyDescent="0.55000000000000004">
      <c r="A5302" t="str">
        <f>TEST_DATA!A5302</f>
        <v>27AAAAA5302Z5</v>
      </c>
      <c r="B5302" t="str">
        <f>TEST_DATA!B5302</f>
        <v>Mar-2023</v>
      </c>
      <c r="C5302">
        <f>TEST_DATA!C5302</f>
        <v>43501</v>
      </c>
      <c r="D5302" t="str">
        <f>TEST_DATA!D5302</f>
        <v>NON-NIL</v>
      </c>
      <c r="E5302">
        <f>TEST_DATA!E5302</f>
        <v>551</v>
      </c>
    </row>
    <row r="5303" spans="1:5" x14ac:dyDescent="0.55000000000000004">
      <c r="A5303" t="str">
        <f>TEST_DATA!A5303</f>
        <v>27AAAAA5303Z5</v>
      </c>
      <c r="B5303" t="str">
        <f>TEST_DATA!B5303</f>
        <v>Nov-2017</v>
      </c>
      <c r="C5303">
        <f>TEST_DATA!C5303</f>
        <v>44138</v>
      </c>
      <c r="D5303" t="str">
        <f>TEST_DATA!D5303</f>
        <v>NON-NIL</v>
      </c>
      <c r="E5303">
        <f>TEST_DATA!E5303</f>
        <v>1538</v>
      </c>
    </row>
    <row r="5304" spans="1:5" x14ac:dyDescent="0.55000000000000004">
      <c r="A5304" t="str">
        <f>TEST_DATA!A5304</f>
        <v>27AAAAA5304Z5</v>
      </c>
      <c r="B5304" t="str">
        <f>TEST_DATA!B5304</f>
        <v>Nov-2017</v>
      </c>
      <c r="C5304">
        <f>TEST_DATA!C5304</f>
        <v>42952</v>
      </c>
      <c r="D5304" t="str">
        <f>TEST_DATA!D5304</f>
        <v>NIL</v>
      </c>
      <c r="E5304">
        <f>TEST_DATA!E5304</f>
        <v>2869</v>
      </c>
    </row>
    <row r="5305" spans="1:5" x14ac:dyDescent="0.55000000000000004">
      <c r="A5305" t="str">
        <f>TEST_DATA!A5305</f>
        <v>27AAAAA5305Z5</v>
      </c>
      <c r="B5305" t="str">
        <f>TEST_DATA!B5305</f>
        <v>Mar-2023</v>
      </c>
      <c r="C5305">
        <f>TEST_DATA!C5305</f>
        <v>44968</v>
      </c>
      <c r="D5305" t="str">
        <f>TEST_DATA!D5305</f>
        <v>NON-NIL</v>
      </c>
      <c r="E5305">
        <f>TEST_DATA!E5305</f>
        <v>2955</v>
      </c>
    </row>
    <row r="5306" spans="1:5" x14ac:dyDescent="0.55000000000000004">
      <c r="A5306" t="str">
        <f>TEST_DATA!A5306</f>
        <v>27AAAAA5306Z5</v>
      </c>
      <c r="B5306" t="str">
        <f>TEST_DATA!B5306</f>
        <v>Jul-2018</v>
      </c>
      <c r="C5306">
        <f>TEST_DATA!C5306</f>
        <v>44536</v>
      </c>
      <c r="D5306" t="str">
        <f>TEST_DATA!D5306</f>
        <v>NIL</v>
      </c>
      <c r="E5306">
        <f>TEST_DATA!E5306</f>
        <v>2683</v>
      </c>
    </row>
    <row r="5307" spans="1:5" x14ac:dyDescent="0.55000000000000004">
      <c r="A5307" t="str">
        <f>TEST_DATA!A5307</f>
        <v>27AAAAA5307Z5</v>
      </c>
      <c r="B5307" t="str">
        <f>TEST_DATA!B5307</f>
        <v>Jul-2017</v>
      </c>
      <c r="C5307">
        <f>TEST_DATA!C5307</f>
        <v>43356</v>
      </c>
      <c r="D5307" t="str">
        <f>TEST_DATA!D5307</f>
        <v>NON-NIL</v>
      </c>
      <c r="E5307">
        <f>TEST_DATA!E5307</f>
        <v>525</v>
      </c>
    </row>
    <row r="5308" spans="1:5" x14ac:dyDescent="0.55000000000000004">
      <c r="A5308" t="str">
        <f>TEST_DATA!A5308</f>
        <v>27AAAAA5308Z5</v>
      </c>
      <c r="B5308" t="str">
        <f>TEST_DATA!B5308</f>
        <v>Mar-2021</v>
      </c>
      <c r="C5308">
        <f>TEST_DATA!C5308</f>
        <v>45499</v>
      </c>
      <c r="D5308" t="str">
        <f>TEST_DATA!D5308</f>
        <v>NIL</v>
      </c>
      <c r="E5308">
        <f>TEST_DATA!E5308</f>
        <v>398</v>
      </c>
    </row>
    <row r="5309" spans="1:5" x14ac:dyDescent="0.55000000000000004">
      <c r="A5309" t="str">
        <f>TEST_DATA!A5309</f>
        <v>27AAAAA5309Z5</v>
      </c>
      <c r="B5309" t="str">
        <f>TEST_DATA!B5309</f>
        <v>Feb-2018</v>
      </c>
      <c r="C5309">
        <f>TEST_DATA!C5309</f>
        <v>43846</v>
      </c>
      <c r="D5309" t="str">
        <f>TEST_DATA!D5309</f>
        <v>NIL</v>
      </c>
      <c r="E5309">
        <f>TEST_DATA!E5309</f>
        <v>581</v>
      </c>
    </row>
    <row r="5310" spans="1:5" x14ac:dyDescent="0.55000000000000004">
      <c r="A5310" t="str">
        <f>TEST_DATA!A5310</f>
        <v>27AAAAA5310Z5</v>
      </c>
      <c r="B5310" t="str">
        <f>TEST_DATA!B5310</f>
        <v>Mar-2018</v>
      </c>
      <c r="C5310">
        <f>TEST_DATA!C5310</f>
        <v>43307</v>
      </c>
      <c r="D5310" t="str">
        <f>TEST_DATA!D5310</f>
        <v>NON-NIL</v>
      </c>
      <c r="E5310">
        <f>TEST_DATA!E5310</f>
        <v>1470</v>
      </c>
    </row>
    <row r="5311" spans="1:5" x14ac:dyDescent="0.55000000000000004">
      <c r="A5311" t="str">
        <f>TEST_DATA!A5311</f>
        <v>27AAAAA5311Z5</v>
      </c>
      <c r="B5311" t="str">
        <f>TEST_DATA!B5311</f>
        <v>Dec-2019</v>
      </c>
      <c r="C5311">
        <f>TEST_DATA!C5311</f>
        <v>44803</v>
      </c>
      <c r="D5311" t="str">
        <f>TEST_DATA!D5311</f>
        <v>NON-NIL</v>
      </c>
      <c r="E5311">
        <f>TEST_DATA!E5311</f>
        <v>1586</v>
      </c>
    </row>
    <row r="5312" spans="1:5" x14ac:dyDescent="0.55000000000000004">
      <c r="A5312" t="str">
        <f>TEST_DATA!A5312</f>
        <v>27AAAAA5312Z5</v>
      </c>
      <c r="B5312" t="str">
        <f>TEST_DATA!B5312</f>
        <v>Apr-2018</v>
      </c>
      <c r="C5312">
        <f>TEST_DATA!C5312</f>
        <v>44478</v>
      </c>
      <c r="D5312" t="str">
        <f>TEST_DATA!D5312</f>
        <v>NIL</v>
      </c>
      <c r="E5312">
        <f>TEST_DATA!E5312</f>
        <v>868</v>
      </c>
    </row>
    <row r="5313" spans="1:5" x14ac:dyDescent="0.55000000000000004">
      <c r="A5313" t="str">
        <f>TEST_DATA!A5313</f>
        <v>27AAAAA5313Z5</v>
      </c>
      <c r="B5313" t="str">
        <f>TEST_DATA!B5313</f>
        <v>Mar-2023</v>
      </c>
      <c r="C5313">
        <f>TEST_DATA!C5313</f>
        <v>43576</v>
      </c>
      <c r="D5313" t="str">
        <f>TEST_DATA!D5313</f>
        <v>NON-NIL</v>
      </c>
      <c r="E5313">
        <f>TEST_DATA!E5313</f>
        <v>306</v>
      </c>
    </row>
    <row r="5314" spans="1:5" x14ac:dyDescent="0.55000000000000004">
      <c r="A5314" t="str">
        <f>TEST_DATA!A5314</f>
        <v>27AAAAA5314Z5</v>
      </c>
      <c r="B5314" t="str">
        <f>TEST_DATA!B5314</f>
        <v>Dec-2024</v>
      </c>
      <c r="C5314">
        <f>TEST_DATA!C5314</f>
        <v>44105</v>
      </c>
      <c r="D5314" t="str">
        <f>TEST_DATA!D5314</f>
        <v>NIL</v>
      </c>
      <c r="E5314">
        <f>TEST_DATA!E5314</f>
        <v>576</v>
      </c>
    </row>
    <row r="5315" spans="1:5" x14ac:dyDescent="0.55000000000000004">
      <c r="A5315" t="str">
        <f>TEST_DATA!A5315</f>
        <v>27AAAAA5315Z5</v>
      </c>
      <c r="B5315" t="str">
        <f>TEST_DATA!B5315</f>
        <v>Jan-2019</v>
      </c>
      <c r="C5315">
        <f>TEST_DATA!C5315</f>
        <v>43686</v>
      </c>
      <c r="D5315" t="str">
        <f>TEST_DATA!D5315</f>
        <v>NON-NIL</v>
      </c>
      <c r="E5315">
        <f>TEST_DATA!E5315</f>
        <v>504</v>
      </c>
    </row>
    <row r="5316" spans="1:5" x14ac:dyDescent="0.55000000000000004">
      <c r="A5316" t="str">
        <f>TEST_DATA!A5316</f>
        <v>27AAAAA5316Z5</v>
      </c>
      <c r="B5316" t="str">
        <f>TEST_DATA!B5316</f>
        <v>Jun-2018</v>
      </c>
      <c r="C5316">
        <f>TEST_DATA!C5316</f>
        <v>44174</v>
      </c>
      <c r="D5316" t="str">
        <f>TEST_DATA!D5316</f>
        <v>NIL</v>
      </c>
      <c r="E5316">
        <f>TEST_DATA!E5316</f>
        <v>1963</v>
      </c>
    </row>
    <row r="5317" spans="1:5" x14ac:dyDescent="0.55000000000000004">
      <c r="A5317" t="str">
        <f>TEST_DATA!A5317</f>
        <v>27AAAAA5317Z5</v>
      </c>
      <c r="B5317" t="str">
        <f>TEST_DATA!B5317</f>
        <v>Feb-2018</v>
      </c>
      <c r="C5317">
        <f>TEST_DATA!C5317</f>
        <v>44058</v>
      </c>
      <c r="D5317" t="str">
        <f>TEST_DATA!D5317</f>
        <v>NON-NIL</v>
      </c>
      <c r="E5317">
        <f>TEST_DATA!E5317</f>
        <v>1138</v>
      </c>
    </row>
    <row r="5318" spans="1:5" x14ac:dyDescent="0.55000000000000004">
      <c r="A5318" t="str">
        <f>TEST_DATA!A5318</f>
        <v>27AAAAA5318Z5</v>
      </c>
      <c r="B5318" t="str">
        <f>TEST_DATA!B5318</f>
        <v>Aug-2017</v>
      </c>
      <c r="C5318">
        <f>TEST_DATA!C5318</f>
        <v>43257</v>
      </c>
      <c r="D5318" t="str">
        <f>TEST_DATA!D5318</f>
        <v>NIL</v>
      </c>
      <c r="E5318">
        <f>TEST_DATA!E5318</f>
        <v>1814</v>
      </c>
    </row>
    <row r="5319" spans="1:5" x14ac:dyDescent="0.55000000000000004">
      <c r="A5319" t="str">
        <f>TEST_DATA!A5319</f>
        <v>27AAAAA5319Z5</v>
      </c>
      <c r="B5319" t="str">
        <f>TEST_DATA!B5319</f>
        <v>Jan-2021</v>
      </c>
      <c r="C5319">
        <f>TEST_DATA!C5319</f>
        <v>43815</v>
      </c>
      <c r="D5319" t="str">
        <f>TEST_DATA!D5319</f>
        <v>NON-NIL</v>
      </c>
      <c r="E5319">
        <f>TEST_DATA!E5319</f>
        <v>1745</v>
      </c>
    </row>
    <row r="5320" spans="1:5" x14ac:dyDescent="0.55000000000000004">
      <c r="A5320" t="str">
        <f>TEST_DATA!A5320</f>
        <v>27AAAAA5320Z5</v>
      </c>
      <c r="B5320" t="str">
        <f>TEST_DATA!B5320</f>
        <v>Mar-2023</v>
      </c>
      <c r="C5320">
        <f>TEST_DATA!C5320</f>
        <v>43557</v>
      </c>
      <c r="D5320" t="str">
        <f>TEST_DATA!D5320</f>
        <v>NON-NIL</v>
      </c>
      <c r="E5320">
        <f>TEST_DATA!E5320</f>
        <v>934</v>
      </c>
    </row>
    <row r="5321" spans="1:5" x14ac:dyDescent="0.55000000000000004">
      <c r="A5321" t="str">
        <f>TEST_DATA!A5321</f>
        <v>27AAAAA5321Z5</v>
      </c>
      <c r="B5321" t="str">
        <f>TEST_DATA!B5321</f>
        <v>Nov-2017</v>
      </c>
      <c r="C5321">
        <f>TEST_DATA!C5321</f>
        <v>43176</v>
      </c>
      <c r="D5321" t="str">
        <f>TEST_DATA!D5321</f>
        <v>NON-NIL</v>
      </c>
      <c r="E5321">
        <f>TEST_DATA!E5321</f>
        <v>2175</v>
      </c>
    </row>
    <row r="5322" spans="1:5" x14ac:dyDescent="0.55000000000000004">
      <c r="A5322" t="str">
        <f>TEST_DATA!A5322</f>
        <v>27AAAAA5322Z5</v>
      </c>
      <c r="B5322" t="str">
        <f>TEST_DATA!B5322</f>
        <v>May-2020</v>
      </c>
      <c r="C5322">
        <f>TEST_DATA!C5322</f>
        <v>44050</v>
      </c>
      <c r="D5322" t="str">
        <f>TEST_DATA!D5322</f>
        <v>NON-NIL</v>
      </c>
      <c r="E5322">
        <f>TEST_DATA!E5322</f>
        <v>1308</v>
      </c>
    </row>
    <row r="5323" spans="1:5" x14ac:dyDescent="0.55000000000000004">
      <c r="A5323" t="str">
        <f>TEST_DATA!A5323</f>
        <v>27AAAAA5323Z5</v>
      </c>
      <c r="B5323" t="str">
        <f>TEST_DATA!B5323</f>
        <v>Mar-2018</v>
      </c>
      <c r="C5323">
        <f>TEST_DATA!C5323</f>
        <v>43241</v>
      </c>
      <c r="D5323" t="str">
        <f>TEST_DATA!D5323</f>
        <v>NIL</v>
      </c>
      <c r="E5323">
        <f>TEST_DATA!E5323</f>
        <v>908</v>
      </c>
    </row>
    <row r="5324" spans="1:5" x14ac:dyDescent="0.55000000000000004">
      <c r="A5324" t="str">
        <f>TEST_DATA!A5324</f>
        <v>27AAAAA5324Z5</v>
      </c>
      <c r="B5324" t="str">
        <f>TEST_DATA!B5324</f>
        <v>Jul-2020</v>
      </c>
      <c r="C5324">
        <f>TEST_DATA!C5324</f>
        <v>44415</v>
      </c>
      <c r="D5324" t="str">
        <f>TEST_DATA!D5324</f>
        <v>NIL</v>
      </c>
      <c r="E5324">
        <f>TEST_DATA!E5324</f>
        <v>1022</v>
      </c>
    </row>
    <row r="5325" spans="1:5" x14ac:dyDescent="0.55000000000000004">
      <c r="A5325" t="str">
        <f>TEST_DATA!A5325</f>
        <v>27AAAAA5325Z5</v>
      </c>
      <c r="B5325" t="str">
        <f>TEST_DATA!B5325</f>
        <v>Aug-2017</v>
      </c>
      <c r="C5325">
        <f>TEST_DATA!C5325</f>
        <v>43172</v>
      </c>
      <c r="D5325" t="str">
        <f>TEST_DATA!D5325</f>
        <v>NIL</v>
      </c>
      <c r="E5325">
        <f>TEST_DATA!E5325</f>
        <v>2523</v>
      </c>
    </row>
    <row r="5326" spans="1:5" x14ac:dyDescent="0.55000000000000004">
      <c r="A5326" t="str">
        <f>TEST_DATA!A5326</f>
        <v>27AAAAA5326Z5</v>
      </c>
      <c r="B5326" t="str">
        <f>TEST_DATA!B5326</f>
        <v>Jun-2018</v>
      </c>
      <c r="C5326">
        <f>TEST_DATA!C5326</f>
        <v>43747</v>
      </c>
      <c r="D5326" t="str">
        <f>TEST_DATA!D5326</f>
        <v>NON-NIL</v>
      </c>
      <c r="E5326">
        <f>TEST_DATA!E5326</f>
        <v>2311</v>
      </c>
    </row>
    <row r="5327" spans="1:5" x14ac:dyDescent="0.55000000000000004">
      <c r="A5327" t="str">
        <f>TEST_DATA!A5327</f>
        <v>27AAAAA5327Z5</v>
      </c>
      <c r="B5327" t="str">
        <f>TEST_DATA!B5327</f>
        <v>Mar-2021</v>
      </c>
      <c r="C5327">
        <f>TEST_DATA!C5327</f>
        <v>45315</v>
      </c>
      <c r="D5327" t="str">
        <f>TEST_DATA!D5327</f>
        <v>NON-NIL</v>
      </c>
      <c r="E5327">
        <f>TEST_DATA!E5327</f>
        <v>1733</v>
      </c>
    </row>
    <row r="5328" spans="1:5" x14ac:dyDescent="0.55000000000000004">
      <c r="A5328" t="str">
        <f>TEST_DATA!A5328</f>
        <v>27AAAAA5328Z5</v>
      </c>
      <c r="B5328" t="str">
        <f>TEST_DATA!B5328</f>
        <v>Dec-2024</v>
      </c>
      <c r="C5328">
        <f>TEST_DATA!C5328</f>
        <v>44728</v>
      </c>
      <c r="D5328" t="str">
        <f>TEST_DATA!D5328</f>
        <v>NIL</v>
      </c>
      <c r="E5328">
        <f>TEST_DATA!E5328</f>
        <v>1519</v>
      </c>
    </row>
    <row r="5329" spans="1:5" x14ac:dyDescent="0.55000000000000004">
      <c r="A5329" t="str">
        <f>TEST_DATA!A5329</f>
        <v>27AAAAA5329Z5</v>
      </c>
      <c r="B5329" t="str">
        <f>TEST_DATA!B5329</f>
        <v>Sep-2018</v>
      </c>
      <c r="C5329">
        <f>TEST_DATA!C5329</f>
        <v>44125</v>
      </c>
      <c r="D5329" t="str">
        <f>TEST_DATA!D5329</f>
        <v>NON-NIL</v>
      </c>
      <c r="E5329">
        <f>TEST_DATA!E5329</f>
        <v>1523</v>
      </c>
    </row>
    <row r="5330" spans="1:5" x14ac:dyDescent="0.55000000000000004">
      <c r="A5330" t="str">
        <f>TEST_DATA!A5330</f>
        <v>27AAAAA5330Z5</v>
      </c>
      <c r="B5330" t="str">
        <f>TEST_DATA!B5330</f>
        <v>Apr-2018</v>
      </c>
      <c r="C5330">
        <f>TEST_DATA!C5330</f>
        <v>43787</v>
      </c>
      <c r="D5330" t="str">
        <f>TEST_DATA!D5330</f>
        <v>NIL</v>
      </c>
      <c r="E5330">
        <f>TEST_DATA!E5330</f>
        <v>1008</v>
      </c>
    </row>
    <row r="5331" spans="1:5" x14ac:dyDescent="0.55000000000000004">
      <c r="A5331" t="str">
        <f>TEST_DATA!A5331</f>
        <v>27AAAAA5331Z5</v>
      </c>
      <c r="B5331" t="str">
        <f>TEST_DATA!B5331</f>
        <v>Mar-2018</v>
      </c>
      <c r="C5331">
        <f>TEST_DATA!C5331</f>
        <v>43899</v>
      </c>
      <c r="D5331" t="str">
        <f>TEST_DATA!D5331</f>
        <v>NIL</v>
      </c>
      <c r="E5331">
        <f>TEST_DATA!E5331</f>
        <v>560</v>
      </c>
    </row>
    <row r="5332" spans="1:5" x14ac:dyDescent="0.55000000000000004">
      <c r="A5332" t="str">
        <f>TEST_DATA!A5332</f>
        <v>27AAAAA5332Z5</v>
      </c>
      <c r="B5332" t="str">
        <f>TEST_DATA!B5332</f>
        <v>Dec-2022</v>
      </c>
      <c r="C5332">
        <f>TEST_DATA!C5332</f>
        <v>44494</v>
      </c>
      <c r="D5332" t="str">
        <f>TEST_DATA!D5332</f>
        <v>NON-NIL</v>
      </c>
      <c r="E5332">
        <f>TEST_DATA!E5332</f>
        <v>1778</v>
      </c>
    </row>
    <row r="5333" spans="1:5" x14ac:dyDescent="0.55000000000000004">
      <c r="A5333" t="str">
        <f>TEST_DATA!A5333</f>
        <v>27AAAAA5333Z5</v>
      </c>
      <c r="B5333" t="str">
        <f>TEST_DATA!B5333</f>
        <v>Jul-2017</v>
      </c>
      <c r="C5333">
        <f>TEST_DATA!C5333</f>
        <v>43143</v>
      </c>
      <c r="D5333" t="str">
        <f>TEST_DATA!D5333</f>
        <v>NIL</v>
      </c>
      <c r="E5333">
        <f>TEST_DATA!E5333</f>
        <v>2273</v>
      </c>
    </row>
    <row r="5334" spans="1:5" x14ac:dyDescent="0.55000000000000004">
      <c r="A5334" t="str">
        <f>TEST_DATA!A5334</f>
        <v>27AAAAA5334Z5</v>
      </c>
      <c r="B5334" t="str">
        <f>TEST_DATA!B5334</f>
        <v>Aug-2017</v>
      </c>
      <c r="C5334">
        <f>TEST_DATA!C5334</f>
        <v>44492</v>
      </c>
      <c r="D5334" t="str">
        <f>TEST_DATA!D5334</f>
        <v>NIL</v>
      </c>
      <c r="E5334">
        <f>TEST_DATA!E5334</f>
        <v>2106</v>
      </c>
    </row>
    <row r="5335" spans="1:5" x14ac:dyDescent="0.55000000000000004">
      <c r="A5335" t="str">
        <f>TEST_DATA!A5335</f>
        <v>27AAAAA5335Z5</v>
      </c>
      <c r="B5335" t="str">
        <f>TEST_DATA!B5335</f>
        <v>Oct-2017</v>
      </c>
      <c r="C5335">
        <f>TEST_DATA!C5335</f>
        <v>42996</v>
      </c>
      <c r="D5335" t="str">
        <f>TEST_DATA!D5335</f>
        <v>NIL</v>
      </c>
      <c r="E5335">
        <f>TEST_DATA!E5335</f>
        <v>109</v>
      </c>
    </row>
    <row r="5336" spans="1:5" x14ac:dyDescent="0.55000000000000004">
      <c r="A5336" t="str">
        <f>TEST_DATA!A5336</f>
        <v>27AAAAA5336Z5</v>
      </c>
      <c r="B5336" t="str">
        <f>TEST_DATA!B5336</f>
        <v>Apr-2021</v>
      </c>
      <c r="C5336">
        <f>TEST_DATA!C5336</f>
        <v>45155</v>
      </c>
      <c r="D5336" t="str">
        <f>TEST_DATA!D5336</f>
        <v>NIL</v>
      </c>
      <c r="E5336">
        <f>TEST_DATA!E5336</f>
        <v>411</v>
      </c>
    </row>
    <row r="5337" spans="1:5" x14ac:dyDescent="0.55000000000000004">
      <c r="A5337" t="str">
        <f>TEST_DATA!A5337</f>
        <v>27AAAAA5337Z5</v>
      </c>
      <c r="B5337" t="str">
        <f>TEST_DATA!B5337</f>
        <v>Sep-2018</v>
      </c>
      <c r="C5337">
        <f>TEST_DATA!C5337</f>
        <v>43733</v>
      </c>
      <c r="D5337" t="str">
        <f>TEST_DATA!D5337</f>
        <v>NON-NIL</v>
      </c>
      <c r="E5337">
        <f>TEST_DATA!E5337</f>
        <v>368</v>
      </c>
    </row>
    <row r="5338" spans="1:5" x14ac:dyDescent="0.55000000000000004">
      <c r="A5338" t="str">
        <f>TEST_DATA!A5338</f>
        <v>27AAAAA5338Z5</v>
      </c>
      <c r="B5338" t="str">
        <f>TEST_DATA!B5338</f>
        <v>Jan-2019</v>
      </c>
      <c r="C5338">
        <f>TEST_DATA!C5338</f>
        <v>44129</v>
      </c>
      <c r="D5338" t="str">
        <f>TEST_DATA!D5338</f>
        <v>NON-NIL</v>
      </c>
      <c r="E5338">
        <f>TEST_DATA!E5338</f>
        <v>2114</v>
      </c>
    </row>
    <row r="5339" spans="1:5" x14ac:dyDescent="0.55000000000000004">
      <c r="A5339" t="str">
        <f>TEST_DATA!A5339</f>
        <v>27AAAAA5339Z5</v>
      </c>
      <c r="B5339" t="str">
        <f>TEST_DATA!B5339</f>
        <v>Aug-2017</v>
      </c>
      <c r="C5339">
        <f>TEST_DATA!C5339</f>
        <v>44031</v>
      </c>
      <c r="D5339" t="str">
        <f>TEST_DATA!D5339</f>
        <v>NIL</v>
      </c>
      <c r="E5339">
        <f>TEST_DATA!E5339</f>
        <v>2117</v>
      </c>
    </row>
    <row r="5340" spans="1:5" x14ac:dyDescent="0.55000000000000004">
      <c r="A5340" t="str">
        <f>TEST_DATA!A5340</f>
        <v>27AAAAA5340Z5</v>
      </c>
      <c r="B5340" t="str">
        <f>TEST_DATA!B5340</f>
        <v>Oct-2017</v>
      </c>
      <c r="C5340">
        <f>TEST_DATA!C5340</f>
        <v>44405</v>
      </c>
      <c r="D5340" t="str">
        <f>TEST_DATA!D5340</f>
        <v>NON-NIL</v>
      </c>
      <c r="E5340">
        <f>TEST_DATA!E5340</f>
        <v>1834</v>
      </c>
    </row>
    <row r="5341" spans="1:5" x14ac:dyDescent="0.55000000000000004">
      <c r="A5341" t="str">
        <f>TEST_DATA!A5341</f>
        <v>27AAAAA5341Z5</v>
      </c>
      <c r="B5341" t="str">
        <f>TEST_DATA!B5341</f>
        <v>Oct-2017</v>
      </c>
      <c r="C5341">
        <f>TEST_DATA!C5341</f>
        <v>43220</v>
      </c>
      <c r="D5341" t="str">
        <f>TEST_DATA!D5341</f>
        <v>NIL</v>
      </c>
      <c r="E5341">
        <f>TEST_DATA!E5341</f>
        <v>2948</v>
      </c>
    </row>
    <row r="5342" spans="1:5" x14ac:dyDescent="0.55000000000000004">
      <c r="A5342" t="str">
        <f>TEST_DATA!A5342</f>
        <v>27AAAAA5342Z5</v>
      </c>
      <c r="B5342" t="str">
        <f>TEST_DATA!B5342</f>
        <v>Oct-2017</v>
      </c>
      <c r="C5342">
        <f>TEST_DATA!C5342</f>
        <v>43618</v>
      </c>
      <c r="D5342" t="str">
        <f>TEST_DATA!D5342</f>
        <v>NIL</v>
      </c>
      <c r="E5342">
        <f>TEST_DATA!E5342</f>
        <v>1898</v>
      </c>
    </row>
    <row r="5343" spans="1:5" x14ac:dyDescent="0.55000000000000004">
      <c r="A5343" t="str">
        <f>TEST_DATA!A5343</f>
        <v>27AAAAA5343Z5</v>
      </c>
      <c r="B5343" t="str">
        <f>TEST_DATA!B5343</f>
        <v>Sep-2017</v>
      </c>
      <c r="C5343">
        <f>TEST_DATA!C5343</f>
        <v>43317</v>
      </c>
      <c r="D5343" t="str">
        <f>TEST_DATA!D5343</f>
        <v>NIL</v>
      </c>
      <c r="E5343">
        <f>TEST_DATA!E5343</f>
        <v>1673</v>
      </c>
    </row>
    <row r="5344" spans="1:5" x14ac:dyDescent="0.55000000000000004">
      <c r="A5344" t="str">
        <f>TEST_DATA!A5344</f>
        <v>27AAAAA5344Z5</v>
      </c>
      <c r="B5344" t="str">
        <f>TEST_DATA!B5344</f>
        <v>Sep-2018</v>
      </c>
      <c r="C5344">
        <f>TEST_DATA!C5344</f>
        <v>43125</v>
      </c>
      <c r="D5344" t="str">
        <f>TEST_DATA!D5344</f>
        <v>NIL</v>
      </c>
      <c r="E5344">
        <f>TEST_DATA!E5344</f>
        <v>220</v>
      </c>
    </row>
    <row r="5345" spans="1:5" x14ac:dyDescent="0.55000000000000004">
      <c r="A5345" t="str">
        <f>TEST_DATA!A5345</f>
        <v>27AAAAA5345Z5</v>
      </c>
      <c r="B5345" t="str">
        <f>TEST_DATA!B5345</f>
        <v>Sep-2018</v>
      </c>
      <c r="C5345">
        <f>TEST_DATA!C5345</f>
        <v>44376</v>
      </c>
      <c r="D5345" t="str">
        <f>TEST_DATA!D5345</f>
        <v>NIL</v>
      </c>
      <c r="E5345">
        <f>TEST_DATA!E5345</f>
        <v>1360</v>
      </c>
    </row>
    <row r="5346" spans="1:5" x14ac:dyDescent="0.55000000000000004">
      <c r="A5346" t="str">
        <f>TEST_DATA!A5346</f>
        <v>27AAAAA5346Z5</v>
      </c>
      <c r="B5346" t="str">
        <f>TEST_DATA!B5346</f>
        <v>Sep-2017</v>
      </c>
      <c r="C5346">
        <f>TEST_DATA!C5346</f>
        <v>43014</v>
      </c>
      <c r="D5346" t="str">
        <f>TEST_DATA!D5346</f>
        <v>NON-NIL</v>
      </c>
      <c r="E5346">
        <f>TEST_DATA!E5346</f>
        <v>1479</v>
      </c>
    </row>
    <row r="5347" spans="1:5" x14ac:dyDescent="0.55000000000000004">
      <c r="A5347" t="str">
        <f>TEST_DATA!A5347</f>
        <v>27AAAAA5347Z5</v>
      </c>
      <c r="B5347" t="str">
        <f>TEST_DATA!B5347</f>
        <v>Jun-2019</v>
      </c>
      <c r="C5347">
        <f>TEST_DATA!C5347</f>
        <v>44594</v>
      </c>
      <c r="D5347" t="str">
        <f>TEST_DATA!D5347</f>
        <v>NON-NIL</v>
      </c>
      <c r="E5347">
        <f>TEST_DATA!E5347</f>
        <v>1229</v>
      </c>
    </row>
    <row r="5348" spans="1:5" x14ac:dyDescent="0.55000000000000004">
      <c r="A5348" t="str">
        <f>TEST_DATA!A5348</f>
        <v>27AAAAA5348Z5</v>
      </c>
      <c r="B5348" t="str">
        <f>TEST_DATA!B5348</f>
        <v>Jan-2018</v>
      </c>
      <c r="C5348">
        <f>TEST_DATA!C5348</f>
        <v>44557</v>
      </c>
      <c r="D5348" t="str">
        <f>TEST_DATA!D5348</f>
        <v>NON-NIL</v>
      </c>
      <c r="E5348">
        <f>TEST_DATA!E5348</f>
        <v>716</v>
      </c>
    </row>
    <row r="5349" spans="1:5" x14ac:dyDescent="0.55000000000000004">
      <c r="A5349" t="str">
        <f>TEST_DATA!A5349</f>
        <v>27AAAAA5349Z5</v>
      </c>
      <c r="B5349" t="str">
        <f>TEST_DATA!B5349</f>
        <v>Oct-2017</v>
      </c>
      <c r="C5349">
        <f>TEST_DATA!C5349</f>
        <v>44358</v>
      </c>
      <c r="D5349" t="str">
        <f>TEST_DATA!D5349</f>
        <v>NIL</v>
      </c>
      <c r="E5349">
        <f>TEST_DATA!E5349</f>
        <v>101</v>
      </c>
    </row>
    <row r="5350" spans="1:5" x14ac:dyDescent="0.55000000000000004">
      <c r="A5350" t="str">
        <f>TEST_DATA!A5350</f>
        <v>27AAAAA5350Z5</v>
      </c>
      <c r="B5350" t="str">
        <f>TEST_DATA!B5350</f>
        <v>Jul-2017</v>
      </c>
      <c r="C5350">
        <f>TEST_DATA!C5350</f>
        <v>44074</v>
      </c>
      <c r="D5350" t="str">
        <f>TEST_DATA!D5350</f>
        <v>NON-NIL</v>
      </c>
      <c r="E5350">
        <f>TEST_DATA!E5350</f>
        <v>744</v>
      </c>
    </row>
    <row r="5351" spans="1:5" x14ac:dyDescent="0.55000000000000004">
      <c r="A5351" t="str">
        <f>TEST_DATA!A5351</f>
        <v>27AAAAA5351Z5</v>
      </c>
      <c r="B5351" t="str">
        <f>TEST_DATA!B5351</f>
        <v>Jun-2018</v>
      </c>
      <c r="C5351">
        <f>TEST_DATA!C5351</f>
        <v>44005</v>
      </c>
      <c r="D5351" t="str">
        <f>TEST_DATA!D5351</f>
        <v>NON-NIL</v>
      </c>
      <c r="E5351">
        <f>TEST_DATA!E5351</f>
        <v>1830</v>
      </c>
    </row>
    <row r="5352" spans="1:5" x14ac:dyDescent="0.55000000000000004">
      <c r="A5352" t="str">
        <f>TEST_DATA!A5352</f>
        <v>27AAAAA5352Z5</v>
      </c>
      <c r="B5352" t="str">
        <f>TEST_DATA!B5352</f>
        <v>Aug-2018</v>
      </c>
      <c r="C5352">
        <f>TEST_DATA!C5352</f>
        <v>44357</v>
      </c>
      <c r="D5352" t="str">
        <f>TEST_DATA!D5352</f>
        <v>NON-NIL</v>
      </c>
      <c r="E5352">
        <f>TEST_DATA!E5352</f>
        <v>2441</v>
      </c>
    </row>
    <row r="5353" spans="1:5" x14ac:dyDescent="0.55000000000000004">
      <c r="A5353" t="str">
        <f>TEST_DATA!A5353</f>
        <v>27AAAAA5353Z5</v>
      </c>
      <c r="B5353" t="str">
        <f>TEST_DATA!B5353</f>
        <v>Mar-2018</v>
      </c>
      <c r="C5353">
        <f>TEST_DATA!C5353</f>
        <v>43933</v>
      </c>
      <c r="D5353" t="str">
        <f>TEST_DATA!D5353</f>
        <v>NIL</v>
      </c>
      <c r="E5353">
        <f>TEST_DATA!E5353</f>
        <v>837</v>
      </c>
    </row>
    <row r="5354" spans="1:5" x14ac:dyDescent="0.55000000000000004">
      <c r="A5354" t="str">
        <f>TEST_DATA!A5354</f>
        <v>27AAAAA5354Z5</v>
      </c>
      <c r="B5354" t="str">
        <f>TEST_DATA!B5354</f>
        <v>Oct-2017</v>
      </c>
      <c r="C5354">
        <f>TEST_DATA!C5354</f>
        <v>44066</v>
      </c>
      <c r="D5354" t="str">
        <f>TEST_DATA!D5354</f>
        <v>NIL</v>
      </c>
      <c r="E5354">
        <f>TEST_DATA!E5354</f>
        <v>1367</v>
      </c>
    </row>
    <row r="5355" spans="1:5" x14ac:dyDescent="0.55000000000000004">
      <c r="A5355" t="str">
        <f>TEST_DATA!A5355</f>
        <v>27AAAAA5355Z5</v>
      </c>
      <c r="B5355" t="str">
        <f>TEST_DATA!B5355</f>
        <v>Jan-2018</v>
      </c>
      <c r="C5355">
        <f>TEST_DATA!C5355</f>
        <v>44291</v>
      </c>
      <c r="D5355" t="str">
        <f>TEST_DATA!D5355</f>
        <v>NIL</v>
      </c>
      <c r="E5355">
        <f>TEST_DATA!E5355</f>
        <v>2486</v>
      </c>
    </row>
    <row r="5356" spans="1:5" x14ac:dyDescent="0.55000000000000004">
      <c r="A5356" t="str">
        <f>TEST_DATA!A5356</f>
        <v>27AAAAA5356Z5</v>
      </c>
      <c r="B5356" t="str">
        <f>TEST_DATA!B5356</f>
        <v>Jul-2018</v>
      </c>
      <c r="C5356">
        <f>TEST_DATA!C5356</f>
        <v>43237</v>
      </c>
      <c r="D5356" t="str">
        <f>TEST_DATA!D5356</f>
        <v>NON-NIL</v>
      </c>
      <c r="E5356">
        <f>TEST_DATA!E5356</f>
        <v>1041</v>
      </c>
    </row>
    <row r="5357" spans="1:5" x14ac:dyDescent="0.55000000000000004">
      <c r="A5357" t="str">
        <f>TEST_DATA!A5357</f>
        <v>27AAAAA5357Z5</v>
      </c>
      <c r="B5357" t="str">
        <f>TEST_DATA!B5357</f>
        <v>Dec-2022</v>
      </c>
      <c r="C5357">
        <f>TEST_DATA!C5357</f>
        <v>45257</v>
      </c>
      <c r="D5357" t="str">
        <f>TEST_DATA!D5357</f>
        <v>NON-NIL</v>
      </c>
      <c r="E5357">
        <f>TEST_DATA!E5357</f>
        <v>1789</v>
      </c>
    </row>
    <row r="5358" spans="1:5" x14ac:dyDescent="0.55000000000000004">
      <c r="A5358" t="str">
        <f>TEST_DATA!A5358</f>
        <v>27AAAAA5358Z5</v>
      </c>
      <c r="B5358" t="str">
        <f>TEST_DATA!B5358</f>
        <v>Dec-2022</v>
      </c>
      <c r="C5358">
        <f>TEST_DATA!C5358</f>
        <v>44075</v>
      </c>
      <c r="D5358" t="str">
        <f>TEST_DATA!D5358</f>
        <v>NIL</v>
      </c>
      <c r="E5358">
        <f>TEST_DATA!E5358</f>
        <v>1446</v>
      </c>
    </row>
    <row r="5359" spans="1:5" x14ac:dyDescent="0.55000000000000004">
      <c r="A5359" t="str">
        <f>TEST_DATA!A5359</f>
        <v>27AAAAA5359Z5</v>
      </c>
      <c r="B5359" t="str">
        <f>TEST_DATA!B5359</f>
        <v>Mar-2020</v>
      </c>
      <c r="C5359">
        <f>TEST_DATA!C5359</f>
        <v>43962</v>
      </c>
      <c r="D5359" t="str">
        <f>TEST_DATA!D5359</f>
        <v>NIL</v>
      </c>
      <c r="E5359">
        <f>TEST_DATA!E5359</f>
        <v>566</v>
      </c>
    </row>
    <row r="5360" spans="1:5" x14ac:dyDescent="0.55000000000000004">
      <c r="A5360" t="str">
        <f>TEST_DATA!A5360</f>
        <v>27AAAAA5360Z5</v>
      </c>
      <c r="B5360" t="str">
        <f>TEST_DATA!B5360</f>
        <v>Jul-2020</v>
      </c>
      <c r="C5360">
        <f>TEST_DATA!C5360</f>
        <v>44803</v>
      </c>
      <c r="D5360" t="str">
        <f>TEST_DATA!D5360</f>
        <v>NIL</v>
      </c>
      <c r="E5360">
        <f>TEST_DATA!E5360</f>
        <v>131</v>
      </c>
    </row>
    <row r="5361" spans="1:5" x14ac:dyDescent="0.55000000000000004">
      <c r="A5361" t="str">
        <f>TEST_DATA!A5361</f>
        <v>27AAAAA5361Z5</v>
      </c>
      <c r="B5361" t="str">
        <f>TEST_DATA!B5361</f>
        <v>Aug-2017</v>
      </c>
      <c r="C5361">
        <f>TEST_DATA!C5361</f>
        <v>43461</v>
      </c>
      <c r="D5361" t="str">
        <f>TEST_DATA!D5361</f>
        <v>NON-NIL</v>
      </c>
      <c r="E5361">
        <f>TEST_DATA!E5361</f>
        <v>1699</v>
      </c>
    </row>
    <row r="5362" spans="1:5" x14ac:dyDescent="0.55000000000000004">
      <c r="A5362" t="str">
        <f>TEST_DATA!A5362</f>
        <v>27AAAAA5362Z5</v>
      </c>
      <c r="B5362" t="str">
        <f>TEST_DATA!B5362</f>
        <v>Aug-2018</v>
      </c>
      <c r="C5362">
        <f>TEST_DATA!C5362</f>
        <v>43122</v>
      </c>
      <c r="D5362" t="str">
        <f>TEST_DATA!D5362</f>
        <v>NON-NIL</v>
      </c>
      <c r="E5362">
        <f>TEST_DATA!E5362</f>
        <v>1353</v>
      </c>
    </row>
    <row r="5363" spans="1:5" x14ac:dyDescent="0.55000000000000004">
      <c r="A5363" t="str">
        <f>TEST_DATA!A5363</f>
        <v>27AAAAA5363Z5</v>
      </c>
      <c r="B5363" t="str">
        <f>TEST_DATA!B5363</f>
        <v>May-2020</v>
      </c>
      <c r="C5363">
        <f>TEST_DATA!C5363</f>
        <v>43882</v>
      </c>
      <c r="D5363" t="str">
        <f>TEST_DATA!D5363</f>
        <v>NIL</v>
      </c>
      <c r="E5363">
        <f>TEST_DATA!E5363</f>
        <v>477</v>
      </c>
    </row>
    <row r="5364" spans="1:5" x14ac:dyDescent="0.55000000000000004">
      <c r="A5364" t="str">
        <f>TEST_DATA!A5364</f>
        <v>27AAAAA5364Z5</v>
      </c>
      <c r="B5364" t="str">
        <f>TEST_DATA!B5364</f>
        <v>Aug-2017</v>
      </c>
      <c r="C5364">
        <f>TEST_DATA!C5364</f>
        <v>43832</v>
      </c>
      <c r="D5364" t="str">
        <f>TEST_DATA!D5364</f>
        <v>NON-NIL</v>
      </c>
      <c r="E5364">
        <f>TEST_DATA!E5364</f>
        <v>2730</v>
      </c>
    </row>
    <row r="5365" spans="1:5" x14ac:dyDescent="0.55000000000000004">
      <c r="A5365" t="str">
        <f>TEST_DATA!A5365</f>
        <v>27AAAAA5365Z5</v>
      </c>
      <c r="B5365" t="str">
        <f>TEST_DATA!B5365</f>
        <v>Sep-2018</v>
      </c>
      <c r="C5365">
        <f>TEST_DATA!C5365</f>
        <v>43171</v>
      </c>
      <c r="D5365" t="str">
        <f>TEST_DATA!D5365</f>
        <v>NON-NIL</v>
      </c>
      <c r="E5365">
        <f>TEST_DATA!E5365</f>
        <v>152</v>
      </c>
    </row>
    <row r="5366" spans="1:5" x14ac:dyDescent="0.55000000000000004">
      <c r="A5366" t="str">
        <f>TEST_DATA!A5366</f>
        <v>27AAAAA5366Z5</v>
      </c>
      <c r="B5366" t="str">
        <f>TEST_DATA!B5366</f>
        <v>Jul-2017</v>
      </c>
      <c r="C5366">
        <f>TEST_DATA!C5366</f>
        <v>44450</v>
      </c>
      <c r="D5366" t="str">
        <f>TEST_DATA!D5366</f>
        <v>NON-NIL</v>
      </c>
      <c r="E5366">
        <f>TEST_DATA!E5366</f>
        <v>2398</v>
      </c>
    </row>
    <row r="5367" spans="1:5" x14ac:dyDescent="0.55000000000000004">
      <c r="A5367" t="str">
        <f>TEST_DATA!A5367</f>
        <v>27AAAAA5367Z5</v>
      </c>
      <c r="B5367" t="str">
        <f>TEST_DATA!B5367</f>
        <v>Feb-2018</v>
      </c>
      <c r="C5367">
        <f>TEST_DATA!C5367</f>
        <v>44030</v>
      </c>
      <c r="D5367" t="str">
        <f>TEST_DATA!D5367</f>
        <v>NIL</v>
      </c>
      <c r="E5367">
        <f>TEST_DATA!E5367</f>
        <v>2928</v>
      </c>
    </row>
    <row r="5368" spans="1:5" x14ac:dyDescent="0.55000000000000004">
      <c r="A5368" t="str">
        <f>TEST_DATA!A5368</f>
        <v>27AAAAA5368Z5</v>
      </c>
      <c r="B5368" t="str">
        <f>TEST_DATA!B5368</f>
        <v>Mar-2020</v>
      </c>
      <c r="C5368">
        <f>TEST_DATA!C5368</f>
        <v>44383</v>
      </c>
      <c r="D5368" t="str">
        <f>TEST_DATA!D5368</f>
        <v>NIL</v>
      </c>
      <c r="E5368">
        <f>TEST_DATA!E5368</f>
        <v>1290</v>
      </c>
    </row>
    <row r="5369" spans="1:5" x14ac:dyDescent="0.55000000000000004">
      <c r="A5369" t="str">
        <f>TEST_DATA!A5369</f>
        <v>27AAAAA5369Z5</v>
      </c>
      <c r="B5369" t="str">
        <f>TEST_DATA!B5369</f>
        <v>Feb-2018</v>
      </c>
      <c r="C5369">
        <f>TEST_DATA!C5369</f>
        <v>44284</v>
      </c>
      <c r="D5369" t="str">
        <f>TEST_DATA!D5369</f>
        <v>NIL</v>
      </c>
      <c r="E5369">
        <f>TEST_DATA!E5369</f>
        <v>1297</v>
      </c>
    </row>
    <row r="5370" spans="1:5" x14ac:dyDescent="0.55000000000000004">
      <c r="A5370" t="str">
        <f>TEST_DATA!A5370</f>
        <v>27AAAAA5370Z5</v>
      </c>
      <c r="B5370" t="str">
        <f>TEST_DATA!B5370</f>
        <v>Apr-2021</v>
      </c>
      <c r="C5370">
        <f>TEST_DATA!C5370</f>
        <v>44171</v>
      </c>
      <c r="D5370" t="str">
        <f>TEST_DATA!D5370</f>
        <v>NIL</v>
      </c>
      <c r="E5370">
        <f>TEST_DATA!E5370</f>
        <v>1046</v>
      </c>
    </row>
    <row r="5371" spans="1:5" x14ac:dyDescent="0.55000000000000004">
      <c r="A5371" t="str">
        <f>TEST_DATA!A5371</f>
        <v>27AAAAA5371Z5</v>
      </c>
      <c r="B5371" t="str">
        <f>TEST_DATA!B5371</f>
        <v>Apr-2020</v>
      </c>
      <c r="C5371">
        <f>TEST_DATA!C5371</f>
        <v>44858</v>
      </c>
      <c r="D5371" t="str">
        <f>TEST_DATA!D5371</f>
        <v>NIL</v>
      </c>
      <c r="E5371">
        <f>TEST_DATA!E5371</f>
        <v>2415</v>
      </c>
    </row>
    <row r="5372" spans="1:5" x14ac:dyDescent="0.55000000000000004">
      <c r="A5372" t="str">
        <f>TEST_DATA!A5372</f>
        <v>27AAAAA5372Z5</v>
      </c>
      <c r="B5372" t="str">
        <f>TEST_DATA!B5372</f>
        <v>Apr-2018</v>
      </c>
      <c r="C5372">
        <f>TEST_DATA!C5372</f>
        <v>44241</v>
      </c>
      <c r="D5372" t="str">
        <f>TEST_DATA!D5372</f>
        <v>NON-NIL</v>
      </c>
      <c r="E5372">
        <f>TEST_DATA!E5372</f>
        <v>1617</v>
      </c>
    </row>
    <row r="5373" spans="1:5" x14ac:dyDescent="0.55000000000000004">
      <c r="A5373" t="str">
        <f>TEST_DATA!A5373</f>
        <v>27AAAAA5373Z5</v>
      </c>
      <c r="B5373" t="str">
        <f>TEST_DATA!B5373</f>
        <v>Apr-2021</v>
      </c>
      <c r="C5373">
        <f>TEST_DATA!C5373</f>
        <v>45633</v>
      </c>
      <c r="D5373" t="str">
        <f>TEST_DATA!D5373</f>
        <v>NON-NIL</v>
      </c>
      <c r="E5373">
        <f>TEST_DATA!E5373</f>
        <v>2616</v>
      </c>
    </row>
    <row r="5374" spans="1:5" x14ac:dyDescent="0.55000000000000004">
      <c r="A5374" t="str">
        <f>TEST_DATA!A5374</f>
        <v>27AAAAA5374Z5</v>
      </c>
      <c r="B5374" t="str">
        <f>TEST_DATA!B5374</f>
        <v>Feb-2018</v>
      </c>
      <c r="C5374">
        <f>TEST_DATA!C5374</f>
        <v>44244</v>
      </c>
      <c r="D5374" t="str">
        <f>TEST_DATA!D5374</f>
        <v>NIL</v>
      </c>
      <c r="E5374">
        <f>TEST_DATA!E5374</f>
        <v>813</v>
      </c>
    </row>
    <row r="5375" spans="1:5" x14ac:dyDescent="0.55000000000000004">
      <c r="A5375" t="str">
        <f>TEST_DATA!A5375</f>
        <v>27AAAAA5375Z5</v>
      </c>
      <c r="B5375" t="str">
        <f>TEST_DATA!B5375</f>
        <v>Sep-2018</v>
      </c>
      <c r="C5375">
        <f>TEST_DATA!C5375</f>
        <v>44125</v>
      </c>
      <c r="D5375" t="str">
        <f>TEST_DATA!D5375</f>
        <v>NON-NIL</v>
      </c>
      <c r="E5375">
        <f>TEST_DATA!E5375</f>
        <v>2806</v>
      </c>
    </row>
    <row r="5376" spans="1:5" x14ac:dyDescent="0.55000000000000004">
      <c r="A5376" t="str">
        <f>TEST_DATA!A5376</f>
        <v>27AAAAA5376Z5</v>
      </c>
      <c r="B5376" t="str">
        <f>TEST_DATA!B5376</f>
        <v>Oct-2017</v>
      </c>
      <c r="C5376">
        <f>TEST_DATA!C5376</f>
        <v>43766</v>
      </c>
      <c r="D5376" t="str">
        <f>TEST_DATA!D5376</f>
        <v>NON-NIL</v>
      </c>
      <c r="E5376">
        <f>TEST_DATA!E5376</f>
        <v>2469</v>
      </c>
    </row>
    <row r="5377" spans="1:5" x14ac:dyDescent="0.55000000000000004">
      <c r="A5377" t="str">
        <f>TEST_DATA!A5377</f>
        <v>27AAAAA5377Z5</v>
      </c>
      <c r="B5377" t="str">
        <f>TEST_DATA!B5377</f>
        <v>Dec-2019</v>
      </c>
      <c r="C5377">
        <f>TEST_DATA!C5377</f>
        <v>44664</v>
      </c>
      <c r="D5377" t="str">
        <f>TEST_DATA!D5377</f>
        <v>NIL</v>
      </c>
      <c r="E5377">
        <f>TEST_DATA!E5377</f>
        <v>1682</v>
      </c>
    </row>
    <row r="5378" spans="1:5" x14ac:dyDescent="0.55000000000000004">
      <c r="A5378" t="str">
        <f>TEST_DATA!A5378</f>
        <v>27AAAAA5378Z5</v>
      </c>
      <c r="B5378" t="str">
        <f>TEST_DATA!B5378</f>
        <v>Jul-2018</v>
      </c>
      <c r="C5378">
        <f>TEST_DATA!C5378</f>
        <v>43120</v>
      </c>
      <c r="D5378" t="str">
        <f>TEST_DATA!D5378</f>
        <v>NIL</v>
      </c>
      <c r="E5378">
        <f>TEST_DATA!E5378</f>
        <v>885</v>
      </c>
    </row>
    <row r="5379" spans="1:5" x14ac:dyDescent="0.55000000000000004">
      <c r="A5379" t="str">
        <f>TEST_DATA!A5379</f>
        <v>27AAAAA5379Z5</v>
      </c>
      <c r="B5379" t="str">
        <f>TEST_DATA!B5379</f>
        <v>Jan-2019</v>
      </c>
      <c r="C5379">
        <f>TEST_DATA!C5379</f>
        <v>44640</v>
      </c>
      <c r="D5379" t="str">
        <f>TEST_DATA!D5379</f>
        <v>NIL</v>
      </c>
      <c r="E5379">
        <f>TEST_DATA!E5379</f>
        <v>1986</v>
      </c>
    </row>
    <row r="5380" spans="1:5" x14ac:dyDescent="0.55000000000000004">
      <c r="A5380" t="str">
        <f>TEST_DATA!A5380</f>
        <v>27AAAAA5380Z5</v>
      </c>
      <c r="B5380" t="str">
        <f>TEST_DATA!B5380</f>
        <v>Jan-2019</v>
      </c>
      <c r="C5380">
        <f>TEST_DATA!C5380</f>
        <v>45804</v>
      </c>
      <c r="D5380" t="str">
        <f>TEST_DATA!D5380</f>
        <v>NON-NIL</v>
      </c>
      <c r="E5380">
        <f>TEST_DATA!E5380</f>
        <v>1016</v>
      </c>
    </row>
    <row r="5381" spans="1:5" x14ac:dyDescent="0.55000000000000004">
      <c r="A5381" t="str">
        <f>TEST_DATA!A5381</f>
        <v>27AAAAA5381Z5</v>
      </c>
      <c r="B5381" t="str">
        <f>TEST_DATA!B5381</f>
        <v>Feb-2018</v>
      </c>
      <c r="C5381">
        <f>TEST_DATA!C5381</f>
        <v>43273</v>
      </c>
      <c r="D5381" t="str">
        <f>TEST_DATA!D5381</f>
        <v>NON-NIL</v>
      </c>
      <c r="E5381">
        <f>TEST_DATA!E5381</f>
        <v>1789</v>
      </c>
    </row>
    <row r="5382" spans="1:5" x14ac:dyDescent="0.55000000000000004">
      <c r="A5382" t="str">
        <f>TEST_DATA!A5382</f>
        <v>27AAAAA5382Z5</v>
      </c>
      <c r="B5382" t="str">
        <f>TEST_DATA!B5382</f>
        <v>Dec-2017</v>
      </c>
      <c r="C5382">
        <f>TEST_DATA!C5382</f>
        <v>43348</v>
      </c>
      <c r="D5382" t="str">
        <f>TEST_DATA!D5382</f>
        <v>NON-NIL</v>
      </c>
      <c r="E5382">
        <f>TEST_DATA!E5382</f>
        <v>2387</v>
      </c>
    </row>
    <row r="5383" spans="1:5" x14ac:dyDescent="0.55000000000000004">
      <c r="A5383" t="str">
        <f>TEST_DATA!A5383</f>
        <v>27AAAAA5383Z5</v>
      </c>
      <c r="B5383" t="str">
        <f>TEST_DATA!B5383</f>
        <v>Mar-2020</v>
      </c>
      <c r="C5383">
        <f>TEST_DATA!C5383</f>
        <v>44064</v>
      </c>
      <c r="D5383" t="str">
        <f>TEST_DATA!D5383</f>
        <v>NON-NIL</v>
      </c>
      <c r="E5383">
        <f>TEST_DATA!E5383</f>
        <v>60</v>
      </c>
    </row>
    <row r="5384" spans="1:5" x14ac:dyDescent="0.55000000000000004">
      <c r="A5384" t="str">
        <f>TEST_DATA!A5384</f>
        <v>27AAAAA5384Z5</v>
      </c>
      <c r="B5384" t="str">
        <f>TEST_DATA!B5384</f>
        <v>Sep-2017</v>
      </c>
      <c r="C5384">
        <f>TEST_DATA!C5384</f>
        <v>44374</v>
      </c>
      <c r="D5384" t="str">
        <f>TEST_DATA!D5384</f>
        <v>NON-NIL</v>
      </c>
      <c r="E5384">
        <f>TEST_DATA!E5384</f>
        <v>676</v>
      </c>
    </row>
    <row r="5385" spans="1:5" x14ac:dyDescent="0.55000000000000004">
      <c r="A5385" t="str">
        <f>TEST_DATA!A5385</f>
        <v>27AAAAA5385Z5</v>
      </c>
      <c r="B5385" t="str">
        <f>TEST_DATA!B5385</f>
        <v>Dec-2024</v>
      </c>
      <c r="C5385">
        <f>TEST_DATA!C5385</f>
        <v>45230</v>
      </c>
      <c r="D5385" t="str">
        <f>TEST_DATA!D5385</f>
        <v>NIL</v>
      </c>
      <c r="E5385">
        <f>TEST_DATA!E5385</f>
        <v>107</v>
      </c>
    </row>
    <row r="5386" spans="1:5" x14ac:dyDescent="0.55000000000000004">
      <c r="A5386" t="str">
        <f>TEST_DATA!A5386</f>
        <v>27AAAAA5386Z5</v>
      </c>
      <c r="B5386" t="str">
        <f>TEST_DATA!B5386</f>
        <v>Jan-2018</v>
      </c>
      <c r="C5386">
        <f>TEST_DATA!C5386</f>
        <v>43873</v>
      </c>
      <c r="D5386" t="str">
        <f>TEST_DATA!D5386</f>
        <v>NIL</v>
      </c>
      <c r="E5386">
        <f>TEST_DATA!E5386</f>
        <v>2111</v>
      </c>
    </row>
    <row r="5387" spans="1:5" x14ac:dyDescent="0.55000000000000004">
      <c r="A5387" t="str">
        <f>TEST_DATA!A5387</f>
        <v>27AAAAA5387Z5</v>
      </c>
      <c r="B5387" t="str">
        <f>TEST_DATA!B5387</f>
        <v>Sep-2018</v>
      </c>
      <c r="C5387">
        <f>TEST_DATA!C5387</f>
        <v>44024</v>
      </c>
      <c r="D5387" t="str">
        <f>TEST_DATA!D5387</f>
        <v>NIL</v>
      </c>
      <c r="E5387">
        <f>TEST_DATA!E5387</f>
        <v>432</v>
      </c>
    </row>
    <row r="5388" spans="1:5" x14ac:dyDescent="0.55000000000000004">
      <c r="A5388" t="str">
        <f>TEST_DATA!A5388</f>
        <v>27AAAAA5388Z5</v>
      </c>
      <c r="B5388" t="str">
        <f>TEST_DATA!B5388</f>
        <v>Sep-2017</v>
      </c>
      <c r="C5388">
        <f>TEST_DATA!C5388</f>
        <v>43758</v>
      </c>
      <c r="D5388" t="str">
        <f>TEST_DATA!D5388</f>
        <v>NIL</v>
      </c>
      <c r="E5388">
        <f>TEST_DATA!E5388</f>
        <v>648</v>
      </c>
    </row>
    <row r="5389" spans="1:5" x14ac:dyDescent="0.55000000000000004">
      <c r="A5389" t="str">
        <f>TEST_DATA!A5389</f>
        <v>27AAAAA5389Z5</v>
      </c>
      <c r="B5389" t="str">
        <f>TEST_DATA!B5389</f>
        <v>Jun-2020</v>
      </c>
      <c r="C5389">
        <f>TEST_DATA!C5389</f>
        <v>43887</v>
      </c>
      <c r="D5389" t="str">
        <f>TEST_DATA!D5389</f>
        <v>NON-NIL</v>
      </c>
      <c r="E5389">
        <f>TEST_DATA!E5389</f>
        <v>389</v>
      </c>
    </row>
    <row r="5390" spans="1:5" x14ac:dyDescent="0.55000000000000004">
      <c r="A5390" t="str">
        <f>TEST_DATA!A5390</f>
        <v>27AAAAA5390Z5</v>
      </c>
      <c r="B5390" t="str">
        <f>TEST_DATA!B5390</f>
        <v>Mar-2023</v>
      </c>
      <c r="C5390">
        <f>TEST_DATA!C5390</f>
        <v>45701</v>
      </c>
      <c r="D5390" t="str">
        <f>TEST_DATA!D5390</f>
        <v>NIL</v>
      </c>
      <c r="E5390">
        <f>TEST_DATA!E5390</f>
        <v>963</v>
      </c>
    </row>
    <row r="5391" spans="1:5" x14ac:dyDescent="0.55000000000000004">
      <c r="A5391" t="str">
        <f>TEST_DATA!A5391</f>
        <v>27AAAAA5391Z5</v>
      </c>
      <c r="B5391" t="str">
        <f>TEST_DATA!B5391</f>
        <v>Jun-2018</v>
      </c>
      <c r="C5391">
        <f>TEST_DATA!C5391</f>
        <v>44318</v>
      </c>
      <c r="D5391" t="str">
        <f>TEST_DATA!D5391</f>
        <v>NON-NIL</v>
      </c>
      <c r="E5391">
        <f>TEST_DATA!E5391</f>
        <v>600</v>
      </c>
    </row>
    <row r="5392" spans="1:5" x14ac:dyDescent="0.55000000000000004">
      <c r="A5392" t="str">
        <f>TEST_DATA!A5392</f>
        <v>27AAAAA5392Z5</v>
      </c>
      <c r="B5392" t="str">
        <f>TEST_DATA!B5392</f>
        <v>Dec-2024</v>
      </c>
      <c r="C5392">
        <f>TEST_DATA!C5392</f>
        <v>43924</v>
      </c>
      <c r="D5392" t="str">
        <f>TEST_DATA!D5392</f>
        <v>NIL</v>
      </c>
      <c r="E5392">
        <f>TEST_DATA!E5392</f>
        <v>1820</v>
      </c>
    </row>
    <row r="5393" spans="1:5" x14ac:dyDescent="0.55000000000000004">
      <c r="A5393" t="str">
        <f>TEST_DATA!A5393</f>
        <v>27AAAAA5393Z5</v>
      </c>
      <c r="B5393" t="str">
        <f>TEST_DATA!B5393</f>
        <v>Jul-2017</v>
      </c>
      <c r="C5393">
        <f>TEST_DATA!C5393</f>
        <v>44413</v>
      </c>
      <c r="D5393" t="str">
        <f>TEST_DATA!D5393</f>
        <v>NON-NIL</v>
      </c>
      <c r="E5393">
        <f>TEST_DATA!E5393</f>
        <v>2709</v>
      </c>
    </row>
    <row r="5394" spans="1:5" x14ac:dyDescent="0.55000000000000004">
      <c r="A5394" t="str">
        <f>TEST_DATA!A5394</f>
        <v>27AAAAA5394Z5</v>
      </c>
      <c r="B5394" t="str">
        <f>TEST_DATA!B5394</f>
        <v>Jun-2019</v>
      </c>
      <c r="C5394">
        <f>TEST_DATA!C5394</f>
        <v>43591</v>
      </c>
      <c r="D5394" t="str">
        <f>TEST_DATA!D5394</f>
        <v>NIL</v>
      </c>
      <c r="E5394">
        <f>TEST_DATA!E5394</f>
        <v>2238</v>
      </c>
    </row>
    <row r="5395" spans="1:5" x14ac:dyDescent="0.55000000000000004">
      <c r="A5395" t="str">
        <f>TEST_DATA!A5395</f>
        <v>27AAAAA5395Z5</v>
      </c>
      <c r="B5395" t="str">
        <f>TEST_DATA!B5395</f>
        <v>Jul-2018</v>
      </c>
      <c r="C5395">
        <f>TEST_DATA!C5395</f>
        <v>43449</v>
      </c>
      <c r="D5395" t="str">
        <f>TEST_DATA!D5395</f>
        <v>NON-NIL</v>
      </c>
      <c r="E5395">
        <f>TEST_DATA!E5395</f>
        <v>2191</v>
      </c>
    </row>
    <row r="5396" spans="1:5" x14ac:dyDescent="0.55000000000000004">
      <c r="A5396" t="str">
        <f>TEST_DATA!A5396</f>
        <v>27AAAAA5396Z5</v>
      </c>
      <c r="B5396" t="str">
        <f>TEST_DATA!B5396</f>
        <v>Nov-2017</v>
      </c>
      <c r="C5396">
        <f>TEST_DATA!C5396</f>
        <v>43246</v>
      </c>
      <c r="D5396" t="str">
        <f>TEST_DATA!D5396</f>
        <v>NIL</v>
      </c>
      <c r="E5396">
        <f>TEST_DATA!E5396</f>
        <v>1848</v>
      </c>
    </row>
    <row r="5397" spans="1:5" x14ac:dyDescent="0.55000000000000004">
      <c r="A5397" t="str">
        <f>TEST_DATA!A5397</f>
        <v>27AAAAA5397Z5</v>
      </c>
      <c r="B5397" t="str">
        <f>TEST_DATA!B5397</f>
        <v>Dec-2024</v>
      </c>
      <c r="C5397">
        <f>TEST_DATA!C5397</f>
        <v>44924</v>
      </c>
      <c r="D5397" t="str">
        <f>TEST_DATA!D5397</f>
        <v>NIL</v>
      </c>
      <c r="E5397">
        <f>TEST_DATA!E5397</f>
        <v>2339</v>
      </c>
    </row>
    <row r="5398" spans="1:5" x14ac:dyDescent="0.55000000000000004">
      <c r="A5398" t="str">
        <f>TEST_DATA!A5398</f>
        <v>27AAAAA5398Z5</v>
      </c>
      <c r="B5398" t="str">
        <f>TEST_DATA!B5398</f>
        <v>Sep-2018</v>
      </c>
      <c r="C5398">
        <f>TEST_DATA!C5398</f>
        <v>43955</v>
      </c>
      <c r="D5398" t="str">
        <f>TEST_DATA!D5398</f>
        <v>NON-NIL</v>
      </c>
      <c r="E5398">
        <f>TEST_DATA!E5398</f>
        <v>1792</v>
      </c>
    </row>
    <row r="5399" spans="1:5" x14ac:dyDescent="0.55000000000000004">
      <c r="A5399" t="str">
        <f>TEST_DATA!A5399</f>
        <v>27AAAAA5399Z5</v>
      </c>
      <c r="B5399" t="str">
        <f>TEST_DATA!B5399</f>
        <v>Jul-2017</v>
      </c>
      <c r="C5399">
        <f>TEST_DATA!C5399</f>
        <v>44021</v>
      </c>
      <c r="D5399" t="str">
        <f>TEST_DATA!D5399</f>
        <v>NIL</v>
      </c>
      <c r="E5399">
        <f>TEST_DATA!E5399</f>
        <v>252</v>
      </c>
    </row>
    <row r="5400" spans="1:5" x14ac:dyDescent="0.55000000000000004">
      <c r="A5400" t="str">
        <f>TEST_DATA!A5400</f>
        <v>27AAAAA5400Z5</v>
      </c>
      <c r="B5400" t="str">
        <f>TEST_DATA!B5400</f>
        <v>Apr-2021</v>
      </c>
      <c r="C5400">
        <f>TEST_DATA!C5400</f>
        <v>43571</v>
      </c>
      <c r="D5400" t="str">
        <f>TEST_DATA!D5400</f>
        <v>NON-NIL</v>
      </c>
      <c r="E5400">
        <f>TEST_DATA!E5400</f>
        <v>2212</v>
      </c>
    </row>
    <row r="5401" spans="1:5" x14ac:dyDescent="0.55000000000000004">
      <c r="A5401" t="str">
        <f>TEST_DATA!A5401</f>
        <v>27AAAAA5401Z5</v>
      </c>
      <c r="B5401" t="str">
        <f>TEST_DATA!B5401</f>
        <v>Aug-2017</v>
      </c>
      <c r="C5401">
        <f>TEST_DATA!C5401</f>
        <v>43774</v>
      </c>
      <c r="D5401" t="str">
        <f>TEST_DATA!D5401</f>
        <v>NON-NIL</v>
      </c>
      <c r="E5401">
        <f>TEST_DATA!E5401</f>
        <v>1311</v>
      </c>
    </row>
    <row r="5402" spans="1:5" x14ac:dyDescent="0.55000000000000004">
      <c r="A5402" t="str">
        <f>TEST_DATA!A5402</f>
        <v>27AAAAA5402Z5</v>
      </c>
      <c r="B5402" t="str">
        <f>TEST_DATA!B5402</f>
        <v>Jan-2019</v>
      </c>
      <c r="C5402">
        <f>TEST_DATA!C5402</f>
        <v>43849</v>
      </c>
      <c r="D5402" t="str">
        <f>TEST_DATA!D5402</f>
        <v>NIL</v>
      </c>
      <c r="E5402">
        <f>TEST_DATA!E5402</f>
        <v>773</v>
      </c>
    </row>
    <row r="5403" spans="1:5" x14ac:dyDescent="0.55000000000000004">
      <c r="A5403" t="str">
        <f>TEST_DATA!A5403</f>
        <v>27AAAAA5403Z5</v>
      </c>
      <c r="B5403" t="str">
        <f>TEST_DATA!B5403</f>
        <v>Jul-2018</v>
      </c>
      <c r="C5403">
        <f>TEST_DATA!C5403</f>
        <v>44070</v>
      </c>
      <c r="D5403" t="str">
        <f>TEST_DATA!D5403</f>
        <v>NIL</v>
      </c>
      <c r="E5403">
        <f>TEST_DATA!E5403</f>
        <v>1226</v>
      </c>
    </row>
    <row r="5404" spans="1:5" x14ac:dyDescent="0.55000000000000004">
      <c r="A5404" t="str">
        <f>TEST_DATA!A5404</f>
        <v>27AAAAA5404Z5</v>
      </c>
      <c r="B5404" t="str">
        <f>TEST_DATA!B5404</f>
        <v>Apr-2020</v>
      </c>
      <c r="C5404">
        <f>TEST_DATA!C5404</f>
        <v>44656</v>
      </c>
      <c r="D5404" t="str">
        <f>TEST_DATA!D5404</f>
        <v>NIL</v>
      </c>
      <c r="E5404">
        <f>TEST_DATA!E5404</f>
        <v>2654</v>
      </c>
    </row>
    <row r="5405" spans="1:5" x14ac:dyDescent="0.55000000000000004">
      <c r="A5405" t="str">
        <f>TEST_DATA!A5405</f>
        <v>27AAAAA5405Z5</v>
      </c>
      <c r="B5405" t="str">
        <f>TEST_DATA!B5405</f>
        <v>Jun-2020</v>
      </c>
      <c r="C5405">
        <f>TEST_DATA!C5405</f>
        <v>44003</v>
      </c>
      <c r="D5405" t="str">
        <f>TEST_DATA!D5405</f>
        <v>NIL</v>
      </c>
      <c r="E5405">
        <f>TEST_DATA!E5405</f>
        <v>2092</v>
      </c>
    </row>
    <row r="5406" spans="1:5" x14ac:dyDescent="0.55000000000000004">
      <c r="A5406" t="str">
        <f>TEST_DATA!A5406</f>
        <v>27AAAAA5406Z5</v>
      </c>
      <c r="B5406" t="str">
        <f>TEST_DATA!B5406</f>
        <v>Dec-2024</v>
      </c>
      <c r="C5406">
        <f>TEST_DATA!C5406</f>
        <v>45512</v>
      </c>
      <c r="D5406" t="str">
        <f>TEST_DATA!D5406</f>
        <v>NON-NIL</v>
      </c>
      <c r="E5406">
        <f>TEST_DATA!E5406</f>
        <v>677</v>
      </c>
    </row>
    <row r="5407" spans="1:5" x14ac:dyDescent="0.55000000000000004">
      <c r="A5407" t="str">
        <f>TEST_DATA!A5407</f>
        <v>27AAAAA5407Z5</v>
      </c>
      <c r="B5407" t="str">
        <f>TEST_DATA!B5407</f>
        <v>Apr-2020</v>
      </c>
      <c r="C5407">
        <f>TEST_DATA!C5407</f>
        <v>44698</v>
      </c>
      <c r="D5407" t="str">
        <f>TEST_DATA!D5407</f>
        <v>NIL</v>
      </c>
      <c r="E5407">
        <f>TEST_DATA!E5407</f>
        <v>1897</v>
      </c>
    </row>
    <row r="5408" spans="1:5" x14ac:dyDescent="0.55000000000000004">
      <c r="A5408" t="str">
        <f>TEST_DATA!A5408</f>
        <v>27AAAAA5408Z5</v>
      </c>
      <c r="B5408" t="str">
        <f>TEST_DATA!B5408</f>
        <v>Jan-2021</v>
      </c>
      <c r="C5408">
        <f>TEST_DATA!C5408</f>
        <v>45072</v>
      </c>
      <c r="D5408" t="str">
        <f>TEST_DATA!D5408</f>
        <v>NON-NIL</v>
      </c>
      <c r="E5408">
        <f>TEST_DATA!E5408</f>
        <v>2722</v>
      </c>
    </row>
    <row r="5409" spans="1:5" x14ac:dyDescent="0.55000000000000004">
      <c r="A5409" t="str">
        <f>TEST_DATA!A5409</f>
        <v>27AAAAA5409Z5</v>
      </c>
      <c r="B5409" t="str">
        <f>TEST_DATA!B5409</f>
        <v>May-2020</v>
      </c>
      <c r="C5409">
        <f>TEST_DATA!C5409</f>
        <v>43933</v>
      </c>
      <c r="D5409" t="str">
        <f>TEST_DATA!D5409</f>
        <v>NON-NIL</v>
      </c>
      <c r="E5409">
        <f>TEST_DATA!E5409</f>
        <v>176</v>
      </c>
    </row>
    <row r="5410" spans="1:5" x14ac:dyDescent="0.55000000000000004">
      <c r="A5410" t="str">
        <f>TEST_DATA!A5410</f>
        <v>27AAAAA5410Z5</v>
      </c>
      <c r="B5410" t="str">
        <f>TEST_DATA!B5410</f>
        <v>Mar-2020</v>
      </c>
      <c r="C5410">
        <f>TEST_DATA!C5410</f>
        <v>44557</v>
      </c>
      <c r="D5410" t="str">
        <f>TEST_DATA!D5410</f>
        <v>NIL</v>
      </c>
      <c r="E5410">
        <f>TEST_DATA!E5410</f>
        <v>2922</v>
      </c>
    </row>
    <row r="5411" spans="1:5" x14ac:dyDescent="0.55000000000000004">
      <c r="A5411" t="str">
        <f>TEST_DATA!A5411</f>
        <v>27AAAAA5411Z5</v>
      </c>
      <c r="B5411" t="str">
        <f>TEST_DATA!B5411</f>
        <v>Oct-2017</v>
      </c>
      <c r="C5411">
        <f>TEST_DATA!C5411</f>
        <v>43446</v>
      </c>
      <c r="D5411" t="str">
        <f>TEST_DATA!D5411</f>
        <v>NIL</v>
      </c>
      <c r="E5411">
        <f>TEST_DATA!E5411</f>
        <v>2379</v>
      </c>
    </row>
    <row r="5412" spans="1:5" x14ac:dyDescent="0.55000000000000004">
      <c r="A5412" t="str">
        <f>TEST_DATA!A5412</f>
        <v>27AAAAA5412Z5</v>
      </c>
      <c r="B5412" t="str">
        <f>TEST_DATA!B5412</f>
        <v>Aug-2018</v>
      </c>
      <c r="C5412">
        <f>TEST_DATA!C5412</f>
        <v>43147</v>
      </c>
      <c r="D5412" t="str">
        <f>TEST_DATA!D5412</f>
        <v>NON-NIL</v>
      </c>
      <c r="E5412">
        <f>TEST_DATA!E5412</f>
        <v>1749</v>
      </c>
    </row>
    <row r="5413" spans="1:5" x14ac:dyDescent="0.55000000000000004">
      <c r="A5413" t="str">
        <f>TEST_DATA!A5413</f>
        <v>27AAAAA5413Z5</v>
      </c>
      <c r="B5413" t="str">
        <f>TEST_DATA!B5413</f>
        <v>Aug-2017</v>
      </c>
      <c r="C5413">
        <f>TEST_DATA!C5413</f>
        <v>43929</v>
      </c>
      <c r="D5413" t="str">
        <f>TEST_DATA!D5413</f>
        <v>NIL</v>
      </c>
      <c r="E5413">
        <f>TEST_DATA!E5413</f>
        <v>725</v>
      </c>
    </row>
    <row r="5414" spans="1:5" x14ac:dyDescent="0.55000000000000004">
      <c r="A5414" t="str">
        <f>TEST_DATA!A5414</f>
        <v>27AAAAA5414Z5</v>
      </c>
      <c r="B5414" t="str">
        <f>TEST_DATA!B5414</f>
        <v>Jan-2019</v>
      </c>
      <c r="C5414">
        <f>TEST_DATA!C5414</f>
        <v>44629</v>
      </c>
      <c r="D5414" t="str">
        <f>TEST_DATA!D5414</f>
        <v>NIL</v>
      </c>
      <c r="E5414">
        <f>TEST_DATA!E5414</f>
        <v>1365</v>
      </c>
    </row>
    <row r="5415" spans="1:5" x14ac:dyDescent="0.55000000000000004">
      <c r="A5415" t="str">
        <f>TEST_DATA!A5415</f>
        <v>27AAAAA5415Z5</v>
      </c>
      <c r="B5415" t="str">
        <f>TEST_DATA!B5415</f>
        <v>Jan-2021</v>
      </c>
      <c r="C5415">
        <f>TEST_DATA!C5415</f>
        <v>45011</v>
      </c>
      <c r="D5415" t="str">
        <f>TEST_DATA!D5415</f>
        <v>NON-NIL</v>
      </c>
      <c r="E5415">
        <f>TEST_DATA!E5415</f>
        <v>438</v>
      </c>
    </row>
    <row r="5416" spans="1:5" x14ac:dyDescent="0.55000000000000004">
      <c r="A5416" t="str">
        <f>TEST_DATA!A5416</f>
        <v>27AAAAA5416Z5</v>
      </c>
      <c r="B5416" t="str">
        <f>TEST_DATA!B5416</f>
        <v>Mar-2021</v>
      </c>
      <c r="C5416">
        <f>TEST_DATA!C5416</f>
        <v>45351</v>
      </c>
      <c r="D5416" t="str">
        <f>TEST_DATA!D5416</f>
        <v>NON-NIL</v>
      </c>
      <c r="E5416">
        <f>TEST_DATA!E5416</f>
        <v>744</v>
      </c>
    </row>
    <row r="5417" spans="1:5" x14ac:dyDescent="0.55000000000000004">
      <c r="A5417" t="str">
        <f>TEST_DATA!A5417</f>
        <v>27AAAAA5417Z5</v>
      </c>
      <c r="B5417" t="str">
        <f>TEST_DATA!B5417</f>
        <v>Apr-2018</v>
      </c>
      <c r="C5417">
        <f>TEST_DATA!C5417</f>
        <v>44227</v>
      </c>
      <c r="D5417" t="str">
        <f>TEST_DATA!D5417</f>
        <v>NIL</v>
      </c>
      <c r="E5417">
        <f>TEST_DATA!E5417</f>
        <v>2477</v>
      </c>
    </row>
    <row r="5418" spans="1:5" x14ac:dyDescent="0.55000000000000004">
      <c r="A5418" t="str">
        <f>TEST_DATA!A5418</f>
        <v>27AAAAA5418Z5</v>
      </c>
      <c r="B5418" t="str">
        <f>TEST_DATA!B5418</f>
        <v>Aug-2018</v>
      </c>
      <c r="C5418">
        <f>TEST_DATA!C5418</f>
        <v>44354</v>
      </c>
      <c r="D5418" t="str">
        <f>TEST_DATA!D5418</f>
        <v>NON-NIL</v>
      </c>
      <c r="E5418">
        <f>TEST_DATA!E5418</f>
        <v>2497</v>
      </c>
    </row>
    <row r="5419" spans="1:5" x14ac:dyDescent="0.55000000000000004">
      <c r="A5419" t="str">
        <f>TEST_DATA!A5419</f>
        <v>27AAAAA5419Z5</v>
      </c>
      <c r="B5419" t="str">
        <f>TEST_DATA!B5419</f>
        <v>Jul-2018</v>
      </c>
      <c r="C5419">
        <f>TEST_DATA!C5419</f>
        <v>43702</v>
      </c>
      <c r="D5419" t="str">
        <f>TEST_DATA!D5419</f>
        <v>NIL</v>
      </c>
      <c r="E5419">
        <f>TEST_DATA!E5419</f>
        <v>2950</v>
      </c>
    </row>
    <row r="5420" spans="1:5" x14ac:dyDescent="0.55000000000000004">
      <c r="A5420" t="str">
        <f>TEST_DATA!A5420</f>
        <v>27AAAAA5420Z5</v>
      </c>
      <c r="B5420" t="str">
        <f>TEST_DATA!B5420</f>
        <v>Mar-2018</v>
      </c>
      <c r="C5420">
        <f>TEST_DATA!C5420</f>
        <v>44169</v>
      </c>
      <c r="D5420" t="str">
        <f>TEST_DATA!D5420</f>
        <v>NON-NIL</v>
      </c>
      <c r="E5420">
        <f>TEST_DATA!E5420</f>
        <v>104</v>
      </c>
    </row>
    <row r="5421" spans="1:5" x14ac:dyDescent="0.55000000000000004">
      <c r="A5421" t="str">
        <f>TEST_DATA!A5421</f>
        <v>27AAAAA5421Z5</v>
      </c>
      <c r="B5421" t="str">
        <f>TEST_DATA!B5421</f>
        <v>Mar-2018</v>
      </c>
      <c r="C5421">
        <f>TEST_DATA!C5421</f>
        <v>43844</v>
      </c>
      <c r="D5421" t="str">
        <f>TEST_DATA!D5421</f>
        <v>NON-NIL</v>
      </c>
      <c r="E5421">
        <f>TEST_DATA!E5421</f>
        <v>621</v>
      </c>
    </row>
    <row r="5422" spans="1:5" x14ac:dyDescent="0.55000000000000004">
      <c r="A5422" t="str">
        <f>TEST_DATA!A5422</f>
        <v>27AAAAA5422Z5</v>
      </c>
      <c r="B5422" t="str">
        <f>TEST_DATA!B5422</f>
        <v>Sep-2017</v>
      </c>
      <c r="C5422">
        <f>TEST_DATA!C5422</f>
        <v>43826</v>
      </c>
      <c r="D5422" t="str">
        <f>TEST_DATA!D5422</f>
        <v>NIL</v>
      </c>
      <c r="E5422">
        <f>TEST_DATA!E5422</f>
        <v>626</v>
      </c>
    </row>
    <row r="5423" spans="1:5" x14ac:dyDescent="0.55000000000000004">
      <c r="A5423" t="str">
        <f>TEST_DATA!A5423</f>
        <v>27AAAAA5423Z5</v>
      </c>
      <c r="B5423" t="str">
        <f>TEST_DATA!B5423</f>
        <v>Dec-2019</v>
      </c>
      <c r="C5423">
        <f>TEST_DATA!C5423</f>
        <v>44850</v>
      </c>
      <c r="D5423" t="str">
        <f>TEST_DATA!D5423</f>
        <v>NIL</v>
      </c>
      <c r="E5423">
        <f>TEST_DATA!E5423</f>
        <v>1580</v>
      </c>
    </row>
    <row r="5424" spans="1:5" x14ac:dyDescent="0.55000000000000004">
      <c r="A5424" t="str">
        <f>TEST_DATA!A5424</f>
        <v>27AAAAA5424Z5</v>
      </c>
      <c r="B5424" t="str">
        <f>TEST_DATA!B5424</f>
        <v>Nov-2017</v>
      </c>
      <c r="C5424">
        <f>TEST_DATA!C5424</f>
        <v>43244</v>
      </c>
      <c r="D5424" t="str">
        <f>TEST_DATA!D5424</f>
        <v>NON-NIL</v>
      </c>
      <c r="E5424">
        <f>TEST_DATA!E5424</f>
        <v>2375</v>
      </c>
    </row>
    <row r="5425" spans="1:5" x14ac:dyDescent="0.55000000000000004">
      <c r="A5425" t="str">
        <f>TEST_DATA!A5425</f>
        <v>27AAAAA5425Z5</v>
      </c>
      <c r="B5425" t="str">
        <f>TEST_DATA!B5425</f>
        <v>Mar-2021</v>
      </c>
      <c r="C5425">
        <f>TEST_DATA!C5425</f>
        <v>44461</v>
      </c>
      <c r="D5425" t="str">
        <f>TEST_DATA!D5425</f>
        <v>NON-NIL</v>
      </c>
      <c r="E5425">
        <f>TEST_DATA!E5425</f>
        <v>1127</v>
      </c>
    </row>
    <row r="5426" spans="1:5" x14ac:dyDescent="0.55000000000000004">
      <c r="A5426" t="str">
        <f>TEST_DATA!A5426</f>
        <v>27AAAAA5426Z5</v>
      </c>
      <c r="B5426" t="str">
        <f>TEST_DATA!B5426</f>
        <v>Dec-2019</v>
      </c>
      <c r="C5426">
        <f>TEST_DATA!C5426</f>
        <v>45705</v>
      </c>
      <c r="D5426" t="str">
        <f>TEST_DATA!D5426</f>
        <v>NIL</v>
      </c>
      <c r="E5426">
        <f>TEST_DATA!E5426</f>
        <v>1</v>
      </c>
    </row>
    <row r="5427" spans="1:5" x14ac:dyDescent="0.55000000000000004">
      <c r="A5427" t="str">
        <f>TEST_DATA!A5427</f>
        <v>27AAAAA5427Z5</v>
      </c>
      <c r="B5427" t="str">
        <f>TEST_DATA!B5427</f>
        <v>Jun-2019</v>
      </c>
      <c r="C5427">
        <f>TEST_DATA!C5427</f>
        <v>45816</v>
      </c>
      <c r="D5427" t="str">
        <f>TEST_DATA!D5427</f>
        <v>NIL</v>
      </c>
      <c r="E5427">
        <f>TEST_DATA!E5427</f>
        <v>1089</v>
      </c>
    </row>
    <row r="5428" spans="1:5" x14ac:dyDescent="0.55000000000000004">
      <c r="A5428" t="str">
        <f>TEST_DATA!A5428</f>
        <v>27AAAAA5428Z5</v>
      </c>
      <c r="B5428" t="str">
        <f>TEST_DATA!B5428</f>
        <v>Dec-2019</v>
      </c>
      <c r="C5428">
        <f>TEST_DATA!C5428</f>
        <v>45104</v>
      </c>
      <c r="D5428" t="str">
        <f>TEST_DATA!D5428</f>
        <v>NIL</v>
      </c>
      <c r="E5428">
        <f>TEST_DATA!E5428</f>
        <v>2515</v>
      </c>
    </row>
    <row r="5429" spans="1:5" x14ac:dyDescent="0.55000000000000004">
      <c r="A5429" t="str">
        <f>TEST_DATA!A5429</f>
        <v>27AAAAA5429Z5</v>
      </c>
      <c r="B5429" t="str">
        <f>TEST_DATA!B5429</f>
        <v>Aug-2017</v>
      </c>
      <c r="C5429">
        <f>TEST_DATA!C5429</f>
        <v>43809</v>
      </c>
      <c r="D5429" t="str">
        <f>TEST_DATA!D5429</f>
        <v>NIL</v>
      </c>
      <c r="E5429">
        <f>TEST_DATA!E5429</f>
        <v>1058</v>
      </c>
    </row>
    <row r="5430" spans="1:5" x14ac:dyDescent="0.55000000000000004">
      <c r="A5430" t="str">
        <f>TEST_DATA!A5430</f>
        <v>27AAAAA5430Z5</v>
      </c>
      <c r="B5430" t="str">
        <f>TEST_DATA!B5430</f>
        <v>Jul-2018</v>
      </c>
      <c r="C5430">
        <f>TEST_DATA!C5430</f>
        <v>43899</v>
      </c>
      <c r="D5430" t="str">
        <f>TEST_DATA!D5430</f>
        <v>NIL</v>
      </c>
      <c r="E5430">
        <f>TEST_DATA!E5430</f>
        <v>2159</v>
      </c>
    </row>
    <row r="5431" spans="1:5" x14ac:dyDescent="0.55000000000000004">
      <c r="A5431" t="str">
        <f>TEST_DATA!A5431</f>
        <v>27AAAAA5431Z5</v>
      </c>
      <c r="B5431" t="str">
        <f>TEST_DATA!B5431</f>
        <v>Sep-2018</v>
      </c>
      <c r="C5431">
        <f>TEST_DATA!C5431</f>
        <v>44149</v>
      </c>
      <c r="D5431" t="str">
        <f>TEST_DATA!D5431</f>
        <v>NIL</v>
      </c>
      <c r="E5431">
        <f>TEST_DATA!E5431</f>
        <v>1740</v>
      </c>
    </row>
    <row r="5432" spans="1:5" x14ac:dyDescent="0.55000000000000004">
      <c r="A5432" t="str">
        <f>TEST_DATA!A5432</f>
        <v>27AAAAA5432Z5</v>
      </c>
      <c r="B5432" t="str">
        <f>TEST_DATA!B5432</f>
        <v>Jul-2017</v>
      </c>
      <c r="C5432">
        <f>TEST_DATA!C5432</f>
        <v>44193</v>
      </c>
      <c r="D5432" t="str">
        <f>TEST_DATA!D5432</f>
        <v>NIL</v>
      </c>
      <c r="E5432">
        <f>TEST_DATA!E5432</f>
        <v>365</v>
      </c>
    </row>
    <row r="5433" spans="1:5" x14ac:dyDescent="0.55000000000000004">
      <c r="A5433" t="str">
        <f>TEST_DATA!A5433</f>
        <v>27AAAAA5433Z5</v>
      </c>
      <c r="B5433" t="str">
        <f>TEST_DATA!B5433</f>
        <v>Apr-2018</v>
      </c>
      <c r="C5433">
        <f>TEST_DATA!C5433</f>
        <v>43068</v>
      </c>
      <c r="D5433" t="str">
        <f>TEST_DATA!D5433</f>
        <v>NIL</v>
      </c>
      <c r="E5433">
        <f>TEST_DATA!E5433</f>
        <v>462</v>
      </c>
    </row>
    <row r="5434" spans="1:5" x14ac:dyDescent="0.55000000000000004">
      <c r="A5434" t="str">
        <f>TEST_DATA!A5434</f>
        <v>27AAAAA5434Z5</v>
      </c>
      <c r="B5434" t="str">
        <f>TEST_DATA!B5434</f>
        <v>Mar-2020</v>
      </c>
      <c r="C5434">
        <f>TEST_DATA!C5434</f>
        <v>44339</v>
      </c>
      <c r="D5434" t="str">
        <f>TEST_DATA!D5434</f>
        <v>NON-NIL</v>
      </c>
      <c r="E5434">
        <f>TEST_DATA!E5434</f>
        <v>2708</v>
      </c>
    </row>
    <row r="5435" spans="1:5" x14ac:dyDescent="0.55000000000000004">
      <c r="A5435" t="str">
        <f>TEST_DATA!A5435</f>
        <v>27AAAAA5435Z5</v>
      </c>
      <c r="B5435" t="str">
        <f>TEST_DATA!B5435</f>
        <v>Mar-2021</v>
      </c>
      <c r="C5435">
        <f>TEST_DATA!C5435</f>
        <v>44134</v>
      </c>
      <c r="D5435" t="str">
        <f>TEST_DATA!D5435</f>
        <v>NIL</v>
      </c>
      <c r="E5435">
        <f>TEST_DATA!E5435</f>
        <v>2927</v>
      </c>
    </row>
    <row r="5436" spans="1:5" x14ac:dyDescent="0.55000000000000004">
      <c r="A5436" t="str">
        <f>TEST_DATA!A5436</f>
        <v>27AAAAA5436Z5</v>
      </c>
      <c r="B5436" t="str">
        <f>TEST_DATA!B5436</f>
        <v>Aug-2018</v>
      </c>
      <c r="C5436">
        <f>TEST_DATA!C5436</f>
        <v>43138</v>
      </c>
      <c r="D5436" t="str">
        <f>TEST_DATA!D5436</f>
        <v>NIL</v>
      </c>
      <c r="E5436">
        <f>TEST_DATA!E5436</f>
        <v>873</v>
      </c>
    </row>
    <row r="5437" spans="1:5" x14ac:dyDescent="0.55000000000000004">
      <c r="A5437" t="str">
        <f>TEST_DATA!A5437</f>
        <v>27AAAAA5437Z5</v>
      </c>
      <c r="B5437" t="str">
        <f>TEST_DATA!B5437</f>
        <v>Jan-2019</v>
      </c>
      <c r="C5437">
        <f>TEST_DATA!C5437</f>
        <v>45135</v>
      </c>
      <c r="D5437" t="str">
        <f>TEST_DATA!D5437</f>
        <v>NIL</v>
      </c>
      <c r="E5437">
        <f>TEST_DATA!E5437</f>
        <v>1399</v>
      </c>
    </row>
    <row r="5438" spans="1:5" x14ac:dyDescent="0.55000000000000004">
      <c r="A5438" t="str">
        <f>TEST_DATA!A5438</f>
        <v>27AAAAA5438Z5</v>
      </c>
      <c r="B5438" t="str">
        <f>TEST_DATA!B5438</f>
        <v>Dec-2017</v>
      </c>
      <c r="C5438">
        <f>TEST_DATA!C5438</f>
        <v>43426</v>
      </c>
      <c r="D5438" t="str">
        <f>TEST_DATA!D5438</f>
        <v>NIL</v>
      </c>
      <c r="E5438">
        <f>TEST_DATA!E5438</f>
        <v>1042</v>
      </c>
    </row>
    <row r="5439" spans="1:5" x14ac:dyDescent="0.55000000000000004">
      <c r="A5439" t="str">
        <f>TEST_DATA!A5439</f>
        <v>27AAAAA5439Z5</v>
      </c>
      <c r="B5439" t="str">
        <f>TEST_DATA!B5439</f>
        <v>May-2018</v>
      </c>
      <c r="C5439">
        <f>TEST_DATA!C5439</f>
        <v>44056</v>
      </c>
      <c r="D5439" t="str">
        <f>TEST_DATA!D5439</f>
        <v>NIL</v>
      </c>
      <c r="E5439">
        <f>TEST_DATA!E5439</f>
        <v>1640</v>
      </c>
    </row>
    <row r="5440" spans="1:5" x14ac:dyDescent="0.55000000000000004">
      <c r="A5440" t="str">
        <f>TEST_DATA!A5440</f>
        <v>27AAAAA5440Z5</v>
      </c>
      <c r="B5440" t="str">
        <f>TEST_DATA!B5440</f>
        <v>May-2018</v>
      </c>
      <c r="C5440">
        <f>TEST_DATA!C5440</f>
        <v>44513</v>
      </c>
      <c r="D5440" t="str">
        <f>TEST_DATA!D5440</f>
        <v>NIL</v>
      </c>
      <c r="E5440">
        <f>TEST_DATA!E5440</f>
        <v>678</v>
      </c>
    </row>
    <row r="5441" spans="1:5" x14ac:dyDescent="0.55000000000000004">
      <c r="A5441" t="str">
        <f>TEST_DATA!A5441</f>
        <v>27AAAAA5441Z5</v>
      </c>
      <c r="B5441" t="str">
        <f>TEST_DATA!B5441</f>
        <v>Jun-2018</v>
      </c>
      <c r="C5441">
        <f>TEST_DATA!C5441</f>
        <v>43487</v>
      </c>
      <c r="D5441" t="str">
        <f>TEST_DATA!D5441</f>
        <v>NON-NIL</v>
      </c>
      <c r="E5441">
        <f>TEST_DATA!E5441</f>
        <v>2029</v>
      </c>
    </row>
    <row r="5442" spans="1:5" x14ac:dyDescent="0.55000000000000004">
      <c r="A5442" t="str">
        <f>TEST_DATA!A5442</f>
        <v>27AAAAA5442Z5</v>
      </c>
      <c r="B5442" t="str">
        <f>TEST_DATA!B5442</f>
        <v>Nov-2017</v>
      </c>
      <c r="C5442">
        <f>TEST_DATA!C5442</f>
        <v>43453</v>
      </c>
      <c r="D5442" t="str">
        <f>TEST_DATA!D5442</f>
        <v>NIL</v>
      </c>
      <c r="E5442">
        <f>TEST_DATA!E5442</f>
        <v>2524</v>
      </c>
    </row>
    <row r="5443" spans="1:5" x14ac:dyDescent="0.55000000000000004">
      <c r="A5443" t="str">
        <f>TEST_DATA!A5443</f>
        <v>27AAAAA5443Z5</v>
      </c>
      <c r="B5443" t="str">
        <f>TEST_DATA!B5443</f>
        <v>Oct-2017</v>
      </c>
      <c r="C5443">
        <f>TEST_DATA!C5443</f>
        <v>43795</v>
      </c>
      <c r="D5443" t="str">
        <f>TEST_DATA!D5443</f>
        <v>NON-NIL</v>
      </c>
      <c r="E5443">
        <f>TEST_DATA!E5443</f>
        <v>2663</v>
      </c>
    </row>
    <row r="5444" spans="1:5" x14ac:dyDescent="0.55000000000000004">
      <c r="A5444" t="str">
        <f>TEST_DATA!A5444</f>
        <v>27AAAAA5444Z5</v>
      </c>
      <c r="B5444" t="str">
        <f>TEST_DATA!B5444</f>
        <v>Aug-2017</v>
      </c>
      <c r="C5444">
        <f>TEST_DATA!C5444</f>
        <v>43312</v>
      </c>
      <c r="D5444" t="str">
        <f>TEST_DATA!D5444</f>
        <v>NON-NIL</v>
      </c>
      <c r="E5444">
        <f>TEST_DATA!E5444</f>
        <v>1120</v>
      </c>
    </row>
    <row r="5445" spans="1:5" x14ac:dyDescent="0.55000000000000004">
      <c r="A5445" t="str">
        <f>TEST_DATA!A5445</f>
        <v>27AAAAA5445Z5</v>
      </c>
      <c r="B5445" t="str">
        <f>TEST_DATA!B5445</f>
        <v>Jul-2017</v>
      </c>
      <c r="C5445">
        <f>TEST_DATA!C5445</f>
        <v>44530</v>
      </c>
      <c r="D5445" t="str">
        <f>TEST_DATA!D5445</f>
        <v>NON-NIL</v>
      </c>
      <c r="E5445">
        <f>TEST_DATA!E5445</f>
        <v>1646</v>
      </c>
    </row>
    <row r="5446" spans="1:5" x14ac:dyDescent="0.55000000000000004">
      <c r="A5446" t="str">
        <f>TEST_DATA!A5446</f>
        <v>27AAAAA5446Z5</v>
      </c>
      <c r="B5446" t="str">
        <f>TEST_DATA!B5446</f>
        <v>Mar-2023</v>
      </c>
      <c r="C5446">
        <f>TEST_DATA!C5446</f>
        <v>43724</v>
      </c>
      <c r="D5446" t="str">
        <f>TEST_DATA!D5446</f>
        <v>NON-NIL</v>
      </c>
      <c r="E5446">
        <f>TEST_DATA!E5446</f>
        <v>1983</v>
      </c>
    </row>
    <row r="5447" spans="1:5" x14ac:dyDescent="0.55000000000000004">
      <c r="A5447" t="str">
        <f>TEST_DATA!A5447</f>
        <v>27AAAAA5447Z5</v>
      </c>
      <c r="B5447" t="str">
        <f>TEST_DATA!B5447</f>
        <v>Dec-2024</v>
      </c>
      <c r="C5447">
        <f>TEST_DATA!C5447</f>
        <v>43733</v>
      </c>
      <c r="D5447" t="str">
        <f>TEST_DATA!D5447</f>
        <v>NIL</v>
      </c>
      <c r="E5447">
        <f>TEST_DATA!E5447</f>
        <v>2867</v>
      </c>
    </row>
    <row r="5448" spans="1:5" x14ac:dyDescent="0.55000000000000004">
      <c r="A5448" t="str">
        <f>TEST_DATA!A5448</f>
        <v>27AAAAA5448Z5</v>
      </c>
      <c r="B5448" t="str">
        <f>TEST_DATA!B5448</f>
        <v>Mar-2018</v>
      </c>
      <c r="C5448">
        <f>TEST_DATA!C5448</f>
        <v>44134</v>
      </c>
      <c r="D5448" t="str">
        <f>TEST_DATA!D5448</f>
        <v>NIL</v>
      </c>
      <c r="E5448">
        <f>TEST_DATA!E5448</f>
        <v>2239</v>
      </c>
    </row>
    <row r="5449" spans="1:5" x14ac:dyDescent="0.55000000000000004">
      <c r="A5449" t="str">
        <f>TEST_DATA!A5449</f>
        <v>27AAAAA5449Z5</v>
      </c>
      <c r="B5449" t="str">
        <f>TEST_DATA!B5449</f>
        <v>Dec-2019</v>
      </c>
      <c r="C5449">
        <f>TEST_DATA!C5449</f>
        <v>43477</v>
      </c>
      <c r="D5449" t="str">
        <f>TEST_DATA!D5449</f>
        <v>NON-NIL</v>
      </c>
      <c r="E5449">
        <f>TEST_DATA!E5449</f>
        <v>1891</v>
      </c>
    </row>
    <row r="5450" spans="1:5" x14ac:dyDescent="0.55000000000000004">
      <c r="A5450" t="str">
        <f>TEST_DATA!A5450</f>
        <v>27AAAAA5450Z5</v>
      </c>
      <c r="B5450" t="str">
        <f>TEST_DATA!B5450</f>
        <v>Dec-2022</v>
      </c>
      <c r="C5450">
        <f>TEST_DATA!C5450</f>
        <v>45723</v>
      </c>
      <c r="D5450" t="str">
        <f>TEST_DATA!D5450</f>
        <v>NIL</v>
      </c>
      <c r="E5450">
        <f>TEST_DATA!E5450</f>
        <v>396</v>
      </c>
    </row>
    <row r="5451" spans="1:5" x14ac:dyDescent="0.55000000000000004">
      <c r="A5451" t="str">
        <f>TEST_DATA!A5451</f>
        <v>27AAAAA5451Z5</v>
      </c>
      <c r="B5451" t="str">
        <f>TEST_DATA!B5451</f>
        <v>Mar-2018</v>
      </c>
      <c r="C5451">
        <f>TEST_DATA!C5451</f>
        <v>43080</v>
      </c>
      <c r="D5451" t="str">
        <f>TEST_DATA!D5451</f>
        <v>NON-NIL</v>
      </c>
      <c r="E5451">
        <f>TEST_DATA!E5451</f>
        <v>1109</v>
      </c>
    </row>
    <row r="5452" spans="1:5" x14ac:dyDescent="0.55000000000000004">
      <c r="A5452" t="str">
        <f>TEST_DATA!A5452</f>
        <v>27AAAAA5452Z5</v>
      </c>
      <c r="B5452" t="str">
        <f>TEST_DATA!B5452</f>
        <v>Aug-2018</v>
      </c>
      <c r="C5452">
        <f>TEST_DATA!C5452</f>
        <v>43975</v>
      </c>
      <c r="D5452" t="str">
        <f>TEST_DATA!D5452</f>
        <v>NIL</v>
      </c>
      <c r="E5452">
        <f>TEST_DATA!E5452</f>
        <v>927</v>
      </c>
    </row>
    <row r="5453" spans="1:5" x14ac:dyDescent="0.55000000000000004">
      <c r="A5453" t="str">
        <f>TEST_DATA!A5453</f>
        <v>27AAAAA5453Z5</v>
      </c>
      <c r="B5453" t="str">
        <f>TEST_DATA!B5453</f>
        <v>Dec-2022</v>
      </c>
      <c r="C5453">
        <f>TEST_DATA!C5453</f>
        <v>44803</v>
      </c>
      <c r="D5453" t="str">
        <f>TEST_DATA!D5453</f>
        <v>NIL</v>
      </c>
      <c r="E5453">
        <f>TEST_DATA!E5453</f>
        <v>1615</v>
      </c>
    </row>
    <row r="5454" spans="1:5" x14ac:dyDescent="0.55000000000000004">
      <c r="A5454" t="str">
        <f>TEST_DATA!A5454</f>
        <v>27AAAAA5454Z5</v>
      </c>
      <c r="B5454" t="str">
        <f>TEST_DATA!B5454</f>
        <v>May-2020</v>
      </c>
      <c r="C5454">
        <f>TEST_DATA!C5454</f>
        <v>44602</v>
      </c>
      <c r="D5454" t="str">
        <f>TEST_DATA!D5454</f>
        <v>NON-NIL</v>
      </c>
      <c r="E5454">
        <f>TEST_DATA!E5454</f>
        <v>2236</v>
      </c>
    </row>
    <row r="5455" spans="1:5" x14ac:dyDescent="0.55000000000000004">
      <c r="A5455" t="str">
        <f>TEST_DATA!A5455</f>
        <v>27AAAAA5455Z5</v>
      </c>
      <c r="B5455" t="str">
        <f>TEST_DATA!B5455</f>
        <v>Aug-2018</v>
      </c>
      <c r="C5455">
        <f>TEST_DATA!C5455</f>
        <v>44179</v>
      </c>
      <c r="D5455" t="str">
        <f>TEST_DATA!D5455</f>
        <v>NIL</v>
      </c>
      <c r="E5455">
        <f>TEST_DATA!E5455</f>
        <v>2862</v>
      </c>
    </row>
    <row r="5456" spans="1:5" x14ac:dyDescent="0.55000000000000004">
      <c r="A5456" t="str">
        <f>TEST_DATA!A5456</f>
        <v>27AAAAA5456Z5</v>
      </c>
      <c r="B5456" t="str">
        <f>TEST_DATA!B5456</f>
        <v>Mar-2020</v>
      </c>
      <c r="C5456">
        <f>TEST_DATA!C5456</f>
        <v>44641</v>
      </c>
      <c r="D5456" t="str">
        <f>TEST_DATA!D5456</f>
        <v>NON-NIL</v>
      </c>
      <c r="E5456">
        <f>TEST_DATA!E5456</f>
        <v>1276</v>
      </c>
    </row>
    <row r="5457" spans="1:5" x14ac:dyDescent="0.55000000000000004">
      <c r="A5457" t="str">
        <f>TEST_DATA!A5457</f>
        <v>27AAAAA5457Z5</v>
      </c>
      <c r="B5457" t="str">
        <f>TEST_DATA!B5457</f>
        <v>Jun-2019</v>
      </c>
      <c r="C5457">
        <f>TEST_DATA!C5457</f>
        <v>45027</v>
      </c>
      <c r="D5457" t="str">
        <f>TEST_DATA!D5457</f>
        <v>NON-NIL</v>
      </c>
      <c r="E5457">
        <f>TEST_DATA!E5457</f>
        <v>2820</v>
      </c>
    </row>
    <row r="5458" spans="1:5" x14ac:dyDescent="0.55000000000000004">
      <c r="A5458" t="str">
        <f>TEST_DATA!A5458</f>
        <v>27AAAAA5458Z5</v>
      </c>
      <c r="B5458" t="str">
        <f>TEST_DATA!B5458</f>
        <v>Dec-2024</v>
      </c>
      <c r="C5458">
        <f>TEST_DATA!C5458</f>
        <v>43835</v>
      </c>
      <c r="D5458" t="str">
        <f>TEST_DATA!D5458</f>
        <v>NON-NIL</v>
      </c>
      <c r="E5458">
        <f>TEST_DATA!E5458</f>
        <v>1393</v>
      </c>
    </row>
    <row r="5459" spans="1:5" x14ac:dyDescent="0.55000000000000004">
      <c r="A5459" t="str">
        <f>TEST_DATA!A5459</f>
        <v>27AAAAA5459Z5</v>
      </c>
      <c r="B5459" t="str">
        <f>TEST_DATA!B5459</f>
        <v>Mar-2020</v>
      </c>
      <c r="C5459">
        <f>TEST_DATA!C5459</f>
        <v>44365</v>
      </c>
      <c r="D5459" t="str">
        <f>TEST_DATA!D5459</f>
        <v>NON-NIL</v>
      </c>
      <c r="E5459">
        <f>TEST_DATA!E5459</f>
        <v>2702</v>
      </c>
    </row>
    <row r="5460" spans="1:5" x14ac:dyDescent="0.55000000000000004">
      <c r="A5460" t="str">
        <f>TEST_DATA!A5460</f>
        <v>27AAAAA5460Z5</v>
      </c>
      <c r="B5460" t="str">
        <f>TEST_DATA!B5460</f>
        <v>Aug-2017</v>
      </c>
      <c r="C5460">
        <f>TEST_DATA!C5460</f>
        <v>43143</v>
      </c>
      <c r="D5460" t="str">
        <f>TEST_DATA!D5460</f>
        <v>NIL</v>
      </c>
      <c r="E5460">
        <f>TEST_DATA!E5460</f>
        <v>2513</v>
      </c>
    </row>
    <row r="5461" spans="1:5" x14ac:dyDescent="0.55000000000000004">
      <c r="A5461" t="str">
        <f>TEST_DATA!A5461</f>
        <v>27AAAAA5461Z5</v>
      </c>
      <c r="B5461" t="str">
        <f>TEST_DATA!B5461</f>
        <v>Nov-2017</v>
      </c>
      <c r="C5461">
        <f>TEST_DATA!C5461</f>
        <v>44396</v>
      </c>
      <c r="D5461" t="str">
        <f>TEST_DATA!D5461</f>
        <v>NIL</v>
      </c>
      <c r="E5461">
        <f>TEST_DATA!E5461</f>
        <v>239</v>
      </c>
    </row>
    <row r="5462" spans="1:5" x14ac:dyDescent="0.55000000000000004">
      <c r="A5462" t="str">
        <f>TEST_DATA!A5462</f>
        <v>27AAAAA5462Z5</v>
      </c>
      <c r="B5462" t="str">
        <f>TEST_DATA!B5462</f>
        <v>Mar-2023</v>
      </c>
      <c r="C5462">
        <f>TEST_DATA!C5462</f>
        <v>45422</v>
      </c>
      <c r="D5462" t="str">
        <f>TEST_DATA!D5462</f>
        <v>NON-NIL</v>
      </c>
      <c r="E5462">
        <f>TEST_DATA!E5462</f>
        <v>1009</v>
      </c>
    </row>
    <row r="5463" spans="1:5" x14ac:dyDescent="0.55000000000000004">
      <c r="A5463" t="str">
        <f>TEST_DATA!A5463</f>
        <v>27AAAAA5463Z5</v>
      </c>
      <c r="B5463" t="str">
        <f>TEST_DATA!B5463</f>
        <v>Jul-2020</v>
      </c>
      <c r="C5463">
        <f>TEST_DATA!C5463</f>
        <v>44612</v>
      </c>
      <c r="D5463" t="str">
        <f>TEST_DATA!D5463</f>
        <v>NIL</v>
      </c>
      <c r="E5463">
        <f>TEST_DATA!E5463</f>
        <v>1438</v>
      </c>
    </row>
    <row r="5464" spans="1:5" x14ac:dyDescent="0.55000000000000004">
      <c r="A5464" t="str">
        <f>TEST_DATA!A5464</f>
        <v>27AAAAA5464Z5</v>
      </c>
      <c r="B5464" t="str">
        <f>TEST_DATA!B5464</f>
        <v>Oct-2017</v>
      </c>
      <c r="C5464">
        <f>TEST_DATA!C5464</f>
        <v>43061</v>
      </c>
      <c r="D5464" t="str">
        <f>TEST_DATA!D5464</f>
        <v>NON-NIL</v>
      </c>
      <c r="E5464">
        <f>TEST_DATA!E5464</f>
        <v>321</v>
      </c>
    </row>
    <row r="5465" spans="1:5" x14ac:dyDescent="0.55000000000000004">
      <c r="A5465" t="str">
        <f>TEST_DATA!A5465</f>
        <v>27AAAAA5465Z5</v>
      </c>
      <c r="B5465" t="str">
        <f>TEST_DATA!B5465</f>
        <v>Aug-2018</v>
      </c>
      <c r="C5465">
        <f>TEST_DATA!C5465</f>
        <v>44315</v>
      </c>
      <c r="D5465" t="str">
        <f>TEST_DATA!D5465</f>
        <v>NIL</v>
      </c>
      <c r="E5465">
        <f>TEST_DATA!E5465</f>
        <v>930</v>
      </c>
    </row>
    <row r="5466" spans="1:5" x14ac:dyDescent="0.55000000000000004">
      <c r="A5466" t="str">
        <f>TEST_DATA!A5466</f>
        <v>27AAAAA5466Z5</v>
      </c>
      <c r="B5466" t="str">
        <f>TEST_DATA!B5466</f>
        <v>Dec-2022</v>
      </c>
      <c r="C5466">
        <f>TEST_DATA!C5466</f>
        <v>45668</v>
      </c>
      <c r="D5466" t="str">
        <f>TEST_DATA!D5466</f>
        <v>NON-NIL</v>
      </c>
      <c r="E5466">
        <f>TEST_DATA!E5466</f>
        <v>848</v>
      </c>
    </row>
    <row r="5467" spans="1:5" x14ac:dyDescent="0.55000000000000004">
      <c r="A5467" t="str">
        <f>TEST_DATA!A5467</f>
        <v>27AAAAA5467Z5</v>
      </c>
      <c r="B5467" t="str">
        <f>TEST_DATA!B5467</f>
        <v>Aug-2018</v>
      </c>
      <c r="C5467">
        <f>TEST_DATA!C5467</f>
        <v>43560</v>
      </c>
      <c r="D5467" t="str">
        <f>TEST_DATA!D5467</f>
        <v>NIL</v>
      </c>
      <c r="E5467">
        <f>TEST_DATA!E5467</f>
        <v>1682</v>
      </c>
    </row>
    <row r="5468" spans="1:5" x14ac:dyDescent="0.55000000000000004">
      <c r="A5468" t="str">
        <f>TEST_DATA!A5468</f>
        <v>27AAAAA5468Z5</v>
      </c>
      <c r="B5468" t="str">
        <f>TEST_DATA!B5468</f>
        <v>Jul-2020</v>
      </c>
      <c r="C5468">
        <f>TEST_DATA!C5468</f>
        <v>44088</v>
      </c>
      <c r="D5468" t="str">
        <f>TEST_DATA!D5468</f>
        <v>NIL</v>
      </c>
      <c r="E5468">
        <f>TEST_DATA!E5468</f>
        <v>2108</v>
      </c>
    </row>
    <row r="5469" spans="1:5" x14ac:dyDescent="0.55000000000000004">
      <c r="A5469" t="str">
        <f>TEST_DATA!A5469</f>
        <v>27AAAAA5469Z5</v>
      </c>
      <c r="B5469" t="str">
        <f>TEST_DATA!B5469</f>
        <v>Mar-2020</v>
      </c>
      <c r="C5469">
        <f>TEST_DATA!C5469</f>
        <v>44363</v>
      </c>
      <c r="D5469" t="str">
        <f>TEST_DATA!D5469</f>
        <v>NON-NIL</v>
      </c>
      <c r="E5469">
        <f>TEST_DATA!E5469</f>
        <v>1525</v>
      </c>
    </row>
    <row r="5470" spans="1:5" x14ac:dyDescent="0.55000000000000004">
      <c r="A5470" t="str">
        <f>TEST_DATA!A5470</f>
        <v>27AAAAA5470Z5</v>
      </c>
      <c r="B5470" t="str">
        <f>TEST_DATA!B5470</f>
        <v>Apr-2020</v>
      </c>
      <c r="C5470">
        <f>TEST_DATA!C5470</f>
        <v>43945</v>
      </c>
      <c r="D5470" t="str">
        <f>TEST_DATA!D5470</f>
        <v>NON-NIL</v>
      </c>
      <c r="E5470">
        <f>TEST_DATA!E5470</f>
        <v>1988</v>
      </c>
    </row>
    <row r="5471" spans="1:5" x14ac:dyDescent="0.55000000000000004">
      <c r="A5471" t="str">
        <f>TEST_DATA!A5471</f>
        <v>27AAAAA5471Z5</v>
      </c>
      <c r="B5471" t="str">
        <f>TEST_DATA!B5471</f>
        <v>Jul-2017</v>
      </c>
      <c r="C5471">
        <f>TEST_DATA!C5471</f>
        <v>43017</v>
      </c>
      <c r="D5471" t="str">
        <f>TEST_DATA!D5471</f>
        <v>NIL</v>
      </c>
      <c r="E5471">
        <f>TEST_DATA!E5471</f>
        <v>2433</v>
      </c>
    </row>
    <row r="5472" spans="1:5" x14ac:dyDescent="0.55000000000000004">
      <c r="A5472" t="str">
        <f>TEST_DATA!A5472</f>
        <v>27AAAAA5472Z5</v>
      </c>
      <c r="B5472" t="str">
        <f>TEST_DATA!B5472</f>
        <v>May-2020</v>
      </c>
      <c r="C5472">
        <f>TEST_DATA!C5472</f>
        <v>44447</v>
      </c>
      <c r="D5472" t="str">
        <f>TEST_DATA!D5472</f>
        <v>NIL</v>
      </c>
      <c r="E5472">
        <f>TEST_DATA!E5472</f>
        <v>1223</v>
      </c>
    </row>
    <row r="5473" spans="1:5" x14ac:dyDescent="0.55000000000000004">
      <c r="A5473" t="str">
        <f>TEST_DATA!A5473</f>
        <v>27AAAAA5473Z5</v>
      </c>
      <c r="B5473" t="str">
        <f>TEST_DATA!B5473</f>
        <v>Jun-2019</v>
      </c>
      <c r="C5473">
        <f>TEST_DATA!C5473</f>
        <v>44490</v>
      </c>
      <c r="D5473" t="str">
        <f>TEST_DATA!D5473</f>
        <v>NIL</v>
      </c>
      <c r="E5473">
        <f>TEST_DATA!E5473</f>
        <v>192</v>
      </c>
    </row>
    <row r="5474" spans="1:5" x14ac:dyDescent="0.55000000000000004">
      <c r="A5474" t="str">
        <f>TEST_DATA!A5474</f>
        <v>27AAAAA5474Z5</v>
      </c>
      <c r="B5474" t="str">
        <f>TEST_DATA!B5474</f>
        <v>Apr-2018</v>
      </c>
      <c r="C5474">
        <f>TEST_DATA!C5474</f>
        <v>43687</v>
      </c>
      <c r="D5474" t="str">
        <f>TEST_DATA!D5474</f>
        <v>NON-NIL</v>
      </c>
      <c r="E5474">
        <f>TEST_DATA!E5474</f>
        <v>2795</v>
      </c>
    </row>
    <row r="5475" spans="1:5" x14ac:dyDescent="0.55000000000000004">
      <c r="A5475" t="str">
        <f>TEST_DATA!A5475</f>
        <v>27AAAAA5475Z5</v>
      </c>
      <c r="B5475" t="str">
        <f>TEST_DATA!B5475</f>
        <v>Mar-2023</v>
      </c>
      <c r="C5475">
        <f>TEST_DATA!C5475</f>
        <v>44588</v>
      </c>
      <c r="D5475" t="str">
        <f>TEST_DATA!D5475</f>
        <v>NON-NIL</v>
      </c>
      <c r="E5475">
        <f>TEST_DATA!E5475</f>
        <v>1766</v>
      </c>
    </row>
    <row r="5476" spans="1:5" x14ac:dyDescent="0.55000000000000004">
      <c r="A5476" t="str">
        <f>TEST_DATA!A5476</f>
        <v>27AAAAA5476Z5</v>
      </c>
      <c r="B5476" t="str">
        <f>TEST_DATA!B5476</f>
        <v>Jan-2019</v>
      </c>
      <c r="C5476">
        <f>TEST_DATA!C5476</f>
        <v>45147</v>
      </c>
      <c r="D5476" t="str">
        <f>TEST_DATA!D5476</f>
        <v>NIL</v>
      </c>
      <c r="E5476">
        <f>TEST_DATA!E5476</f>
        <v>1338</v>
      </c>
    </row>
    <row r="5477" spans="1:5" x14ac:dyDescent="0.55000000000000004">
      <c r="A5477" t="str">
        <f>TEST_DATA!A5477</f>
        <v>27AAAAA5477Z5</v>
      </c>
      <c r="B5477" t="str">
        <f>TEST_DATA!B5477</f>
        <v>Apr-2021</v>
      </c>
      <c r="C5477">
        <f>TEST_DATA!C5477</f>
        <v>45251</v>
      </c>
      <c r="D5477" t="str">
        <f>TEST_DATA!D5477</f>
        <v>NON-NIL</v>
      </c>
      <c r="E5477">
        <f>TEST_DATA!E5477</f>
        <v>662</v>
      </c>
    </row>
    <row r="5478" spans="1:5" x14ac:dyDescent="0.55000000000000004">
      <c r="A5478" t="str">
        <f>TEST_DATA!A5478</f>
        <v>27AAAAA5478Z5</v>
      </c>
      <c r="B5478" t="str">
        <f>TEST_DATA!B5478</f>
        <v>Jul-2017</v>
      </c>
      <c r="C5478">
        <f>TEST_DATA!C5478</f>
        <v>44535</v>
      </c>
      <c r="D5478" t="str">
        <f>TEST_DATA!D5478</f>
        <v>NON-NIL</v>
      </c>
      <c r="E5478">
        <f>TEST_DATA!E5478</f>
        <v>1289</v>
      </c>
    </row>
    <row r="5479" spans="1:5" x14ac:dyDescent="0.55000000000000004">
      <c r="A5479" t="str">
        <f>TEST_DATA!A5479</f>
        <v>27AAAAA5479Z5</v>
      </c>
      <c r="B5479" t="str">
        <f>TEST_DATA!B5479</f>
        <v>Aug-2018</v>
      </c>
      <c r="C5479">
        <f>TEST_DATA!C5479</f>
        <v>43662</v>
      </c>
      <c r="D5479" t="str">
        <f>TEST_DATA!D5479</f>
        <v>NON-NIL</v>
      </c>
      <c r="E5479">
        <f>TEST_DATA!E5479</f>
        <v>1814</v>
      </c>
    </row>
    <row r="5480" spans="1:5" x14ac:dyDescent="0.55000000000000004">
      <c r="A5480" t="str">
        <f>TEST_DATA!A5480</f>
        <v>27AAAAA5480Z5</v>
      </c>
      <c r="B5480" t="str">
        <f>TEST_DATA!B5480</f>
        <v>May-2018</v>
      </c>
      <c r="C5480">
        <f>TEST_DATA!C5480</f>
        <v>44017</v>
      </c>
      <c r="D5480" t="str">
        <f>TEST_DATA!D5480</f>
        <v>NIL</v>
      </c>
      <c r="E5480">
        <f>TEST_DATA!E5480</f>
        <v>2339</v>
      </c>
    </row>
    <row r="5481" spans="1:5" x14ac:dyDescent="0.55000000000000004">
      <c r="A5481" t="str">
        <f>TEST_DATA!A5481</f>
        <v>27AAAAA5481Z5</v>
      </c>
      <c r="B5481" t="str">
        <f>TEST_DATA!B5481</f>
        <v>Sep-2018</v>
      </c>
      <c r="C5481">
        <f>TEST_DATA!C5481</f>
        <v>44519</v>
      </c>
      <c r="D5481" t="str">
        <f>TEST_DATA!D5481</f>
        <v>NON-NIL</v>
      </c>
      <c r="E5481">
        <f>TEST_DATA!E5481</f>
        <v>1306</v>
      </c>
    </row>
    <row r="5482" spans="1:5" x14ac:dyDescent="0.55000000000000004">
      <c r="A5482" t="str">
        <f>TEST_DATA!A5482</f>
        <v>27AAAAA5482Z5</v>
      </c>
      <c r="B5482" t="str">
        <f>TEST_DATA!B5482</f>
        <v>Feb-2018</v>
      </c>
      <c r="C5482">
        <f>TEST_DATA!C5482</f>
        <v>43310</v>
      </c>
      <c r="D5482" t="str">
        <f>TEST_DATA!D5482</f>
        <v>NIL</v>
      </c>
      <c r="E5482">
        <f>TEST_DATA!E5482</f>
        <v>1741</v>
      </c>
    </row>
    <row r="5483" spans="1:5" x14ac:dyDescent="0.55000000000000004">
      <c r="A5483" t="str">
        <f>TEST_DATA!A5483</f>
        <v>27AAAAA5483Z5</v>
      </c>
      <c r="B5483" t="str">
        <f>TEST_DATA!B5483</f>
        <v>Nov-2017</v>
      </c>
      <c r="C5483">
        <f>TEST_DATA!C5483</f>
        <v>43413</v>
      </c>
      <c r="D5483" t="str">
        <f>TEST_DATA!D5483</f>
        <v>NON-NIL</v>
      </c>
      <c r="E5483">
        <f>TEST_DATA!E5483</f>
        <v>1057</v>
      </c>
    </row>
    <row r="5484" spans="1:5" x14ac:dyDescent="0.55000000000000004">
      <c r="A5484" t="str">
        <f>TEST_DATA!A5484</f>
        <v>27AAAAA5484Z5</v>
      </c>
      <c r="B5484" t="str">
        <f>TEST_DATA!B5484</f>
        <v>Apr-2021</v>
      </c>
      <c r="C5484">
        <f>TEST_DATA!C5484</f>
        <v>45122</v>
      </c>
      <c r="D5484" t="str">
        <f>TEST_DATA!D5484</f>
        <v>NON-NIL</v>
      </c>
      <c r="E5484">
        <f>TEST_DATA!E5484</f>
        <v>535</v>
      </c>
    </row>
    <row r="5485" spans="1:5" x14ac:dyDescent="0.55000000000000004">
      <c r="A5485" t="str">
        <f>TEST_DATA!A5485</f>
        <v>27AAAAA5485Z5</v>
      </c>
      <c r="B5485" t="str">
        <f>TEST_DATA!B5485</f>
        <v>Mar-2023</v>
      </c>
      <c r="C5485">
        <f>TEST_DATA!C5485</f>
        <v>44220</v>
      </c>
      <c r="D5485" t="str">
        <f>TEST_DATA!D5485</f>
        <v>NON-NIL</v>
      </c>
      <c r="E5485">
        <f>TEST_DATA!E5485</f>
        <v>1378</v>
      </c>
    </row>
    <row r="5486" spans="1:5" x14ac:dyDescent="0.55000000000000004">
      <c r="A5486" t="str">
        <f>TEST_DATA!A5486</f>
        <v>27AAAAA5486Z5</v>
      </c>
      <c r="B5486" t="str">
        <f>TEST_DATA!B5486</f>
        <v>Jul-2020</v>
      </c>
      <c r="C5486">
        <f>TEST_DATA!C5486</f>
        <v>44423</v>
      </c>
      <c r="D5486" t="str">
        <f>TEST_DATA!D5486</f>
        <v>NIL</v>
      </c>
      <c r="E5486">
        <f>TEST_DATA!E5486</f>
        <v>444</v>
      </c>
    </row>
    <row r="5487" spans="1:5" x14ac:dyDescent="0.55000000000000004">
      <c r="A5487" t="str">
        <f>TEST_DATA!A5487</f>
        <v>27AAAAA5487Z5</v>
      </c>
      <c r="B5487" t="str">
        <f>TEST_DATA!B5487</f>
        <v>Jul-2018</v>
      </c>
      <c r="C5487">
        <f>TEST_DATA!C5487</f>
        <v>44212</v>
      </c>
      <c r="D5487" t="str">
        <f>TEST_DATA!D5487</f>
        <v>NON-NIL</v>
      </c>
      <c r="E5487">
        <f>TEST_DATA!E5487</f>
        <v>2472</v>
      </c>
    </row>
    <row r="5488" spans="1:5" x14ac:dyDescent="0.55000000000000004">
      <c r="A5488" t="str">
        <f>TEST_DATA!A5488</f>
        <v>27AAAAA5488Z5</v>
      </c>
      <c r="B5488" t="str">
        <f>TEST_DATA!B5488</f>
        <v>Apr-2020</v>
      </c>
      <c r="C5488">
        <f>TEST_DATA!C5488</f>
        <v>44541</v>
      </c>
      <c r="D5488" t="str">
        <f>TEST_DATA!D5488</f>
        <v>NIL</v>
      </c>
      <c r="E5488">
        <f>TEST_DATA!E5488</f>
        <v>219</v>
      </c>
    </row>
    <row r="5489" spans="1:5" x14ac:dyDescent="0.55000000000000004">
      <c r="A5489" t="str">
        <f>TEST_DATA!A5489</f>
        <v>27AAAAA5489Z5</v>
      </c>
      <c r="B5489" t="str">
        <f>TEST_DATA!B5489</f>
        <v>Jul-2017</v>
      </c>
      <c r="C5489">
        <f>TEST_DATA!C5489</f>
        <v>44339</v>
      </c>
      <c r="D5489" t="str">
        <f>TEST_DATA!D5489</f>
        <v>NON-NIL</v>
      </c>
      <c r="E5489">
        <f>TEST_DATA!E5489</f>
        <v>656</v>
      </c>
    </row>
    <row r="5490" spans="1:5" x14ac:dyDescent="0.55000000000000004">
      <c r="A5490" t="str">
        <f>TEST_DATA!A5490</f>
        <v>27AAAAA5490Z5</v>
      </c>
      <c r="B5490" t="str">
        <f>TEST_DATA!B5490</f>
        <v>Mar-2023</v>
      </c>
      <c r="C5490">
        <f>TEST_DATA!C5490</f>
        <v>44230</v>
      </c>
      <c r="D5490" t="str">
        <f>TEST_DATA!D5490</f>
        <v>NIL</v>
      </c>
      <c r="E5490">
        <f>TEST_DATA!E5490</f>
        <v>716</v>
      </c>
    </row>
    <row r="5491" spans="1:5" x14ac:dyDescent="0.55000000000000004">
      <c r="A5491" t="str">
        <f>TEST_DATA!A5491</f>
        <v>27AAAAA5491Z5</v>
      </c>
      <c r="B5491" t="str">
        <f>TEST_DATA!B5491</f>
        <v>Nov-2017</v>
      </c>
      <c r="C5491">
        <f>TEST_DATA!C5491</f>
        <v>43519</v>
      </c>
      <c r="D5491" t="str">
        <f>TEST_DATA!D5491</f>
        <v>NIL</v>
      </c>
      <c r="E5491">
        <f>TEST_DATA!E5491</f>
        <v>1851</v>
      </c>
    </row>
    <row r="5492" spans="1:5" x14ac:dyDescent="0.55000000000000004">
      <c r="A5492" t="str">
        <f>TEST_DATA!A5492</f>
        <v>27AAAAA5492Z5</v>
      </c>
      <c r="B5492" t="str">
        <f>TEST_DATA!B5492</f>
        <v>Aug-2018</v>
      </c>
      <c r="C5492">
        <f>TEST_DATA!C5492</f>
        <v>43896</v>
      </c>
      <c r="D5492" t="str">
        <f>TEST_DATA!D5492</f>
        <v>NON-NIL</v>
      </c>
      <c r="E5492">
        <f>TEST_DATA!E5492</f>
        <v>1272</v>
      </c>
    </row>
    <row r="5493" spans="1:5" x14ac:dyDescent="0.55000000000000004">
      <c r="A5493" t="str">
        <f>TEST_DATA!A5493</f>
        <v>27AAAAA5493Z5</v>
      </c>
      <c r="B5493" t="str">
        <f>TEST_DATA!B5493</f>
        <v>Jul-2018</v>
      </c>
      <c r="C5493">
        <f>TEST_DATA!C5493</f>
        <v>43192</v>
      </c>
      <c r="D5493" t="str">
        <f>TEST_DATA!D5493</f>
        <v>NON-NIL</v>
      </c>
      <c r="E5493">
        <f>TEST_DATA!E5493</f>
        <v>2511</v>
      </c>
    </row>
    <row r="5494" spans="1:5" x14ac:dyDescent="0.55000000000000004">
      <c r="A5494" t="str">
        <f>TEST_DATA!A5494</f>
        <v>27AAAAA5494Z5</v>
      </c>
      <c r="B5494" t="str">
        <f>TEST_DATA!B5494</f>
        <v>Sep-2017</v>
      </c>
      <c r="C5494">
        <f>TEST_DATA!C5494</f>
        <v>43716</v>
      </c>
      <c r="D5494" t="str">
        <f>TEST_DATA!D5494</f>
        <v>NIL</v>
      </c>
      <c r="E5494">
        <f>TEST_DATA!E5494</f>
        <v>424</v>
      </c>
    </row>
    <row r="5495" spans="1:5" x14ac:dyDescent="0.55000000000000004">
      <c r="A5495" t="str">
        <f>TEST_DATA!A5495</f>
        <v>27AAAAA5495Z5</v>
      </c>
      <c r="B5495" t="str">
        <f>TEST_DATA!B5495</f>
        <v>Sep-2017</v>
      </c>
      <c r="C5495">
        <f>TEST_DATA!C5495</f>
        <v>43279</v>
      </c>
      <c r="D5495" t="str">
        <f>TEST_DATA!D5495</f>
        <v>NON-NIL</v>
      </c>
      <c r="E5495">
        <f>TEST_DATA!E5495</f>
        <v>2904</v>
      </c>
    </row>
    <row r="5496" spans="1:5" x14ac:dyDescent="0.55000000000000004">
      <c r="A5496" t="str">
        <f>TEST_DATA!A5496</f>
        <v>27AAAAA5496Z5</v>
      </c>
      <c r="B5496" t="str">
        <f>TEST_DATA!B5496</f>
        <v>Oct-2017</v>
      </c>
      <c r="C5496">
        <f>TEST_DATA!C5496</f>
        <v>43106</v>
      </c>
      <c r="D5496" t="str">
        <f>TEST_DATA!D5496</f>
        <v>NON-NIL</v>
      </c>
      <c r="E5496">
        <f>TEST_DATA!E5496</f>
        <v>2061</v>
      </c>
    </row>
    <row r="5497" spans="1:5" x14ac:dyDescent="0.55000000000000004">
      <c r="A5497" t="str">
        <f>TEST_DATA!A5497</f>
        <v>27AAAAA5497Z5</v>
      </c>
      <c r="B5497" t="str">
        <f>TEST_DATA!B5497</f>
        <v>Dec-2022</v>
      </c>
      <c r="C5497">
        <f>TEST_DATA!C5497</f>
        <v>44494</v>
      </c>
      <c r="D5497" t="str">
        <f>TEST_DATA!D5497</f>
        <v>NON-NIL</v>
      </c>
      <c r="E5497">
        <f>TEST_DATA!E5497</f>
        <v>245</v>
      </c>
    </row>
    <row r="5498" spans="1:5" x14ac:dyDescent="0.55000000000000004">
      <c r="A5498" t="str">
        <f>TEST_DATA!A5498</f>
        <v>27AAAAA5498Z5</v>
      </c>
      <c r="B5498" t="str">
        <f>TEST_DATA!B5498</f>
        <v>Jul-2017</v>
      </c>
      <c r="C5498">
        <f>TEST_DATA!C5498</f>
        <v>44474</v>
      </c>
      <c r="D5498" t="str">
        <f>TEST_DATA!D5498</f>
        <v>NIL</v>
      </c>
      <c r="E5498">
        <f>TEST_DATA!E5498</f>
        <v>443</v>
      </c>
    </row>
    <row r="5499" spans="1:5" x14ac:dyDescent="0.55000000000000004">
      <c r="A5499" t="str">
        <f>TEST_DATA!A5499</f>
        <v>27AAAAA5499Z5</v>
      </c>
      <c r="B5499" t="str">
        <f>TEST_DATA!B5499</f>
        <v>Jan-2019</v>
      </c>
      <c r="C5499">
        <f>TEST_DATA!C5499</f>
        <v>45580</v>
      </c>
      <c r="D5499" t="str">
        <f>TEST_DATA!D5499</f>
        <v>NON-NIL</v>
      </c>
      <c r="E5499">
        <f>TEST_DATA!E5499</f>
        <v>1970</v>
      </c>
    </row>
    <row r="5500" spans="1:5" x14ac:dyDescent="0.55000000000000004">
      <c r="A5500" t="str">
        <f>TEST_DATA!A5500</f>
        <v>27AAAAA5500Z5</v>
      </c>
      <c r="B5500" t="str">
        <f>TEST_DATA!B5500</f>
        <v>Jul-2020</v>
      </c>
      <c r="C5500">
        <f>TEST_DATA!C5500</f>
        <v>44843</v>
      </c>
      <c r="D5500" t="str">
        <f>TEST_DATA!D5500</f>
        <v>NIL</v>
      </c>
      <c r="E5500">
        <f>TEST_DATA!E5500</f>
        <v>802</v>
      </c>
    </row>
    <row r="5501" spans="1:5" x14ac:dyDescent="0.55000000000000004">
      <c r="A5501" t="str">
        <f>TEST_DATA!A5501</f>
        <v>27AAAAA5501Z5</v>
      </c>
      <c r="B5501" t="str">
        <f>TEST_DATA!B5501</f>
        <v>Mar-2023</v>
      </c>
      <c r="C5501">
        <f>TEST_DATA!C5501</f>
        <v>43790</v>
      </c>
      <c r="D5501" t="str">
        <f>TEST_DATA!D5501</f>
        <v>NIL</v>
      </c>
      <c r="E5501">
        <f>TEST_DATA!E5501</f>
        <v>2366</v>
      </c>
    </row>
    <row r="5502" spans="1:5" x14ac:dyDescent="0.55000000000000004">
      <c r="A5502" t="str">
        <f>TEST_DATA!A5502</f>
        <v>27AAAAA5502Z5</v>
      </c>
      <c r="B5502" t="str">
        <f>TEST_DATA!B5502</f>
        <v>Apr-2020</v>
      </c>
      <c r="C5502">
        <f>TEST_DATA!C5502</f>
        <v>44564</v>
      </c>
      <c r="D5502" t="str">
        <f>TEST_DATA!D5502</f>
        <v>NON-NIL</v>
      </c>
      <c r="E5502">
        <f>TEST_DATA!E5502</f>
        <v>55</v>
      </c>
    </row>
    <row r="5503" spans="1:5" x14ac:dyDescent="0.55000000000000004">
      <c r="A5503" t="str">
        <f>TEST_DATA!A5503</f>
        <v>27AAAAA5503Z5</v>
      </c>
      <c r="B5503" t="str">
        <f>TEST_DATA!B5503</f>
        <v>Apr-2021</v>
      </c>
      <c r="C5503">
        <f>TEST_DATA!C5503</f>
        <v>44585</v>
      </c>
      <c r="D5503" t="str">
        <f>TEST_DATA!D5503</f>
        <v>NON-NIL</v>
      </c>
      <c r="E5503">
        <f>TEST_DATA!E5503</f>
        <v>552</v>
      </c>
    </row>
    <row r="5504" spans="1:5" x14ac:dyDescent="0.55000000000000004">
      <c r="A5504" t="str">
        <f>TEST_DATA!A5504</f>
        <v>27AAAAA5504Z5</v>
      </c>
      <c r="B5504" t="str">
        <f>TEST_DATA!B5504</f>
        <v>Jul-2020</v>
      </c>
      <c r="C5504">
        <f>TEST_DATA!C5504</f>
        <v>44667</v>
      </c>
      <c r="D5504" t="str">
        <f>TEST_DATA!D5504</f>
        <v>NON-NIL</v>
      </c>
      <c r="E5504">
        <f>TEST_DATA!E5504</f>
        <v>672</v>
      </c>
    </row>
    <row r="5505" spans="1:5" x14ac:dyDescent="0.55000000000000004">
      <c r="A5505" t="str">
        <f>TEST_DATA!A5505</f>
        <v>27AAAAA5505Z5</v>
      </c>
      <c r="B5505" t="str">
        <f>TEST_DATA!B5505</f>
        <v>May-2020</v>
      </c>
      <c r="C5505">
        <f>TEST_DATA!C5505</f>
        <v>44701</v>
      </c>
      <c r="D5505" t="str">
        <f>TEST_DATA!D5505</f>
        <v>NIL</v>
      </c>
      <c r="E5505">
        <f>TEST_DATA!E5505</f>
        <v>603</v>
      </c>
    </row>
    <row r="5506" spans="1:5" x14ac:dyDescent="0.55000000000000004">
      <c r="A5506" t="str">
        <f>TEST_DATA!A5506</f>
        <v>27AAAAA5506Z5</v>
      </c>
      <c r="B5506" t="str">
        <f>TEST_DATA!B5506</f>
        <v>Jan-2021</v>
      </c>
      <c r="C5506">
        <f>TEST_DATA!C5506</f>
        <v>43920</v>
      </c>
      <c r="D5506" t="str">
        <f>TEST_DATA!D5506</f>
        <v>NIL</v>
      </c>
      <c r="E5506">
        <f>TEST_DATA!E5506</f>
        <v>219</v>
      </c>
    </row>
    <row r="5507" spans="1:5" x14ac:dyDescent="0.55000000000000004">
      <c r="A5507" t="str">
        <f>TEST_DATA!A5507</f>
        <v>27AAAAA5507Z5</v>
      </c>
      <c r="B5507" t="str">
        <f>TEST_DATA!B5507</f>
        <v>Jan-2018</v>
      </c>
      <c r="C5507">
        <f>TEST_DATA!C5507</f>
        <v>43999</v>
      </c>
      <c r="D5507" t="str">
        <f>TEST_DATA!D5507</f>
        <v>NON-NIL</v>
      </c>
      <c r="E5507">
        <f>TEST_DATA!E5507</f>
        <v>937</v>
      </c>
    </row>
    <row r="5508" spans="1:5" x14ac:dyDescent="0.55000000000000004">
      <c r="A5508" t="str">
        <f>TEST_DATA!A5508</f>
        <v>27AAAAA5508Z5</v>
      </c>
      <c r="B5508" t="str">
        <f>TEST_DATA!B5508</f>
        <v>Jan-2021</v>
      </c>
      <c r="C5508">
        <f>TEST_DATA!C5508</f>
        <v>45426</v>
      </c>
      <c r="D5508" t="str">
        <f>TEST_DATA!D5508</f>
        <v>NON-NIL</v>
      </c>
      <c r="E5508">
        <f>TEST_DATA!E5508</f>
        <v>933</v>
      </c>
    </row>
    <row r="5509" spans="1:5" x14ac:dyDescent="0.55000000000000004">
      <c r="A5509" t="str">
        <f>TEST_DATA!A5509</f>
        <v>27AAAAA5509Z5</v>
      </c>
      <c r="B5509" t="str">
        <f>TEST_DATA!B5509</f>
        <v>Aug-2018</v>
      </c>
      <c r="C5509">
        <f>TEST_DATA!C5509</f>
        <v>43625</v>
      </c>
      <c r="D5509" t="str">
        <f>TEST_DATA!D5509</f>
        <v>NON-NIL</v>
      </c>
      <c r="E5509">
        <f>TEST_DATA!E5509</f>
        <v>2180</v>
      </c>
    </row>
    <row r="5510" spans="1:5" x14ac:dyDescent="0.55000000000000004">
      <c r="A5510" t="str">
        <f>TEST_DATA!A5510</f>
        <v>27AAAAA5510Z5</v>
      </c>
      <c r="B5510" t="str">
        <f>TEST_DATA!B5510</f>
        <v>Aug-2017</v>
      </c>
      <c r="C5510">
        <f>TEST_DATA!C5510</f>
        <v>43861</v>
      </c>
      <c r="D5510" t="str">
        <f>TEST_DATA!D5510</f>
        <v>NON-NIL</v>
      </c>
      <c r="E5510">
        <f>TEST_DATA!E5510</f>
        <v>2603</v>
      </c>
    </row>
    <row r="5511" spans="1:5" x14ac:dyDescent="0.55000000000000004">
      <c r="A5511" t="str">
        <f>TEST_DATA!A5511</f>
        <v>27AAAAA5511Z5</v>
      </c>
      <c r="B5511" t="str">
        <f>TEST_DATA!B5511</f>
        <v>Dec-2017</v>
      </c>
      <c r="C5511">
        <f>TEST_DATA!C5511</f>
        <v>43671</v>
      </c>
      <c r="D5511" t="str">
        <f>TEST_DATA!D5511</f>
        <v>NON-NIL</v>
      </c>
      <c r="E5511">
        <f>TEST_DATA!E5511</f>
        <v>2105</v>
      </c>
    </row>
    <row r="5512" spans="1:5" x14ac:dyDescent="0.55000000000000004">
      <c r="A5512" t="str">
        <f>TEST_DATA!A5512</f>
        <v>27AAAAA5512Z5</v>
      </c>
      <c r="B5512" t="str">
        <f>TEST_DATA!B5512</f>
        <v>Dec-2017</v>
      </c>
      <c r="C5512">
        <f>TEST_DATA!C5512</f>
        <v>43551</v>
      </c>
      <c r="D5512" t="str">
        <f>TEST_DATA!D5512</f>
        <v>NIL</v>
      </c>
      <c r="E5512">
        <f>TEST_DATA!E5512</f>
        <v>505</v>
      </c>
    </row>
    <row r="5513" spans="1:5" x14ac:dyDescent="0.55000000000000004">
      <c r="A5513" t="str">
        <f>TEST_DATA!A5513</f>
        <v>27AAAAA5513Z5</v>
      </c>
      <c r="B5513" t="str">
        <f>TEST_DATA!B5513</f>
        <v>Jun-2020</v>
      </c>
      <c r="C5513">
        <f>TEST_DATA!C5513</f>
        <v>44307</v>
      </c>
      <c r="D5513" t="str">
        <f>TEST_DATA!D5513</f>
        <v>NON-NIL</v>
      </c>
      <c r="E5513">
        <f>TEST_DATA!E5513</f>
        <v>1037</v>
      </c>
    </row>
    <row r="5514" spans="1:5" x14ac:dyDescent="0.55000000000000004">
      <c r="A5514" t="str">
        <f>TEST_DATA!A5514</f>
        <v>27AAAAA5514Z5</v>
      </c>
      <c r="B5514" t="str">
        <f>TEST_DATA!B5514</f>
        <v>Jun-2018</v>
      </c>
      <c r="C5514">
        <f>TEST_DATA!C5514</f>
        <v>44549</v>
      </c>
      <c r="D5514" t="str">
        <f>TEST_DATA!D5514</f>
        <v>NON-NIL</v>
      </c>
      <c r="E5514">
        <f>TEST_DATA!E5514</f>
        <v>193</v>
      </c>
    </row>
    <row r="5515" spans="1:5" x14ac:dyDescent="0.55000000000000004">
      <c r="A5515" t="str">
        <f>TEST_DATA!A5515</f>
        <v>27AAAAA5515Z5</v>
      </c>
      <c r="B5515" t="str">
        <f>TEST_DATA!B5515</f>
        <v>Aug-2017</v>
      </c>
      <c r="C5515">
        <f>TEST_DATA!C5515</f>
        <v>44301</v>
      </c>
      <c r="D5515" t="str">
        <f>TEST_DATA!D5515</f>
        <v>NON-NIL</v>
      </c>
      <c r="E5515">
        <f>TEST_DATA!E5515</f>
        <v>1042</v>
      </c>
    </row>
    <row r="5516" spans="1:5" x14ac:dyDescent="0.55000000000000004">
      <c r="A5516" t="str">
        <f>TEST_DATA!A5516</f>
        <v>27AAAAA5516Z5</v>
      </c>
      <c r="B5516" t="str">
        <f>TEST_DATA!B5516</f>
        <v>Apr-2018</v>
      </c>
      <c r="C5516">
        <f>TEST_DATA!C5516</f>
        <v>44253</v>
      </c>
      <c r="D5516" t="str">
        <f>TEST_DATA!D5516</f>
        <v>NON-NIL</v>
      </c>
      <c r="E5516">
        <f>TEST_DATA!E5516</f>
        <v>1168</v>
      </c>
    </row>
    <row r="5517" spans="1:5" x14ac:dyDescent="0.55000000000000004">
      <c r="A5517" t="str">
        <f>TEST_DATA!A5517</f>
        <v>27AAAAA5517Z5</v>
      </c>
      <c r="B5517" t="str">
        <f>TEST_DATA!B5517</f>
        <v>May-2020</v>
      </c>
      <c r="C5517">
        <f>TEST_DATA!C5517</f>
        <v>44787</v>
      </c>
      <c r="D5517" t="str">
        <f>TEST_DATA!D5517</f>
        <v>NON-NIL</v>
      </c>
      <c r="E5517">
        <f>TEST_DATA!E5517</f>
        <v>596</v>
      </c>
    </row>
    <row r="5518" spans="1:5" x14ac:dyDescent="0.55000000000000004">
      <c r="A5518" t="str">
        <f>TEST_DATA!A5518</f>
        <v>27AAAAA5518Z5</v>
      </c>
      <c r="B5518" t="str">
        <f>TEST_DATA!B5518</f>
        <v>Mar-2023</v>
      </c>
      <c r="C5518">
        <f>TEST_DATA!C5518</f>
        <v>44272</v>
      </c>
      <c r="D5518" t="str">
        <f>TEST_DATA!D5518</f>
        <v>NIL</v>
      </c>
      <c r="E5518">
        <f>TEST_DATA!E5518</f>
        <v>456</v>
      </c>
    </row>
    <row r="5519" spans="1:5" x14ac:dyDescent="0.55000000000000004">
      <c r="A5519" t="str">
        <f>TEST_DATA!A5519</f>
        <v>27AAAAA5519Z5</v>
      </c>
      <c r="B5519" t="str">
        <f>TEST_DATA!B5519</f>
        <v>Nov-2017</v>
      </c>
      <c r="C5519">
        <f>TEST_DATA!C5519</f>
        <v>43313</v>
      </c>
      <c r="D5519" t="str">
        <f>TEST_DATA!D5519</f>
        <v>NIL</v>
      </c>
      <c r="E5519">
        <f>TEST_DATA!E5519</f>
        <v>2920</v>
      </c>
    </row>
    <row r="5520" spans="1:5" x14ac:dyDescent="0.55000000000000004">
      <c r="A5520" t="str">
        <f>TEST_DATA!A5520</f>
        <v>27AAAAA5520Z5</v>
      </c>
      <c r="B5520" t="str">
        <f>TEST_DATA!B5520</f>
        <v>Sep-2018</v>
      </c>
      <c r="C5520">
        <f>TEST_DATA!C5520</f>
        <v>43501</v>
      </c>
      <c r="D5520" t="str">
        <f>TEST_DATA!D5520</f>
        <v>NON-NIL</v>
      </c>
      <c r="E5520">
        <f>TEST_DATA!E5520</f>
        <v>2794</v>
      </c>
    </row>
    <row r="5521" spans="1:5" x14ac:dyDescent="0.55000000000000004">
      <c r="A5521" t="str">
        <f>TEST_DATA!A5521</f>
        <v>27AAAAA5521Z5</v>
      </c>
      <c r="B5521" t="str">
        <f>TEST_DATA!B5521</f>
        <v>Apr-2020</v>
      </c>
      <c r="C5521">
        <f>TEST_DATA!C5521</f>
        <v>44004</v>
      </c>
      <c r="D5521" t="str">
        <f>TEST_DATA!D5521</f>
        <v>NON-NIL</v>
      </c>
      <c r="E5521">
        <f>TEST_DATA!E5521</f>
        <v>1795</v>
      </c>
    </row>
    <row r="5522" spans="1:5" x14ac:dyDescent="0.55000000000000004">
      <c r="A5522" t="str">
        <f>TEST_DATA!A5522</f>
        <v>27AAAAA5522Z5</v>
      </c>
      <c r="B5522" t="str">
        <f>TEST_DATA!B5522</f>
        <v>Dec-2024</v>
      </c>
      <c r="C5522">
        <f>TEST_DATA!C5522</f>
        <v>45096</v>
      </c>
      <c r="D5522" t="str">
        <f>TEST_DATA!D5522</f>
        <v>NIL</v>
      </c>
      <c r="E5522">
        <f>TEST_DATA!E5522</f>
        <v>994</v>
      </c>
    </row>
    <row r="5523" spans="1:5" x14ac:dyDescent="0.55000000000000004">
      <c r="A5523" t="str">
        <f>TEST_DATA!A5523</f>
        <v>27AAAAA5523Z5</v>
      </c>
      <c r="B5523" t="str">
        <f>TEST_DATA!B5523</f>
        <v>Jun-2020</v>
      </c>
      <c r="C5523">
        <f>TEST_DATA!C5523</f>
        <v>44432</v>
      </c>
      <c r="D5523" t="str">
        <f>TEST_DATA!D5523</f>
        <v>NIL</v>
      </c>
      <c r="E5523">
        <f>TEST_DATA!E5523</f>
        <v>2004</v>
      </c>
    </row>
    <row r="5524" spans="1:5" x14ac:dyDescent="0.55000000000000004">
      <c r="A5524" t="str">
        <f>TEST_DATA!A5524</f>
        <v>27AAAAA5524Z5</v>
      </c>
      <c r="B5524" t="str">
        <f>TEST_DATA!B5524</f>
        <v>Dec-2017</v>
      </c>
      <c r="C5524">
        <f>TEST_DATA!C5524</f>
        <v>42979</v>
      </c>
      <c r="D5524" t="str">
        <f>TEST_DATA!D5524</f>
        <v>NIL</v>
      </c>
      <c r="E5524">
        <f>TEST_DATA!E5524</f>
        <v>2273</v>
      </c>
    </row>
    <row r="5525" spans="1:5" x14ac:dyDescent="0.55000000000000004">
      <c r="A5525" t="str">
        <f>TEST_DATA!A5525</f>
        <v>27AAAAA5525Z5</v>
      </c>
      <c r="B5525" t="str">
        <f>TEST_DATA!B5525</f>
        <v>Dec-2019</v>
      </c>
      <c r="C5525">
        <f>TEST_DATA!C5525</f>
        <v>45020</v>
      </c>
      <c r="D5525" t="str">
        <f>TEST_DATA!D5525</f>
        <v>NIL</v>
      </c>
      <c r="E5525">
        <f>TEST_DATA!E5525</f>
        <v>298</v>
      </c>
    </row>
    <row r="5526" spans="1:5" x14ac:dyDescent="0.55000000000000004">
      <c r="A5526" t="str">
        <f>TEST_DATA!A5526</f>
        <v>27AAAAA5526Z5</v>
      </c>
      <c r="B5526" t="str">
        <f>TEST_DATA!B5526</f>
        <v>Dec-2024</v>
      </c>
      <c r="C5526">
        <f>TEST_DATA!C5526</f>
        <v>45410</v>
      </c>
      <c r="D5526" t="str">
        <f>TEST_DATA!D5526</f>
        <v>NON-NIL</v>
      </c>
      <c r="E5526">
        <f>TEST_DATA!E5526</f>
        <v>2925</v>
      </c>
    </row>
    <row r="5527" spans="1:5" x14ac:dyDescent="0.55000000000000004">
      <c r="A5527" t="str">
        <f>TEST_DATA!A5527</f>
        <v>27AAAAA5527Z5</v>
      </c>
      <c r="B5527" t="str">
        <f>TEST_DATA!B5527</f>
        <v>Jul-2017</v>
      </c>
      <c r="C5527">
        <f>TEST_DATA!C5527</f>
        <v>44258</v>
      </c>
      <c r="D5527" t="str">
        <f>TEST_DATA!D5527</f>
        <v>NIL</v>
      </c>
      <c r="E5527">
        <f>TEST_DATA!E5527</f>
        <v>275</v>
      </c>
    </row>
    <row r="5528" spans="1:5" x14ac:dyDescent="0.55000000000000004">
      <c r="A5528" t="str">
        <f>TEST_DATA!A5528</f>
        <v>27AAAAA5528Z5</v>
      </c>
      <c r="B5528" t="str">
        <f>TEST_DATA!B5528</f>
        <v>Apr-2020</v>
      </c>
      <c r="C5528">
        <f>TEST_DATA!C5528</f>
        <v>44623</v>
      </c>
      <c r="D5528" t="str">
        <f>TEST_DATA!D5528</f>
        <v>NIL</v>
      </c>
      <c r="E5528">
        <f>TEST_DATA!E5528</f>
        <v>170</v>
      </c>
    </row>
    <row r="5529" spans="1:5" x14ac:dyDescent="0.55000000000000004">
      <c r="A5529" t="str">
        <f>TEST_DATA!A5529</f>
        <v>27AAAAA5529Z5</v>
      </c>
      <c r="B5529" t="str">
        <f>TEST_DATA!B5529</f>
        <v>Mar-2018</v>
      </c>
      <c r="C5529">
        <f>TEST_DATA!C5529</f>
        <v>43590</v>
      </c>
      <c r="D5529" t="str">
        <f>TEST_DATA!D5529</f>
        <v>NIL</v>
      </c>
      <c r="E5529">
        <f>TEST_DATA!E5529</f>
        <v>135</v>
      </c>
    </row>
    <row r="5530" spans="1:5" x14ac:dyDescent="0.55000000000000004">
      <c r="A5530" t="str">
        <f>TEST_DATA!A5530</f>
        <v>27AAAAA5530Z5</v>
      </c>
      <c r="B5530" t="str">
        <f>TEST_DATA!B5530</f>
        <v>Jul-2018</v>
      </c>
      <c r="C5530">
        <f>TEST_DATA!C5530</f>
        <v>44163</v>
      </c>
      <c r="D5530" t="str">
        <f>TEST_DATA!D5530</f>
        <v>NIL</v>
      </c>
      <c r="E5530">
        <f>TEST_DATA!E5530</f>
        <v>1331</v>
      </c>
    </row>
    <row r="5531" spans="1:5" x14ac:dyDescent="0.55000000000000004">
      <c r="A5531" t="str">
        <f>TEST_DATA!A5531</f>
        <v>27AAAAA5531Z5</v>
      </c>
      <c r="B5531" t="str">
        <f>TEST_DATA!B5531</f>
        <v>Jan-2021</v>
      </c>
      <c r="C5531">
        <f>TEST_DATA!C5531</f>
        <v>45699</v>
      </c>
      <c r="D5531" t="str">
        <f>TEST_DATA!D5531</f>
        <v>NIL</v>
      </c>
      <c r="E5531">
        <f>TEST_DATA!E5531</f>
        <v>1092</v>
      </c>
    </row>
    <row r="5532" spans="1:5" x14ac:dyDescent="0.55000000000000004">
      <c r="A5532" t="str">
        <f>TEST_DATA!A5532</f>
        <v>27AAAAA5532Z5</v>
      </c>
      <c r="B5532" t="str">
        <f>TEST_DATA!B5532</f>
        <v>Apr-2020</v>
      </c>
      <c r="C5532">
        <f>TEST_DATA!C5532</f>
        <v>44300</v>
      </c>
      <c r="D5532" t="str">
        <f>TEST_DATA!D5532</f>
        <v>NON-NIL</v>
      </c>
      <c r="E5532">
        <f>TEST_DATA!E5532</f>
        <v>940</v>
      </c>
    </row>
    <row r="5533" spans="1:5" x14ac:dyDescent="0.55000000000000004">
      <c r="A5533" t="str">
        <f>TEST_DATA!A5533</f>
        <v>27AAAAA5533Z5</v>
      </c>
      <c r="B5533" t="str">
        <f>TEST_DATA!B5533</f>
        <v>Dec-2024</v>
      </c>
      <c r="C5533">
        <f>TEST_DATA!C5533</f>
        <v>44717</v>
      </c>
      <c r="D5533" t="str">
        <f>TEST_DATA!D5533</f>
        <v>NIL</v>
      </c>
      <c r="E5533">
        <f>TEST_DATA!E5533</f>
        <v>146</v>
      </c>
    </row>
    <row r="5534" spans="1:5" x14ac:dyDescent="0.55000000000000004">
      <c r="A5534" t="str">
        <f>TEST_DATA!A5534</f>
        <v>27AAAAA5534Z5</v>
      </c>
      <c r="B5534" t="str">
        <f>TEST_DATA!B5534</f>
        <v>Mar-2023</v>
      </c>
      <c r="C5534">
        <f>TEST_DATA!C5534</f>
        <v>43891</v>
      </c>
      <c r="D5534" t="str">
        <f>TEST_DATA!D5534</f>
        <v>NIL</v>
      </c>
      <c r="E5534">
        <f>TEST_DATA!E5534</f>
        <v>2929</v>
      </c>
    </row>
    <row r="5535" spans="1:5" x14ac:dyDescent="0.55000000000000004">
      <c r="A5535" t="str">
        <f>TEST_DATA!A5535</f>
        <v>27AAAAA5535Z5</v>
      </c>
      <c r="B5535" t="str">
        <f>TEST_DATA!B5535</f>
        <v>Mar-2023</v>
      </c>
      <c r="C5535">
        <f>TEST_DATA!C5535</f>
        <v>45089</v>
      </c>
      <c r="D5535" t="str">
        <f>TEST_DATA!D5535</f>
        <v>NON-NIL</v>
      </c>
      <c r="E5535">
        <f>TEST_DATA!E5535</f>
        <v>1942</v>
      </c>
    </row>
    <row r="5536" spans="1:5" x14ac:dyDescent="0.55000000000000004">
      <c r="A5536" t="str">
        <f>TEST_DATA!A5536</f>
        <v>27AAAAA5536Z5</v>
      </c>
      <c r="B5536" t="str">
        <f>TEST_DATA!B5536</f>
        <v>Jun-2019</v>
      </c>
      <c r="C5536">
        <f>TEST_DATA!C5536</f>
        <v>44639</v>
      </c>
      <c r="D5536" t="str">
        <f>TEST_DATA!D5536</f>
        <v>NIL</v>
      </c>
      <c r="E5536">
        <f>TEST_DATA!E5536</f>
        <v>1740</v>
      </c>
    </row>
    <row r="5537" spans="1:5" x14ac:dyDescent="0.55000000000000004">
      <c r="A5537" t="str">
        <f>TEST_DATA!A5537</f>
        <v>27AAAAA5537Z5</v>
      </c>
      <c r="B5537" t="str">
        <f>TEST_DATA!B5537</f>
        <v>Jun-2018</v>
      </c>
      <c r="C5537">
        <f>TEST_DATA!C5537</f>
        <v>43269</v>
      </c>
      <c r="D5537" t="str">
        <f>TEST_DATA!D5537</f>
        <v>NON-NIL</v>
      </c>
      <c r="E5537">
        <f>TEST_DATA!E5537</f>
        <v>1040</v>
      </c>
    </row>
    <row r="5538" spans="1:5" x14ac:dyDescent="0.55000000000000004">
      <c r="A5538" t="str">
        <f>TEST_DATA!A5538</f>
        <v>27AAAAA5538Z5</v>
      </c>
      <c r="B5538" t="str">
        <f>TEST_DATA!B5538</f>
        <v>Mar-2018</v>
      </c>
      <c r="C5538">
        <f>TEST_DATA!C5538</f>
        <v>44289</v>
      </c>
      <c r="D5538" t="str">
        <f>TEST_DATA!D5538</f>
        <v>NON-NIL</v>
      </c>
      <c r="E5538">
        <f>TEST_DATA!E5538</f>
        <v>1071</v>
      </c>
    </row>
    <row r="5539" spans="1:5" x14ac:dyDescent="0.55000000000000004">
      <c r="A5539" t="str">
        <f>TEST_DATA!A5539</f>
        <v>27AAAAA5539Z5</v>
      </c>
      <c r="B5539" t="str">
        <f>TEST_DATA!B5539</f>
        <v>Mar-2018</v>
      </c>
      <c r="C5539">
        <f>TEST_DATA!C5539</f>
        <v>43792</v>
      </c>
      <c r="D5539" t="str">
        <f>TEST_DATA!D5539</f>
        <v>NIL</v>
      </c>
      <c r="E5539">
        <f>TEST_DATA!E5539</f>
        <v>2177</v>
      </c>
    </row>
    <row r="5540" spans="1:5" x14ac:dyDescent="0.55000000000000004">
      <c r="A5540" t="str">
        <f>TEST_DATA!A5540</f>
        <v>27AAAAA5540Z5</v>
      </c>
      <c r="B5540" t="str">
        <f>TEST_DATA!B5540</f>
        <v>Jan-2018</v>
      </c>
      <c r="C5540">
        <f>TEST_DATA!C5540</f>
        <v>44012</v>
      </c>
      <c r="D5540" t="str">
        <f>TEST_DATA!D5540</f>
        <v>NON-NIL</v>
      </c>
      <c r="E5540">
        <f>TEST_DATA!E5540</f>
        <v>2819</v>
      </c>
    </row>
    <row r="5541" spans="1:5" x14ac:dyDescent="0.55000000000000004">
      <c r="A5541" t="str">
        <f>TEST_DATA!A5541</f>
        <v>27AAAAA5541Z5</v>
      </c>
      <c r="B5541" t="str">
        <f>TEST_DATA!B5541</f>
        <v>Sep-2017</v>
      </c>
      <c r="C5541">
        <f>TEST_DATA!C5541</f>
        <v>43890</v>
      </c>
      <c r="D5541" t="str">
        <f>TEST_DATA!D5541</f>
        <v>NIL</v>
      </c>
      <c r="E5541">
        <f>TEST_DATA!E5541</f>
        <v>1844</v>
      </c>
    </row>
    <row r="5542" spans="1:5" x14ac:dyDescent="0.55000000000000004">
      <c r="A5542" t="str">
        <f>TEST_DATA!A5542</f>
        <v>27AAAAA5542Z5</v>
      </c>
      <c r="B5542" t="str">
        <f>TEST_DATA!B5542</f>
        <v>Jul-2020</v>
      </c>
      <c r="C5542">
        <f>TEST_DATA!C5542</f>
        <v>44050</v>
      </c>
      <c r="D5542" t="str">
        <f>TEST_DATA!D5542</f>
        <v>NIL</v>
      </c>
      <c r="E5542">
        <f>TEST_DATA!E5542</f>
        <v>2628</v>
      </c>
    </row>
    <row r="5543" spans="1:5" x14ac:dyDescent="0.55000000000000004">
      <c r="A5543" t="str">
        <f>TEST_DATA!A5543</f>
        <v>27AAAAA5543Z5</v>
      </c>
      <c r="B5543" t="str">
        <f>TEST_DATA!B5543</f>
        <v>Jun-2020</v>
      </c>
      <c r="C5543">
        <f>TEST_DATA!C5543</f>
        <v>44487</v>
      </c>
      <c r="D5543" t="str">
        <f>TEST_DATA!D5543</f>
        <v>NIL</v>
      </c>
      <c r="E5543">
        <f>TEST_DATA!E5543</f>
        <v>2636</v>
      </c>
    </row>
    <row r="5544" spans="1:5" x14ac:dyDescent="0.55000000000000004">
      <c r="A5544" t="str">
        <f>TEST_DATA!A5544</f>
        <v>27AAAAA5544Z5</v>
      </c>
      <c r="B5544" t="str">
        <f>TEST_DATA!B5544</f>
        <v>Apr-2020</v>
      </c>
      <c r="C5544">
        <f>TEST_DATA!C5544</f>
        <v>44083</v>
      </c>
      <c r="D5544" t="str">
        <f>TEST_DATA!D5544</f>
        <v>NIL</v>
      </c>
      <c r="E5544">
        <f>TEST_DATA!E5544</f>
        <v>2198</v>
      </c>
    </row>
    <row r="5545" spans="1:5" x14ac:dyDescent="0.55000000000000004">
      <c r="A5545" t="str">
        <f>TEST_DATA!A5545</f>
        <v>27AAAAA5545Z5</v>
      </c>
      <c r="B5545" t="str">
        <f>TEST_DATA!B5545</f>
        <v>Sep-2018</v>
      </c>
      <c r="C5545">
        <f>TEST_DATA!C5545</f>
        <v>43945</v>
      </c>
      <c r="D5545" t="str">
        <f>TEST_DATA!D5545</f>
        <v>NON-NIL</v>
      </c>
      <c r="E5545">
        <f>TEST_DATA!E5545</f>
        <v>2207</v>
      </c>
    </row>
    <row r="5546" spans="1:5" x14ac:dyDescent="0.55000000000000004">
      <c r="A5546" t="str">
        <f>TEST_DATA!A5546</f>
        <v>27AAAAA5546Z5</v>
      </c>
      <c r="B5546" t="str">
        <f>TEST_DATA!B5546</f>
        <v>Jan-2021</v>
      </c>
      <c r="C5546">
        <f>TEST_DATA!C5546</f>
        <v>45047</v>
      </c>
      <c r="D5546" t="str">
        <f>TEST_DATA!D5546</f>
        <v>NON-NIL</v>
      </c>
      <c r="E5546">
        <f>TEST_DATA!E5546</f>
        <v>2401</v>
      </c>
    </row>
    <row r="5547" spans="1:5" x14ac:dyDescent="0.55000000000000004">
      <c r="A5547" t="str">
        <f>TEST_DATA!A5547</f>
        <v>27AAAAA5547Z5</v>
      </c>
      <c r="B5547" t="str">
        <f>TEST_DATA!B5547</f>
        <v>Jun-2019</v>
      </c>
      <c r="C5547">
        <f>TEST_DATA!C5547</f>
        <v>45573</v>
      </c>
      <c r="D5547" t="str">
        <f>TEST_DATA!D5547</f>
        <v>NIL</v>
      </c>
      <c r="E5547">
        <f>TEST_DATA!E5547</f>
        <v>2828</v>
      </c>
    </row>
    <row r="5548" spans="1:5" x14ac:dyDescent="0.55000000000000004">
      <c r="A5548" t="str">
        <f>TEST_DATA!A5548</f>
        <v>27AAAAA5548Z5</v>
      </c>
      <c r="B5548" t="str">
        <f>TEST_DATA!B5548</f>
        <v>Apr-2020</v>
      </c>
      <c r="C5548">
        <f>TEST_DATA!C5548</f>
        <v>43955</v>
      </c>
      <c r="D5548" t="str">
        <f>TEST_DATA!D5548</f>
        <v>NON-NIL</v>
      </c>
      <c r="E5548">
        <f>TEST_DATA!E5548</f>
        <v>1288</v>
      </c>
    </row>
    <row r="5549" spans="1:5" x14ac:dyDescent="0.55000000000000004">
      <c r="A5549" t="str">
        <f>TEST_DATA!A5549</f>
        <v>27AAAAA5549Z5</v>
      </c>
      <c r="B5549" t="str">
        <f>TEST_DATA!B5549</f>
        <v>Jan-2019</v>
      </c>
      <c r="C5549">
        <f>TEST_DATA!C5549</f>
        <v>45836</v>
      </c>
      <c r="D5549" t="str">
        <f>TEST_DATA!D5549</f>
        <v>NIL</v>
      </c>
      <c r="E5549">
        <f>TEST_DATA!E5549</f>
        <v>1963</v>
      </c>
    </row>
    <row r="5550" spans="1:5" x14ac:dyDescent="0.55000000000000004">
      <c r="A5550" t="str">
        <f>TEST_DATA!A5550</f>
        <v>27AAAAA5550Z5</v>
      </c>
      <c r="B5550" t="str">
        <f>TEST_DATA!B5550</f>
        <v>Oct-2017</v>
      </c>
      <c r="C5550">
        <f>TEST_DATA!C5550</f>
        <v>43478</v>
      </c>
      <c r="D5550" t="str">
        <f>TEST_DATA!D5550</f>
        <v>NON-NIL</v>
      </c>
      <c r="E5550">
        <f>TEST_DATA!E5550</f>
        <v>2789</v>
      </c>
    </row>
    <row r="5551" spans="1:5" x14ac:dyDescent="0.55000000000000004">
      <c r="A5551" t="str">
        <f>TEST_DATA!A5551</f>
        <v>27AAAAA5551Z5</v>
      </c>
      <c r="B5551" t="str">
        <f>TEST_DATA!B5551</f>
        <v>Nov-2017</v>
      </c>
      <c r="C5551">
        <f>TEST_DATA!C5551</f>
        <v>43436</v>
      </c>
      <c r="D5551" t="str">
        <f>TEST_DATA!D5551</f>
        <v>NON-NIL</v>
      </c>
      <c r="E5551">
        <f>TEST_DATA!E5551</f>
        <v>952</v>
      </c>
    </row>
    <row r="5552" spans="1:5" x14ac:dyDescent="0.55000000000000004">
      <c r="A5552" t="str">
        <f>TEST_DATA!A5552</f>
        <v>27AAAAA5552Z5</v>
      </c>
      <c r="B5552" t="str">
        <f>TEST_DATA!B5552</f>
        <v>Aug-2017</v>
      </c>
      <c r="C5552">
        <f>TEST_DATA!C5552</f>
        <v>43100</v>
      </c>
      <c r="D5552" t="str">
        <f>TEST_DATA!D5552</f>
        <v>NON-NIL</v>
      </c>
      <c r="E5552">
        <f>TEST_DATA!E5552</f>
        <v>2910</v>
      </c>
    </row>
    <row r="5553" spans="1:5" x14ac:dyDescent="0.55000000000000004">
      <c r="A5553" t="str">
        <f>TEST_DATA!A5553</f>
        <v>27AAAAA5553Z5</v>
      </c>
      <c r="B5553" t="str">
        <f>TEST_DATA!B5553</f>
        <v>Mar-2018</v>
      </c>
      <c r="C5553">
        <f>TEST_DATA!C5553</f>
        <v>43275</v>
      </c>
      <c r="D5553" t="str">
        <f>TEST_DATA!D5553</f>
        <v>NON-NIL</v>
      </c>
      <c r="E5553">
        <f>TEST_DATA!E5553</f>
        <v>541</v>
      </c>
    </row>
    <row r="5554" spans="1:5" x14ac:dyDescent="0.55000000000000004">
      <c r="A5554" t="str">
        <f>TEST_DATA!A5554</f>
        <v>27AAAAA5554Z5</v>
      </c>
      <c r="B5554" t="str">
        <f>TEST_DATA!B5554</f>
        <v>Dec-2024</v>
      </c>
      <c r="C5554">
        <f>TEST_DATA!C5554</f>
        <v>44300</v>
      </c>
      <c r="D5554" t="str">
        <f>TEST_DATA!D5554</f>
        <v>NIL</v>
      </c>
      <c r="E5554">
        <f>TEST_DATA!E5554</f>
        <v>2426</v>
      </c>
    </row>
    <row r="5555" spans="1:5" x14ac:dyDescent="0.55000000000000004">
      <c r="A5555" t="str">
        <f>TEST_DATA!A5555</f>
        <v>27AAAAA5555Z5</v>
      </c>
      <c r="B5555" t="str">
        <f>TEST_DATA!B5555</f>
        <v>Sep-2018</v>
      </c>
      <c r="C5555">
        <f>TEST_DATA!C5555</f>
        <v>43250</v>
      </c>
      <c r="D5555" t="str">
        <f>TEST_DATA!D5555</f>
        <v>NIL</v>
      </c>
      <c r="E5555">
        <f>TEST_DATA!E5555</f>
        <v>975</v>
      </c>
    </row>
    <row r="5556" spans="1:5" x14ac:dyDescent="0.55000000000000004">
      <c r="A5556" t="str">
        <f>TEST_DATA!A5556</f>
        <v>27AAAAA5556Z5</v>
      </c>
      <c r="B5556" t="str">
        <f>TEST_DATA!B5556</f>
        <v>Mar-2020</v>
      </c>
      <c r="C5556">
        <f>TEST_DATA!C5556</f>
        <v>44042</v>
      </c>
      <c r="D5556" t="str">
        <f>TEST_DATA!D5556</f>
        <v>NIL</v>
      </c>
      <c r="E5556">
        <f>TEST_DATA!E5556</f>
        <v>461</v>
      </c>
    </row>
    <row r="5557" spans="1:5" x14ac:dyDescent="0.55000000000000004">
      <c r="A5557" t="str">
        <f>TEST_DATA!A5557</f>
        <v>27AAAAA5557Z5</v>
      </c>
      <c r="B5557" t="str">
        <f>TEST_DATA!B5557</f>
        <v>May-2020</v>
      </c>
      <c r="C5557">
        <f>TEST_DATA!C5557</f>
        <v>44854</v>
      </c>
      <c r="D5557" t="str">
        <f>TEST_DATA!D5557</f>
        <v>NIL</v>
      </c>
      <c r="E5557">
        <f>TEST_DATA!E5557</f>
        <v>1605</v>
      </c>
    </row>
    <row r="5558" spans="1:5" x14ac:dyDescent="0.55000000000000004">
      <c r="A5558" t="str">
        <f>TEST_DATA!A5558</f>
        <v>27AAAAA5558Z5</v>
      </c>
      <c r="B5558" t="str">
        <f>TEST_DATA!B5558</f>
        <v>Dec-2022</v>
      </c>
      <c r="C5558">
        <f>TEST_DATA!C5558</f>
        <v>44109</v>
      </c>
      <c r="D5558" t="str">
        <f>TEST_DATA!D5558</f>
        <v>NIL</v>
      </c>
      <c r="E5558">
        <f>TEST_DATA!E5558</f>
        <v>706</v>
      </c>
    </row>
    <row r="5559" spans="1:5" x14ac:dyDescent="0.55000000000000004">
      <c r="A5559" t="str">
        <f>TEST_DATA!A5559</f>
        <v>27AAAAA5559Z5</v>
      </c>
      <c r="B5559" t="str">
        <f>TEST_DATA!B5559</f>
        <v>Jun-2019</v>
      </c>
      <c r="C5559">
        <f>TEST_DATA!C5559</f>
        <v>45574</v>
      </c>
      <c r="D5559" t="str">
        <f>TEST_DATA!D5559</f>
        <v>NIL</v>
      </c>
      <c r="E5559">
        <f>TEST_DATA!E5559</f>
        <v>2915</v>
      </c>
    </row>
    <row r="5560" spans="1:5" x14ac:dyDescent="0.55000000000000004">
      <c r="A5560" t="str">
        <f>TEST_DATA!A5560</f>
        <v>27AAAAA5560Z5</v>
      </c>
      <c r="B5560" t="str">
        <f>TEST_DATA!B5560</f>
        <v>Mar-2020</v>
      </c>
      <c r="C5560">
        <f>TEST_DATA!C5560</f>
        <v>44265</v>
      </c>
      <c r="D5560" t="str">
        <f>TEST_DATA!D5560</f>
        <v>NIL</v>
      </c>
      <c r="E5560">
        <f>TEST_DATA!E5560</f>
        <v>596</v>
      </c>
    </row>
    <row r="5561" spans="1:5" x14ac:dyDescent="0.55000000000000004">
      <c r="A5561" t="str">
        <f>TEST_DATA!A5561</f>
        <v>27AAAAA5561Z5</v>
      </c>
      <c r="B5561" t="str">
        <f>TEST_DATA!B5561</f>
        <v>Oct-2017</v>
      </c>
      <c r="C5561">
        <f>TEST_DATA!C5561</f>
        <v>43008</v>
      </c>
      <c r="D5561" t="str">
        <f>TEST_DATA!D5561</f>
        <v>NIL</v>
      </c>
      <c r="E5561">
        <f>TEST_DATA!E5561</f>
        <v>61</v>
      </c>
    </row>
    <row r="5562" spans="1:5" x14ac:dyDescent="0.55000000000000004">
      <c r="A5562" t="str">
        <f>TEST_DATA!A5562</f>
        <v>27AAAAA5562Z5</v>
      </c>
      <c r="B5562" t="str">
        <f>TEST_DATA!B5562</f>
        <v>Dec-2017</v>
      </c>
      <c r="C5562">
        <f>TEST_DATA!C5562</f>
        <v>43388</v>
      </c>
      <c r="D5562" t="str">
        <f>TEST_DATA!D5562</f>
        <v>NIL</v>
      </c>
      <c r="E5562">
        <f>TEST_DATA!E5562</f>
        <v>8</v>
      </c>
    </row>
    <row r="5563" spans="1:5" x14ac:dyDescent="0.55000000000000004">
      <c r="A5563" t="str">
        <f>TEST_DATA!A5563</f>
        <v>27AAAAA5563Z5</v>
      </c>
      <c r="B5563" t="str">
        <f>TEST_DATA!B5563</f>
        <v>Jul-2017</v>
      </c>
      <c r="C5563">
        <f>TEST_DATA!C5563</f>
        <v>43046</v>
      </c>
      <c r="D5563" t="str">
        <f>TEST_DATA!D5563</f>
        <v>NON-NIL</v>
      </c>
      <c r="E5563">
        <f>TEST_DATA!E5563</f>
        <v>1889</v>
      </c>
    </row>
    <row r="5564" spans="1:5" x14ac:dyDescent="0.55000000000000004">
      <c r="A5564" t="str">
        <f>TEST_DATA!A5564</f>
        <v>27AAAAA5564Z5</v>
      </c>
      <c r="B5564" t="str">
        <f>TEST_DATA!B5564</f>
        <v>Aug-2018</v>
      </c>
      <c r="C5564">
        <f>TEST_DATA!C5564</f>
        <v>43694</v>
      </c>
      <c r="D5564" t="str">
        <f>TEST_DATA!D5564</f>
        <v>NIL</v>
      </c>
      <c r="E5564">
        <f>TEST_DATA!E5564</f>
        <v>185</v>
      </c>
    </row>
    <row r="5565" spans="1:5" x14ac:dyDescent="0.55000000000000004">
      <c r="A5565" t="str">
        <f>TEST_DATA!A5565</f>
        <v>27AAAAA5565Z5</v>
      </c>
      <c r="B5565" t="str">
        <f>TEST_DATA!B5565</f>
        <v>Jul-2017</v>
      </c>
      <c r="C5565">
        <f>TEST_DATA!C5565</f>
        <v>43957</v>
      </c>
      <c r="D5565" t="str">
        <f>TEST_DATA!D5565</f>
        <v>NON-NIL</v>
      </c>
      <c r="E5565">
        <f>TEST_DATA!E5565</f>
        <v>2928</v>
      </c>
    </row>
    <row r="5566" spans="1:5" x14ac:dyDescent="0.55000000000000004">
      <c r="A5566" t="str">
        <f>TEST_DATA!A5566</f>
        <v>27AAAAA5566Z5</v>
      </c>
      <c r="B5566" t="str">
        <f>TEST_DATA!B5566</f>
        <v>Jul-2018</v>
      </c>
      <c r="C5566">
        <f>TEST_DATA!C5566</f>
        <v>43166</v>
      </c>
      <c r="D5566" t="str">
        <f>TEST_DATA!D5566</f>
        <v>NIL</v>
      </c>
      <c r="E5566">
        <f>TEST_DATA!E5566</f>
        <v>2243</v>
      </c>
    </row>
    <row r="5567" spans="1:5" x14ac:dyDescent="0.55000000000000004">
      <c r="A5567" t="str">
        <f>TEST_DATA!A5567</f>
        <v>27AAAAA5567Z5</v>
      </c>
      <c r="B5567" t="str">
        <f>TEST_DATA!B5567</f>
        <v>Sep-2017</v>
      </c>
      <c r="C5567">
        <f>TEST_DATA!C5567</f>
        <v>43522</v>
      </c>
      <c r="D5567" t="str">
        <f>TEST_DATA!D5567</f>
        <v>NIL</v>
      </c>
      <c r="E5567">
        <f>TEST_DATA!E5567</f>
        <v>1526</v>
      </c>
    </row>
    <row r="5568" spans="1:5" x14ac:dyDescent="0.55000000000000004">
      <c r="A5568" t="str">
        <f>TEST_DATA!A5568</f>
        <v>27AAAAA5568Z5</v>
      </c>
      <c r="B5568" t="str">
        <f>TEST_DATA!B5568</f>
        <v>Jul-2018</v>
      </c>
      <c r="C5568">
        <f>TEST_DATA!C5568</f>
        <v>44548</v>
      </c>
      <c r="D5568" t="str">
        <f>TEST_DATA!D5568</f>
        <v>NIL</v>
      </c>
      <c r="E5568">
        <f>TEST_DATA!E5568</f>
        <v>1182</v>
      </c>
    </row>
    <row r="5569" spans="1:5" x14ac:dyDescent="0.55000000000000004">
      <c r="A5569" t="str">
        <f>TEST_DATA!A5569</f>
        <v>27AAAAA5569Z5</v>
      </c>
      <c r="B5569" t="str">
        <f>TEST_DATA!B5569</f>
        <v>Aug-2017</v>
      </c>
      <c r="C5569">
        <f>TEST_DATA!C5569</f>
        <v>44400</v>
      </c>
      <c r="D5569" t="str">
        <f>TEST_DATA!D5569</f>
        <v>NIL</v>
      </c>
      <c r="E5569">
        <f>TEST_DATA!E5569</f>
        <v>2265</v>
      </c>
    </row>
    <row r="5570" spans="1:5" x14ac:dyDescent="0.55000000000000004">
      <c r="A5570" t="str">
        <f>TEST_DATA!A5570</f>
        <v>27AAAAA5570Z5</v>
      </c>
      <c r="B5570" t="str">
        <f>TEST_DATA!B5570</f>
        <v>Apr-2018</v>
      </c>
      <c r="C5570">
        <f>TEST_DATA!C5570</f>
        <v>43570</v>
      </c>
      <c r="D5570" t="str">
        <f>TEST_DATA!D5570</f>
        <v>NIL</v>
      </c>
      <c r="E5570">
        <f>TEST_DATA!E5570</f>
        <v>2626</v>
      </c>
    </row>
    <row r="5571" spans="1:5" x14ac:dyDescent="0.55000000000000004">
      <c r="A5571" t="str">
        <f>TEST_DATA!A5571</f>
        <v>27AAAAA5571Z5</v>
      </c>
      <c r="B5571" t="str">
        <f>TEST_DATA!B5571</f>
        <v>Sep-2017</v>
      </c>
      <c r="C5571">
        <f>TEST_DATA!C5571</f>
        <v>44124</v>
      </c>
      <c r="D5571" t="str">
        <f>TEST_DATA!D5571</f>
        <v>NIL</v>
      </c>
      <c r="E5571">
        <f>TEST_DATA!E5571</f>
        <v>1976</v>
      </c>
    </row>
    <row r="5572" spans="1:5" x14ac:dyDescent="0.55000000000000004">
      <c r="A5572" t="str">
        <f>TEST_DATA!A5572</f>
        <v>27AAAAA5572Z5</v>
      </c>
      <c r="B5572" t="str">
        <f>TEST_DATA!B5572</f>
        <v>Mar-2018</v>
      </c>
      <c r="C5572">
        <f>TEST_DATA!C5572</f>
        <v>43779</v>
      </c>
      <c r="D5572" t="str">
        <f>TEST_DATA!D5572</f>
        <v>NIL</v>
      </c>
      <c r="E5572">
        <f>TEST_DATA!E5572</f>
        <v>798</v>
      </c>
    </row>
    <row r="5573" spans="1:5" x14ac:dyDescent="0.55000000000000004">
      <c r="A5573" t="str">
        <f>TEST_DATA!A5573</f>
        <v>27AAAAA5573Z5</v>
      </c>
      <c r="B5573" t="str">
        <f>TEST_DATA!B5573</f>
        <v>May-2018</v>
      </c>
      <c r="C5573">
        <f>TEST_DATA!C5573</f>
        <v>43550</v>
      </c>
      <c r="D5573" t="str">
        <f>TEST_DATA!D5573</f>
        <v>NON-NIL</v>
      </c>
      <c r="E5573">
        <f>TEST_DATA!E5573</f>
        <v>2411</v>
      </c>
    </row>
    <row r="5574" spans="1:5" x14ac:dyDescent="0.55000000000000004">
      <c r="A5574" t="str">
        <f>TEST_DATA!A5574</f>
        <v>27AAAAA5574Z5</v>
      </c>
      <c r="B5574" t="str">
        <f>TEST_DATA!B5574</f>
        <v>May-2018</v>
      </c>
      <c r="C5574">
        <f>TEST_DATA!C5574</f>
        <v>44302</v>
      </c>
      <c r="D5574" t="str">
        <f>TEST_DATA!D5574</f>
        <v>NIL</v>
      </c>
      <c r="E5574">
        <f>TEST_DATA!E5574</f>
        <v>142</v>
      </c>
    </row>
    <row r="5575" spans="1:5" x14ac:dyDescent="0.55000000000000004">
      <c r="A5575" t="str">
        <f>TEST_DATA!A5575</f>
        <v>27AAAAA5575Z5</v>
      </c>
      <c r="B5575" t="str">
        <f>TEST_DATA!B5575</f>
        <v>Jul-2017</v>
      </c>
      <c r="C5575">
        <f>TEST_DATA!C5575</f>
        <v>43323</v>
      </c>
      <c r="D5575" t="str">
        <f>TEST_DATA!D5575</f>
        <v>NIL</v>
      </c>
      <c r="E5575">
        <f>TEST_DATA!E5575</f>
        <v>1872</v>
      </c>
    </row>
    <row r="5576" spans="1:5" x14ac:dyDescent="0.55000000000000004">
      <c r="A5576" t="str">
        <f>TEST_DATA!A5576</f>
        <v>27AAAAA5576Z5</v>
      </c>
      <c r="B5576" t="str">
        <f>TEST_DATA!B5576</f>
        <v>Dec-2022</v>
      </c>
      <c r="C5576">
        <f>TEST_DATA!C5576</f>
        <v>45121</v>
      </c>
      <c r="D5576" t="str">
        <f>TEST_DATA!D5576</f>
        <v>NIL</v>
      </c>
      <c r="E5576">
        <f>TEST_DATA!E5576</f>
        <v>14</v>
      </c>
    </row>
    <row r="5577" spans="1:5" x14ac:dyDescent="0.55000000000000004">
      <c r="A5577" t="str">
        <f>TEST_DATA!A5577</f>
        <v>27AAAAA5577Z5</v>
      </c>
      <c r="B5577" t="str">
        <f>TEST_DATA!B5577</f>
        <v>Jun-2018</v>
      </c>
      <c r="C5577">
        <f>TEST_DATA!C5577</f>
        <v>43488</v>
      </c>
      <c r="D5577" t="str">
        <f>TEST_DATA!D5577</f>
        <v>NON-NIL</v>
      </c>
      <c r="E5577">
        <f>TEST_DATA!E5577</f>
        <v>2409</v>
      </c>
    </row>
    <row r="5578" spans="1:5" x14ac:dyDescent="0.55000000000000004">
      <c r="A5578" t="str">
        <f>TEST_DATA!A5578</f>
        <v>27AAAAA5578Z5</v>
      </c>
      <c r="B5578" t="str">
        <f>TEST_DATA!B5578</f>
        <v>Jul-2018</v>
      </c>
      <c r="C5578">
        <f>TEST_DATA!C5578</f>
        <v>43813</v>
      </c>
      <c r="D5578" t="str">
        <f>TEST_DATA!D5578</f>
        <v>NIL</v>
      </c>
      <c r="E5578">
        <f>TEST_DATA!E5578</f>
        <v>1357</v>
      </c>
    </row>
    <row r="5579" spans="1:5" x14ac:dyDescent="0.55000000000000004">
      <c r="A5579" t="str">
        <f>TEST_DATA!A5579</f>
        <v>27AAAAA5579Z5</v>
      </c>
      <c r="B5579" t="str">
        <f>TEST_DATA!B5579</f>
        <v>Jul-2017</v>
      </c>
      <c r="C5579">
        <f>TEST_DATA!C5579</f>
        <v>44328</v>
      </c>
      <c r="D5579" t="str">
        <f>TEST_DATA!D5579</f>
        <v>NIL</v>
      </c>
      <c r="E5579">
        <f>TEST_DATA!E5579</f>
        <v>1785</v>
      </c>
    </row>
    <row r="5580" spans="1:5" x14ac:dyDescent="0.55000000000000004">
      <c r="A5580" t="str">
        <f>TEST_DATA!A5580</f>
        <v>27AAAAA5580Z5</v>
      </c>
      <c r="B5580" t="str">
        <f>TEST_DATA!B5580</f>
        <v>Aug-2018</v>
      </c>
      <c r="C5580">
        <f>TEST_DATA!C5580</f>
        <v>44285</v>
      </c>
      <c r="D5580" t="str">
        <f>TEST_DATA!D5580</f>
        <v>NON-NIL</v>
      </c>
      <c r="E5580">
        <f>TEST_DATA!E5580</f>
        <v>1728</v>
      </c>
    </row>
    <row r="5581" spans="1:5" x14ac:dyDescent="0.55000000000000004">
      <c r="A5581" t="str">
        <f>TEST_DATA!A5581</f>
        <v>27AAAAA5581Z5</v>
      </c>
      <c r="B5581" t="str">
        <f>TEST_DATA!B5581</f>
        <v>Mar-2018</v>
      </c>
      <c r="C5581">
        <f>TEST_DATA!C5581</f>
        <v>43105</v>
      </c>
      <c r="D5581" t="str">
        <f>TEST_DATA!D5581</f>
        <v>NIL</v>
      </c>
      <c r="E5581">
        <f>TEST_DATA!E5581</f>
        <v>53</v>
      </c>
    </row>
    <row r="5582" spans="1:5" x14ac:dyDescent="0.55000000000000004">
      <c r="A5582" t="str">
        <f>TEST_DATA!A5582</f>
        <v>27AAAAA5582Z5</v>
      </c>
      <c r="B5582" t="str">
        <f>TEST_DATA!B5582</f>
        <v>Dec-2024</v>
      </c>
      <c r="C5582">
        <f>TEST_DATA!C5582</f>
        <v>45075</v>
      </c>
      <c r="D5582" t="str">
        <f>TEST_DATA!D5582</f>
        <v>NON-NIL</v>
      </c>
      <c r="E5582">
        <f>TEST_DATA!E5582</f>
        <v>1225</v>
      </c>
    </row>
    <row r="5583" spans="1:5" x14ac:dyDescent="0.55000000000000004">
      <c r="A5583" t="str">
        <f>TEST_DATA!A5583</f>
        <v>27AAAAA5583Z5</v>
      </c>
      <c r="B5583" t="str">
        <f>TEST_DATA!B5583</f>
        <v>Mar-2023</v>
      </c>
      <c r="C5583">
        <f>TEST_DATA!C5583</f>
        <v>43820</v>
      </c>
      <c r="D5583" t="str">
        <f>TEST_DATA!D5583</f>
        <v>NIL</v>
      </c>
      <c r="E5583">
        <f>TEST_DATA!E5583</f>
        <v>2883</v>
      </c>
    </row>
    <row r="5584" spans="1:5" x14ac:dyDescent="0.55000000000000004">
      <c r="A5584" t="str">
        <f>TEST_DATA!A5584</f>
        <v>27AAAAA5584Z5</v>
      </c>
      <c r="B5584" t="str">
        <f>TEST_DATA!B5584</f>
        <v>Dec-2022</v>
      </c>
      <c r="C5584">
        <f>TEST_DATA!C5584</f>
        <v>44386</v>
      </c>
      <c r="D5584" t="str">
        <f>TEST_DATA!D5584</f>
        <v>NON-NIL</v>
      </c>
      <c r="E5584">
        <f>TEST_DATA!E5584</f>
        <v>6</v>
      </c>
    </row>
    <row r="5585" spans="1:5" x14ac:dyDescent="0.55000000000000004">
      <c r="A5585" t="str">
        <f>TEST_DATA!A5585</f>
        <v>27AAAAA5585Z5</v>
      </c>
      <c r="B5585" t="str">
        <f>TEST_DATA!B5585</f>
        <v>Apr-2021</v>
      </c>
      <c r="C5585">
        <f>TEST_DATA!C5585</f>
        <v>45296</v>
      </c>
      <c r="D5585" t="str">
        <f>TEST_DATA!D5585</f>
        <v>NON-NIL</v>
      </c>
      <c r="E5585">
        <f>TEST_DATA!E5585</f>
        <v>411</v>
      </c>
    </row>
    <row r="5586" spans="1:5" x14ac:dyDescent="0.55000000000000004">
      <c r="A5586" t="str">
        <f>TEST_DATA!A5586</f>
        <v>27AAAAA5586Z5</v>
      </c>
      <c r="B5586" t="str">
        <f>TEST_DATA!B5586</f>
        <v>Jul-2018</v>
      </c>
      <c r="C5586">
        <f>TEST_DATA!C5586</f>
        <v>44174</v>
      </c>
      <c r="D5586" t="str">
        <f>TEST_DATA!D5586</f>
        <v>NON-NIL</v>
      </c>
      <c r="E5586">
        <f>TEST_DATA!E5586</f>
        <v>2533</v>
      </c>
    </row>
    <row r="5587" spans="1:5" x14ac:dyDescent="0.55000000000000004">
      <c r="A5587" t="str">
        <f>TEST_DATA!A5587</f>
        <v>27AAAAA5587Z5</v>
      </c>
      <c r="B5587" t="str">
        <f>TEST_DATA!B5587</f>
        <v>Jan-2019</v>
      </c>
      <c r="C5587">
        <f>TEST_DATA!C5587</f>
        <v>43637</v>
      </c>
      <c r="D5587" t="str">
        <f>TEST_DATA!D5587</f>
        <v>NIL</v>
      </c>
      <c r="E5587">
        <f>TEST_DATA!E5587</f>
        <v>1504</v>
      </c>
    </row>
    <row r="5588" spans="1:5" x14ac:dyDescent="0.55000000000000004">
      <c r="A5588" t="str">
        <f>TEST_DATA!A5588</f>
        <v>27AAAAA5588Z5</v>
      </c>
      <c r="B5588" t="str">
        <f>TEST_DATA!B5588</f>
        <v>Mar-2021</v>
      </c>
      <c r="C5588">
        <f>TEST_DATA!C5588</f>
        <v>45766</v>
      </c>
      <c r="D5588" t="str">
        <f>TEST_DATA!D5588</f>
        <v>NIL</v>
      </c>
      <c r="E5588">
        <f>TEST_DATA!E5588</f>
        <v>1760</v>
      </c>
    </row>
    <row r="5589" spans="1:5" x14ac:dyDescent="0.55000000000000004">
      <c r="A5589" t="str">
        <f>TEST_DATA!A5589</f>
        <v>27AAAAA5589Z5</v>
      </c>
      <c r="B5589" t="str">
        <f>TEST_DATA!B5589</f>
        <v>Aug-2018</v>
      </c>
      <c r="C5589">
        <f>TEST_DATA!C5589</f>
        <v>44039</v>
      </c>
      <c r="D5589" t="str">
        <f>TEST_DATA!D5589</f>
        <v>NIL</v>
      </c>
      <c r="E5589">
        <f>TEST_DATA!E5589</f>
        <v>1205</v>
      </c>
    </row>
    <row r="5590" spans="1:5" x14ac:dyDescent="0.55000000000000004">
      <c r="A5590" t="str">
        <f>TEST_DATA!A5590</f>
        <v>27AAAAA5590Z5</v>
      </c>
      <c r="B5590" t="str">
        <f>TEST_DATA!B5590</f>
        <v>Dec-2019</v>
      </c>
      <c r="C5590">
        <f>TEST_DATA!C5590</f>
        <v>44042</v>
      </c>
      <c r="D5590" t="str">
        <f>TEST_DATA!D5590</f>
        <v>NON-NIL</v>
      </c>
      <c r="E5590">
        <f>TEST_DATA!E5590</f>
        <v>2188</v>
      </c>
    </row>
    <row r="5591" spans="1:5" x14ac:dyDescent="0.55000000000000004">
      <c r="A5591" t="str">
        <f>TEST_DATA!A5591</f>
        <v>27AAAAA5591Z5</v>
      </c>
      <c r="B5591" t="str">
        <f>TEST_DATA!B5591</f>
        <v>Jan-2021</v>
      </c>
      <c r="C5591">
        <f>TEST_DATA!C5591</f>
        <v>45790</v>
      </c>
      <c r="D5591" t="str">
        <f>TEST_DATA!D5591</f>
        <v>NON-NIL</v>
      </c>
      <c r="E5591">
        <f>TEST_DATA!E5591</f>
        <v>652</v>
      </c>
    </row>
    <row r="5592" spans="1:5" x14ac:dyDescent="0.55000000000000004">
      <c r="A5592" t="str">
        <f>TEST_DATA!A5592</f>
        <v>27AAAAA5592Z5</v>
      </c>
      <c r="B5592" t="str">
        <f>TEST_DATA!B5592</f>
        <v>Jul-2018</v>
      </c>
      <c r="C5592">
        <f>TEST_DATA!C5592</f>
        <v>44159</v>
      </c>
      <c r="D5592" t="str">
        <f>TEST_DATA!D5592</f>
        <v>NON-NIL</v>
      </c>
      <c r="E5592">
        <f>TEST_DATA!E5592</f>
        <v>63</v>
      </c>
    </row>
    <row r="5593" spans="1:5" x14ac:dyDescent="0.55000000000000004">
      <c r="A5593" t="str">
        <f>TEST_DATA!A5593</f>
        <v>27AAAAA5593Z5</v>
      </c>
      <c r="B5593" t="str">
        <f>TEST_DATA!B5593</f>
        <v>Jun-2019</v>
      </c>
      <c r="C5593">
        <f>TEST_DATA!C5593</f>
        <v>44424</v>
      </c>
      <c r="D5593" t="str">
        <f>TEST_DATA!D5593</f>
        <v>NON-NIL</v>
      </c>
      <c r="E5593">
        <f>TEST_DATA!E5593</f>
        <v>2285</v>
      </c>
    </row>
    <row r="5594" spans="1:5" x14ac:dyDescent="0.55000000000000004">
      <c r="A5594" t="str">
        <f>TEST_DATA!A5594</f>
        <v>27AAAAA5594Z5</v>
      </c>
      <c r="B5594" t="str">
        <f>TEST_DATA!B5594</f>
        <v>Dec-2019</v>
      </c>
      <c r="C5594">
        <f>TEST_DATA!C5594</f>
        <v>45596</v>
      </c>
      <c r="D5594" t="str">
        <f>TEST_DATA!D5594</f>
        <v>NIL</v>
      </c>
      <c r="E5594">
        <f>TEST_DATA!E5594</f>
        <v>1935</v>
      </c>
    </row>
    <row r="5595" spans="1:5" x14ac:dyDescent="0.55000000000000004">
      <c r="A5595" t="str">
        <f>TEST_DATA!A5595</f>
        <v>27AAAAA5595Z5</v>
      </c>
      <c r="B5595" t="str">
        <f>TEST_DATA!B5595</f>
        <v>Jun-2019</v>
      </c>
      <c r="C5595">
        <f>TEST_DATA!C5595</f>
        <v>45453</v>
      </c>
      <c r="D5595" t="str">
        <f>TEST_DATA!D5595</f>
        <v>NIL</v>
      </c>
      <c r="E5595">
        <f>TEST_DATA!E5595</f>
        <v>1491</v>
      </c>
    </row>
    <row r="5596" spans="1:5" x14ac:dyDescent="0.55000000000000004">
      <c r="A5596" t="str">
        <f>TEST_DATA!A5596</f>
        <v>27AAAAA5596Z5</v>
      </c>
      <c r="B5596" t="str">
        <f>TEST_DATA!B5596</f>
        <v>Jul-2017</v>
      </c>
      <c r="C5596">
        <f>TEST_DATA!C5596</f>
        <v>43676</v>
      </c>
      <c r="D5596" t="str">
        <f>TEST_DATA!D5596</f>
        <v>NON-NIL</v>
      </c>
      <c r="E5596">
        <f>TEST_DATA!E5596</f>
        <v>739</v>
      </c>
    </row>
    <row r="5597" spans="1:5" x14ac:dyDescent="0.55000000000000004">
      <c r="A5597" t="str">
        <f>TEST_DATA!A5597</f>
        <v>27AAAAA5597Z5</v>
      </c>
      <c r="B5597" t="str">
        <f>TEST_DATA!B5597</f>
        <v>Jun-2018</v>
      </c>
      <c r="C5597">
        <f>TEST_DATA!C5597</f>
        <v>43845</v>
      </c>
      <c r="D5597" t="str">
        <f>TEST_DATA!D5597</f>
        <v>NIL</v>
      </c>
      <c r="E5597">
        <f>TEST_DATA!E5597</f>
        <v>2332</v>
      </c>
    </row>
    <row r="5598" spans="1:5" x14ac:dyDescent="0.55000000000000004">
      <c r="A5598" t="str">
        <f>TEST_DATA!A5598</f>
        <v>27AAAAA5598Z5</v>
      </c>
      <c r="B5598" t="str">
        <f>TEST_DATA!B5598</f>
        <v>Sep-2018</v>
      </c>
      <c r="C5598">
        <f>TEST_DATA!C5598</f>
        <v>43689</v>
      </c>
      <c r="D5598" t="str">
        <f>TEST_DATA!D5598</f>
        <v>NIL</v>
      </c>
      <c r="E5598">
        <f>TEST_DATA!E5598</f>
        <v>2839</v>
      </c>
    </row>
    <row r="5599" spans="1:5" x14ac:dyDescent="0.55000000000000004">
      <c r="A5599" t="str">
        <f>TEST_DATA!A5599</f>
        <v>27AAAAA5599Z5</v>
      </c>
      <c r="B5599" t="str">
        <f>TEST_DATA!B5599</f>
        <v>Apr-2020</v>
      </c>
      <c r="C5599">
        <f>TEST_DATA!C5599</f>
        <v>44315</v>
      </c>
      <c r="D5599" t="str">
        <f>TEST_DATA!D5599</f>
        <v>NIL</v>
      </c>
      <c r="E5599">
        <f>TEST_DATA!E5599</f>
        <v>91</v>
      </c>
    </row>
    <row r="5600" spans="1:5" x14ac:dyDescent="0.55000000000000004">
      <c r="A5600" t="str">
        <f>TEST_DATA!A5600</f>
        <v>27AAAAA5600Z5</v>
      </c>
      <c r="B5600" t="str">
        <f>TEST_DATA!B5600</f>
        <v>Sep-2017</v>
      </c>
      <c r="C5600">
        <f>TEST_DATA!C5600</f>
        <v>43188</v>
      </c>
      <c r="D5600" t="str">
        <f>TEST_DATA!D5600</f>
        <v>NON-NIL</v>
      </c>
      <c r="E5600">
        <f>TEST_DATA!E5600</f>
        <v>2873</v>
      </c>
    </row>
    <row r="5601" spans="1:5" x14ac:dyDescent="0.55000000000000004">
      <c r="A5601" t="str">
        <f>TEST_DATA!A5601</f>
        <v>27AAAAA5601Z5</v>
      </c>
      <c r="B5601" t="str">
        <f>TEST_DATA!B5601</f>
        <v>Mar-2021</v>
      </c>
      <c r="C5601">
        <f>TEST_DATA!C5601</f>
        <v>44934</v>
      </c>
      <c r="D5601" t="str">
        <f>TEST_DATA!D5601</f>
        <v>NON-NIL</v>
      </c>
      <c r="E5601">
        <f>TEST_DATA!E5601</f>
        <v>2584</v>
      </c>
    </row>
    <row r="5602" spans="1:5" x14ac:dyDescent="0.55000000000000004">
      <c r="A5602" t="str">
        <f>TEST_DATA!A5602</f>
        <v>27AAAAA5602Z5</v>
      </c>
      <c r="B5602" t="str">
        <f>TEST_DATA!B5602</f>
        <v>Jun-2019</v>
      </c>
      <c r="C5602">
        <f>TEST_DATA!C5602</f>
        <v>45830</v>
      </c>
      <c r="D5602" t="str">
        <f>TEST_DATA!D5602</f>
        <v>NIL</v>
      </c>
      <c r="E5602">
        <f>TEST_DATA!E5602</f>
        <v>1557</v>
      </c>
    </row>
    <row r="5603" spans="1:5" x14ac:dyDescent="0.55000000000000004">
      <c r="A5603" t="str">
        <f>TEST_DATA!A5603</f>
        <v>27AAAAA5603Z5</v>
      </c>
      <c r="B5603" t="str">
        <f>TEST_DATA!B5603</f>
        <v>Jul-2017</v>
      </c>
      <c r="C5603">
        <f>TEST_DATA!C5603</f>
        <v>43536</v>
      </c>
      <c r="D5603" t="str">
        <f>TEST_DATA!D5603</f>
        <v>NIL</v>
      </c>
      <c r="E5603">
        <f>TEST_DATA!E5603</f>
        <v>2266</v>
      </c>
    </row>
    <row r="5604" spans="1:5" x14ac:dyDescent="0.55000000000000004">
      <c r="A5604" t="str">
        <f>TEST_DATA!A5604</f>
        <v>27AAAAA5604Z5</v>
      </c>
      <c r="B5604" t="str">
        <f>TEST_DATA!B5604</f>
        <v>Mar-2023</v>
      </c>
      <c r="C5604">
        <f>TEST_DATA!C5604</f>
        <v>43489</v>
      </c>
      <c r="D5604" t="str">
        <f>TEST_DATA!D5604</f>
        <v>NON-NIL</v>
      </c>
      <c r="E5604">
        <f>TEST_DATA!E5604</f>
        <v>570</v>
      </c>
    </row>
    <row r="5605" spans="1:5" x14ac:dyDescent="0.55000000000000004">
      <c r="A5605" t="str">
        <f>TEST_DATA!A5605</f>
        <v>27AAAAA5605Z5</v>
      </c>
      <c r="B5605" t="str">
        <f>TEST_DATA!B5605</f>
        <v>Sep-2017</v>
      </c>
      <c r="C5605">
        <f>TEST_DATA!C5605</f>
        <v>44522</v>
      </c>
      <c r="D5605" t="str">
        <f>TEST_DATA!D5605</f>
        <v>NON-NIL</v>
      </c>
      <c r="E5605">
        <f>TEST_DATA!E5605</f>
        <v>1479</v>
      </c>
    </row>
    <row r="5606" spans="1:5" x14ac:dyDescent="0.55000000000000004">
      <c r="A5606" t="str">
        <f>TEST_DATA!A5606</f>
        <v>27AAAAA5606Z5</v>
      </c>
      <c r="B5606" t="str">
        <f>TEST_DATA!B5606</f>
        <v>May-2018</v>
      </c>
      <c r="C5606">
        <f>TEST_DATA!C5606</f>
        <v>43962</v>
      </c>
      <c r="D5606" t="str">
        <f>TEST_DATA!D5606</f>
        <v>NON-NIL</v>
      </c>
      <c r="E5606">
        <f>TEST_DATA!E5606</f>
        <v>482</v>
      </c>
    </row>
    <row r="5607" spans="1:5" x14ac:dyDescent="0.55000000000000004">
      <c r="A5607" t="str">
        <f>TEST_DATA!A5607</f>
        <v>27AAAAA5607Z5</v>
      </c>
      <c r="B5607" t="str">
        <f>TEST_DATA!B5607</f>
        <v>Sep-2018</v>
      </c>
      <c r="C5607">
        <f>TEST_DATA!C5607</f>
        <v>43913</v>
      </c>
      <c r="D5607" t="str">
        <f>TEST_DATA!D5607</f>
        <v>NON-NIL</v>
      </c>
      <c r="E5607">
        <f>TEST_DATA!E5607</f>
        <v>1191</v>
      </c>
    </row>
    <row r="5608" spans="1:5" x14ac:dyDescent="0.55000000000000004">
      <c r="A5608" t="str">
        <f>TEST_DATA!A5608</f>
        <v>27AAAAA5608Z5</v>
      </c>
      <c r="B5608" t="str">
        <f>TEST_DATA!B5608</f>
        <v>Jul-2020</v>
      </c>
      <c r="C5608">
        <f>TEST_DATA!C5608</f>
        <v>44015</v>
      </c>
      <c r="D5608" t="str">
        <f>TEST_DATA!D5608</f>
        <v>NIL</v>
      </c>
      <c r="E5608">
        <f>TEST_DATA!E5608</f>
        <v>1999</v>
      </c>
    </row>
    <row r="5609" spans="1:5" x14ac:dyDescent="0.55000000000000004">
      <c r="A5609" t="str">
        <f>TEST_DATA!A5609</f>
        <v>27AAAAA5609Z5</v>
      </c>
      <c r="B5609" t="str">
        <f>TEST_DATA!B5609</f>
        <v>Apr-2018</v>
      </c>
      <c r="C5609">
        <f>TEST_DATA!C5609</f>
        <v>43705</v>
      </c>
      <c r="D5609" t="str">
        <f>TEST_DATA!D5609</f>
        <v>NIL</v>
      </c>
      <c r="E5609">
        <f>TEST_DATA!E5609</f>
        <v>305</v>
      </c>
    </row>
    <row r="5610" spans="1:5" x14ac:dyDescent="0.55000000000000004">
      <c r="A5610" t="str">
        <f>TEST_DATA!A5610</f>
        <v>27AAAAA5610Z5</v>
      </c>
      <c r="B5610" t="str">
        <f>TEST_DATA!B5610</f>
        <v>Oct-2017</v>
      </c>
      <c r="C5610">
        <f>TEST_DATA!C5610</f>
        <v>44026</v>
      </c>
      <c r="D5610" t="str">
        <f>TEST_DATA!D5610</f>
        <v>NIL</v>
      </c>
      <c r="E5610">
        <f>TEST_DATA!E5610</f>
        <v>1148</v>
      </c>
    </row>
    <row r="5611" spans="1:5" x14ac:dyDescent="0.55000000000000004">
      <c r="A5611" t="str">
        <f>TEST_DATA!A5611</f>
        <v>27AAAAA5611Z5</v>
      </c>
      <c r="B5611" t="str">
        <f>TEST_DATA!B5611</f>
        <v>Sep-2017</v>
      </c>
      <c r="C5611">
        <f>TEST_DATA!C5611</f>
        <v>44163</v>
      </c>
      <c r="D5611" t="str">
        <f>TEST_DATA!D5611</f>
        <v>NON-NIL</v>
      </c>
      <c r="E5611">
        <f>TEST_DATA!E5611</f>
        <v>564</v>
      </c>
    </row>
    <row r="5612" spans="1:5" x14ac:dyDescent="0.55000000000000004">
      <c r="A5612" t="str">
        <f>TEST_DATA!A5612</f>
        <v>27AAAAA5612Z5</v>
      </c>
      <c r="B5612" t="str">
        <f>TEST_DATA!B5612</f>
        <v>Aug-2018</v>
      </c>
      <c r="C5612">
        <f>TEST_DATA!C5612</f>
        <v>43462</v>
      </c>
      <c r="D5612" t="str">
        <f>TEST_DATA!D5612</f>
        <v>NIL</v>
      </c>
      <c r="E5612">
        <f>TEST_DATA!E5612</f>
        <v>666</v>
      </c>
    </row>
    <row r="5613" spans="1:5" x14ac:dyDescent="0.55000000000000004">
      <c r="A5613" t="str">
        <f>TEST_DATA!A5613</f>
        <v>27AAAAA5613Z5</v>
      </c>
      <c r="B5613" t="str">
        <f>TEST_DATA!B5613</f>
        <v>Nov-2017</v>
      </c>
      <c r="C5613">
        <f>TEST_DATA!C5613</f>
        <v>44152</v>
      </c>
      <c r="D5613" t="str">
        <f>TEST_DATA!D5613</f>
        <v>NON-NIL</v>
      </c>
      <c r="E5613">
        <f>TEST_DATA!E5613</f>
        <v>1369</v>
      </c>
    </row>
    <row r="5614" spans="1:5" x14ac:dyDescent="0.55000000000000004">
      <c r="A5614" t="str">
        <f>TEST_DATA!A5614</f>
        <v>27AAAAA5614Z5</v>
      </c>
      <c r="B5614" t="str">
        <f>TEST_DATA!B5614</f>
        <v>Jun-2019</v>
      </c>
      <c r="C5614">
        <f>TEST_DATA!C5614</f>
        <v>43770</v>
      </c>
      <c r="D5614" t="str">
        <f>TEST_DATA!D5614</f>
        <v>NON-NIL</v>
      </c>
      <c r="E5614">
        <f>TEST_DATA!E5614</f>
        <v>218</v>
      </c>
    </row>
    <row r="5615" spans="1:5" x14ac:dyDescent="0.55000000000000004">
      <c r="A5615" t="str">
        <f>TEST_DATA!A5615</f>
        <v>27AAAAA5615Z5</v>
      </c>
      <c r="B5615" t="str">
        <f>TEST_DATA!B5615</f>
        <v>Apr-2021</v>
      </c>
      <c r="C5615">
        <f>TEST_DATA!C5615</f>
        <v>44548</v>
      </c>
      <c r="D5615" t="str">
        <f>TEST_DATA!D5615</f>
        <v>NON-NIL</v>
      </c>
      <c r="E5615">
        <f>TEST_DATA!E5615</f>
        <v>1091</v>
      </c>
    </row>
    <row r="5616" spans="1:5" x14ac:dyDescent="0.55000000000000004">
      <c r="A5616" t="str">
        <f>TEST_DATA!A5616</f>
        <v>27AAAAA5616Z5</v>
      </c>
      <c r="B5616" t="str">
        <f>TEST_DATA!B5616</f>
        <v>Nov-2017</v>
      </c>
      <c r="C5616">
        <f>TEST_DATA!C5616</f>
        <v>43132</v>
      </c>
      <c r="D5616" t="str">
        <f>TEST_DATA!D5616</f>
        <v>NON-NIL</v>
      </c>
      <c r="E5616">
        <f>TEST_DATA!E5616</f>
        <v>2789</v>
      </c>
    </row>
    <row r="5617" spans="1:5" x14ac:dyDescent="0.55000000000000004">
      <c r="A5617" t="str">
        <f>TEST_DATA!A5617</f>
        <v>27AAAAA5617Z5</v>
      </c>
      <c r="B5617" t="str">
        <f>TEST_DATA!B5617</f>
        <v>Apr-2018</v>
      </c>
      <c r="C5617">
        <f>TEST_DATA!C5617</f>
        <v>43680</v>
      </c>
      <c r="D5617" t="str">
        <f>TEST_DATA!D5617</f>
        <v>NON-NIL</v>
      </c>
      <c r="E5617">
        <f>TEST_DATA!E5617</f>
        <v>185</v>
      </c>
    </row>
    <row r="5618" spans="1:5" x14ac:dyDescent="0.55000000000000004">
      <c r="A5618" t="str">
        <f>TEST_DATA!A5618</f>
        <v>27AAAAA5618Z5</v>
      </c>
      <c r="B5618" t="str">
        <f>TEST_DATA!B5618</f>
        <v>May-2018</v>
      </c>
      <c r="C5618">
        <f>TEST_DATA!C5618</f>
        <v>43808</v>
      </c>
      <c r="D5618" t="str">
        <f>TEST_DATA!D5618</f>
        <v>NIL</v>
      </c>
      <c r="E5618">
        <f>TEST_DATA!E5618</f>
        <v>11</v>
      </c>
    </row>
    <row r="5619" spans="1:5" x14ac:dyDescent="0.55000000000000004">
      <c r="A5619" t="str">
        <f>TEST_DATA!A5619</f>
        <v>27AAAAA5619Z5</v>
      </c>
      <c r="B5619" t="str">
        <f>TEST_DATA!B5619</f>
        <v>Mar-2023</v>
      </c>
      <c r="C5619">
        <f>TEST_DATA!C5619</f>
        <v>45833</v>
      </c>
      <c r="D5619" t="str">
        <f>TEST_DATA!D5619</f>
        <v>NIL</v>
      </c>
      <c r="E5619">
        <f>TEST_DATA!E5619</f>
        <v>517</v>
      </c>
    </row>
    <row r="5620" spans="1:5" x14ac:dyDescent="0.55000000000000004">
      <c r="A5620" t="str">
        <f>TEST_DATA!A5620</f>
        <v>27AAAAA5620Z5</v>
      </c>
      <c r="B5620" t="str">
        <f>TEST_DATA!B5620</f>
        <v>Mar-2023</v>
      </c>
      <c r="C5620">
        <f>TEST_DATA!C5620</f>
        <v>44969</v>
      </c>
      <c r="D5620" t="str">
        <f>TEST_DATA!D5620</f>
        <v>NON-NIL</v>
      </c>
      <c r="E5620">
        <f>TEST_DATA!E5620</f>
        <v>0</v>
      </c>
    </row>
    <row r="5621" spans="1:5" x14ac:dyDescent="0.55000000000000004">
      <c r="A5621" t="str">
        <f>TEST_DATA!A5621</f>
        <v>27AAAAA5621Z5</v>
      </c>
      <c r="B5621" t="str">
        <f>TEST_DATA!B5621</f>
        <v>Jul-2020</v>
      </c>
      <c r="C5621">
        <f>TEST_DATA!C5621</f>
        <v>43867</v>
      </c>
      <c r="D5621" t="str">
        <f>TEST_DATA!D5621</f>
        <v>NIL</v>
      </c>
      <c r="E5621">
        <f>TEST_DATA!E5621</f>
        <v>259</v>
      </c>
    </row>
    <row r="5622" spans="1:5" x14ac:dyDescent="0.55000000000000004">
      <c r="A5622" t="str">
        <f>TEST_DATA!A5622</f>
        <v>27AAAAA5622Z5</v>
      </c>
      <c r="B5622" t="str">
        <f>TEST_DATA!B5622</f>
        <v>May-2020</v>
      </c>
      <c r="C5622">
        <f>TEST_DATA!C5622</f>
        <v>44648</v>
      </c>
      <c r="D5622" t="str">
        <f>TEST_DATA!D5622</f>
        <v>NIL</v>
      </c>
      <c r="E5622">
        <f>TEST_DATA!E5622</f>
        <v>2884</v>
      </c>
    </row>
    <row r="5623" spans="1:5" x14ac:dyDescent="0.55000000000000004">
      <c r="A5623" t="str">
        <f>TEST_DATA!A5623</f>
        <v>27AAAAA5623Z5</v>
      </c>
      <c r="B5623" t="str">
        <f>TEST_DATA!B5623</f>
        <v>Dec-2024</v>
      </c>
      <c r="C5623">
        <f>TEST_DATA!C5623</f>
        <v>44867</v>
      </c>
      <c r="D5623" t="str">
        <f>TEST_DATA!D5623</f>
        <v>NON-NIL</v>
      </c>
      <c r="E5623">
        <f>TEST_DATA!E5623</f>
        <v>1126</v>
      </c>
    </row>
    <row r="5624" spans="1:5" x14ac:dyDescent="0.55000000000000004">
      <c r="A5624" t="str">
        <f>TEST_DATA!A5624</f>
        <v>27AAAAA5624Z5</v>
      </c>
      <c r="B5624" t="str">
        <f>TEST_DATA!B5624</f>
        <v>Aug-2017</v>
      </c>
      <c r="C5624">
        <f>TEST_DATA!C5624</f>
        <v>43857</v>
      </c>
      <c r="D5624" t="str">
        <f>TEST_DATA!D5624</f>
        <v>NIL</v>
      </c>
      <c r="E5624">
        <f>TEST_DATA!E5624</f>
        <v>865</v>
      </c>
    </row>
    <row r="5625" spans="1:5" x14ac:dyDescent="0.55000000000000004">
      <c r="A5625" t="str">
        <f>TEST_DATA!A5625</f>
        <v>27AAAAA5625Z5</v>
      </c>
      <c r="B5625" t="str">
        <f>TEST_DATA!B5625</f>
        <v>Dec-2022</v>
      </c>
      <c r="C5625">
        <f>TEST_DATA!C5625</f>
        <v>44023</v>
      </c>
      <c r="D5625" t="str">
        <f>TEST_DATA!D5625</f>
        <v>NON-NIL</v>
      </c>
      <c r="E5625">
        <f>TEST_DATA!E5625</f>
        <v>1925</v>
      </c>
    </row>
    <row r="5626" spans="1:5" x14ac:dyDescent="0.55000000000000004">
      <c r="A5626" t="str">
        <f>TEST_DATA!A5626</f>
        <v>27AAAAA5626Z5</v>
      </c>
      <c r="B5626" t="str">
        <f>TEST_DATA!B5626</f>
        <v>Dec-2017</v>
      </c>
      <c r="C5626">
        <f>TEST_DATA!C5626</f>
        <v>43947</v>
      </c>
      <c r="D5626" t="str">
        <f>TEST_DATA!D5626</f>
        <v>NIL</v>
      </c>
      <c r="E5626">
        <f>TEST_DATA!E5626</f>
        <v>2293</v>
      </c>
    </row>
    <row r="5627" spans="1:5" x14ac:dyDescent="0.55000000000000004">
      <c r="A5627" t="str">
        <f>TEST_DATA!A5627</f>
        <v>27AAAAA5627Z5</v>
      </c>
      <c r="B5627" t="str">
        <f>TEST_DATA!B5627</f>
        <v>Apr-2020</v>
      </c>
      <c r="C5627">
        <f>TEST_DATA!C5627</f>
        <v>44502</v>
      </c>
      <c r="D5627" t="str">
        <f>TEST_DATA!D5627</f>
        <v>NON-NIL</v>
      </c>
      <c r="E5627">
        <f>TEST_DATA!E5627</f>
        <v>20</v>
      </c>
    </row>
    <row r="5628" spans="1:5" x14ac:dyDescent="0.55000000000000004">
      <c r="A5628" t="str">
        <f>TEST_DATA!A5628</f>
        <v>27AAAAA5628Z5</v>
      </c>
      <c r="B5628" t="str">
        <f>TEST_DATA!B5628</f>
        <v>Aug-2017</v>
      </c>
      <c r="C5628">
        <f>TEST_DATA!C5628</f>
        <v>43099</v>
      </c>
      <c r="D5628" t="str">
        <f>TEST_DATA!D5628</f>
        <v>NON-NIL</v>
      </c>
      <c r="E5628">
        <f>TEST_DATA!E5628</f>
        <v>2130</v>
      </c>
    </row>
    <row r="5629" spans="1:5" x14ac:dyDescent="0.55000000000000004">
      <c r="A5629" t="str">
        <f>TEST_DATA!A5629</f>
        <v>27AAAAA5629Z5</v>
      </c>
      <c r="B5629" t="str">
        <f>TEST_DATA!B5629</f>
        <v>May-2020</v>
      </c>
      <c r="C5629">
        <f>TEST_DATA!C5629</f>
        <v>44889</v>
      </c>
      <c r="D5629" t="str">
        <f>TEST_DATA!D5629</f>
        <v>NIL</v>
      </c>
      <c r="E5629">
        <f>TEST_DATA!E5629</f>
        <v>659</v>
      </c>
    </row>
    <row r="5630" spans="1:5" x14ac:dyDescent="0.55000000000000004">
      <c r="A5630" t="str">
        <f>TEST_DATA!A5630</f>
        <v>27AAAAA5630Z5</v>
      </c>
      <c r="B5630" t="str">
        <f>TEST_DATA!B5630</f>
        <v>Jul-2020</v>
      </c>
      <c r="C5630">
        <f>TEST_DATA!C5630</f>
        <v>44367</v>
      </c>
      <c r="D5630" t="str">
        <f>TEST_DATA!D5630</f>
        <v>NON-NIL</v>
      </c>
      <c r="E5630">
        <f>TEST_DATA!E5630</f>
        <v>984</v>
      </c>
    </row>
    <row r="5631" spans="1:5" x14ac:dyDescent="0.55000000000000004">
      <c r="A5631" t="str">
        <f>TEST_DATA!A5631</f>
        <v>27AAAAA5631Z5</v>
      </c>
      <c r="B5631" t="str">
        <f>TEST_DATA!B5631</f>
        <v>Sep-2017</v>
      </c>
      <c r="C5631">
        <f>TEST_DATA!C5631</f>
        <v>43196</v>
      </c>
      <c r="D5631" t="str">
        <f>TEST_DATA!D5631</f>
        <v>NON-NIL</v>
      </c>
      <c r="E5631">
        <f>TEST_DATA!E5631</f>
        <v>296</v>
      </c>
    </row>
    <row r="5632" spans="1:5" x14ac:dyDescent="0.55000000000000004">
      <c r="A5632" t="str">
        <f>TEST_DATA!A5632</f>
        <v>27AAAAA5632Z5</v>
      </c>
      <c r="B5632" t="str">
        <f>TEST_DATA!B5632</f>
        <v>Jul-2018</v>
      </c>
      <c r="C5632">
        <f>TEST_DATA!C5632</f>
        <v>44027</v>
      </c>
      <c r="D5632" t="str">
        <f>TEST_DATA!D5632</f>
        <v>NON-NIL</v>
      </c>
      <c r="E5632">
        <f>TEST_DATA!E5632</f>
        <v>25</v>
      </c>
    </row>
    <row r="5633" spans="1:5" x14ac:dyDescent="0.55000000000000004">
      <c r="A5633" t="str">
        <f>TEST_DATA!A5633</f>
        <v>27AAAAA5633Z5</v>
      </c>
      <c r="B5633" t="str">
        <f>TEST_DATA!B5633</f>
        <v>Jan-2019</v>
      </c>
      <c r="C5633">
        <f>TEST_DATA!C5633</f>
        <v>43735</v>
      </c>
      <c r="D5633" t="str">
        <f>TEST_DATA!D5633</f>
        <v>NIL</v>
      </c>
      <c r="E5633">
        <f>TEST_DATA!E5633</f>
        <v>1439</v>
      </c>
    </row>
    <row r="5634" spans="1:5" x14ac:dyDescent="0.55000000000000004">
      <c r="A5634" t="str">
        <f>TEST_DATA!A5634</f>
        <v>27AAAAA5634Z5</v>
      </c>
      <c r="B5634" t="str">
        <f>TEST_DATA!B5634</f>
        <v>Dec-2019</v>
      </c>
      <c r="C5634">
        <f>TEST_DATA!C5634</f>
        <v>43707</v>
      </c>
      <c r="D5634" t="str">
        <f>TEST_DATA!D5634</f>
        <v>NIL</v>
      </c>
      <c r="E5634">
        <f>TEST_DATA!E5634</f>
        <v>475</v>
      </c>
    </row>
    <row r="5635" spans="1:5" x14ac:dyDescent="0.55000000000000004">
      <c r="A5635" t="str">
        <f>TEST_DATA!A5635</f>
        <v>27AAAAA5635Z5</v>
      </c>
      <c r="B5635" t="str">
        <f>TEST_DATA!B5635</f>
        <v>Mar-2020</v>
      </c>
      <c r="C5635">
        <f>TEST_DATA!C5635</f>
        <v>44592</v>
      </c>
      <c r="D5635" t="str">
        <f>TEST_DATA!D5635</f>
        <v>NIL</v>
      </c>
      <c r="E5635">
        <f>TEST_DATA!E5635</f>
        <v>2500</v>
      </c>
    </row>
    <row r="5636" spans="1:5" x14ac:dyDescent="0.55000000000000004">
      <c r="A5636" t="str">
        <f>TEST_DATA!A5636</f>
        <v>27AAAAA5636Z5</v>
      </c>
      <c r="B5636" t="str">
        <f>TEST_DATA!B5636</f>
        <v>Dec-2017</v>
      </c>
      <c r="C5636">
        <f>TEST_DATA!C5636</f>
        <v>43866</v>
      </c>
      <c r="D5636" t="str">
        <f>TEST_DATA!D5636</f>
        <v>NIL</v>
      </c>
      <c r="E5636">
        <f>TEST_DATA!E5636</f>
        <v>2690</v>
      </c>
    </row>
    <row r="5637" spans="1:5" x14ac:dyDescent="0.55000000000000004">
      <c r="A5637" t="str">
        <f>TEST_DATA!A5637</f>
        <v>27AAAAA5637Z5</v>
      </c>
      <c r="B5637" t="str">
        <f>TEST_DATA!B5637</f>
        <v>Sep-2017</v>
      </c>
      <c r="C5637">
        <f>TEST_DATA!C5637</f>
        <v>43562</v>
      </c>
      <c r="D5637" t="str">
        <f>TEST_DATA!D5637</f>
        <v>NIL</v>
      </c>
      <c r="E5637">
        <f>TEST_DATA!E5637</f>
        <v>1750</v>
      </c>
    </row>
    <row r="5638" spans="1:5" x14ac:dyDescent="0.55000000000000004">
      <c r="A5638" t="str">
        <f>TEST_DATA!A5638</f>
        <v>27AAAAA5638Z5</v>
      </c>
      <c r="B5638" t="str">
        <f>TEST_DATA!B5638</f>
        <v>Sep-2017</v>
      </c>
      <c r="C5638">
        <f>TEST_DATA!C5638</f>
        <v>44447</v>
      </c>
      <c r="D5638" t="str">
        <f>TEST_DATA!D5638</f>
        <v>NIL</v>
      </c>
      <c r="E5638">
        <f>TEST_DATA!E5638</f>
        <v>1485</v>
      </c>
    </row>
    <row r="5639" spans="1:5" x14ac:dyDescent="0.55000000000000004">
      <c r="A5639" t="str">
        <f>TEST_DATA!A5639</f>
        <v>27AAAAA5639Z5</v>
      </c>
      <c r="B5639" t="str">
        <f>TEST_DATA!B5639</f>
        <v>Feb-2018</v>
      </c>
      <c r="C5639">
        <f>TEST_DATA!C5639</f>
        <v>44542</v>
      </c>
      <c r="D5639" t="str">
        <f>TEST_DATA!D5639</f>
        <v>NON-NIL</v>
      </c>
      <c r="E5639">
        <f>TEST_DATA!E5639</f>
        <v>218</v>
      </c>
    </row>
    <row r="5640" spans="1:5" x14ac:dyDescent="0.55000000000000004">
      <c r="A5640" t="str">
        <f>TEST_DATA!A5640</f>
        <v>27AAAAA5640Z5</v>
      </c>
      <c r="B5640" t="str">
        <f>TEST_DATA!B5640</f>
        <v>Dec-2022</v>
      </c>
      <c r="C5640">
        <f>TEST_DATA!C5640</f>
        <v>45798</v>
      </c>
      <c r="D5640" t="str">
        <f>TEST_DATA!D5640</f>
        <v>NIL</v>
      </c>
      <c r="E5640">
        <f>TEST_DATA!E5640</f>
        <v>817</v>
      </c>
    </row>
    <row r="5641" spans="1:5" x14ac:dyDescent="0.55000000000000004">
      <c r="A5641" t="str">
        <f>TEST_DATA!A5641</f>
        <v>27AAAAA5641Z5</v>
      </c>
      <c r="B5641" t="str">
        <f>TEST_DATA!B5641</f>
        <v>Aug-2017</v>
      </c>
      <c r="C5641">
        <f>TEST_DATA!C5641</f>
        <v>42984</v>
      </c>
      <c r="D5641" t="str">
        <f>TEST_DATA!D5641</f>
        <v>NON-NIL</v>
      </c>
      <c r="E5641">
        <f>TEST_DATA!E5641</f>
        <v>290</v>
      </c>
    </row>
    <row r="5642" spans="1:5" x14ac:dyDescent="0.55000000000000004">
      <c r="A5642" t="str">
        <f>TEST_DATA!A5642</f>
        <v>27AAAAA5642Z5</v>
      </c>
      <c r="B5642" t="str">
        <f>TEST_DATA!B5642</f>
        <v>Apr-2021</v>
      </c>
      <c r="C5642">
        <f>TEST_DATA!C5642</f>
        <v>45228</v>
      </c>
      <c r="D5642" t="str">
        <f>TEST_DATA!D5642</f>
        <v>NON-NIL</v>
      </c>
      <c r="E5642">
        <f>TEST_DATA!E5642</f>
        <v>2787</v>
      </c>
    </row>
    <row r="5643" spans="1:5" x14ac:dyDescent="0.55000000000000004">
      <c r="A5643" t="str">
        <f>TEST_DATA!A5643</f>
        <v>27AAAAA5643Z5</v>
      </c>
      <c r="B5643" t="str">
        <f>TEST_DATA!B5643</f>
        <v>Jul-2017</v>
      </c>
      <c r="C5643">
        <f>TEST_DATA!C5643</f>
        <v>42926</v>
      </c>
      <c r="D5643" t="str">
        <f>TEST_DATA!D5643</f>
        <v>NON-NIL</v>
      </c>
      <c r="E5643">
        <f>TEST_DATA!E5643</f>
        <v>1050</v>
      </c>
    </row>
    <row r="5644" spans="1:5" x14ac:dyDescent="0.55000000000000004">
      <c r="A5644" t="str">
        <f>TEST_DATA!A5644</f>
        <v>27AAAAA5644Z5</v>
      </c>
      <c r="B5644" t="str">
        <f>TEST_DATA!B5644</f>
        <v>Dec-2024</v>
      </c>
      <c r="C5644">
        <f>TEST_DATA!C5644</f>
        <v>43820</v>
      </c>
      <c r="D5644" t="str">
        <f>TEST_DATA!D5644</f>
        <v>NON-NIL</v>
      </c>
      <c r="E5644">
        <f>TEST_DATA!E5644</f>
        <v>2301</v>
      </c>
    </row>
    <row r="5645" spans="1:5" x14ac:dyDescent="0.55000000000000004">
      <c r="A5645" t="str">
        <f>TEST_DATA!A5645</f>
        <v>27AAAAA5645Z5</v>
      </c>
      <c r="B5645" t="str">
        <f>TEST_DATA!B5645</f>
        <v>Jul-2020</v>
      </c>
      <c r="C5645">
        <f>TEST_DATA!C5645</f>
        <v>44501</v>
      </c>
      <c r="D5645" t="str">
        <f>TEST_DATA!D5645</f>
        <v>NON-NIL</v>
      </c>
      <c r="E5645">
        <f>TEST_DATA!E5645</f>
        <v>929</v>
      </c>
    </row>
    <row r="5646" spans="1:5" x14ac:dyDescent="0.55000000000000004">
      <c r="A5646" t="str">
        <f>TEST_DATA!A5646</f>
        <v>27AAAAA5646Z5</v>
      </c>
      <c r="B5646" t="str">
        <f>TEST_DATA!B5646</f>
        <v>Apr-2021</v>
      </c>
      <c r="C5646">
        <f>TEST_DATA!C5646</f>
        <v>44042</v>
      </c>
      <c r="D5646" t="str">
        <f>TEST_DATA!D5646</f>
        <v>NON-NIL</v>
      </c>
      <c r="E5646">
        <f>TEST_DATA!E5646</f>
        <v>1692</v>
      </c>
    </row>
    <row r="5647" spans="1:5" x14ac:dyDescent="0.55000000000000004">
      <c r="A5647" t="str">
        <f>TEST_DATA!A5647</f>
        <v>27AAAAA5647Z5</v>
      </c>
      <c r="B5647" t="str">
        <f>TEST_DATA!B5647</f>
        <v>Mar-2020</v>
      </c>
      <c r="C5647">
        <f>TEST_DATA!C5647</f>
        <v>44267</v>
      </c>
      <c r="D5647" t="str">
        <f>TEST_DATA!D5647</f>
        <v>NON-NIL</v>
      </c>
      <c r="E5647">
        <f>TEST_DATA!E5647</f>
        <v>1411</v>
      </c>
    </row>
    <row r="5648" spans="1:5" x14ac:dyDescent="0.55000000000000004">
      <c r="A5648" t="str">
        <f>TEST_DATA!A5648</f>
        <v>27AAAAA5648Z5</v>
      </c>
      <c r="B5648" t="str">
        <f>TEST_DATA!B5648</f>
        <v>Nov-2017</v>
      </c>
      <c r="C5648">
        <f>TEST_DATA!C5648</f>
        <v>44135</v>
      </c>
      <c r="D5648" t="str">
        <f>TEST_DATA!D5648</f>
        <v>NON-NIL</v>
      </c>
      <c r="E5648">
        <f>TEST_DATA!E5648</f>
        <v>1142</v>
      </c>
    </row>
    <row r="5649" spans="1:5" x14ac:dyDescent="0.55000000000000004">
      <c r="A5649" t="str">
        <f>TEST_DATA!A5649</f>
        <v>27AAAAA5649Z5</v>
      </c>
      <c r="B5649" t="str">
        <f>TEST_DATA!B5649</f>
        <v>Jan-2019</v>
      </c>
      <c r="C5649">
        <f>TEST_DATA!C5649</f>
        <v>43939</v>
      </c>
      <c r="D5649" t="str">
        <f>TEST_DATA!D5649</f>
        <v>NON-NIL</v>
      </c>
      <c r="E5649">
        <f>TEST_DATA!E5649</f>
        <v>360</v>
      </c>
    </row>
    <row r="5650" spans="1:5" x14ac:dyDescent="0.55000000000000004">
      <c r="A5650" t="str">
        <f>TEST_DATA!A5650</f>
        <v>27AAAAA5650Z5</v>
      </c>
      <c r="B5650" t="str">
        <f>TEST_DATA!B5650</f>
        <v>Apr-2020</v>
      </c>
      <c r="C5650">
        <f>TEST_DATA!C5650</f>
        <v>44885</v>
      </c>
      <c r="D5650" t="str">
        <f>TEST_DATA!D5650</f>
        <v>NIL</v>
      </c>
      <c r="E5650">
        <f>TEST_DATA!E5650</f>
        <v>1942</v>
      </c>
    </row>
    <row r="5651" spans="1:5" x14ac:dyDescent="0.55000000000000004">
      <c r="A5651" t="str">
        <f>TEST_DATA!A5651</f>
        <v>27AAAAA5651Z5</v>
      </c>
      <c r="B5651" t="str">
        <f>TEST_DATA!B5651</f>
        <v>Jan-2018</v>
      </c>
      <c r="C5651">
        <f>TEST_DATA!C5651</f>
        <v>43553</v>
      </c>
      <c r="D5651" t="str">
        <f>TEST_DATA!D5651</f>
        <v>NIL</v>
      </c>
      <c r="E5651">
        <f>TEST_DATA!E5651</f>
        <v>873</v>
      </c>
    </row>
    <row r="5652" spans="1:5" x14ac:dyDescent="0.55000000000000004">
      <c r="A5652" t="str">
        <f>TEST_DATA!A5652</f>
        <v>27AAAAA5652Z5</v>
      </c>
      <c r="B5652" t="str">
        <f>TEST_DATA!B5652</f>
        <v>Dec-2024</v>
      </c>
      <c r="C5652">
        <f>TEST_DATA!C5652</f>
        <v>43755</v>
      </c>
      <c r="D5652" t="str">
        <f>TEST_DATA!D5652</f>
        <v>NIL</v>
      </c>
      <c r="E5652">
        <f>TEST_DATA!E5652</f>
        <v>1056</v>
      </c>
    </row>
    <row r="5653" spans="1:5" x14ac:dyDescent="0.55000000000000004">
      <c r="A5653" t="str">
        <f>TEST_DATA!A5653</f>
        <v>27AAAAA5653Z5</v>
      </c>
      <c r="B5653" t="str">
        <f>TEST_DATA!B5653</f>
        <v>May-2018</v>
      </c>
      <c r="C5653">
        <f>TEST_DATA!C5653</f>
        <v>43009</v>
      </c>
      <c r="D5653" t="str">
        <f>TEST_DATA!D5653</f>
        <v>NIL</v>
      </c>
      <c r="E5653">
        <f>TEST_DATA!E5653</f>
        <v>1440</v>
      </c>
    </row>
    <row r="5654" spans="1:5" x14ac:dyDescent="0.55000000000000004">
      <c r="A5654" t="str">
        <f>TEST_DATA!A5654</f>
        <v>27AAAAA5654Z5</v>
      </c>
      <c r="B5654" t="str">
        <f>TEST_DATA!B5654</f>
        <v>Mar-2021</v>
      </c>
      <c r="C5654">
        <f>TEST_DATA!C5654</f>
        <v>45765</v>
      </c>
      <c r="D5654" t="str">
        <f>TEST_DATA!D5654</f>
        <v>NON-NIL</v>
      </c>
      <c r="E5654">
        <f>TEST_DATA!E5654</f>
        <v>908</v>
      </c>
    </row>
    <row r="5655" spans="1:5" x14ac:dyDescent="0.55000000000000004">
      <c r="A5655" t="str">
        <f>TEST_DATA!A5655</f>
        <v>27AAAAA5655Z5</v>
      </c>
      <c r="B5655" t="str">
        <f>TEST_DATA!B5655</f>
        <v>Jun-2020</v>
      </c>
      <c r="C5655">
        <f>TEST_DATA!C5655</f>
        <v>44206</v>
      </c>
      <c r="D5655" t="str">
        <f>TEST_DATA!D5655</f>
        <v>NIL</v>
      </c>
      <c r="E5655">
        <f>TEST_DATA!E5655</f>
        <v>1918</v>
      </c>
    </row>
    <row r="5656" spans="1:5" x14ac:dyDescent="0.55000000000000004">
      <c r="A5656" t="str">
        <f>TEST_DATA!A5656</f>
        <v>27AAAAA5656Z5</v>
      </c>
      <c r="B5656" t="str">
        <f>TEST_DATA!B5656</f>
        <v>Dec-2024</v>
      </c>
      <c r="C5656">
        <f>TEST_DATA!C5656</f>
        <v>44681</v>
      </c>
      <c r="D5656" t="str">
        <f>TEST_DATA!D5656</f>
        <v>NIL</v>
      </c>
      <c r="E5656">
        <f>TEST_DATA!E5656</f>
        <v>2983</v>
      </c>
    </row>
    <row r="5657" spans="1:5" x14ac:dyDescent="0.55000000000000004">
      <c r="A5657" t="str">
        <f>TEST_DATA!A5657</f>
        <v>27AAAAA5657Z5</v>
      </c>
      <c r="B5657" t="str">
        <f>TEST_DATA!B5657</f>
        <v>Jun-2018</v>
      </c>
      <c r="C5657">
        <f>TEST_DATA!C5657</f>
        <v>43813</v>
      </c>
      <c r="D5657" t="str">
        <f>TEST_DATA!D5657</f>
        <v>NON-NIL</v>
      </c>
      <c r="E5657">
        <f>TEST_DATA!E5657</f>
        <v>2146</v>
      </c>
    </row>
    <row r="5658" spans="1:5" x14ac:dyDescent="0.55000000000000004">
      <c r="A5658" t="str">
        <f>TEST_DATA!A5658</f>
        <v>27AAAAA5658Z5</v>
      </c>
      <c r="B5658" t="str">
        <f>TEST_DATA!B5658</f>
        <v>Mar-2021</v>
      </c>
      <c r="C5658">
        <f>TEST_DATA!C5658</f>
        <v>44457</v>
      </c>
      <c r="D5658" t="str">
        <f>TEST_DATA!D5658</f>
        <v>NON-NIL</v>
      </c>
      <c r="E5658">
        <f>TEST_DATA!E5658</f>
        <v>620</v>
      </c>
    </row>
    <row r="5659" spans="1:5" x14ac:dyDescent="0.55000000000000004">
      <c r="A5659" t="str">
        <f>TEST_DATA!A5659</f>
        <v>27AAAAA5659Z5</v>
      </c>
      <c r="B5659" t="str">
        <f>TEST_DATA!B5659</f>
        <v>Aug-2018</v>
      </c>
      <c r="C5659">
        <f>TEST_DATA!C5659</f>
        <v>44002</v>
      </c>
      <c r="D5659" t="str">
        <f>TEST_DATA!D5659</f>
        <v>NIL</v>
      </c>
      <c r="E5659">
        <f>TEST_DATA!E5659</f>
        <v>1661</v>
      </c>
    </row>
    <row r="5660" spans="1:5" x14ac:dyDescent="0.55000000000000004">
      <c r="A5660" t="str">
        <f>TEST_DATA!A5660</f>
        <v>27AAAAA5660Z5</v>
      </c>
      <c r="B5660" t="str">
        <f>TEST_DATA!B5660</f>
        <v>Mar-2023</v>
      </c>
      <c r="C5660">
        <f>TEST_DATA!C5660</f>
        <v>44584</v>
      </c>
      <c r="D5660" t="str">
        <f>TEST_DATA!D5660</f>
        <v>NON-NIL</v>
      </c>
      <c r="E5660">
        <f>TEST_DATA!E5660</f>
        <v>159</v>
      </c>
    </row>
    <row r="5661" spans="1:5" x14ac:dyDescent="0.55000000000000004">
      <c r="A5661" t="str">
        <f>TEST_DATA!A5661</f>
        <v>27AAAAA5661Z5</v>
      </c>
      <c r="B5661" t="str">
        <f>TEST_DATA!B5661</f>
        <v>Jan-2021</v>
      </c>
      <c r="C5661">
        <f>TEST_DATA!C5661</f>
        <v>45224</v>
      </c>
      <c r="D5661" t="str">
        <f>TEST_DATA!D5661</f>
        <v>NON-NIL</v>
      </c>
      <c r="E5661">
        <f>TEST_DATA!E5661</f>
        <v>793</v>
      </c>
    </row>
    <row r="5662" spans="1:5" x14ac:dyDescent="0.55000000000000004">
      <c r="A5662" t="str">
        <f>TEST_DATA!A5662</f>
        <v>27AAAAA5662Z5</v>
      </c>
      <c r="B5662" t="str">
        <f>TEST_DATA!B5662</f>
        <v>Mar-2020</v>
      </c>
      <c r="C5662">
        <f>TEST_DATA!C5662</f>
        <v>44279</v>
      </c>
      <c r="D5662" t="str">
        <f>TEST_DATA!D5662</f>
        <v>NON-NIL</v>
      </c>
      <c r="E5662">
        <f>TEST_DATA!E5662</f>
        <v>1227</v>
      </c>
    </row>
    <row r="5663" spans="1:5" x14ac:dyDescent="0.55000000000000004">
      <c r="A5663" t="str">
        <f>TEST_DATA!A5663</f>
        <v>27AAAAA5663Z5</v>
      </c>
      <c r="B5663" t="str">
        <f>TEST_DATA!B5663</f>
        <v>Dec-2019</v>
      </c>
      <c r="C5663">
        <f>TEST_DATA!C5663</f>
        <v>45527</v>
      </c>
      <c r="D5663" t="str">
        <f>TEST_DATA!D5663</f>
        <v>NIL</v>
      </c>
      <c r="E5663">
        <f>TEST_DATA!E5663</f>
        <v>2241</v>
      </c>
    </row>
    <row r="5664" spans="1:5" x14ac:dyDescent="0.55000000000000004">
      <c r="A5664" t="str">
        <f>TEST_DATA!A5664</f>
        <v>27AAAAA5664Z5</v>
      </c>
      <c r="B5664" t="str">
        <f>TEST_DATA!B5664</f>
        <v>Apr-2018</v>
      </c>
      <c r="C5664">
        <f>TEST_DATA!C5664</f>
        <v>43279</v>
      </c>
      <c r="D5664" t="str">
        <f>TEST_DATA!D5664</f>
        <v>NON-NIL</v>
      </c>
      <c r="E5664">
        <f>TEST_DATA!E5664</f>
        <v>933</v>
      </c>
    </row>
    <row r="5665" spans="1:5" x14ac:dyDescent="0.55000000000000004">
      <c r="A5665" t="str">
        <f>TEST_DATA!A5665</f>
        <v>27AAAAA5665Z5</v>
      </c>
      <c r="B5665" t="str">
        <f>TEST_DATA!B5665</f>
        <v>Jul-2018</v>
      </c>
      <c r="C5665">
        <f>TEST_DATA!C5665</f>
        <v>44550</v>
      </c>
      <c r="D5665" t="str">
        <f>TEST_DATA!D5665</f>
        <v>NON-NIL</v>
      </c>
      <c r="E5665">
        <f>TEST_DATA!E5665</f>
        <v>1662</v>
      </c>
    </row>
    <row r="5666" spans="1:5" x14ac:dyDescent="0.55000000000000004">
      <c r="A5666" t="str">
        <f>TEST_DATA!A5666</f>
        <v>27AAAAA5666Z5</v>
      </c>
      <c r="B5666" t="str">
        <f>TEST_DATA!B5666</f>
        <v>Nov-2017</v>
      </c>
      <c r="C5666">
        <f>TEST_DATA!C5666</f>
        <v>44023</v>
      </c>
      <c r="D5666" t="str">
        <f>TEST_DATA!D5666</f>
        <v>NIL</v>
      </c>
      <c r="E5666">
        <f>TEST_DATA!E5666</f>
        <v>1355</v>
      </c>
    </row>
    <row r="5667" spans="1:5" x14ac:dyDescent="0.55000000000000004">
      <c r="A5667" t="str">
        <f>TEST_DATA!A5667</f>
        <v>27AAAAA5667Z5</v>
      </c>
      <c r="B5667" t="str">
        <f>TEST_DATA!B5667</f>
        <v>May-2018</v>
      </c>
      <c r="C5667">
        <f>TEST_DATA!C5667</f>
        <v>43025</v>
      </c>
      <c r="D5667" t="str">
        <f>TEST_DATA!D5667</f>
        <v>NON-NIL</v>
      </c>
      <c r="E5667">
        <f>TEST_DATA!E5667</f>
        <v>1819</v>
      </c>
    </row>
    <row r="5668" spans="1:5" x14ac:dyDescent="0.55000000000000004">
      <c r="A5668" t="str">
        <f>TEST_DATA!A5668</f>
        <v>27AAAAA5668Z5</v>
      </c>
      <c r="B5668" t="str">
        <f>TEST_DATA!B5668</f>
        <v>Mar-2018</v>
      </c>
      <c r="C5668">
        <f>TEST_DATA!C5668</f>
        <v>44360</v>
      </c>
      <c r="D5668" t="str">
        <f>TEST_DATA!D5668</f>
        <v>NIL</v>
      </c>
      <c r="E5668">
        <f>TEST_DATA!E5668</f>
        <v>1611</v>
      </c>
    </row>
    <row r="5669" spans="1:5" x14ac:dyDescent="0.55000000000000004">
      <c r="A5669" t="str">
        <f>TEST_DATA!A5669</f>
        <v>27AAAAA5669Z5</v>
      </c>
      <c r="B5669" t="str">
        <f>TEST_DATA!B5669</f>
        <v>Jun-2018</v>
      </c>
      <c r="C5669">
        <f>TEST_DATA!C5669</f>
        <v>43836</v>
      </c>
      <c r="D5669" t="str">
        <f>TEST_DATA!D5669</f>
        <v>NON-NIL</v>
      </c>
      <c r="E5669">
        <f>TEST_DATA!E5669</f>
        <v>1443</v>
      </c>
    </row>
    <row r="5670" spans="1:5" x14ac:dyDescent="0.55000000000000004">
      <c r="A5670" t="str">
        <f>TEST_DATA!A5670</f>
        <v>27AAAAA5670Z5</v>
      </c>
      <c r="B5670" t="str">
        <f>TEST_DATA!B5670</f>
        <v>Sep-2017</v>
      </c>
      <c r="C5670">
        <f>TEST_DATA!C5670</f>
        <v>43662</v>
      </c>
      <c r="D5670" t="str">
        <f>TEST_DATA!D5670</f>
        <v>NON-NIL</v>
      </c>
      <c r="E5670">
        <f>TEST_DATA!E5670</f>
        <v>653</v>
      </c>
    </row>
    <row r="5671" spans="1:5" x14ac:dyDescent="0.55000000000000004">
      <c r="A5671" t="str">
        <f>TEST_DATA!A5671</f>
        <v>27AAAAA5671Z5</v>
      </c>
      <c r="B5671" t="str">
        <f>TEST_DATA!B5671</f>
        <v>Jan-2018</v>
      </c>
      <c r="C5671">
        <f>TEST_DATA!C5671</f>
        <v>44073</v>
      </c>
      <c r="D5671" t="str">
        <f>TEST_DATA!D5671</f>
        <v>NIL</v>
      </c>
      <c r="E5671">
        <f>TEST_DATA!E5671</f>
        <v>2986</v>
      </c>
    </row>
    <row r="5672" spans="1:5" x14ac:dyDescent="0.55000000000000004">
      <c r="A5672" t="str">
        <f>TEST_DATA!A5672</f>
        <v>27AAAAA5672Z5</v>
      </c>
      <c r="B5672" t="str">
        <f>TEST_DATA!B5672</f>
        <v>Dec-2022</v>
      </c>
      <c r="C5672">
        <f>TEST_DATA!C5672</f>
        <v>43505</v>
      </c>
      <c r="D5672" t="str">
        <f>TEST_DATA!D5672</f>
        <v>NIL</v>
      </c>
      <c r="E5672">
        <f>TEST_DATA!E5672</f>
        <v>2215</v>
      </c>
    </row>
    <row r="5673" spans="1:5" x14ac:dyDescent="0.55000000000000004">
      <c r="A5673" t="str">
        <f>TEST_DATA!A5673</f>
        <v>27AAAAA5673Z5</v>
      </c>
      <c r="B5673" t="str">
        <f>TEST_DATA!B5673</f>
        <v>May-2018</v>
      </c>
      <c r="C5673">
        <f>TEST_DATA!C5673</f>
        <v>44485</v>
      </c>
      <c r="D5673" t="str">
        <f>TEST_DATA!D5673</f>
        <v>NON-NIL</v>
      </c>
      <c r="E5673">
        <f>TEST_DATA!E5673</f>
        <v>438</v>
      </c>
    </row>
    <row r="5674" spans="1:5" x14ac:dyDescent="0.55000000000000004">
      <c r="A5674" t="str">
        <f>TEST_DATA!A5674</f>
        <v>27AAAAA5674Z5</v>
      </c>
      <c r="B5674" t="str">
        <f>TEST_DATA!B5674</f>
        <v>Aug-2017</v>
      </c>
      <c r="C5674">
        <f>TEST_DATA!C5674</f>
        <v>43927</v>
      </c>
      <c r="D5674" t="str">
        <f>TEST_DATA!D5674</f>
        <v>NON-NIL</v>
      </c>
      <c r="E5674">
        <f>TEST_DATA!E5674</f>
        <v>2992</v>
      </c>
    </row>
    <row r="5675" spans="1:5" x14ac:dyDescent="0.55000000000000004">
      <c r="A5675" t="str">
        <f>TEST_DATA!A5675</f>
        <v>27AAAAA5675Z5</v>
      </c>
      <c r="B5675" t="str">
        <f>TEST_DATA!B5675</f>
        <v>Jul-2017</v>
      </c>
      <c r="C5675">
        <f>TEST_DATA!C5675</f>
        <v>44281</v>
      </c>
      <c r="D5675" t="str">
        <f>TEST_DATA!D5675</f>
        <v>NIL</v>
      </c>
      <c r="E5675">
        <f>TEST_DATA!E5675</f>
        <v>956</v>
      </c>
    </row>
    <row r="5676" spans="1:5" x14ac:dyDescent="0.55000000000000004">
      <c r="A5676" t="str">
        <f>TEST_DATA!A5676</f>
        <v>27AAAAA5676Z5</v>
      </c>
      <c r="B5676" t="str">
        <f>TEST_DATA!B5676</f>
        <v>Oct-2017</v>
      </c>
      <c r="C5676">
        <f>TEST_DATA!C5676</f>
        <v>43087</v>
      </c>
      <c r="D5676" t="str">
        <f>TEST_DATA!D5676</f>
        <v>NIL</v>
      </c>
      <c r="E5676">
        <f>TEST_DATA!E5676</f>
        <v>1895</v>
      </c>
    </row>
    <row r="5677" spans="1:5" x14ac:dyDescent="0.55000000000000004">
      <c r="A5677" t="str">
        <f>TEST_DATA!A5677</f>
        <v>27AAAAA5677Z5</v>
      </c>
      <c r="B5677" t="str">
        <f>TEST_DATA!B5677</f>
        <v>Mar-2021</v>
      </c>
      <c r="C5677">
        <f>TEST_DATA!C5677</f>
        <v>45544</v>
      </c>
      <c r="D5677" t="str">
        <f>TEST_DATA!D5677</f>
        <v>NON-NIL</v>
      </c>
      <c r="E5677">
        <f>TEST_DATA!E5677</f>
        <v>388</v>
      </c>
    </row>
    <row r="5678" spans="1:5" x14ac:dyDescent="0.55000000000000004">
      <c r="A5678" t="str">
        <f>TEST_DATA!A5678</f>
        <v>27AAAAA5678Z5</v>
      </c>
      <c r="B5678" t="str">
        <f>TEST_DATA!B5678</f>
        <v>Apr-2020</v>
      </c>
      <c r="C5678">
        <f>TEST_DATA!C5678</f>
        <v>43870</v>
      </c>
      <c r="D5678" t="str">
        <f>TEST_DATA!D5678</f>
        <v>NIL</v>
      </c>
      <c r="E5678">
        <f>TEST_DATA!E5678</f>
        <v>1345</v>
      </c>
    </row>
    <row r="5679" spans="1:5" x14ac:dyDescent="0.55000000000000004">
      <c r="A5679" t="str">
        <f>TEST_DATA!A5679</f>
        <v>27AAAAA5679Z5</v>
      </c>
      <c r="B5679" t="str">
        <f>TEST_DATA!B5679</f>
        <v>Apr-2021</v>
      </c>
      <c r="C5679">
        <f>TEST_DATA!C5679</f>
        <v>44674</v>
      </c>
      <c r="D5679" t="str">
        <f>TEST_DATA!D5679</f>
        <v>NON-NIL</v>
      </c>
      <c r="E5679">
        <f>TEST_DATA!E5679</f>
        <v>2793</v>
      </c>
    </row>
    <row r="5680" spans="1:5" x14ac:dyDescent="0.55000000000000004">
      <c r="A5680" t="str">
        <f>TEST_DATA!A5680</f>
        <v>27AAAAA5680Z5</v>
      </c>
      <c r="B5680" t="str">
        <f>TEST_DATA!B5680</f>
        <v>Jul-2018</v>
      </c>
      <c r="C5680">
        <f>TEST_DATA!C5680</f>
        <v>43027</v>
      </c>
      <c r="D5680" t="str">
        <f>TEST_DATA!D5680</f>
        <v>NIL</v>
      </c>
      <c r="E5680">
        <f>TEST_DATA!E5680</f>
        <v>688</v>
      </c>
    </row>
    <row r="5681" spans="1:5" x14ac:dyDescent="0.55000000000000004">
      <c r="A5681" t="str">
        <f>TEST_DATA!A5681</f>
        <v>27AAAAA5681Z5</v>
      </c>
      <c r="B5681" t="str">
        <f>TEST_DATA!B5681</f>
        <v>May-2020</v>
      </c>
      <c r="C5681">
        <f>TEST_DATA!C5681</f>
        <v>43879</v>
      </c>
      <c r="D5681" t="str">
        <f>TEST_DATA!D5681</f>
        <v>NON-NIL</v>
      </c>
      <c r="E5681">
        <f>TEST_DATA!E5681</f>
        <v>2937</v>
      </c>
    </row>
    <row r="5682" spans="1:5" x14ac:dyDescent="0.55000000000000004">
      <c r="A5682" t="str">
        <f>TEST_DATA!A5682</f>
        <v>27AAAAA5682Z5</v>
      </c>
      <c r="B5682" t="str">
        <f>TEST_DATA!B5682</f>
        <v>Apr-2020</v>
      </c>
      <c r="C5682">
        <f>TEST_DATA!C5682</f>
        <v>44590</v>
      </c>
      <c r="D5682" t="str">
        <f>TEST_DATA!D5682</f>
        <v>NIL</v>
      </c>
      <c r="E5682">
        <f>TEST_DATA!E5682</f>
        <v>1290</v>
      </c>
    </row>
    <row r="5683" spans="1:5" x14ac:dyDescent="0.55000000000000004">
      <c r="A5683" t="str">
        <f>TEST_DATA!A5683</f>
        <v>27AAAAA5683Z5</v>
      </c>
      <c r="B5683" t="str">
        <f>TEST_DATA!B5683</f>
        <v>Dec-2022</v>
      </c>
      <c r="C5683">
        <f>TEST_DATA!C5683</f>
        <v>44563</v>
      </c>
      <c r="D5683" t="str">
        <f>TEST_DATA!D5683</f>
        <v>NIL</v>
      </c>
      <c r="E5683">
        <f>TEST_DATA!E5683</f>
        <v>2795</v>
      </c>
    </row>
    <row r="5684" spans="1:5" x14ac:dyDescent="0.55000000000000004">
      <c r="A5684" t="str">
        <f>TEST_DATA!A5684</f>
        <v>27AAAAA5684Z5</v>
      </c>
      <c r="B5684" t="str">
        <f>TEST_DATA!B5684</f>
        <v>Dec-2017</v>
      </c>
      <c r="C5684">
        <f>TEST_DATA!C5684</f>
        <v>42918</v>
      </c>
      <c r="D5684" t="str">
        <f>TEST_DATA!D5684</f>
        <v>NIL</v>
      </c>
      <c r="E5684">
        <f>TEST_DATA!E5684</f>
        <v>2731</v>
      </c>
    </row>
    <row r="5685" spans="1:5" x14ac:dyDescent="0.55000000000000004">
      <c r="A5685" t="str">
        <f>TEST_DATA!A5685</f>
        <v>27AAAAA5685Z5</v>
      </c>
      <c r="B5685" t="str">
        <f>TEST_DATA!B5685</f>
        <v>Nov-2017</v>
      </c>
      <c r="C5685">
        <f>TEST_DATA!C5685</f>
        <v>43290</v>
      </c>
      <c r="D5685" t="str">
        <f>TEST_DATA!D5685</f>
        <v>NON-NIL</v>
      </c>
      <c r="E5685">
        <f>TEST_DATA!E5685</f>
        <v>1285</v>
      </c>
    </row>
    <row r="5686" spans="1:5" x14ac:dyDescent="0.55000000000000004">
      <c r="A5686" t="str">
        <f>TEST_DATA!A5686</f>
        <v>27AAAAA5686Z5</v>
      </c>
      <c r="B5686" t="str">
        <f>TEST_DATA!B5686</f>
        <v>Apr-2021</v>
      </c>
      <c r="C5686">
        <f>TEST_DATA!C5686</f>
        <v>45783</v>
      </c>
      <c r="D5686" t="str">
        <f>TEST_DATA!D5686</f>
        <v>NON-NIL</v>
      </c>
      <c r="E5686">
        <f>TEST_DATA!E5686</f>
        <v>243</v>
      </c>
    </row>
    <row r="5687" spans="1:5" x14ac:dyDescent="0.55000000000000004">
      <c r="A5687" t="str">
        <f>TEST_DATA!A5687</f>
        <v>27AAAAA5687Z5</v>
      </c>
      <c r="B5687" t="str">
        <f>TEST_DATA!B5687</f>
        <v>Jul-2017</v>
      </c>
      <c r="C5687">
        <f>TEST_DATA!C5687</f>
        <v>43240</v>
      </c>
      <c r="D5687" t="str">
        <f>TEST_DATA!D5687</f>
        <v>NON-NIL</v>
      </c>
      <c r="E5687">
        <f>TEST_DATA!E5687</f>
        <v>2865</v>
      </c>
    </row>
    <row r="5688" spans="1:5" x14ac:dyDescent="0.55000000000000004">
      <c r="A5688" t="str">
        <f>TEST_DATA!A5688</f>
        <v>27AAAAA5688Z5</v>
      </c>
      <c r="B5688" t="str">
        <f>TEST_DATA!B5688</f>
        <v>Aug-2017</v>
      </c>
      <c r="C5688">
        <f>TEST_DATA!C5688</f>
        <v>43078</v>
      </c>
      <c r="D5688" t="str">
        <f>TEST_DATA!D5688</f>
        <v>NON-NIL</v>
      </c>
      <c r="E5688">
        <f>TEST_DATA!E5688</f>
        <v>454</v>
      </c>
    </row>
    <row r="5689" spans="1:5" x14ac:dyDescent="0.55000000000000004">
      <c r="A5689" t="str">
        <f>TEST_DATA!A5689</f>
        <v>27AAAAA5689Z5</v>
      </c>
      <c r="B5689" t="str">
        <f>TEST_DATA!B5689</f>
        <v>May-2018</v>
      </c>
      <c r="C5689">
        <f>TEST_DATA!C5689</f>
        <v>43356</v>
      </c>
      <c r="D5689" t="str">
        <f>TEST_DATA!D5689</f>
        <v>NIL</v>
      </c>
      <c r="E5689">
        <f>TEST_DATA!E5689</f>
        <v>1421</v>
      </c>
    </row>
    <row r="5690" spans="1:5" x14ac:dyDescent="0.55000000000000004">
      <c r="A5690" t="str">
        <f>TEST_DATA!A5690</f>
        <v>27AAAAA5690Z5</v>
      </c>
      <c r="B5690" t="str">
        <f>TEST_DATA!B5690</f>
        <v>Apr-2021</v>
      </c>
      <c r="C5690">
        <f>TEST_DATA!C5690</f>
        <v>44529</v>
      </c>
      <c r="D5690" t="str">
        <f>TEST_DATA!D5690</f>
        <v>NON-NIL</v>
      </c>
      <c r="E5690">
        <f>TEST_DATA!E5690</f>
        <v>2595</v>
      </c>
    </row>
    <row r="5691" spans="1:5" x14ac:dyDescent="0.55000000000000004">
      <c r="A5691" t="str">
        <f>TEST_DATA!A5691</f>
        <v>27AAAAA5691Z5</v>
      </c>
      <c r="B5691" t="str">
        <f>TEST_DATA!B5691</f>
        <v>Dec-2024</v>
      </c>
      <c r="C5691">
        <f>TEST_DATA!C5691</f>
        <v>44857</v>
      </c>
      <c r="D5691" t="str">
        <f>TEST_DATA!D5691</f>
        <v>NIL</v>
      </c>
      <c r="E5691">
        <f>TEST_DATA!E5691</f>
        <v>1794</v>
      </c>
    </row>
    <row r="5692" spans="1:5" x14ac:dyDescent="0.55000000000000004">
      <c r="A5692" t="str">
        <f>TEST_DATA!A5692</f>
        <v>27AAAAA5692Z5</v>
      </c>
      <c r="B5692" t="str">
        <f>TEST_DATA!B5692</f>
        <v>Apr-2018</v>
      </c>
      <c r="C5692">
        <f>TEST_DATA!C5692</f>
        <v>43006</v>
      </c>
      <c r="D5692" t="str">
        <f>TEST_DATA!D5692</f>
        <v>NON-NIL</v>
      </c>
      <c r="E5692">
        <f>TEST_DATA!E5692</f>
        <v>409</v>
      </c>
    </row>
    <row r="5693" spans="1:5" x14ac:dyDescent="0.55000000000000004">
      <c r="A5693" t="str">
        <f>TEST_DATA!A5693</f>
        <v>27AAAAA5693Z5</v>
      </c>
      <c r="B5693" t="str">
        <f>TEST_DATA!B5693</f>
        <v>Mar-2021</v>
      </c>
      <c r="C5693">
        <f>TEST_DATA!C5693</f>
        <v>45280</v>
      </c>
      <c r="D5693" t="str">
        <f>TEST_DATA!D5693</f>
        <v>NIL</v>
      </c>
      <c r="E5693">
        <f>TEST_DATA!E5693</f>
        <v>528</v>
      </c>
    </row>
    <row r="5694" spans="1:5" x14ac:dyDescent="0.55000000000000004">
      <c r="A5694" t="str">
        <f>TEST_DATA!A5694</f>
        <v>27AAAAA5694Z5</v>
      </c>
      <c r="B5694" t="str">
        <f>TEST_DATA!B5694</f>
        <v>Sep-2018</v>
      </c>
      <c r="C5694">
        <f>TEST_DATA!C5694</f>
        <v>44135</v>
      </c>
      <c r="D5694" t="str">
        <f>TEST_DATA!D5694</f>
        <v>NIL</v>
      </c>
      <c r="E5694">
        <f>TEST_DATA!E5694</f>
        <v>1449</v>
      </c>
    </row>
    <row r="5695" spans="1:5" x14ac:dyDescent="0.55000000000000004">
      <c r="A5695" t="str">
        <f>TEST_DATA!A5695</f>
        <v>27AAAAA5695Z5</v>
      </c>
      <c r="B5695" t="str">
        <f>TEST_DATA!B5695</f>
        <v>Jul-2020</v>
      </c>
      <c r="C5695">
        <f>TEST_DATA!C5695</f>
        <v>44580</v>
      </c>
      <c r="D5695" t="str">
        <f>TEST_DATA!D5695</f>
        <v>NIL</v>
      </c>
      <c r="E5695">
        <f>TEST_DATA!E5695</f>
        <v>944</v>
      </c>
    </row>
    <row r="5696" spans="1:5" x14ac:dyDescent="0.55000000000000004">
      <c r="A5696" t="str">
        <f>TEST_DATA!A5696</f>
        <v>27AAAAA5696Z5</v>
      </c>
      <c r="B5696" t="str">
        <f>TEST_DATA!B5696</f>
        <v>Jun-2020</v>
      </c>
      <c r="C5696">
        <f>TEST_DATA!C5696</f>
        <v>43965</v>
      </c>
      <c r="D5696" t="str">
        <f>TEST_DATA!D5696</f>
        <v>NIL</v>
      </c>
      <c r="E5696">
        <f>TEST_DATA!E5696</f>
        <v>39</v>
      </c>
    </row>
    <row r="5697" spans="1:5" x14ac:dyDescent="0.55000000000000004">
      <c r="A5697" t="str">
        <f>TEST_DATA!A5697</f>
        <v>27AAAAA5697Z5</v>
      </c>
      <c r="B5697" t="str">
        <f>TEST_DATA!B5697</f>
        <v>Jul-2018</v>
      </c>
      <c r="C5697">
        <f>TEST_DATA!C5697</f>
        <v>43506</v>
      </c>
      <c r="D5697" t="str">
        <f>TEST_DATA!D5697</f>
        <v>NIL</v>
      </c>
      <c r="E5697">
        <f>TEST_DATA!E5697</f>
        <v>1245</v>
      </c>
    </row>
    <row r="5698" spans="1:5" x14ac:dyDescent="0.55000000000000004">
      <c r="A5698" t="str">
        <f>TEST_DATA!A5698</f>
        <v>27AAAAA5698Z5</v>
      </c>
      <c r="B5698" t="str">
        <f>TEST_DATA!B5698</f>
        <v>Mar-2021</v>
      </c>
      <c r="C5698">
        <f>TEST_DATA!C5698</f>
        <v>43515</v>
      </c>
      <c r="D5698" t="str">
        <f>TEST_DATA!D5698</f>
        <v>NIL</v>
      </c>
      <c r="E5698">
        <f>TEST_DATA!E5698</f>
        <v>2826</v>
      </c>
    </row>
    <row r="5699" spans="1:5" x14ac:dyDescent="0.55000000000000004">
      <c r="A5699" t="str">
        <f>TEST_DATA!A5699</f>
        <v>27AAAAA5699Z5</v>
      </c>
      <c r="B5699" t="str">
        <f>TEST_DATA!B5699</f>
        <v>Dec-2024</v>
      </c>
      <c r="C5699">
        <f>TEST_DATA!C5699</f>
        <v>45837</v>
      </c>
      <c r="D5699" t="str">
        <f>TEST_DATA!D5699</f>
        <v>NIL</v>
      </c>
      <c r="E5699">
        <f>TEST_DATA!E5699</f>
        <v>12</v>
      </c>
    </row>
    <row r="5700" spans="1:5" x14ac:dyDescent="0.55000000000000004">
      <c r="A5700" t="str">
        <f>TEST_DATA!A5700</f>
        <v>27AAAAA5700Z5</v>
      </c>
      <c r="B5700" t="str">
        <f>TEST_DATA!B5700</f>
        <v>Mar-2018</v>
      </c>
      <c r="C5700">
        <f>TEST_DATA!C5700</f>
        <v>43630</v>
      </c>
      <c r="D5700" t="str">
        <f>TEST_DATA!D5700</f>
        <v>NIL</v>
      </c>
      <c r="E5700">
        <f>TEST_DATA!E5700</f>
        <v>128</v>
      </c>
    </row>
    <row r="5701" spans="1:5" x14ac:dyDescent="0.55000000000000004">
      <c r="A5701" t="str">
        <f>TEST_DATA!A5701</f>
        <v>27AAAAA5701Z5</v>
      </c>
      <c r="B5701" t="str">
        <f>TEST_DATA!B5701</f>
        <v>Dec-2024</v>
      </c>
      <c r="C5701">
        <f>TEST_DATA!C5701</f>
        <v>44344</v>
      </c>
      <c r="D5701" t="str">
        <f>TEST_DATA!D5701</f>
        <v>NON-NIL</v>
      </c>
      <c r="E5701">
        <f>TEST_DATA!E5701</f>
        <v>186</v>
      </c>
    </row>
    <row r="5702" spans="1:5" x14ac:dyDescent="0.55000000000000004">
      <c r="A5702" t="str">
        <f>TEST_DATA!A5702</f>
        <v>27AAAAA5702Z5</v>
      </c>
      <c r="B5702" t="str">
        <f>TEST_DATA!B5702</f>
        <v>Jun-2019</v>
      </c>
      <c r="C5702">
        <f>TEST_DATA!C5702</f>
        <v>44630</v>
      </c>
      <c r="D5702" t="str">
        <f>TEST_DATA!D5702</f>
        <v>NIL</v>
      </c>
      <c r="E5702">
        <f>TEST_DATA!E5702</f>
        <v>294</v>
      </c>
    </row>
    <row r="5703" spans="1:5" x14ac:dyDescent="0.55000000000000004">
      <c r="A5703" t="str">
        <f>TEST_DATA!A5703</f>
        <v>27AAAAA5703Z5</v>
      </c>
      <c r="B5703" t="str">
        <f>TEST_DATA!B5703</f>
        <v>Dec-2019</v>
      </c>
      <c r="C5703">
        <f>TEST_DATA!C5703</f>
        <v>44694</v>
      </c>
      <c r="D5703" t="str">
        <f>TEST_DATA!D5703</f>
        <v>NIL</v>
      </c>
      <c r="E5703">
        <f>TEST_DATA!E5703</f>
        <v>906</v>
      </c>
    </row>
    <row r="5704" spans="1:5" x14ac:dyDescent="0.55000000000000004">
      <c r="A5704" t="str">
        <f>TEST_DATA!A5704</f>
        <v>27AAAAA5704Z5</v>
      </c>
      <c r="B5704" t="str">
        <f>TEST_DATA!B5704</f>
        <v>May-2020</v>
      </c>
      <c r="C5704">
        <f>TEST_DATA!C5704</f>
        <v>44520</v>
      </c>
      <c r="D5704" t="str">
        <f>TEST_DATA!D5704</f>
        <v>NIL</v>
      </c>
      <c r="E5704">
        <f>TEST_DATA!E5704</f>
        <v>2234</v>
      </c>
    </row>
    <row r="5705" spans="1:5" x14ac:dyDescent="0.55000000000000004">
      <c r="A5705" t="str">
        <f>TEST_DATA!A5705</f>
        <v>27AAAAA5705Z5</v>
      </c>
      <c r="B5705" t="str">
        <f>TEST_DATA!B5705</f>
        <v>Jun-2018</v>
      </c>
      <c r="C5705">
        <f>TEST_DATA!C5705</f>
        <v>43625</v>
      </c>
      <c r="D5705" t="str">
        <f>TEST_DATA!D5705</f>
        <v>NIL</v>
      </c>
      <c r="E5705">
        <f>TEST_DATA!E5705</f>
        <v>1531</v>
      </c>
    </row>
    <row r="5706" spans="1:5" x14ac:dyDescent="0.55000000000000004">
      <c r="A5706" t="str">
        <f>TEST_DATA!A5706</f>
        <v>27AAAAA5706Z5</v>
      </c>
      <c r="B5706" t="str">
        <f>TEST_DATA!B5706</f>
        <v>Jun-2020</v>
      </c>
      <c r="C5706">
        <f>TEST_DATA!C5706</f>
        <v>44528</v>
      </c>
      <c r="D5706" t="str">
        <f>TEST_DATA!D5706</f>
        <v>NIL</v>
      </c>
      <c r="E5706">
        <f>TEST_DATA!E5706</f>
        <v>187</v>
      </c>
    </row>
    <row r="5707" spans="1:5" x14ac:dyDescent="0.55000000000000004">
      <c r="A5707" t="str">
        <f>TEST_DATA!A5707</f>
        <v>27AAAAA5707Z5</v>
      </c>
      <c r="B5707" t="str">
        <f>TEST_DATA!B5707</f>
        <v>Jun-2018</v>
      </c>
      <c r="C5707">
        <f>TEST_DATA!C5707</f>
        <v>43711</v>
      </c>
      <c r="D5707" t="str">
        <f>TEST_DATA!D5707</f>
        <v>NIL</v>
      </c>
      <c r="E5707">
        <f>TEST_DATA!E5707</f>
        <v>136</v>
      </c>
    </row>
    <row r="5708" spans="1:5" x14ac:dyDescent="0.55000000000000004">
      <c r="A5708" t="str">
        <f>TEST_DATA!A5708</f>
        <v>27AAAAA5708Z5</v>
      </c>
      <c r="B5708" t="str">
        <f>TEST_DATA!B5708</f>
        <v>Aug-2017</v>
      </c>
      <c r="C5708">
        <f>TEST_DATA!C5708</f>
        <v>43751</v>
      </c>
      <c r="D5708" t="str">
        <f>TEST_DATA!D5708</f>
        <v>NON-NIL</v>
      </c>
      <c r="E5708">
        <f>TEST_DATA!E5708</f>
        <v>2332</v>
      </c>
    </row>
    <row r="5709" spans="1:5" x14ac:dyDescent="0.55000000000000004">
      <c r="A5709" t="str">
        <f>TEST_DATA!A5709</f>
        <v>27AAAAA5709Z5</v>
      </c>
      <c r="B5709" t="str">
        <f>TEST_DATA!B5709</f>
        <v>Mar-2020</v>
      </c>
      <c r="C5709">
        <f>TEST_DATA!C5709</f>
        <v>43857</v>
      </c>
      <c r="D5709" t="str">
        <f>TEST_DATA!D5709</f>
        <v>NIL</v>
      </c>
      <c r="E5709">
        <f>TEST_DATA!E5709</f>
        <v>1629</v>
      </c>
    </row>
    <row r="5710" spans="1:5" x14ac:dyDescent="0.55000000000000004">
      <c r="A5710" t="str">
        <f>TEST_DATA!A5710</f>
        <v>27AAAAA5710Z5</v>
      </c>
      <c r="B5710" t="str">
        <f>TEST_DATA!B5710</f>
        <v>Mar-2020</v>
      </c>
      <c r="C5710">
        <f>TEST_DATA!C5710</f>
        <v>44708</v>
      </c>
      <c r="D5710" t="str">
        <f>TEST_DATA!D5710</f>
        <v>NIL</v>
      </c>
      <c r="E5710">
        <f>TEST_DATA!E5710</f>
        <v>301</v>
      </c>
    </row>
    <row r="5711" spans="1:5" x14ac:dyDescent="0.55000000000000004">
      <c r="A5711" t="str">
        <f>TEST_DATA!A5711</f>
        <v>27AAAAA5711Z5</v>
      </c>
      <c r="B5711" t="str">
        <f>TEST_DATA!B5711</f>
        <v>Dec-2019</v>
      </c>
      <c r="C5711">
        <f>TEST_DATA!C5711</f>
        <v>45050</v>
      </c>
      <c r="D5711" t="str">
        <f>TEST_DATA!D5711</f>
        <v>NON-NIL</v>
      </c>
      <c r="E5711">
        <f>TEST_DATA!E5711</f>
        <v>1955</v>
      </c>
    </row>
    <row r="5712" spans="1:5" x14ac:dyDescent="0.55000000000000004">
      <c r="A5712" t="str">
        <f>TEST_DATA!A5712</f>
        <v>27AAAAA5712Z5</v>
      </c>
      <c r="B5712" t="str">
        <f>TEST_DATA!B5712</f>
        <v>Mar-2018</v>
      </c>
      <c r="C5712">
        <f>TEST_DATA!C5712</f>
        <v>43007</v>
      </c>
      <c r="D5712" t="str">
        <f>TEST_DATA!D5712</f>
        <v>NIL</v>
      </c>
      <c r="E5712">
        <f>TEST_DATA!E5712</f>
        <v>1961</v>
      </c>
    </row>
    <row r="5713" spans="1:5" x14ac:dyDescent="0.55000000000000004">
      <c r="A5713" t="str">
        <f>TEST_DATA!A5713</f>
        <v>27AAAAA5713Z5</v>
      </c>
      <c r="B5713" t="str">
        <f>TEST_DATA!B5713</f>
        <v>Jun-2019</v>
      </c>
      <c r="C5713">
        <f>TEST_DATA!C5713</f>
        <v>44559</v>
      </c>
      <c r="D5713" t="str">
        <f>TEST_DATA!D5713</f>
        <v>NIL</v>
      </c>
      <c r="E5713">
        <f>TEST_DATA!E5713</f>
        <v>2935</v>
      </c>
    </row>
    <row r="5714" spans="1:5" x14ac:dyDescent="0.55000000000000004">
      <c r="A5714" t="str">
        <f>TEST_DATA!A5714</f>
        <v>27AAAAA5714Z5</v>
      </c>
      <c r="B5714" t="str">
        <f>TEST_DATA!B5714</f>
        <v>Dec-2024</v>
      </c>
      <c r="C5714">
        <f>TEST_DATA!C5714</f>
        <v>44358</v>
      </c>
      <c r="D5714" t="str">
        <f>TEST_DATA!D5714</f>
        <v>NIL</v>
      </c>
      <c r="E5714">
        <f>TEST_DATA!E5714</f>
        <v>2335</v>
      </c>
    </row>
    <row r="5715" spans="1:5" x14ac:dyDescent="0.55000000000000004">
      <c r="A5715" t="str">
        <f>TEST_DATA!A5715</f>
        <v>27AAAAA5715Z5</v>
      </c>
      <c r="B5715" t="str">
        <f>TEST_DATA!B5715</f>
        <v>Mar-2023</v>
      </c>
      <c r="C5715">
        <f>TEST_DATA!C5715</f>
        <v>44649</v>
      </c>
      <c r="D5715" t="str">
        <f>TEST_DATA!D5715</f>
        <v>NON-NIL</v>
      </c>
      <c r="E5715">
        <f>TEST_DATA!E5715</f>
        <v>2379</v>
      </c>
    </row>
    <row r="5716" spans="1:5" x14ac:dyDescent="0.55000000000000004">
      <c r="A5716" t="str">
        <f>TEST_DATA!A5716</f>
        <v>27AAAAA5716Z5</v>
      </c>
      <c r="B5716" t="str">
        <f>TEST_DATA!B5716</f>
        <v>Jul-2020</v>
      </c>
      <c r="C5716">
        <f>TEST_DATA!C5716</f>
        <v>44598</v>
      </c>
      <c r="D5716" t="str">
        <f>TEST_DATA!D5716</f>
        <v>NIL</v>
      </c>
      <c r="E5716">
        <f>TEST_DATA!E5716</f>
        <v>84</v>
      </c>
    </row>
    <row r="5717" spans="1:5" x14ac:dyDescent="0.55000000000000004">
      <c r="A5717" t="str">
        <f>TEST_DATA!A5717</f>
        <v>27AAAAA5717Z5</v>
      </c>
      <c r="B5717" t="str">
        <f>TEST_DATA!B5717</f>
        <v>Jul-2017</v>
      </c>
      <c r="C5717">
        <f>TEST_DATA!C5717</f>
        <v>43721</v>
      </c>
      <c r="D5717" t="str">
        <f>TEST_DATA!D5717</f>
        <v>NON-NIL</v>
      </c>
      <c r="E5717">
        <f>TEST_DATA!E5717</f>
        <v>1877</v>
      </c>
    </row>
    <row r="5718" spans="1:5" x14ac:dyDescent="0.55000000000000004">
      <c r="A5718" t="str">
        <f>TEST_DATA!A5718</f>
        <v>27AAAAA5718Z5</v>
      </c>
      <c r="B5718" t="str">
        <f>TEST_DATA!B5718</f>
        <v>Jul-2018</v>
      </c>
      <c r="C5718">
        <f>TEST_DATA!C5718</f>
        <v>44470</v>
      </c>
      <c r="D5718" t="str">
        <f>TEST_DATA!D5718</f>
        <v>NIL</v>
      </c>
      <c r="E5718">
        <f>TEST_DATA!E5718</f>
        <v>1368</v>
      </c>
    </row>
    <row r="5719" spans="1:5" x14ac:dyDescent="0.55000000000000004">
      <c r="A5719" t="str">
        <f>TEST_DATA!A5719</f>
        <v>27AAAAA5719Z5</v>
      </c>
      <c r="B5719" t="str">
        <f>TEST_DATA!B5719</f>
        <v>May-2018</v>
      </c>
      <c r="C5719">
        <f>TEST_DATA!C5719</f>
        <v>42933</v>
      </c>
      <c r="D5719" t="str">
        <f>TEST_DATA!D5719</f>
        <v>NIL</v>
      </c>
      <c r="E5719">
        <f>TEST_DATA!E5719</f>
        <v>658</v>
      </c>
    </row>
    <row r="5720" spans="1:5" x14ac:dyDescent="0.55000000000000004">
      <c r="A5720" t="str">
        <f>TEST_DATA!A5720</f>
        <v>27AAAAA5720Z5</v>
      </c>
      <c r="B5720" t="str">
        <f>TEST_DATA!B5720</f>
        <v>May-2020</v>
      </c>
      <c r="C5720">
        <f>TEST_DATA!C5720</f>
        <v>44543</v>
      </c>
      <c r="D5720" t="str">
        <f>TEST_DATA!D5720</f>
        <v>NIL</v>
      </c>
      <c r="E5720">
        <f>TEST_DATA!E5720</f>
        <v>298</v>
      </c>
    </row>
    <row r="5721" spans="1:5" x14ac:dyDescent="0.55000000000000004">
      <c r="A5721" t="str">
        <f>TEST_DATA!A5721</f>
        <v>27AAAAA5721Z5</v>
      </c>
      <c r="B5721" t="str">
        <f>TEST_DATA!B5721</f>
        <v>Jan-2019</v>
      </c>
      <c r="C5721">
        <f>TEST_DATA!C5721</f>
        <v>44336</v>
      </c>
      <c r="D5721" t="str">
        <f>TEST_DATA!D5721</f>
        <v>NON-NIL</v>
      </c>
      <c r="E5721">
        <f>TEST_DATA!E5721</f>
        <v>1282</v>
      </c>
    </row>
    <row r="5722" spans="1:5" x14ac:dyDescent="0.55000000000000004">
      <c r="A5722" t="str">
        <f>TEST_DATA!A5722</f>
        <v>27AAAAA5722Z5</v>
      </c>
      <c r="B5722" t="str">
        <f>TEST_DATA!B5722</f>
        <v>Mar-2018</v>
      </c>
      <c r="C5722">
        <f>TEST_DATA!C5722</f>
        <v>43183</v>
      </c>
      <c r="D5722" t="str">
        <f>TEST_DATA!D5722</f>
        <v>NON-NIL</v>
      </c>
      <c r="E5722">
        <f>TEST_DATA!E5722</f>
        <v>752</v>
      </c>
    </row>
    <row r="5723" spans="1:5" x14ac:dyDescent="0.55000000000000004">
      <c r="A5723" t="str">
        <f>TEST_DATA!A5723</f>
        <v>27AAAAA5723Z5</v>
      </c>
      <c r="B5723" t="str">
        <f>TEST_DATA!B5723</f>
        <v>Apr-2018</v>
      </c>
      <c r="C5723">
        <f>TEST_DATA!C5723</f>
        <v>43133</v>
      </c>
      <c r="D5723" t="str">
        <f>TEST_DATA!D5723</f>
        <v>NON-NIL</v>
      </c>
      <c r="E5723">
        <f>TEST_DATA!E5723</f>
        <v>2200</v>
      </c>
    </row>
    <row r="5724" spans="1:5" x14ac:dyDescent="0.55000000000000004">
      <c r="A5724" t="str">
        <f>TEST_DATA!A5724</f>
        <v>27AAAAA5724Z5</v>
      </c>
      <c r="B5724" t="str">
        <f>TEST_DATA!B5724</f>
        <v>Mar-2018</v>
      </c>
      <c r="C5724">
        <f>TEST_DATA!C5724</f>
        <v>43293</v>
      </c>
      <c r="D5724" t="str">
        <f>TEST_DATA!D5724</f>
        <v>NIL</v>
      </c>
      <c r="E5724">
        <f>TEST_DATA!E5724</f>
        <v>2571</v>
      </c>
    </row>
    <row r="5725" spans="1:5" x14ac:dyDescent="0.55000000000000004">
      <c r="A5725" t="str">
        <f>TEST_DATA!A5725</f>
        <v>27AAAAA5725Z5</v>
      </c>
      <c r="B5725" t="str">
        <f>TEST_DATA!B5725</f>
        <v>Dec-2017</v>
      </c>
      <c r="C5725">
        <f>TEST_DATA!C5725</f>
        <v>44271</v>
      </c>
      <c r="D5725" t="str">
        <f>TEST_DATA!D5725</f>
        <v>NIL</v>
      </c>
      <c r="E5725">
        <f>TEST_DATA!E5725</f>
        <v>896</v>
      </c>
    </row>
    <row r="5726" spans="1:5" x14ac:dyDescent="0.55000000000000004">
      <c r="A5726" t="str">
        <f>TEST_DATA!A5726</f>
        <v>27AAAAA5726Z5</v>
      </c>
      <c r="B5726" t="str">
        <f>TEST_DATA!B5726</f>
        <v>Apr-2021</v>
      </c>
      <c r="C5726">
        <f>TEST_DATA!C5726</f>
        <v>44372</v>
      </c>
      <c r="D5726" t="str">
        <f>TEST_DATA!D5726</f>
        <v>NON-NIL</v>
      </c>
      <c r="E5726">
        <f>TEST_DATA!E5726</f>
        <v>1355</v>
      </c>
    </row>
    <row r="5727" spans="1:5" x14ac:dyDescent="0.55000000000000004">
      <c r="A5727" t="str">
        <f>TEST_DATA!A5727</f>
        <v>27AAAAA5727Z5</v>
      </c>
      <c r="B5727" t="str">
        <f>TEST_DATA!B5727</f>
        <v>Mar-2023</v>
      </c>
      <c r="C5727">
        <f>TEST_DATA!C5727</f>
        <v>43856</v>
      </c>
      <c r="D5727" t="str">
        <f>TEST_DATA!D5727</f>
        <v>NIL</v>
      </c>
      <c r="E5727">
        <f>TEST_DATA!E5727</f>
        <v>62</v>
      </c>
    </row>
    <row r="5728" spans="1:5" x14ac:dyDescent="0.55000000000000004">
      <c r="A5728" t="str">
        <f>TEST_DATA!A5728</f>
        <v>27AAAAA5728Z5</v>
      </c>
      <c r="B5728" t="str">
        <f>TEST_DATA!B5728</f>
        <v>Jan-2021</v>
      </c>
      <c r="C5728">
        <f>TEST_DATA!C5728</f>
        <v>43596</v>
      </c>
      <c r="D5728" t="str">
        <f>TEST_DATA!D5728</f>
        <v>NIL</v>
      </c>
      <c r="E5728">
        <f>TEST_DATA!E5728</f>
        <v>2634</v>
      </c>
    </row>
    <row r="5729" spans="1:5" x14ac:dyDescent="0.55000000000000004">
      <c r="A5729" t="str">
        <f>TEST_DATA!A5729</f>
        <v>27AAAAA5729Z5</v>
      </c>
      <c r="B5729" t="str">
        <f>TEST_DATA!B5729</f>
        <v>Dec-2024</v>
      </c>
      <c r="C5729">
        <f>TEST_DATA!C5729</f>
        <v>45193</v>
      </c>
      <c r="D5729" t="str">
        <f>TEST_DATA!D5729</f>
        <v>NIL</v>
      </c>
      <c r="E5729">
        <f>TEST_DATA!E5729</f>
        <v>1458</v>
      </c>
    </row>
    <row r="5730" spans="1:5" x14ac:dyDescent="0.55000000000000004">
      <c r="A5730" t="str">
        <f>TEST_DATA!A5730</f>
        <v>27AAAAA5730Z5</v>
      </c>
      <c r="B5730" t="str">
        <f>TEST_DATA!B5730</f>
        <v>Feb-2018</v>
      </c>
      <c r="C5730">
        <f>TEST_DATA!C5730</f>
        <v>42928</v>
      </c>
      <c r="D5730" t="str">
        <f>TEST_DATA!D5730</f>
        <v>NON-NIL</v>
      </c>
      <c r="E5730">
        <f>TEST_DATA!E5730</f>
        <v>2090</v>
      </c>
    </row>
    <row r="5731" spans="1:5" x14ac:dyDescent="0.55000000000000004">
      <c r="A5731" t="str">
        <f>TEST_DATA!A5731</f>
        <v>27AAAAA5731Z5</v>
      </c>
      <c r="B5731" t="str">
        <f>TEST_DATA!B5731</f>
        <v>Mar-2018</v>
      </c>
      <c r="C5731">
        <f>TEST_DATA!C5731</f>
        <v>43414</v>
      </c>
      <c r="D5731" t="str">
        <f>TEST_DATA!D5731</f>
        <v>NIL</v>
      </c>
      <c r="E5731">
        <f>TEST_DATA!E5731</f>
        <v>620</v>
      </c>
    </row>
    <row r="5732" spans="1:5" x14ac:dyDescent="0.55000000000000004">
      <c r="A5732" t="str">
        <f>TEST_DATA!A5732</f>
        <v>27AAAAA5732Z5</v>
      </c>
      <c r="B5732" t="str">
        <f>TEST_DATA!B5732</f>
        <v>Dec-2024</v>
      </c>
      <c r="C5732">
        <f>TEST_DATA!C5732</f>
        <v>43943</v>
      </c>
      <c r="D5732" t="str">
        <f>TEST_DATA!D5732</f>
        <v>NIL</v>
      </c>
      <c r="E5732">
        <f>TEST_DATA!E5732</f>
        <v>1572</v>
      </c>
    </row>
    <row r="5733" spans="1:5" x14ac:dyDescent="0.55000000000000004">
      <c r="A5733" t="str">
        <f>TEST_DATA!A5733</f>
        <v>27AAAAA5733Z5</v>
      </c>
      <c r="B5733" t="str">
        <f>TEST_DATA!B5733</f>
        <v>Jul-2018</v>
      </c>
      <c r="C5733">
        <f>TEST_DATA!C5733</f>
        <v>43826</v>
      </c>
      <c r="D5733" t="str">
        <f>TEST_DATA!D5733</f>
        <v>NIL</v>
      </c>
      <c r="E5733">
        <f>TEST_DATA!E5733</f>
        <v>557</v>
      </c>
    </row>
    <row r="5734" spans="1:5" x14ac:dyDescent="0.55000000000000004">
      <c r="A5734" t="str">
        <f>TEST_DATA!A5734</f>
        <v>27AAAAA5734Z5</v>
      </c>
      <c r="B5734" t="str">
        <f>TEST_DATA!B5734</f>
        <v>Apr-2020</v>
      </c>
      <c r="C5734">
        <f>TEST_DATA!C5734</f>
        <v>43844</v>
      </c>
      <c r="D5734" t="str">
        <f>TEST_DATA!D5734</f>
        <v>NON-NIL</v>
      </c>
      <c r="E5734">
        <f>TEST_DATA!E5734</f>
        <v>2778</v>
      </c>
    </row>
    <row r="5735" spans="1:5" x14ac:dyDescent="0.55000000000000004">
      <c r="A5735" t="str">
        <f>TEST_DATA!A5735</f>
        <v>27AAAAA5735Z5</v>
      </c>
      <c r="B5735" t="str">
        <f>TEST_DATA!B5735</f>
        <v>May-2018</v>
      </c>
      <c r="C5735">
        <f>TEST_DATA!C5735</f>
        <v>43851</v>
      </c>
      <c r="D5735" t="str">
        <f>TEST_DATA!D5735</f>
        <v>NON-NIL</v>
      </c>
      <c r="E5735">
        <f>TEST_DATA!E5735</f>
        <v>2304</v>
      </c>
    </row>
    <row r="5736" spans="1:5" x14ac:dyDescent="0.55000000000000004">
      <c r="A5736" t="str">
        <f>TEST_DATA!A5736</f>
        <v>27AAAAA5736Z5</v>
      </c>
      <c r="B5736" t="str">
        <f>TEST_DATA!B5736</f>
        <v>Dec-2019</v>
      </c>
      <c r="C5736">
        <f>TEST_DATA!C5736</f>
        <v>45690</v>
      </c>
      <c r="D5736" t="str">
        <f>TEST_DATA!D5736</f>
        <v>NON-NIL</v>
      </c>
      <c r="E5736">
        <f>TEST_DATA!E5736</f>
        <v>1324</v>
      </c>
    </row>
    <row r="5737" spans="1:5" x14ac:dyDescent="0.55000000000000004">
      <c r="A5737" t="str">
        <f>TEST_DATA!A5737</f>
        <v>27AAAAA5737Z5</v>
      </c>
      <c r="B5737" t="str">
        <f>TEST_DATA!B5737</f>
        <v>Mar-2023</v>
      </c>
      <c r="C5737">
        <f>TEST_DATA!C5737</f>
        <v>45782</v>
      </c>
      <c r="D5737" t="str">
        <f>TEST_DATA!D5737</f>
        <v>NIL</v>
      </c>
      <c r="E5737">
        <f>TEST_DATA!E5737</f>
        <v>359</v>
      </c>
    </row>
    <row r="5738" spans="1:5" x14ac:dyDescent="0.55000000000000004">
      <c r="A5738" t="str">
        <f>TEST_DATA!A5738</f>
        <v>27AAAAA5738Z5</v>
      </c>
      <c r="B5738" t="str">
        <f>TEST_DATA!B5738</f>
        <v>Dec-2017</v>
      </c>
      <c r="C5738">
        <f>TEST_DATA!C5738</f>
        <v>44132</v>
      </c>
      <c r="D5738" t="str">
        <f>TEST_DATA!D5738</f>
        <v>NON-NIL</v>
      </c>
      <c r="E5738">
        <f>TEST_DATA!E5738</f>
        <v>1276</v>
      </c>
    </row>
    <row r="5739" spans="1:5" x14ac:dyDescent="0.55000000000000004">
      <c r="A5739" t="str">
        <f>TEST_DATA!A5739</f>
        <v>27AAAAA5739Z5</v>
      </c>
      <c r="B5739" t="str">
        <f>TEST_DATA!B5739</f>
        <v>Dec-2017</v>
      </c>
      <c r="C5739">
        <f>TEST_DATA!C5739</f>
        <v>43726</v>
      </c>
      <c r="D5739" t="str">
        <f>TEST_DATA!D5739</f>
        <v>NIL</v>
      </c>
      <c r="E5739">
        <f>TEST_DATA!E5739</f>
        <v>945</v>
      </c>
    </row>
    <row r="5740" spans="1:5" x14ac:dyDescent="0.55000000000000004">
      <c r="A5740" t="str">
        <f>TEST_DATA!A5740</f>
        <v>27AAAAA5740Z5</v>
      </c>
      <c r="B5740" t="str">
        <f>TEST_DATA!B5740</f>
        <v>Dec-2022</v>
      </c>
      <c r="C5740">
        <f>TEST_DATA!C5740</f>
        <v>44450</v>
      </c>
      <c r="D5740" t="str">
        <f>TEST_DATA!D5740</f>
        <v>NON-NIL</v>
      </c>
      <c r="E5740">
        <f>TEST_DATA!E5740</f>
        <v>2748</v>
      </c>
    </row>
    <row r="5741" spans="1:5" x14ac:dyDescent="0.55000000000000004">
      <c r="A5741" t="str">
        <f>TEST_DATA!A5741</f>
        <v>27AAAAA5741Z5</v>
      </c>
      <c r="B5741" t="str">
        <f>TEST_DATA!B5741</f>
        <v>Apr-2021</v>
      </c>
      <c r="C5741">
        <f>TEST_DATA!C5741</f>
        <v>44199</v>
      </c>
      <c r="D5741" t="str">
        <f>TEST_DATA!D5741</f>
        <v>NIL</v>
      </c>
      <c r="E5741">
        <f>TEST_DATA!E5741</f>
        <v>2843</v>
      </c>
    </row>
    <row r="5742" spans="1:5" x14ac:dyDescent="0.55000000000000004">
      <c r="A5742" t="str">
        <f>TEST_DATA!A5742</f>
        <v>27AAAAA5742Z5</v>
      </c>
      <c r="B5742" t="str">
        <f>TEST_DATA!B5742</f>
        <v>Nov-2017</v>
      </c>
      <c r="C5742">
        <f>TEST_DATA!C5742</f>
        <v>43854</v>
      </c>
      <c r="D5742" t="str">
        <f>TEST_DATA!D5742</f>
        <v>NON-NIL</v>
      </c>
      <c r="E5742">
        <f>TEST_DATA!E5742</f>
        <v>1448</v>
      </c>
    </row>
    <row r="5743" spans="1:5" x14ac:dyDescent="0.55000000000000004">
      <c r="A5743" t="str">
        <f>TEST_DATA!A5743</f>
        <v>27AAAAA5743Z5</v>
      </c>
      <c r="B5743" t="str">
        <f>TEST_DATA!B5743</f>
        <v>Jun-2019</v>
      </c>
      <c r="C5743">
        <f>TEST_DATA!C5743</f>
        <v>44230</v>
      </c>
      <c r="D5743" t="str">
        <f>TEST_DATA!D5743</f>
        <v>NIL</v>
      </c>
      <c r="E5743">
        <f>TEST_DATA!E5743</f>
        <v>1047</v>
      </c>
    </row>
    <row r="5744" spans="1:5" x14ac:dyDescent="0.55000000000000004">
      <c r="A5744" t="str">
        <f>TEST_DATA!A5744</f>
        <v>27AAAAA5744Z5</v>
      </c>
      <c r="B5744" t="str">
        <f>TEST_DATA!B5744</f>
        <v>Sep-2018</v>
      </c>
      <c r="C5744">
        <f>TEST_DATA!C5744</f>
        <v>43865</v>
      </c>
      <c r="D5744" t="str">
        <f>TEST_DATA!D5744</f>
        <v>NIL</v>
      </c>
      <c r="E5744">
        <f>TEST_DATA!E5744</f>
        <v>2846</v>
      </c>
    </row>
    <row r="5745" spans="1:5" x14ac:dyDescent="0.55000000000000004">
      <c r="A5745" t="str">
        <f>TEST_DATA!A5745</f>
        <v>27AAAAA5745Z5</v>
      </c>
      <c r="B5745" t="str">
        <f>TEST_DATA!B5745</f>
        <v>Apr-2020</v>
      </c>
      <c r="C5745">
        <f>TEST_DATA!C5745</f>
        <v>44089</v>
      </c>
      <c r="D5745" t="str">
        <f>TEST_DATA!D5745</f>
        <v>NIL</v>
      </c>
      <c r="E5745">
        <f>TEST_DATA!E5745</f>
        <v>1822</v>
      </c>
    </row>
    <row r="5746" spans="1:5" x14ac:dyDescent="0.55000000000000004">
      <c r="A5746" t="str">
        <f>TEST_DATA!A5746</f>
        <v>27AAAAA5746Z5</v>
      </c>
      <c r="B5746" t="str">
        <f>TEST_DATA!B5746</f>
        <v>Oct-2017</v>
      </c>
      <c r="C5746">
        <f>TEST_DATA!C5746</f>
        <v>43103</v>
      </c>
      <c r="D5746" t="str">
        <f>TEST_DATA!D5746</f>
        <v>NON-NIL</v>
      </c>
      <c r="E5746">
        <f>TEST_DATA!E5746</f>
        <v>663</v>
      </c>
    </row>
    <row r="5747" spans="1:5" x14ac:dyDescent="0.55000000000000004">
      <c r="A5747" t="str">
        <f>TEST_DATA!A5747</f>
        <v>27AAAAA5747Z5</v>
      </c>
      <c r="B5747" t="str">
        <f>TEST_DATA!B5747</f>
        <v>Feb-2018</v>
      </c>
      <c r="C5747">
        <f>TEST_DATA!C5747</f>
        <v>44378</v>
      </c>
      <c r="D5747" t="str">
        <f>TEST_DATA!D5747</f>
        <v>NIL</v>
      </c>
      <c r="E5747">
        <f>TEST_DATA!E5747</f>
        <v>741</v>
      </c>
    </row>
    <row r="5748" spans="1:5" x14ac:dyDescent="0.55000000000000004">
      <c r="A5748" t="str">
        <f>TEST_DATA!A5748</f>
        <v>27AAAAA5748Z5</v>
      </c>
      <c r="B5748" t="str">
        <f>TEST_DATA!B5748</f>
        <v>Jan-2018</v>
      </c>
      <c r="C5748">
        <f>TEST_DATA!C5748</f>
        <v>43800</v>
      </c>
      <c r="D5748" t="str">
        <f>TEST_DATA!D5748</f>
        <v>NIL</v>
      </c>
      <c r="E5748">
        <f>TEST_DATA!E5748</f>
        <v>405</v>
      </c>
    </row>
    <row r="5749" spans="1:5" x14ac:dyDescent="0.55000000000000004">
      <c r="A5749" t="str">
        <f>TEST_DATA!A5749</f>
        <v>27AAAAA5749Z5</v>
      </c>
      <c r="B5749" t="str">
        <f>TEST_DATA!B5749</f>
        <v>May-2020</v>
      </c>
      <c r="C5749">
        <f>TEST_DATA!C5749</f>
        <v>44181</v>
      </c>
      <c r="D5749" t="str">
        <f>TEST_DATA!D5749</f>
        <v>NIL</v>
      </c>
      <c r="E5749">
        <f>TEST_DATA!E5749</f>
        <v>1444</v>
      </c>
    </row>
    <row r="5750" spans="1:5" x14ac:dyDescent="0.55000000000000004">
      <c r="A5750" t="str">
        <f>TEST_DATA!A5750</f>
        <v>27AAAAA5750Z5</v>
      </c>
      <c r="B5750" t="str">
        <f>TEST_DATA!B5750</f>
        <v>Jun-2019</v>
      </c>
      <c r="C5750">
        <f>TEST_DATA!C5750</f>
        <v>43975</v>
      </c>
      <c r="D5750" t="str">
        <f>TEST_DATA!D5750</f>
        <v>NON-NIL</v>
      </c>
      <c r="E5750">
        <f>TEST_DATA!E5750</f>
        <v>2960</v>
      </c>
    </row>
    <row r="5751" spans="1:5" x14ac:dyDescent="0.55000000000000004">
      <c r="A5751" t="str">
        <f>TEST_DATA!A5751</f>
        <v>27AAAAA5751Z5</v>
      </c>
      <c r="B5751" t="str">
        <f>TEST_DATA!B5751</f>
        <v>Jul-2017</v>
      </c>
      <c r="C5751">
        <f>TEST_DATA!C5751</f>
        <v>44322</v>
      </c>
      <c r="D5751" t="str">
        <f>TEST_DATA!D5751</f>
        <v>NON-NIL</v>
      </c>
      <c r="E5751">
        <f>TEST_DATA!E5751</f>
        <v>2316</v>
      </c>
    </row>
    <row r="5752" spans="1:5" x14ac:dyDescent="0.55000000000000004">
      <c r="A5752" t="str">
        <f>TEST_DATA!A5752</f>
        <v>27AAAAA5752Z5</v>
      </c>
      <c r="B5752" t="str">
        <f>TEST_DATA!B5752</f>
        <v>Oct-2017</v>
      </c>
      <c r="C5752">
        <f>TEST_DATA!C5752</f>
        <v>43805</v>
      </c>
      <c r="D5752" t="str">
        <f>TEST_DATA!D5752</f>
        <v>NIL</v>
      </c>
      <c r="E5752">
        <f>TEST_DATA!E5752</f>
        <v>459</v>
      </c>
    </row>
    <row r="5753" spans="1:5" x14ac:dyDescent="0.55000000000000004">
      <c r="A5753" t="str">
        <f>TEST_DATA!A5753</f>
        <v>27AAAAA5753Z5</v>
      </c>
      <c r="B5753" t="str">
        <f>TEST_DATA!B5753</f>
        <v>Jun-2019</v>
      </c>
      <c r="C5753">
        <f>TEST_DATA!C5753</f>
        <v>45254</v>
      </c>
      <c r="D5753" t="str">
        <f>TEST_DATA!D5753</f>
        <v>NIL</v>
      </c>
      <c r="E5753">
        <f>TEST_DATA!E5753</f>
        <v>2193</v>
      </c>
    </row>
    <row r="5754" spans="1:5" x14ac:dyDescent="0.55000000000000004">
      <c r="A5754" t="str">
        <f>TEST_DATA!A5754</f>
        <v>27AAAAA5754Z5</v>
      </c>
      <c r="B5754" t="str">
        <f>TEST_DATA!B5754</f>
        <v>Jun-2018</v>
      </c>
      <c r="C5754">
        <f>TEST_DATA!C5754</f>
        <v>43597</v>
      </c>
      <c r="D5754" t="str">
        <f>TEST_DATA!D5754</f>
        <v>NIL</v>
      </c>
      <c r="E5754">
        <f>TEST_DATA!E5754</f>
        <v>2991</v>
      </c>
    </row>
    <row r="5755" spans="1:5" x14ac:dyDescent="0.55000000000000004">
      <c r="A5755" t="str">
        <f>TEST_DATA!A5755</f>
        <v>27AAAAA5755Z5</v>
      </c>
      <c r="B5755" t="str">
        <f>TEST_DATA!B5755</f>
        <v>Mar-2020</v>
      </c>
      <c r="C5755">
        <f>TEST_DATA!C5755</f>
        <v>44471</v>
      </c>
      <c r="D5755" t="str">
        <f>TEST_DATA!D5755</f>
        <v>NON-NIL</v>
      </c>
      <c r="E5755">
        <f>TEST_DATA!E5755</f>
        <v>2827</v>
      </c>
    </row>
    <row r="5756" spans="1:5" x14ac:dyDescent="0.55000000000000004">
      <c r="A5756" t="str">
        <f>TEST_DATA!A5756</f>
        <v>27AAAAA5756Z5</v>
      </c>
      <c r="B5756" t="str">
        <f>TEST_DATA!B5756</f>
        <v>Jan-2019</v>
      </c>
      <c r="C5756">
        <f>TEST_DATA!C5756</f>
        <v>44151</v>
      </c>
      <c r="D5756" t="str">
        <f>TEST_DATA!D5756</f>
        <v>NIL</v>
      </c>
      <c r="E5756">
        <f>TEST_DATA!E5756</f>
        <v>1563</v>
      </c>
    </row>
    <row r="5757" spans="1:5" x14ac:dyDescent="0.55000000000000004">
      <c r="A5757" t="str">
        <f>TEST_DATA!A5757</f>
        <v>27AAAAA5757Z5</v>
      </c>
      <c r="B5757" t="str">
        <f>TEST_DATA!B5757</f>
        <v>Dec-2019</v>
      </c>
      <c r="C5757">
        <f>TEST_DATA!C5757</f>
        <v>45582</v>
      </c>
      <c r="D5757" t="str">
        <f>TEST_DATA!D5757</f>
        <v>NIL</v>
      </c>
      <c r="E5757">
        <f>TEST_DATA!E5757</f>
        <v>2903</v>
      </c>
    </row>
    <row r="5758" spans="1:5" x14ac:dyDescent="0.55000000000000004">
      <c r="A5758" t="str">
        <f>TEST_DATA!A5758</f>
        <v>27AAAAA5758Z5</v>
      </c>
      <c r="B5758" t="str">
        <f>TEST_DATA!B5758</f>
        <v>Aug-2017</v>
      </c>
      <c r="C5758">
        <f>TEST_DATA!C5758</f>
        <v>44453</v>
      </c>
      <c r="D5758" t="str">
        <f>TEST_DATA!D5758</f>
        <v>NON-NIL</v>
      </c>
      <c r="E5758">
        <f>TEST_DATA!E5758</f>
        <v>968</v>
      </c>
    </row>
    <row r="5759" spans="1:5" x14ac:dyDescent="0.55000000000000004">
      <c r="A5759" t="str">
        <f>TEST_DATA!A5759</f>
        <v>27AAAAA5759Z5</v>
      </c>
      <c r="B5759" t="str">
        <f>TEST_DATA!B5759</f>
        <v>Jan-2019</v>
      </c>
      <c r="C5759">
        <f>TEST_DATA!C5759</f>
        <v>45657</v>
      </c>
      <c r="D5759" t="str">
        <f>TEST_DATA!D5759</f>
        <v>NIL</v>
      </c>
      <c r="E5759">
        <f>TEST_DATA!E5759</f>
        <v>275</v>
      </c>
    </row>
    <row r="5760" spans="1:5" x14ac:dyDescent="0.55000000000000004">
      <c r="A5760" t="str">
        <f>TEST_DATA!A5760</f>
        <v>27AAAAA5760Z5</v>
      </c>
      <c r="B5760" t="str">
        <f>TEST_DATA!B5760</f>
        <v>Dec-2019</v>
      </c>
      <c r="C5760">
        <f>TEST_DATA!C5760</f>
        <v>45003</v>
      </c>
      <c r="D5760" t="str">
        <f>TEST_DATA!D5760</f>
        <v>NIL</v>
      </c>
      <c r="E5760">
        <f>TEST_DATA!E5760</f>
        <v>2082</v>
      </c>
    </row>
    <row r="5761" spans="1:5" x14ac:dyDescent="0.55000000000000004">
      <c r="A5761" t="str">
        <f>TEST_DATA!A5761</f>
        <v>27AAAAA5761Z5</v>
      </c>
      <c r="B5761" t="str">
        <f>TEST_DATA!B5761</f>
        <v>Mar-2020</v>
      </c>
      <c r="C5761">
        <f>TEST_DATA!C5761</f>
        <v>44813</v>
      </c>
      <c r="D5761" t="str">
        <f>TEST_DATA!D5761</f>
        <v>NIL</v>
      </c>
      <c r="E5761">
        <f>TEST_DATA!E5761</f>
        <v>2085</v>
      </c>
    </row>
    <row r="5762" spans="1:5" x14ac:dyDescent="0.55000000000000004">
      <c r="A5762" t="str">
        <f>TEST_DATA!A5762</f>
        <v>27AAAAA5762Z5</v>
      </c>
      <c r="B5762" t="str">
        <f>TEST_DATA!B5762</f>
        <v>Mar-2018</v>
      </c>
      <c r="C5762">
        <f>TEST_DATA!C5762</f>
        <v>43596</v>
      </c>
      <c r="D5762" t="str">
        <f>TEST_DATA!D5762</f>
        <v>NON-NIL</v>
      </c>
      <c r="E5762">
        <f>TEST_DATA!E5762</f>
        <v>218</v>
      </c>
    </row>
    <row r="5763" spans="1:5" x14ac:dyDescent="0.55000000000000004">
      <c r="A5763" t="str">
        <f>TEST_DATA!A5763</f>
        <v>27AAAAA5763Z5</v>
      </c>
      <c r="B5763" t="str">
        <f>TEST_DATA!B5763</f>
        <v>Jun-2020</v>
      </c>
      <c r="C5763">
        <f>TEST_DATA!C5763</f>
        <v>44027</v>
      </c>
      <c r="D5763" t="str">
        <f>TEST_DATA!D5763</f>
        <v>NIL</v>
      </c>
      <c r="E5763">
        <f>TEST_DATA!E5763</f>
        <v>688</v>
      </c>
    </row>
    <row r="5764" spans="1:5" x14ac:dyDescent="0.55000000000000004">
      <c r="A5764" t="str">
        <f>TEST_DATA!A5764</f>
        <v>27AAAAA5764Z5</v>
      </c>
      <c r="B5764" t="str">
        <f>TEST_DATA!B5764</f>
        <v>Jan-2021</v>
      </c>
      <c r="C5764">
        <f>TEST_DATA!C5764</f>
        <v>45418</v>
      </c>
      <c r="D5764" t="str">
        <f>TEST_DATA!D5764</f>
        <v>NIL</v>
      </c>
      <c r="E5764">
        <f>TEST_DATA!E5764</f>
        <v>4</v>
      </c>
    </row>
    <row r="5765" spans="1:5" x14ac:dyDescent="0.55000000000000004">
      <c r="A5765" t="str">
        <f>TEST_DATA!A5765</f>
        <v>27AAAAA5765Z5</v>
      </c>
      <c r="B5765" t="str">
        <f>TEST_DATA!B5765</f>
        <v>Aug-2017</v>
      </c>
      <c r="C5765">
        <f>TEST_DATA!C5765</f>
        <v>43280</v>
      </c>
      <c r="D5765" t="str">
        <f>TEST_DATA!D5765</f>
        <v>NIL</v>
      </c>
      <c r="E5765">
        <f>TEST_DATA!E5765</f>
        <v>2519</v>
      </c>
    </row>
    <row r="5766" spans="1:5" x14ac:dyDescent="0.55000000000000004">
      <c r="A5766" t="str">
        <f>TEST_DATA!A5766</f>
        <v>27AAAAA5766Z5</v>
      </c>
      <c r="B5766" t="str">
        <f>TEST_DATA!B5766</f>
        <v>Apr-2018</v>
      </c>
      <c r="C5766">
        <f>TEST_DATA!C5766</f>
        <v>44016</v>
      </c>
      <c r="D5766" t="str">
        <f>TEST_DATA!D5766</f>
        <v>NIL</v>
      </c>
      <c r="E5766">
        <f>TEST_DATA!E5766</f>
        <v>2561</v>
      </c>
    </row>
    <row r="5767" spans="1:5" x14ac:dyDescent="0.55000000000000004">
      <c r="A5767" t="str">
        <f>TEST_DATA!A5767</f>
        <v>27AAAAA5767Z5</v>
      </c>
      <c r="B5767" t="str">
        <f>TEST_DATA!B5767</f>
        <v>Dec-2022</v>
      </c>
      <c r="C5767">
        <f>TEST_DATA!C5767</f>
        <v>44402</v>
      </c>
      <c r="D5767" t="str">
        <f>TEST_DATA!D5767</f>
        <v>NIL</v>
      </c>
      <c r="E5767">
        <f>TEST_DATA!E5767</f>
        <v>2713</v>
      </c>
    </row>
    <row r="5768" spans="1:5" x14ac:dyDescent="0.55000000000000004">
      <c r="A5768" t="str">
        <f>TEST_DATA!A5768</f>
        <v>27AAAAA5768Z5</v>
      </c>
      <c r="B5768" t="str">
        <f>TEST_DATA!B5768</f>
        <v>Nov-2017</v>
      </c>
      <c r="C5768">
        <f>TEST_DATA!C5768</f>
        <v>43038</v>
      </c>
      <c r="D5768" t="str">
        <f>TEST_DATA!D5768</f>
        <v>NON-NIL</v>
      </c>
      <c r="E5768">
        <f>TEST_DATA!E5768</f>
        <v>363</v>
      </c>
    </row>
    <row r="5769" spans="1:5" x14ac:dyDescent="0.55000000000000004">
      <c r="A5769" t="str">
        <f>TEST_DATA!A5769</f>
        <v>27AAAAA5769Z5</v>
      </c>
      <c r="B5769" t="str">
        <f>TEST_DATA!B5769</f>
        <v>Mar-2018</v>
      </c>
      <c r="C5769">
        <f>TEST_DATA!C5769</f>
        <v>43487</v>
      </c>
      <c r="D5769" t="str">
        <f>TEST_DATA!D5769</f>
        <v>NON-NIL</v>
      </c>
      <c r="E5769">
        <f>TEST_DATA!E5769</f>
        <v>1141</v>
      </c>
    </row>
    <row r="5770" spans="1:5" x14ac:dyDescent="0.55000000000000004">
      <c r="A5770" t="str">
        <f>TEST_DATA!A5770</f>
        <v>27AAAAA5770Z5</v>
      </c>
      <c r="B5770" t="str">
        <f>TEST_DATA!B5770</f>
        <v>May-2020</v>
      </c>
      <c r="C5770">
        <f>TEST_DATA!C5770</f>
        <v>44263</v>
      </c>
      <c r="D5770" t="str">
        <f>TEST_DATA!D5770</f>
        <v>NIL</v>
      </c>
      <c r="E5770">
        <f>TEST_DATA!E5770</f>
        <v>2149</v>
      </c>
    </row>
    <row r="5771" spans="1:5" x14ac:dyDescent="0.55000000000000004">
      <c r="A5771" t="str">
        <f>TEST_DATA!A5771</f>
        <v>27AAAAA5771Z5</v>
      </c>
      <c r="B5771" t="str">
        <f>TEST_DATA!B5771</f>
        <v>Jan-2021</v>
      </c>
      <c r="C5771">
        <f>TEST_DATA!C5771</f>
        <v>43915</v>
      </c>
      <c r="D5771" t="str">
        <f>TEST_DATA!D5771</f>
        <v>NIL</v>
      </c>
      <c r="E5771">
        <f>TEST_DATA!E5771</f>
        <v>1726</v>
      </c>
    </row>
    <row r="5772" spans="1:5" x14ac:dyDescent="0.55000000000000004">
      <c r="A5772" t="str">
        <f>TEST_DATA!A5772</f>
        <v>27AAAAA5772Z5</v>
      </c>
      <c r="B5772" t="str">
        <f>TEST_DATA!B5772</f>
        <v>Jun-2018</v>
      </c>
      <c r="C5772">
        <f>TEST_DATA!C5772</f>
        <v>44099</v>
      </c>
      <c r="D5772" t="str">
        <f>TEST_DATA!D5772</f>
        <v>NIL</v>
      </c>
      <c r="E5772">
        <f>TEST_DATA!E5772</f>
        <v>2871</v>
      </c>
    </row>
    <row r="5773" spans="1:5" x14ac:dyDescent="0.55000000000000004">
      <c r="A5773" t="str">
        <f>TEST_DATA!A5773</f>
        <v>27AAAAA5773Z5</v>
      </c>
      <c r="B5773" t="str">
        <f>TEST_DATA!B5773</f>
        <v>Jul-2017</v>
      </c>
      <c r="C5773">
        <f>TEST_DATA!C5773</f>
        <v>44295</v>
      </c>
      <c r="D5773" t="str">
        <f>TEST_DATA!D5773</f>
        <v>NIL</v>
      </c>
      <c r="E5773">
        <f>TEST_DATA!E5773</f>
        <v>2569</v>
      </c>
    </row>
    <row r="5774" spans="1:5" x14ac:dyDescent="0.55000000000000004">
      <c r="A5774" t="str">
        <f>TEST_DATA!A5774</f>
        <v>27AAAAA5774Z5</v>
      </c>
      <c r="B5774" t="str">
        <f>TEST_DATA!B5774</f>
        <v>Jan-2021</v>
      </c>
      <c r="C5774">
        <f>TEST_DATA!C5774</f>
        <v>43519</v>
      </c>
      <c r="D5774" t="str">
        <f>TEST_DATA!D5774</f>
        <v>NIL</v>
      </c>
      <c r="E5774">
        <f>TEST_DATA!E5774</f>
        <v>147</v>
      </c>
    </row>
    <row r="5775" spans="1:5" x14ac:dyDescent="0.55000000000000004">
      <c r="A5775" t="str">
        <f>TEST_DATA!A5775</f>
        <v>27AAAAA5775Z5</v>
      </c>
      <c r="B5775" t="str">
        <f>TEST_DATA!B5775</f>
        <v>May-2020</v>
      </c>
      <c r="C5775">
        <f>TEST_DATA!C5775</f>
        <v>44256</v>
      </c>
      <c r="D5775" t="str">
        <f>TEST_DATA!D5775</f>
        <v>NIL</v>
      </c>
      <c r="E5775">
        <f>TEST_DATA!E5775</f>
        <v>1134</v>
      </c>
    </row>
    <row r="5776" spans="1:5" x14ac:dyDescent="0.55000000000000004">
      <c r="A5776" t="str">
        <f>TEST_DATA!A5776</f>
        <v>27AAAAA5776Z5</v>
      </c>
      <c r="B5776" t="str">
        <f>TEST_DATA!B5776</f>
        <v>Jul-2020</v>
      </c>
      <c r="C5776">
        <f>TEST_DATA!C5776</f>
        <v>44136</v>
      </c>
      <c r="D5776" t="str">
        <f>TEST_DATA!D5776</f>
        <v>NIL</v>
      </c>
      <c r="E5776">
        <f>TEST_DATA!E5776</f>
        <v>537</v>
      </c>
    </row>
    <row r="5777" spans="1:5" x14ac:dyDescent="0.55000000000000004">
      <c r="A5777" t="str">
        <f>TEST_DATA!A5777</f>
        <v>27AAAAA5777Z5</v>
      </c>
      <c r="B5777" t="str">
        <f>TEST_DATA!B5777</f>
        <v>Nov-2017</v>
      </c>
      <c r="C5777">
        <f>TEST_DATA!C5777</f>
        <v>44385</v>
      </c>
      <c r="D5777" t="str">
        <f>TEST_DATA!D5777</f>
        <v>NON-NIL</v>
      </c>
      <c r="E5777">
        <f>TEST_DATA!E5777</f>
        <v>2039</v>
      </c>
    </row>
    <row r="5778" spans="1:5" x14ac:dyDescent="0.55000000000000004">
      <c r="A5778" t="str">
        <f>TEST_DATA!A5778</f>
        <v>27AAAAA5778Z5</v>
      </c>
      <c r="B5778" t="str">
        <f>TEST_DATA!B5778</f>
        <v>Jun-2018</v>
      </c>
      <c r="C5778">
        <f>TEST_DATA!C5778</f>
        <v>43177</v>
      </c>
      <c r="D5778" t="str">
        <f>TEST_DATA!D5778</f>
        <v>NIL</v>
      </c>
      <c r="E5778">
        <f>TEST_DATA!E5778</f>
        <v>998</v>
      </c>
    </row>
    <row r="5779" spans="1:5" x14ac:dyDescent="0.55000000000000004">
      <c r="A5779" t="str">
        <f>TEST_DATA!A5779</f>
        <v>27AAAAA5779Z5</v>
      </c>
      <c r="B5779" t="str">
        <f>TEST_DATA!B5779</f>
        <v>Jun-2018</v>
      </c>
      <c r="C5779">
        <f>TEST_DATA!C5779</f>
        <v>44387</v>
      </c>
      <c r="D5779" t="str">
        <f>TEST_DATA!D5779</f>
        <v>NIL</v>
      </c>
      <c r="E5779">
        <f>TEST_DATA!E5779</f>
        <v>169</v>
      </c>
    </row>
    <row r="5780" spans="1:5" x14ac:dyDescent="0.55000000000000004">
      <c r="A5780" t="str">
        <f>TEST_DATA!A5780</f>
        <v>27AAAAA5780Z5</v>
      </c>
      <c r="B5780" t="str">
        <f>TEST_DATA!B5780</f>
        <v>Dec-2024</v>
      </c>
      <c r="C5780">
        <f>TEST_DATA!C5780</f>
        <v>44001</v>
      </c>
      <c r="D5780" t="str">
        <f>TEST_DATA!D5780</f>
        <v>NIL</v>
      </c>
      <c r="E5780">
        <f>TEST_DATA!E5780</f>
        <v>1711</v>
      </c>
    </row>
    <row r="5781" spans="1:5" x14ac:dyDescent="0.55000000000000004">
      <c r="A5781" t="str">
        <f>TEST_DATA!A5781</f>
        <v>27AAAAA5781Z5</v>
      </c>
      <c r="B5781" t="str">
        <f>TEST_DATA!B5781</f>
        <v>May-2018</v>
      </c>
      <c r="C5781">
        <f>TEST_DATA!C5781</f>
        <v>43013</v>
      </c>
      <c r="D5781" t="str">
        <f>TEST_DATA!D5781</f>
        <v>NON-NIL</v>
      </c>
      <c r="E5781">
        <f>TEST_DATA!E5781</f>
        <v>1038</v>
      </c>
    </row>
    <row r="5782" spans="1:5" x14ac:dyDescent="0.55000000000000004">
      <c r="A5782" t="str">
        <f>TEST_DATA!A5782</f>
        <v>27AAAAA5782Z5</v>
      </c>
      <c r="B5782" t="str">
        <f>TEST_DATA!B5782</f>
        <v>Jul-2018</v>
      </c>
      <c r="C5782">
        <f>TEST_DATA!C5782</f>
        <v>43320</v>
      </c>
      <c r="D5782" t="str">
        <f>TEST_DATA!D5782</f>
        <v>NIL</v>
      </c>
      <c r="E5782">
        <f>TEST_DATA!E5782</f>
        <v>2794</v>
      </c>
    </row>
    <row r="5783" spans="1:5" x14ac:dyDescent="0.55000000000000004">
      <c r="A5783" t="str">
        <f>TEST_DATA!A5783</f>
        <v>27AAAAA5783Z5</v>
      </c>
      <c r="B5783" t="str">
        <f>TEST_DATA!B5783</f>
        <v>Dec-2022</v>
      </c>
      <c r="C5783">
        <f>TEST_DATA!C5783</f>
        <v>43701</v>
      </c>
      <c r="D5783" t="str">
        <f>TEST_DATA!D5783</f>
        <v>NON-NIL</v>
      </c>
      <c r="E5783">
        <f>TEST_DATA!E5783</f>
        <v>2929</v>
      </c>
    </row>
    <row r="5784" spans="1:5" x14ac:dyDescent="0.55000000000000004">
      <c r="A5784" t="str">
        <f>TEST_DATA!A5784</f>
        <v>27AAAAA5784Z5</v>
      </c>
      <c r="B5784" t="str">
        <f>TEST_DATA!B5784</f>
        <v>Apr-2021</v>
      </c>
      <c r="C5784">
        <f>TEST_DATA!C5784</f>
        <v>44411</v>
      </c>
      <c r="D5784" t="str">
        <f>TEST_DATA!D5784</f>
        <v>NON-NIL</v>
      </c>
      <c r="E5784">
        <f>TEST_DATA!E5784</f>
        <v>1871</v>
      </c>
    </row>
    <row r="5785" spans="1:5" x14ac:dyDescent="0.55000000000000004">
      <c r="A5785" t="str">
        <f>TEST_DATA!A5785</f>
        <v>27AAAAA5785Z5</v>
      </c>
      <c r="B5785" t="str">
        <f>TEST_DATA!B5785</f>
        <v>Sep-2018</v>
      </c>
      <c r="C5785">
        <f>TEST_DATA!C5785</f>
        <v>43645</v>
      </c>
      <c r="D5785" t="str">
        <f>TEST_DATA!D5785</f>
        <v>NON-NIL</v>
      </c>
      <c r="E5785">
        <f>TEST_DATA!E5785</f>
        <v>2394</v>
      </c>
    </row>
    <row r="5786" spans="1:5" x14ac:dyDescent="0.55000000000000004">
      <c r="A5786" t="str">
        <f>TEST_DATA!A5786</f>
        <v>27AAAAA5786Z5</v>
      </c>
      <c r="B5786" t="str">
        <f>TEST_DATA!B5786</f>
        <v>Oct-2017</v>
      </c>
      <c r="C5786">
        <f>TEST_DATA!C5786</f>
        <v>44168</v>
      </c>
      <c r="D5786" t="str">
        <f>TEST_DATA!D5786</f>
        <v>NIL</v>
      </c>
      <c r="E5786">
        <f>TEST_DATA!E5786</f>
        <v>540</v>
      </c>
    </row>
    <row r="5787" spans="1:5" x14ac:dyDescent="0.55000000000000004">
      <c r="A5787" t="str">
        <f>TEST_DATA!A5787</f>
        <v>27AAAAA5787Z5</v>
      </c>
      <c r="B5787" t="str">
        <f>TEST_DATA!B5787</f>
        <v>Mar-2021</v>
      </c>
      <c r="C5787">
        <f>TEST_DATA!C5787</f>
        <v>43756</v>
      </c>
      <c r="D5787" t="str">
        <f>TEST_DATA!D5787</f>
        <v>NIL</v>
      </c>
      <c r="E5787">
        <f>TEST_DATA!E5787</f>
        <v>2669</v>
      </c>
    </row>
    <row r="5788" spans="1:5" x14ac:dyDescent="0.55000000000000004">
      <c r="A5788" t="str">
        <f>TEST_DATA!A5788</f>
        <v>27AAAAA5788Z5</v>
      </c>
      <c r="B5788" t="str">
        <f>TEST_DATA!B5788</f>
        <v>Dec-2017</v>
      </c>
      <c r="C5788">
        <f>TEST_DATA!C5788</f>
        <v>44142</v>
      </c>
      <c r="D5788" t="str">
        <f>TEST_DATA!D5788</f>
        <v>NIL</v>
      </c>
      <c r="E5788">
        <f>TEST_DATA!E5788</f>
        <v>1702</v>
      </c>
    </row>
    <row r="5789" spans="1:5" x14ac:dyDescent="0.55000000000000004">
      <c r="A5789" t="str">
        <f>TEST_DATA!A5789</f>
        <v>27AAAAA5789Z5</v>
      </c>
      <c r="B5789" t="str">
        <f>TEST_DATA!B5789</f>
        <v>Jun-2020</v>
      </c>
      <c r="C5789">
        <f>TEST_DATA!C5789</f>
        <v>43982</v>
      </c>
      <c r="D5789" t="str">
        <f>TEST_DATA!D5789</f>
        <v>NON-NIL</v>
      </c>
      <c r="E5789">
        <f>TEST_DATA!E5789</f>
        <v>1222</v>
      </c>
    </row>
    <row r="5790" spans="1:5" x14ac:dyDescent="0.55000000000000004">
      <c r="A5790" t="str">
        <f>TEST_DATA!A5790</f>
        <v>27AAAAA5790Z5</v>
      </c>
      <c r="B5790" t="str">
        <f>TEST_DATA!B5790</f>
        <v>Jul-2018</v>
      </c>
      <c r="C5790">
        <f>TEST_DATA!C5790</f>
        <v>44162</v>
      </c>
      <c r="D5790" t="str">
        <f>TEST_DATA!D5790</f>
        <v>NIL</v>
      </c>
      <c r="E5790">
        <f>TEST_DATA!E5790</f>
        <v>651</v>
      </c>
    </row>
    <row r="5791" spans="1:5" x14ac:dyDescent="0.55000000000000004">
      <c r="A5791" t="str">
        <f>TEST_DATA!A5791</f>
        <v>27AAAAA5791Z5</v>
      </c>
      <c r="B5791" t="str">
        <f>TEST_DATA!B5791</f>
        <v>Mar-2020</v>
      </c>
      <c r="C5791">
        <f>TEST_DATA!C5791</f>
        <v>44918</v>
      </c>
      <c r="D5791" t="str">
        <f>TEST_DATA!D5791</f>
        <v>NIL</v>
      </c>
      <c r="E5791">
        <f>TEST_DATA!E5791</f>
        <v>488</v>
      </c>
    </row>
    <row r="5792" spans="1:5" x14ac:dyDescent="0.55000000000000004">
      <c r="A5792" t="str">
        <f>TEST_DATA!A5792</f>
        <v>27AAAAA5792Z5</v>
      </c>
      <c r="B5792" t="str">
        <f>TEST_DATA!B5792</f>
        <v>Apr-2021</v>
      </c>
      <c r="C5792">
        <f>TEST_DATA!C5792</f>
        <v>43585</v>
      </c>
      <c r="D5792" t="str">
        <f>TEST_DATA!D5792</f>
        <v>NON-NIL</v>
      </c>
      <c r="E5792">
        <f>TEST_DATA!E5792</f>
        <v>1015</v>
      </c>
    </row>
    <row r="5793" spans="1:5" x14ac:dyDescent="0.55000000000000004">
      <c r="A5793" t="str">
        <f>TEST_DATA!A5793</f>
        <v>27AAAAA5793Z5</v>
      </c>
      <c r="B5793" t="str">
        <f>TEST_DATA!B5793</f>
        <v>Dec-2022</v>
      </c>
      <c r="C5793">
        <f>TEST_DATA!C5793</f>
        <v>45682</v>
      </c>
      <c r="D5793" t="str">
        <f>TEST_DATA!D5793</f>
        <v>NON-NIL</v>
      </c>
      <c r="E5793">
        <f>TEST_DATA!E5793</f>
        <v>273</v>
      </c>
    </row>
    <row r="5794" spans="1:5" x14ac:dyDescent="0.55000000000000004">
      <c r="A5794" t="str">
        <f>TEST_DATA!A5794</f>
        <v>27AAAAA5794Z5</v>
      </c>
      <c r="B5794" t="str">
        <f>TEST_DATA!B5794</f>
        <v>Apr-2020</v>
      </c>
      <c r="C5794">
        <f>TEST_DATA!C5794</f>
        <v>44623</v>
      </c>
      <c r="D5794" t="str">
        <f>TEST_DATA!D5794</f>
        <v>NON-NIL</v>
      </c>
      <c r="E5794">
        <f>TEST_DATA!E5794</f>
        <v>664</v>
      </c>
    </row>
    <row r="5795" spans="1:5" x14ac:dyDescent="0.55000000000000004">
      <c r="A5795" t="str">
        <f>TEST_DATA!A5795</f>
        <v>27AAAAA5795Z5</v>
      </c>
      <c r="B5795" t="str">
        <f>TEST_DATA!B5795</f>
        <v>Nov-2017</v>
      </c>
      <c r="C5795">
        <f>TEST_DATA!C5795</f>
        <v>44079</v>
      </c>
      <c r="D5795" t="str">
        <f>TEST_DATA!D5795</f>
        <v>NIL</v>
      </c>
      <c r="E5795">
        <f>TEST_DATA!E5795</f>
        <v>831</v>
      </c>
    </row>
    <row r="5796" spans="1:5" x14ac:dyDescent="0.55000000000000004">
      <c r="A5796" t="str">
        <f>TEST_DATA!A5796</f>
        <v>27AAAAA5796Z5</v>
      </c>
      <c r="B5796" t="str">
        <f>TEST_DATA!B5796</f>
        <v>Oct-2017</v>
      </c>
      <c r="C5796">
        <f>TEST_DATA!C5796</f>
        <v>43776</v>
      </c>
      <c r="D5796" t="str">
        <f>TEST_DATA!D5796</f>
        <v>NON-NIL</v>
      </c>
      <c r="E5796">
        <f>TEST_DATA!E5796</f>
        <v>57</v>
      </c>
    </row>
    <row r="5797" spans="1:5" x14ac:dyDescent="0.55000000000000004">
      <c r="A5797" t="str">
        <f>TEST_DATA!A5797</f>
        <v>27AAAAA5797Z5</v>
      </c>
      <c r="B5797" t="str">
        <f>TEST_DATA!B5797</f>
        <v>Jun-2019</v>
      </c>
      <c r="C5797">
        <f>TEST_DATA!C5797</f>
        <v>43694</v>
      </c>
      <c r="D5797" t="str">
        <f>TEST_DATA!D5797</f>
        <v>NON-NIL</v>
      </c>
      <c r="E5797">
        <f>TEST_DATA!E5797</f>
        <v>1662</v>
      </c>
    </row>
    <row r="5798" spans="1:5" x14ac:dyDescent="0.55000000000000004">
      <c r="A5798" t="str">
        <f>TEST_DATA!A5798</f>
        <v>27AAAAA5798Z5</v>
      </c>
      <c r="B5798" t="str">
        <f>TEST_DATA!B5798</f>
        <v>Dec-2019</v>
      </c>
      <c r="C5798">
        <f>TEST_DATA!C5798</f>
        <v>44975</v>
      </c>
      <c r="D5798" t="str">
        <f>TEST_DATA!D5798</f>
        <v>NON-NIL</v>
      </c>
      <c r="E5798">
        <f>TEST_DATA!E5798</f>
        <v>1610</v>
      </c>
    </row>
    <row r="5799" spans="1:5" x14ac:dyDescent="0.55000000000000004">
      <c r="A5799" t="str">
        <f>TEST_DATA!A5799</f>
        <v>27AAAAA5799Z5</v>
      </c>
      <c r="B5799" t="str">
        <f>TEST_DATA!B5799</f>
        <v>Sep-2018</v>
      </c>
      <c r="C5799">
        <f>TEST_DATA!C5799</f>
        <v>44459</v>
      </c>
      <c r="D5799" t="str">
        <f>TEST_DATA!D5799</f>
        <v>NIL</v>
      </c>
      <c r="E5799">
        <f>TEST_DATA!E5799</f>
        <v>1569</v>
      </c>
    </row>
    <row r="5800" spans="1:5" x14ac:dyDescent="0.55000000000000004">
      <c r="A5800" t="str">
        <f>TEST_DATA!A5800</f>
        <v>27AAAAA5800Z5</v>
      </c>
      <c r="B5800" t="str">
        <f>TEST_DATA!B5800</f>
        <v>Feb-2018</v>
      </c>
      <c r="C5800">
        <f>TEST_DATA!C5800</f>
        <v>44351</v>
      </c>
      <c r="D5800" t="str">
        <f>TEST_DATA!D5800</f>
        <v>NON-NIL</v>
      </c>
      <c r="E5800">
        <f>TEST_DATA!E5800</f>
        <v>626</v>
      </c>
    </row>
    <row r="5801" spans="1:5" x14ac:dyDescent="0.55000000000000004">
      <c r="A5801" t="str">
        <f>TEST_DATA!A5801</f>
        <v>27AAAAA5801Z5</v>
      </c>
      <c r="B5801" t="str">
        <f>TEST_DATA!B5801</f>
        <v>Sep-2017</v>
      </c>
      <c r="C5801">
        <f>TEST_DATA!C5801</f>
        <v>44085</v>
      </c>
      <c r="D5801" t="str">
        <f>TEST_DATA!D5801</f>
        <v>NON-NIL</v>
      </c>
      <c r="E5801">
        <f>TEST_DATA!E5801</f>
        <v>1482</v>
      </c>
    </row>
    <row r="5802" spans="1:5" x14ac:dyDescent="0.55000000000000004">
      <c r="A5802" t="str">
        <f>TEST_DATA!A5802</f>
        <v>27AAAAA5802Z5</v>
      </c>
      <c r="B5802" t="str">
        <f>TEST_DATA!B5802</f>
        <v>Jun-2018</v>
      </c>
      <c r="C5802">
        <f>TEST_DATA!C5802</f>
        <v>43040</v>
      </c>
      <c r="D5802" t="str">
        <f>TEST_DATA!D5802</f>
        <v>NON-NIL</v>
      </c>
      <c r="E5802">
        <f>TEST_DATA!E5802</f>
        <v>2380</v>
      </c>
    </row>
    <row r="5803" spans="1:5" x14ac:dyDescent="0.55000000000000004">
      <c r="A5803" t="str">
        <f>TEST_DATA!A5803</f>
        <v>27AAAAA5803Z5</v>
      </c>
      <c r="B5803" t="str">
        <f>TEST_DATA!B5803</f>
        <v>Apr-2018</v>
      </c>
      <c r="C5803">
        <f>TEST_DATA!C5803</f>
        <v>44511</v>
      </c>
      <c r="D5803" t="str">
        <f>TEST_DATA!D5803</f>
        <v>NON-NIL</v>
      </c>
      <c r="E5803">
        <f>TEST_DATA!E5803</f>
        <v>1230</v>
      </c>
    </row>
    <row r="5804" spans="1:5" x14ac:dyDescent="0.55000000000000004">
      <c r="A5804" t="str">
        <f>TEST_DATA!A5804</f>
        <v>27AAAAA5804Z5</v>
      </c>
      <c r="B5804" t="str">
        <f>TEST_DATA!B5804</f>
        <v>May-2020</v>
      </c>
      <c r="C5804">
        <f>TEST_DATA!C5804</f>
        <v>43905</v>
      </c>
      <c r="D5804" t="str">
        <f>TEST_DATA!D5804</f>
        <v>NON-NIL</v>
      </c>
      <c r="E5804">
        <f>TEST_DATA!E5804</f>
        <v>1767</v>
      </c>
    </row>
    <row r="5805" spans="1:5" x14ac:dyDescent="0.55000000000000004">
      <c r="A5805" t="str">
        <f>TEST_DATA!A5805</f>
        <v>27AAAAA5805Z5</v>
      </c>
      <c r="B5805" t="str">
        <f>TEST_DATA!B5805</f>
        <v>Jul-2018</v>
      </c>
      <c r="C5805">
        <f>TEST_DATA!C5805</f>
        <v>43319</v>
      </c>
      <c r="D5805" t="str">
        <f>TEST_DATA!D5805</f>
        <v>NON-NIL</v>
      </c>
      <c r="E5805">
        <f>TEST_DATA!E5805</f>
        <v>2476</v>
      </c>
    </row>
    <row r="5806" spans="1:5" x14ac:dyDescent="0.55000000000000004">
      <c r="A5806" t="str">
        <f>TEST_DATA!A5806</f>
        <v>27AAAAA5806Z5</v>
      </c>
      <c r="B5806" t="str">
        <f>TEST_DATA!B5806</f>
        <v>Mar-2021</v>
      </c>
      <c r="C5806">
        <f>TEST_DATA!C5806</f>
        <v>44238</v>
      </c>
      <c r="D5806" t="str">
        <f>TEST_DATA!D5806</f>
        <v>NIL</v>
      </c>
      <c r="E5806">
        <f>TEST_DATA!E5806</f>
        <v>2324</v>
      </c>
    </row>
    <row r="5807" spans="1:5" x14ac:dyDescent="0.55000000000000004">
      <c r="A5807" t="str">
        <f>TEST_DATA!A5807</f>
        <v>27AAAAA5807Z5</v>
      </c>
      <c r="B5807" t="str">
        <f>TEST_DATA!B5807</f>
        <v>Aug-2018</v>
      </c>
      <c r="C5807">
        <f>TEST_DATA!C5807</f>
        <v>43621</v>
      </c>
      <c r="D5807" t="str">
        <f>TEST_DATA!D5807</f>
        <v>NIL</v>
      </c>
      <c r="E5807">
        <f>TEST_DATA!E5807</f>
        <v>1238</v>
      </c>
    </row>
    <row r="5808" spans="1:5" x14ac:dyDescent="0.55000000000000004">
      <c r="A5808" t="str">
        <f>TEST_DATA!A5808</f>
        <v>27AAAAA5808Z5</v>
      </c>
      <c r="B5808" t="str">
        <f>TEST_DATA!B5808</f>
        <v>May-2020</v>
      </c>
      <c r="C5808">
        <f>TEST_DATA!C5808</f>
        <v>44602</v>
      </c>
      <c r="D5808" t="str">
        <f>TEST_DATA!D5808</f>
        <v>NIL</v>
      </c>
      <c r="E5808">
        <f>TEST_DATA!E5808</f>
        <v>1858</v>
      </c>
    </row>
    <row r="5809" spans="1:5" x14ac:dyDescent="0.55000000000000004">
      <c r="A5809" t="str">
        <f>TEST_DATA!A5809</f>
        <v>27AAAAA5809Z5</v>
      </c>
      <c r="B5809" t="str">
        <f>TEST_DATA!B5809</f>
        <v>Jan-2018</v>
      </c>
      <c r="C5809">
        <f>TEST_DATA!C5809</f>
        <v>43182</v>
      </c>
      <c r="D5809" t="str">
        <f>TEST_DATA!D5809</f>
        <v>NIL</v>
      </c>
      <c r="E5809">
        <f>TEST_DATA!E5809</f>
        <v>1578</v>
      </c>
    </row>
    <row r="5810" spans="1:5" x14ac:dyDescent="0.55000000000000004">
      <c r="A5810" t="str">
        <f>TEST_DATA!A5810</f>
        <v>27AAAAA5810Z5</v>
      </c>
      <c r="B5810" t="str">
        <f>TEST_DATA!B5810</f>
        <v>Nov-2017</v>
      </c>
      <c r="C5810">
        <f>TEST_DATA!C5810</f>
        <v>43805</v>
      </c>
      <c r="D5810" t="str">
        <f>TEST_DATA!D5810</f>
        <v>NIL</v>
      </c>
      <c r="E5810">
        <f>TEST_DATA!E5810</f>
        <v>362</v>
      </c>
    </row>
    <row r="5811" spans="1:5" x14ac:dyDescent="0.55000000000000004">
      <c r="A5811" t="str">
        <f>TEST_DATA!A5811</f>
        <v>27AAAAA5811Z5</v>
      </c>
      <c r="B5811" t="str">
        <f>TEST_DATA!B5811</f>
        <v>Apr-2018</v>
      </c>
      <c r="C5811">
        <f>TEST_DATA!C5811</f>
        <v>43217</v>
      </c>
      <c r="D5811" t="str">
        <f>TEST_DATA!D5811</f>
        <v>NON-NIL</v>
      </c>
      <c r="E5811">
        <f>TEST_DATA!E5811</f>
        <v>886</v>
      </c>
    </row>
    <row r="5812" spans="1:5" x14ac:dyDescent="0.55000000000000004">
      <c r="A5812" t="str">
        <f>TEST_DATA!A5812</f>
        <v>27AAAAA5812Z5</v>
      </c>
      <c r="B5812" t="str">
        <f>TEST_DATA!B5812</f>
        <v>Apr-2021</v>
      </c>
      <c r="C5812">
        <f>TEST_DATA!C5812</f>
        <v>45149</v>
      </c>
      <c r="D5812" t="str">
        <f>TEST_DATA!D5812</f>
        <v>NIL</v>
      </c>
      <c r="E5812">
        <f>TEST_DATA!E5812</f>
        <v>1407</v>
      </c>
    </row>
    <row r="5813" spans="1:5" x14ac:dyDescent="0.55000000000000004">
      <c r="A5813" t="str">
        <f>TEST_DATA!A5813</f>
        <v>27AAAAA5813Z5</v>
      </c>
      <c r="B5813" t="str">
        <f>TEST_DATA!B5813</f>
        <v>May-2020</v>
      </c>
      <c r="C5813">
        <f>TEST_DATA!C5813</f>
        <v>44487</v>
      </c>
      <c r="D5813" t="str">
        <f>TEST_DATA!D5813</f>
        <v>NON-NIL</v>
      </c>
      <c r="E5813">
        <f>TEST_DATA!E5813</f>
        <v>2758</v>
      </c>
    </row>
    <row r="5814" spans="1:5" x14ac:dyDescent="0.55000000000000004">
      <c r="A5814" t="str">
        <f>TEST_DATA!A5814</f>
        <v>27AAAAA5814Z5</v>
      </c>
      <c r="B5814" t="str">
        <f>TEST_DATA!B5814</f>
        <v>Nov-2017</v>
      </c>
      <c r="C5814">
        <f>TEST_DATA!C5814</f>
        <v>43124</v>
      </c>
      <c r="D5814" t="str">
        <f>TEST_DATA!D5814</f>
        <v>NIL</v>
      </c>
      <c r="E5814">
        <f>TEST_DATA!E5814</f>
        <v>2186</v>
      </c>
    </row>
    <row r="5815" spans="1:5" x14ac:dyDescent="0.55000000000000004">
      <c r="A5815" t="str">
        <f>TEST_DATA!A5815</f>
        <v>27AAAAA5815Z5</v>
      </c>
      <c r="B5815" t="str">
        <f>TEST_DATA!B5815</f>
        <v>Jan-2021</v>
      </c>
      <c r="C5815">
        <f>TEST_DATA!C5815</f>
        <v>45485</v>
      </c>
      <c r="D5815" t="str">
        <f>TEST_DATA!D5815</f>
        <v>NIL</v>
      </c>
      <c r="E5815">
        <f>TEST_DATA!E5815</f>
        <v>2550</v>
      </c>
    </row>
    <row r="5816" spans="1:5" x14ac:dyDescent="0.55000000000000004">
      <c r="A5816" t="str">
        <f>TEST_DATA!A5816</f>
        <v>27AAAAA5816Z5</v>
      </c>
      <c r="B5816" t="str">
        <f>TEST_DATA!B5816</f>
        <v>Aug-2018</v>
      </c>
      <c r="C5816">
        <f>TEST_DATA!C5816</f>
        <v>43219</v>
      </c>
      <c r="D5816" t="str">
        <f>TEST_DATA!D5816</f>
        <v>NIL</v>
      </c>
      <c r="E5816">
        <f>TEST_DATA!E5816</f>
        <v>2966</v>
      </c>
    </row>
    <row r="5817" spans="1:5" x14ac:dyDescent="0.55000000000000004">
      <c r="A5817" t="str">
        <f>TEST_DATA!A5817</f>
        <v>27AAAAA5817Z5</v>
      </c>
      <c r="B5817" t="str">
        <f>TEST_DATA!B5817</f>
        <v>Apr-2018</v>
      </c>
      <c r="C5817">
        <f>TEST_DATA!C5817</f>
        <v>44373</v>
      </c>
      <c r="D5817" t="str">
        <f>TEST_DATA!D5817</f>
        <v>NIL</v>
      </c>
      <c r="E5817">
        <f>TEST_DATA!E5817</f>
        <v>2695</v>
      </c>
    </row>
    <row r="5818" spans="1:5" x14ac:dyDescent="0.55000000000000004">
      <c r="A5818" t="str">
        <f>TEST_DATA!A5818</f>
        <v>27AAAAA5818Z5</v>
      </c>
      <c r="B5818" t="str">
        <f>TEST_DATA!B5818</f>
        <v>Apr-2020</v>
      </c>
      <c r="C5818">
        <f>TEST_DATA!C5818</f>
        <v>44609</v>
      </c>
      <c r="D5818" t="str">
        <f>TEST_DATA!D5818</f>
        <v>NON-NIL</v>
      </c>
      <c r="E5818">
        <f>TEST_DATA!E5818</f>
        <v>903</v>
      </c>
    </row>
    <row r="5819" spans="1:5" x14ac:dyDescent="0.55000000000000004">
      <c r="A5819" t="str">
        <f>TEST_DATA!A5819</f>
        <v>27AAAAA5819Z5</v>
      </c>
      <c r="B5819" t="str">
        <f>TEST_DATA!B5819</f>
        <v>Jan-2018</v>
      </c>
      <c r="C5819">
        <f>TEST_DATA!C5819</f>
        <v>44063</v>
      </c>
      <c r="D5819" t="str">
        <f>TEST_DATA!D5819</f>
        <v>NON-NIL</v>
      </c>
      <c r="E5819">
        <f>TEST_DATA!E5819</f>
        <v>980</v>
      </c>
    </row>
    <row r="5820" spans="1:5" x14ac:dyDescent="0.55000000000000004">
      <c r="A5820" t="str">
        <f>TEST_DATA!A5820</f>
        <v>27AAAAA5820Z5</v>
      </c>
      <c r="B5820" t="str">
        <f>TEST_DATA!B5820</f>
        <v>Dec-2024</v>
      </c>
      <c r="C5820">
        <f>TEST_DATA!C5820</f>
        <v>44014</v>
      </c>
      <c r="D5820" t="str">
        <f>TEST_DATA!D5820</f>
        <v>NON-NIL</v>
      </c>
      <c r="E5820">
        <f>TEST_DATA!E5820</f>
        <v>1887</v>
      </c>
    </row>
    <row r="5821" spans="1:5" x14ac:dyDescent="0.55000000000000004">
      <c r="A5821" t="str">
        <f>TEST_DATA!A5821</f>
        <v>27AAAAA5821Z5</v>
      </c>
      <c r="B5821" t="str">
        <f>TEST_DATA!B5821</f>
        <v>Dec-2017</v>
      </c>
      <c r="C5821">
        <f>TEST_DATA!C5821</f>
        <v>43665</v>
      </c>
      <c r="D5821" t="str">
        <f>TEST_DATA!D5821</f>
        <v>NIL</v>
      </c>
      <c r="E5821">
        <f>TEST_DATA!E5821</f>
        <v>1493</v>
      </c>
    </row>
    <row r="5822" spans="1:5" x14ac:dyDescent="0.55000000000000004">
      <c r="A5822" t="str">
        <f>TEST_DATA!A5822</f>
        <v>27AAAAA5822Z5</v>
      </c>
      <c r="B5822" t="str">
        <f>TEST_DATA!B5822</f>
        <v>Dec-2019</v>
      </c>
      <c r="C5822">
        <f>TEST_DATA!C5822</f>
        <v>44432</v>
      </c>
      <c r="D5822" t="str">
        <f>TEST_DATA!D5822</f>
        <v>NIL</v>
      </c>
      <c r="E5822">
        <f>TEST_DATA!E5822</f>
        <v>1005</v>
      </c>
    </row>
    <row r="5823" spans="1:5" x14ac:dyDescent="0.55000000000000004">
      <c r="A5823" t="str">
        <f>TEST_DATA!A5823</f>
        <v>27AAAAA5823Z5</v>
      </c>
      <c r="B5823" t="str">
        <f>TEST_DATA!B5823</f>
        <v>Mar-2018</v>
      </c>
      <c r="C5823">
        <f>TEST_DATA!C5823</f>
        <v>43331</v>
      </c>
      <c r="D5823" t="str">
        <f>TEST_DATA!D5823</f>
        <v>NIL</v>
      </c>
      <c r="E5823">
        <f>TEST_DATA!E5823</f>
        <v>2824</v>
      </c>
    </row>
    <row r="5824" spans="1:5" x14ac:dyDescent="0.55000000000000004">
      <c r="A5824" t="str">
        <f>TEST_DATA!A5824</f>
        <v>27AAAAA5824Z5</v>
      </c>
      <c r="B5824" t="str">
        <f>TEST_DATA!B5824</f>
        <v>Feb-2018</v>
      </c>
      <c r="C5824">
        <f>TEST_DATA!C5824</f>
        <v>43075</v>
      </c>
      <c r="D5824" t="str">
        <f>TEST_DATA!D5824</f>
        <v>NIL</v>
      </c>
      <c r="E5824">
        <f>TEST_DATA!E5824</f>
        <v>2893</v>
      </c>
    </row>
    <row r="5825" spans="1:5" x14ac:dyDescent="0.55000000000000004">
      <c r="A5825" t="str">
        <f>TEST_DATA!A5825</f>
        <v>27AAAAA5825Z5</v>
      </c>
      <c r="B5825" t="str">
        <f>TEST_DATA!B5825</f>
        <v>Dec-2022</v>
      </c>
      <c r="C5825">
        <f>TEST_DATA!C5825</f>
        <v>44964</v>
      </c>
      <c r="D5825" t="str">
        <f>TEST_DATA!D5825</f>
        <v>NON-NIL</v>
      </c>
      <c r="E5825">
        <f>TEST_DATA!E5825</f>
        <v>1661</v>
      </c>
    </row>
    <row r="5826" spans="1:5" x14ac:dyDescent="0.55000000000000004">
      <c r="A5826" t="str">
        <f>TEST_DATA!A5826</f>
        <v>27AAAAA5826Z5</v>
      </c>
      <c r="B5826" t="str">
        <f>TEST_DATA!B5826</f>
        <v>Jul-2017</v>
      </c>
      <c r="C5826">
        <f>TEST_DATA!C5826</f>
        <v>43682</v>
      </c>
      <c r="D5826" t="str">
        <f>TEST_DATA!D5826</f>
        <v>NON-NIL</v>
      </c>
      <c r="E5826">
        <f>TEST_DATA!E5826</f>
        <v>1514</v>
      </c>
    </row>
    <row r="5827" spans="1:5" x14ac:dyDescent="0.55000000000000004">
      <c r="A5827" t="str">
        <f>TEST_DATA!A5827</f>
        <v>27AAAAA5827Z5</v>
      </c>
      <c r="B5827" t="str">
        <f>TEST_DATA!B5827</f>
        <v>Mar-2023</v>
      </c>
      <c r="C5827">
        <f>TEST_DATA!C5827</f>
        <v>45378</v>
      </c>
      <c r="D5827" t="str">
        <f>TEST_DATA!D5827</f>
        <v>NON-NIL</v>
      </c>
      <c r="E5827">
        <f>TEST_DATA!E5827</f>
        <v>2825</v>
      </c>
    </row>
    <row r="5828" spans="1:5" x14ac:dyDescent="0.55000000000000004">
      <c r="A5828" t="str">
        <f>TEST_DATA!A5828</f>
        <v>27AAAAA5828Z5</v>
      </c>
      <c r="B5828" t="str">
        <f>TEST_DATA!B5828</f>
        <v>Mar-2020</v>
      </c>
      <c r="C5828">
        <f>TEST_DATA!C5828</f>
        <v>44381</v>
      </c>
      <c r="D5828" t="str">
        <f>TEST_DATA!D5828</f>
        <v>NON-NIL</v>
      </c>
      <c r="E5828">
        <f>TEST_DATA!E5828</f>
        <v>1355</v>
      </c>
    </row>
    <row r="5829" spans="1:5" x14ac:dyDescent="0.55000000000000004">
      <c r="A5829" t="str">
        <f>TEST_DATA!A5829</f>
        <v>27AAAAA5829Z5</v>
      </c>
      <c r="B5829" t="str">
        <f>TEST_DATA!B5829</f>
        <v>Apr-2021</v>
      </c>
      <c r="C5829">
        <f>TEST_DATA!C5829</f>
        <v>45323</v>
      </c>
      <c r="D5829" t="str">
        <f>TEST_DATA!D5829</f>
        <v>NON-NIL</v>
      </c>
      <c r="E5829">
        <f>TEST_DATA!E5829</f>
        <v>2403</v>
      </c>
    </row>
    <row r="5830" spans="1:5" x14ac:dyDescent="0.55000000000000004">
      <c r="A5830" t="str">
        <f>TEST_DATA!A5830</f>
        <v>27AAAAA5830Z5</v>
      </c>
      <c r="B5830" t="str">
        <f>TEST_DATA!B5830</f>
        <v>Jul-2020</v>
      </c>
      <c r="C5830">
        <f>TEST_DATA!C5830</f>
        <v>44380</v>
      </c>
      <c r="D5830" t="str">
        <f>TEST_DATA!D5830</f>
        <v>NON-NIL</v>
      </c>
      <c r="E5830">
        <f>TEST_DATA!E5830</f>
        <v>816</v>
      </c>
    </row>
    <row r="5831" spans="1:5" x14ac:dyDescent="0.55000000000000004">
      <c r="A5831" t="str">
        <f>TEST_DATA!A5831</f>
        <v>27AAAAA5831Z5</v>
      </c>
      <c r="B5831" t="str">
        <f>TEST_DATA!B5831</f>
        <v>Jun-2018</v>
      </c>
      <c r="C5831">
        <f>TEST_DATA!C5831</f>
        <v>43408</v>
      </c>
      <c r="D5831" t="str">
        <f>TEST_DATA!D5831</f>
        <v>NON-NIL</v>
      </c>
      <c r="E5831">
        <f>TEST_DATA!E5831</f>
        <v>1518</v>
      </c>
    </row>
    <row r="5832" spans="1:5" x14ac:dyDescent="0.55000000000000004">
      <c r="A5832" t="str">
        <f>TEST_DATA!A5832</f>
        <v>27AAAAA5832Z5</v>
      </c>
      <c r="B5832" t="str">
        <f>TEST_DATA!B5832</f>
        <v>Mar-2020</v>
      </c>
      <c r="C5832">
        <f>TEST_DATA!C5832</f>
        <v>44798</v>
      </c>
      <c r="D5832" t="str">
        <f>TEST_DATA!D5832</f>
        <v>NON-NIL</v>
      </c>
      <c r="E5832">
        <f>TEST_DATA!E5832</f>
        <v>1609</v>
      </c>
    </row>
    <row r="5833" spans="1:5" x14ac:dyDescent="0.55000000000000004">
      <c r="A5833" t="str">
        <f>TEST_DATA!A5833</f>
        <v>27AAAAA5833Z5</v>
      </c>
      <c r="B5833" t="str">
        <f>TEST_DATA!B5833</f>
        <v>Jul-2018</v>
      </c>
      <c r="C5833">
        <f>TEST_DATA!C5833</f>
        <v>44408</v>
      </c>
      <c r="D5833" t="str">
        <f>TEST_DATA!D5833</f>
        <v>NON-NIL</v>
      </c>
      <c r="E5833">
        <f>TEST_DATA!E5833</f>
        <v>260</v>
      </c>
    </row>
    <row r="5834" spans="1:5" x14ac:dyDescent="0.55000000000000004">
      <c r="A5834" t="str">
        <f>TEST_DATA!A5834</f>
        <v>27AAAAA5834Z5</v>
      </c>
      <c r="B5834" t="str">
        <f>TEST_DATA!B5834</f>
        <v>Aug-2018</v>
      </c>
      <c r="C5834">
        <f>TEST_DATA!C5834</f>
        <v>43344</v>
      </c>
      <c r="D5834" t="str">
        <f>TEST_DATA!D5834</f>
        <v>NON-NIL</v>
      </c>
      <c r="E5834">
        <f>TEST_DATA!E5834</f>
        <v>518</v>
      </c>
    </row>
    <row r="5835" spans="1:5" x14ac:dyDescent="0.55000000000000004">
      <c r="A5835" t="str">
        <f>TEST_DATA!A5835</f>
        <v>27AAAAA5835Z5</v>
      </c>
      <c r="B5835" t="str">
        <f>TEST_DATA!B5835</f>
        <v>Sep-2017</v>
      </c>
      <c r="C5835">
        <f>TEST_DATA!C5835</f>
        <v>43279</v>
      </c>
      <c r="D5835" t="str">
        <f>TEST_DATA!D5835</f>
        <v>NON-NIL</v>
      </c>
      <c r="E5835">
        <f>TEST_DATA!E5835</f>
        <v>1169</v>
      </c>
    </row>
    <row r="5836" spans="1:5" x14ac:dyDescent="0.55000000000000004">
      <c r="A5836" t="str">
        <f>TEST_DATA!A5836</f>
        <v>27AAAAA5836Z5</v>
      </c>
      <c r="B5836" t="str">
        <f>TEST_DATA!B5836</f>
        <v>Jun-2018</v>
      </c>
      <c r="C5836">
        <f>TEST_DATA!C5836</f>
        <v>42962</v>
      </c>
      <c r="D5836" t="str">
        <f>TEST_DATA!D5836</f>
        <v>NIL</v>
      </c>
      <c r="E5836">
        <f>TEST_DATA!E5836</f>
        <v>2345</v>
      </c>
    </row>
    <row r="5837" spans="1:5" x14ac:dyDescent="0.55000000000000004">
      <c r="A5837" t="str">
        <f>TEST_DATA!A5837</f>
        <v>27AAAAA5837Z5</v>
      </c>
      <c r="B5837" t="str">
        <f>TEST_DATA!B5837</f>
        <v>May-2018</v>
      </c>
      <c r="C5837">
        <f>TEST_DATA!C5837</f>
        <v>44183</v>
      </c>
      <c r="D5837" t="str">
        <f>TEST_DATA!D5837</f>
        <v>NON-NIL</v>
      </c>
      <c r="E5837">
        <f>TEST_DATA!E5837</f>
        <v>2080</v>
      </c>
    </row>
    <row r="5838" spans="1:5" x14ac:dyDescent="0.55000000000000004">
      <c r="A5838" t="str">
        <f>TEST_DATA!A5838</f>
        <v>27AAAAA5838Z5</v>
      </c>
      <c r="B5838" t="str">
        <f>TEST_DATA!B5838</f>
        <v>Sep-2017</v>
      </c>
      <c r="C5838">
        <f>TEST_DATA!C5838</f>
        <v>43616</v>
      </c>
      <c r="D5838" t="str">
        <f>TEST_DATA!D5838</f>
        <v>NIL</v>
      </c>
      <c r="E5838">
        <f>TEST_DATA!E5838</f>
        <v>1634</v>
      </c>
    </row>
    <row r="5839" spans="1:5" x14ac:dyDescent="0.55000000000000004">
      <c r="A5839" t="str">
        <f>TEST_DATA!A5839</f>
        <v>27AAAAA5839Z5</v>
      </c>
      <c r="B5839" t="str">
        <f>TEST_DATA!B5839</f>
        <v>Apr-2020</v>
      </c>
      <c r="C5839">
        <f>TEST_DATA!C5839</f>
        <v>44123</v>
      </c>
      <c r="D5839" t="str">
        <f>TEST_DATA!D5839</f>
        <v>NON-NIL</v>
      </c>
      <c r="E5839">
        <f>TEST_DATA!E5839</f>
        <v>1520</v>
      </c>
    </row>
    <row r="5840" spans="1:5" x14ac:dyDescent="0.55000000000000004">
      <c r="A5840" t="str">
        <f>TEST_DATA!A5840</f>
        <v>27AAAAA5840Z5</v>
      </c>
      <c r="B5840" t="str">
        <f>TEST_DATA!B5840</f>
        <v>Mar-2020</v>
      </c>
      <c r="C5840">
        <f>TEST_DATA!C5840</f>
        <v>44611</v>
      </c>
      <c r="D5840" t="str">
        <f>TEST_DATA!D5840</f>
        <v>NON-NIL</v>
      </c>
      <c r="E5840">
        <f>TEST_DATA!E5840</f>
        <v>1237</v>
      </c>
    </row>
    <row r="5841" spans="1:5" x14ac:dyDescent="0.55000000000000004">
      <c r="A5841" t="str">
        <f>TEST_DATA!A5841</f>
        <v>27AAAAA5841Z5</v>
      </c>
      <c r="B5841" t="str">
        <f>TEST_DATA!B5841</f>
        <v>Mar-2023</v>
      </c>
      <c r="C5841">
        <f>TEST_DATA!C5841</f>
        <v>45295</v>
      </c>
      <c r="D5841" t="str">
        <f>TEST_DATA!D5841</f>
        <v>NIL</v>
      </c>
      <c r="E5841">
        <f>TEST_DATA!E5841</f>
        <v>462</v>
      </c>
    </row>
    <row r="5842" spans="1:5" x14ac:dyDescent="0.55000000000000004">
      <c r="A5842" t="str">
        <f>TEST_DATA!A5842</f>
        <v>27AAAAA5842Z5</v>
      </c>
      <c r="B5842" t="str">
        <f>TEST_DATA!B5842</f>
        <v>Mar-2023</v>
      </c>
      <c r="C5842">
        <f>TEST_DATA!C5842</f>
        <v>44447</v>
      </c>
      <c r="D5842" t="str">
        <f>TEST_DATA!D5842</f>
        <v>NIL</v>
      </c>
      <c r="E5842">
        <f>TEST_DATA!E5842</f>
        <v>1856</v>
      </c>
    </row>
    <row r="5843" spans="1:5" x14ac:dyDescent="0.55000000000000004">
      <c r="A5843" t="str">
        <f>TEST_DATA!A5843</f>
        <v>27AAAAA5843Z5</v>
      </c>
      <c r="B5843" t="str">
        <f>TEST_DATA!B5843</f>
        <v>Mar-2023</v>
      </c>
      <c r="C5843">
        <f>TEST_DATA!C5843</f>
        <v>44597</v>
      </c>
      <c r="D5843" t="str">
        <f>TEST_DATA!D5843</f>
        <v>NIL</v>
      </c>
      <c r="E5843">
        <f>TEST_DATA!E5843</f>
        <v>981</v>
      </c>
    </row>
    <row r="5844" spans="1:5" x14ac:dyDescent="0.55000000000000004">
      <c r="A5844" t="str">
        <f>TEST_DATA!A5844</f>
        <v>27AAAAA5844Z5</v>
      </c>
      <c r="B5844" t="str">
        <f>TEST_DATA!B5844</f>
        <v>Jun-2018</v>
      </c>
      <c r="C5844">
        <f>TEST_DATA!C5844</f>
        <v>44508</v>
      </c>
      <c r="D5844" t="str">
        <f>TEST_DATA!D5844</f>
        <v>NIL</v>
      </c>
      <c r="E5844">
        <f>TEST_DATA!E5844</f>
        <v>1088</v>
      </c>
    </row>
    <row r="5845" spans="1:5" x14ac:dyDescent="0.55000000000000004">
      <c r="A5845" t="str">
        <f>TEST_DATA!A5845</f>
        <v>27AAAAA5845Z5</v>
      </c>
      <c r="B5845" t="str">
        <f>TEST_DATA!B5845</f>
        <v>Dec-2017</v>
      </c>
      <c r="C5845">
        <f>TEST_DATA!C5845</f>
        <v>43705</v>
      </c>
      <c r="D5845" t="str">
        <f>TEST_DATA!D5845</f>
        <v>NIL</v>
      </c>
      <c r="E5845">
        <f>TEST_DATA!E5845</f>
        <v>1171</v>
      </c>
    </row>
    <row r="5846" spans="1:5" x14ac:dyDescent="0.55000000000000004">
      <c r="A5846" t="str">
        <f>TEST_DATA!A5846</f>
        <v>27AAAAA5846Z5</v>
      </c>
      <c r="B5846" t="str">
        <f>TEST_DATA!B5846</f>
        <v>Aug-2017</v>
      </c>
      <c r="C5846">
        <f>TEST_DATA!C5846</f>
        <v>44284</v>
      </c>
      <c r="D5846" t="str">
        <f>TEST_DATA!D5846</f>
        <v>NON-NIL</v>
      </c>
      <c r="E5846">
        <f>TEST_DATA!E5846</f>
        <v>2665</v>
      </c>
    </row>
    <row r="5847" spans="1:5" x14ac:dyDescent="0.55000000000000004">
      <c r="A5847" t="str">
        <f>TEST_DATA!A5847</f>
        <v>27AAAAA5847Z5</v>
      </c>
      <c r="B5847" t="str">
        <f>TEST_DATA!B5847</f>
        <v>Dec-2019</v>
      </c>
      <c r="C5847">
        <f>TEST_DATA!C5847</f>
        <v>44266</v>
      </c>
      <c r="D5847" t="str">
        <f>TEST_DATA!D5847</f>
        <v>NIL</v>
      </c>
      <c r="E5847">
        <f>TEST_DATA!E5847</f>
        <v>644</v>
      </c>
    </row>
    <row r="5848" spans="1:5" x14ac:dyDescent="0.55000000000000004">
      <c r="A5848" t="str">
        <f>TEST_DATA!A5848</f>
        <v>27AAAAA5848Z5</v>
      </c>
      <c r="B5848" t="str">
        <f>TEST_DATA!B5848</f>
        <v>Aug-2018</v>
      </c>
      <c r="C5848">
        <f>TEST_DATA!C5848</f>
        <v>43155</v>
      </c>
      <c r="D5848" t="str">
        <f>TEST_DATA!D5848</f>
        <v>NON-NIL</v>
      </c>
      <c r="E5848">
        <f>TEST_DATA!E5848</f>
        <v>1297</v>
      </c>
    </row>
    <row r="5849" spans="1:5" x14ac:dyDescent="0.55000000000000004">
      <c r="A5849" t="str">
        <f>TEST_DATA!A5849</f>
        <v>27AAAAA5849Z5</v>
      </c>
      <c r="B5849" t="str">
        <f>TEST_DATA!B5849</f>
        <v>Dec-2024</v>
      </c>
      <c r="C5849">
        <f>TEST_DATA!C5849</f>
        <v>44731</v>
      </c>
      <c r="D5849" t="str">
        <f>TEST_DATA!D5849</f>
        <v>NIL</v>
      </c>
      <c r="E5849">
        <f>TEST_DATA!E5849</f>
        <v>2942</v>
      </c>
    </row>
    <row r="5850" spans="1:5" x14ac:dyDescent="0.55000000000000004">
      <c r="A5850" t="str">
        <f>TEST_DATA!A5850</f>
        <v>27AAAAA5850Z5</v>
      </c>
      <c r="B5850" t="str">
        <f>TEST_DATA!B5850</f>
        <v>Apr-2021</v>
      </c>
      <c r="C5850">
        <f>TEST_DATA!C5850</f>
        <v>43694</v>
      </c>
      <c r="D5850" t="str">
        <f>TEST_DATA!D5850</f>
        <v>NON-NIL</v>
      </c>
      <c r="E5850">
        <f>TEST_DATA!E5850</f>
        <v>2320</v>
      </c>
    </row>
    <row r="5851" spans="1:5" x14ac:dyDescent="0.55000000000000004">
      <c r="A5851" t="str">
        <f>TEST_DATA!A5851</f>
        <v>27AAAAA5851Z5</v>
      </c>
      <c r="B5851" t="str">
        <f>TEST_DATA!B5851</f>
        <v>Aug-2018</v>
      </c>
      <c r="C5851">
        <f>TEST_DATA!C5851</f>
        <v>43367</v>
      </c>
      <c r="D5851" t="str">
        <f>TEST_DATA!D5851</f>
        <v>NON-NIL</v>
      </c>
      <c r="E5851">
        <f>TEST_DATA!E5851</f>
        <v>925</v>
      </c>
    </row>
    <row r="5852" spans="1:5" x14ac:dyDescent="0.55000000000000004">
      <c r="A5852" t="str">
        <f>TEST_DATA!A5852</f>
        <v>27AAAAA5852Z5</v>
      </c>
      <c r="B5852" t="str">
        <f>TEST_DATA!B5852</f>
        <v>Oct-2017</v>
      </c>
      <c r="C5852">
        <f>TEST_DATA!C5852</f>
        <v>44311</v>
      </c>
      <c r="D5852" t="str">
        <f>TEST_DATA!D5852</f>
        <v>NIL</v>
      </c>
      <c r="E5852">
        <f>TEST_DATA!E5852</f>
        <v>122</v>
      </c>
    </row>
    <row r="5853" spans="1:5" x14ac:dyDescent="0.55000000000000004">
      <c r="A5853" t="str">
        <f>TEST_DATA!A5853</f>
        <v>27AAAAA5853Z5</v>
      </c>
      <c r="B5853" t="str">
        <f>TEST_DATA!B5853</f>
        <v>Dec-2019</v>
      </c>
      <c r="C5853">
        <f>TEST_DATA!C5853</f>
        <v>43965</v>
      </c>
      <c r="D5853" t="str">
        <f>TEST_DATA!D5853</f>
        <v>NON-NIL</v>
      </c>
      <c r="E5853">
        <f>TEST_DATA!E5853</f>
        <v>2174</v>
      </c>
    </row>
    <row r="5854" spans="1:5" x14ac:dyDescent="0.55000000000000004">
      <c r="A5854" t="str">
        <f>TEST_DATA!A5854</f>
        <v>27AAAAA5854Z5</v>
      </c>
      <c r="B5854" t="str">
        <f>TEST_DATA!B5854</f>
        <v>Dec-2022</v>
      </c>
      <c r="C5854">
        <f>TEST_DATA!C5854</f>
        <v>44925</v>
      </c>
      <c r="D5854" t="str">
        <f>TEST_DATA!D5854</f>
        <v>NIL</v>
      </c>
      <c r="E5854">
        <f>TEST_DATA!E5854</f>
        <v>581</v>
      </c>
    </row>
    <row r="5855" spans="1:5" x14ac:dyDescent="0.55000000000000004">
      <c r="A5855" t="str">
        <f>TEST_DATA!A5855</f>
        <v>27AAAAA5855Z5</v>
      </c>
      <c r="B5855" t="str">
        <f>TEST_DATA!B5855</f>
        <v>Oct-2017</v>
      </c>
      <c r="C5855">
        <f>TEST_DATA!C5855</f>
        <v>43079</v>
      </c>
      <c r="D5855" t="str">
        <f>TEST_DATA!D5855</f>
        <v>NON-NIL</v>
      </c>
      <c r="E5855">
        <f>TEST_DATA!E5855</f>
        <v>2989</v>
      </c>
    </row>
    <row r="5856" spans="1:5" x14ac:dyDescent="0.55000000000000004">
      <c r="A5856" t="str">
        <f>TEST_DATA!A5856</f>
        <v>27AAAAA5856Z5</v>
      </c>
      <c r="B5856" t="str">
        <f>TEST_DATA!B5856</f>
        <v>Dec-2019</v>
      </c>
      <c r="C5856">
        <f>TEST_DATA!C5856</f>
        <v>45295</v>
      </c>
      <c r="D5856" t="str">
        <f>TEST_DATA!D5856</f>
        <v>NIL</v>
      </c>
      <c r="E5856">
        <f>TEST_DATA!E5856</f>
        <v>2281</v>
      </c>
    </row>
    <row r="5857" spans="1:5" x14ac:dyDescent="0.55000000000000004">
      <c r="A5857" t="str">
        <f>TEST_DATA!A5857</f>
        <v>27AAAAA5857Z5</v>
      </c>
      <c r="B5857" t="str">
        <f>TEST_DATA!B5857</f>
        <v>Mar-2018</v>
      </c>
      <c r="C5857">
        <f>TEST_DATA!C5857</f>
        <v>43568</v>
      </c>
      <c r="D5857" t="str">
        <f>TEST_DATA!D5857</f>
        <v>NIL</v>
      </c>
      <c r="E5857">
        <f>TEST_DATA!E5857</f>
        <v>856</v>
      </c>
    </row>
    <row r="5858" spans="1:5" x14ac:dyDescent="0.55000000000000004">
      <c r="A5858" t="str">
        <f>TEST_DATA!A5858</f>
        <v>27AAAAA5858Z5</v>
      </c>
      <c r="B5858" t="str">
        <f>TEST_DATA!B5858</f>
        <v>Jun-2018</v>
      </c>
      <c r="C5858">
        <f>TEST_DATA!C5858</f>
        <v>44264</v>
      </c>
      <c r="D5858" t="str">
        <f>TEST_DATA!D5858</f>
        <v>NON-NIL</v>
      </c>
      <c r="E5858">
        <f>TEST_DATA!E5858</f>
        <v>721</v>
      </c>
    </row>
    <row r="5859" spans="1:5" x14ac:dyDescent="0.55000000000000004">
      <c r="A5859" t="str">
        <f>TEST_DATA!A5859</f>
        <v>27AAAAA5859Z5</v>
      </c>
      <c r="B5859" t="str">
        <f>TEST_DATA!B5859</f>
        <v>Aug-2018</v>
      </c>
      <c r="C5859">
        <f>TEST_DATA!C5859</f>
        <v>43952</v>
      </c>
      <c r="D5859" t="str">
        <f>TEST_DATA!D5859</f>
        <v>NON-NIL</v>
      </c>
      <c r="E5859">
        <f>TEST_DATA!E5859</f>
        <v>1063</v>
      </c>
    </row>
    <row r="5860" spans="1:5" x14ac:dyDescent="0.55000000000000004">
      <c r="A5860" t="str">
        <f>TEST_DATA!A5860</f>
        <v>27AAAAA5860Z5</v>
      </c>
      <c r="B5860" t="str">
        <f>TEST_DATA!B5860</f>
        <v>Mar-2018</v>
      </c>
      <c r="C5860">
        <f>TEST_DATA!C5860</f>
        <v>44310</v>
      </c>
      <c r="D5860" t="str">
        <f>TEST_DATA!D5860</f>
        <v>NON-NIL</v>
      </c>
      <c r="E5860">
        <f>TEST_DATA!E5860</f>
        <v>199</v>
      </c>
    </row>
    <row r="5861" spans="1:5" x14ac:dyDescent="0.55000000000000004">
      <c r="A5861" t="str">
        <f>TEST_DATA!A5861</f>
        <v>27AAAAA5861Z5</v>
      </c>
      <c r="B5861" t="str">
        <f>TEST_DATA!B5861</f>
        <v>Oct-2017</v>
      </c>
      <c r="C5861">
        <f>TEST_DATA!C5861</f>
        <v>43935</v>
      </c>
      <c r="D5861" t="str">
        <f>TEST_DATA!D5861</f>
        <v>NIL</v>
      </c>
      <c r="E5861">
        <f>TEST_DATA!E5861</f>
        <v>2632</v>
      </c>
    </row>
    <row r="5862" spans="1:5" x14ac:dyDescent="0.55000000000000004">
      <c r="A5862" t="str">
        <f>TEST_DATA!A5862</f>
        <v>27AAAAA5862Z5</v>
      </c>
      <c r="B5862" t="str">
        <f>TEST_DATA!B5862</f>
        <v>Dec-2017</v>
      </c>
      <c r="C5862">
        <f>TEST_DATA!C5862</f>
        <v>44244</v>
      </c>
      <c r="D5862" t="str">
        <f>TEST_DATA!D5862</f>
        <v>NIL</v>
      </c>
      <c r="E5862">
        <f>TEST_DATA!E5862</f>
        <v>2832</v>
      </c>
    </row>
    <row r="5863" spans="1:5" x14ac:dyDescent="0.55000000000000004">
      <c r="A5863" t="str">
        <f>TEST_DATA!A5863</f>
        <v>27AAAAA5863Z5</v>
      </c>
      <c r="B5863" t="str">
        <f>TEST_DATA!B5863</f>
        <v>Jun-2019</v>
      </c>
      <c r="C5863">
        <f>TEST_DATA!C5863</f>
        <v>45149</v>
      </c>
      <c r="D5863" t="str">
        <f>TEST_DATA!D5863</f>
        <v>NON-NIL</v>
      </c>
      <c r="E5863">
        <f>TEST_DATA!E5863</f>
        <v>604</v>
      </c>
    </row>
    <row r="5864" spans="1:5" x14ac:dyDescent="0.55000000000000004">
      <c r="A5864" t="str">
        <f>TEST_DATA!A5864</f>
        <v>27AAAAA5864Z5</v>
      </c>
      <c r="B5864" t="str">
        <f>TEST_DATA!B5864</f>
        <v>Feb-2018</v>
      </c>
      <c r="C5864">
        <f>TEST_DATA!C5864</f>
        <v>43827</v>
      </c>
      <c r="D5864" t="str">
        <f>TEST_DATA!D5864</f>
        <v>NON-NIL</v>
      </c>
      <c r="E5864">
        <f>TEST_DATA!E5864</f>
        <v>1855</v>
      </c>
    </row>
    <row r="5865" spans="1:5" x14ac:dyDescent="0.55000000000000004">
      <c r="A5865" t="str">
        <f>TEST_DATA!A5865</f>
        <v>27AAAAA5865Z5</v>
      </c>
      <c r="B5865" t="str">
        <f>TEST_DATA!B5865</f>
        <v>Nov-2017</v>
      </c>
      <c r="C5865">
        <f>TEST_DATA!C5865</f>
        <v>44099</v>
      </c>
      <c r="D5865" t="str">
        <f>TEST_DATA!D5865</f>
        <v>NON-NIL</v>
      </c>
      <c r="E5865">
        <f>TEST_DATA!E5865</f>
        <v>1639</v>
      </c>
    </row>
    <row r="5866" spans="1:5" x14ac:dyDescent="0.55000000000000004">
      <c r="A5866" t="str">
        <f>TEST_DATA!A5866</f>
        <v>27AAAAA5866Z5</v>
      </c>
      <c r="B5866" t="str">
        <f>TEST_DATA!B5866</f>
        <v>Jun-2020</v>
      </c>
      <c r="C5866">
        <f>TEST_DATA!C5866</f>
        <v>44494</v>
      </c>
      <c r="D5866" t="str">
        <f>TEST_DATA!D5866</f>
        <v>NON-NIL</v>
      </c>
      <c r="E5866">
        <f>TEST_DATA!E5866</f>
        <v>771</v>
      </c>
    </row>
    <row r="5867" spans="1:5" x14ac:dyDescent="0.55000000000000004">
      <c r="A5867" t="str">
        <f>TEST_DATA!A5867</f>
        <v>27AAAAA5867Z5</v>
      </c>
      <c r="B5867" t="str">
        <f>TEST_DATA!B5867</f>
        <v>Jan-2018</v>
      </c>
      <c r="C5867">
        <f>TEST_DATA!C5867</f>
        <v>43875</v>
      </c>
      <c r="D5867" t="str">
        <f>TEST_DATA!D5867</f>
        <v>NIL</v>
      </c>
      <c r="E5867">
        <f>TEST_DATA!E5867</f>
        <v>456</v>
      </c>
    </row>
    <row r="5868" spans="1:5" x14ac:dyDescent="0.55000000000000004">
      <c r="A5868" t="str">
        <f>TEST_DATA!A5868</f>
        <v>27AAAAA5868Z5</v>
      </c>
      <c r="B5868" t="str">
        <f>TEST_DATA!B5868</f>
        <v>Mar-2018</v>
      </c>
      <c r="C5868">
        <f>TEST_DATA!C5868</f>
        <v>43043</v>
      </c>
      <c r="D5868" t="str">
        <f>TEST_DATA!D5868</f>
        <v>NIL</v>
      </c>
      <c r="E5868">
        <f>TEST_DATA!E5868</f>
        <v>2577</v>
      </c>
    </row>
    <row r="5869" spans="1:5" x14ac:dyDescent="0.55000000000000004">
      <c r="A5869" t="str">
        <f>TEST_DATA!A5869</f>
        <v>27AAAAA5869Z5</v>
      </c>
      <c r="B5869" t="str">
        <f>TEST_DATA!B5869</f>
        <v>Jul-2020</v>
      </c>
      <c r="C5869">
        <f>TEST_DATA!C5869</f>
        <v>44562</v>
      </c>
      <c r="D5869" t="str">
        <f>TEST_DATA!D5869</f>
        <v>NIL</v>
      </c>
      <c r="E5869">
        <f>TEST_DATA!E5869</f>
        <v>1799</v>
      </c>
    </row>
    <row r="5870" spans="1:5" x14ac:dyDescent="0.55000000000000004">
      <c r="A5870" t="str">
        <f>TEST_DATA!A5870</f>
        <v>27AAAAA5870Z5</v>
      </c>
      <c r="B5870" t="str">
        <f>TEST_DATA!B5870</f>
        <v>Dec-2019</v>
      </c>
      <c r="C5870">
        <f>TEST_DATA!C5870</f>
        <v>43723</v>
      </c>
      <c r="D5870" t="str">
        <f>TEST_DATA!D5870</f>
        <v>NIL</v>
      </c>
      <c r="E5870">
        <f>TEST_DATA!E5870</f>
        <v>1505</v>
      </c>
    </row>
    <row r="5871" spans="1:5" x14ac:dyDescent="0.55000000000000004">
      <c r="A5871" t="str">
        <f>TEST_DATA!A5871</f>
        <v>27AAAAA5871Z5</v>
      </c>
      <c r="B5871" t="str">
        <f>TEST_DATA!B5871</f>
        <v>May-2018</v>
      </c>
      <c r="C5871">
        <f>TEST_DATA!C5871</f>
        <v>44246</v>
      </c>
      <c r="D5871" t="str">
        <f>TEST_DATA!D5871</f>
        <v>NIL</v>
      </c>
      <c r="E5871">
        <f>TEST_DATA!E5871</f>
        <v>148</v>
      </c>
    </row>
    <row r="5872" spans="1:5" x14ac:dyDescent="0.55000000000000004">
      <c r="A5872" t="str">
        <f>TEST_DATA!A5872</f>
        <v>27AAAAA5872Z5</v>
      </c>
      <c r="B5872" t="str">
        <f>TEST_DATA!B5872</f>
        <v>Jul-2017</v>
      </c>
      <c r="C5872">
        <f>TEST_DATA!C5872</f>
        <v>43228</v>
      </c>
      <c r="D5872" t="str">
        <f>TEST_DATA!D5872</f>
        <v>NON-NIL</v>
      </c>
      <c r="E5872">
        <f>TEST_DATA!E5872</f>
        <v>2795</v>
      </c>
    </row>
    <row r="5873" spans="1:5" x14ac:dyDescent="0.55000000000000004">
      <c r="A5873" t="str">
        <f>TEST_DATA!A5873</f>
        <v>27AAAAA5873Z5</v>
      </c>
      <c r="B5873" t="str">
        <f>TEST_DATA!B5873</f>
        <v>Dec-2017</v>
      </c>
      <c r="C5873">
        <f>TEST_DATA!C5873</f>
        <v>44410</v>
      </c>
      <c r="D5873" t="str">
        <f>TEST_DATA!D5873</f>
        <v>NIL</v>
      </c>
      <c r="E5873">
        <f>TEST_DATA!E5873</f>
        <v>269</v>
      </c>
    </row>
    <row r="5874" spans="1:5" x14ac:dyDescent="0.55000000000000004">
      <c r="A5874" t="str">
        <f>TEST_DATA!A5874</f>
        <v>27AAAAA5874Z5</v>
      </c>
      <c r="B5874" t="str">
        <f>TEST_DATA!B5874</f>
        <v>Apr-2018</v>
      </c>
      <c r="C5874">
        <f>TEST_DATA!C5874</f>
        <v>43298</v>
      </c>
      <c r="D5874" t="str">
        <f>TEST_DATA!D5874</f>
        <v>NON-NIL</v>
      </c>
      <c r="E5874">
        <f>TEST_DATA!E5874</f>
        <v>1896</v>
      </c>
    </row>
    <row r="5875" spans="1:5" x14ac:dyDescent="0.55000000000000004">
      <c r="A5875" t="str">
        <f>TEST_DATA!A5875</f>
        <v>27AAAAA5875Z5</v>
      </c>
      <c r="B5875" t="str">
        <f>TEST_DATA!B5875</f>
        <v>Jun-2020</v>
      </c>
      <c r="C5875">
        <f>TEST_DATA!C5875</f>
        <v>44230</v>
      </c>
      <c r="D5875" t="str">
        <f>TEST_DATA!D5875</f>
        <v>NIL</v>
      </c>
      <c r="E5875">
        <f>TEST_DATA!E5875</f>
        <v>1742</v>
      </c>
    </row>
    <row r="5876" spans="1:5" x14ac:dyDescent="0.55000000000000004">
      <c r="A5876" t="str">
        <f>TEST_DATA!A5876</f>
        <v>27AAAAA5876Z5</v>
      </c>
      <c r="B5876" t="str">
        <f>TEST_DATA!B5876</f>
        <v>Jul-2017</v>
      </c>
      <c r="C5876">
        <f>TEST_DATA!C5876</f>
        <v>44154</v>
      </c>
      <c r="D5876" t="str">
        <f>TEST_DATA!D5876</f>
        <v>NON-NIL</v>
      </c>
      <c r="E5876">
        <f>TEST_DATA!E5876</f>
        <v>928</v>
      </c>
    </row>
    <row r="5877" spans="1:5" x14ac:dyDescent="0.55000000000000004">
      <c r="A5877" t="str">
        <f>TEST_DATA!A5877</f>
        <v>27AAAAA5877Z5</v>
      </c>
      <c r="B5877" t="str">
        <f>TEST_DATA!B5877</f>
        <v>Mar-2020</v>
      </c>
      <c r="C5877">
        <f>TEST_DATA!C5877</f>
        <v>44083</v>
      </c>
      <c r="D5877" t="str">
        <f>TEST_DATA!D5877</f>
        <v>NIL</v>
      </c>
      <c r="E5877">
        <f>TEST_DATA!E5877</f>
        <v>1630</v>
      </c>
    </row>
    <row r="5878" spans="1:5" x14ac:dyDescent="0.55000000000000004">
      <c r="A5878" t="str">
        <f>TEST_DATA!A5878</f>
        <v>27AAAAA5878Z5</v>
      </c>
      <c r="B5878" t="str">
        <f>TEST_DATA!B5878</f>
        <v>Jun-2019</v>
      </c>
      <c r="C5878">
        <f>TEST_DATA!C5878</f>
        <v>43821</v>
      </c>
      <c r="D5878" t="str">
        <f>TEST_DATA!D5878</f>
        <v>NON-NIL</v>
      </c>
      <c r="E5878">
        <f>TEST_DATA!E5878</f>
        <v>673</v>
      </c>
    </row>
    <row r="5879" spans="1:5" x14ac:dyDescent="0.55000000000000004">
      <c r="A5879" t="str">
        <f>TEST_DATA!A5879</f>
        <v>27AAAAA5879Z5</v>
      </c>
      <c r="B5879" t="str">
        <f>TEST_DATA!B5879</f>
        <v>Aug-2017</v>
      </c>
      <c r="C5879">
        <f>TEST_DATA!C5879</f>
        <v>43323</v>
      </c>
      <c r="D5879" t="str">
        <f>TEST_DATA!D5879</f>
        <v>NIL</v>
      </c>
      <c r="E5879">
        <f>TEST_DATA!E5879</f>
        <v>811</v>
      </c>
    </row>
    <row r="5880" spans="1:5" x14ac:dyDescent="0.55000000000000004">
      <c r="A5880" t="str">
        <f>TEST_DATA!A5880</f>
        <v>27AAAAA5880Z5</v>
      </c>
      <c r="B5880" t="str">
        <f>TEST_DATA!B5880</f>
        <v>Jul-2018</v>
      </c>
      <c r="C5880">
        <f>TEST_DATA!C5880</f>
        <v>44191</v>
      </c>
      <c r="D5880" t="str">
        <f>TEST_DATA!D5880</f>
        <v>NON-NIL</v>
      </c>
      <c r="E5880">
        <f>TEST_DATA!E5880</f>
        <v>1437</v>
      </c>
    </row>
    <row r="5881" spans="1:5" x14ac:dyDescent="0.55000000000000004">
      <c r="A5881" t="str">
        <f>TEST_DATA!A5881</f>
        <v>27AAAAA5881Z5</v>
      </c>
      <c r="B5881" t="str">
        <f>TEST_DATA!B5881</f>
        <v>Jul-2020</v>
      </c>
      <c r="C5881">
        <f>TEST_DATA!C5881</f>
        <v>44146</v>
      </c>
      <c r="D5881" t="str">
        <f>TEST_DATA!D5881</f>
        <v>NON-NIL</v>
      </c>
      <c r="E5881">
        <f>TEST_DATA!E5881</f>
        <v>720</v>
      </c>
    </row>
    <row r="5882" spans="1:5" x14ac:dyDescent="0.55000000000000004">
      <c r="A5882" t="str">
        <f>TEST_DATA!A5882</f>
        <v>27AAAAA5882Z5</v>
      </c>
      <c r="B5882" t="str">
        <f>TEST_DATA!B5882</f>
        <v>Jan-2021</v>
      </c>
      <c r="C5882">
        <f>TEST_DATA!C5882</f>
        <v>43575</v>
      </c>
      <c r="D5882" t="str">
        <f>TEST_DATA!D5882</f>
        <v>NIL</v>
      </c>
      <c r="E5882">
        <f>TEST_DATA!E5882</f>
        <v>2357</v>
      </c>
    </row>
    <row r="5883" spans="1:5" x14ac:dyDescent="0.55000000000000004">
      <c r="A5883" t="str">
        <f>TEST_DATA!A5883</f>
        <v>27AAAAA5883Z5</v>
      </c>
      <c r="B5883" t="str">
        <f>TEST_DATA!B5883</f>
        <v>Jan-2021</v>
      </c>
      <c r="C5883">
        <f>TEST_DATA!C5883</f>
        <v>45451</v>
      </c>
      <c r="D5883" t="str">
        <f>TEST_DATA!D5883</f>
        <v>NIL</v>
      </c>
      <c r="E5883">
        <f>TEST_DATA!E5883</f>
        <v>1408</v>
      </c>
    </row>
    <row r="5884" spans="1:5" x14ac:dyDescent="0.55000000000000004">
      <c r="A5884" t="str">
        <f>TEST_DATA!A5884</f>
        <v>27AAAAA5884Z5</v>
      </c>
      <c r="B5884" t="str">
        <f>TEST_DATA!B5884</f>
        <v>Nov-2017</v>
      </c>
      <c r="C5884">
        <f>TEST_DATA!C5884</f>
        <v>44389</v>
      </c>
      <c r="D5884" t="str">
        <f>TEST_DATA!D5884</f>
        <v>NON-NIL</v>
      </c>
      <c r="E5884">
        <f>TEST_DATA!E5884</f>
        <v>2520</v>
      </c>
    </row>
    <row r="5885" spans="1:5" x14ac:dyDescent="0.55000000000000004">
      <c r="A5885" t="str">
        <f>TEST_DATA!A5885</f>
        <v>27AAAAA5885Z5</v>
      </c>
      <c r="B5885" t="str">
        <f>TEST_DATA!B5885</f>
        <v>Jun-2018</v>
      </c>
      <c r="C5885">
        <f>TEST_DATA!C5885</f>
        <v>44267</v>
      </c>
      <c r="D5885" t="str">
        <f>TEST_DATA!D5885</f>
        <v>NIL</v>
      </c>
      <c r="E5885">
        <f>TEST_DATA!E5885</f>
        <v>961</v>
      </c>
    </row>
    <row r="5886" spans="1:5" x14ac:dyDescent="0.55000000000000004">
      <c r="A5886" t="str">
        <f>TEST_DATA!A5886</f>
        <v>27AAAAA5886Z5</v>
      </c>
      <c r="B5886" t="str">
        <f>TEST_DATA!B5886</f>
        <v>Nov-2017</v>
      </c>
      <c r="C5886">
        <f>TEST_DATA!C5886</f>
        <v>43263</v>
      </c>
      <c r="D5886" t="str">
        <f>TEST_DATA!D5886</f>
        <v>NIL</v>
      </c>
      <c r="E5886">
        <f>TEST_DATA!E5886</f>
        <v>2621</v>
      </c>
    </row>
    <row r="5887" spans="1:5" x14ac:dyDescent="0.55000000000000004">
      <c r="A5887" t="str">
        <f>TEST_DATA!A5887</f>
        <v>27AAAAA5887Z5</v>
      </c>
      <c r="B5887" t="str">
        <f>TEST_DATA!B5887</f>
        <v>Jul-2020</v>
      </c>
      <c r="C5887">
        <f>TEST_DATA!C5887</f>
        <v>44737</v>
      </c>
      <c r="D5887" t="str">
        <f>TEST_DATA!D5887</f>
        <v>NIL</v>
      </c>
      <c r="E5887">
        <f>TEST_DATA!E5887</f>
        <v>2864</v>
      </c>
    </row>
    <row r="5888" spans="1:5" x14ac:dyDescent="0.55000000000000004">
      <c r="A5888" t="str">
        <f>TEST_DATA!A5888</f>
        <v>27AAAAA5888Z5</v>
      </c>
      <c r="B5888" t="str">
        <f>TEST_DATA!B5888</f>
        <v>Apr-2020</v>
      </c>
      <c r="C5888">
        <f>TEST_DATA!C5888</f>
        <v>44220</v>
      </c>
      <c r="D5888" t="str">
        <f>TEST_DATA!D5888</f>
        <v>NIL</v>
      </c>
      <c r="E5888">
        <f>TEST_DATA!E5888</f>
        <v>5</v>
      </c>
    </row>
    <row r="5889" spans="1:5" x14ac:dyDescent="0.55000000000000004">
      <c r="A5889" t="str">
        <f>TEST_DATA!A5889</f>
        <v>27AAAAA5889Z5</v>
      </c>
      <c r="B5889" t="str">
        <f>TEST_DATA!B5889</f>
        <v>Apr-2018</v>
      </c>
      <c r="C5889">
        <f>TEST_DATA!C5889</f>
        <v>43661</v>
      </c>
      <c r="D5889" t="str">
        <f>TEST_DATA!D5889</f>
        <v>NON-NIL</v>
      </c>
      <c r="E5889">
        <f>TEST_DATA!E5889</f>
        <v>2831</v>
      </c>
    </row>
    <row r="5890" spans="1:5" x14ac:dyDescent="0.55000000000000004">
      <c r="A5890" t="str">
        <f>TEST_DATA!A5890</f>
        <v>27AAAAA5890Z5</v>
      </c>
      <c r="B5890" t="str">
        <f>TEST_DATA!B5890</f>
        <v>Jul-2020</v>
      </c>
      <c r="C5890">
        <f>TEST_DATA!C5890</f>
        <v>44285</v>
      </c>
      <c r="D5890" t="str">
        <f>TEST_DATA!D5890</f>
        <v>NON-NIL</v>
      </c>
      <c r="E5890">
        <f>TEST_DATA!E5890</f>
        <v>923</v>
      </c>
    </row>
    <row r="5891" spans="1:5" x14ac:dyDescent="0.55000000000000004">
      <c r="A5891" t="str">
        <f>TEST_DATA!A5891</f>
        <v>27AAAAA5891Z5</v>
      </c>
      <c r="B5891" t="str">
        <f>TEST_DATA!B5891</f>
        <v>Nov-2017</v>
      </c>
      <c r="C5891">
        <f>TEST_DATA!C5891</f>
        <v>43381</v>
      </c>
      <c r="D5891" t="str">
        <f>TEST_DATA!D5891</f>
        <v>NON-NIL</v>
      </c>
      <c r="E5891">
        <f>TEST_DATA!E5891</f>
        <v>1748</v>
      </c>
    </row>
    <row r="5892" spans="1:5" x14ac:dyDescent="0.55000000000000004">
      <c r="A5892" t="str">
        <f>TEST_DATA!A5892</f>
        <v>27AAAAA5892Z5</v>
      </c>
      <c r="B5892" t="str">
        <f>TEST_DATA!B5892</f>
        <v>Sep-2017</v>
      </c>
      <c r="C5892">
        <f>TEST_DATA!C5892</f>
        <v>43955</v>
      </c>
      <c r="D5892" t="str">
        <f>TEST_DATA!D5892</f>
        <v>NON-NIL</v>
      </c>
      <c r="E5892">
        <f>TEST_DATA!E5892</f>
        <v>142</v>
      </c>
    </row>
    <row r="5893" spans="1:5" x14ac:dyDescent="0.55000000000000004">
      <c r="A5893" t="str">
        <f>TEST_DATA!A5893</f>
        <v>27AAAAA5893Z5</v>
      </c>
      <c r="B5893" t="str">
        <f>TEST_DATA!B5893</f>
        <v>Jan-2019</v>
      </c>
      <c r="C5893">
        <f>TEST_DATA!C5893</f>
        <v>45092</v>
      </c>
      <c r="D5893" t="str">
        <f>TEST_DATA!D5893</f>
        <v>NIL</v>
      </c>
      <c r="E5893">
        <f>TEST_DATA!E5893</f>
        <v>200</v>
      </c>
    </row>
    <row r="5894" spans="1:5" x14ac:dyDescent="0.55000000000000004">
      <c r="A5894" t="str">
        <f>TEST_DATA!A5894</f>
        <v>27AAAAA5894Z5</v>
      </c>
      <c r="B5894" t="str">
        <f>TEST_DATA!B5894</f>
        <v>Dec-2019</v>
      </c>
      <c r="C5894">
        <f>TEST_DATA!C5894</f>
        <v>45346</v>
      </c>
      <c r="D5894" t="str">
        <f>TEST_DATA!D5894</f>
        <v>NIL</v>
      </c>
      <c r="E5894">
        <f>TEST_DATA!E5894</f>
        <v>2094</v>
      </c>
    </row>
    <row r="5895" spans="1:5" x14ac:dyDescent="0.55000000000000004">
      <c r="A5895" t="str">
        <f>TEST_DATA!A5895</f>
        <v>27AAAAA5895Z5</v>
      </c>
      <c r="B5895" t="str">
        <f>TEST_DATA!B5895</f>
        <v>Dec-2017</v>
      </c>
      <c r="C5895">
        <f>TEST_DATA!C5895</f>
        <v>43713</v>
      </c>
      <c r="D5895" t="str">
        <f>TEST_DATA!D5895</f>
        <v>NON-NIL</v>
      </c>
      <c r="E5895">
        <f>TEST_DATA!E5895</f>
        <v>494</v>
      </c>
    </row>
    <row r="5896" spans="1:5" x14ac:dyDescent="0.55000000000000004">
      <c r="A5896" t="str">
        <f>TEST_DATA!A5896</f>
        <v>27AAAAA5896Z5</v>
      </c>
      <c r="B5896" t="str">
        <f>TEST_DATA!B5896</f>
        <v>Mar-2021</v>
      </c>
      <c r="C5896">
        <f>TEST_DATA!C5896</f>
        <v>45537</v>
      </c>
      <c r="D5896" t="str">
        <f>TEST_DATA!D5896</f>
        <v>NIL</v>
      </c>
      <c r="E5896">
        <f>TEST_DATA!E5896</f>
        <v>818</v>
      </c>
    </row>
    <row r="5897" spans="1:5" x14ac:dyDescent="0.55000000000000004">
      <c r="A5897" t="str">
        <f>TEST_DATA!A5897</f>
        <v>27AAAAA5897Z5</v>
      </c>
      <c r="B5897" t="str">
        <f>TEST_DATA!B5897</f>
        <v>Jul-2018</v>
      </c>
      <c r="C5897">
        <f>TEST_DATA!C5897</f>
        <v>42996</v>
      </c>
      <c r="D5897" t="str">
        <f>TEST_DATA!D5897</f>
        <v>NIL</v>
      </c>
      <c r="E5897">
        <f>TEST_DATA!E5897</f>
        <v>57</v>
      </c>
    </row>
    <row r="5898" spans="1:5" x14ac:dyDescent="0.55000000000000004">
      <c r="A5898" t="str">
        <f>TEST_DATA!A5898</f>
        <v>27AAAAA5898Z5</v>
      </c>
      <c r="B5898" t="str">
        <f>TEST_DATA!B5898</f>
        <v>Jan-2019</v>
      </c>
      <c r="C5898">
        <f>TEST_DATA!C5898</f>
        <v>43976</v>
      </c>
      <c r="D5898" t="str">
        <f>TEST_DATA!D5898</f>
        <v>NIL</v>
      </c>
      <c r="E5898">
        <f>TEST_DATA!E5898</f>
        <v>1623</v>
      </c>
    </row>
    <row r="5899" spans="1:5" x14ac:dyDescent="0.55000000000000004">
      <c r="A5899" t="str">
        <f>TEST_DATA!A5899</f>
        <v>27AAAAA5899Z5</v>
      </c>
      <c r="B5899" t="str">
        <f>TEST_DATA!B5899</f>
        <v>Oct-2017</v>
      </c>
      <c r="C5899">
        <f>TEST_DATA!C5899</f>
        <v>43642</v>
      </c>
      <c r="D5899" t="str">
        <f>TEST_DATA!D5899</f>
        <v>NIL</v>
      </c>
      <c r="E5899">
        <f>TEST_DATA!E5899</f>
        <v>2286</v>
      </c>
    </row>
    <row r="5900" spans="1:5" x14ac:dyDescent="0.55000000000000004">
      <c r="A5900" t="str">
        <f>TEST_DATA!A5900</f>
        <v>27AAAAA5900Z5</v>
      </c>
      <c r="B5900" t="str">
        <f>TEST_DATA!B5900</f>
        <v>Jun-2020</v>
      </c>
      <c r="C5900">
        <f>TEST_DATA!C5900</f>
        <v>44205</v>
      </c>
      <c r="D5900" t="str">
        <f>TEST_DATA!D5900</f>
        <v>NIL</v>
      </c>
      <c r="E5900">
        <f>TEST_DATA!E5900</f>
        <v>2019</v>
      </c>
    </row>
    <row r="5901" spans="1:5" x14ac:dyDescent="0.55000000000000004">
      <c r="A5901" t="str">
        <f>TEST_DATA!A5901</f>
        <v>27AAAAA5901Z5</v>
      </c>
      <c r="B5901" t="str">
        <f>TEST_DATA!B5901</f>
        <v>Jun-2020</v>
      </c>
      <c r="C5901">
        <f>TEST_DATA!C5901</f>
        <v>44721</v>
      </c>
      <c r="D5901" t="str">
        <f>TEST_DATA!D5901</f>
        <v>NON-NIL</v>
      </c>
      <c r="E5901">
        <f>TEST_DATA!E5901</f>
        <v>2187</v>
      </c>
    </row>
    <row r="5902" spans="1:5" x14ac:dyDescent="0.55000000000000004">
      <c r="A5902" t="str">
        <f>TEST_DATA!A5902</f>
        <v>27AAAAA5902Z5</v>
      </c>
      <c r="B5902" t="str">
        <f>TEST_DATA!B5902</f>
        <v>Mar-2023</v>
      </c>
      <c r="C5902">
        <f>TEST_DATA!C5902</f>
        <v>44523</v>
      </c>
      <c r="D5902" t="str">
        <f>TEST_DATA!D5902</f>
        <v>NON-NIL</v>
      </c>
      <c r="E5902">
        <f>TEST_DATA!E5902</f>
        <v>1959</v>
      </c>
    </row>
    <row r="5903" spans="1:5" x14ac:dyDescent="0.55000000000000004">
      <c r="A5903" t="str">
        <f>TEST_DATA!A5903</f>
        <v>27AAAAA5903Z5</v>
      </c>
      <c r="B5903" t="str">
        <f>TEST_DATA!B5903</f>
        <v>Jan-2018</v>
      </c>
      <c r="C5903">
        <f>TEST_DATA!C5903</f>
        <v>43581</v>
      </c>
      <c r="D5903" t="str">
        <f>TEST_DATA!D5903</f>
        <v>NON-NIL</v>
      </c>
      <c r="E5903">
        <f>TEST_DATA!E5903</f>
        <v>1075</v>
      </c>
    </row>
    <row r="5904" spans="1:5" x14ac:dyDescent="0.55000000000000004">
      <c r="A5904" t="str">
        <f>TEST_DATA!A5904</f>
        <v>27AAAAA5904Z5</v>
      </c>
      <c r="B5904" t="str">
        <f>TEST_DATA!B5904</f>
        <v>Nov-2017</v>
      </c>
      <c r="C5904">
        <f>TEST_DATA!C5904</f>
        <v>43214</v>
      </c>
      <c r="D5904" t="str">
        <f>TEST_DATA!D5904</f>
        <v>NIL</v>
      </c>
      <c r="E5904">
        <f>TEST_DATA!E5904</f>
        <v>887</v>
      </c>
    </row>
    <row r="5905" spans="1:5" x14ac:dyDescent="0.55000000000000004">
      <c r="A5905" t="str">
        <f>TEST_DATA!A5905</f>
        <v>27AAAAA5905Z5</v>
      </c>
      <c r="B5905" t="str">
        <f>TEST_DATA!B5905</f>
        <v>Jul-2020</v>
      </c>
      <c r="C5905">
        <f>TEST_DATA!C5905</f>
        <v>44143</v>
      </c>
      <c r="D5905" t="str">
        <f>TEST_DATA!D5905</f>
        <v>NIL</v>
      </c>
      <c r="E5905">
        <f>TEST_DATA!E5905</f>
        <v>661</v>
      </c>
    </row>
    <row r="5906" spans="1:5" x14ac:dyDescent="0.55000000000000004">
      <c r="A5906" t="str">
        <f>TEST_DATA!A5906</f>
        <v>27AAAAA5906Z5</v>
      </c>
      <c r="B5906" t="str">
        <f>TEST_DATA!B5906</f>
        <v>Jul-2020</v>
      </c>
      <c r="C5906">
        <f>TEST_DATA!C5906</f>
        <v>44872</v>
      </c>
      <c r="D5906" t="str">
        <f>TEST_DATA!D5906</f>
        <v>NIL</v>
      </c>
      <c r="E5906">
        <f>TEST_DATA!E5906</f>
        <v>2599</v>
      </c>
    </row>
    <row r="5907" spans="1:5" x14ac:dyDescent="0.55000000000000004">
      <c r="A5907" t="str">
        <f>TEST_DATA!A5907</f>
        <v>27AAAAA5907Z5</v>
      </c>
      <c r="B5907" t="str">
        <f>TEST_DATA!B5907</f>
        <v>Oct-2017</v>
      </c>
      <c r="C5907">
        <f>TEST_DATA!C5907</f>
        <v>44461</v>
      </c>
      <c r="D5907" t="str">
        <f>TEST_DATA!D5907</f>
        <v>NON-NIL</v>
      </c>
      <c r="E5907">
        <f>TEST_DATA!E5907</f>
        <v>1039</v>
      </c>
    </row>
    <row r="5908" spans="1:5" x14ac:dyDescent="0.55000000000000004">
      <c r="A5908" t="str">
        <f>TEST_DATA!A5908</f>
        <v>27AAAAA5908Z5</v>
      </c>
      <c r="B5908" t="str">
        <f>TEST_DATA!B5908</f>
        <v>Nov-2017</v>
      </c>
      <c r="C5908">
        <f>TEST_DATA!C5908</f>
        <v>43625</v>
      </c>
      <c r="D5908" t="str">
        <f>TEST_DATA!D5908</f>
        <v>NIL</v>
      </c>
      <c r="E5908">
        <f>TEST_DATA!E5908</f>
        <v>2938</v>
      </c>
    </row>
    <row r="5909" spans="1:5" x14ac:dyDescent="0.55000000000000004">
      <c r="A5909" t="str">
        <f>TEST_DATA!A5909</f>
        <v>27AAAAA5909Z5</v>
      </c>
      <c r="B5909" t="str">
        <f>TEST_DATA!B5909</f>
        <v>Dec-2022</v>
      </c>
      <c r="C5909">
        <f>TEST_DATA!C5909</f>
        <v>44220</v>
      </c>
      <c r="D5909" t="str">
        <f>TEST_DATA!D5909</f>
        <v>NIL</v>
      </c>
      <c r="E5909">
        <f>TEST_DATA!E5909</f>
        <v>1448</v>
      </c>
    </row>
    <row r="5910" spans="1:5" x14ac:dyDescent="0.55000000000000004">
      <c r="A5910" t="str">
        <f>TEST_DATA!A5910</f>
        <v>27AAAAA5910Z5</v>
      </c>
      <c r="B5910" t="str">
        <f>TEST_DATA!B5910</f>
        <v>Jul-2018</v>
      </c>
      <c r="C5910">
        <f>TEST_DATA!C5910</f>
        <v>43034</v>
      </c>
      <c r="D5910" t="str">
        <f>TEST_DATA!D5910</f>
        <v>NON-NIL</v>
      </c>
      <c r="E5910">
        <f>TEST_DATA!E5910</f>
        <v>749</v>
      </c>
    </row>
    <row r="5911" spans="1:5" x14ac:dyDescent="0.55000000000000004">
      <c r="A5911" t="str">
        <f>TEST_DATA!A5911</f>
        <v>27AAAAA5911Z5</v>
      </c>
      <c r="B5911" t="str">
        <f>TEST_DATA!B5911</f>
        <v>Dec-2022</v>
      </c>
      <c r="C5911">
        <f>TEST_DATA!C5911</f>
        <v>44848</v>
      </c>
      <c r="D5911" t="str">
        <f>TEST_DATA!D5911</f>
        <v>NIL</v>
      </c>
      <c r="E5911">
        <f>TEST_DATA!E5911</f>
        <v>1522</v>
      </c>
    </row>
    <row r="5912" spans="1:5" x14ac:dyDescent="0.55000000000000004">
      <c r="A5912" t="str">
        <f>TEST_DATA!A5912</f>
        <v>27AAAAA5912Z5</v>
      </c>
      <c r="B5912" t="str">
        <f>TEST_DATA!B5912</f>
        <v>May-2020</v>
      </c>
      <c r="C5912">
        <f>TEST_DATA!C5912</f>
        <v>43931</v>
      </c>
      <c r="D5912" t="str">
        <f>TEST_DATA!D5912</f>
        <v>NON-NIL</v>
      </c>
      <c r="E5912">
        <f>TEST_DATA!E5912</f>
        <v>992</v>
      </c>
    </row>
    <row r="5913" spans="1:5" x14ac:dyDescent="0.55000000000000004">
      <c r="A5913" t="str">
        <f>TEST_DATA!A5913</f>
        <v>27AAAAA5913Z5</v>
      </c>
      <c r="B5913" t="str">
        <f>TEST_DATA!B5913</f>
        <v>Dec-2022</v>
      </c>
      <c r="C5913">
        <f>TEST_DATA!C5913</f>
        <v>45427</v>
      </c>
      <c r="D5913" t="str">
        <f>TEST_DATA!D5913</f>
        <v>NIL</v>
      </c>
      <c r="E5913">
        <f>TEST_DATA!E5913</f>
        <v>273</v>
      </c>
    </row>
    <row r="5914" spans="1:5" x14ac:dyDescent="0.55000000000000004">
      <c r="A5914" t="str">
        <f>TEST_DATA!A5914</f>
        <v>27AAAAA5914Z5</v>
      </c>
      <c r="B5914" t="str">
        <f>TEST_DATA!B5914</f>
        <v>Mar-2023</v>
      </c>
      <c r="C5914">
        <f>TEST_DATA!C5914</f>
        <v>43935</v>
      </c>
      <c r="D5914" t="str">
        <f>TEST_DATA!D5914</f>
        <v>NIL</v>
      </c>
      <c r="E5914">
        <f>TEST_DATA!E5914</f>
        <v>1112</v>
      </c>
    </row>
    <row r="5915" spans="1:5" x14ac:dyDescent="0.55000000000000004">
      <c r="A5915" t="str">
        <f>TEST_DATA!A5915</f>
        <v>27AAAAA5915Z5</v>
      </c>
      <c r="B5915" t="str">
        <f>TEST_DATA!B5915</f>
        <v>Jul-2018</v>
      </c>
      <c r="C5915">
        <f>TEST_DATA!C5915</f>
        <v>44317</v>
      </c>
      <c r="D5915" t="str">
        <f>TEST_DATA!D5915</f>
        <v>NON-NIL</v>
      </c>
      <c r="E5915">
        <f>TEST_DATA!E5915</f>
        <v>1129</v>
      </c>
    </row>
    <row r="5916" spans="1:5" x14ac:dyDescent="0.55000000000000004">
      <c r="A5916" t="str">
        <f>TEST_DATA!A5916</f>
        <v>27AAAAA5916Z5</v>
      </c>
      <c r="B5916" t="str">
        <f>TEST_DATA!B5916</f>
        <v>Oct-2017</v>
      </c>
      <c r="C5916">
        <f>TEST_DATA!C5916</f>
        <v>43400</v>
      </c>
      <c r="D5916" t="str">
        <f>TEST_DATA!D5916</f>
        <v>NIL</v>
      </c>
      <c r="E5916">
        <f>TEST_DATA!E5916</f>
        <v>1988</v>
      </c>
    </row>
    <row r="5917" spans="1:5" x14ac:dyDescent="0.55000000000000004">
      <c r="A5917" t="str">
        <f>TEST_DATA!A5917</f>
        <v>27AAAAA5917Z5</v>
      </c>
      <c r="B5917" t="str">
        <f>TEST_DATA!B5917</f>
        <v>Jun-2020</v>
      </c>
      <c r="C5917">
        <f>TEST_DATA!C5917</f>
        <v>44476</v>
      </c>
      <c r="D5917" t="str">
        <f>TEST_DATA!D5917</f>
        <v>NIL</v>
      </c>
      <c r="E5917">
        <f>TEST_DATA!E5917</f>
        <v>2289</v>
      </c>
    </row>
    <row r="5918" spans="1:5" x14ac:dyDescent="0.55000000000000004">
      <c r="A5918" t="str">
        <f>TEST_DATA!A5918</f>
        <v>27AAAAA5918Z5</v>
      </c>
      <c r="B5918" t="str">
        <f>TEST_DATA!B5918</f>
        <v>Apr-2018</v>
      </c>
      <c r="C5918">
        <f>TEST_DATA!C5918</f>
        <v>44498</v>
      </c>
      <c r="D5918" t="str">
        <f>TEST_DATA!D5918</f>
        <v>NIL</v>
      </c>
      <c r="E5918">
        <f>TEST_DATA!E5918</f>
        <v>2675</v>
      </c>
    </row>
    <row r="5919" spans="1:5" x14ac:dyDescent="0.55000000000000004">
      <c r="A5919" t="str">
        <f>TEST_DATA!A5919</f>
        <v>27AAAAA5919Z5</v>
      </c>
      <c r="B5919" t="str">
        <f>TEST_DATA!B5919</f>
        <v>Dec-2019</v>
      </c>
      <c r="C5919">
        <f>TEST_DATA!C5919</f>
        <v>44792</v>
      </c>
      <c r="D5919" t="str">
        <f>TEST_DATA!D5919</f>
        <v>NIL</v>
      </c>
      <c r="E5919">
        <f>TEST_DATA!E5919</f>
        <v>55</v>
      </c>
    </row>
    <row r="5920" spans="1:5" x14ac:dyDescent="0.55000000000000004">
      <c r="A5920" t="str">
        <f>TEST_DATA!A5920</f>
        <v>27AAAAA5920Z5</v>
      </c>
      <c r="B5920" t="str">
        <f>TEST_DATA!B5920</f>
        <v>Dec-2024</v>
      </c>
      <c r="C5920">
        <f>TEST_DATA!C5920</f>
        <v>43759</v>
      </c>
      <c r="D5920" t="str">
        <f>TEST_DATA!D5920</f>
        <v>NIL</v>
      </c>
      <c r="E5920">
        <f>TEST_DATA!E5920</f>
        <v>1578</v>
      </c>
    </row>
    <row r="5921" spans="1:5" x14ac:dyDescent="0.55000000000000004">
      <c r="A5921" t="str">
        <f>TEST_DATA!A5921</f>
        <v>27AAAAA5921Z5</v>
      </c>
      <c r="B5921" t="str">
        <f>TEST_DATA!B5921</f>
        <v>Dec-2017</v>
      </c>
      <c r="C5921">
        <f>TEST_DATA!C5921</f>
        <v>43738</v>
      </c>
      <c r="D5921" t="str">
        <f>TEST_DATA!D5921</f>
        <v>NIL</v>
      </c>
      <c r="E5921">
        <f>TEST_DATA!E5921</f>
        <v>2083</v>
      </c>
    </row>
    <row r="5922" spans="1:5" x14ac:dyDescent="0.55000000000000004">
      <c r="A5922" t="str">
        <f>TEST_DATA!A5922</f>
        <v>27AAAAA5922Z5</v>
      </c>
      <c r="B5922" t="str">
        <f>TEST_DATA!B5922</f>
        <v>Apr-2021</v>
      </c>
      <c r="C5922">
        <f>TEST_DATA!C5922</f>
        <v>44640</v>
      </c>
      <c r="D5922" t="str">
        <f>TEST_DATA!D5922</f>
        <v>NON-NIL</v>
      </c>
      <c r="E5922">
        <f>TEST_DATA!E5922</f>
        <v>938</v>
      </c>
    </row>
    <row r="5923" spans="1:5" x14ac:dyDescent="0.55000000000000004">
      <c r="A5923" t="str">
        <f>TEST_DATA!A5923</f>
        <v>27AAAAA5923Z5</v>
      </c>
      <c r="B5923" t="str">
        <f>TEST_DATA!B5923</f>
        <v>Mar-2020</v>
      </c>
      <c r="C5923">
        <f>TEST_DATA!C5923</f>
        <v>44800</v>
      </c>
      <c r="D5923" t="str">
        <f>TEST_DATA!D5923</f>
        <v>NON-NIL</v>
      </c>
      <c r="E5923">
        <f>TEST_DATA!E5923</f>
        <v>1581</v>
      </c>
    </row>
    <row r="5924" spans="1:5" x14ac:dyDescent="0.55000000000000004">
      <c r="A5924" t="str">
        <f>TEST_DATA!A5924</f>
        <v>27AAAAA5924Z5</v>
      </c>
      <c r="B5924" t="str">
        <f>TEST_DATA!B5924</f>
        <v>Sep-2017</v>
      </c>
      <c r="C5924">
        <f>TEST_DATA!C5924</f>
        <v>43559</v>
      </c>
      <c r="D5924" t="str">
        <f>TEST_DATA!D5924</f>
        <v>NON-NIL</v>
      </c>
      <c r="E5924">
        <f>TEST_DATA!E5924</f>
        <v>1950</v>
      </c>
    </row>
    <row r="5925" spans="1:5" x14ac:dyDescent="0.55000000000000004">
      <c r="A5925" t="str">
        <f>TEST_DATA!A5925</f>
        <v>27AAAAA5925Z5</v>
      </c>
      <c r="B5925" t="str">
        <f>TEST_DATA!B5925</f>
        <v>Aug-2017</v>
      </c>
      <c r="C5925">
        <f>TEST_DATA!C5925</f>
        <v>43657</v>
      </c>
      <c r="D5925" t="str">
        <f>TEST_DATA!D5925</f>
        <v>NON-NIL</v>
      </c>
      <c r="E5925">
        <f>TEST_DATA!E5925</f>
        <v>1029</v>
      </c>
    </row>
    <row r="5926" spans="1:5" x14ac:dyDescent="0.55000000000000004">
      <c r="A5926" t="str">
        <f>TEST_DATA!A5926</f>
        <v>27AAAAA5926Z5</v>
      </c>
      <c r="B5926" t="str">
        <f>TEST_DATA!B5926</f>
        <v>Mar-2020</v>
      </c>
      <c r="C5926">
        <f>TEST_DATA!C5926</f>
        <v>43979</v>
      </c>
      <c r="D5926" t="str">
        <f>TEST_DATA!D5926</f>
        <v>NIL</v>
      </c>
      <c r="E5926">
        <f>TEST_DATA!E5926</f>
        <v>2564</v>
      </c>
    </row>
    <row r="5927" spans="1:5" x14ac:dyDescent="0.55000000000000004">
      <c r="A5927" t="str">
        <f>TEST_DATA!A5927</f>
        <v>27AAAAA5927Z5</v>
      </c>
      <c r="B5927" t="str">
        <f>TEST_DATA!B5927</f>
        <v>Jun-2020</v>
      </c>
      <c r="C5927">
        <f>TEST_DATA!C5927</f>
        <v>43968</v>
      </c>
      <c r="D5927" t="str">
        <f>TEST_DATA!D5927</f>
        <v>NON-NIL</v>
      </c>
      <c r="E5927">
        <f>TEST_DATA!E5927</f>
        <v>354</v>
      </c>
    </row>
    <row r="5928" spans="1:5" x14ac:dyDescent="0.55000000000000004">
      <c r="A5928" t="str">
        <f>TEST_DATA!A5928</f>
        <v>27AAAAA5928Z5</v>
      </c>
      <c r="B5928" t="str">
        <f>TEST_DATA!B5928</f>
        <v>Aug-2018</v>
      </c>
      <c r="C5928">
        <f>TEST_DATA!C5928</f>
        <v>44392</v>
      </c>
      <c r="D5928" t="str">
        <f>TEST_DATA!D5928</f>
        <v>NON-NIL</v>
      </c>
      <c r="E5928">
        <f>TEST_DATA!E5928</f>
        <v>294</v>
      </c>
    </row>
    <row r="5929" spans="1:5" x14ac:dyDescent="0.55000000000000004">
      <c r="A5929" t="str">
        <f>TEST_DATA!A5929</f>
        <v>27AAAAA5929Z5</v>
      </c>
      <c r="B5929" t="str">
        <f>TEST_DATA!B5929</f>
        <v>Sep-2017</v>
      </c>
      <c r="C5929">
        <f>TEST_DATA!C5929</f>
        <v>44076</v>
      </c>
      <c r="D5929" t="str">
        <f>TEST_DATA!D5929</f>
        <v>NON-NIL</v>
      </c>
      <c r="E5929">
        <f>TEST_DATA!E5929</f>
        <v>1351</v>
      </c>
    </row>
    <row r="5930" spans="1:5" x14ac:dyDescent="0.55000000000000004">
      <c r="A5930" t="str">
        <f>TEST_DATA!A5930</f>
        <v>27AAAAA5930Z5</v>
      </c>
      <c r="B5930" t="str">
        <f>TEST_DATA!B5930</f>
        <v>Aug-2018</v>
      </c>
      <c r="C5930">
        <f>TEST_DATA!C5930</f>
        <v>43473</v>
      </c>
      <c r="D5930" t="str">
        <f>TEST_DATA!D5930</f>
        <v>NIL</v>
      </c>
      <c r="E5930">
        <f>TEST_DATA!E5930</f>
        <v>2332</v>
      </c>
    </row>
    <row r="5931" spans="1:5" x14ac:dyDescent="0.55000000000000004">
      <c r="A5931" t="str">
        <f>TEST_DATA!A5931</f>
        <v>27AAAAA5931Z5</v>
      </c>
      <c r="B5931" t="str">
        <f>TEST_DATA!B5931</f>
        <v>Jun-2020</v>
      </c>
      <c r="C5931">
        <f>TEST_DATA!C5931</f>
        <v>44018</v>
      </c>
      <c r="D5931" t="str">
        <f>TEST_DATA!D5931</f>
        <v>NON-NIL</v>
      </c>
      <c r="E5931">
        <f>TEST_DATA!E5931</f>
        <v>2426</v>
      </c>
    </row>
    <row r="5932" spans="1:5" x14ac:dyDescent="0.55000000000000004">
      <c r="A5932" t="str">
        <f>TEST_DATA!A5932</f>
        <v>27AAAAA5932Z5</v>
      </c>
      <c r="B5932" t="str">
        <f>TEST_DATA!B5932</f>
        <v>Jan-2018</v>
      </c>
      <c r="C5932">
        <f>TEST_DATA!C5932</f>
        <v>44127</v>
      </c>
      <c r="D5932" t="str">
        <f>TEST_DATA!D5932</f>
        <v>NON-NIL</v>
      </c>
      <c r="E5932">
        <f>TEST_DATA!E5932</f>
        <v>1846</v>
      </c>
    </row>
    <row r="5933" spans="1:5" x14ac:dyDescent="0.55000000000000004">
      <c r="A5933" t="str">
        <f>TEST_DATA!A5933</f>
        <v>27AAAAA5933Z5</v>
      </c>
      <c r="B5933" t="str">
        <f>TEST_DATA!B5933</f>
        <v>Dec-2019</v>
      </c>
      <c r="C5933">
        <f>TEST_DATA!C5933</f>
        <v>45500</v>
      </c>
      <c r="D5933" t="str">
        <f>TEST_DATA!D5933</f>
        <v>NON-NIL</v>
      </c>
      <c r="E5933">
        <f>TEST_DATA!E5933</f>
        <v>757</v>
      </c>
    </row>
    <row r="5934" spans="1:5" x14ac:dyDescent="0.55000000000000004">
      <c r="A5934" t="str">
        <f>TEST_DATA!A5934</f>
        <v>27AAAAA5934Z5</v>
      </c>
      <c r="B5934" t="str">
        <f>TEST_DATA!B5934</f>
        <v>Aug-2017</v>
      </c>
      <c r="C5934">
        <f>TEST_DATA!C5934</f>
        <v>43894</v>
      </c>
      <c r="D5934" t="str">
        <f>TEST_DATA!D5934</f>
        <v>NIL</v>
      </c>
      <c r="E5934">
        <f>TEST_DATA!E5934</f>
        <v>561</v>
      </c>
    </row>
    <row r="5935" spans="1:5" x14ac:dyDescent="0.55000000000000004">
      <c r="A5935" t="str">
        <f>TEST_DATA!A5935</f>
        <v>27AAAAA5935Z5</v>
      </c>
      <c r="B5935" t="str">
        <f>TEST_DATA!B5935</f>
        <v>Jul-2017</v>
      </c>
      <c r="C5935">
        <f>TEST_DATA!C5935</f>
        <v>43436</v>
      </c>
      <c r="D5935" t="str">
        <f>TEST_DATA!D5935</f>
        <v>NIL</v>
      </c>
      <c r="E5935">
        <f>TEST_DATA!E5935</f>
        <v>1780</v>
      </c>
    </row>
    <row r="5936" spans="1:5" x14ac:dyDescent="0.55000000000000004">
      <c r="A5936" t="str">
        <f>TEST_DATA!A5936</f>
        <v>27AAAAA5936Z5</v>
      </c>
      <c r="B5936" t="str">
        <f>TEST_DATA!B5936</f>
        <v>Dec-2017</v>
      </c>
      <c r="C5936">
        <f>TEST_DATA!C5936</f>
        <v>44282</v>
      </c>
      <c r="D5936" t="str">
        <f>TEST_DATA!D5936</f>
        <v>NIL</v>
      </c>
      <c r="E5936">
        <f>TEST_DATA!E5936</f>
        <v>291</v>
      </c>
    </row>
    <row r="5937" spans="1:5" x14ac:dyDescent="0.55000000000000004">
      <c r="A5937" t="str">
        <f>TEST_DATA!A5937</f>
        <v>27AAAAA5937Z5</v>
      </c>
      <c r="B5937" t="str">
        <f>TEST_DATA!B5937</f>
        <v>Apr-2020</v>
      </c>
      <c r="C5937">
        <f>TEST_DATA!C5937</f>
        <v>44847</v>
      </c>
      <c r="D5937" t="str">
        <f>TEST_DATA!D5937</f>
        <v>NIL</v>
      </c>
      <c r="E5937">
        <f>TEST_DATA!E5937</f>
        <v>556</v>
      </c>
    </row>
    <row r="5938" spans="1:5" x14ac:dyDescent="0.55000000000000004">
      <c r="A5938" t="str">
        <f>TEST_DATA!A5938</f>
        <v>27AAAAA5938Z5</v>
      </c>
      <c r="B5938" t="str">
        <f>TEST_DATA!B5938</f>
        <v>Jan-2021</v>
      </c>
      <c r="C5938">
        <f>TEST_DATA!C5938</f>
        <v>43833</v>
      </c>
      <c r="D5938" t="str">
        <f>TEST_DATA!D5938</f>
        <v>NIL</v>
      </c>
      <c r="E5938">
        <f>TEST_DATA!E5938</f>
        <v>1259</v>
      </c>
    </row>
    <row r="5939" spans="1:5" x14ac:dyDescent="0.55000000000000004">
      <c r="A5939" t="str">
        <f>TEST_DATA!A5939</f>
        <v>27AAAAA5939Z5</v>
      </c>
      <c r="B5939" t="str">
        <f>TEST_DATA!B5939</f>
        <v>Sep-2017</v>
      </c>
      <c r="C5939">
        <f>TEST_DATA!C5939</f>
        <v>43330</v>
      </c>
      <c r="D5939" t="str">
        <f>TEST_DATA!D5939</f>
        <v>NIL</v>
      </c>
      <c r="E5939">
        <f>TEST_DATA!E5939</f>
        <v>2934</v>
      </c>
    </row>
    <row r="5940" spans="1:5" x14ac:dyDescent="0.55000000000000004">
      <c r="A5940" t="str">
        <f>TEST_DATA!A5940</f>
        <v>27AAAAA5940Z5</v>
      </c>
      <c r="B5940" t="str">
        <f>TEST_DATA!B5940</f>
        <v>Aug-2018</v>
      </c>
      <c r="C5940">
        <f>TEST_DATA!C5940</f>
        <v>44187</v>
      </c>
      <c r="D5940" t="str">
        <f>TEST_DATA!D5940</f>
        <v>NON-NIL</v>
      </c>
      <c r="E5940">
        <f>TEST_DATA!E5940</f>
        <v>1895</v>
      </c>
    </row>
    <row r="5941" spans="1:5" x14ac:dyDescent="0.55000000000000004">
      <c r="A5941" t="str">
        <f>TEST_DATA!A5941</f>
        <v>27AAAAA5941Z5</v>
      </c>
      <c r="B5941" t="str">
        <f>TEST_DATA!B5941</f>
        <v>Dec-2019</v>
      </c>
      <c r="C5941">
        <f>TEST_DATA!C5941</f>
        <v>45786</v>
      </c>
      <c r="D5941" t="str">
        <f>TEST_DATA!D5941</f>
        <v>NON-NIL</v>
      </c>
      <c r="E5941">
        <f>TEST_DATA!E5941</f>
        <v>1662</v>
      </c>
    </row>
    <row r="5942" spans="1:5" x14ac:dyDescent="0.55000000000000004">
      <c r="A5942" t="str">
        <f>TEST_DATA!A5942</f>
        <v>27AAAAA5942Z5</v>
      </c>
      <c r="B5942" t="str">
        <f>TEST_DATA!B5942</f>
        <v>Aug-2017</v>
      </c>
      <c r="C5942">
        <f>TEST_DATA!C5942</f>
        <v>44076</v>
      </c>
      <c r="D5942" t="str">
        <f>TEST_DATA!D5942</f>
        <v>NON-NIL</v>
      </c>
      <c r="E5942">
        <f>TEST_DATA!E5942</f>
        <v>883</v>
      </c>
    </row>
    <row r="5943" spans="1:5" x14ac:dyDescent="0.55000000000000004">
      <c r="A5943" t="str">
        <f>TEST_DATA!A5943</f>
        <v>27AAAAA5943Z5</v>
      </c>
      <c r="B5943" t="str">
        <f>TEST_DATA!B5943</f>
        <v>Sep-2017</v>
      </c>
      <c r="C5943">
        <f>TEST_DATA!C5943</f>
        <v>43254</v>
      </c>
      <c r="D5943" t="str">
        <f>TEST_DATA!D5943</f>
        <v>NON-NIL</v>
      </c>
      <c r="E5943">
        <f>TEST_DATA!E5943</f>
        <v>2009</v>
      </c>
    </row>
    <row r="5944" spans="1:5" x14ac:dyDescent="0.55000000000000004">
      <c r="A5944" t="str">
        <f>TEST_DATA!A5944</f>
        <v>27AAAAA5944Z5</v>
      </c>
      <c r="B5944" t="str">
        <f>TEST_DATA!B5944</f>
        <v>Dec-2024</v>
      </c>
      <c r="C5944">
        <f>TEST_DATA!C5944</f>
        <v>45447</v>
      </c>
      <c r="D5944" t="str">
        <f>TEST_DATA!D5944</f>
        <v>NIL</v>
      </c>
      <c r="E5944">
        <f>TEST_DATA!E5944</f>
        <v>327</v>
      </c>
    </row>
    <row r="5945" spans="1:5" x14ac:dyDescent="0.55000000000000004">
      <c r="A5945" t="str">
        <f>TEST_DATA!A5945</f>
        <v>27AAAAA5945Z5</v>
      </c>
      <c r="B5945" t="str">
        <f>TEST_DATA!B5945</f>
        <v>Apr-2021</v>
      </c>
      <c r="C5945">
        <f>TEST_DATA!C5945</f>
        <v>44225</v>
      </c>
      <c r="D5945" t="str">
        <f>TEST_DATA!D5945</f>
        <v>NIL</v>
      </c>
      <c r="E5945">
        <f>TEST_DATA!E5945</f>
        <v>1793</v>
      </c>
    </row>
    <row r="5946" spans="1:5" x14ac:dyDescent="0.55000000000000004">
      <c r="A5946" t="str">
        <f>TEST_DATA!A5946</f>
        <v>27AAAAA5946Z5</v>
      </c>
      <c r="B5946" t="str">
        <f>TEST_DATA!B5946</f>
        <v>May-2020</v>
      </c>
      <c r="C5946">
        <f>TEST_DATA!C5946</f>
        <v>44628</v>
      </c>
      <c r="D5946" t="str">
        <f>TEST_DATA!D5946</f>
        <v>NIL</v>
      </c>
      <c r="E5946">
        <f>TEST_DATA!E5946</f>
        <v>1885</v>
      </c>
    </row>
    <row r="5947" spans="1:5" x14ac:dyDescent="0.55000000000000004">
      <c r="A5947" t="str">
        <f>TEST_DATA!A5947</f>
        <v>27AAAAA5947Z5</v>
      </c>
      <c r="B5947" t="str">
        <f>TEST_DATA!B5947</f>
        <v>May-2018</v>
      </c>
      <c r="C5947">
        <f>TEST_DATA!C5947</f>
        <v>44341</v>
      </c>
      <c r="D5947" t="str">
        <f>TEST_DATA!D5947</f>
        <v>NON-NIL</v>
      </c>
      <c r="E5947">
        <f>TEST_DATA!E5947</f>
        <v>2657</v>
      </c>
    </row>
    <row r="5948" spans="1:5" x14ac:dyDescent="0.55000000000000004">
      <c r="A5948" t="str">
        <f>TEST_DATA!A5948</f>
        <v>27AAAAA5948Z5</v>
      </c>
      <c r="B5948" t="str">
        <f>TEST_DATA!B5948</f>
        <v>Dec-2019</v>
      </c>
      <c r="C5948">
        <f>TEST_DATA!C5948</f>
        <v>45187</v>
      </c>
      <c r="D5948" t="str">
        <f>TEST_DATA!D5948</f>
        <v>NON-NIL</v>
      </c>
      <c r="E5948">
        <f>TEST_DATA!E5948</f>
        <v>971</v>
      </c>
    </row>
    <row r="5949" spans="1:5" x14ac:dyDescent="0.55000000000000004">
      <c r="A5949" t="str">
        <f>TEST_DATA!A5949</f>
        <v>27AAAAA5949Z5</v>
      </c>
      <c r="B5949" t="str">
        <f>TEST_DATA!B5949</f>
        <v>Dec-2022</v>
      </c>
      <c r="C5949">
        <f>TEST_DATA!C5949</f>
        <v>44317</v>
      </c>
      <c r="D5949" t="str">
        <f>TEST_DATA!D5949</f>
        <v>NON-NIL</v>
      </c>
      <c r="E5949">
        <f>TEST_DATA!E5949</f>
        <v>831</v>
      </c>
    </row>
    <row r="5950" spans="1:5" x14ac:dyDescent="0.55000000000000004">
      <c r="A5950" t="str">
        <f>TEST_DATA!A5950</f>
        <v>27AAAAA5950Z5</v>
      </c>
      <c r="B5950" t="str">
        <f>TEST_DATA!B5950</f>
        <v>Oct-2017</v>
      </c>
      <c r="C5950">
        <f>TEST_DATA!C5950</f>
        <v>44151</v>
      </c>
      <c r="D5950" t="str">
        <f>TEST_DATA!D5950</f>
        <v>NIL</v>
      </c>
      <c r="E5950">
        <f>TEST_DATA!E5950</f>
        <v>2580</v>
      </c>
    </row>
    <row r="5951" spans="1:5" x14ac:dyDescent="0.55000000000000004">
      <c r="A5951" t="str">
        <f>TEST_DATA!A5951</f>
        <v>27AAAAA5951Z5</v>
      </c>
      <c r="B5951" t="str">
        <f>TEST_DATA!B5951</f>
        <v>Mar-2021</v>
      </c>
      <c r="C5951">
        <f>TEST_DATA!C5951</f>
        <v>45031</v>
      </c>
      <c r="D5951" t="str">
        <f>TEST_DATA!D5951</f>
        <v>NON-NIL</v>
      </c>
      <c r="E5951">
        <f>TEST_DATA!E5951</f>
        <v>1264</v>
      </c>
    </row>
    <row r="5952" spans="1:5" x14ac:dyDescent="0.55000000000000004">
      <c r="A5952" t="str">
        <f>TEST_DATA!A5952</f>
        <v>27AAAAA5952Z5</v>
      </c>
      <c r="B5952" t="str">
        <f>TEST_DATA!B5952</f>
        <v>Jan-2018</v>
      </c>
      <c r="C5952">
        <f>TEST_DATA!C5952</f>
        <v>42980</v>
      </c>
      <c r="D5952" t="str">
        <f>TEST_DATA!D5952</f>
        <v>NON-NIL</v>
      </c>
      <c r="E5952">
        <f>TEST_DATA!E5952</f>
        <v>744</v>
      </c>
    </row>
    <row r="5953" spans="1:5" x14ac:dyDescent="0.55000000000000004">
      <c r="A5953" t="str">
        <f>TEST_DATA!A5953</f>
        <v>27AAAAA5953Z5</v>
      </c>
      <c r="B5953" t="str">
        <f>TEST_DATA!B5953</f>
        <v>Feb-2018</v>
      </c>
      <c r="C5953">
        <f>TEST_DATA!C5953</f>
        <v>43172</v>
      </c>
      <c r="D5953" t="str">
        <f>TEST_DATA!D5953</f>
        <v>NIL</v>
      </c>
      <c r="E5953">
        <f>TEST_DATA!E5953</f>
        <v>187</v>
      </c>
    </row>
    <row r="5954" spans="1:5" x14ac:dyDescent="0.55000000000000004">
      <c r="A5954" t="str">
        <f>TEST_DATA!A5954</f>
        <v>27AAAAA5954Z5</v>
      </c>
      <c r="B5954" t="str">
        <f>TEST_DATA!B5954</f>
        <v>Dec-2017</v>
      </c>
      <c r="C5954">
        <f>TEST_DATA!C5954</f>
        <v>43164</v>
      </c>
      <c r="D5954" t="str">
        <f>TEST_DATA!D5954</f>
        <v>NIL</v>
      </c>
      <c r="E5954">
        <f>TEST_DATA!E5954</f>
        <v>1441</v>
      </c>
    </row>
    <row r="5955" spans="1:5" x14ac:dyDescent="0.55000000000000004">
      <c r="A5955" t="str">
        <f>TEST_DATA!A5955</f>
        <v>27AAAAA5955Z5</v>
      </c>
      <c r="B5955" t="str">
        <f>TEST_DATA!B5955</f>
        <v>Dec-2022</v>
      </c>
      <c r="C5955">
        <f>TEST_DATA!C5955</f>
        <v>43562</v>
      </c>
      <c r="D5955" t="str">
        <f>TEST_DATA!D5955</f>
        <v>NON-NIL</v>
      </c>
      <c r="E5955">
        <f>TEST_DATA!E5955</f>
        <v>1991</v>
      </c>
    </row>
    <row r="5956" spans="1:5" x14ac:dyDescent="0.55000000000000004">
      <c r="A5956" t="str">
        <f>TEST_DATA!A5956</f>
        <v>27AAAAA5956Z5</v>
      </c>
      <c r="B5956" t="str">
        <f>TEST_DATA!B5956</f>
        <v>Apr-2021</v>
      </c>
      <c r="C5956">
        <f>TEST_DATA!C5956</f>
        <v>45014</v>
      </c>
      <c r="D5956" t="str">
        <f>TEST_DATA!D5956</f>
        <v>NON-NIL</v>
      </c>
      <c r="E5956">
        <f>TEST_DATA!E5956</f>
        <v>1158</v>
      </c>
    </row>
    <row r="5957" spans="1:5" x14ac:dyDescent="0.55000000000000004">
      <c r="A5957" t="str">
        <f>TEST_DATA!A5957</f>
        <v>27AAAAA5957Z5</v>
      </c>
      <c r="B5957" t="str">
        <f>TEST_DATA!B5957</f>
        <v>Mar-2020</v>
      </c>
      <c r="C5957">
        <f>TEST_DATA!C5957</f>
        <v>44765</v>
      </c>
      <c r="D5957" t="str">
        <f>TEST_DATA!D5957</f>
        <v>NON-NIL</v>
      </c>
      <c r="E5957">
        <f>TEST_DATA!E5957</f>
        <v>1965</v>
      </c>
    </row>
    <row r="5958" spans="1:5" x14ac:dyDescent="0.55000000000000004">
      <c r="A5958" t="str">
        <f>TEST_DATA!A5958</f>
        <v>27AAAAA5958Z5</v>
      </c>
      <c r="B5958" t="str">
        <f>TEST_DATA!B5958</f>
        <v>Jul-2017</v>
      </c>
      <c r="C5958">
        <f>TEST_DATA!C5958</f>
        <v>44373</v>
      </c>
      <c r="D5958" t="str">
        <f>TEST_DATA!D5958</f>
        <v>NIL</v>
      </c>
      <c r="E5958">
        <f>TEST_DATA!E5958</f>
        <v>4</v>
      </c>
    </row>
    <row r="5959" spans="1:5" x14ac:dyDescent="0.55000000000000004">
      <c r="A5959" t="str">
        <f>TEST_DATA!A5959</f>
        <v>27AAAAA5959Z5</v>
      </c>
      <c r="B5959" t="str">
        <f>TEST_DATA!B5959</f>
        <v>Nov-2017</v>
      </c>
      <c r="C5959">
        <f>TEST_DATA!C5959</f>
        <v>43778</v>
      </c>
      <c r="D5959" t="str">
        <f>TEST_DATA!D5959</f>
        <v>NON-NIL</v>
      </c>
      <c r="E5959">
        <f>TEST_DATA!E5959</f>
        <v>1620</v>
      </c>
    </row>
    <row r="5960" spans="1:5" x14ac:dyDescent="0.55000000000000004">
      <c r="A5960" t="str">
        <f>TEST_DATA!A5960</f>
        <v>27AAAAA5960Z5</v>
      </c>
      <c r="B5960" t="str">
        <f>TEST_DATA!B5960</f>
        <v>Apr-2018</v>
      </c>
      <c r="C5960">
        <f>TEST_DATA!C5960</f>
        <v>43550</v>
      </c>
      <c r="D5960" t="str">
        <f>TEST_DATA!D5960</f>
        <v>NON-NIL</v>
      </c>
      <c r="E5960">
        <f>TEST_DATA!E5960</f>
        <v>2033</v>
      </c>
    </row>
    <row r="5961" spans="1:5" x14ac:dyDescent="0.55000000000000004">
      <c r="A5961" t="str">
        <f>TEST_DATA!A5961</f>
        <v>27AAAAA5961Z5</v>
      </c>
      <c r="B5961" t="str">
        <f>TEST_DATA!B5961</f>
        <v>Jul-2018</v>
      </c>
      <c r="C5961">
        <f>TEST_DATA!C5961</f>
        <v>43526</v>
      </c>
      <c r="D5961" t="str">
        <f>TEST_DATA!D5961</f>
        <v>NON-NIL</v>
      </c>
      <c r="E5961">
        <f>TEST_DATA!E5961</f>
        <v>2429</v>
      </c>
    </row>
    <row r="5962" spans="1:5" x14ac:dyDescent="0.55000000000000004">
      <c r="A5962" t="str">
        <f>TEST_DATA!A5962</f>
        <v>27AAAAA5962Z5</v>
      </c>
      <c r="B5962" t="str">
        <f>TEST_DATA!B5962</f>
        <v>Sep-2018</v>
      </c>
      <c r="C5962">
        <f>TEST_DATA!C5962</f>
        <v>43550</v>
      </c>
      <c r="D5962" t="str">
        <f>TEST_DATA!D5962</f>
        <v>NIL</v>
      </c>
      <c r="E5962">
        <f>TEST_DATA!E5962</f>
        <v>1719</v>
      </c>
    </row>
    <row r="5963" spans="1:5" x14ac:dyDescent="0.55000000000000004">
      <c r="A5963" t="str">
        <f>TEST_DATA!A5963</f>
        <v>27AAAAA5963Z5</v>
      </c>
      <c r="B5963" t="str">
        <f>TEST_DATA!B5963</f>
        <v>Dec-2022</v>
      </c>
      <c r="C5963">
        <f>TEST_DATA!C5963</f>
        <v>44290</v>
      </c>
      <c r="D5963" t="str">
        <f>TEST_DATA!D5963</f>
        <v>NON-NIL</v>
      </c>
      <c r="E5963">
        <f>TEST_DATA!E5963</f>
        <v>1423</v>
      </c>
    </row>
    <row r="5964" spans="1:5" x14ac:dyDescent="0.55000000000000004">
      <c r="A5964" t="str">
        <f>TEST_DATA!A5964</f>
        <v>27AAAAA5964Z5</v>
      </c>
      <c r="B5964" t="str">
        <f>TEST_DATA!B5964</f>
        <v>Aug-2018</v>
      </c>
      <c r="C5964">
        <f>TEST_DATA!C5964</f>
        <v>44331</v>
      </c>
      <c r="D5964" t="str">
        <f>TEST_DATA!D5964</f>
        <v>NIL</v>
      </c>
      <c r="E5964">
        <f>TEST_DATA!E5964</f>
        <v>1052</v>
      </c>
    </row>
    <row r="5965" spans="1:5" x14ac:dyDescent="0.55000000000000004">
      <c r="A5965" t="str">
        <f>TEST_DATA!A5965</f>
        <v>27AAAAA5965Z5</v>
      </c>
      <c r="B5965" t="str">
        <f>TEST_DATA!B5965</f>
        <v>Mar-2023</v>
      </c>
      <c r="C5965">
        <f>TEST_DATA!C5965</f>
        <v>44820</v>
      </c>
      <c r="D5965" t="str">
        <f>TEST_DATA!D5965</f>
        <v>NIL</v>
      </c>
      <c r="E5965">
        <f>TEST_DATA!E5965</f>
        <v>94</v>
      </c>
    </row>
    <row r="5966" spans="1:5" x14ac:dyDescent="0.55000000000000004">
      <c r="A5966" t="str">
        <f>TEST_DATA!A5966</f>
        <v>27AAAAA5966Z5</v>
      </c>
      <c r="B5966" t="str">
        <f>TEST_DATA!B5966</f>
        <v>Aug-2018</v>
      </c>
      <c r="C5966">
        <f>TEST_DATA!C5966</f>
        <v>43417</v>
      </c>
      <c r="D5966" t="str">
        <f>TEST_DATA!D5966</f>
        <v>NON-NIL</v>
      </c>
      <c r="E5966">
        <f>TEST_DATA!E5966</f>
        <v>1289</v>
      </c>
    </row>
    <row r="5967" spans="1:5" x14ac:dyDescent="0.55000000000000004">
      <c r="A5967" t="str">
        <f>TEST_DATA!A5967</f>
        <v>27AAAAA5967Z5</v>
      </c>
      <c r="B5967" t="str">
        <f>TEST_DATA!B5967</f>
        <v>Jul-2020</v>
      </c>
      <c r="C5967">
        <f>TEST_DATA!C5967</f>
        <v>44282</v>
      </c>
      <c r="D5967" t="str">
        <f>TEST_DATA!D5967</f>
        <v>NON-NIL</v>
      </c>
      <c r="E5967">
        <f>TEST_DATA!E5967</f>
        <v>815</v>
      </c>
    </row>
    <row r="5968" spans="1:5" x14ac:dyDescent="0.55000000000000004">
      <c r="A5968" t="str">
        <f>TEST_DATA!A5968</f>
        <v>27AAAAA5968Z5</v>
      </c>
      <c r="B5968" t="str">
        <f>TEST_DATA!B5968</f>
        <v>Aug-2017</v>
      </c>
      <c r="C5968">
        <f>TEST_DATA!C5968</f>
        <v>44122</v>
      </c>
      <c r="D5968" t="str">
        <f>TEST_DATA!D5968</f>
        <v>NON-NIL</v>
      </c>
      <c r="E5968">
        <f>TEST_DATA!E5968</f>
        <v>1115</v>
      </c>
    </row>
    <row r="5969" spans="1:5" x14ac:dyDescent="0.55000000000000004">
      <c r="A5969" t="str">
        <f>TEST_DATA!A5969</f>
        <v>27AAAAA5969Z5</v>
      </c>
      <c r="B5969" t="str">
        <f>TEST_DATA!B5969</f>
        <v>Mar-2020</v>
      </c>
      <c r="C5969">
        <f>TEST_DATA!C5969</f>
        <v>44704</v>
      </c>
      <c r="D5969" t="str">
        <f>TEST_DATA!D5969</f>
        <v>NIL</v>
      </c>
      <c r="E5969">
        <f>TEST_DATA!E5969</f>
        <v>1902</v>
      </c>
    </row>
    <row r="5970" spans="1:5" x14ac:dyDescent="0.55000000000000004">
      <c r="A5970" t="str">
        <f>TEST_DATA!A5970</f>
        <v>27AAAAA5970Z5</v>
      </c>
      <c r="B5970" t="str">
        <f>TEST_DATA!B5970</f>
        <v>Sep-2018</v>
      </c>
      <c r="C5970">
        <f>TEST_DATA!C5970</f>
        <v>43078</v>
      </c>
      <c r="D5970" t="str">
        <f>TEST_DATA!D5970</f>
        <v>NIL</v>
      </c>
      <c r="E5970">
        <f>TEST_DATA!E5970</f>
        <v>2600</v>
      </c>
    </row>
    <row r="5971" spans="1:5" x14ac:dyDescent="0.55000000000000004">
      <c r="A5971" t="str">
        <f>TEST_DATA!A5971</f>
        <v>27AAAAA5971Z5</v>
      </c>
      <c r="B5971" t="str">
        <f>TEST_DATA!B5971</f>
        <v>Mar-2020</v>
      </c>
      <c r="C5971">
        <f>TEST_DATA!C5971</f>
        <v>44564</v>
      </c>
      <c r="D5971" t="str">
        <f>TEST_DATA!D5971</f>
        <v>NIL</v>
      </c>
      <c r="E5971">
        <f>TEST_DATA!E5971</f>
        <v>2331</v>
      </c>
    </row>
    <row r="5972" spans="1:5" x14ac:dyDescent="0.55000000000000004">
      <c r="A5972" t="str">
        <f>TEST_DATA!A5972</f>
        <v>27AAAAA5972Z5</v>
      </c>
      <c r="B5972" t="str">
        <f>TEST_DATA!B5972</f>
        <v>Jul-2020</v>
      </c>
      <c r="C5972">
        <f>TEST_DATA!C5972</f>
        <v>44609</v>
      </c>
      <c r="D5972" t="str">
        <f>TEST_DATA!D5972</f>
        <v>NIL</v>
      </c>
      <c r="E5972">
        <f>TEST_DATA!E5972</f>
        <v>1315</v>
      </c>
    </row>
    <row r="5973" spans="1:5" x14ac:dyDescent="0.55000000000000004">
      <c r="A5973" t="str">
        <f>TEST_DATA!A5973</f>
        <v>27AAAAA5973Z5</v>
      </c>
      <c r="B5973" t="str">
        <f>TEST_DATA!B5973</f>
        <v>Jan-2018</v>
      </c>
      <c r="C5973">
        <f>TEST_DATA!C5973</f>
        <v>43018</v>
      </c>
      <c r="D5973" t="str">
        <f>TEST_DATA!D5973</f>
        <v>NON-NIL</v>
      </c>
      <c r="E5973">
        <f>TEST_DATA!E5973</f>
        <v>2431</v>
      </c>
    </row>
    <row r="5974" spans="1:5" x14ac:dyDescent="0.55000000000000004">
      <c r="A5974" t="str">
        <f>TEST_DATA!A5974</f>
        <v>27AAAAA5974Z5</v>
      </c>
      <c r="B5974" t="str">
        <f>TEST_DATA!B5974</f>
        <v>Sep-2018</v>
      </c>
      <c r="C5974">
        <f>TEST_DATA!C5974</f>
        <v>44389</v>
      </c>
      <c r="D5974" t="str">
        <f>TEST_DATA!D5974</f>
        <v>NIL</v>
      </c>
      <c r="E5974">
        <f>TEST_DATA!E5974</f>
        <v>734</v>
      </c>
    </row>
    <row r="5975" spans="1:5" x14ac:dyDescent="0.55000000000000004">
      <c r="A5975" t="str">
        <f>TEST_DATA!A5975</f>
        <v>27AAAAA5975Z5</v>
      </c>
      <c r="B5975" t="str">
        <f>TEST_DATA!B5975</f>
        <v>Jun-2018</v>
      </c>
      <c r="C5975">
        <f>TEST_DATA!C5975</f>
        <v>43633</v>
      </c>
      <c r="D5975" t="str">
        <f>TEST_DATA!D5975</f>
        <v>NIL</v>
      </c>
      <c r="E5975">
        <f>TEST_DATA!E5975</f>
        <v>661</v>
      </c>
    </row>
    <row r="5976" spans="1:5" x14ac:dyDescent="0.55000000000000004">
      <c r="A5976" t="str">
        <f>TEST_DATA!A5976</f>
        <v>27AAAAA5976Z5</v>
      </c>
      <c r="B5976" t="str">
        <f>TEST_DATA!B5976</f>
        <v>Jun-2019</v>
      </c>
      <c r="C5976">
        <f>TEST_DATA!C5976</f>
        <v>44125</v>
      </c>
      <c r="D5976" t="str">
        <f>TEST_DATA!D5976</f>
        <v>NON-NIL</v>
      </c>
      <c r="E5976">
        <f>TEST_DATA!E5976</f>
        <v>1693</v>
      </c>
    </row>
    <row r="5977" spans="1:5" x14ac:dyDescent="0.55000000000000004">
      <c r="A5977" t="str">
        <f>TEST_DATA!A5977</f>
        <v>27AAAAA5977Z5</v>
      </c>
      <c r="B5977" t="str">
        <f>TEST_DATA!B5977</f>
        <v>Jun-2020</v>
      </c>
      <c r="C5977">
        <f>TEST_DATA!C5977</f>
        <v>44253</v>
      </c>
      <c r="D5977" t="str">
        <f>TEST_DATA!D5977</f>
        <v>NON-NIL</v>
      </c>
      <c r="E5977">
        <f>TEST_DATA!E5977</f>
        <v>1227</v>
      </c>
    </row>
    <row r="5978" spans="1:5" x14ac:dyDescent="0.55000000000000004">
      <c r="A5978" t="str">
        <f>TEST_DATA!A5978</f>
        <v>27AAAAA5978Z5</v>
      </c>
      <c r="B5978" t="str">
        <f>TEST_DATA!B5978</f>
        <v>Feb-2018</v>
      </c>
      <c r="C5978">
        <f>TEST_DATA!C5978</f>
        <v>43077</v>
      </c>
      <c r="D5978" t="str">
        <f>TEST_DATA!D5978</f>
        <v>NON-NIL</v>
      </c>
      <c r="E5978">
        <f>TEST_DATA!E5978</f>
        <v>2515</v>
      </c>
    </row>
    <row r="5979" spans="1:5" x14ac:dyDescent="0.55000000000000004">
      <c r="A5979" t="str">
        <f>TEST_DATA!A5979</f>
        <v>27AAAAA5979Z5</v>
      </c>
      <c r="B5979" t="str">
        <f>TEST_DATA!B5979</f>
        <v>Apr-2018</v>
      </c>
      <c r="C5979">
        <f>TEST_DATA!C5979</f>
        <v>43991</v>
      </c>
      <c r="D5979" t="str">
        <f>TEST_DATA!D5979</f>
        <v>NON-NIL</v>
      </c>
      <c r="E5979">
        <f>TEST_DATA!E5979</f>
        <v>2505</v>
      </c>
    </row>
    <row r="5980" spans="1:5" x14ac:dyDescent="0.55000000000000004">
      <c r="A5980" t="str">
        <f>TEST_DATA!A5980</f>
        <v>27AAAAA5980Z5</v>
      </c>
      <c r="B5980" t="str">
        <f>TEST_DATA!B5980</f>
        <v>Jul-2018</v>
      </c>
      <c r="C5980">
        <f>TEST_DATA!C5980</f>
        <v>43631</v>
      </c>
      <c r="D5980" t="str">
        <f>TEST_DATA!D5980</f>
        <v>NON-NIL</v>
      </c>
      <c r="E5980">
        <f>TEST_DATA!E5980</f>
        <v>1695</v>
      </c>
    </row>
    <row r="5981" spans="1:5" x14ac:dyDescent="0.55000000000000004">
      <c r="A5981" t="str">
        <f>TEST_DATA!A5981</f>
        <v>27AAAAA5981Z5</v>
      </c>
      <c r="B5981" t="str">
        <f>TEST_DATA!B5981</f>
        <v>Jun-2020</v>
      </c>
      <c r="C5981">
        <f>TEST_DATA!C5981</f>
        <v>44721</v>
      </c>
      <c r="D5981" t="str">
        <f>TEST_DATA!D5981</f>
        <v>NIL</v>
      </c>
      <c r="E5981">
        <f>TEST_DATA!E5981</f>
        <v>1222</v>
      </c>
    </row>
    <row r="5982" spans="1:5" x14ac:dyDescent="0.55000000000000004">
      <c r="A5982" t="str">
        <f>TEST_DATA!A5982</f>
        <v>27AAAAA5982Z5</v>
      </c>
      <c r="B5982" t="str">
        <f>TEST_DATA!B5982</f>
        <v>May-2018</v>
      </c>
      <c r="C5982">
        <f>TEST_DATA!C5982</f>
        <v>44460</v>
      </c>
      <c r="D5982" t="str">
        <f>TEST_DATA!D5982</f>
        <v>NON-NIL</v>
      </c>
      <c r="E5982">
        <f>TEST_DATA!E5982</f>
        <v>1196</v>
      </c>
    </row>
    <row r="5983" spans="1:5" x14ac:dyDescent="0.55000000000000004">
      <c r="A5983" t="str">
        <f>TEST_DATA!A5983</f>
        <v>27AAAAA5983Z5</v>
      </c>
      <c r="B5983" t="str">
        <f>TEST_DATA!B5983</f>
        <v>Jan-2021</v>
      </c>
      <c r="C5983">
        <f>TEST_DATA!C5983</f>
        <v>44372</v>
      </c>
      <c r="D5983" t="str">
        <f>TEST_DATA!D5983</f>
        <v>NON-NIL</v>
      </c>
      <c r="E5983">
        <f>TEST_DATA!E5983</f>
        <v>2904</v>
      </c>
    </row>
    <row r="5984" spans="1:5" x14ac:dyDescent="0.55000000000000004">
      <c r="A5984" t="str">
        <f>TEST_DATA!A5984</f>
        <v>27AAAAA5984Z5</v>
      </c>
      <c r="B5984" t="str">
        <f>TEST_DATA!B5984</f>
        <v>Mar-2018</v>
      </c>
      <c r="C5984">
        <f>TEST_DATA!C5984</f>
        <v>44525</v>
      </c>
      <c r="D5984" t="str">
        <f>TEST_DATA!D5984</f>
        <v>NIL</v>
      </c>
      <c r="E5984">
        <f>TEST_DATA!E5984</f>
        <v>1250</v>
      </c>
    </row>
    <row r="5985" spans="1:5" x14ac:dyDescent="0.55000000000000004">
      <c r="A5985" t="str">
        <f>TEST_DATA!A5985</f>
        <v>27AAAAA5985Z5</v>
      </c>
      <c r="B5985" t="str">
        <f>TEST_DATA!B5985</f>
        <v>Apr-2020</v>
      </c>
      <c r="C5985">
        <f>TEST_DATA!C5985</f>
        <v>44079</v>
      </c>
      <c r="D5985" t="str">
        <f>TEST_DATA!D5985</f>
        <v>NON-NIL</v>
      </c>
      <c r="E5985">
        <f>TEST_DATA!E5985</f>
        <v>2332</v>
      </c>
    </row>
    <row r="5986" spans="1:5" x14ac:dyDescent="0.55000000000000004">
      <c r="A5986" t="str">
        <f>TEST_DATA!A5986</f>
        <v>27AAAAA5986Z5</v>
      </c>
      <c r="B5986" t="str">
        <f>TEST_DATA!B5986</f>
        <v>Apr-2020</v>
      </c>
      <c r="C5986">
        <f>TEST_DATA!C5986</f>
        <v>44331</v>
      </c>
      <c r="D5986" t="str">
        <f>TEST_DATA!D5986</f>
        <v>NIL</v>
      </c>
      <c r="E5986">
        <f>TEST_DATA!E5986</f>
        <v>2890</v>
      </c>
    </row>
    <row r="5987" spans="1:5" x14ac:dyDescent="0.55000000000000004">
      <c r="A5987" t="str">
        <f>TEST_DATA!A5987</f>
        <v>27AAAAA5987Z5</v>
      </c>
      <c r="B5987" t="str">
        <f>TEST_DATA!B5987</f>
        <v>Mar-2023</v>
      </c>
      <c r="C5987">
        <f>TEST_DATA!C5987</f>
        <v>44524</v>
      </c>
      <c r="D5987" t="str">
        <f>TEST_DATA!D5987</f>
        <v>NON-NIL</v>
      </c>
      <c r="E5987">
        <f>TEST_DATA!E5987</f>
        <v>2368</v>
      </c>
    </row>
    <row r="5988" spans="1:5" x14ac:dyDescent="0.55000000000000004">
      <c r="A5988" t="str">
        <f>TEST_DATA!A5988</f>
        <v>27AAAAA5988Z5</v>
      </c>
      <c r="B5988" t="str">
        <f>TEST_DATA!B5988</f>
        <v>Sep-2018</v>
      </c>
      <c r="C5988">
        <f>TEST_DATA!C5988</f>
        <v>43500</v>
      </c>
      <c r="D5988" t="str">
        <f>TEST_DATA!D5988</f>
        <v>NIL</v>
      </c>
      <c r="E5988">
        <f>TEST_DATA!E5988</f>
        <v>2354</v>
      </c>
    </row>
    <row r="5989" spans="1:5" x14ac:dyDescent="0.55000000000000004">
      <c r="A5989" t="str">
        <f>TEST_DATA!A5989</f>
        <v>27AAAAA5989Z5</v>
      </c>
      <c r="B5989" t="str">
        <f>TEST_DATA!B5989</f>
        <v>Dec-2024</v>
      </c>
      <c r="C5989">
        <f>TEST_DATA!C5989</f>
        <v>44570</v>
      </c>
      <c r="D5989" t="str">
        <f>TEST_DATA!D5989</f>
        <v>NON-NIL</v>
      </c>
      <c r="E5989">
        <f>TEST_DATA!E5989</f>
        <v>1080</v>
      </c>
    </row>
    <row r="5990" spans="1:5" x14ac:dyDescent="0.55000000000000004">
      <c r="A5990" t="str">
        <f>TEST_DATA!A5990</f>
        <v>27AAAAA5990Z5</v>
      </c>
      <c r="B5990" t="str">
        <f>TEST_DATA!B5990</f>
        <v>Jul-2017</v>
      </c>
      <c r="C5990">
        <f>TEST_DATA!C5990</f>
        <v>43993</v>
      </c>
      <c r="D5990" t="str">
        <f>TEST_DATA!D5990</f>
        <v>NIL</v>
      </c>
      <c r="E5990">
        <f>TEST_DATA!E5990</f>
        <v>598</v>
      </c>
    </row>
    <row r="5991" spans="1:5" x14ac:dyDescent="0.55000000000000004">
      <c r="A5991" t="str">
        <f>TEST_DATA!A5991</f>
        <v>27AAAAA5991Z5</v>
      </c>
      <c r="B5991" t="str">
        <f>TEST_DATA!B5991</f>
        <v>Feb-2018</v>
      </c>
      <c r="C5991">
        <f>TEST_DATA!C5991</f>
        <v>43014</v>
      </c>
      <c r="D5991" t="str">
        <f>TEST_DATA!D5991</f>
        <v>NON-NIL</v>
      </c>
      <c r="E5991">
        <f>TEST_DATA!E5991</f>
        <v>2050</v>
      </c>
    </row>
    <row r="5992" spans="1:5" x14ac:dyDescent="0.55000000000000004">
      <c r="A5992" t="str">
        <f>TEST_DATA!A5992</f>
        <v>27AAAAA5992Z5</v>
      </c>
      <c r="B5992" t="str">
        <f>TEST_DATA!B5992</f>
        <v>Aug-2018</v>
      </c>
      <c r="C5992">
        <f>TEST_DATA!C5992</f>
        <v>43179</v>
      </c>
      <c r="D5992" t="str">
        <f>TEST_DATA!D5992</f>
        <v>NON-NIL</v>
      </c>
      <c r="E5992">
        <f>TEST_DATA!E5992</f>
        <v>2963</v>
      </c>
    </row>
    <row r="5993" spans="1:5" x14ac:dyDescent="0.55000000000000004">
      <c r="A5993" t="str">
        <f>TEST_DATA!A5993</f>
        <v>27AAAAA5993Z5</v>
      </c>
      <c r="B5993" t="str">
        <f>TEST_DATA!B5993</f>
        <v>Jan-2018</v>
      </c>
      <c r="C5993">
        <f>TEST_DATA!C5993</f>
        <v>44095</v>
      </c>
      <c r="D5993" t="str">
        <f>TEST_DATA!D5993</f>
        <v>NON-NIL</v>
      </c>
      <c r="E5993">
        <f>TEST_DATA!E5993</f>
        <v>408</v>
      </c>
    </row>
    <row r="5994" spans="1:5" x14ac:dyDescent="0.55000000000000004">
      <c r="A5994" t="str">
        <f>TEST_DATA!A5994</f>
        <v>27AAAAA5994Z5</v>
      </c>
      <c r="B5994" t="str">
        <f>TEST_DATA!B5994</f>
        <v>Feb-2018</v>
      </c>
      <c r="C5994">
        <f>TEST_DATA!C5994</f>
        <v>43239</v>
      </c>
      <c r="D5994" t="str">
        <f>TEST_DATA!D5994</f>
        <v>NIL</v>
      </c>
      <c r="E5994">
        <f>TEST_DATA!E5994</f>
        <v>32</v>
      </c>
    </row>
    <row r="5995" spans="1:5" x14ac:dyDescent="0.55000000000000004">
      <c r="A5995" t="str">
        <f>TEST_DATA!A5995</f>
        <v>27AAAAA5995Z5</v>
      </c>
      <c r="B5995" t="str">
        <f>TEST_DATA!B5995</f>
        <v>Dec-2024</v>
      </c>
      <c r="C5995">
        <f>TEST_DATA!C5995</f>
        <v>45804</v>
      </c>
      <c r="D5995" t="str">
        <f>TEST_DATA!D5995</f>
        <v>NON-NIL</v>
      </c>
      <c r="E5995">
        <f>TEST_DATA!E5995</f>
        <v>528</v>
      </c>
    </row>
    <row r="5996" spans="1:5" x14ac:dyDescent="0.55000000000000004">
      <c r="A5996" t="str">
        <f>TEST_DATA!A5996</f>
        <v>27AAAAA5996Z5</v>
      </c>
      <c r="B5996" t="str">
        <f>TEST_DATA!B5996</f>
        <v>Aug-2017</v>
      </c>
      <c r="C5996">
        <f>TEST_DATA!C5996</f>
        <v>44332</v>
      </c>
      <c r="D5996" t="str">
        <f>TEST_DATA!D5996</f>
        <v>NIL</v>
      </c>
      <c r="E5996">
        <f>TEST_DATA!E5996</f>
        <v>471</v>
      </c>
    </row>
    <row r="5997" spans="1:5" x14ac:dyDescent="0.55000000000000004">
      <c r="A5997" t="str">
        <f>TEST_DATA!A5997</f>
        <v>27AAAAA5997Z5</v>
      </c>
      <c r="B5997" t="str">
        <f>TEST_DATA!B5997</f>
        <v>Mar-2023</v>
      </c>
      <c r="C5997">
        <f>TEST_DATA!C5997</f>
        <v>45426</v>
      </c>
      <c r="D5997" t="str">
        <f>TEST_DATA!D5997</f>
        <v>NIL</v>
      </c>
      <c r="E5997">
        <f>TEST_DATA!E5997</f>
        <v>1961</v>
      </c>
    </row>
    <row r="5998" spans="1:5" x14ac:dyDescent="0.55000000000000004">
      <c r="A5998" t="str">
        <f>TEST_DATA!A5998</f>
        <v>27AAAAA5998Z5</v>
      </c>
      <c r="B5998" t="str">
        <f>TEST_DATA!B5998</f>
        <v>May-2018</v>
      </c>
      <c r="C5998">
        <f>TEST_DATA!C5998</f>
        <v>43534</v>
      </c>
      <c r="D5998" t="str">
        <f>TEST_DATA!D5998</f>
        <v>NON-NIL</v>
      </c>
      <c r="E5998">
        <f>TEST_DATA!E5998</f>
        <v>789</v>
      </c>
    </row>
    <row r="5999" spans="1:5" x14ac:dyDescent="0.55000000000000004">
      <c r="A5999" t="str">
        <f>TEST_DATA!A5999</f>
        <v>27AAAAA5999Z5</v>
      </c>
      <c r="B5999" t="str">
        <f>TEST_DATA!B5999</f>
        <v>Apr-2018</v>
      </c>
      <c r="C5999">
        <f>TEST_DATA!C5999</f>
        <v>44207</v>
      </c>
      <c r="D5999" t="str">
        <f>TEST_DATA!D5999</f>
        <v>NON-NIL</v>
      </c>
      <c r="E5999">
        <f>TEST_DATA!E5999</f>
        <v>1517</v>
      </c>
    </row>
    <row r="6000" spans="1:5" x14ac:dyDescent="0.55000000000000004">
      <c r="A6000" t="str">
        <f>TEST_DATA!A6000</f>
        <v>27AAAAA6000Z5</v>
      </c>
      <c r="B6000" t="str">
        <f>TEST_DATA!B6000</f>
        <v>May-2018</v>
      </c>
      <c r="C6000">
        <f>TEST_DATA!C6000</f>
        <v>43884</v>
      </c>
      <c r="D6000" t="str">
        <f>TEST_DATA!D6000</f>
        <v>NIL</v>
      </c>
      <c r="E6000">
        <f>TEST_DATA!E6000</f>
        <v>514</v>
      </c>
    </row>
    <row r="6001" spans="1:5" x14ac:dyDescent="0.55000000000000004">
      <c r="A6001" t="str">
        <f>TEST_DATA!A6001</f>
        <v>27AAAAA6001Z5</v>
      </c>
      <c r="B6001" t="str">
        <f>TEST_DATA!B6001</f>
        <v>Aug-2017</v>
      </c>
      <c r="C6001">
        <f>TEST_DATA!C6001</f>
        <v>43417</v>
      </c>
      <c r="D6001" t="str">
        <f>TEST_DATA!D6001</f>
        <v>NIL</v>
      </c>
      <c r="E6001">
        <f>TEST_DATA!E6001</f>
        <v>175</v>
      </c>
    </row>
    <row r="6002" spans="1:5" x14ac:dyDescent="0.55000000000000004">
      <c r="A6002" t="str">
        <f>TEST_DATA!A6002</f>
        <v>27AAAAA6002Z5</v>
      </c>
      <c r="B6002" t="str">
        <f>TEST_DATA!B6002</f>
        <v>Apr-2018</v>
      </c>
      <c r="C6002">
        <f>TEST_DATA!C6002</f>
        <v>43486</v>
      </c>
      <c r="D6002" t="str">
        <f>TEST_DATA!D6002</f>
        <v>NON-NIL</v>
      </c>
      <c r="E6002">
        <f>TEST_DATA!E6002</f>
        <v>1246</v>
      </c>
    </row>
    <row r="6003" spans="1:5" x14ac:dyDescent="0.55000000000000004">
      <c r="A6003" t="str">
        <f>TEST_DATA!A6003</f>
        <v>27AAAAA6003Z5</v>
      </c>
      <c r="B6003" t="str">
        <f>TEST_DATA!B6003</f>
        <v>Jul-2018</v>
      </c>
      <c r="C6003">
        <f>TEST_DATA!C6003</f>
        <v>43048</v>
      </c>
      <c r="D6003" t="str">
        <f>TEST_DATA!D6003</f>
        <v>NIL</v>
      </c>
      <c r="E6003">
        <f>TEST_DATA!E6003</f>
        <v>2963</v>
      </c>
    </row>
    <row r="6004" spans="1:5" x14ac:dyDescent="0.55000000000000004">
      <c r="A6004" t="str">
        <f>TEST_DATA!A6004</f>
        <v>27AAAAA6004Z5</v>
      </c>
      <c r="B6004" t="str">
        <f>TEST_DATA!B6004</f>
        <v>Apr-2020</v>
      </c>
      <c r="C6004">
        <f>TEST_DATA!C6004</f>
        <v>44288</v>
      </c>
      <c r="D6004" t="str">
        <f>TEST_DATA!D6004</f>
        <v>NIL</v>
      </c>
      <c r="E6004">
        <f>TEST_DATA!E6004</f>
        <v>112</v>
      </c>
    </row>
    <row r="6005" spans="1:5" x14ac:dyDescent="0.55000000000000004">
      <c r="A6005" t="str">
        <f>TEST_DATA!A6005</f>
        <v>27AAAAA6005Z5</v>
      </c>
      <c r="B6005" t="str">
        <f>TEST_DATA!B6005</f>
        <v>Nov-2017</v>
      </c>
      <c r="C6005">
        <f>TEST_DATA!C6005</f>
        <v>44426</v>
      </c>
      <c r="D6005" t="str">
        <f>TEST_DATA!D6005</f>
        <v>NON-NIL</v>
      </c>
      <c r="E6005">
        <f>TEST_DATA!E6005</f>
        <v>436</v>
      </c>
    </row>
    <row r="6006" spans="1:5" x14ac:dyDescent="0.55000000000000004">
      <c r="A6006" t="str">
        <f>TEST_DATA!A6006</f>
        <v>27AAAAA6006Z5</v>
      </c>
      <c r="B6006" t="str">
        <f>TEST_DATA!B6006</f>
        <v>Nov-2017</v>
      </c>
      <c r="C6006">
        <f>TEST_DATA!C6006</f>
        <v>44511</v>
      </c>
      <c r="D6006" t="str">
        <f>TEST_DATA!D6006</f>
        <v>NIL</v>
      </c>
      <c r="E6006">
        <f>TEST_DATA!E6006</f>
        <v>835</v>
      </c>
    </row>
    <row r="6007" spans="1:5" x14ac:dyDescent="0.55000000000000004">
      <c r="A6007" t="str">
        <f>TEST_DATA!A6007</f>
        <v>27AAAAA6007Z5</v>
      </c>
      <c r="B6007" t="str">
        <f>TEST_DATA!B6007</f>
        <v>Jan-2021</v>
      </c>
      <c r="C6007">
        <f>TEST_DATA!C6007</f>
        <v>45356</v>
      </c>
      <c r="D6007" t="str">
        <f>TEST_DATA!D6007</f>
        <v>NON-NIL</v>
      </c>
      <c r="E6007">
        <f>TEST_DATA!E6007</f>
        <v>1611</v>
      </c>
    </row>
    <row r="6008" spans="1:5" x14ac:dyDescent="0.55000000000000004">
      <c r="A6008" t="str">
        <f>TEST_DATA!A6008</f>
        <v>27AAAAA6008Z5</v>
      </c>
      <c r="B6008" t="str">
        <f>TEST_DATA!B6008</f>
        <v>Mar-2023</v>
      </c>
      <c r="C6008">
        <f>TEST_DATA!C6008</f>
        <v>44925</v>
      </c>
      <c r="D6008" t="str">
        <f>TEST_DATA!D6008</f>
        <v>NON-NIL</v>
      </c>
      <c r="E6008">
        <f>TEST_DATA!E6008</f>
        <v>779</v>
      </c>
    </row>
    <row r="6009" spans="1:5" x14ac:dyDescent="0.55000000000000004">
      <c r="A6009" t="str">
        <f>TEST_DATA!A6009</f>
        <v>27AAAAA6009Z5</v>
      </c>
      <c r="B6009" t="str">
        <f>TEST_DATA!B6009</f>
        <v>May-2018</v>
      </c>
      <c r="C6009">
        <f>TEST_DATA!C6009</f>
        <v>44109</v>
      </c>
      <c r="D6009" t="str">
        <f>TEST_DATA!D6009</f>
        <v>NON-NIL</v>
      </c>
      <c r="E6009">
        <f>TEST_DATA!E6009</f>
        <v>2572</v>
      </c>
    </row>
    <row r="6010" spans="1:5" x14ac:dyDescent="0.55000000000000004">
      <c r="A6010" t="str">
        <f>TEST_DATA!A6010</f>
        <v>27AAAAA6010Z5</v>
      </c>
      <c r="B6010" t="str">
        <f>TEST_DATA!B6010</f>
        <v>Jun-2020</v>
      </c>
      <c r="C6010">
        <f>TEST_DATA!C6010</f>
        <v>44796</v>
      </c>
      <c r="D6010" t="str">
        <f>TEST_DATA!D6010</f>
        <v>NIL</v>
      </c>
      <c r="E6010">
        <f>TEST_DATA!E6010</f>
        <v>2274</v>
      </c>
    </row>
    <row r="6011" spans="1:5" x14ac:dyDescent="0.55000000000000004">
      <c r="A6011" t="str">
        <f>TEST_DATA!A6011</f>
        <v>27AAAAA6011Z5</v>
      </c>
      <c r="B6011" t="str">
        <f>TEST_DATA!B6011</f>
        <v>Aug-2018</v>
      </c>
      <c r="C6011">
        <f>TEST_DATA!C6011</f>
        <v>43078</v>
      </c>
      <c r="D6011" t="str">
        <f>TEST_DATA!D6011</f>
        <v>NIL</v>
      </c>
      <c r="E6011">
        <f>TEST_DATA!E6011</f>
        <v>281</v>
      </c>
    </row>
    <row r="6012" spans="1:5" x14ac:dyDescent="0.55000000000000004">
      <c r="A6012" t="str">
        <f>TEST_DATA!A6012</f>
        <v>27AAAAA6012Z5</v>
      </c>
      <c r="B6012" t="str">
        <f>TEST_DATA!B6012</f>
        <v>Mar-2018</v>
      </c>
      <c r="C6012">
        <f>TEST_DATA!C6012</f>
        <v>44362</v>
      </c>
      <c r="D6012" t="str">
        <f>TEST_DATA!D6012</f>
        <v>NON-NIL</v>
      </c>
      <c r="E6012">
        <f>TEST_DATA!E6012</f>
        <v>2263</v>
      </c>
    </row>
    <row r="6013" spans="1:5" x14ac:dyDescent="0.55000000000000004">
      <c r="A6013" t="str">
        <f>TEST_DATA!A6013</f>
        <v>27AAAAA6013Z5</v>
      </c>
      <c r="B6013" t="str">
        <f>TEST_DATA!B6013</f>
        <v>Apr-2018</v>
      </c>
      <c r="C6013">
        <f>TEST_DATA!C6013</f>
        <v>43304</v>
      </c>
      <c r="D6013" t="str">
        <f>TEST_DATA!D6013</f>
        <v>NON-NIL</v>
      </c>
      <c r="E6013">
        <f>TEST_DATA!E6013</f>
        <v>2849</v>
      </c>
    </row>
    <row r="6014" spans="1:5" x14ac:dyDescent="0.55000000000000004">
      <c r="A6014" t="str">
        <f>TEST_DATA!A6014</f>
        <v>27AAAAA6014Z5</v>
      </c>
      <c r="B6014" t="str">
        <f>TEST_DATA!B6014</f>
        <v>May-2018</v>
      </c>
      <c r="C6014">
        <f>TEST_DATA!C6014</f>
        <v>43729</v>
      </c>
      <c r="D6014" t="str">
        <f>TEST_DATA!D6014</f>
        <v>NON-NIL</v>
      </c>
      <c r="E6014">
        <f>TEST_DATA!E6014</f>
        <v>906</v>
      </c>
    </row>
    <row r="6015" spans="1:5" x14ac:dyDescent="0.55000000000000004">
      <c r="A6015" t="str">
        <f>TEST_DATA!A6015</f>
        <v>27AAAAA6015Z5</v>
      </c>
      <c r="B6015" t="str">
        <f>TEST_DATA!B6015</f>
        <v>Sep-2017</v>
      </c>
      <c r="C6015">
        <f>TEST_DATA!C6015</f>
        <v>43065</v>
      </c>
      <c r="D6015" t="str">
        <f>TEST_DATA!D6015</f>
        <v>NIL</v>
      </c>
      <c r="E6015">
        <f>TEST_DATA!E6015</f>
        <v>2220</v>
      </c>
    </row>
    <row r="6016" spans="1:5" x14ac:dyDescent="0.55000000000000004">
      <c r="A6016" t="str">
        <f>TEST_DATA!A6016</f>
        <v>27AAAAA6016Z5</v>
      </c>
      <c r="B6016" t="str">
        <f>TEST_DATA!B6016</f>
        <v>Dec-2019</v>
      </c>
      <c r="C6016">
        <f>TEST_DATA!C6016</f>
        <v>44985</v>
      </c>
      <c r="D6016" t="str">
        <f>TEST_DATA!D6016</f>
        <v>NIL</v>
      </c>
      <c r="E6016">
        <f>TEST_DATA!E6016</f>
        <v>838</v>
      </c>
    </row>
    <row r="6017" spans="1:5" x14ac:dyDescent="0.55000000000000004">
      <c r="A6017" t="str">
        <f>TEST_DATA!A6017</f>
        <v>27AAAAA6017Z5</v>
      </c>
      <c r="B6017" t="str">
        <f>TEST_DATA!B6017</f>
        <v>Apr-2018</v>
      </c>
      <c r="C6017">
        <f>TEST_DATA!C6017</f>
        <v>43292</v>
      </c>
      <c r="D6017" t="str">
        <f>TEST_DATA!D6017</f>
        <v>NIL</v>
      </c>
      <c r="E6017">
        <f>TEST_DATA!E6017</f>
        <v>1668</v>
      </c>
    </row>
    <row r="6018" spans="1:5" x14ac:dyDescent="0.55000000000000004">
      <c r="A6018" t="str">
        <f>TEST_DATA!A6018</f>
        <v>27AAAAA6018Z5</v>
      </c>
      <c r="B6018" t="str">
        <f>TEST_DATA!B6018</f>
        <v>Dec-2017</v>
      </c>
      <c r="C6018">
        <f>TEST_DATA!C6018</f>
        <v>44290</v>
      </c>
      <c r="D6018" t="str">
        <f>TEST_DATA!D6018</f>
        <v>NIL</v>
      </c>
      <c r="E6018">
        <f>TEST_DATA!E6018</f>
        <v>137</v>
      </c>
    </row>
    <row r="6019" spans="1:5" x14ac:dyDescent="0.55000000000000004">
      <c r="A6019" t="str">
        <f>TEST_DATA!A6019</f>
        <v>27AAAAA6019Z5</v>
      </c>
      <c r="B6019" t="str">
        <f>TEST_DATA!B6019</f>
        <v>Mar-2023</v>
      </c>
      <c r="C6019">
        <f>TEST_DATA!C6019</f>
        <v>44484</v>
      </c>
      <c r="D6019" t="str">
        <f>TEST_DATA!D6019</f>
        <v>NIL</v>
      </c>
      <c r="E6019">
        <f>TEST_DATA!E6019</f>
        <v>1269</v>
      </c>
    </row>
    <row r="6020" spans="1:5" x14ac:dyDescent="0.55000000000000004">
      <c r="A6020" t="str">
        <f>TEST_DATA!A6020</f>
        <v>27AAAAA6020Z5</v>
      </c>
      <c r="B6020" t="str">
        <f>TEST_DATA!B6020</f>
        <v>Sep-2018</v>
      </c>
      <c r="C6020">
        <f>TEST_DATA!C6020</f>
        <v>43516</v>
      </c>
      <c r="D6020" t="str">
        <f>TEST_DATA!D6020</f>
        <v>NIL</v>
      </c>
      <c r="E6020">
        <f>TEST_DATA!E6020</f>
        <v>1085</v>
      </c>
    </row>
    <row r="6021" spans="1:5" x14ac:dyDescent="0.55000000000000004">
      <c r="A6021" t="str">
        <f>TEST_DATA!A6021</f>
        <v>27AAAAA6021Z5</v>
      </c>
      <c r="B6021" t="str">
        <f>TEST_DATA!B6021</f>
        <v>Aug-2018</v>
      </c>
      <c r="C6021">
        <f>TEST_DATA!C6021</f>
        <v>43342</v>
      </c>
      <c r="D6021" t="str">
        <f>TEST_DATA!D6021</f>
        <v>NIL</v>
      </c>
      <c r="E6021">
        <f>TEST_DATA!E6021</f>
        <v>76</v>
      </c>
    </row>
    <row r="6022" spans="1:5" x14ac:dyDescent="0.55000000000000004">
      <c r="A6022" t="str">
        <f>TEST_DATA!A6022</f>
        <v>27AAAAA6022Z5</v>
      </c>
      <c r="B6022" t="str">
        <f>TEST_DATA!B6022</f>
        <v>Apr-2018</v>
      </c>
      <c r="C6022">
        <f>TEST_DATA!C6022</f>
        <v>43392</v>
      </c>
      <c r="D6022" t="str">
        <f>TEST_DATA!D6022</f>
        <v>NON-NIL</v>
      </c>
      <c r="E6022">
        <f>TEST_DATA!E6022</f>
        <v>2925</v>
      </c>
    </row>
    <row r="6023" spans="1:5" x14ac:dyDescent="0.55000000000000004">
      <c r="A6023" t="str">
        <f>TEST_DATA!A6023</f>
        <v>27AAAAA6023Z5</v>
      </c>
      <c r="B6023" t="str">
        <f>TEST_DATA!B6023</f>
        <v>Mar-2020</v>
      </c>
      <c r="C6023">
        <f>TEST_DATA!C6023</f>
        <v>44682</v>
      </c>
      <c r="D6023" t="str">
        <f>TEST_DATA!D6023</f>
        <v>NON-NIL</v>
      </c>
      <c r="E6023">
        <f>TEST_DATA!E6023</f>
        <v>2212</v>
      </c>
    </row>
    <row r="6024" spans="1:5" x14ac:dyDescent="0.55000000000000004">
      <c r="A6024" t="str">
        <f>TEST_DATA!A6024</f>
        <v>27AAAAA6024Z5</v>
      </c>
      <c r="B6024" t="str">
        <f>TEST_DATA!B6024</f>
        <v>Dec-2022</v>
      </c>
      <c r="C6024">
        <f>TEST_DATA!C6024</f>
        <v>43580</v>
      </c>
      <c r="D6024" t="str">
        <f>TEST_DATA!D6024</f>
        <v>NIL</v>
      </c>
      <c r="E6024">
        <f>TEST_DATA!E6024</f>
        <v>2261</v>
      </c>
    </row>
    <row r="6025" spans="1:5" x14ac:dyDescent="0.55000000000000004">
      <c r="A6025" t="str">
        <f>TEST_DATA!A6025</f>
        <v>27AAAAA6025Z5</v>
      </c>
      <c r="B6025" t="str">
        <f>TEST_DATA!B6025</f>
        <v>Apr-2021</v>
      </c>
      <c r="C6025">
        <f>TEST_DATA!C6025</f>
        <v>44751</v>
      </c>
      <c r="D6025" t="str">
        <f>TEST_DATA!D6025</f>
        <v>NIL</v>
      </c>
      <c r="E6025">
        <f>TEST_DATA!E6025</f>
        <v>2330</v>
      </c>
    </row>
    <row r="6026" spans="1:5" x14ac:dyDescent="0.55000000000000004">
      <c r="A6026" t="str">
        <f>TEST_DATA!A6026</f>
        <v>27AAAAA6026Z5</v>
      </c>
      <c r="B6026" t="str">
        <f>TEST_DATA!B6026</f>
        <v>Mar-2023</v>
      </c>
      <c r="C6026">
        <f>TEST_DATA!C6026</f>
        <v>44615</v>
      </c>
      <c r="D6026" t="str">
        <f>TEST_DATA!D6026</f>
        <v>NON-NIL</v>
      </c>
      <c r="E6026">
        <f>TEST_DATA!E6026</f>
        <v>2386</v>
      </c>
    </row>
    <row r="6027" spans="1:5" x14ac:dyDescent="0.55000000000000004">
      <c r="A6027" t="str">
        <f>TEST_DATA!A6027</f>
        <v>27AAAAA6027Z5</v>
      </c>
      <c r="B6027" t="str">
        <f>TEST_DATA!B6027</f>
        <v>Aug-2017</v>
      </c>
      <c r="C6027">
        <f>TEST_DATA!C6027</f>
        <v>43230</v>
      </c>
      <c r="D6027" t="str">
        <f>TEST_DATA!D6027</f>
        <v>NIL</v>
      </c>
      <c r="E6027">
        <f>TEST_DATA!E6027</f>
        <v>2648</v>
      </c>
    </row>
    <row r="6028" spans="1:5" x14ac:dyDescent="0.55000000000000004">
      <c r="A6028" t="str">
        <f>TEST_DATA!A6028</f>
        <v>27AAAAA6028Z5</v>
      </c>
      <c r="B6028" t="str">
        <f>TEST_DATA!B6028</f>
        <v>Jun-2020</v>
      </c>
      <c r="C6028">
        <f>TEST_DATA!C6028</f>
        <v>44828</v>
      </c>
      <c r="D6028" t="str">
        <f>TEST_DATA!D6028</f>
        <v>NON-NIL</v>
      </c>
      <c r="E6028">
        <f>TEST_DATA!E6028</f>
        <v>1171</v>
      </c>
    </row>
    <row r="6029" spans="1:5" x14ac:dyDescent="0.55000000000000004">
      <c r="A6029" t="str">
        <f>TEST_DATA!A6029</f>
        <v>27AAAAA6029Z5</v>
      </c>
      <c r="B6029" t="str">
        <f>TEST_DATA!B6029</f>
        <v>Sep-2017</v>
      </c>
      <c r="C6029">
        <f>TEST_DATA!C6029</f>
        <v>43870</v>
      </c>
      <c r="D6029" t="str">
        <f>TEST_DATA!D6029</f>
        <v>NON-NIL</v>
      </c>
      <c r="E6029">
        <f>TEST_DATA!E6029</f>
        <v>771</v>
      </c>
    </row>
    <row r="6030" spans="1:5" x14ac:dyDescent="0.55000000000000004">
      <c r="A6030" t="str">
        <f>TEST_DATA!A6030</f>
        <v>27AAAAA6030Z5</v>
      </c>
      <c r="B6030" t="str">
        <f>TEST_DATA!B6030</f>
        <v>Aug-2017</v>
      </c>
      <c r="C6030">
        <f>TEST_DATA!C6030</f>
        <v>43535</v>
      </c>
      <c r="D6030" t="str">
        <f>TEST_DATA!D6030</f>
        <v>NIL</v>
      </c>
      <c r="E6030">
        <f>TEST_DATA!E6030</f>
        <v>1304</v>
      </c>
    </row>
    <row r="6031" spans="1:5" x14ac:dyDescent="0.55000000000000004">
      <c r="A6031" t="str">
        <f>TEST_DATA!A6031</f>
        <v>27AAAAA6031Z5</v>
      </c>
      <c r="B6031" t="str">
        <f>TEST_DATA!B6031</f>
        <v>Aug-2017</v>
      </c>
      <c r="C6031">
        <f>TEST_DATA!C6031</f>
        <v>43234</v>
      </c>
      <c r="D6031" t="str">
        <f>TEST_DATA!D6031</f>
        <v>NIL</v>
      </c>
      <c r="E6031">
        <f>TEST_DATA!E6031</f>
        <v>2197</v>
      </c>
    </row>
    <row r="6032" spans="1:5" x14ac:dyDescent="0.55000000000000004">
      <c r="A6032" t="str">
        <f>TEST_DATA!A6032</f>
        <v>27AAAAA6032Z5</v>
      </c>
      <c r="B6032" t="str">
        <f>TEST_DATA!B6032</f>
        <v>Apr-2021</v>
      </c>
      <c r="C6032">
        <f>TEST_DATA!C6032</f>
        <v>44967</v>
      </c>
      <c r="D6032" t="str">
        <f>TEST_DATA!D6032</f>
        <v>NIL</v>
      </c>
      <c r="E6032">
        <f>TEST_DATA!E6032</f>
        <v>669</v>
      </c>
    </row>
    <row r="6033" spans="1:5" x14ac:dyDescent="0.55000000000000004">
      <c r="A6033" t="str">
        <f>TEST_DATA!A6033</f>
        <v>27AAAAA6033Z5</v>
      </c>
      <c r="B6033" t="str">
        <f>TEST_DATA!B6033</f>
        <v>Dec-2017</v>
      </c>
      <c r="C6033">
        <f>TEST_DATA!C6033</f>
        <v>44062</v>
      </c>
      <c r="D6033" t="str">
        <f>TEST_DATA!D6033</f>
        <v>NON-NIL</v>
      </c>
      <c r="E6033">
        <f>TEST_DATA!E6033</f>
        <v>1729</v>
      </c>
    </row>
    <row r="6034" spans="1:5" x14ac:dyDescent="0.55000000000000004">
      <c r="A6034" t="str">
        <f>TEST_DATA!A6034</f>
        <v>27AAAAA6034Z5</v>
      </c>
      <c r="B6034" t="str">
        <f>TEST_DATA!B6034</f>
        <v>Jul-2018</v>
      </c>
      <c r="C6034">
        <f>TEST_DATA!C6034</f>
        <v>43609</v>
      </c>
      <c r="D6034" t="str">
        <f>TEST_DATA!D6034</f>
        <v>NIL</v>
      </c>
      <c r="E6034">
        <f>TEST_DATA!E6034</f>
        <v>1836</v>
      </c>
    </row>
    <row r="6035" spans="1:5" x14ac:dyDescent="0.55000000000000004">
      <c r="A6035" t="str">
        <f>TEST_DATA!A6035</f>
        <v>27AAAAA6035Z5</v>
      </c>
      <c r="B6035" t="str">
        <f>TEST_DATA!B6035</f>
        <v>Mar-2021</v>
      </c>
      <c r="C6035">
        <f>TEST_DATA!C6035</f>
        <v>44845</v>
      </c>
      <c r="D6035" t="str">
        <f>TEST_DATA!D6035</f>
        <v>NIL</v>
      </c>
      <c r="E6035">
        <f>TEST_DATA!E6035</f>
        <v>814</v>
      </c>
    </row>
    <row r="6036" spans="1:5" x14ac:dyDescent="0.55000000000000004">
      <c r="A6036" t="str">
        <f>TEST_DATA!A6036</f>
        <v>27AAAAA6036Z5</v>
      </c>
      <c r="B6036" t="str">
        <f>TEST_DATA!B6036</f>
        <v>Jan-2018</v>
      </c>
      <c r="C6036">
        <f>TEST_DATA!C6036</f>
        <v>43190</v>
      </c>
      <c r="D6036" t="str">
        <f>TEST_DATA!D6036</f>
        <v>NIL</v>
      </c>
      <c r="E6036">
        <f>TEST_DATA!E6036</f>
        <v>2554</v>
      </c>
    </row>
    <row r="6037" spans="1:5" x14ac:dyDescent="0.55000000000000004">
      <c r="A6037" t="str">
        <f>TEST_DATA!A6037</f>
        <v>27AAAAA6037Z5</v>
      </c>
      <c r="B6037" t="str">
        <f>TEST_DATA!B6037</f>
        <v>Apr-2021</v>
      </c>
      <c r="C6037">
        <f>TEST_DATA!C6037</f>
        <v>44423</v>
      </c>
      <c r="D6037" t="str">
        <f>TEST_DATA!D6037</f>
        <v>NIL</v>
      </c>
      <c r="E6037">
        <f>TEST_DATA!E6037</f>
        <v>558</v>
      </c>
    </row>
    <row r="6038" spans="1:5" x14ac:dyDescent="0.55000000000000004">
      <c r="A6038" t="str">
        <f>TEST_DATA!A6038</f>
        <v>27AAAAA6038Z5</v>
      </c>
      <c r="B6038" t="str">
        <f>TEST_DATA!B6038</f>
        <v>Jul-2017</v>
      </c>
      <c r="C6038">
        <f>TEST_DATA!C6038</f>
        <v>43192</v>
      </c>
      <c r="D6038" t="str">
        <f>TEST_DATA!D6038</f>
        <v>NON-NIL</v>
      </c>
      <c r="E6038">
        <f>TEST_DATA!E6038</f>
        <v>1643</v>
      </c>
    </row>
    <row r="6039" spans="1:5" x14ac:dyDescent="0.55000000000000004">
      <c r="A6039" t="str">
        <f>TEST_DATA!A6039</f>
        <v>27AAAAA6039Z5</v>
      </c>
      <c r="B6039" t="str">
        <f>TEST_DATA!B6039</f>
        <v>Mar-2020</v>
      </c>
      <c r="C6039">
        <f>TEST_DATA!C6039</f>
        <v>44051</v>
      </c>
      <c r="D6039" t="str">
        <f>TEST_DATA!D6039</f>
        <v>NIL</v>
      </c>
      <c r="E6039">
        <f>TEST_DATA!E6039</f>
        <v>837</v>
      </c>
    </row>
    <row r="6040" spans="1:5" x14ac:dyDescent="0.55000000000000004">
      <c r="A6040" t="str">
        <f>TEST_DATA!A6040</f>
        <v>27AAAAA6040Z5</v>
      </c>
      <c r="B6040" t="str">
        <f>TEST_DATA!B6040</f>
        <v>Dec-2024</v>
      </c>
      <c r="C6040">
        <f>TEST_DATA!C6040</f>
        <v>43506</v>
      </c>
      <c r="D6040" t="str">
        <f>TEST_DATA!D6040</f>
        <v>NIL</v>
      </c>
      <c r="E6040">
        <f>TEST_DATA!E6040</f>
        <v>89</v>
      </c>
    </row>
    <row r="6041" spans="1:5" x14ac:dyDescent="0.55000000000000004">
      <c r="A6041" t="str">
        <f>TEST_DATA!A6041</f>
        <v>27AAAAA6041Z5</v>
      </c>
      <c r="B6041" t="str">
        <f>TEST_DATA!B6041</f>
        <v>Feb-2018</v>
      </c>
      <c r="C6041">
        <f>TEST_DATA!C6041</f>
        <v>43321</v>
      </c>
      <c r="D6041" t="str">
        <f>TEST_DATA!D6041</f>
        <v>NON-NIL</v>
      </c>
      <c r="E6041">
        <f>TEST_DATA!E6041</f>
        <v>1672</v>
      </c>
    </row>
    <row r="6042" spans="1:5" x14ac:dyDescent="0.55000000000000004">
      <c r="A6042" t="str">
        <f>TEST_DATA!A6042</f>
        <v>27AAAAA6042Z5</v>
      </c>
      <c r="B6042" t="str">
        <f>TEST_DATA!B6042</f>
        <v>Sep-2018</v>
      </c>
      <c r="C6042">
        <f>TEST_DATA!C6042</f>
        <v>43820</v>
      </c>
      <c r="D6042" t="str">
        <f>TEST_DATA!D6042</f>
        <v>NIL</v>
      </c>
      <c r="E6042">
        <f>TEST_DATA!E6042</f>
        <v>2835</v>
      </c>
    </row>
    <row r="6043" spans="1:5" x14ac:dyDescent="0.55000000000000004">
      <c r="A6043" t="str">
        <f>TEST_DATA!A6043</f>
        <v>27AAAAA6043Z5</v>
      </c>
      <c r="B6043" t="str">
        <f>TEST_DATA!B6043</f>
        <v>Oct-2017</v>
      </c>
      <c r="C6043">
        <f>TEST_DATA!C6043</f>
        <v>44289</v>
      </c>
      <c r="D6043" t="str">
        <f>TEST_DATA!D6043</f>
        <v>NON-NIL</v>
      </c>
      <c r="E6043">
        <f>TEST_DATA!E6043</f>
        <v>1868</v>
      </c>
    </row>
    <row r="6044" spans="1:5" x14ac:dyDescent="0.55000000000000004">
      <c r="A6044" t="str">
        <f>TEST_DATA!A6044</f>
        <v>27AAAAA6044Z5</v>
      </c>
      <c r="B6044" t="str">
        <f>TEST_DATA!B6044</f>
        <v>Jun-2018</v>
      </c>
      <c r="C6044">
        <f>TEST_DATA!C6044</f>
        <v>42938</v>
      </c>
      <c r="D6044" t="str">
        <f>TEST_DATA!D6044</f>
        <v>NON-NIL</v>
      </c>
      <c r="E6044">
        <f>TEST_DATA!E6044</f>
        <v>1748</v>
      </c>
    </row>
    <row r="6045" spans="1:5" x14ac:dyDescent="0.55000000000000004">
      <c r="A6045" t="str">
        <f>TEST_DATA!A6045</f>
        <v>27AAAAA6045Z5</v>
      </c>
      <c r="B6045" t="str">
        <f>TEST_DATA!B6045</f>
        <v>Nov-2017</v>
      </c>
      <c r="C6045">
        <f>TEST_DATA!C6045</f>
        <v>44506</v>
      </c>
      <c r="D6045" t="str">
        <f>TEST_DATA!D6045</f>
        <v>NON-NIL</v>
      </c>
      <c r="E6045">
        <f>TEST_DATA!E6045</f>
        <v>2497</v>
      </c>
    </row>
    <row r="6046" spans="1:5" x14ac:dyDescent="0.55000000000000004">
      <c r="A6046" t="str">
        <f>TEST_DATA!A6046</f>
        <v>27AAAAA6046Z5</v>
      </c>
      <c r="B6046" t="str">
        <f>TEST_DATA!B6046</f>
        <v>Apr-2020</v>
      </c>
      <c r="C6046">
        <f>TEST_DATA!C6046</f>
        <v>44542</v>
      </c>
      <c r="D6046" t="str">
        <f>TEST_DATA!D6046</f>
        <v>NON-NIL</v>
      </c>
      <c r="E6046">
        <f>TEST_DATA!E6046</f>
        <v>1020</v>
      </c>
    </row>
    <row r="6047" spans="1:5" x14ac:dyDescent="0.55000000000000004">
      <c r="A6047" t="str">
        <f>TEST_DATA!A6047</f>
        <v>27AAAAA6047Z5</v>
      </c>
      <c r="B6047" t="str">
        <f>TEST_DATA!B6047</f>
        <v>Dec-2024</v>
      </c>
      <c r="C6047">
        <f>TEST_DATA!C6047</f>
        <v>43698</v>
      </c>
      <c r="D6047" t="str">
        <f>TEST_DATA!D6047</f>
        <v>NIL</v>
      </c>
      <c r="E6047">
        <f>TEST_DATA!E6047</f>
        <v>1138</v>
      </c>
    </row>
    <row r="6048" spans="1:5" x14ac:dyDescent="0.55000000000000004">
      <c r="A6048" t="str">
        <f>TEST_DATA!A6048</f>
        <v>27AAAAA6048Z5</v>
      </c>
      <c r="B6048" t="str">
        <f>TEST_DATA!B6048</f>
        <v>May-2020</v>
      </c>
      <c r="C6048">
        <f>TEST_DATA!C6048</f>
        <v>44589</v>
      </c>
      <c r="D6048" t="str">
        <f>TEST_DATA!D6048</f>
        <v>NIL</v>
      </c>
      <c r="E6048">
        <f>TEST_DATA!E6048</f>
        <v>229</v>
      </c>
    </row>
    <row r="6049" spans="1:5" x14ac:dyDescent="0.55000000000000004">
      <c r="A6049" t="str">
        <f>TEST_DATA!A6049</f>
        <v>27AAAAA6049Z5</v>
      </c>
      <c r="B6049" t="str">
        <f>TEST_DATA!B6049</f>
        <v>Sep-2017</v>
      </c>
      <c r="C6049">
        <f>TEST_DATA!C6049</f>
        <v>43271</v>
      </c>
      <c r="D6049" t="str">
        <f>TEST_DATA!D6049</f>
        <v>NIL</v>
      </c>
      <c r="E6049">
        <f>TEST_DATA!E6049</f>
        <v>2382</v>
      </c>
    </row>
    <row r="6050" spans="1:5" x14ac:dyDescent="0.55000000000000004">
      <c r="A6050" t="str">
        <f>TEST_DATA!A6050</f>
        <v>27AAAAA6050Z5</v>
      </c>
      <c r="B6050" t="str">
        <f>TEST_DATA!B6050</f>
        <v>Dec-2019</v>
      </c>
      <c r="C6050">
        <f>TEST_DATA!C6050</f>
        <v>44524</v>
      </c>
      <c r="D6050" t="str">
        <f>TEST_DATA!D6050</f>
        <v>NON-NIL</v>
      </c>
      <c r="E6050">
        <f>TEST_DATA!E6050</f>
        <v>698</v>
      </c>
    </row>
    <row r="6051" spans="1:5" x14ac:dyDescent="0.55000000000000004">
      <c r="A6051" t="str">
        <f>TEST_DATA!A6051</f>
        <v>27AAAAA6051Z5</v>
      </c>
      <c r="B6051" t="str">
        <f>TEST_DATA!B6051</f>
        <v>Feb-2018</v>
      </c>
      <c r="C6051">
        <f>TEST_DATA!C6051</f>
        <v>42976</v>
      </c>
      <c r="D6051" t="str">
        <f>TEST_DATA!D6051</f>
        <v>NIL</v>
      </c>
      <c r="E6051">
        <f>TEST_DATA!E6051</f>
        <v>1109</v>
      </c>
    </row>
    <row r="6052" spans="1:5" x14ac:dyDescent="0.55000000000000004">
      <c r="A6052" t="str">
        <f>TEST_DATA!A6052</f>
        <v>27AAAAA6052Z5</v>
      </c>
      <c r="B6052" t="str">
        <f>TEST_DATA!B6052</f>
        <v>Jul-2020</v>
      </c>
      <c r="C6052">
        <f>TEST_DATA!C6052</f>
        <v>44100</v>
      </c>
      <c r="D6052" t="str">
        <f>TEST_DATA!D6052</f>
        <v>NIL</v>
      </c>
      <c r="E6052">
        <f>TEST_DATA!E6052</f>
        <v>520</v>
      </c>
    </row>
    <row r="6053" spans="1:5" x14ac:dyDescent="0.55000000000000004">
      <c r="A6053" t="str">
        <f>TEST_DATA!A6053</f>
        <v>27AAAAA6053Z5</v>
      </c>
      <c r="B6053" t="str">
        <f>TEST_DATA!B6053</f>
        <v>Dec-2019</v>
      </c>
      <c r="C6053">
        <f>TEST_DATA!C6053</f>
        <v>44678</v>
      </c>
      <c r="D6053" t="str">
        <f>TEST_DATA!D6053</f>
        <v>NON-NIL</v>
      </c>
      <c r="E6053">
        <f>TEST_DATA!E6053</f>
        <v>278</v>
      </c>
    </row>
    <row r="6054" spans="1:5" x14ac:dyDescent="0.55000000000000004">
      <c r="A6054" t="str">
        <f>TEST_DATA!A6054</f>
        <v>27AAAAA6054Z5</v>
      </c>
      <c r="B6054" t="str">
        <f>TEST_DATA!B6054</f>
        <v>Apr-2021</v>
      </c>
      <c r="C6054">
        <f>TEST_DATA!C6054</f>
        <v>43533</v>
      </c>
      <c r="D6054" t="str">
        <f>TEST_DATA!D6054</f>
        <v>NIL</v>
      </c>
      <c r="E6054">
        <f>TEST_DATA!E6054</f>
        <v>1860</v>
      </c>
    </row>
    <row r="6055" spans="1:5" x14ac:dyDescent="0.55000000000000004">
      <c r="A6055" t="str">
        <f>TEST_DATA!A6055</f>
        <v>27AAAAA6055Z5</v>
      </c>
      <c r="B6055" t="str">
        <f>TEST_DATA!B6055</f>
        <v>Jul-2020</v>
      </c>
      <c r="C6055">
        <f>TEST_DATA!C6055</f>
        <v>44164</v>
      </c>
      <c r="D6055" t="str">
        <f>TEST_DATA!D6055</f>
        <v>NIL</v>
      </c>
      <c r="E6055">
        <f>TEST_DATA!E6055</f>
        <v>2711</v>
      </c>
    </row>
    <row r="6056" spans="1:5" x14ac:dyDescent="0.55000000000000004">
      <c r="A6056" t="str">
        <f>TEST_DATA!A6056</f>
        <v>27AAAAA6056Z5</v>
      </c>
      <c r="B6056" t="str">
        <f>TEST_DATA!B6056</f>
        <v>Apr-2021</v>
      </c>
      <c r="C6056">
        <f>TEST_DATA!C6056</f>
        <v>44008</v>
      </c>
      <c r="D6056" t="str">
        <f>TEST_DATA!D6056</f>
        <v>NON-NIL</v>
      </c>
      <c r="E6056">
        <f>TEST_DATA!E6056</f>
        <v>213</v>
      </c>
    </row>
    <row r="6057" spans="1:5" x14ac:dyDescent="0.55000000000000004">
      <c r="A6057" t="str">
        <f>TEST_DATA!A6057</f>
        <v>27AAAAA6057Z5</v>
      </c>
      <c r="B6057" t="str">
        <f>TEST_DATA!B6057</f>
        <v>Dec-2024</v>
      </c>
      <c r="C6057">
        <f>TEST_DATA!C6057</f>
        <v>44995</v>
      </c>
      <c r="D6057" t="str">
        <f>TEST_DATA!D6057</f>
        <v>NIL</v>
      </c>
      <c r="E6057">
        <f>TEST_DATA!E6057</f>
        <v>1799</v>
      </c>
    </row>
    <row r="6058" spans="1:5" x14ac:dyDescent="0.55000000000000004">
      <c r="A6058" t="str">
        <f>TEST_DATA!A6058</f>
        <v>27AAAAA6058Z5</v>
      </c>
      <c r="B6058" t="str">
        <f>TEST_DATA!B6058</f>
        <v>Dec-2022</v>
      </c>
      <c r="C6058">
        <f>TEST_DATA!C6058</f>
        <v>45160</v>
      </c>
      <c r="D6058" t="str">
        <f>TEST_DATA!D6058</f>
        <v>NON-NIL</v>
      </c>
      <c r="E6058">
        <f>TEST_DATA!E6058</f>
        <v>2705</v>
      </c>
    </row>
    <row r="6059" spans="1:5" x14ac:dyDescent="0.55000000000000004">
      <c r="A6059" t="str">
        <f>TEST_DATA!A6059</f>
        <v>27AAAAA6059Z5</v>
      </c>
      <c r="B6059" t="str">
        <f>TEST_DATA!B6059</f>
        <v>Dec-2024</v>
      </c>
      <c r="C6059">
        <f>TEST_DATA!C6059</f>
        <v>45704</v>
      </c>
      <c r="D6059" t="str">
        <f>TEST_DATA!D6059</f>
        <v>NON-NIL</v>
      </c>
      <c r="E6059">
        <f>TEST_DATA!E6059</f>
        <v>2988</v>
      </c>
    </row>
    <row r="6060" spans="1:5" x14ac:dyDescent="0.55000000000000004">
      <c r="A6060" t="str">
        <f>TEST_DATA!A6060</f>
        <v>27AAAAA6060Z5</v>
      </c>
      <c r="B6060" t="str">
        <f>TEST_DATA!B6060</f>
        <v>Mar-2021</v>
      </c>
      <c r="C6060">
        <f>TEST_DATA!C6060</f>
        <v>43882</v>
      </c>
      <c r="D6060" t="str">
        <f>TEST_DATA!D6060</f>
        <v>NON-NIL</v>
      </c>
      <c r="E6060">
        <f>TEST_DATA!E6060</f>
        <v>2630</v>
      </c>
    </row>
    <row r="6061" spans="1:5" x14ac:dyDescent="0.55000000000000004">
      <c r="A6061" t="str">
        <f>TEST_DATA!A6061</f>
        <v>27AAAAA6061Z5</v>
      </c>
      <c r="B6061" t="str">
        <f>TEST_DATA!B6061</f>
        <v>May-2020</v>
      </c>
      <c r="C6061">
        <f>TEST_DATA!C6061</f>
        <v>44845</v>
      </c>
      <c r="D6061" t="str">
        <f>TEST_DATA!D6061</f>
        <v>NON-NIL</v>
      </c>
      <c r="E6061">
        <f>TEST_DATA!E6061</f>
        <v>1066</v>
      </c>
    </row>
    <row r="6062" spans="1:5" x14ac:dyDescent="0.55000000000000004">
      <c r="A6062" t="str">
        <f>TEST_DATA!A6062</f>
        <v>27AAAAA6062Z5</v>
      </c>
      <c r="B6062" t="str">
        <f>TEST_DATA!B6062</f>
        <v>Aug-2018</v>
      </c>
      <c r="C6062">
        <f>TEST_DATA!C6062</f>
        <v>43133</v>
      </c>
      <c r="D6062" t="str">
        <f>TEST_DATA!D6062</f>
        <v>NIL</v>
      </c>
      <c r="E6062">
        <f>TEST_DATA!E6062</f>
        <v>1080</v>
      </c>
    </row>
    <row r="6063" spans="1:5" x14ac:dyDescent="0.55000000000000004">
      <c r="A6063" t="str">
        <f>TEST_DATA!A6063</f>
        <v>27AAAAA6063Z5</v>
      </c>
      <c r="B6063" t="str">
        <f>TEST_DATA!B6063</f>
        <v>Aug-2017</v>
      </c>
      <c r="C6063">
        <f>TEST_DATA!C6063</f>
        <v>43708</v>
      </c>
      <c r="D6063" t="str">
        <f>TEST_DATA!D6063</f>
        <v>NON-NIL</v>
      </c>
      <c r="E6063">
        <f>TEST_DATA!E6063</f>
        <v>2620</v>
      </c>
    </row>
    <row r="6064" spans="1:5" x14ac:dyDescent="0.55000000000000004">
      <c r="A6064" t="str">
        <f>TEST_DATA!A6064</f>
        <v>27AAAAA6064Z5</v>
      </c>
      <c r="B6064" t="str">
        <f>TEST_DATA!B6064</f>
        <v>Dec-2019</v>
      </c>
      <c r="C6064">
        <f>TEST_DATA!C6064</f>
        <v>44397</v>
      </c>
      <c r="D6064" t="str">
        <f>TEST_DATA!D6064</f>
        <v>NON-NIL</v>
      </c>
      <c r="E6064">
        <f>TEST_DATA!E6064</f>
        <v>631</v>
      </c>
    </row>
    <row r="6065" spans="1:5" x14ac:dyDescent="0.55000000000000004">
      <c r="A6065" t="str">
        <f>TEST_DATA!A6065</f>
        <v>27AAAAA6065Z5</v>
      </c>
      <c r="B6065" t="str">
        <f>TEST_DATA!B6065</f>
        <v>Apr-2021</v>
      </c>
      <c r="C6065">
        <f>TEST_DATA!C6065</f>
        <v>45387</v>
      </c>
      <c r="D6065" t="str">
        <f>TEST_DATA!D6065</f>
        <v>NIL</v>
      </c>
      <c r="E6065">
        <f>TEST_DATA!E6065</f>
        <v>1390</v>
      </c>
    </row>
    <row r="6066" spans="1:5" x14ac:dyDescent="0.55000000000000004">
      <c r="A6066" t="str">
        <f>TEST_DATA!A6066</f>
        <v>27AAAAA6066Z5</v>
      </c>
      <c r="B6066" t="str">
        <f>TEST_DATA!B6066</f>
        <v>Jun-2019</v>
      </c>
      <c r="C6066">
        <f>TEST_DATA!C6066</f>
        <v>43728</v>
      </c>
      <c r="D6066" t="str">
        <f>TEST_DATA!D6066</f>
        <v>NIL</v>
      </c>
      <c r="E6066">
        <f>TEST_DATA!E6066</f>
        <v>637</v>
      </c>
    </row>
    <row r="6067" spans="1:5" x14ac:dyDescent="0.55000000000000004">
      <c r="A6067" t="str">
        <f>TEST_DATA!A6067</f>
        <v>27AAAAA6067Z5</v>
      </c>
      <c r="B6067" t="str">
        <f>TEST_DATA!B6067</f>
        <v>May-2018</v>
      </c>
      <c r="C6067">
        <f>TEST_DATA!C6067</f>
        <v>44143</v>
      </c>
      <c r="D6067" t="str">
        <f>TEST_DATA!D6067</f>
        <v>NIL</v>
      </c>
      <c r="E6067">
        <f>TEST_DATA!E6067</f>
        <v>2395</v>
      </c>
    </row>
    <row r="6068" spans="1:5" x14ac:dyDescent="0.55000000000000004">
      <c r="A6068" t="str">
        <f>TEST_DATA!A6068</f>
        <v>27AAAAA6068Z5</v>
      </c>
      <c r="B6068" t="str">
        <f>TEST_DATA!B6068</f>
        <v>Apr-2021</v>
      </c>
      <c r="C6068">
        <f>TEST_DATA!C6068</f>
        <v>44871</v>
      </c>
      <c r="D6068" t="str">
        <f>TEST_DATA!D6068</f>
        <v>NON-NIL</v>
      </c>
      <c r="E6068">
        <f>TEST_DATA!E6068</f>
        <v>1614</v>
      </c>
    </row>
    <row r="6069" spans="1:5" x14ac:dyDescent="0.55000000000000004">
      <c r="A6069" t="str">
        <f>TEST_DATA!A6069</f>
        <v>27AAAAA6069Z5</v>
      </c>
      <c r="B6069" t="str">
        <f>TEST_DATA!B6069</f>
        <v>Mar-2021</v>
      </c>
      <c r="C6069">
        <f>TEST_DATA!C6069</f>
        <v>45652</v>
      </c>
      <c r="D6069" t="str">
        <f>TEST_DATA!D6069</f>
        <v>NON-NIL</v>
      </c>
      <c r="E6069">
        <f>TEST_DATA!E6069</f>
        <v>2918</v>
      </c>
    </row>
    <row r="6070" spans="1:5" x14ac:dyDescent="0.55000000000000004">
      <c r="A6070" t="str">
        <f>TEST_DATA!A6070</f>
        <v>27AAAAA6070Z5</v>
      </c>
      <c r="B6070" t="str">
        <f>TEST_DATA!B6070</f>
        <v>Mar-2018</v>
      </c>
      <c r="C6070">
        <f>TEST_DATA!C6070</f>
        <v>43955</v>
      </c>
      <c r="D6070" t="str">
        <f>TEST_DATA!D6070</f>
        <v>NIL</v>
      </c>
      <c r="E6070">
        <f>TEST_DATA!E6070</f>
        <v>1013</v>
      </c>
    </row>
    <row r="6071" spans="1:5" x14ac:dyDescent="0.55000000000000004">
      <c r="A6071" t="str">
        <f>TEST_DATA!A6071</f>
        <v>27AAAAA6071Z5</v>
      </c>
      <c r="B6071" t="str">
        <f>TEST_DATA!B6071</f>
        <v>Jan-2019</v>
      </c>
      <c r="C6071">
        <f>TEST_DATA!C6071</f>
        <v>44486</v>
      </c>
      <c r="D6071" t="str">
        <f>TEST_DATA!D6071</f>
        <v>NIL</v>
      </c>
      <c r="E6071">
        <f>TEST_DATA!E6071</f>
        <v>1848</v>
      </c>
    </row>
    <row r="6072" spans="1:5" x14ac:dyDescent="0.55000000000000004">
      <c r="A6072" t="str">
        <f>TEST_DATA!A6072</f>
        <v>27AAAAA6072Z5</v>
      </c>
      <c r="B6072" t="str">
        <f>TEST_DATA!B6072</f>
        <v>Mar-2020</v>
      </c>
      <c r="C6072">
        <f>TEST_DATA!C6072</f>
        <v>43987</v>
      </c>
      <c r="D6072" t="str">
        <f>TEST_DATA!D6072</f>
        <v>NIL</v>
      </c>
      <c r="E6072">
        <f>TEST_DATA!E6072</f>
        <v>408</v>
      </c>
    </row>
    <row r="6073" spans="1:5" x14ac:dyDescent="0.55000000000000004">
      <c r="A6073" t="str">
        <f>TEST_DATA!A6073</f>
        <v>27AAAAA6073Z5</v>
      </c>
      <c r="B6073" t="str">
        <f>TEST_DATA!B6073</f>
        <v>Nov-2017</v>
      </c>
      <c r="C6073">
        <f>TEST_DATA!C6073</f>
        <v>43090</v>
      </c>
      <c r="D6073" t="str">
        <f>TEST_DATA!D6073</f>
        <v>NIL</v>
      </c>
      <c r="E6073">
        <f>TEST_DATA!E6073</f>
        <v>193</v>
      </c>
    </row>
    <row r="6074" spans="1:5" x14ac:dyDescent="0.55000000000000004">
      <c r="A6074" t="str">
        <f>TEST_DATA!A6074</f>
        <v>27AAAAA6074Z5</v>
      </c>
      <c r="B6074" t="str">
        <f>TEST_DATA!B6074</f>
        <v>Oct-2017</v>
      </c>
      <c r="C6074">
        <f>TEST_DATA!C6074</f>
        <v>44004</v>
      </c>
      <c r="D6074" t="str">
        <f>TEST_DATA!D6074</f>
        <v>NON-NIL</v>
      </c>
      <c r="E6074">
        <f>TEST_DATA!E6074</f>
        <v>2103</v>
      </c>
    </row>
    <row r="6075" spans="1:5" x14ac:dyDescent="0.55000000000000004">
      <c r="A6075" t="str">
        <f>TEST_DATA!A6075</f>
        <v>27AAAAA6075Z5</v>
      </c>
      <c r="B6075" t="str">
        <f>TEST_DATA!B6075</f>
        <v>Aug-2017</v>
      </c>
      <c r="C6075">
        <f>TEST_DATA!C6075</f>
        <v>43399</v>
      </c>
      <c r="D6075" t="str">
        <f>TEST_DATA!D6075</f>
        <v>NON-NIL</v>
      </c>
      <c r="E6075">
        <f>TEST_DATA!E6075</f>
        <v>2819</v>
      </c>
    </row>
    <row r="6076" spans="1:5" x14ac:dyDescent="0.55000000000000004">
      <c r="A6076" t="str">
        <f>TEST_DATA!A6076</f>
        <v>27AAAAA6076Z5</v>
      </c>
      <c r="B6076" t="str">
        <f>TEST_DATA!B6076</f>
        <v>Dec-2019</v>
      </c>
      <c r="C6076">
        <f>TEST_DATA!C6076</f>
        <v>45169</v>
      </c>
      <c r="D6076" t="str">
        <f>TEST_DATA!D6076</f>
        <v>NIL</v>
      </c>
      <c r="E6076">
        <f>TEST_DATA!E6076</f>
        <v>2742</v>
      </c>
    </row>
    <row r="6077" spans="1:5" x14ac:dyDescent="0.55000000000000004">
      <c r="A6077" t="str">
        <f>TEST_DATA!A6077</f>
        <v>27AAAAA6077Z5</v>
      </c>
      <c r="B6077" t="str">
        <f>TEST_DATA!B6077</f>
        <v>Dec-2024</v>
      </c>
      <c r="C6077">
        <f>TEST_DATA!C6077</f>
        <v>43768</v>
      </c>
      <c r="D6077" t="str">
        <f>TEST_DATA!D6077</f>
        <v>NON-NIL</v>
      </c>
      <c r="E6077">
        <f>TEST_DATA!E6077</f>
        <v>202</v>
      </c>
    </row>
    <row r="6078" spans="1:5" x14ac:dyDescent="0.55000000000000004">
      <c r="A6078" t="str">
        <f>TEST_DATA!A6078</f>
        <v>27AAAAA6078Z5</v>
      </c>
      <c r="B6078" t="str">
        <f>TEST_DATA!B6078</f>
        <v>Mar-2023</v>
      </c>
      <c r="C6078">
        <f>TEST_DATA!C6078</f>
        <v>45451</v>
      </c>
      <c r="D6078" t="str">
        <f>TEST_DATA!D6078</f>
        <v>NON-NIL</v>
      </c>
      <c r="E6078">
        <f>TEST_DATA!E6078</f>
        <v>2840</v>
      </c>
    </row>
    <row r="6079" spans="1:5" x14ac:dyDescent="0.55000000000000004">
      <c r="A6079" t="str">
        <f>TEST_DATA!A6079</f>
        <v>27AAAAA6079Z5</v>
      </c>
      <c r="B6079" t="str">
        <f>TEST_DATA!B6079</f>
        <v>Aug-2017</v>
      </c>
      <c r="C6079">
        <f>TEST_DATA!C6079</f>
        <v>44551</v>
      </c>
      <c r="D6079" t="str">
        <f>TEST_DATA!D6079</f>
        <v>NIL</v>
      </c>
      <c r="E6079">
        <f>TEST_DATA!E6079</f>
        <v>2450</v>
      </c>
    </row>
    <row r="6080" spans="1:5" x14ac:dyDescent="0.55000000000000004">
      <c r="A6080" t="str">
        <f>TEST_DATA!A6080</f>
        <v>27AAAAA6080Z5</v>
      </c>
      <c r="B6080" t="str">
        <f>TEST_DATA!B6080</f>
        <v>Nov-2017</v>
      </c>
      <c r="C6080">
        <f>TEST_DATA!C6080</f>
        <v>43638</v>
      </c>
      <c r="D6080" t="str">
        <f>TEST_DATA!D6080</f>
        <v>NIL</v>
      </c>
      <c r="E6080">
        <f>TEST_DATA!E6080</f>
        <v>2407</v>
      </c>
    </row>
    <row r="6081" spans="1:5" x14ac:dyDescent="0.55000000000000004">
      <c r="A6081" t="str">
        <f>TEST_DATA!A6081</f>
        <v>27AAAAA6081Z5</v>
      </c>
      <c r="B6081" t="str">
        <f>TEST_DATA!B6081</f>
        <v>Apr-2020</v>
      </c>
      <c r="C6081">
        <f>TEST_DATA!C6081</f>
        <v>44346</v>
      </c>
      <c r="D6081" t="str">
        <f>TEST_DATA!D6081</f>
        <v>NON-NIL</v>
      </c>
      <c r="E6081">
        <f>TEST_DATA!E6081</f>
        <v>729</v>
      </c>
    </row>
    <row r="6082" spans="1:5" x14ac:dyDescent="0.55000000000000004">
      <c r="A6082" t="str">
        <f>TEST_DATA!A6082</f>
        <v>27AAAAA6082Z5</v>
      </c>
      <c r="B6082" t="str">
        <f>TEST_DATA!B6082</f>
        <v>Apr-2020</v>
      </c>
      <c r="C6082">
        <f>TEST_DATA!C6082</f>
        <v>44482</v>
      </c>
      <c r="D6082" t="str">
        <f>TEST_DATA!D6082</f>
        <v>NIL</v>
      </c>
      <c r="E6082">
        <f>TEST_DATA!E6082</f>
        <v>2023</v>
      </c>
    </row>
    <row r="6083" spans="1:5" x14ac:dyDescent="0.55000000000000004">
      <c r="A6083" t="str">
        <f>TEST_DATA!A6083</f>
        <v>27AAAAA6083Z5</v>
      </c>
      <c r="B6083" t="str">
        <f>TEST_DATA!B6083</f>
        <v>Oct-2017</v>
      </c>
      <c r="C6083">
        <f>TEST_DATA!C6083</f>
        <v>43270</v>
      </c>
      <c r="D6083" t="str">
        <f>TEST_DATA!D6083</f>
        <v>NIL</v>
      </c>
      <c r="E6083">
        <f>TEST_DATA!E6083</f>
        <v>582</v>
      </c>
    </row>
    <row r="6084" spans="1:5" x14ac:dyDescent="0.55000000000000004">
      <c r="A6084" t="str">
        <f>TEST_DATA!A6084</f>
        <v>27AAAAA6084Z5</v>
      </c>
      <c r="B6084" t="str">
        <f>TEST_DATA!B6084</f>
        <v>Dec-2024</v>
      </c>
      <c r="C6084">
        <f>TEST_DATA!C6084</f>
        <v>45482</v>
      </c>
      <c r="D6084" t="str">
        <f>TEST_DATA!D6084</f>
        <v>NON-NIL</v>
      </c>
      <c r="E6084">
        <f>TEST_DATA!E6084</f>
        <v>1042</v>
      </c>
    </row>
    <row r="6085" spans="1:5" x14ac:dyDescent="0.55000000000000004">
      <c r="A6085" t="str">
        <f>TEST_DATA!A6085</f>
        <v>27AAAAA6085Z5</v>
      </c>
      <c r="B6085" t="str">
        <f>TEST_DATA!B6085</f>
        <v>Feb-2018</v>
      </c>
      <c r="C6085">
        <f>TEST_DATA!C6085</f>
        <v>43368</v>
      </c>
      <c r="D6085" t="str">
        <f>TEST_DATA!D6085</f>
        <v>NON-NIL</v>
      </c>
      <c r="E6085">
        <f>TEST_DATA!E6085</f>
        <v>744</v>
      </c>
    </row>
    <row r="6086" spans="1:5" x14ac:dyDescent="0.55000000000000004">
      <c r="A6086" t="str">
        <f>TEST_DATA!A6086</f>
        <v>27AAAAA6086Z5</v>
      </c>
      <c r="B6086" t="str">
        <f>TEST_DATA!B6086</f>
        <v>Dec-2017</v>
      </c>
      <c r="C6086">
        <f>TEST_DATA!C6086</f>
        <v>42960</v>
      </c>
      <c r="D6086" t="str">
        <f>TEST_DATA!D6086</f>
        <v>NON-NIL</v>
      </c>
      <c r="E6086">
        <f>TEST_DATA!E6086</f>
        <v>1184</v>
      </c>
    </row>
    <row r="6087" spans="1:5" x14ac:dyDescent="0.55000000000000004">
      <c r="A6087" t="str">
        <f>TEST_DATA!A6087</f>
        <v>27AAAAA6087Z5</v>
      </c>
      <c r="B6087" t="str">
        <f>TEST_DATA!B6087</f>
        <v>Nov-2017</v>
      </c>
      <c r="C6087">
        <f>TEST_DATA!C6087</f>
        <v>43212</v>
      </c>
      <c r="D6087" t="str">
        <f>TEST_DATA!D6087</f>
        <v>NIL</v>
      </c>
      <c r="E6087">
        <f>TEST_DATA!E6087</f>
        <v>1538</v>
      </c>
    </row>
    <row r="6088" spans="1:5" x14ac:dyDescent="0.55000000000000004">
      <c r="A6088" t="str">
        <f>TEST_DATA!A6088</f>
        <v>27AAAAA6088Z5</v>
      </c>
      <c r="B6088" t="str">
        <f>TEST_DATA!B6088</f>
        <v>Dec-2017</v>
      </c>
      <c r="C6088">
        <f>TEST_DATA!C6088</f>
        <v>43688</v>
      </c>
      <c r="D6088" t="str">
        <f>TEST_DATA!D6088</f>
        <v>NON-NIL</v>
      </c>
      <c r="E6088">
        <f>TEST_DATA!E6088</f>
        <v>2806</v>
      </c>
    </row>
    <row r="6089" spans="1:5" x14ac:dyDescent="0.55000000000000004">
      <c r="A6089" t="str">
        <f>TEST_DATA!A6089</f>
        <v>27AAAAA6089Z5</v>
      </c>
      <c r="B6089" t="str">
        <f>TEST_DATA!B6089</f>
        <v>Apr-2021</v>
      </c>
      <c r="C6089">
        <f>TEST_DATA!C6089</f>
        <v>44533</v>
      </c>
      <c r="D6089" t="str">
        <f>TEST_DATA!D6089</f>
        <v>NON-NIL</v>
      </c>
      <c r="E6089">
        <f>TEST_DATA!E6089</f>
        <v>787</v>
      </c>
    </row>
    <row r="6090" spans="1:5" x14ac:dyDescent="0.55000000000000004">
      <c r="A6090" t="str">
        <f>TEST_DATA!A6090</f>
        <v>27AAAAA6090Z5</v>
      </c>
      <c r="B6090" t="str">
        <f>TEST_DATA!B6090</f>
        <v>Jan-2018</v>
      </c>
      <c r="C6090">
        <f>TEST_DATA!C6090</f>
        <v>44432</v>
      </c>
      <c r="D6090" t="str">
        <f>TEST_DATA!D6090</f>
        <v>NIL</v>
      </c>
      <c r="E6090">
        <f>TEST_DATA!E6090</f>
        <v>2835</v>
      </c>
    </row>
    <row r="6091" spans="1:5" x14ac:dyDescent="0.55000000000000004">
      <c r="A6091" t="str">
        <f>TEST_DATA!A6091</f>
        <v>27AAAAA6091Z5</v>
      </c>
      <c r="B6091" t="str">
        <f>TEST_DATA!B6091</f>
        <v>Dec-2019</v>
      </c>
      <c r="C6091">
        <f>TEST_DATA!C6091</f>
        <v>44266</v>
      </c>
      <c r="D6091" t="str">
        <f>TEST_DATA!D6091</f>
        <v>NIL</v>
      </c>
      <c r="E6091">
        <f>TEST_DATA!E6091</f>
        <v>1187</v>
      </c>
    </row>
    <row r="6092" spans="1:5" x14ac:dyDescent="0.55000000000000004">
      <c r="A6092" t="str">
        <f>TEST_DATA!A6092</f>
        <v>27AAAAA6092Z5</v>
      </c>
      <c r="B6092" t="str">
        <f>TEST_DATA!B6092</f>
        <v>Apr-2018</v>
      </c>
      <c r="C6092">
        <f>TEST_DATA!C6092</f>
        <v>43535</v>
      </c>
      <c r="D6092" t="str">
        <f>TEST_DATA!D6092</f>
        <v>NON-NIL</v>
      </c>
      <c r="E6092">
        <f>TEST_DATA!E6092</f>
        <v>75</v>
      </c>
    </row>
    <row r="6093" spans="1:5" x14ac:dyDescent="0.55000000000000004">
      <c r="A6093" t="str">
        <f>TEST_DATA!A6093</f>
        <v>27AAAAA6093Z5</v>
      </c>
      <c r="B6093" t="str">
        <f>TEST_DATA!B6093</f>
        <v>Apr-2018</v>
      </c>
      <c r="C6093">
        <f>TEST_DATA!C6093</f>
        <v>43945</v>
      </c>
      <c r="D6093" t="str">
        <f>TEST_DATA!D6093</f>
        <v>NON-NIL</v>
      </c>
      <c r="E6093">
        <f>TEST_DATA!E6093</f>
        <v>2083</v>
      </c>
    </row>
    <row r="6094" spans="1:5" x14ac:dyDescent="0.55000000000000004">
      <c r="A6094" t="str">
        <f>TEST_DATA!A6094</f>
        <v>27AAAAA6094Z5</v>
      </c>
      <c r="B6094" t="str">
        <f>TEST_DATA!B6094</f>
        <v>Apr-2020</v>
      </c>
      <c r="C6094">
        <f>TEST_DATA!C6094</f>
        <v>44508</v>
      </c>
      <c r="D6094" t="str">
        <f>TEST_DATA!D6094</f>
        <v>NIL</v>
      </c>
      <c r="E6094">
        <f>TEST_DATA!E6094</f>
        <v>1109</v>
      </c>
    </row>
    <row r="6095" spans="1:5" x14ac:dyDescent="0.55000000000000004">
      <c r="A6095" t="str">
        <f>TEST_DATA!A6095</f>
        <v>27AAAAA6095Z5</v>
      </c>
      <c r="B6095" t="str">
        <f>TEST_DATA!B6095</f>
        <v>Sep-2018</v>
      </c>
      <c r="C6095">
        <f>TEST_DATA!C6095</f>
        <v>42959</v>
      </c>
      <c r="D6095" t="str">
        <f>TEST_DATA!D6095</f>
        <v>NIL</v>
      </c>
      <c r="E6095">
        <f>TEST_DATA!E6095</f>
        <v>42</v>
      </c>
    </row>
    <row r="6096" spans="1:5" x14ac:dyDescent="0.55000000000000004">
      <c r="A6096" t="str">
        <f>TEST_DATA!A6096</f>
        <v>27AAAAA6096Z5</v>
      </c>
      <c r="B6096" t="str">
        <f>TEST_DATA!B6096</f>
        <v>Mar-2023</v>
      </c>
      <c r="C6096">
        <f>TEST_DATA!C6096</f>
        <v>44998</v>
      </c>
      <c r="D6096" t="str">
        <f>TEST_DATA!D6096</f>
        <v>NON-NIL</v>
      </c>
      <c r="E6096">
        <f>TEST_DATA!E6096</f>
        <v>2078</v>
      </c>
    </row>
    <row r="6097" spans="1:5" x14ac:dyDescent="0.55000000000000004">
      <c r="A6097" t="str">
        <f>TEST_DATA!A6097</f>
        <v>27AAAAA6097Z5</v>
      </c>
      <c r="B6097" t="str">
        <f>TEST_DATA!B6097</f>
        <v>Jun-2020</v>
      </c>
      <c r="C6097">
        <f>TEST_DATA!C6097</f>
        <v>44546</v>
      </c>
      <c r="D6097" t="str">
        <f>TEST_DATA!D6097</f>
        <v>NIL</v>
      </c>
      <c r="E6097">
        <f>TEST_DATA!E6097</f>
        <v>2507</v>
      </c>
    </row>
    <row r="6098" spans="1:5" x14ac:dyDescent="0.55000000000000004">
      <c r="A6098" t="str">
        <f>TEST_DATA!A6098</f>
        <v>27AAAAA6098Z5</v>
      </c>
      <c r="B6098" t="str">
        <f>TEST_DATA!B6098</f>
        <v>Mar-2021</v>
      </c>
      <c r="C6098">
        <f>TEST_DATA!C6098</f>
        <v>44748</v>
      </c>
      <c r="D6098" t="str">
        <f>TEST_DATA!D6098</f>
        <v>NIL</v>
      </c>
      <c r="E6098">
        <f>TEST_DATA!E6098</f>
        <v>2792</v>
      </c>
    </row>
    <row r="6099" spans="1:5" x14ac:dyDescent="0.55000000000000004">
      <c r="A6099" t="str">
        <f>TEST_DATA!A6099</f>
        <v>27AAAAA6099Z5</v>
      </c>
      <c r="B6099" t="str">
        <f>TEST_DATA!B6099</f>
        <v>Sep-2018</v>
      </c>
      <c r="C6099">
        <f>TEST_DATA!C6099</f>
        <v>43934</v>
      </c>
      <c r="D6099" t="str">
        <f>TEST_DATA!D6099</f>
        <v>NON-NIL</v>
      </c>
      <c r="E6099">
        <f>TEST_DATA!E6099</f>
        <v>2555</v>
      </c>
    </row>
    <row r="6100" spans="1:5" x14ac:dyDescent="0.55000000000000004">
      <c r="A6100" t="str">
        <f>TEST_DATA!A6100</f>
        <v>27AAAAA6100Z5</v>
      </c>
      <c r="B6100" t="str">
        <f>TEST_DATA!B6100</f>
        <v>Jul-2020</v>
      </c>
      <c r="C6100">
        <f>TEST_DATA!C6100</f>
        <v>44203</v>
      </c>
      <c r="D6100" t="str">
        <f>TEST_DATA!D6100</f>
        <v>NON-NIL</v>
      </c>
      <c r="E6100">
        <f>TEST_DATA!E6100</f>
        <v>1749</v>
      </c>
    </row>
    <row r="6101" spans="1:5" x14ac:dyDescent="0.55000000000000004">
      <c r="A6101" t="str">
        <f>TEST_DATA!A6101</f>
        <v>27AAAAA6101Z5</v>
      </c>
      <c r="B6101" t="str">
        <f>TEST_DATA!B6101</f>
        <v>May-2020</v>
      </c>
      <c r="C6101">
        <f>TEST_DATA!C6101</f>
        <v>44259</v>
      </c>
      <c r="D6101" t="str">
        <f>TEST_DATA!D6101</f>
        <v>NIL</v>
      </c>
      <c r="E6101">
        <f>TEST_DATA!E6101</f>
        <v>2448</v>
      </c>
    </row>
    <row r="6102" spans="1:5" x14ac:dyDescent="0.55000000000000004">
      <c r="A6102" t="str">
        <f>TEST_DATA!A6102</f>
        <v>27AAAAA6102Z5</v>
      </c>
      <c r="B6102" t="str">
        <f>TEST_DATA!B6102</f>
        <v>Jan-2021</v>
      </c>
      <c r="C6102">
        <f>TEST_DATA!C6102</f>
        <v>44762</v>
      </c>
      <c r="D6102" t="str">
        <f>TEST_DATA!D6102</f>
        <v>NON-NIL</v>
      </c>
      <c r="E6102">
        <f>TEST_DATA!E6102</f>
        <v>955</v>
      </c>
    </row>
    <row r="6103" spans="1:5" x14ac:dyDescent="0.55000000000000004">
      <c r="A6103" t="str">
        <f>TEST_DATA!A6103</f>
        <v>27AAAAA6103Z5</v>
      </c>
      <c r="B6103" t="str">
        <f>TEST_DATA!B6103</f>
        <v>Mar-2018</v>
      </c>
      <c r="C6103">
        <f>TEST_DATA!C6103</f>
        <v>43295</v>
      </c>
      <c r="D6103" t="str">
        <f>TEST_DATA!D6103</f>
        <v>NON-NIL</v>
      </c>
      <c r="E6103">
        <f>TEST_DATA!E6103</f>
        <v>2039</v>
      </c>
    </row>
    <row r="6104" spans="1:5" x14ac:dyDescent="0.55000000000000004">
      <c r="A6104" t="str">
        <f>TEST_DATA!A6104</f>
        <v>27AAAAA6104Z5</v>
      </c>
      <c r="B6104" t="str">
        <f>TEST_DATA!B6104</f>
        <v>Jan-2019</v>
      </c>
      <c r="C6104">
        <f>TEST_DATA!C6104</f>
        <v>44772</v>
      </c>
      <c r="D6104" t="str">
        <f>TEST_DATA!D6104</f>
        <v>NIL</v>
      </c>
      <c r="E6104">
        <f>TEST_DATA!E6104</f>
        <v>655</v>
      </c>
    </row>
    <row r="6105" spans="1:5" x14ac:dyDescent="0.55000000000000004">
      <c r="A6105" t="str">
        <f>TEST_DATA!A6105</f>
        <v>27AAAAA6105Z5</v>
      </c>
      <c r="B6105" t="str">
        <f>TEST_DATA!B6105</f>
        <v>Jun-2018</v>
      </c>
      <c r="C6105">
        <f>TEST_DATA!C6105</f>
        <v>44078</v>
      </c>
      <c r="D6105" t="str">
        <f>TEST_DATA!D6105</f>
        <v>NIL</v>
      </c>
      <c r="E6105">
        <f>TEST_DATA!E6105</f>
        <v>71</v>
      </c>
    </row>
    <row r="6106" spans="1:5" x14ac:dyDescent="0.55000000000000004">
      <c r="A6106" t="str">
        <f>TEST_DATA!A6106</f>
        <v>27AAAAA6106Z5</v>
      </c>
      <c r="B6106" t="str">
        <f>TEST_DATA!B6106</f>
        <v>Aug-2018</v>
      </c>
      <c r="C6106">
        <f>TEST_DATA!C6106</f>
        <v>43081</v>
      </c>
      <c r="D6106" t="str">
        <f>TEST_DATA!D6106</f>
        <v>NON-NIL</v>
      </c>
      <c r="E6106">
        <f>TEST_DATA!E6106</f>
        <v>1430</v>
      </c>
    </row>
    <row r="6107" spans="1:5" x14ac:dyDescent="0.55000000000000004">
      <c r="A6107" t="str">
        <f>TEST_DATA!A6107</f>
        <v>27AAAAA6107Z5</v>
      </c>
      <c r="B6107" t="str">
        <f>TEST_DATA!B6107</f>
        <v>Dec-2019</v>
      </c>
      <c r="C6107">
        <f>TEST_DATA!C6107</f>
        <v>43808</v>
      </c>
      <c r="D6107" t="str">
        <f>TEST_DATA!D6107</f>
        <v>NIL</v>
      </c>
      <c r="E6107">
        <f>TEST_DATA!E6107</f>
        <v>2476</v>
      </c>
    </row>
    <row r="6108" spans="1:5" x14ac:dyDescent="0.55000000000000004">
      <c r="A6108" t="str">
        <f>TEST_DATA!A6108</f>
        <v>27AAAAA6108Z5</v>
      </c>
      <c r="B6108" t="str">
        <f>TEST_DATA!B6108</f>
        <v>Nov-2017</v>
      </c>
      <c r="C6108">
        <f>TEST_DATA!C6108</f>
        <v>42973</v>
      </c>
      <c r="D6108" t="str">
        <f>TEST_DATA!D6108</f>
        <v>NON-NIL</v>
      </c>
      <c r="E6108">
        <f>TEST_DATA!E6108</f>
        <v>2345</v>
      </c>
    </row>
    <row r="6109" spans="1:5" x14ac:dyDescent="0.55000000000000004">
      <c r="A6109" t="str">
        <f>TEST_DATA!A6109</f>
        <v>27AAAAA6109Z5</v>
      </c>
      <c r="B6109" t="str">
        <f>TEST_DATA!B6109</f>
        <v>Jan-2021</v>
      </c>
      <c r="C6109">
        <f>TEST_DATA!C6109</f>
        <v>44111</v>
      </c>
      <c r="D6109" t="str">
        <f>TEST_DATA!D6109</f>
        <v>NIL</v>
      </c>
      <c r="E6109">
        <f>TEST_DATA!E6109</f>
        <v>2426</v>
      </c>
    </row>
    <row r="6110" spans="1:5" x14ac:dyDescent="0.55000000000000004">
      <c r="A6110" t="str">
        <f>TEST_DATA!A6110</f>
        <v>27AAAAA6110Z5</v>
      </c>
      <c r="B6110" t="str">
        <f>TEST_DATA!B6110</f>
        <v>Apr-2018</v>
      </c>
      <c r="C6110">
        <f>TEST_DATA!C6110</f>
        <v>43156</v>
      </c>
      <c r="D6110" t="str">
        <f>TEST_DATA!D6110</f>
        <v>NIL</v>
      </c>
      <c r="E6110">
        <f>TEST_DATA!E6110</f>
        <v>1321</v>
      </c>
    </row>
    <row r="6111" spans="1:5" x14ac:dyDescent="0.55000000000000004">
      <c r="A6111" t="str">
        <f>TEST_DATA!A6111</f>
        <v>27AAAAA6111Z5</v>
      </c>
      <c r="B6111" t="str">
        <f>TEST_DATA!B6111</f>
        <v>Mar-2023</v>
      </c>
      <c r="C6111">
        <f>TEST_DATA!C6111</f>
        <v>45147</v>
      </c>
      <c r="D6111" t="str">
        <f>TEST_DATA!D6111</f>
        <v>NIL</v>
      </c>
      <c r="E6111">
        <f>TEST_DATA!E6111</f>
        <v>172</v>
      </c>
    </row>
    <row r="6112" spans="1:5" x14ac:dyDescent="0.55000000000000004">
      <c r="A6112" t="str">
        <f>TEST_DATA!A6112</f>
        <v>27AAAAA6112Z5</v>
      </c>
      <c r="B6112" t="str">
        <f>TEST_DATA!B6112</f>
        <v>Nov-2017</v>
      </c>
      <c r="C6112">
        <f>TEST_DATA!C6112</f>
        <v>44128</v>
      </c>
      <c r="D6112" t="str">
        <f>TEST_DATA!D6112</f>
        <v>NON-NIL</v>
      </c>
      <c r="E6112">
        <f>TEST_DATA!E6112</f>
        <v>1293</v>
      </c>
    </row>
    <row r="6113" spans="1:5" x14ac:dyDescent="0.55000000000000004">
      <c r="A6113" t="str">
        <f>TEST_DATA!A6113</f>
        <v>27AAAAA6113Z5</v>
      </c>
      <c r="B6113" t="str">
        <f>TEST_DATA!B6113</f>
        <v>Mar-2021</v>
      </c>
      <c r="C6113">
        <f>TEST_DATA!C6113</f>
        <v>45113</v>
      </c>
      <c r="D6113" t="str">
        <f>TEST_DATA!D6113</f>
        <v>NIL</v>
      </c>
      <c r="E6113">
        <f>TEST_DATA!E6113</f>
        <v>1785</v>
      </c>
    </row>
    <row r="6114" spans="1:5" x14ac:dyDescent="0.55000000000000004">
      <c r="A6114" t="str">
        <f>TEST_DATA!A6114</f>
        <v>27AAAAA6114Z5</v>
      </c>
      <c r="B6114" t="str">
        <f>TEST_DATA!B6114</f>
        <v>Feb-2018</v>
      </c>
      <c r="C6114">
        <f>TEST_DATA!C6114</f>
        <v>43865</v>
      </c>
      <c r="D6114" t="str">
        <f>TEST_DATA!D6114</f>
        <v>NIL</v>
      </c>
      <c r="E6114">
        <f>TEST_DATA!E6114</f>
        <v>2645</v>
      </c>
    </row>
    <row r="6115" spans="1:5" x14ac:dyDescent="0.55000000000000004">
      <c r="A6115" t="str">
        <f>TEST_DATA!A6115</f>
        <v>27AAAAA6115Z5</v>
      </c>
      <c r="B6115" t="str">
        <f>TEST_DATA!B6115</f>
        <v>Aug-2018</v>
      </c>
      <c r="C6115">
        <f>TEST_DATA!C6115</f>
        <v>43269</v>
      </c>
      <c r="D6115" t="str">
        <f>TEST_DATA!D6115</f>
        <v>NON-NIL</v>
      </c>
      <c r="E6115">
        <f>TEST_DATA!E6115</f>
        <v>2720</v>
      </c>
    </row>
    <row r="6116" spans="1:5" x14ac:dyDescent="0.55000000000000004">
      <c r="A6116" t="str">
        <f>TEST_DATA!A6116</f>
        <v>27AAAAA6116Z5</v>
      </c>
      <c r="B6116" t="str">
        <f>TEST_DATA!B6116</f>
        <v>Mar-2021</v>
      </c>
      <c r="C6116">
        <f>TEST_DATA!C6116</f>
        <v>44202</v>
      </c>
      <c r="D6116" t="str">
        <f>TEST_DATA!D6116</f>
        <v>NIL</v>
      </c>
      <c r="E6116">
        <f>TEST_DATA!E6116</f>
        <v>1767</v>
      </c>
    </row>
    <row r="6117" spans="1:5" x14ac:dyDescent="0.55000000000000004">
      <c r="A6117" t="str">
        <f>TEST_DATA!A6117</f>
        <v>27AAAAA6117Z5</v>
      </c>
      <c r="B6117" t="str">
        <f>TEST_DATA!B6117</f>
        <v>Jul-2018</v>
      </c>
      <c r="C6117">
        <f>TEST_DATA!C6117</f>
        <v>43072</v>
      </c>
      <c r="D6117" t="str">
        <f>TEST_DATA!D6117</f>
        <v>NON-NIL</v>
      </c>
      <c r="E6117">
        <f>TEST_DATA!E6117</f>
        <v>2716</v>
      </c>
    </row>
    <row r="6118" spans="1:5" x14ac:dyDescent="0.55000000000000004">
      <c r="A6118" t="str">
        <f>TEST_DATA!A6118</f>
        <v>27AAAAA6118Z5</v>
      </c>
      <c r="B6118" t="str">
        <f>TEST_DATA!B6118</f>
        <v>Mar-2018</v>
      </c>
      <c r="C6118">
        <f>TEST_DATA!C6118</f>
        <v>44193</v>
      </c>
      <c r="D6118" t="str">
        <f>TEST_DATA!D6118</f>
        <v>NIL</v>
      </c>
      <c r="E6118">
        <f>TEST_DATA!E6118</f>
        <v>2647</v>
      </c>
    </row>
    <row r="6119" spans="1:5" x14ac:dyDescent="0.55000000000000004">
      <c r="A6119" t="str">
        <f>TEST_DATA!A6119</f>
        <v>27AAAAA6119Z5</v>
      </c>
      <c r="B6119" t="str">
        <f>TEST_DATA!B6119</f>
        <v>Jun-2020</v>
      </c>
      <c r="C6119">
        <f>TEST_DATA!C6119</f>
        <v>44526</v>
      </c>
      <c r="D6119" t="str">
        <f>TEST_DATA!D6119</f>
        <v>NIL</v>
      </c>
      <c r="E6119">
        <f>TEST_DATA!E6119</f>
        <v>796</v>
      </c>
    </row>
    <row r="6120" spans="1:5" x14ac:dyDescent="0.55000000000000004">
      <c r="A6120" t="str">
        <f>TEST_DATA!A6120</f>
        <v>27AAAAA6120Z5</v>
      </c>
      <c r="B6120" t="str">
        <f>TEST_DATA!B6120</f>
        <v>Jan-2018</v>
      </c>
      <c r="C6120">
        <f>TEST_DATA!C6120</f>
        <v>44399</v>
      </c>
      <c r="D6120" t="str">
        <f>TEST_DATA!D6120</f>
        <v>NIL</v>
      </c>
      <c r="E6120">
        <f>TEST_DATA!E6120</f>
        <v>913</v>
      </c>
    </row>
    <row r="6121" spans="1:5" x14ac:dyDescent="0.55000000000000004">
      <c r="A6121" t="str">
        <f>TEST_DATA!A6121</f>
        <v>27AAAAA6121Z5</v>
      </c>
      <c r="B6121" t="str">
        <f>TEST_DATA!B6121</f>
        <v>May-2020</v>
      </c>
      <c r="C6121">
        <f>TEST_DATA!C6121</f>
        <v>43913</v>
      </c>
      <c r="D6121" t="str">
        <f>TEST_DATA!D6121</f>
        <v>NIL</v>
      </c>
      <c r="E6121">
        <f>TEST_DATA!E6121</f>
        <v>1116</v>
      </c>
    </row>
    <row r="6122" spans="1:5" x14ac:dyDescent="0.55000000000000004">
      <c r="A6122" t="str">
        <f>TEST_DATA!A6122</f>
        <v>27AAAAA6122Z5</v>
      </c>
      <c r="B6122" t="str">
        <f>TEST_DATA!B6122</f>
        <v>Mar-2020</v>
      </c>
      <c r="C6122">
        <f>TEST_DATA!C6122</f>
        <v>44925</v>
      </c>
      <c r="D6122" t="str">
        <f>TEST_DATA!D6122</f>
        <v>NIL</v>
      </c>
      <c r="E6122">
        <f>TEST_DATA!E6122</f>
        <v>2885</v>
      </c>
    </row>
    <row r="6123" spans="1:5" x14ac:dyDescent="0.55000000000000004">
      <c r="A6123" t="str">
        <f>TEST_DATA!A6123</f>
        <v>27AAAAA6123Z5</v>
      </c>
      <c r="B6123" t="str">
        <f>TEST_DATA!B6123</f>
        <v>Mar-2023</v>
      </c>
      <c r="C6123">
        <f>TEST_DATA!C6123</f>
        <v>44109</v>
      </c>
      <c r="D6123" t="str">
        <f>TEST_DATA!D6123</f>
        <v>NIL</v>
      </c>
      <c r="E6123">
        <f>TEST_DATA!E6123</f>
        <v>2631</v>
      </c>
    </row>
    <row r="6124" spans="1:5" x14ac:dyDescent="0.55000000000000004">
      <c r="A6124" t="str">
        <f>TEST_DATA!A6124</f>
        <v>27AAAAA6124Z5</v>
      </c>
      <c r="B6124" t="str">
        <f>TEST_DATA!B6124</f>
        <v>Sep-2017</v>
      </c>
      <c r="C6124">
        <f>TEST_DATA!C6124</f>
        <v>43279</v>
      </c>
      <c r="D6124" t="str">
        <f>TEST_DATA!D6124</f>
        <v>NIL</v>
      </c>
      <c r="E6124">
        <f>TEST_DATA!E6124</f>
        <v>386</v>
      </c>
    </row>
    <row r="6125" spans="1:5" x14ac:dyDescent="0.55000000000000004">
      <c r="A6125" t="str">
        <f>TEST_DATA!A6125</f>
        <v>27AAAAA6125Z5</v>
      </c>
      <c r="B6125" t="str">
        <f>TEST_DATA!B6125</f>
        <v>Dec-2022</v>
      </c>
      <c r="C6125">
        <f>TEST_DATA!C6125</f>
        <v>44174</v>
      </c>
      <c r="D6125" t="str">
        <f>TEST_DATA!D6125</f>
        <v>NIL</v>
      </c>
      <c r="E6125">
        <f>TEST_DATA!E6125</f>
        <v>1524</v>
      </c>
    </row>
    <row r="6126" spans="1:5" x14ac:dyDescent="0.55000000000000004">
      <c r="A6126" t="str">
        <f>TEST_DATA!A6126</f>
        <v>27AAAAA6126Z5</v>
      </c>
      <c r="B6126" t="str">
        <f>TEST_DATA!B6126</f>
        <v>Jan-2021</v>
      </c>
      <c r="C6126">
        <f>TEST_DATA!C6126</f>
        <v>44678</v>
      </c>
      <c r="D6126" t="str">
        <f>TEST_DATA!D6126</f>
        <v>NIL</v>
      </c>
      <c r="E6126">
        <f>TEST_DATA!E6126</f>
        <v>2913</v>
      </c>
    </row>
    <row r="6127" spans="1:5" x14ac:dyDescent="0.55000000000000004">
      <c r="A6127" t="str">
        <f>TEST_DATA!A6127</f>
        <v>27AAAAA6127Z5</v>
      </c>
      <c r="B6127" t="str">
        <f>TEST_DATA!B6127</f>
        <v>Jun-2018</v>
      </c>
      <c r="C6127">
        <f>TEST_DATA!C6127</f>
        <v>44019</v>
      </c>
      <c r="D6127" t="str">
        <f>TEST_DATA!D6127</f>
        <v>NIL</v>
      </c>
      <c r="E6127">
        <f>TEST_DATA!E6127</f>
        <v>1783</v>
      </c>
    </row>
    <row r="6128" spans="1:5" x14ac:dyDescent="0.55000000000000004">
      <c r="A6128" t="str">
        <f>TEST_DATA!A6128</f>
        <v>27AAAAA6128Z5</v>
      </c>
      <c r="B6128" t="str">
        <f>TEST_DATA!B6128</f>
        <v>Dec-2019</v>
      </c>
      <c r="C6128">
        <f>TEST_DATA!C6128</f>
        <v>45174</v>
      </c>
      <c r="D6128" t="str">
        <f>TEST_DATA!D6128</f>
        <v>NON-NIL</v>
      </c>
      <c r="E6128">
        <f>TEST_DATA!E6128</f>
        <v>1644</v>
      </c>
    </row>
    <row r="6129" spans="1:5" x14ac:dyDescent="0.55000000000000004">
      <c r="A6129" t="str">
        <f>TEST_DATA!A6129</f>
        <v>27AAAAA6129Z5</v>
      </c>
      <c r="B6129" t="str">
        <f>TEST_DATA!B6129</f>
        <v>Apr-2018</v>
      </c>
      <c r="C6129">
        <f>TEST_DATA!C6129</f>
        <v>42934</v>
      </c>
      <c r="D6129" t="str">
        <f>TEST_DATA!D6129</f>
        <v>NIL</v>
      </c>
      <c r="E6129">
        <f>TEST_DATA!E6129</f>
        <v>2387</v>
      </c>
    </row>
    <row r="6130" spans="1:5" x14ac:dyDescent="0.55000000000000004">
      <c r="A6130" t="str">
        <f>TEST_DATA!A6130</f>
        <v>27AAAAA6130Z5</v>
      </c>
      <c r="B6130" t="str">
        <f>TEST_DATA!B6130</f>
        <v>Oct-2017</v>
      </c>
      <c r="C6130">
        <f>TEST_DATA!C6130</f>
        <v>44004</v>
      </c>
      <c r="D6130" t="str">
        <f>TEST_DATA!D6130</f>
        <v>NON-NIL</v>
      </c>
      <c r="E6130">
        <f>TEST_DATA!E6130</f>
        <v>1073</v>
      </c>
    </row>
    <row r="6131" spans="1:5" x14ac:dyDescent="0.55000000000000004">
      <c r="A6131" t="str">
        <f>TEST_DATA!A6131</f>
        <v>27AAAAA6131Z5</v>
      </c>
      <c r="B6131" t="str">
        <f>TEST_DATA!B6131</f>
        <v>Dec-2019</v>
      </c>
      <c r="C6131">
        <f>TEST_DATA!C6131</f>
        <v>45666</v>
      </c>
      <c r="D6131" t="str">
        <f>TEST_DATA!D6131</f>
        <v>NIL</v>
      </c>
      <c r="E6131">
        <f>TEST_DATA!E6131</f>
        <v>1595</v>
      </c>
    </row>
    <row r="6132" spans="1:5" x14ac:dyDescent="0.55000000000000004">
      <c r="A6132" t="str">
        <f>TEST_DATA!A6132</f>
        <v>27AAAAA6132Z5</v>
      </c>
      <c r="B6132" t="str">
        <f>TEST_DATA!B6132</f>
        <v>Apr-2018</v>
      </c>
      <c r="C6132">
        <f>TEST_DATA!C6132</f>
        <v>43542</v>
      </c>
      <c r="D6132" t="str">
        <f>TEST_DATA!D6132</f>
        <v>NIL</v>
      </c>
      <c r="E6132">
        <f>TEST_DATA!E6132</f>
        <v>2759</v>
      </c>
    </row>
    <row r="6133" spans="1:5" x14ac:dyDescent="0.55000000000000004">
      <c r="A6133" t="str">
        <f>TEST_DATA!A6133</f>
        <v>27AAAAA6133Z5</v>
      </c>
      <c r="B6133" t="str">
        <f>TEST_DATA!B6133</f>
        <v>Jul-2017</v>
      </c>
      <c r="C6133">
        <f>TEST_DATA!C6133</f>
        <v>43004</v>
      </c>
      <c r="D6133" t="str">
        <f>TEST_DATA!D6133</f>
        <v>NON-NIL</v>
      </c>
      <c r="E6133">
        <f>TEST_DATA!E6133</f>
        <v>727</v>
      </c>
    </row>
    <row r="6134" spans="1:5" x14ac:dyDescent="0.55000000000000004">
      <c r="A6134" t="str">
        <f>TEST_DATA!A6134</f>
        <v>27AAAAA6134Z5</v>
      </c>
      <c r="B6134" t="str">
        <f>TEST_DATA!B6134</f>
        <v>Mar-2020</v>
      </c>
      <c r="C6134">
        <f>TEST_DATA!C6134</f>
        <v>44860</v>
      </c>
      <c r="D6134" t="str">
        <f>TEST_DATA!D6134</f>
        <v>NON-NIL</v>
      </c>
      <c r="E6134">
        <f>TEST_DATA!E6134</f>
        <v>1811</v>
      </c>
    </row>
    <row r="6135" spans="1:5" x14ac:dyDescent="0.55000000000000004">
      <c r="A6135" t="str">
        <f>TEST_DATA!A6135</f>
        <v>27AAAAA6135Z5</v>
      </c>
      <c r="B6135" t="str">
        <f>TEST_DATA!B6135</f>
        <v>May-2020</v>
      </c>
      <c r="C6135">
        <f>TEST_DATA!C6135</f>
        <v>44905</v>
      </c>
      <c r="D6135" t="str">
        <f>TEST_DATA!D6135</f>
        <v>NON-NIL</v>
      </c>
      <c r="E6135">
        <f>TEST_DATA!E6135</f>
        <v>1001</v>
      </c>
    </row>
    <row r="6136" spans="1:5" x14ac:dyDescent="0.55000000000000004">
      <c r="A6136" t="str">
        <f>TEST_DATA!A6136</f>
        <v>27AAAAA6136Z5</v>
      </c>
      <c r="B6136" t="str">
        <f>TEST_DATA!B6136</f>
        <v>Dec-2022</v>
      </c>
      <c r="C6136">
        <f>TEST_DATA!C6136</f>
        <v>44750</v>
      </c>
      <c r="D6136" t="str">
        <f>TEST_DATA!D6136</f>
        <v>NON-NIL</v>
      </c>
      <c r="E6136">
        <f>TEST_DATA!E6136</f>
        <v>1588</v>
      </c>
    </row>
    <row r="6137" spans="1:5" x14ac:dyDescent="0.55000000000000004">
      <c r="A6137" t="str">
        <f>TEST_DATA!A6137</f>
        <v>27AAAAA6137Z5</v>
      </c>
      <c r="B6137" t="str">
        <f>TEST_DATA!B6137</f>
        <v>May-2020</v>
      </c>
      <c r="C6137">
        <f>TEST_DATA!C6137</f>
        <v>44653</v>
      </c>
      <c r="D6137" t="str">
        <f>TEST_DATA!D6137</f>
        <v>NON-NIL</v>
      </c>
      <c r="E6137">
        <f>TEST_DATA!E6137</f>
        <v>1635</v>
      </c>
    </row>
    <row r="6138" spans="1:5" x14ac:dyDescent="0.55000000000000004">
      <c r="A6138" t="str">
        <f>TEST_DATA!A6138</f>
        <v>27AAAAA6138Z5</v>
      </c>
      <c r="B6138" t="str">
        <f>TEST_DATA!B6138</f>
        <v>Jan-2021</v>
      </c>
      <c r="C6138">
        <f>TEST_DATA!C6138</f>
        <v>44739</v>
      </c>
      <c r="D6138" t="str">
        <f>TEST_DATA!D6138</f>
        <v>NIL</v>
      </c>
      <c r="E6138">
        <f>TEST_DATA!E6138</f>
        <v>2440</v>
      </c>
    </row>
    <row r="6139" spans="1:5" x14ac:dyDescent="0.55000000000000004">
      <c r="A6139" t="str">
        <f>TEST_DATA!A6139</f>
        <v>27AAAAA6139Z5</v>
      </c>
      <c r="B6139" t="str">
        <f>TEST_DATA!B6139</f>
        <v>Aug-2018</v>
      </c>
      <c r="C6139">
        <f>TEST_DATA!C6139</f>
        <v>44400</v>
      </c>
      <c r="D6139" t="str">
        <f>TEST_DATA!D6139</f>
        <v>NIL</v>
      </c>
      <c r="E6139">
        <f>TEST_DATA!E6139</f>
        <v>891</v>
      </c>
    </row>
    <row r="6140" spans="1:5" x14ac:dyDescent="0.55000000000000004">
      <c r="A6140" t="str">
        <f>TEST_DATA!A6140</f>
        <v>27AAAAA6140Z5</v>
      </c>
      <c r="B6140" t="str">
        <f>TEST_DATA!B6140</f>
        <v>Apr-2018</v>
      </c>
      <c r="C6140">
        <f>TEST_DATA!C6140</f>
        <v>44265</v>
      </c>
      <c r="D6140" t="str">
        <f>TEST_DATA!D6140</f>
        <v>NIL</v>
      </c>
      <c r="E6140">
        <f>TEST_DATA!E6140</f>
        <v>457</v>
      </c>
    </row>
    <row r="6141" spans="1:5" x14ac:dyDescent="0.55000000000000004">
      <c r="A6141" t="str">
        <f>TEST_DATA!A6141</f>
        <v>27AAAAA6141Z5</v>
      </c>
      <c r="B6141" t="str">
        <f>TEST_DATA!B6141</f>
        <v>Apr-2020</v>
      </c>
      <c r="C6141">
        <f>TEST_DATA!C6141</f>
        <v>44119</v>
      </c>
      <c r="D6141" t="str">
        <f>TEST_DATA!D6141</f>
        <v>NON-NIL</v>
      </c>
      <c r="E6141">
        <f>TEST_DATA!E6141</f>
        <v>593</v>
      </c>
    </row>
    <row r="6142" spans="1:5" x14ac:dyDescent="0.55000000000000004">
      <c r="A6142" t="str">
        <f>TEST_DATA!A6142</f>
        <v>27AAAAA6142Z5</v>
      </c>
      <c r="B6142" t="str">
        <f>TEST_DATA!B6142</f>
        <v>Dec-2017</v>
      </c>
      <c r="C6142">
        <f>TEST_DATA!C6142</f>
        <v>43070</v>
      </c>
      <c r="D6142" t="str">
        <f>TEST_DATA!D6142</f>
        <v>NIL</v>
      </c>
      <c r="E6142">
        <f>TEST_DATA!E6142</f>
        <v>749</v>
      </c>
    </row>
    <row r="6143" spans="1:5" x14ac:dyDescent="0.55000000000000004">
      <c r="A6143" t="str">
        <f>TEST_DATA!A6143</f>
        <v>27AAAAA6143Z5</v>
      </c>
      <c r="B6143" t="str">
        <f>TEST_DATA!B6143</f>
        <v>Jul-2017</v>
      </c>
      <c r="C6143">
        <f>TEST_DATA!C6143</f>
        <v>43542</v>
      </c>
      <c r="D6143" t="str">
        <f>TEST_DATA!D6143</f>
        <v>NIL</v>
      </c>
      <c r="E6143">
        <f>TEST_DATA!E6143</f>
        <v>186</v>
      </c>
    </row>
    <row r="6144" spans="1:5" x14ac:dyDescent="0.55000000000000004">
      <c r="A6144" t="str">
        <f>TEST_DATA!A6144</f>
        <v>27AAAAA6144Z5</v>
      </c>
      <c r="B6144" t="str">
        <f>TEST_DATA!B6144</f>
        <v>Apr-2018</v>
      </c>
      <c r="C6144">
        <f>TEST_DATA!C6144</f>
        <v>43251</v>
      </c>
      <c r="D6144" t="str">
        <f>TEST_DATA!D6144</f>
        <v>NON-NIL</v>
      </c>
      <c r="E6144">
        <f>TEST_DATA!E6144</f>
        <v>2178</v>
      </c>
    </row>
    <row r="6145" spans="1:5" x14ac:dyDescent="0.55000000000000004">
      <c r="A6145" t="str">
        <f>TEST_DATA!A6145</f>
        <v>27AAAAA6145Z5</v>
      </c>
      <c r="B6145" t="str">
        <f>TEST_DATA!B6145</f>
        <v>Jan-2018</v>
      </c>
      <c r="C6145">
        <f>TEST_DATA!C6145</f>
        <v>44546</v>
      </c>
      <c r="D6145" t="str">
        <f>TEST_DATA!D6145</f>
        <v>NIL</v>
      </c>
      <c r="E6145">
        <f>TEST_DATA!E6145</f>
        <v>1152</v>
      </c>
    </row>
    <row r="6146" spans="1:5" x14ac:dyDescent="0.55000000000000004">
      <c r="A6146" t="str">
        <f>TEST_DATA!A6146</f>
        <v>27AAAAA6146Z5</v>
      </c>
      <c r="B6146" t="str">
        <f>TEST_DATA!B6146</f>
        <v>Jan-2021</v>
      </c>
      <c r="C6146">
        <f>TEST_DATA!C6146</f>
        <v>45455</v>
      </c>
      <c r="D6146" t="str">
        <f>TEST_DATA!D6146</f>
        <v>NIL</v>
      </c>
      <c r="E6146">
        <f>TEST_DATA!E6146</f>
        <v>368</v>
      </c>
    </row>
    <row r="6147" spans="1:5" x14ac:dyDescent="0.55000000000000004">
      <c r="A6147" t="str">
        <f>TEST_DATA!A6147</f>
        <v>27AAAAA6147Z5</v>
      </c>
      <c r="B6147" t="str">
        <f>TEST_DATA!B6147</f>
        <v>Jan-2019</v>
      </c>
      <c r="C6147">
        <f>TEST_DATA!C6147</f>
        <v>45294</v>
      </c>
      <c r="D6147" t="str">
        <f>TEST_DATA!D6147</f>
        <v>NIL</v>
      </c>
      <c r="E6147">
        <f>TEST_DATA!E6147</f>
        <v>1664</v>
      </c>
    </row>
    <row r="6148" spans="1:5" x14ac:dyDescent="0.55000000000000004">
      <c r="A6148" t="str">
        <f>TEST_DATA!A6148</f>
        <v>27AAAAA6148Z5</v>
      </c>
      <c r="B6148" t="str">
        <f>TEST_DATA!B6148</f>
        <v>Mar-2020</v>
      </c>
      <c r="C6148">
        <f>TEST_DATA!C6148</f>
        <v>44399</v>
      </c>
      <c r="D6148" t="str">
        <f>TEST_DATA!D6148</f>
        <v>NIL</v>
      </c>
      <c r="E6148">
        <f>TEST_DATA!E6148</f>
        <v>2669</v>
      </c>
    </row>
    <row r="6149" spans="1:5" x14ac:dyDescent="0.55000000000000004">
      <c r="A6149" t="str">
        <f>TEST_DATA!A6149</f>
        <v>27AAAAA6149Z5</v>
      </c>
      <c r="B6149" t="str">
        <f>TEST_DATA!B6149</f>
        <v>Dec-2017</v>
      </c>
      <c r="C6149">
        <f>TEST_DATA!C6149</f>
        <v>43969</v>
      </c>
      <c r="D6149" t="str">
        <f>TEST_DATA!D6149</f>
        <v>NIL</v>
      </c>
      <c r="E6149">
        <f>TEST_DATA!E6149</f>
        <v>454</v>
      </c>
    </row>
    <row r="6150" spans="1:5" x14ac:dyDescent="0.55000000000000004">
      <c r="A6150" t="str">
        <f>TEST_DATA!A6150</f>
        <v>27AAAAA6150Z5</v>
      </c>
      <c r="B6150" t="str">
        <f>TEST_DATA!B6150</f>
        <v>Jan-2021</v>
      </c>
      <c r="C6150">
        <f>TEST_DATA!C6150</f>
        <v>45716</v>
      </c>
      <c r="D6150" t="str">
        <f>TEST_DATA!D6150</f>
        <v>NIL</v>
      </c>
      <c r="E6150">
        <f>TEST_DATA!E6150</f>
        <v>233</v>
      </c>
    </row>
    <row r="6151" spans="1:5" x14ac:dyDescent="0.55000000000000004">
      <c r="A6151" t="str">
        <f>TEST_DATA!A6151</f>
        <v>27AAAAA6151Z5</v>
      </c>
      <c r="B6151" t="str">
        <f>TEST_DATA!B6151</f>
        <v>Feb-2018</v>
      </c>
      <c r="C6151">
        <f>TEST_DATA!C6151</f>
        <v>43801</v>
      </c>
      <c r="D6151" t="str">
        <f>TEST_DATA!D6151</f>
        <v>NON-NIL</v>
      </c>
      <c r="E6151">
        <f>TEST_DATA!E6151</f>
        <v>1678</v>
      </c>
    </row>
    <row r="6152" spans="1:5" x14ac:dyDescent="0.55000000000000004">
      <c r="A6152" t="str">
        <f>TEST_DATA!A6152</f>
        <v>27AAAAA6152Z5</v>
      </c>
      <c r="B6152" t="str">
        <f>TEST_DATA!B6152</f>
        <v>Jul-2017</v>
      </c>
      <c r="C6152">
        <f>TEST_DATA!C6152</f>
        <v>44427</v>
      </c>
      <c r="D6152" t="str">
        <f>TEST_DATA!D6152</f>
        <v>NIL</v>
      </c>
      <c r="E6152">
        <f>TEST_DATA!E6152</f>
        <v>2892</v>
      </c>
    </row>
    <row r="6153" spans="1:5" x14ac:dyDescent="0.55000000000000004">
      <c r="A6153" t="str">
        <f>TEST_DATA!A6153</f>
        <v>27AAAAA6153Z5</v>
      </c>
      <c r="B6153" t="str">
        <f>TEST_DATA!B6153</f>
        <v>Jul-2017</v>
      </c>
      <c r="C6153">
        <f>TEST_DATA!C6153</f>
        <v>43044</v>
      </c>
      <c r="D6153" t="str">
        <f>TEST_DATA!D6153</f>
        <v>NIL</v>
      </c>
      <c r="E6153">
        <f>TEST_DATA!E6153</f>
        <v>1424</v>
      </c>
    </row>
    <row r="6154" spans="1:5" x14ac:dyDescent="0.55000000000000004">
      <c r="A6154" t="str">
        <f>TEST_DATA!A6154</f>
        <v>27AAAAA6154Z5</v>
      </c>
      <c r="B6154" t="str">
        <f>TEST_DATA!B6154</f>
        <v>Jan-2018</v>
      </c>
      <c r="C6154">
        <f>TEST_DATA!C6154</f>
        <v>44448</v>
      </c>
      <c r="D6154" t="str">
        <f>TEST_DATA!D6154</f>
        <v>NIL</v>
      </c>
      <c r="E6154">
        <f>TEST_DATA!E6154</f>
        <v>2208</v>
      </c>
    </row>
    <row r="6155" spans="1:5" x14ac:dyDescent="0.55000000000000004">
      <c r="A6155" t="str">
        <f>TEST_DATA!A6155</f>
        <v>27AAAAA6155Z5</v>
      </c>
      <c r="B6155" t="str">
        <f>TEST_DATA!B6155</f>
        <v>May-2018</v>
      </c>
      <c r="C6155">
        <f>TEST_DATA!C6155</f>
        <v>43313</v>
      </c>
      <c r="D6155" t="str">
        <f>TEST_DATA!D6155</f>
        <v>NON-NIL</v>
      </c>
      <c r="E6155">
        <f>TEST_DATA!E6155</f>
        <v>772</v>
      </c>
    </row>
    <row r="6156" spans="1:5" x14ac:dyDescent="0.55000000000000004">
      <c r="A6156" t="str">
        <f>TEST_DATA!A6156</f>
        <v>27AAAAA6156Z5</v>
      </c>
      <c r="B6156" t="str">
        <f>TEST_DATA!B6156</f>
        <v>Mar-2023</v>
      </c>
      <c r="C6156">
        <f>TEST_DATA!C6156</f>
        <v>43860</v>
      </c>
      <c r="D6156" t="str">
        <f>TEST_DATA!D6156</f>
        <v>NIL</v>
      </c>
      <c r="E6156">
        <f>TEST_DATA!E6156</f>
        <v>1317</v>
      </c>
    </row>
    <row r="6157" spans="1:5" x14ac:dyDescent="0.55000000000000004">
      <c r="A6157" t="str">
        <f>TEST_DATA!A6157</f>
        <v>27AAAAA6157Z5</v>
      </c>
      <c r="B6157" t="str">
        <f>TEST_DATA!B6157</f>
        <v>May-2020</v>
      </c>
      <c r="C6157">
        <f>TEST_DATA!C6157</f>
        <v>43926</v>
      </c>
      <c r="D6157" t="str">
        <f>TEST_DATA!D6157</f>
        <v>NON-NIL</v>
      </c>
      <c r="E6157">
        <f>TEST_DATA!E6157</f>
        <v>735</v>
      </c>
    </row>
    <row r="6158" spans="1:5" x14ac:dyDescent="0.55000000000000004">
      <c r="A6158" t="str">
        <f>TEST_DATA!A6158</f>
        <v>27AAAAA6158Z5</v>
      </c>
      <c r="B6158" t="str">
        <f>TEST_DATA!B6158</f>
        <v>Mar-2018</v>
      </c>
      <c r="C6158">
        <f>TEST_DATA!C6158</f>
        <v>43417</v>
      </c>
      <c r="D6158" t="str">
        <f>TEST_DATA!D6158</f>
        <v>NIL</v>
      </c>
      <c r="E6158">
        <f>TEST_DATA!E6158</f>
        <v>2252</v>
      </c>
    </row>
    <row r="6159" spans="1:5" x14ac:dyDescent="0.55000000000000004">
      <c r="A6159" t="str">
        <f>TEST_DATA!A6159</f>
        <v>27AAAAA6159Z5</v>
      </c>
      <c r="B6159" t="str">
        <f>TEST_DATA!B6159</f>
        <v>Jul-2020</v>
      </c>
      <c r="C6159">
        <f>TEST_DATA!C6159</f>
        <v>43834</v>
      </c>
      <c r="D6159" t="str">
        <f>TEST_DATA!D6159</f>
        <v>NON-NIL</v>
      </c>
      <c r="E6159">
        <f>TEST_DATA!E6159</f>
        <v>2265</v>
      </c>
    </row>
    <row r="6160" spans="1:5" x14ac:dyDescent="0.55000000000000004">
      <c r="A6160" t="str">
        <f>TEST_DATA!A6160</f>
        <v>27AAAAA6160Z5</v>
      </c>
      <c r="B6160" t="str">
        <f>TEST_DATA!B6160</f>
        <v>Jul-2020</v>
      </c>
      <c r="C6160">
        <f>TEST_DATA!C6160</f>
        <v>44162</v>
      </c>
      <c r="D6160" t="str">
        <f>TEST_DATA!D6160</f>
        <v>NON-NIL</v>
      </c>
      <c r="E6160">
        <f>TEST_DATA!E6160</f>
        <v>2522</v>
      </c>
    </row>
    <row r="6161" spans="1:5" x14ac:dyDescent="0.55000000000000004">
      <c r="A6161" t="str">
        <f>TEST_DATA!A6161</f>
        <v>27AAAAA6161Z5</v>
      </c>
      <c r="B6161" t="str">
        <f>TEST_DATA!B6161</f>
        <v>Dec-2017</v>
      </c>
      <c r="C6161">
        <f>TEST_DATA!C6161</f>
        <v>44268</v>
      </c>
      <c r="D6161" t="str">
        <f>TEST_DATA!D6161</f>
        <v>NIL</v>
      </c>
      <c r="E6161">
        <f>TEST_DATA!E6161</f>
        <v>244</v>
      </c>
    </row>
    <row r="6162" spans="1:5" x14ac:dyDescent="0.55000000000000004">
      <c r="A6162" t="str">
        <f>TEST_DATA!A6162</f>
        <v>27AAAAA6162Z5</v>
      </c>
      <c r="B6162" t="str">
        <f>TEST_DATA!B6162</f>
        <v>Sep-2018</v>
      </c>
      <c r="C6162">
        <f>TEST_DATA!C6162</f>
        <v>43732</v>
      </c>
      <c r="D6162" t="str">
        <f>TEST_DATA!D6162</f>
        <v>NON-NIL</v>
      </c>
      <c r="E6162">
        <f>TEST_DATA!E6162</f>
        <v>671</v>
      </c>
    </row>
    <row r="6163" spans="1:5" x14ac:dyDescent="0.55000000000000004">
      <c r="A6163" t="str">
        <f>TEST_DATA!A6163</f>
        <v>27AAAAA6163Z5</v>
      </c>
      <c r="B6163" t="str">
        <f>TEST_DATA!B6163</f>
        <v>Dec-2022</v>
      </c>
      <c r="C6163">
        <f>TEST_DATA!C6163</f>
        <v>45339</v>
      </c>
      <c r="D6163" t="str">
        <f>TEST_DATA!D6163</f>
        <v>NON-NIL</v>
      </c>
      <c r="E6163">
        <f>TEST_DATA!E6163</f>
        <v>999</v>
      </c>
    </row>
    <row r="6164" spans="1:5" x14ac:dyDescent="0.55000000000000004">
      <c r="A6164" t="str">
        <f>TEST_DATA!A6164</f>
        <v>27AAAAA6164Z5</v>
      </c>
      <c r="B6164" t="str">
        <f>TEST_DATA!B6164</f>
        <v>Mar-2023</v>
      </c>
      <c r="C6164">
        <f>TEST_DATA!C6164</f>
        <v>44396</v>
      </c>
      <c r="D6164" t="str">
        <f>TEST_DATA!D6164</f>
        <v>NIL</v>
      </c>
      <c r="E6164">
        <f>TEST_DATA!E6164</f>
        <v>2276</v>
      </c>
    </row>
    <row r="6165" spans="1:5" x14ac:dyDescent="0.55000000000000004">
      <c r="A6165" t="str">
        <f>TEST_DATA!A6165</f>
        <v>27AAAAA6165Z5</v>
      </c>
      <c r="B6165" t="str">
        <f>TEST_DATA!B6165</f>
        <v>Dec-2024</v>
      </c>
      <c r="C6165">
        <f>TEST_DATA!C6165</f>
        <v>44313</v>
      </c>
      <c r="D6165" t="str">
        <f>TEST_DATA!D6165</f>
        <v>NON-NIL</v>
      </c>
      <c r="E6165">
        <f>TEST_DATA!E6165</f>
        <v>2757</v>
      </c>
    </row>
    <row r="6166" spans="1:5" x14ac:dyDescent="0.55000000000000004">
      <c r="A6166" t="str">
        <f>TEST_DATA!A6166</f>
        <v>27AAAAA6166Z5</v>
      </c>
      <c r="B6166" t="str">
        <f>TEST_DATA!B6166</f>
        <v>Apr-2021</v>
      </c>
      <c r="C6166">
        <f>TEST_DATA!C6166</f>
        <v>44300</v>
      </c>
      <c r="D6166" t="str">
        <f>TEST_DATA!D6166</f>
        <v>NIL</v>
      </c>
      <c r="E6166">
        <f>TEST_DATA!E6166</f>
        <v>1981</v>
      </c>
    </row>
    <row r="6167" spans="1:5" x14ac:dyDescent="0.55000000000000004">
      <c r="A6167" t="str">
        <f>TEST_DATA!A6167</f>
        <v>27AAAAA6167Z5</v>
      </c>
      <c r="B6167" t="str">
        <f>TEST_DATA!B6167</f>
        <v>Aug-2018</v>
      </c>
      <c r="C6167">
        <f>TEST_DATA!C6167</f>
        <v>44446</v>
      </c>
      <c r="D6167" t="str">
        <f>TEST_DATA!D6167</f>
        <v>NIL</v>
      </c>
      <c r="E6167">
        <f>TEST_DATA!E6167</f>
        <v>2071</v>
      </c>
    </row>
    <row r="6168" spans="1:5" x14ac:dyDescent="0.55000000000000004">
      <c r="A6168" t="str">
        <f>TEST_DATA!A6168</f>
        <v>27AAAAA6168Z5</v>
      </c>
      <c r="B6168" t="str">
        <f>TEST_DATA!B6168</f>
        <v>May-2018</v>
      </c>
      <c r="C6168">
        <f>TEST_DATA!C6168</f>
        <v>44217</v>
      </c>
      <c r="D6168" t="str">
        <f>TEST_DATA!D6168</f>
        <v>NIL</v>
      </c>
      <c r="E6168">
        <f>TEST_DATA!E6168</f>
        <v>2585</v>
      </c>
    </row>
    <row r="6169" spans="1:5" x14ac:dyDescent="0.55000000000000004">
      <c r="A6169" t="str">
        <f>TEST_DATA!A6169</f>
        <v>27AAAAA6169Z5</v>
      </c>
      <c r="B6169" t="str">
        <f>TEST_DATA!B6169</f>
        <v>Dec-2019</v>
      </c>
      <c r="C6169">
        <f>TEST_DATA!C6169</f>
        <v>45114</v>
      </c>
      <c r="D6169" t="str">
        <f>TEST_DATA!D6169</f>
        <v>NIL</v>
      </c>
      <c r="E6169">
        <f>TEST_DATA!E6169</f>
        <v>1628</v>
      </c>
    </row>
    <row r="6170" spans="1:5" x14ac:dyDescent="0.55000000000000004">
      <c r="A6170" t="str">
        <f>TEST_DATA!A6170</f>
        <v>27AAAAA6170Z5</v>
      </c>
      <c r="B6170" t="str">
        <f>TEST_DATA!B6170</f>
        <v>Sep-2018</v>
      </c>
      <c r="C6170">
        <f>TEST_DATA!C6170</f>
        <v>43131</v>
      </c>
      <c r="D6170" t="str">
        <f>TEST_DATA!D6170</f>
        <v>NIL</v>
      </c>
      <c r="E6170">
        <f>TEST_DATA!E6170</f>
        <v>1777</v>
      </c>
    </row>
    <row r="6171" spans="1:5" x14ac:dyDescent="0.55000000000000004">
      <c r="A6171" t="str">
        <f>TEST_DATA!A6171</f>
        <v>27AAAAA6171Z5</v>
      </c>
      <c r="B6171" t="str">
        <f>TEST_DATA!B6171</f>
        <v>Dec-2019</v>
      </c>
      <c r="C6171">
        <f>TEST_DATA!C6171</f>
        <v>44714</v>
      </c>
      <c r="D6171" t="str">
        <f>TEST_DATA!D6171</f>
        <v>NIL</v>
      </c>
      <c r="E6171">
        <f>TEST_DATA!E6171</f>
        <v>3</v>
      </c>
    </row>
    <row r="6172" spans="1:5" x14ac:dyDescent="0.55000000000000004">
      <c r="A6172" t="str">
        <f>TEST_DATA!A6172</f>
        <v>27AAAAA6172Z5</v>
      </c>
      <c r="B6172" t="str">
        <f>TEST_DATA!B6172</f>
        <v>Sep-2017</v>
      </c>
      <c r="C6172">
        <f>TEST_DATA!C6172</f>
        <v>43305</v>
      </c>
      <c r="D6172" t="str">
        <f>TEST_DATA!D6172</f>
        <v>NIL</v>
      </c>
      <c r="E6172">
        <f>TEST_DATA!E6172</f>
        <v>2719</v>
      </c>
    </row>
    <row r="6173" spans="1:5" x14ac:dyDescent="0.55000000000000004">
      <c r="A6173" t="str">
        <f>TEST_DATA!A6173</f>
        <v>27AAAAA6173Z5</v>
      </c>
      <c r="B6173" t="str">
        <f>TEST_DATA!B6173</f>
        <v>Jun-2019</v>
      </c>
      <c r="C6173">
        <f>TEST_DATA!C6173</f>
        <v>44108</v>
      </c>
      <c r="D6173" t="str">
        <f>TEST_DATA!D6173</f>
        <v>NIL</v>
      </c>
      <c r="E6173">
        <f>TEST_DATA!E6173</f>
        <v>924</v>
      </c>
    </row>
    <row r="6174" spans="1:5" x14ac:dyDescent="0.55000000000000004">
      <c r="A6174" t="str">
        <f>TEST_DATA!A6174</f>
        <v>27AAAAA6174Z5</v>
      </c>
      <c r="B6174" t="str">
        <f>TEST_DATA!B6174</f>
        <v>Jul-2020</v>
      </c>
      <c r="C6174">
        <f>TEST_DATA!C6174</f>
        <v>44143</v>
      </c>
      <c r="D6174" t="str">
        <f>TEST_DATA!D6174</f>
        <v>NIL</v>
      </c>
      <c r="E6174">
        <f>TEST_DATA!E6174</f>
        <v>2756</v>
      </c>
    </row>
    <row r="6175" spans="1:5" x14ac:dyDescent="0.55000000000000004">
      <c r="A6175" t="str">
        <f>TEST_DATA!A6175</f>
        <v>27AAAAA6175Z5</v>
      </c>
      <c r="B6175" t="str">
        <f>TEST_DATA!B6175</f>
        <v>Dec-2019</v>
      </c>
      <c r="C6175">
        <f>TEST_DATA!C6175</f>
        <v>45547</v>
      </c>
      <c r="D6175" t="str">
        <f>TEST_DATA!D6175</f>
        <v>NIL</v>
      </c>
      <c r="E6175">
        <f>TEST_DATA!E6175</f>
        <v>1430</v>
      </c>
    </row>
    <row r="6176" spans="1:5" x14ac:dyDescent="0.55000000000000004">
      <c r="A6176" t="str">
        <f>TEST_DATA!A6176</f>
        <v>27AAAAA6176Z5</v>
      </c>
      <c r="B6176" t="str">
        <f>TEST_DATA!B6176</f>
        <v>Dec-2024</v>
      </c>
      <c r="C6176">
        <f>TEST_DATA!C6176</f>
        <v>44231</v>
      </c>
      <c r="D6176" t="str">
        <f>TEST_DATA!D6176</f>
        <v>NON-NIL</v>
      </c>
      <c r="E6176">
        <f>TEST_DATA!E6176</f>
        <v>2457</v>
      </c>
    </row>
    <row r="6177" spans="1:5" x14ac:dyDescent="0.55000000000000004">
      <c r="A6177" t="str">
        <f>TEST_DATA!A6177</f>
        <v>27AAAAA6177Z5</v>
      </c>
      <c r="B6177" t="str">
        <f>TEST_DATA!B6177</f>
        <v>Jan-2021</v>
      </c>
      <c r="C6177">
        <f>TEST_DATA!C6177</f>
        <v>43725</v>
      </c>
      <c r="D6177" t="str">
        <f>TEST_DATA!D6177</f>
        <v>NON-NIL</v>
      </c>
      <c r="E6177">
        <f>TEST_DATA!E6177</f>
        <v>1332</v>
      </c>
    </row>
    <row r="6178" spans="1:5" x14ac:dyDescent="0.55000000000000004">
      <c r="A6178" t="str">
        <f>TEST_DATA!A6178</f>
        <v>27AAAAA6178Z5</v>
      </c>
      <c r="B6178" t="str">
        <f>TEST_DATA!B6178</f>
        <v>Jul-2020</v>
      </c>
      <c r="C6178">
        <f>TEST_DATA!C6178</f>
        <v>43871</v>
      </c>
      <c r="D6178" t="str">
        <f>TEST_DATA!D6178</f>
        <v>NON-NIL</v>
      </c>
      <c r="E6178">
        <f>TEST_DATA!E6178</f>
        <v>1975</v>
      </c>
    </row>
    <row r="6179" spans="1:5" x14ac:dyDescent="0.55000000000000004">
      <c r="A6179" t="str">
        <f>TEST_DATA!A6179</f>
        <v>27AAAAA6179Z5</v>
      </c>
      <c r="B6179" t="str">
        <f>TEST_DATA!B6179</f>
        <v>Jan-2019</v>
      </c>
      <c r="C6179">
        <f>TEST_DATA!C6179</f>
        <v>45045</v>
      </c>
      <c r="D6179" t="str">
        <f>TEST_DATA!D6179</f>
        <v>NIL</v>
      </c>
      <c r="E6179">
        <f>TEST_DATA!E6179</f>
        <v>2665</v>
      </c>
    </row>
    <row r="6180" spans="1:5" x14ac:dyDescent="0.55000000000000004">
      <c r="A6180" t="str">
        <f>TEST_DATA!A6180</f>
        <v>27AAAAA6180Z5</v>
      </c>
      <c r="B6180" t="str">
        <f>TEST_DATA!B6180</f>
        <v>Aug-2017</v>
      </c>
      <c r="C6180">
        <f>TEST_DATA!C6180</f>
        <v>43782</v>
      </c>
      <c r="D6180" t="str">
        <f>TEST_DATA!D6180</f>
        <v>NON-NIL</v>
      </c>
      <c r="E6180">
        <f>TEST_DATA!E6180</f>
        <v>2383</v>
      </c>
    </row>
    <row r="6181" spans="1:5" x14ac:dyDescent="0.55000000000000004">
      <c r="A6181" t="str">
        <f>TEST_DATA!A6181</f>
        <v>27AAAAA6181Z5</v>
      </c>
      <c r="B6181" t="str">
        <f>TEST_DATA!B6181</f>
        <v>Dec-2017</v>
      </c>
      <c r="C6181">
        <f>TEST_DATA!C6181</f>
        <v>42929</v>
      </c>
      <c r="D6181" t="str">
        <f>TEST_DATA!D6181</f>
        <v>NIL</v>
      </c>
      <c r="E6181">
        <f>TEST_DATA!E6181</f>
        <v>2679</v>
      </c>
    </row>
    <row r="6182" spans="1:5" x14ac:dyDescent="0.55000000000000004">
      <c r="A6182" t="str">
        <f>TEST_DATA!A6182</f>
        <v>27AAAAA6182Z5</v>
      </c>
      <c r="B6182" t="str">
        <f>TEST_DATA!B6182</f>
        <v>Dec-2022</v>
      </c>
      <c r="C6182">
        <f>TEST_DATA!C6182</f>
        <v>44557</v>
      </c>
      <c r="D6182" t="str">
        <f>TEST_DATA!D6182</f>
        <v>NIL</v>
      </c>
      <c r="E6182">
        <f>TEST_DATA!E6182</f>
        <v>307</v>
      </c>
    </row>
    <row r="6183" spans="1:5" x14ac:dyDescent="0.55000000000000004">
      <c r="A6183" t="str">
        <f>TEST_DATA!A6183</f>
        <v>27AAAAA6183Z5</v>
      </c>
      <c r="B6183" t="str">
        <f>TEST_DATA!B6183</f>
        <v>Apr-2020</v>
      </c>
      <c r="C6183">
        <f>TEST_DATA!C6183</f>
        <v>44091</v>
      </c>
      <c r="D6183" t="str">
        <f>TEST_DATA!D6183</f>
        <v>NON-NIL</v>
      </c>
      <c r="E6183">
        <f>TEST_DATA!E6183</f>
        <v>2485</v>
      </c>
    </row>
    <row r="6184" spans="1:5" x14ac:dyDescent="0.55000000000000004">
      <c r="A6184" t="str">
        <f>TEST_DATA!A6184</f>
        <v>27AAAAA6184Z5</v>
      </c>
      <c r="B6184" t="str">
        <f>TEST_DATA!B6184</f>
        <v>Sep-2018</v>
      </c>
      <c r="C6184">
        <f>TEST_DATA!C6184</f>
        <v>43756</v>
      </c>
      <c r="D6184" t="str">
        <f>TEST_DATA!D6184</f>
        <v>NIL</v>
      </c>
      <c r="E6184">
        <f>TEST_DATA!E6184</f>
        <v>1886</v>
      </c>
    </row>
    <row r="6185" spans="1:5" x14ac:dyDescent="0.55000000000000004">
      <c r="A6185" t="str">
        <f>TEST_DATA!A6185</f>
        <v>27AAAAA6185Z5</v>
      </c>
      <c r="B6185" t="str">
        <f>TEST_DATA!B6185</f>
        <v>Jun-2019</v>
      </c>
      <c r="C6185">
        <f>TEST_DATA!C6185</f>
        <v>43919</v>
      </c>
      <c r="D6185" t="str">
        <f>TEST_DATA!D6185</f>
        <v>NON-NIL</v>
      </c>
      <c r="E6185">
        <f>TEST_DATA!E6185</f>
        <v>2430</v>
      </c>
    </row>
    <row r="6186" spans="1:5" x14ac:dyDescent="0.55000000000000004">
      <c r="A6186" t="str">
        <f>TEST_DATA!A6186</f>
        <v>27AAAAA6186Z5</v>
      </c>
      <c r="B6186" t="str">
        <f>TEST_DATA!B6186</f>
        <v>Aug-2018</v>
      </c>
      <c r="C6186">
        <f>TEST_DATA!C6186</f>
        <v>44103</v>
      </c>
      <c r="D6186" t="str">
        <f>TEST_DATA!D6186</f>
        <v>NIL</v>
      </c>
      <c r="E6186">
        <f>TEST_DATA!E6186</f>
        <v>2216</v>
      </c>
    </row>
    <row r="6187" spans="1:5" x14ac:dyDescent="0.55000000000000004">
      <c r="A6187" t="str">
        <f>TEST_DATA!A6187</f>
        <v>27AAAAA6187Z5</v>
      </c>
      <c r="B6187" t="str">
        <f>TEST_DATA!B6187</f>
        <v>Jul-2020</v>
      </c>
      <c r="C6187">
        <f>TEST_DATA!C6187</f>
        <v>44443</v>
      </c>
      <c r="D6187" t="str">
        <f>TEST_DATA!D6187</f>
        <v>NON-NIL</v>
      </c>
      <c r="E6187">
        <f>TEST_DATA!E6187</f>
        <v>2706</v>
      </c>
    </row>
    <row r="6188" spans="1:5" x14ac:dyDescent="0.55000000000000004">
      <c r="A6188" t="str">
        <f>TEST_DATA!A6188</f>
        <v>27AAAAA6188Z5</v>
      </c>
      <c r="B6188" t="str">
        <f>TEST_DATA!B6188</f>
        <v>Jan-2019</v>
      </c>
      <c r="C6188">
        <f>TEST_DATA!C6188</f>
        <v>44195</v>
      </c>
      <c r="D6188" t="str">
        <f>TEST_DATA!D6188</f>
        <v>NIL</v>
      </c>
      <c r="E6188">
        <f>TEST_DATA!E6188</f>
        <v>2933</v>
      </c>
    </row>
    <row r="6189" spans="1:5" x14ac:dyDescent="0.55000000000000004">
      <c r="A6189" t="str">
        <f>TEST_DATA!A6189</f>
        <v>27AAAAA6189Z5</v>
      </c>
      <c r="B6189" t="str">
        <f>TEST_DATA!B6189</f>
        <v>Dec-2022</v>
      </c>
      <c r="C6189">
        <f>TEST_DATA!C6189</f>
        <v>44083</v>
      </c>
      <c r="D6189" t="str">
        <f>TEST_DATA!D6189</f>
        <v>NON-NIL</v>
      </c>
      <c r="E6189">
        <f>TEST_DATA!E6189</f>
        <v>1543</v>
      </c>
    </row>
    <row r="6190" spans="1:5" x14ac:dyDescent="0.55000000000000004">
      <c r="A6190" t="str">
        <f>TEST_DATA!A6190</f>
        <v>27AAAAA6190Z5</v>
      </c>
      <c r="B6190" t="str">
        <f>TEST_DATA!B6190</f>
        <v>Jun-2018</v>
      </c>
      <c r="C6190">
        <f>TEST_DATA!C6190</f>
        <v>44342</v>
      </c>
      <c r="D6190" t="str">
        <f>TEST_DATA!D6190</f>
        <v>NON-NIL</v>
      </c>
      <c r="E6190">
        <f>TEST_DATA!E6190</f>
        <v>2186</v>
      </c>
    </row>
    <row r="6191" spans="1:5" x14ac:dyDescent="0.55000000000000004">
      <c r="A6191" t="str">
        <f>TEST_DATA!A6191</f>
        <v>27AAAAA6191Z5</v>
      </c>
      <c r="B6191" t="str">
        <f>TEST_DATA!B6191</f>
        <v>Jul-2018</v>
      </c>
      <c r="C6191">
        <f>TEST_DATA!C6191</f>
        <v>44481</v>
      </c>
      <c r="D6191" t="str">
        <f>TEST_DATA!D6191</f>
        <v>NIL</v>
      </c>
      <c r="E6191">
        <f>TEST_DATA!E6191</f>
        <v>2505</v>
      </c>
    </row>
    <row r="6192" spans="1:5" x14ac:dyDescent="0.55000000000000004">
      <c r="A6192" t="str">
        <f>TEST_DATA!A6192</f>
        <v>27AAAAA6192Z5</v>
      </c>
      <c r="B6192" t="str">
        <f>TEST_DATA!B6192</f>
        <v>Mar-2023</v>
      </c>
      <c r="C6192">
        <f>TEST_DATA!C6192</f>
        <v>44915</v>
      </c>
      <c r="D6192" t="str">
        <f>TEST_DATA!D6192</f>
        <v>NIL</v>
      </c>
      <c r="E6192">
        <f>TEST_DATA!E6192</f>
        <v>566</v>
      </c>
    </row>
    <row r="6193" spans="1:5" x14ac:dyDescent="0.55000000000000004">
      <c r="A6193" t="str">
        <f>TEST_DATA!A6193</f>
        <v>27AAAAA6193Z5</v>
      </c>
      <c r="B6193" t="str">
        <f>TEST_DATA!B6193</f>
        <v>May-2018</v>
      </c>
      <c r="C6193">
        <f>TEST_DATA!C6193</f>
        <v>43834</v>
      </c>
      <c r="D6193" t="str">
        <f>TEST_DATA!D6193</f>
        <v>NIL</v>
      </c>
      <c r="E6193">
        <f>TEST_DATA!E6193</f>
        <v>1261</v>
      </c>
    </row>
    <row r="6194" spans="1:5" x14ac:dyDescent="0.55000000000000004">
      <c r="A6194" t="str">
        <f>TEST_DATA!A6194</f>
        <v>27AAAAA6194Z5</v>
      </c>
      <c r="B6194" t="str">
        <f>TEST_DATA!B6194</f>
        <v>Apr-2020</v>
      </c>
      <c r="C6194">
        <f>TEST_DATA!C6194</f>
        <v>44869</v>
      </c>
      <c r="D6194" t="str">
        <f>TEST_DATA!D6194</f>
        <v>NIL</v>
      </c>
      <c r="E6194">
        <f>TEST_DATA!E6194</f>
        <v>1406</v>
      </c>
    </row>
    <row r="6195" spans="1:5" x14ac:dyDescent="0.55000000000000004">
      <c r="A6195" t="str">
        <f>TEST_DATA!A6195</f>
        <v>27AAAAA6195Z5</v>
      </c>
      <c r="B6195" t="str">
        <f>TEST_DATA!B6195</f>
        <v>May-2018</v>
      </c>
      <c r="C6195">
        <f>TEST_DATA!C6195</f>
        <v>43374</v>
      </c>
      <c r="D6195" t="str">
        <f>TEST_DATA!D6195</f>
        <v>NON-NIL</v>
      </c>
      <c r="E6195">
        <f>TEST_DATA!E6195</f>
        <v>2749</v>
      </c>
    </row>
    <row r="6196" spans="1:5" x14ac:dyDescent="0.55000000000000004">
      <c r="A6196" t="str">
        <f>TEST_DATA!A6196</f>
        <v>27AAAAA6196Z5</v>
      </c>
      <c r="B6196" t="str">
        <f>TEST_DATA!B6196</f>
        <v>Aug-2018</v>
      </c>
      <c r="C6196">
        <f>TEST_DATA!C6196</f>
        <v>44203</v>
      </c>
      <c r="D6196" t="str">
        <f>TEST_DATA!D6196</f>
        <v>NIL</v>
      </c>
      <c r="E6196">
        <f>TEST_DATA!E6196</f>
        <v>1820</v>
      </c>
    </row>
    <row r="6197" spans="1:5" x14ac:dyDescent="0.55000000000000004">
      <c r="A6197" t="str">
        <f>TEST_DATA!A6197</f>
        <v>27AAAAA6197Z5</v>
      </c>
      <c r="B6197" t="str">
        <f>TEST_DATA!B6197</f>
        <v>Jan-2021</v>
      </c>
      <c r="C6197">
        <f>TEST_DATA!C6197</f>
        <v>44686</v>
      </c>
      <c r="D6197" t="str">
        <f>TEST_DATA!D6197</f>
        <v>NIL</v>
      </c>
      <c r="E6197">
        <f>TEST_DATA!E6197</f>
        <v>2372</v>
      </c>
    </row>
    <row r="6198" spans="1:5" x14ac:dyDescent="0.55000000000000004">
      <c r="A6198" t="str">
        <f>TEST_DATA!A6198</f>
        <v>27AAAAA6198Z5</v>
      </c>
      <c r="B6198" t="str">
        <f>TEST_DATA!B6198</f>
        <v>Mar-2023</v>
      </c>
      <c r="C6198">
        <f>TEST_DATA!C6198</f>
        <v>43558</v>
      </c>
      <c r="D6198" t="str">
        <f>TEST_DATA!D6198</f>
        <v>NON-NIL</v>
      </c>
      <c r="E6198">
        <f>TEST_DATA!E6198</f>
        <v>1098</v>
      </c>
    </row>
    <row r="6199" spans="1:5" x14ac:dyDescent="0.55000000000000004">
      <c r="A6199" t="str">
        <f>TEST_DATA!A6199</f>
        <v>27AAAAA6199Z5</v>
      </c>
      <c r="B6199" t="str">
        <f>TEST_DATA!B6199</f>
        <v>May-2020</v>
      </c>
      <c r="C6199">
        <f>TEST_DATA!C6199</f>
        <v>44804</v>
      </c>
      <c r="D6199" t="str">
        <f>TEST_DATA!D6199</f>
        <v>NIL</v>
      </c>
      <c r="E6199">
        <f>TEST_DATA!E6199</f>
        <v>2528</v>
      </c>
    </row>
    <row r="6200" spans="1:5" x14ac:dyDescent="0.55000000000000004">
      <c r="A6200" t="str">
        <f>TEST_DATA!A6200</f>
        <v>27AAAAA6200Z5</v>
      </c>
      <c r="B6200" t="str">
        <f>TEST_DATA!B6200</f>
        <v>Aug-2018</v>
      </c>
      <c r="C6200">
        <f>TEST_DATA!C6200</f>
        <v>43783</v>
      </c>
      <c r="D6200" t="str">
        <f>TEST_DATA!D6200</f>
        <v>NON-NIL</v>
      </c>
      <c r="E6200">
        <f>TEST_DATA!E6200</f>
        <v>257</v>
      </c>
    </row>
    <row r="6201" spans="1:5" x14ac:dyDescent="0.55000000000000004">
      <c r="A6201" t="str">
        <f>TEST_DATA!A6201</f>
        <v>27AAAAA6201Z5</v>
      </c>
      <c r="B6201" t="str">
        <f>TEST_DATA!B6201</f>
        <v>Mar-2021</v>
      </c>
      <c r="C6201">
        <f>TEST_DATA!C6201</f>
        <v>45259</v>
      </c>
      <c r="D6201" t="str">
        <f>TEST_DATA!D6201</f>
        <v>NON-NIL</v>
      </c>
      <c r="E6201">
        <f>TEST_DATA!E6201</f>
        <v>1984</v>
      </c>
    </row>
    <row r="6202" spans="1:5" x14ac:dyDescent="0.55000000000000004">
      <c r="A6202" t="str">
        <f>TEST_DATA!A6202</f>
        <v>27AAAAA6202Z5</v>
      </c>
      <c r="B6202" t="str">
        <f>TEST_DATA!B6202</f>
        <v>Jul-2017</v>
      </c>
      <c r="C6202">
        <f>TEST_DATA!C6202</f>
        <v>44068</v>
      </c>
      <c r="D6202" t="str">
        <f>TEST_DATA!D6202</f>
        <v>NIL</v>
      </c>
      <c r="E6202">
        <f>TEST_DATA!E6202</f>
        <v>2266</v>
      </c>
    </row>
    <row r="6203" spans="1:5" x14ac:dyDescent="0.55000000000000004">
      <c r="A6203" t="str">
        <f>TEST_DATA!A6203</f>
        <v>27AAAAA6203Z5</v>
      </c>
      <c r="B6203" t="str">
        <f>TEST_DATA!B6203</f>
        <v>Apr-2021</v>
      </c>
      <c r="C6203">
        <f>TEST_DATA!C6203</f>
        <v>45339</v>
      </c>
      <c r="D6203" t="str">
        <f>TEST_DATA!D6203</f>
        <v>NON-NIL</v>
      </c>
      <c r="E6203">
        <f>TEST_DATA!E6203</f>
        <v>2809</v>
      </c>
    </row>
    <row r="6204" spans="1:5" x14ac:dyDescent="0.55000000000000004">
      <c r="A6204" t="str">
        <f>TEST_DATA!A6204</f>
        <v>27AAAAA6204Z5</v>
      </c>
      <c r="B6204" t="str">
        <f>TEST_DATA!B6204</f>
        <v>Jun-2020</v>
      </c>
      <c r="C6204">
        <f>TEST_DATA!C6204</f>
        <v>44850</v>
      </c>
      <c r="D6204" t="str">
        <f>TEST_DATA!D6204</f>
        <v>NON-NIL</v>
      </c>
      <c r="E6204">
        <f>TEST_DATA!E6204</f>
        <v>2290</v>
      </c>
    </row>
    <row r="6205" spans="1:5" x14ac:dyDescent="0.55000000000000004">
      <c r="A6205" t="str">
        <f>TEST_DATA!A6205</f>
        <v>27AAAAA6205Z5</v>
      </c>
      <c r="B6205" t="str">
        <f>TEST_DATA!B6205</f>
        <v>Jun-2018</v>
      </c>
      <c r="C6205">
        <f>TEST_DATA!C6205</f>
        <v>44321</v>
      </c>
      <c r="D6205" t="str">
        <f>TEST_DATA!D6205</f>
        <v>NON-NIL</v>
      </c>
      <c r="E6205">
        <f>TEST_DATA!E6205</f>
        <v>1661</v>
      </c>
    </row>
    <row r="6206" spans="1:5" x14ac:dyDescent="0.55000000000000004">
      <c r="A6206" t="str">
        <f>TEST_DATA!A6206</f>
        <v>27AAAAA6206Z5</v>
      </c>
      <c r="B6206" t="str">
        <f>TEST_DATA!B6206</f>
        <v>Mar-2018</v>
      </c>
      <c r="C6206">
        <f>TEST_DATA!C6206</f>
        <v>43071</v>
      </c>
      <c r="D6206" t="str">
        <f>TEST_DATA!D6206</f>
        <v>NIL</v>
      </c>
      <c r="E6206">
        <f>TEST_DATA!E6206</f>
        <v>2491</v>
      </c>
    </row>
    <row r="6207" spans="1:5" x14ac:dyDescent="0.55000000000000004">
      <c r="A6207" t="str">
        <f>TEST_DATA!A6207</f>
        <v>27AAAAA6207Z5</v>
      </c>
      <c r="B6207" t="str">
        <f>TEST_DATA!B6207</f>
        <v>Apr-2021</v>
      </c>
      <c r="C6207">
        <f>TEST_DATA!C6207</f>
        <v>45530</v>
      </c>
      <c r="D6207" t="str">
        <f>TEST_DATA!D6207</f>
        <v>NON-NIL</v>
      </c>
      <c r="E6207">
        <f>TEST_DATA!E6207</f>
        <v>460</v>
      </c>
    </row>
    <row r="6208" spans="1:5" x14ac:dyDescent="0.55000000000000004">
      <c r="A6208" t="str">
        <f>TEST_DATA!A6208</f>
        <v>27AAAAA6208Z5</v>
      </c>
      <c r="B6208" t="str">
        <f>TEST_DATA!B6208</f>
        <v>Aug-2018</v>
      </c>
      <c r="C6208">
        <f>TEST_DATA!C6208</f>
        <v>43863</v>
      </c>
      <c r="D6208" t="str">
        <f>TEST_DATA!D6208</f>
        <v>NIL</v>
      </c>
      <c r="E6208">
        <f>TEST_DATA!E6208</f>
        <v>1183</v>
      </c>
    </row>
    <row r="6209" spans="1:5" x14ac:dyDescent="0.55000000000000004">
      <c r="A6209" t="str">
        <f>TEST_DATA!A6209</f>
        <v>27AAAAA6209Z5</v>
      </c>
      <c r="B6209" t="str">
        <f>TEST_DATA!B6209</f>
        <v>Dec-2022</v>
      </c>
      <c r="C6209">
        <f>TEST_DATA!C6209</f>
        <v>45343</v>
      </c>
      <c r="D6209" t="str">
        <f>TEST_DATA!D6209</f>
        <v>NON-NIL</v>
      </c>
      <c r="E6209">
        <f>TEST_DATA!E6209</f>
        <v>844</v>
      </c>
    </row>
    <row r="6210" spans="1:5" x14ac:dyDescent="0.55000000000000004">
      <c r="A6210" t="str">
        <f>TEST_DATA!A6210</f>
        <v>27AAAAA6210Z5</v>
      </c>
      <c r="B6210" t="str">
        <f>TEST_DATA!B6210</f>
        <v>Jul-2018</v>
      </c>
      <c r="C6210">
        <f>TEST_DATA!C6210</f>
        <v>44418</v>
      </c>
      <c r="D6210" t="str">
        <f>TEST_DATA!D6210</f>
        <v>NIL</v>
      </c>
      <c r="E6210">
        <f>TEST_DATA!E6210</f>
        <v>1559</v>
      </c>
    </row>
    <row r="6211" spans="1:5" x14ac:dyDescent="0.55000000000000004">
      <c r="A6211" t="str">
        <f>TEST_DATA!A6211</f>
        <v>27AAAAA6211Z5</v>
      </c>
      <c r="B6211" t="str">
        <f>TEST_DATA!B6211</f>
        <v>Apr-2018</v>
      </c>
      <c r="C6211">
        <f>TEST_DATA!C6211</f>
        <v>44507</v>
      </c>
      <c r="D6211" t="str">
        <f>TEST_DATA!D6211</f>
        <v>NIL</v>
      </c>
      <c r="E6211">
        <f>TEST_DATA!E6211</f>
        <v>1086</v>
      </c>
    </row>
    <row r="6212" spans="1:5" x14ac:dyDescent="0.55000000000000004">
      <c r="A6212" t="str">
        <f>TEST_DATA!A6212</f>
        <v>27AAAAA6212Z5</v>
      </c>
      <c r="B6212" t="str">
        <f>TEST_DATA!B6212</f>
        <v>Apr-2018</v>
      </c>
      <c r="C6212">
        <f>TEST_DATA!C6212</f>
        <v>43564</v>
      </c>
      <c r="D6212" t="str">
        <f>TEST_DATA!D6212</f>
        <v>NIL</v>
      </c>
      <c r="E6212">
        <f>TEST_DATA!E6212</f>
        <v>2477</v>
      </c>
    </row>
    <row r="6213" spans="1:5" x14ac:dyDescent="0.55000000000000004">
      <c r="A6213" t="str">
        <f>TEST_DATA!A6213</f>
        <v>27AAAAA6213Z5</v>
      </c>
      <c r="B6213" t="str">
        <f>TEST_DATA!B6213</f>
        <v>Dec-2017</v>
      </c>
      <c r="C6213">
        <f>TEST_DATA!C6213</f>
        <v>44274</v>
      </c>
      <c r="D6213" t="str">
        <f>TEST_DATA!D6213</f>
        <v>NON-NIL</v>
      </c>
      <c r="E6213">
        <f>TEST_DATA!E6213</f>
        <v>40</v>
      </c>
    </row>
    <row r="6214" spans="1:5" x14ac:dyDescent="0.55000000000000004">
      <c r="A6214" t="str">
        <f>TEST_DATA!A6214</f>
        <v>27AAAAA6214Z5</v>
      </c>
      <c r="B6214" t="str">
        <f>TEST_DATA!B6214</f>
        <v>May-2018</v>
      </c>
      <c r="C6214">
        <f>TEST_DATA!C6214</f>
        <v>43267</v>
      </c>
      <c r="D6214" t="str">
        <f>TEST_DATA!D6214</f>
        <v>NIL</v>
      </c>
      <c r="E6214">
        <f>TEST_DATA!E6214</f>
        <v>128</v>
      </c>
    </row>
    <row r="6215" spans="1:5" x14ac:dyDescent="0.55000000000000004">
      <c r="A6215" t="str">
        <f>TEST_DATA!A6215</f>
        <v>27AAAAA6215Z5</v>
      </c>
      <c r="B6215" t="str">
        <f>TEST_DATA!B6215</f>
        <v>Dec-2017</v>
      </c>
      <c r="C6215">
        <f>TEST_DATA!C6215</f>
        <v>43733</v>
      </c>
      <c r="D6215" t="str">
        <f>TEST_DATA!D6215</f>
        <v>NIL</v>
      </c>
      <c r="E6215">
        <f>TEST_DATA!E6215</f>
        <v>1878</v>
      </c>
    </row>
    <row r="6216" spans="1:5" x14ac:dyDescent="0.55000000000000004">
      <c r="A6216" t="str">
        <f>TEST_DATA!A6216</f>
        <v>27AAAAA6216Z5</v>
      </c>
      <c r="B6216" t="str">
        <f>TEST_DATA!B6216</f>
        <v>Aug-2017</v>
      </c>
      <c r="C6216">
        <f>TEST_DATA!C6216</f>
        <v>43729</v>
      </c>
      <c r="D6216" t="str">
        <f>TEST_DATA!D6216</f>
        <v>NON-NIL</v>
      </c>
      <c r="E6216">
        <f>TEST_DATA!E6216</f>
        <v>1187</v>
      </c>
    </row>
    <row r="6217" spans="1:5" x14ac:dyDescent="0.55000000000000004">
      <c r="A6217" t="str">
        <f>TEST_DATA!A6217</f>
        <v>27AAAAA6217Z5</v>
      </c>
      <c r="B6217" t="str">
        <f>TEST_DATA!B6217</f>
        <v>Dec-2019</v>
      </c>
      <c r="C6217">
        <f>TEST_DATA!C6217</f>
        <v>43716</v>
      </c>
      <c r="D6217" t="str">
        <f>TEST_DATA!D6217</f>
        <v>NIL</v>
      </c>
      <c r="E6217">
        <f>TEST_DATA!E6217</f>
        <v>2229</v>
      </c>
    </row>
    <row r="6218" spans="1:5" x14ac:dyDescent="0.55000000000000004">
      <c r="A6218" t="str">
        <f>TEST_DATA!A6218</f>
        <v>27AAAAA6218Z5</v>
      </c>
      <c r="B6218" t="str">
        <f>TEST_DATA!B6218</f>
        <v>Dec-2017</v>
      </c>
      <c r="C6218">
        <f>TEST_DATA!C6218</f>
        <v>43471</v>
      </c>
      <c r="D6218" t="str">
        <f>TEST_DATA!D6218</f>
        <v>NON-NIL</v>
      </c>
      <c r="E6218">
        <f>TEST_DATA!E6218</f>
        <v>1468</v>
      </c>
    </row>
    <row r="6219" spans="1:5" x14ac:dyDescent="0.55000000000000004">
      <c r="A6219" t="str">
        <f>TEST_DATA!A6219</f>
        <v>27AAAAA6219Z5</v>
      </c>
      <c r="B6219" t="str">
        <f>TEST_DATA!B6219</f>
        <v>Jun-2019</v>
      </c>
      <c r="C6219">
        <f>TEST_DATA!C6219</f>
        <v>43893</v>
      </c>
      <c r="D6219" t="str">
        <f>TEST_DATA!D6219</f>
        <v>NIL</v>
      </c>
      <c r="E6219">
        <f>TEST_DATA!E6219</f>
        <v>2</v>
      </c>
    </row>
    <row r="6220" spans="1:5" x14ac:dyDescent="0.55000000000000004">
      <c r="A6220" t="str">
        <f>TEST_DATA!A6220</f>
        <v>27AAAAA6220Z5</v>
      </c>
      <c r="B6220" t="str">
        <f>TEST_DATA!B6220</f>
        <v>Dec-2019</v>
      </c>
      <c r="C6220">
        <f>TEST_DATA!C6220</f>
        <v>45676</v>
      </c>
      <c r="D6220" t="str">
        <f>TEST_DATA!D6220</f>
        <v>NIL</v>
      </c>
      <c r="E6220">
        <f>TEST_DATA!E6220</f>
        <v>2726</v>
      </c>
    </row>
    <row r="6221" spans="1:5" x14ac:dyDescent="0.55000000000000004">
      <c r="A6221" t="str">
        <f>TEST_DATA!A6221</f>
        <v>27AAAAA6221Z5</v>
      </c>
      <c r="B6221" t="str">
        <f>TEST_DATA!B6221</f>
        <v>Apr-2021</v>
      </c>
      <c r="C6221">
        <f>TEST_DATA!C6221</f>
        <v>43634</v>
      </c>
      <c r="D6221" t="str">
        <f>TEST_DATA!D6221</f>
        <v>NON-NIL</v>
      </c>
      <c r="E6221">
        <f>TEST_DATA!E6221</f>
        <v>1976</v>
      </c>
    </row>
    <row r="6222" spans="1:5" x14ac:dyDescent="0.55000000000000004">
      <c r="A6222" t="str">
        <f>TEST_DATA!A6222</f>
        <v>27AAAAA6222Z5</v>
      </c>
      <c r="B6222" t="str">
        <f>TEST_DATA!B6222</f>
        <v>Apr-2018</v>
      </c>
      <c r="C6222">
        <f>TEST_DATA!C6222</f>
        <v>44282</v>
      </c>
      <c r="D6222" t="str">
        <f>TEST_DATA!D6222</f>
        <v>NIL</v>
      </c>
      <c r="E6222">
        <f>TEST_DATA!E6222</f>
        <v>2534</v>
      </c>
    </row>
    <row r="6223" spans="1:5" x14ac:dyDescent="0.55000000000000004">
      <c r="A6223" t="str">
        <f>TEST_DATA!A6223</f>
        <v>27AAAAA6223Z5</v>
      </c>
      <c r="B6223" t="str">
        <f>TEST_DATA!B6223</f>
        <v>Apr-2020</v>
      </c>
      <c r="C6223">
        <f>TEST_DATA!C6223</f>
        <v>44801</v>
      </c>
      <c r="D6223" t="str">
        <f>TEST_DATA!D6223</f>
        <v>NON-NIL</v>
      </c>
      <c r="E6223">
        <f>TEST_DATA!E6223</f>
        <v>434</v>
      </c>
    </row>
    <row r="6224" spans="1:5" x14ac:dyDescent="0.55000000000000004">
      <c r="A6224" t="str">
        <f>TEST_DATA!A6224</f>
        <v>27AAAAA6224Z5</v>
      </c>
      <c r="B6224" t="str">
        <f>TEST_DATA!B6224</f>
        <v>Dec-2019</v>
      </c>
      <c r="C6224">
        <f>TEST_DATA!C6224</f>
        <v>44889</v>
      </c>
      <c r="D6224" t="str">
        <f>TEST_DATA!D6224</f>
        <v>NON-NIL</v>
      </c>
      <c r="E6224">
        <f>TEST_DATA!E6224</f>
        <v>968</v>
      </c>
    </row>
    <row r="6225" spans="1:5" x14ac:dyDescent="0.55000000000000004">
      <c r="A6225" t="str">
        <f>TEST_DATA!A6225</f>
        <v>27AAAAA6225Z5</v>
      </c>
      <c r="B6225" t="str">
        <f>TEST_DATA!B6225</f>
        <v>Jul-2017</v>
      </c>
      <c r="C6225">
        <f>TEST_DATA!C6225</f>
        <v>43222</v>
      </c>
      <c r="D6225" t="str">
        <f>TEST_DATA!D6225</f>
        <v>NON-NIL</v>
      </c>
      <c r="E6225">
        <f>TEST_DATA!E6225</f>
        <v>1517</v>
      </c>
    </row>
    <row r="6226" spans="1:5" x14ac:dyDescent="0.55000000000000004">
      <c r="A6226" t="str">
        <f>TEST_DATA!A6226</f>
        <v>27AAAAA6226Z5</v>
      </c>
      <c r="B6226" t="str">
        <f>TEST_DATA!B6226</f>
        <v>Jul-2017</v>
      </c>
      <c r="C6226">
        <f>TEST_DATA!C6226</f>
        <v>43013</v>
      </c>
      <c r="D6226" t="str">
        <f>TEST_DATA!D6226</f>
        <v>NIL</v>
      </c>
      <c r="E6226">
        <f>TEST_DATA!E6226</f>
        <v>871</v>
      </c>
    </row>
    <row r="6227" spans="1:5" x14ac:dyDescent="0.55000000000000004">
      <c r="A6227" t="str">
        <f>TEST_DATA!A6227</f>
        <v>27AAAAA6227Z5</v>
      </c>
      <c r="B6227" t="str">
        <f>TEST_DATA!B6227</f>
        <v>Aug-2017</v>
      </c>
      <c r="C6227">
        <f>TEST_DATA!C6227</f>
        <v>44308</v>
      </c>
      <c r="D6227" t="str">
        <f>TEST_DATA!D6227</f>
        <v>NON-NIL</v>
      </c>
      <c r="E6227">
        <f>TEST_DATA!E6227</f>
        <v>2949</v>
      </c>
    </row>
    <row r="6228" spans="1:5" x14ac:dyDescent="0.55000000000000004">
      <c r="A6228" t="str">
        <f>TEST_DATA!A6228</f>
        <v>27AAAAA6228Z5</v>
      </c>
      <c r="B6228" t="str">
        <f>TEST_DATA!B6228</f>
        <v>Jul-2018</v>
      </c>
      <c r="C6228">
        <f>TEST_DATA!C6228</f>
        <v>44473</v>
      </c>
      <c r="D6228" t="str">
        <f>TEST_DATA!D6228</f>
        <v>NON-NIL</v>
      </c>
      <c r="E6228">
        <f>TEST_DATA!E6228</f>
        <v>417</v>
      </c>
    </row>
    <row r="6229" spans="1:5" x14ac:dyDescent="0.55000000000000004">
      <c r="A6229" t="str">
        <f>TEST_DATA!A6229</f>
        <v>27AAAAA6229Z5</v>
      </c>
      <c r="B6229" t="str">
        <f>TEST_DATA!B6229</f>
        <v>Mar-2020</v>
      </c>
      <c r="C6229">
        <f>TEST_DATA!C6229</f>
        <v>44559</v>
      </c>
      <c r="D6229" t="str">
        <f>TEST_DATA!D6229</f>
        <v>NIL</v>
      </c>
      <c r="E6229">
        <f>TEST_DATA!E6229</f>
        <v>70</v>
      </c>
    </row>
    <row r="6230" spans="1:5" x14ac:dyDescent="0.55000000000000004">
      <c r="A6230" t="str">
        <f>TEST_DATA!A6230</f>
        <v>27AAAAA6230Z5</v>
      </c>
      <c r="B6230" t="str">
        <f>TEST_DATA!B6230</f>
        <v>Jun-2018</v>
      </c>
      <c r="C6230">
        <f>TEST_DATA!C6230</f>
        <v>43710</v>
      </c>
      <c r="D6230" t="str">
        <f>TEST_DATA!D6230</f>
        <v>NON-NIL</v>
      </c>
      <c r="E6230">
        <f>TEST_DATA!E6230</f>
        <v>397</v>
      </c>
    </row>
    <row r="6231" spans="1:5" x14ac:dyDescent="0.55000000000000004">
      <c r="A6231" t="str">
        <f>TEST_DATA!A6231</f>
        <v>27AAAAA6231Z5</v>
      </c>
      <c r="B6231" t="str">
        <f>TEST_DATA!B6231</f>
        <v>Dec-2019</v>
      </c>
      <c r="C6231">
        <f>TEST_DATA!C6231</f>
        <v>44535</v>
      </c>
      <c r="D6231" t="str">
        <f>TEST_DATA!D6231</f>
        <v>NIL</v>
      </c>
      <c r="E6231">
        <f>TEST_DATA!E6231</f>
        <v>1795</v>
      </c>
    </row>
    <row r="6232" spans="1:5" x14ac:dyDescent="0.55000000000000004">
      <c r="A6232" t="str">
        <f>TEST_DATA!A6232</f>
        <v>27AAAAA6232Z5</v>
      </c>
      <c r="B6232" t="str">
        <f>TEST_DATA!B6232</f>
        <v>Dec-2019</v>
      </c>
      <c r="C6232">
        <f>TEST_DATA!C6232</f>
        <v>44671</v>
      </c>
      <c r="D6232" t="str">
        <f>TEST_DATA!D6232</f>
        <v>NON-NIL</v>
      </c>
      <c r="E6232">
        <f>TEST_DATA!E6232</f>
        <v>1838</v>
      </c>
    </row>
    <row r="6233" spans="1:5" x14ac:dyDescent="0.55000000000000004">
      <c r="A6233" t="str">
        <f>TEST_DATA!A6233</f>
        <v>27AAAAA6233Z5</v>
      </c>
      <c r="B6233" t="str">
        <f>TEST_DATA!B6233</f>
        <v>Mar-2020</v>
      </c>
      <c r="C6233">
        <f>TEST_DATA!C6233</f>
        <v>43937</v>
      </c>
      <c r="D6233" t="str">
        <f>TEST_DATA!D6233</f>
        <v>NON-NIL</v>
      </c>
      <c r="E6233">
        <f>TEST_DATA!E6233</f>
        <v>2953</v>
      </c>
    </row>
    <row r="6234" spans="1:5" x14ac:dyDescent="0.55000000000000004">
      <c r="A6234" t="str">
        <f>TEST_DATA!A6234</f>
        <v>27AAAAA6234Z5</v>
      </c>
      <c r="B6234" t="str">
        <f>TEST_DATA!B6234</f>
        <v>Jul-2017</v>
      </c>
      <c r="C6234">
        <f>TEST_DATA!C6234</f>
        <v>44255</v>
      </c>
      <c r="D6234" t="str">
        <f>TEST_DATA!D6234</f>
        <v>NIL</v>
      </c>
      <c r="E6234">
        <f>TEST_DATA!E6234</f>
        <v>2174</v>
      </c>
    </row>
    <row r="6235" spans="1:5" x14ac:dyDescent="0.55000000000000004">
      <c r="A6235" t="str">
        <f>TEST_DATA!A6235</f>
        <v>27AAAAA6235Z5</v>
      </c>
      <c r="B6235" t="str">
        <f>TEST_DATA!B6235</f>
        <v>Jan-2019</v>
      </c>
      <c r="C6235">
        <f>TEST_DATA!C6235</f>
        <v>44129</v>
      </c>
      <c r="D6235" t="str">
        <f>TEST_DATA!D6235</f>
        <v>NON-NIL</v>
      </c>
      <c r="E6235">
        <f>TEST_DATA!E6235</f>
        <v>2632</v>
      </c>
    </row>
    <row r="6236" spans="1:5" x14ac:dyDescent="0.55000000000000004">
      <c r="A6236" t="str">
        <f>TEST_DATA!A6236</f>
        <v>27AAAAA6236Z5</v>
      </c>
      <c r="B6236" t="str">
        <f>TEST_DATA!B6236</f>
        <v>Apr-2021</v>
      </c>
      <c r="C6236">
        <f>TEST_DATA!C6236</f>
        <v>43609</v>
      </c>
      <c r="D6236" t="str">
        <f>TEST_DATA!D6236</f>
        <v>NIL</v>
      </c>
      <c r="E6236">
        <f>TEST_DATA!E6236</f>
        <v>462</v>
      </c>
    </row>
    <row r="6237" spans="1:5" x14ac:dyDescent="0.55000000000000004">
      <c r="A6237" t="str">
        <f>TEST_DATA!A6237</f>
        <v>27AAAAA6237Z5</v>
      </c>
      <c r="B6237" t="str">
        <f>TEST_DATA!B6237</f>
        <v>May-2020</v>
      </c>
      <c r="C6237">
        <f>TEST_DATA!C6237</f>
        <v>44248</v>
      </c>
      <c r="D6237" t="str">
        <f>TEST_DATA!D6237</f>
        <v>NON-NIL</v>
      </c>
      <c r="E6237">
        <f>TEST_DATA!E6237</f>
        <v>1525</v>
      </c>
    </row>
    <row r="6238" spans="1:5" x14ac:dyDescent="0.55000000000000004">
      <c r="A6238" t="str">
        <f>TEST_DATA!A6238</f>
        <v>27AAAAA6238Z5</v>
      </c>
      <c r="B6238" t="str">
        <f>TEST_DATA!B6238</f>
        <v>Dec-2024</v>
      </c>
      <c r="C6238">
        <f>TEST_DATA!C6238</f>
        <v>43969</v>
      </c>
      <c r="D6238" t="str">
        <f>TEST_DATA!D6238</f>
        <v>NIL</v>
      </c>
      <c r="E6238">
        <f>TEST_DATA!E6238</f>
        <v>945</v>
      </c>
    </row>
    <row r="6239" spans="1:5" x14ac:dyDescent="0.55000000000000004">
      <c r="A6239" t="str">
        <f>TEST_DATA!A6239</f>
        <v>27AAAAA6239Z5</v>
      </c>
      <c r="B6239" t="str">
        <f>TEST_DATA!B6239</f>
        <v>Mar-2018</v>
      </c>
      <c r="C6239">
        <f>TEST_DATA!C6239</f>
        <v>43522</v>
      </c>
      <c r="D6239" t="str">
        <f>TEST_DATA!D6239</f>
        <v>NON-NIL</v>
      </c>
      <c r="E6239">
        <f>TEST_DATA!E6239</f>
        <v>1032</v>
      </c>
    </row>
    <row r="6240" spans="1:5" x14ac:dyDescent="0.55000000000000004">
      <c r="A6240" t="str">
        <f>TEST_DATA!A6240</f>
        <v>27AAAAA6240Z5</v>
      </c>
      <c r="B6240" t="str">
        <f>TEST_DATA!B6240</f>
        <v>Nov-2017</v>
      </c>
      <c r="C6240">
        <f>TEST_DATA!C6240</f>
        <v>44148</v>
      </c>
      <c r="D6240" t="str">
        <f>TEST_DATA!D6240</f>
        <v>NIL</v>
      </c>
      <c r="E6240">
        <f>TEST_DATA!E6240</f>
        <v>1611</v>
      </c>
    </row>
    <row r="6241" spans="1:5" x14ac:dyDescent="0.55000000000000004">
      <c r="A6241" t="str">
        <f>TEST_DATA!A6241</f>
        <v>27AAAAA6241Z5</v>
      </c>
      <c r="B6241" t="str">
        <f>TEST_DATA!B6241</f>
        <v>Jan-2019</v>
      </c>
      <c r="C6241">
        <f>TEST_DATA!C6241</f>
        <v>44589</v>
      </c>
      <c r="D6241" t="str">
        <f>TEST_DATA!D6241</f>
        <v>NON-NIL</v>
      </c>
      <c r="E6241">
        <f>TEST_DATA!E6241</f>
        <v>1728</v>
      </c>
    </row>
    <row r="6242" spans="1:5" x14ac:dyDescent="0.55000000000000004">
      <c r="A6242" t="str">
        <f>TEST_DATA!A6242</f>
        <v>27AAAAA6242Z5</v>
      </c>
      <c r="B6242" t="str">
        <f>TEST_DATA!B6242</f>
        <v>Dec-2019</v>
      </c>
      <c r="C6242">
        <f>TEST_DATA!C6242</f>
        <v>45107</v>
      </c>
      <c r="D6242" t="str">
        <f>TEST_DATA!D6242</f>
        <v>NON-NIL</v>
      </c>
      <c r="E6242">
        <f>TEST_DATA!E6242</f>
        <v>675</v>
      </c>
    </row>
    <row r="6243" spans="1:5" x14ac:dyDescent="0.55000000000000004">
      <c r="A6243" t="str">
        <f>TEST_DATA!A6243</f>
        <v>27AAAAA6243Z5</v>
      </c>
      <c r="B6243" t="str">
        <f>TEST_DATA!B6243</f>
        <v>Apr-2018</v>
      </c>
      <c r="C6243">
        <f>TEST_DATA!C6243</f>
        <v>42996</v>
      </c>
      <c r="D6243" t="str">
        <f>TEST_DATA!D6243</f>
        <v>NON-NIL</v>
      </c>
      <c r="E6243">
        <f>TEST_DATA!E6243</f>
        <v>580</v>
      </c>
    </row>
    <row r="6244" spans="1:5" x14ac:dyDescent="0.55000000000000004">
      <c r="A6244" t="str">
        <f>TEST_DATA!A6244</f>
        <v>27AAAAA6244Z5</v>
      </c>
      <c r="B6244" t="str">
        <f>TEST_DATA!B6244</f>
        <v>Apr-2021</v>
      </c>
      <c r="C6244">
        <f>TEST_DATA!C6244</f>
        <v>43982</v>
      </c>
      <c r="D6244" t="str">
        <f>TEST_DATA!D6244</f>
        <v>NIL</v>
      </c>
      <c r="E6244">
        <f>TEST_DATA!E6244</f>
        <v>1325</v>
      </c>
    </row>
    <row r="6245" spans="1:5" x14ac:dyDescent="0.55000000000000004">
      <c r="A6245" t="str">
        <f>TEST_DATA!A6245</f>
        <v>27AAAAA6245Z5</v>
      </c>
      <c r="B6245" t="str">
        <f>TEST_DATA!B6245</f>
        <v>Jun-2018</v>
      </c>
      <c r="C6245">
        <f>TEST_DATA!C6245</f>
        <v>44168</v>
      </c>
      <c r="D6245" t="str">
        <f>TEST_DATA!D6245</f>
        <v>NON-NIL</v>
      </c>
      <c r="E6245">
        <f>TEST_DATA!E6245</f>
        <v>1956</v>
      </c>
    </row>
    <row r="6246" spans="1:5" x14ac:dyDescent="0.55000000000000004">
      <c r="A6246" t="str">
        <f>TEST_DATA!A6246</f>
        <v>27AAAAA6246Z5</v>
      </c>
      <c r="B6246" t="str">
        <f>TEST_DATA!B6246</f>
        <v>Nov-2017</v>
      </c>
      <c r="C6246">
        <f>TEST_DATA!C6246</f>
        <v>43562</v>
      </c>
      <c r="D6246" t="str">
        <f>TEST_DATA!D6246</f>
        <v>NON-NIL</v>
      </c>
      <c r="E6246">
        <f>TEST_DATA!E6246</f>
        <v>730</v>
      </c>
    </row>
    <row r="6247" spans="1:5" x14ac:dyDescent="0.55000000000000004">
      <c r="A6247" t="str">
        <f>TEST_DATA!A6247</f>
        <v>27AAAAA6247Z5</v>
      </c>
      <c r="B6247" t="str">
        <f>TEST_DATA!B6247</f>
        <v>Dec-2017</v>
      </c>
      <c r="C6247">
        <f>TEST_DATA!C6247</f>
        <v>43287</v>
      </c>
      <c r="D6247" t="str">
        <f>TEST_DATA!D6247</f>
        <v>NIL</v>
      </c>
      <c r="E6247">
        <f>TEST_DATA!E6247</f>
        <v>2494</v>
      </c>
    </row>
    <row r="6248" spans="1:5" x14ac:dyDescent="0.55000000000000004">
      <c r="A6248" t="str">
        <f>TEST_DATA!A6248</f>
        <v>27AAAAA6248Z5</v>
      </c>
      <c r="B6248" t="str">
        <f>TEST_DATA!B6248</f>
        <v>Jul-2017</v>
      </c>
      <c r="C6248">
        <f>TEST_DATA!C6248</f>
        <v>43596</v>
      </c>
      <c r="D6248" t="str">
        <f>TEST_DATA!D6248</f>
        <v>NIL</v>
      </c>
      <c r="E6248">
        <f>TEST_DATA!E6248</f>
        <v>882</v>
      </c>
    </row>
    <row r="6249" spans="1:5" x14ac:dyDescent="0.55000000000000004">
      <c r="A6249" t="str">
        <f>TEST_DATA!A6249</f>
        <v>27AAAAA6249Z5</v>
      </c>
      <c r="B6249" t="str">
        <f>TEST_DATA!B6249</f>
        <v>May-2020</v>
      </c>
      <c r="C6249">
        <f>TEST_DATA!C6249</f>
        <v>44434</v>
      </c>
      <c r="D6249" t="str">
        <f>TEST_DATA!D6249</f>
        <v>NON-NIL</v>
      </c>
      <c r="E6249">
        <f>TEST_DATA!E6249</f>
        <v>120</v>
      </c>
    </row>
    <row r="6250" spans="1:5" x14ac:dyDescent="0.55000000000000004">
      <c r="A6250" t="str">
        <f>TEST_DATA!A6250</f>
        <v>27AAAAA6250Z5</v>
      </c>
      <c r="B6250" t="str">
        <f>TEST_DATA!B6250</f>
        <v>Mar-2018</v>
      </c>
      <c r="C6250">
        <f>TEST_DATA!C6250</f>
        <v>43938</v>
      </c>
      <c r="D6250" t="str">
        <f>TEST_DATA!D6250</f>
        <v>NON-NIL</v>
      </c>
      <c r="E6250">
        <f>TEST_DATA!E6250</f>
        <v>1967</v>
      </c>
    </row>
    <row r="6251" spans="1:5" x14ac:dyDescent="0.55000000000000004">
      <c r="A6251" t="str">
        <f>TEST_DATA!A6251</f>
        <v>27AAAAA6251Z5</v>
      </c>
      <c r="B6251" t="str">
        <f>TEST_DATA!B6251</f>
        <v>Dec-2024</v>
      </c>
      <c r="C6251">
        <f>TEST_DATA!C6251</f>
        <v>45058</v>
      </c>
      <c r="D6251" t="str">
        <f>TEST_DATA!D6251</f>
        <v>NON-NIL</v>
      </c>
      <c r="E6251">
        <f>TEST_DATA!E6251</f>
        <v>2216</v>
      </c>
    </row>
    <row r="6252" spans="1:5" x14ac:dyDescent="0.55000000000000004">
      <c r="A6252" t="str">
        <f>TEST_DATA!A6252</f>
        <v>27AAAAA6252Z5</v>
      </c>
      <c r="B6252" t="str">
        <f>TEST_DATA!B6252</f>
        <v>Apr-2018</v>
      </c>
      <c r="C6252">
        <f>TEST_DATA!C6252</f>
        <v>44319</v>
      </c>
      <c r="D6252" t="str">
        <f>TEST_DATA!D6252</f>
        <v>NON-NIL</v>
      </c>
      <c r="E6252">
        <f>TEST_DATA!E6252</f>
        <v>1525</v>
      </c>
    </row>
    <row r="6253" spans="1:5" x14ac:dyDescent="0.55000000000000004">
      <c r="A6253" t="str">
        <f>TEST_DATA!A6253</f>
        <v>27AAAAA6253Z5</v>
      </c>
      <c r="B6253" t="str">
        <f>TEST_DATA!B6253</f>
        <v>Apr-2020</v>
      </c>
      <c r="C6253">
        <f>TEST_DATA!C6253</f>
        <v>44287</v>
      </c>
      <c r="D6253" t="str">
        <f>TEST_DATA!D6253</f>
        <v>NON-NIL</v>
      </c>
      <c r="E6253">
        <f>TEST_DATA!E6253</f>
        <v>1336</v>
      </c>
    </row>
    <row r="6254" spans="1:5" x14ac:dyDescent="0.55000000000000004">
      <c r="A6254" t="str">
        <f>TEST_DATA!A6254</f>
        <v>27AAAAA6254Z5</v>
      </c>
      <c r="B6254" t="str">
        <f>TEST_DATA!B6254</f>
        <v>Dec-2017</v>
      </c>
      <c r="C6254">
        <f>TEST_DATA!C6254</f>
        <v>43114</v>
      </c>
      <c r="D6254" t="str">
        <f>TEST_DATA!D6254</f>
        <v>NIL</v>
      </c>
      <c r="E6254">
        <f>TEST_DATA!E6254</f>
        <v>2188</v>
      </c>
    </row>
    <row r="6255" spans="1:5" x14ac:dyDescent="0.55000000000000004">
      <c r="A6255" t="str">
        <f>TEST_DATA!A6255</f>
        <v>27AAAAA6255Z5</v>
      </c>
      <c r="B6255" t="str">
        <f>TEST_DATA!B6255</f>
        <v>Feb-2018</v>
      </c>
      <c r="C6255">
        <f>TEST_DATA!C6255</f>
        <v>43557</v>
      </c>
      <c r="D6255" t="str">
        <f>TEST_DATA!D6255</f>
        <v>NIL</v>
      </c>
      <c r="E6255">
        <f>TEST_DATA!E6255</f>
        <v>2003</v>
      </c>
    </row>
    <row r="6256" spans="1:5" x14ac:dyDescent="0.55000000000000004">
      <c r="A6256" t="str">
        <f>TEST_DATA!A6256</f>
        <v>27AAAAA6256Z5</v>
      </c>
      <c r="B6256" t="str">
        <f>TEST_DATA!B6256</f>
        <v>Dec-2022</v>
      </c>
      <c r="C6256">
        <f>TEST_DATA!C6256</f>
        <v>43801</v>
      </c>
      <c r="D6256" t="str">
        <f>TEST_DATA!D6256</f>
        <v>NIL</v>
      </c>
      <c r="E6256">
        <f>TEST_DATA!E6256</f>
        <v>1177</v>
      </c>
    </row>
    <row r="6257" spans="1:5" x14ac:dyDescent="0.55000000000000004">
      <c r="A6257" t="str">
        <f>TEST_DATA!A6257</f>
        <v>27AAAAA6257Z5</v>
      </c>
      <c r="B6257" t="str">
        <f>TEST_DATA!B6257</f>
        <v>May-2018</v>
      </c>
      <c r="C6257">
        <f>TEST_DATA!C6257</f>
        <v>44409</v>
      </c>
      <c r="D6257" t="str">
        <f>TEST_DATA!D6257</f>
        <v>NON-NIL</v>
      </c>
      <c r="E6257">
        <f>TEST_DATA!E6257</f>
        <v>893</v>
      </c>
    </row>
    <row r="6258" spans="1:5" x14ac:dyDescent="0.55000000000000004">
      <c r="A6258" t="str">
        <f>TEST_DATA!A6258</f>
        <v>27AAAAA6258Z5</v>
      </c>
      <c r="B6258" t="str">
        <f>TEST_DATA!B6258</f>
        <v>Oct-2017</v>
      </c>
      <c r="C6258">
        <f>TEST_DATA!C6258</f>
        <v>43257</v>
      </c>
      <c r="D6258" t="str">
        <f>TEST_DATA!D6258</f>
        <v>NIL</v>
      </c>
      <c r="E6258">
        <f>TEST_DATA!E6258</f>
        <v>13</v>
      </c>
    </row>
    <row r="6259" spans="1:5" x14ac:dyDescent="0.55000000000000004">
      <c r="A6259" t="str">
        <f>TEST_DATA!A6259</f>
        <v>27AAAAA6259Z5</v>
      </c>
      <c r="B6259" t="str">
        <f>TEST_DATA!B6259</f>
        <v>Jan-2021</v>
      </c>
      <c r="C6259">
        <f>TEST_DATA!C6259</f>
        <v>44486</v>
      </c>
      <c r="D6259" t="str">
        <f>TEST_DATA!D6259</f>
        <v>NON-NIL</v>
      </c>
      <c r="E6259">
        <f>TEST_DATA!E6259</f>
        <v>523</v>
      </c>
    </row>
    <row r="6260" spans="1:5" x14ac:dyDescent="0.55000000000000004">
      <c r="A6260" t="str">
        <f>TEST_DATA!A6260</f>
        <v>27AAAAA6260Z5</v>
      </c>
      <c r="B6260" t="str">
        <f>TEST_DATA!B6260</f>
        <v>Jun-2020</v>
      </c>
      <c r="C6260">
        <f>TEST_DATA!C6260</f>
        <v>44209</v>
      </c>
      <c r="D6260" t="str">
        <f>TEST_DATA!D6260</f>
        <v>NIL</v>
      </c>
      <c r="E6260">
        <f>TEST_DATA!E6260</f>
        <v>278</v>
      </c>
    </row>
    <row r="6261" spans="1:5" x14ac:dyDescent="0.55000000000000004">
      <c r="A6261" t="str">
        <f>TEST_DATA!A6261</f>
        <v>27AAAAA6261Z5</v>
      </c>
      <c r="B6261" t="str">
        <f>TEST_DATA!B6261</f>
        <v>Jul-2020</v>
      </c>
      <c r="C6261">
        <f>TEST_DATA!C6261</f>
        <v>44798</v>
      </c>
      <c r="D6261" t="str">
        <f>TEST_DATA!D6261</f>
        <v>NIL</v>
      </c>
      <c r="E6261">
        <f>TEST_DATA!E6261</f>
        <v>2621</v>
      </c>
    </row>
    <row r="6262" spans="1:5" x14ac:dyDescent="0.55000000000000004">
      <c r="A6262" t="str">
        <f>TEST_DATA!A6262</f>
        <v>27AAAAA6262Z5</v>
      </c>
      <c r="B6262" t="str">
        <f>TEST_DATA!B6262</f>
        <v>Nov-2017</v>
      </c>
      <c r="C6262">
        <f>TEST_DATA!C6262</f>
        <v>44214</v>
      </c>
      <c r="D6262" t="str">
        <f>TEST_DATA!D6262</f>
        <v>NON-NIL</v>
      </c>
      <c r="E6262">
        <f>TEST_DATA!E6262</f>
        <v>2026</v>
      </c>
    </row>
    <row r="6263" spans="1:5" x14ac:dyDescent="0.55000000000000004">
      <c r="A6263" t="str">
        <f>TEST_DATA!A6263</f>
        <v>27AAAAA6263Z5</v>
      </c>
      <c r="B6263" t="str">
        <f>TEST_DATA!B6263</f>
        <v>Dec-2017</v>
      </c>
      <c r="C6263">
        <f>TEST_DATA!C6263</f>
        <v>43788</v>
      </c>
      <c r="D6263" t="str">
        <f>TEST_DATA!D6263</f>
        <v>NON-NIL</v>
      </c>
      <c r="E6263">
        <f>TEST_DATA!E6263</f>
        <v>2195</v>
      </c>
    </row>
    <row r="6264" spans="1:5" x14ac:dyDescent="0.55000000000000004">
      <c r="A6264" t="str">
        <f>TEST_DATA!A6264</f>
        <v>27AAAAA6264Z5</v>
      </c>
      <c r="B6264" t="str">
        <f>TEST_DATA!B6264</f>
        <v>May-2020</v>
      </c>
      <c r="C6264">
        <f>TEST_DATA!C6264</f>
        <v>44335</v>
      </c>
      <c r="D6264" t="str">
        <f>TEST_DATA!D6264</f>
        <v>NON-NIL</v>
      </c>
      <c r="E6264">
        <f>TEST_DATA!E6264</f>
        <v>2276</v>
      </c>
    </row>
    <row r="6265" spans="1:5" x14ac:dyDescent="0.55000000000000004">
      <c r="A6265" t="str">
        <f>TEST_DATA!A6265</f>
        <v>27AAAAA6265Z5</v>
      </c>
      <c r="B6265" t="str">
        <f>TEST_DATA!B6265</f>
        <v>May-2018</v>
      </c>
      <c r="C6265">
        <f>TEST_DATA!C6265</f>
        <v>44375</v>
      </c>
      <c r="D6265" t="str">
        <f>TEST_DATA!D6265</f>
        <v>NON-NIL</v>
      </c>
      <c r="E6265">
        <f>TEST_DATA!E6265</f>
        <v>2269</v>
      </c>
    </row>
    <row r="6266" spans="1:5" x14ac:dyDescent="0.55000000000000004">
      <c r="A6266" t="str">
        <f>TEST_DATA!A6266</f>
        <v>27AAAAA6266Z5</v>
      </c>
      <c r="B6266" t="str">
        <f>TEST_DATA!B6266</f>
        <v>May-2018</v>
      </c>
      <c r="C6266">
        <f>TEST_DATA!C6266</f>
        <v>43267</v>
      </c>
      <c r="D6266" t="str">
        <f>TEST_DATA!D6266</f>
        <v>NIL</v>
      </c>
      <c r="E6266">
        <f>TEST_DATA!E6266</f>
        <v>2393</v>
      </c>
    </row>
    <row r="6267" spans="1:5" x14ac:dyDescent="0.55000000000000004">
      <c r="A6267" t="str">
        <f>TEST_DATA!A6267</f>
        <v>27AAAAA6267Z5</v>
      </c>
      <c r="B6267" t="str">
        <f>TEST_DATA!B6267</f>
        <v>Jun-2020</v>
      </c>
      <c r="C6267">
        <f>TEST_DATA!C6267</f>
        <v>44456</v>
      </c>
      <c r="D6267" t="str">
        <f>TEST_DATA!D6267</f>
        <v>NIL</v>
      </c>
      <c r="E6267">
        <f>TEST_DATA!E6267</f>
        <v>2790</v>
      </c>
    </row>
    <row r="6268" spans="1:5" x14ac:dyDescent="0.55000000000000004">
      <c r="A6268" t="str">
        <f>TEST_DATA!A6268</f>
        <v>27AAAAA6268Z5</v>
      </c>
      <c r="B6268" t="str">
        <f>TEST_DATA!B6268</f>
        <v>Dec-2022</v>
      </c>
      <c r="C6268">
        <f>TEST_DATA!C6268</f>
        <v>44884</v>
      </c>
      <c r="D6268" t="str">
        <f>TEST_DATA!D6268</f>
        <v>NIL</v>
      </c>
      <c r="E6268">
        <f>TEST_DATA!E6268</f>
        <v>2919</v>
      </c>
    </row>
    <row r="6269" spans="1:5" x14ac:dyDescent="0.55000000000000004">
      <c r="A6269" t="str">
        <f>TEST_DATA!A6269</f>
        <v>27AAAAA6269Z5</v>
      </c>
      <c r="B6269" t="str">
        <f>TEST_DATA!B6269</f>
        <v>Mar-2023</v>
      </c>
      <c r="C6269">
        <f>TEST_DATA!C6269</f>
        <v>44746</v>
      </c>
      <c r="D6269" t="str">
        <f>TEST_DATA!D6269</f>
        <v>NIL</v>
      </c>
      <c r="E6269">
        <f>TEST_DATA!E6269</f>
        <v>1663</v>
      </c>
    </row>
    <row r="6270" spans="1:5" x14ac:dyDescent="0.55000000000000004">
      <c r="A6270" t="str">
        <f>TEST_DATA!A6270</f>
        <v>27AAAAA6270Z5</v>
      </c>
      <c r="B6270" t="str">
        <f>TEST_DATA!B6270</f>
        <v>Oct-2017</v>
      </c>
      <c r="C6270">
        <f>TEST_DATA!C6270</f>
        <v>43945</v>
      </c>
      <c r="D6270" t="str">
        <f>TEST_DATA!D6270</f>
        <v>NON-NIL</v>
      </c>
      <c r="E6270">
        <f>TEST_DATA!E6270</f>
        <v>2003</v>
      </c>
    </row>
    <row r="6271" spans="1:5" x14ac:dyDescent="0.55000000000000004">
      <c r="A6271" t="str">
        <f>TEST_DATA!A6271</f>
        <v>27AAAAA6271Z5</v>
      </c>
      <c r="B6271" t="str">
        <f>TEST_DATA!B6271</f>
        <v>Jun-2018</v>
      </c>
      <c r="C6271">
        <f>TEST_DATA!C6271</f>
        <v>44176</v>
      </c>
      <c r="D6271" t="str">
        <f>TEST_DATA!D6271</f>
        <v>NIL</v>
      </c>
      <c r="E6271">
        <f>TEST_DATA!E6271</f>
        <v>1837</v>
      </c>
    </row>
    <row r="6272" spans="1:5" x14ac:dyDescent="0.55000000000000004">
      <c r="A6272" t="str">
        <f>TEST_DATA!A6272</f>
        <v>27AAAAA6272Z5</v>
      </c>
      <c r="B6272" t="str">
        <f>TEST_DATA!B6272</f>
        <v>Sep-2017</v>
      </c>
      <c r="C6272">
        <f>TEST_DATA!C6272</f>
        <v>43029</v>
      </c>
      <c r="D6272" t="str">
        <f>TEST_DATA!D6272</f>
        <v>NON-NIL</v>
      </c>
      <c r="E6272">
        <f>TEST_DATA!E6272</f>
        <v>213</v>
      </c>
    </row>
    <row r="6273" spans="1:5" x14ac:dyDescent="0.55000000000000004">
      <c r="A6273" t="str">
        <f>TEST_DATA!A6273</f>
        <v>27AAAAA6273Z5</v>
      </c>
      <c r="B6273" t="str">
        <f>TEST_DATA!B6273</f>
        <v>Jun-2019</v>
      </c>
      <c r="C6273">
        <f>TEST_DATA!C6273</f>
        <v>43659</v>
      </c>
      <c r="D6273" t="str">
        <f>TEST_DATA!D6273</f>
        <v>NON-NIL</v>
      </c>
      <c r="E6273">
        <f>TEST_DATA!E6273</f>
        <v>1263</v>
      </c>
    </row>
    <row r="6274" spans="1:5" x14ac:dyDescent="0.55000000000000004">
      <c r="A6274" t="str">
        <f>TEST_DATA!A6274</f>
        <v>27AAAAA6274Z5</v>
      </c>
      <c r="B6274" t="str">
        <f>TEST_DATA!B6274</f>
        <v>Apr-2020</v>
      </c>
      <c r="C6274">
        <f>TEST_DATA!C6274</f>
        <v>44020</v>
      </c>
      <c r="D6274" t="str">
        <f>TEST_DATA!D6274</f>
        <v>NON-NIL</v>
      </c>
      <c r="E6274">
        <f>TEST_DATA!E6274</f>
        <v>1835</v>
      </c>
    </row>
    <row r="6275" spans="1:5" x14ac:dyDescent="0.55000000000000004">
      <c r="A6275" t="str">
        <f>TEST_DATA!A6275</f>
        <v>27AAAAA6275Z5</v>
      </c>
      <c r="B6275" t="str">
        <f>TEST_DATA!B6275</f>
        <v>Sep-2018</v>
      </c>
      <c r="C6275">
        <f>TEST_DATA!C6275</f>
        <v>43546</v>
      </c>
      <c r="D6275" t="str">
        <f>TEST_DATA!D6275</f>
        <v>NON-NIL</v>
      </c>
      <c r="E6275">
        <f>TEST_DATA!E6275</f>
        <v>1931</v>
      </c>
    </row>
    <row r="6276" spans="1:5" x14ac:dyDescent="0.55000000000000004">
      <c r="A6276" t="str">
        <f>TEST_DATA!A6276</f>
        <v>27AAAAA6276Z5</v>
      </c>
      <c r="B6276" t="str">
        <f>TEST_DATA!B6276</f>
        <v>Feb-2018</v>
      </c>
      <c r="C6276">
        <f>TEST_DATA!C6276</f>
        <v>44483</v>
      </c>
      <c r="D6276" t="str">
        <f>TEST_DATA!D6276</f>
        <v>NON-NIL</v>
      </c>
      <c r="E6276">
        <f>TEST_DATA!E6276</f>
        <v>2615</v>
      </c>
    </row>
    <row r="6277" spans="1:5" x14ac:dyDescent="0.55000000000000004">
      <c r="A6277" t="str">
        <f>TEST_DATA!A6277</f>
        <v>27AAAAA6277Z5</v>
      </c>
      <c r="B6277" t="str">
        <f>TEST_DATA!B6277</f>
        <v>Jan-2018</v>
      </c>
      <c r="C6277">
        <f>TEST_DATA!C6277</f>
        <v>43647</v>
      </c>
      <c r="D6277" t="str">
        <f>TEST_DATA!D6277</f>
        <v>NIL</v>
      </c>
      <c r="E6277">
        <f>TEST_DATA!E6277</f>
        <v>1218</v>
      </c>
    </row>
    <row r="6278" spans="1:5" x14ac:dyDescent="0.55000000000000004">
      <c r="A6278" t="str">
        <f>TEST_DATA!A6278</f>
        <v>27AAAAA6278Z5</v>
      </c>
      <c r="B6278" t="str">
        <f>TEST_DATA!B6278</f>
        <v>Sep-2018</v>
      </c>
      <c r="C6278">
        <f>TEST_DATA!C6278</f>
        <v>44000</v>
      </c>
      <c r="D6278" t="str">
        <f>TEST_DATA!D6278</f>
        <v>NON-NIL</v>
      </c>
      <c r="E6278">
        <f>TEST_DATA!E6278</f>
        <v>459</v>
      </c>
    </row>
    <row r="6279" spans="1:5" x14ac:dyDescent="0.55000000000000004">
      <c r="A6279" t="str">
        <f>TEST_DATA!A6279</f>
        <v>27AAAAA6279Z5</v>
      </c>
      <c r="B6279" t="str">
        <f>TEST_DATA!B6279</f>
        <v>Dec-2022</v>
      </c>
      <c r="C6279">
        <f>TEST_DATA!C6279</f>
        <v>45355</v>
      </c>
      <c r="D6279" t="str">
        <f>TEST_DATA!D6279</f>
        <v>NIL</v>
      </c>
      <c r="E6279">
        <f>TEST_DATA!E6279</f>
        <v>1459</v>
      </c>
    </row>
    <row r="6280" spans="1:5" x14ac:dyDescent="0.55000000000000004">
      <c r="A6280" t="str">
        <f>TEST_DATA!A6280</f>
        <v>27AAAAA6280Z5</v>
      </c>
      <c r="B6280" t="str">
        <f>TEST_DATA!B6280</f>
        <v>Mar-2020</v>
      </c>
      <c r="C6280">
        <f>TEST_DATA!C6280</f>
        <v>44445</v>
      </c>
      <c r="D6280" t="str">
        <f>TEST_DATA!D6280</f>
        <v>NON-NIL</v>
      </c>
      <c r="E6280">
        <f>TEST_DATA!E6280</f>
        <v>816</v>
      </c>
    </row>
    <row r="6281" spans="1:5" x14ac:dyDescent="0.55000000000000004">
      <c r="A6281" t="str">
        <f>TEST_DATA!A6281</f>
        <v>27AAAAA6281Z5</v>
      </c>
      <c r="B6281" t="str">
        <f>TEST_DATA!B6281</f>
        <v>Mar-2018</v>
      </c>
      <c r="C6281">
        <f>TEST_DATA!C6281</f>
        <v>43509</v>
      </c>
      <c r="D6281" t="str">
        <f>TEST_DATA!D6281</f>
        <v>NIL</v>
      </c>
      <c r="E6281">
        <f>TEST_DATA!E6281</f>
        <v>150</v>
      </c>
    </row>
    <row r="6282" spans="1:5" x14ac:dyDescent="0.55000000000000004">
      <c r="A6282" t="str">
        <f>TEST_DATA!A6282</f>
        <v>27AAAAA6282Z5</v>
      </c>
      <c r="B6282" t="str">
        <f>TEST_DATA!B6282</f>
        <v>May-2018</v>
      </c>
      <c r="C6282">
        <f>TEST_DATA!C6282</f>
        <v>43390</v>
      </c>
      <c r="D6282" t="str">
        <f>TEST_DATA!D6282</f>
        <v>NON-NIL</v>
      </c>
      <c r="E6282">
        <f>TEST_DATA!E6282</f>
        <v>2091</v>
      </c>
    </row>
    <row r="6283" spans="1:5" x14ac:dyDescent="0.55000000000000004">
      <c r="A6283" t="str">
        <f>TEST_DATA!A6283</f>
        <v>27AAAAA6283Z5</v>
      </c>
      <c r="B6283" t="str">
        <f>TEST_DATA!B6283</f>
        <v>Dec-2019</v>
      </c>
      <c r="C6283">
        <f>TEST_DATA!C6283</f>
        <v>43590</v>
      </c>
      <c r="D6283" t="str">
        <f>TEST_DATA!D6283</f>
        <v>NIL</v>
      </c>
      <c r="E6283">
        <f>TEST_DATA!E6283</f>
        <v>799</v>
      </c>
    </row>
    <row r="6284" spans="1:5" x14ac:dyDescent="0.55000000000000004">
      <c r="A6284" t="str">
        <f>TEST_DATA!A6284</f>
        <v>27AAAAA6284Z5</v>
      </c>
      <c r="B6284" t="str">
        <f>TEST_DATA!B6284</f>
        <v>Oct-2017</v>
      </c>
      <c r="C6284">
        <f>TEST_DATA!C6284</f>
        <v>44002</v>
      </c>
      <c r="D6284" t="str">
        <f>TEST_DATA!D6284</f>
        <v>NIL</v>
      </c>
      <c r="E6284">
        <f>TEST_DATA!E6284</f>
        <v>1725</v>
      </c>
    </row>
    <row r="6285" spans="1:5" x14ac:dyDescent="0.55000000000000004">
      <c r="A6285" t="str">
        <f>TEST_DATA!A6285</f>
        <v>27AAAAA6285Z5</v>
      </c>
      <c r="B6285" t="str">
        <f>TEST_DATA!B6285</f>
        <v>Sep-2017</v>
      </c>
      <c r="C6285">
        <f>TEST_DATA!C6285</f>
        <v>44529</v>
      </c>
      <c r="D6285" t="str">
        <f>TEST_DATA!D6285</f>
        <v>NIL</v>
      </c>
      <c r="E6285">
        <f>TEST_DATA!E6285</f>
        <v>2819</v>
      </c>
    </row>
    <row r="6286" spans="1:5" x14ac:dyDescent="0.55000000000000004">
      <c r="A6286" t="str">
        <f>TEST_DATA!A6286</f>
        <v>27AAAAA6286Z5</v>
      </c>
      <c r="B6286" t="str">
        <f>TEST_DATA!B6286</f>
        <v>Jan-2018</v>
      </c>
      <c r="C6286">
        <f>TEST_DATA!C6286</f>
        <v>43407</v>
      </c>
      <c r="D6286" t="str">
        <f>TEST_DATA!D6286</f>
        <v>NIL</v>
      </c>
      <c r="E6286">
        <f>TEST_DATA!E6286</f>
        <v>1749</v>
      </c>
    </row>
    <row r="6287" spans="1:5" x14ac:dyDescent="0.55000000000000004">
      <c r="A6287" t="str">
        <f>TEST_DATA!A6287</f>
        <v>27AAAAA6287Z5</v>
      </c>
      <c r="B6287" t="str">
        <f>TEST_DATA!B6287</f>
        <v>Aug-2017</v>
      </c>
      <c r="C6287">
        <f>TEST_DATA!C6287</f>
        <v>43967</v>
      </c>
      <c r="D6287" t="str">
        <f>TEST_DATA!D6287</f>
        <v>NON-NIL</v>
      </c>
      <c r="E6287">
        <f>TEST_DATA!E6287</f>
        <v>2072</v>
      </c>
    </row>
    <row r="6288" spans="1:5" x14ac:dyDescent="0.55000000000000004">
      <c r="A6288" t="str">
        <f>TEST_DATA!A6288</f>
        <v>27AAAAA6288Z5</v>
      </c>
      <c r="B6288" t="str">
        <f>TEST_DATA!B6288</f>
        <v>Dec-2019</v>
      </c>
      <c r="C6288">
        <f>TEST_DATA!C6288</f>
        <v>44183</v>
      </c>
      <c r="D6288" t="str">
        <f>TEST_DATA!D6288</f>
        <v>NIL</v>
      </c>
      <c r="E6288">
        <f>TEST_DATA!E6288</f>
        <v>1444</v>
      </c>
    </row>
    <row r="6289" spans="1:5" x14ac:dyDescent="0.55000000000000004">
      <c r="A6289" t="str">
        <f>TEST_DATA!A6289</f>
        <v>27AAAAA6289Z5</v>
      </c>
      <c r="B6289" t="str">
        <f>TEST_DATA!B6289</f>
        <v>Apr-2021</v>
      </c>
      <c r="C6289">
        <f>TEST_DATA!C6289</f>
        <v>44179</v>
      </c>
      <c r="D6289" t="str">
        <f>TEST_DATA!D6289</f>
        <v>NON-NIL</v>
      </c>
      <c r="E6289">
        <f>TEST_DATA!E6289</f>
        <v>2225</v>
      </c>
    </row>
    <row r="6290" spans="1:5" x14ac:dyDescent="0.55000000000000004">
      <c r="A6290" t="str">
        <f>TEST_DATA!A6290</f>
        <v>27AAAAA6290Z5</v>
      </c>
      <c r="B6290" t="str">
        <f>TEST_DATA!B6290</f>
        <v>Jan-2019</v>
      </c>
      <c r="C6290">
        <f>TEST_DATA!C6290</f>
        <v>44270</v>
      </c>
      <c r="D6290" t="str">
        <f>TEST_DATA!D6290</f>
        <v>NIL</v>
      </c>
      <c r="E6290">
        <f>TEST_DATA!E6290</f>
        <v>1168</v>
      </c>
    </row>
    <row r="6291" spans="1:5" x14ac:dyDescent="0.55000000000000004">
      <c r="A6291" t="str">
        <f>TEST_DATA!A6291</f>
        <v>27AAAAA6291Z5</v>
      </c>
      <c r="B6291" t="str">
        <f>TEST_DATA!B6291</f>
        <v>Dec-2022</v>
      </c>
      <c r="C6291">
        <f>TEST_DATA!C6291</f>
        <v>45738</v>
      </c>
      <c r="D6291" t="str">
        <f>TEST_DATA!D6291</f>
        <v>NON-NIL</v>
      </c>
      <c r="E6291">
        <f>TEST_DATA!E6291</f>
        <v>753</v>
      </c>
    </row>
    <row r="6292" spans="1:5" x14ac:dyDescent="0.55000000000000004">
      <c r="A6292" t="str">
        <f>TEST_DATA!A6292</f>
        <v>27AAAAA6292Z5</v>
      </c>
      <c r="B6292" t="str">
        <f>TEST_DATA!B6292</f>
        <v>May-2018</v>
      </c>
      <c r="C6292">
        <f>TEST_DATA!C6292</f>
        <v>44318</v>
      </c>
      <c r="D6292" t="str">
        <f>TEST_DATA!D6292</f>
        <v>NIL</v>
      </c>
      <c r="E6292">
        <f>TEST_DATA!E6292</f>
        <v>1283</v>
      </c>
    </row>
    <row r="6293" spans="1:5" x14ac:dyDescent="0.55000000000000004">
      <c r="A6293" t="str">
        <f>TEST_DATA!A6293</f>
        <v>27AAAAA6293Z5</v>
      </c>
      <c r="B6293" t="str">
        <f>TEST_DATA!B6293</f>
        <v>Dec-2017</v>
      </c>
      <c r="C6293">
        <f>TEST_DATA!C6293</f>
        <v>43167</v>
      </c>
      <c r="D6293" t="str">
        <f>TEST_DATA!D6293</f>
        <v>NON-NIL</v>
      </c>
      <c r="E6293">
        <f>TEST_DATA!E6293</f>
        <v>2832</v>
      </c>
    </row>
    <row r="6294" spans="1:5" x14ac:dyDescent="0.55000000000000004">
      <c r="A6294" t="str">
        <f>TEST_DATA!A6294</f>
        <v>27AAAAA6294Z5</v>
      </c>
      <c r="B6294" t="str">
        <f>TEST_DATA!B6294</f>
        <v>Apr-2018</v>
      </c>
      <c r="C6294">
        <f>TEST_DATA!C6294</f>
        <v>43753</v>
      </c>
      <c r="D6294" t="str">
        <f>TEST_DATA!D6294</f>
        <v>NON-NIL</v>
      </c>
      <c r="E6294">
        <f>TEST_DATA!E6294</f>
        <v>2707</v>
      </c>
    </row>
    <row r="6295" spans="1:5" x14ac:dyDescent="0.55000000000000004">
      <c r="A6295" t="str">
        <f>TEST_DATA!A6295</f>
        <v>27AAAAA6295Z5</v>
      </c>
      <c r="B6295" t="str">
        <f>TEST_DATA!B6295</f>
        <v>Jan-2018</v>
      </c>
      <c r="C6295">
        <f>TEST_DATA!C6295</f>
        <v>43587</v>
      </c>
      <c r="D6295" t="str">
        <f>TEST_DATA!D6295</f>
        <v>NIL</v>
      </c>
      <c r="E6295">
        <f>TEST_DATA!E6295</f>
        <v>1976</v>
      </c>
    </row>
    <row r="6296" spans="1:5" x14ac:dyDescent="0.55000000000000004">
      <c r="A6296" t="str">
        <f>TEST_DATA!A6296</f>
        <v>27AAAAA6296Z5</v>
      </c>
      <c r="B6296" t="str">
        <f>TEST_DATA!B6296</f>
        <v>Apr-2021</v>
      </c>
      <c r="C6296">
        <f>TEST_DATA!C6296</f>
        <v>45562</v>
      </c>
      <c r="D6296" t="str">
        <f>TEST_DATA!D6296</f>
        <v>NIL</v>
      </c>
      <c r="E6296">
        <f>TEST_DATA!E6296</f>
        <v>415</v>
      </c>
    </row>
    <row r="6297" spans="1:5" x14ac:dyDescent="0.55000000000000004">
      <c r="A6297" t="str">
        <f>TEST_DATA!A6297</f>
        <v>27AAAAA6297Z5</v>
      </c>
      <c r="B6297" t="str">
        <f>TEST_DATA!B6297</f>
        <v>Jun-2019</v>
      </c>
      <c r="C6297">
        <f>TEST_DATA!C6297</f>
        <v>45778</v>
      </c>
      <c r="D6297" t="str">
        <f>TEST_DATA!D6297</f>
        <v>NIL</v>
      </c>
      <c r="E6297">
        <f>TEST_DATA!E6297</f>
        <v>1459</v>
      </c>
    </row>
    <row r="6298" spans="1:5" x14ac:dyDescent="0.55000000000000004">
      <c r="A6298" t="str">
        <f>TEST_DATA!A6298</f>
        <v>27AAAAA6298Z5</v>
      </c>
      <c r="B6298" t="str">
        <f>TEST_DATA!B6298</f>
        <v>Aug-2018</v>
      </c>
      <c r="C6298">
        <f>TEST_DATA!C6298</f>
        <v>44321</v>
      </c>
      <c r="D6298" t="str">
        <f>TEST_DATA!D6298</f>
        <v>NON-NIL</v>
      </c>
      <c r="E6298">
        <f>TEST_DATA!E6298</f>
        <v>770</v>
      </c>
    </row>
    <row r="6299" spans="1:5" x14ac:dyDescent="0.55000000000000004">
      <c r="A6299" t="str">
        <f>TEST_DATA!A6299</f>
        <v>27AAAAA6299Z5</v>
      </c>
      <c r="B6299" t="str">
        <f>TEST_DATA!B6299</f>
        <v>Apr-2018</v>
      </c>
      <c r="C6299">
        <f>TEST_DATA!C6299</f>
        <v>43488</v>
      </c>
      <c r="D6299" t="str">
        <f>TEST_DATA!D6299</f>
        <v>NON-NIL</v>
      </c>
      <c r="E6299">
        <f>TEST_DATA!E6299</f>
        <v>2033</v>
      </c>
    </row>
    <row r="6300" spans="1:5" x14ac:dyDescent="0.55000000000000004">
      <c r="A6300" t="str">
        <f>TEST_DATA!A6300</f>
        <v>27AAAAA6300Z5</v>
      </c>
      <c r="B6300" t="str">
        <f>TEST_DATA!B6300</f>
        <v>Sep-2017</v>
      </c>
      <c r="C6300">
        <f>TEST_DATA!C6300</f>
        <v>44422</v>
      </c>
      <c r="D6300" t="str">
        <f>TEST_DATA!D6300</f>
        <v>NON-NIL</v>
      </c>
      <c r="E6300">
        <f>TEST_DATA!E6300</f>
        <v>1813</v>
      </c>
    </row>
    <row r="6301" spans="1:5" x14ac:dyDescent="0.55000000000000004">
      <c r="A6301" t="str">
        <f>TEST_DATA!A6301</f>
        <v>27AAAAA6301Z5</v>
      </c>
      <c r="B6301" t="str">
        <f>TEST_DATA!B6301</f>
        <v>Jan-2021</v>
      </c>
      <c r="C6301">
        <f>TEST_DATA!C6301</f>
        <v>45017</v>
      </c>
      <c r="D6301" t="str">
        <f>TEST_DATA!D6301</f>
        <v>NIL</v>
      </c>
      <c r="E6301">
        <f>TEST_DATA!E6301</f>
        <v>2426</v>
      </c>
    </row>
    <row r="6302" spans="1:5" x14ac:dyDescent="0.55000000000000004">
      <c r="A6302" t="str">
        <f>TEST_DATA!A6302</f>
        <v>27AAAAA6302Z5</v>
      </c>
      <c r="B6302" t="str">
        <f>TEST_DATA!B6302</f>
        <v>Apr-2021</v>
      </c>
      <c r="C6302">
        <f>TEST_DATA!C6302</f>
        <v>45094</v>
      </c>
      <c r="D6302" t="str">
        <f>TEST_DATA!D6302</f>
        <v>NIL</v>
      </c>
      <c r="E6302">
        <f>TEST_DATA!E6302</f>
        <v>1271</v>
      </c>
    </row>
    <row r="6303" spans="1:5" x14ac:dyDescent="0.55000000000000004">
      <c r="A6303" t="str">
        <f>TEST_DATA!A6303</f>
        <v>27AAAAA6303Z5</v>
      </c>
      <c r="B6303" t="str">
        <f>TEST_DATA!B6303</f>
        <v>Feb-2018</v>
      </c>
      <c r="C6303">
        <f>TEST_DATA!C6303</f>
        <v>43346</v>
      </c>
      <c r="D6303" t="str">
        <f>TEST_DATA!D6303</f>
        <v>NON-NIL</v>
      </c>
      <c r="E6303">
        <f>TEST_DATA!E6303</f>
        <v>559</v>
      </c>
    </row>
    <row r="6304" spans="1:5" x14ac:dyDescent="0.55000000000000004">
      <c r="A6304" t="str">
        <f>TEST_DATA!A6304</f>
        <v>27AAAAA6304Z5</v>
      </c>
      <c r="B6304" t="str">
        <f>TEST_DATA!B6304</f>
        <v>Mar-2020</v>
      </c>
      <c r="C6304">
        <f>TEST_DATA!C6304</f>
        <v>44357</v>
      </c>
      <c r="D6304" t="str">
        <f>TEST_DATA!D6304</f>
        <v>NON-NIL</v>
      </c>
      <c r="E6304">
        <f>TEST_DATA!E6304</f>
        <v>2576</v>
      </c>
    </row>
    <row r="6305" spans="1:5" x14ac:dyDescent="0.55000000000000004">
      <c r="A6305" t="str">
        <f>TEST_DATA!A6305</f>
        <v>27AAAAA6305Z5</v>
      </c>
      <c r="B6305" t="str">
        <f>TEST_DATA!B6305</f>
        <v>Apr-2021</v>
      </c>
      <c r="C6305">
        <f>TEST_DATA!C6305</f>
        <v>45227</v>
      </c>
      <c r="D6305" t="str">
        <f>TEST_DATA!D6305</f>
        <v>NON-NIL</v>
      </c>
      <c r="E6305">
        <f>TEST_DATA!E6305</f>
        <v>1398</v>
      </c>
    </row>
    <row r="6306" spans="1:5" x14ac:dyDescent="0.55000000000000004">
      <c r="A6306" t="str">
        <f>TEST_DATA!A6306</f>
        <v>27AAAAA6306Z5</v>
      </c>
      <c r="B6306" t="str">
        <f>TEST_DATA!B6306</f>
        <v>Aug-2017</v>
      </c>
      <c r="C6306">
        <f>TEST_DATA!C6306</f>
        <v>44165</v>
      </c>
      <c r="D6306" t="str">
        <f>TEST_DATA!D6306</f>
        <v>NIL</v>
      </c>
      <c r="E6306">
        <f>TEST_DATA!E6306</f>
        <v>2824</v>
      </c>
    </row>
    <row r="6307" spans="1:5" x14ac:dyDescent="0.55000000000000004">
      <c r="A6307" t="str">
        <f>TEST_DATA!A6307</f>
        <v>27AAAAA6307Z5</v>
      </c>
      <c r="B6307" t="str">
        <f>TEST_DATA!B6307</f>
        <v>Aug-2017</v>
      </c>
      <c r="C6307">
        <f>TEST_DATA!C6307</f>
        <v>43146</v>
      </c>
      <c r="D6307" t="str">
        <f>TEST_DATA!D6307</f>
        <v>NIL</v>
      </c>
      <c r="E6307">
        <f>TEST_DATA!E6307</f>
        <v>2180</v>
      </c>
    </row>
    <row r="6308" spans="1:5" x14ac:dyDescent="0.55000000000000004">
      <c r="A6308" t="str">
        <f>TEST_DATA!A6308</f>
        <v>27AAAAA6308Z5</v>
      </c>
      <c r="B6308" t="str">
        <f>TEST_DATA!B6308</f>
        <v>Apr-2020</v>
      </c>
      <c r="C6308">
        <f>TEST_DATA!C6308</f>
        <v>44527</v>
      </c>
      <c r="D6308" t="str">
        <f>TEST_DATA!D6308</f>
        <v>NON-NIL</v>
      </c>
      <c r="E6308">
        <f>TEST_DATA!E6308</f>
        <v>933</v>
      </c>
    </row>
    <row r="6309" spans="1:5" x14ac:dyDescent="0.55000000000000004">
      <c r="A6309" t="str">
        <f>TEST_DATA!A6309</f>
        <v>27AAAAA6309Z5</v>
      </c>
      <c r="B6309" t="str">
        <f>TEST_DATA!B6309</f>
        <v>Mar-2020</v>
      </c>
      <c r="C6309">
        <f>TEST_DATA!C6309</f>
        <v>43865</v>
      </c>
      <c r="D6309" t="str">
        <f>TEST_DATA!D6309</f>
        <v>NIL</v>
      </c>
      <c r="E6309">
        <f>TEST_DATA!E6309</f>
        <v>2800</v>
      </c>
    </row>
    <row r="6310" spans="1:5" x14ac:dyDescent="0.55000000000000004">
      <c r="A6310" t="str">
        <f>TEST_DATA!A6310</f>
        <v>27AAAAA6310Z5</v>
      </c>
      <c r="B6310" t="str">
        <f>TEST_DATA!B6310</f>
        <v>Jul-2020</v>
      </c>
      <c r="C6310">
        <f>TEST_DATA!C6310</f>
        <v>44528</v>
      </c>
      <c r="D6310" t="str">
        <f>TEST_DATA!D6310</f>
        <v>NIL</v>
      </c>
      <c r="E6310">
        <f>TEST_DATA!E6310</f>
        <v>389</v>
      </c>
    </row>
    <row r="6311" spans="1:5" x14ac:dyDescent="0.55000000000000004">
      <c r="A6311" t="str">
        <f>TEST_DATA!A6311</f>
        <v>27AAAAA6311Z5</v>
      </c>
      <c r="B6311" t="str">
        <f>TEST_DATA!B6311</f>
        <v>Jul-2020</v>
      </c>
      <c r="C6311">
        <f>TEST_DATA!C6311</f>
        <v>44005</v>
      </c>
      <c r="D6311" t="str">
        <f>TEST_DATA!D6311</f>
        <v>NON-NIL</v>
      </c>
      <c r="E6311">
        <f>TEST_DATA!E6311</f>
        <v>2717</v>
      </c>
    </row>
    <row r="6312" spans="1:5" x14ac:dyDescent="0.55000000000000004">
      <c r="A6312" t="str">
        <f>TEST_DATA!A6312</f>
        <v>27AAAAA6312Z5</v>
      </c>
      <c r="B6312" t="str">
        <f>TEST_DATA!B6312</f>
        <v>Jun-2019</v>
      </c>
      <c r="C6312">
        <f>TEST_DATA!C6312</f>
        <v>44655</v>
      </c>
      <c r="D6312" t="str">
        <f>TEST_DATA!D6312</f>
        <v>NON-NIL</v>
      </c>
      <c r="E6312">
        <f>TEST_DATA!E6312</f>
        <v>697</v>
      </c>
    </row>
    <row r="6313" spans="1:5" x14ac:dyDescent="0.55000000000000004">
      <c r="A6313" t="str">
        <f>TEST_DATA!A6313</f>
        <v>27AAAAA6313Z5</v>
      </c>
      <c r="B6313" t="str">
        <f>TEST_DATA!B6313</f>
        <v>May-2020</v>
      </c>
      <c r="C6313">
        <f>TEST_DATA!C6313</f>
        <v>44434</v>
      </c>
      <c r="D6313" t="str">
        <f>TEST_DATA!D6313</f>
        <v>NON-NIL</v>
      </c>
      <c r="E6313">
        <f>TEST_DATA!E6313</f>
        <v>1134</v>
      </c>
    </row>
    <row r="6314" spans="1:5" x14ac:dyDescent="0.55000000000000004">
      <c r="A6314" t="str">
        <f>TEST_DATA!A6314</f>
        <v>27AAAAA6314Z5</v>
      </c>
      <c r="B6314" t="str">
        <f>TEST_DATA!B6314</f>
        <v>Jan-2021</v>
      </c>
      <c r="C6314">
        <f>TEST_DATA!C6314</f>
        <v>45573</v>
      </c>
      <c r="D6314" t="str">
        <f>TEST_DATA!D6314</f>
        <v>NON-NIL</v>
      </c>
      <c r="E6314">
        <f>TEST_DATA!E6314</f>
        <v>2536</v>
      </c>
    </row>
    <row r="6315" spans="1:5" x14ac:dyDescent="0.55000000000000004">
      <c r="A6315" t="str">
        <f>TEST_DATA!A6315</f>
        <v>27AAAAA6315Z5</v>
      </c>
      <c r="B6315" t="str">
        <f>TEST_DATA!B6315</f>
        <v>Mar-2021</v>
      </c>
      <c r="C6315">
        <f>TEST_DATA!C6315</f>
        <v>45341</v>
      </c>
      <c r="D6315" t="str">
        <f>TEST_DATA!D6315</f>
        <v>NON-NIL</v>
      </c>
      <c r="E6315">
        <f>TEST_DATA!E6315</f>
        <v>1794</v>
      </c>
    </row>
    <row r="6316" spans="1:5" x14ac:dyDescent="0.55000000000000004">
      <c r="A6316" t="str">
        <f>TEST_DATA!A6316</f>
        <v>27AAAAA6316Z5</v>
      </c>
      <c r="B6316" t="str">
        <f>TEST_DATA!B6316</f>
        <v>Dec-2017</v>
      </c>
      <c r="C6316">
        <f>TEST_DATA!C6316</f>
        <v>44066</v>
      </c>
      <c r="D6316" t="str">
        <f>TEST_DATA!D6316</f>
        <v>NON-NIL</v>
      </c>
      <c r="E6316">
        <f>TEST_DATA!E6316</f>
        <v>2008</v>
      </c>
    </row>
    <row r="6317" spans="1:5" x14ac:dyDescent="0.55000000000000004">
      <c r="A6317" t="str">
        <f>TEST_DATA!A6317</f>
        <v>27AAAAA6317Z5</v>
      </c>
      <c r="B6317" t="str">
        <f>TEST_DATA!B6317</f>
        <v>May-2018</v>
      </c>
      <c r="C6317">
        <f>TEST_DATA!C6317</f>
        <v>44217</v>
      </c>
      <c r="D6317" t="str">
        <f>TEST_DATA!D6317</f>
        <v>NON-NIL</v>
      </c>
      <c r="E6317">
        <f>TEST_DATA!E6317</f>
        <v>2129</v>
      </c>
    </row>
    <row r="6318" spans="1:5" x14ac:dyDescent="0.55000000000000004">
      <c r="A6318" t="str">
        <f>TEST_DATA!A6318</f>
        <v>27AAAAA6318Z5</v>
      </c>
      <c r="B6318" t="str">
        <f>TEST_DATA!B6318</f>
        <v>Nov-2017</v>
      </c>
      <c r="C6318">
        <f>TEST_DATA!C6318</f>
        <v>43978</v>
      </c>
      <c r="D6318" t="str">
        <f>TEST_DATA!D6318</f>
        <v>NIL</v>
      </c>
      <c r="E6318">
        <f>TEST_DATA!E6318</f>
        <v>2426</v>
      </c>
    </row>
    <row r="6319" spans="1:5" x14ac:dyDescent="0.55000000000000004">
      <c r="A6319" t="str">
        <f>TEST_DATA!A6319</f>
        <v>27AAAAA6319Z5</v>
      </c>
      <c r="B6319" t="str">
        <f>TEST_DATA!B6319</f>
        <v>Aug-2017</v>
      </c>
      <c r="C6319">
        <f>TEST_DATA!C6319</f>
        <v>43283</v>
      </c>
      <c r="D6319" t="str">
        <f>TEST_DATA!D6319</f>
        <v>NIL</v>
      </c>
      <c r="E6319">
        <f>TEST_DATA!E6319</f>
        <v>292</v>
      </c>
    </row>
    <row r="6320" spans="1:5" x14ac:dyDescent="0.55000000000000004">
      <c r="A6320" t="str">
        <f>TEST_DATA!A6320</f>
        <v>27AAAAA6320Z5</v>
      </c>
      <c r="B6320" t="str">
        <f>TEST_DATA!B6320</f>
        <v>Sep-2018</v>
      </c>
      <c r="C6320">
        <f>TEST_DATA!C6320</f>
        <v>44443</v>
      </c>
      <c r="D6320" t="str">
        <f>TEST_DATA!D6320</f>
        <v>NON-NIL</v>
      </c>
      <c r="E6320">
        <f>TEST_DATA!E6320</f>
        <v>2994</v>
      </c>
    </row>
    <row r="6321" spans="1:5" x14ac:dyDescent="0.55000000000000004">
      <c r="A6321" t="str">
        <f>TEST_DATA!A6321</f>
        <v>27AAAAA6321Z5</v>
      </c>
      <c r="B6321" t="str">
        <f>TEST_DATA!B6321</f>
        <v>Dec-2019</v>
      </c>
      <c r="C6321">
        <f>TEST_DATA!C6321</f>
        <v>43769</v>
      </c>
      <c r="D6321" t="str">
        <f>TEST_DATA!D6321</f>
        <v>NIL</v>
      </c>
      <c r="E6321">
        <f>TEST_DATA!E6321</f>
        <v>1225</v>
      </c>
    </row>
    <row r="6322" spans="1:5" x14ac:dyDescent="0.55000000000000004">
      <c r="A6322" t="str">
        <f>TEST_DATA!A6322</f>
        <v>27AAAAA6322Z5</v>
      </c>
      <c r="B6322" t="str">
        <f>TEST_DATA!B6322</f>
        <v>Jun-2019</v>
      </c>
      <c r="C6322">
        <f>TEST_DATA!C6322</f>
        <v>45679</v>
      </c>
      <c r="D6322" t="str">
        <f>TEST_DATA!D6322</f>
        <v>NIL</v>
      </c>
      <c r="E6322">
        <f>TEST_DATA!E6322</f>
        <v>2618</v>
      </c>
    </row>
    <row r="6323" spans="1:5" x14ac:dyDescent="0.55000000000000004">
      <c r="A6323" t="str">
        <f>TEST_DATA!A6323</f>
        <v>27AAAAA6323Z5</v>
      </c>
      <c r="B6323" t="str">
        <f>TEST_DATA!B6323</f>
        <v>Apr-2020</v>
      </c>
      <c r="C6323">
        <f>TEST_DATA!C6323</f>
        <v>44756</v>
      </c>
      <c r="D6323" t="str">
        <f>TEST_DATA!D6323</f>
        <v>NIL</v>
      </c>
      <c r="E6323">
        <f>TEST_DATA!E6323</f>
        <v>1892</v>
      </c>
    </row>
    <row r="6324" spans="1:5" x14ac:dyDescent="0.55000000000000004">
      <c r="A6324" t="str">
        <f>TEST_DATA!A6324</f>
        <v>27AAAAA6324Z5</v>
      </c>
      <c r="B6324" t="str">
        <f>TEST_DATA!B6324</f>
        <v>Jul-2017</v>
      </c>
      <c r="C6324">
        <f>TEST_DATA!C6324</f>
        <v>43589</v>
      </c>
      <c r="D6324" t="str">
        <f>TEST_DATA!D6324</f>
        <v>NON-NIL</v>
      </c>
      <c r="E6324">
        <f>TEST_DATA!E6324</f>
        <v>1075</v>
      </c>
    </row>
    <row r="6325" spans="1:5" x14ac:dyDescent="0.55000000000000004">
      <c r="A6325" t="str">
        <f>TEST_DATA!A6325</f>
        <v>27AAAAA6325Z5</v>
      </c>
      <c r="B6325" t="str">
        <f>TEST_DATA!B6325</f>
        <v>May-2018</v>
      </c>
      <c r="C6325">
        <f>TEST_DATA!C6325</f>
        <v>43119</v>
      </c>
      <c r="D6325" t="str">
        <f>TEST_DATA!D6325</f>
        <v>NON-NIL</v>
      </c>
      <c r="E6325">
        <f>TEST_DATA!E6325</f>
        <v>844</v>
      </c>
    </row>
    <row r="6326" spans="1:5" x14ac:dyDescent="0.55000000000000004">
      <c r="A6326" t="str">
        <f>TEST_DATA!A6326</f>
        <v>27AAAAA6326Z5</v>
      </c>
      <c r="B6326" t="str">
        <f>TEST_DATA!B6326</f>
        <v>Aug-2018</v>
      </c>
      <c r="C6326">
        <f>TEST_DATA!C6326</f>
        <v>43933</v>
      </c>
      <c r="D6326" t="str">
        <f>TEST_DATA!D6326</f>
        <v>NIL</v>
      </c>
      <c r="E6326">
        <f>TEST_DATA!E6326</f>
        <v>2142</v>
      </c>
    </row>
    <row r="6327" spans="1:5" x14ac:dyDescent="0.55000000000000004">
      <c r="A6327" t="str">
        <f>TEST_DATA!A6327</f>
        <v>27AAAAA6327Z5</v>
      </c>
      <c r="B6327" t="str">
        <f>TEST_DATA!B6327</f>
        <v>Jul-2018</v>
      </c>
      <c r="C6327">
        <f>TEST_DATA!C6327</f>
        <v>43988</v>
      </c>
      <c r="D6327" t="str">
        <f>TEST_DATA!D6327</f>
        <v>NIL</v>
      </c>
      <c r="E6327">
        <f>TEST_DATA!E6327</f>
        <v>339</v>
      </c>
    </row>
    <row r="6328" spans="1:5" x14ac:dyDescent="0.55000000000000004">
      <c r="A6328" t="str">
        <f>TEST_DATA!A6328</f>
        <v>27AAAAA6328Z5</v>
      </c>
      <c r="B6328" t="str">
        <f>TEST_DATA!B6328</f>
        <v>Dec-2017</v>
      </c>
      <c r="C6328">
        <f>TEST_DATA!C6328</f>
        <v>44404</v>
      </c>
      <c r="D6328" t="str">
        <f>TEST_DATA!D6328</f>
        <v>NIL</v>
      </c>
      <c r="E6328">
        <f>TEST_DATA!E6328</f>
        <v>2614</v>
      </c>
    </row>
    <row r="6329" spans="1:5" x14ac:dyDescent="0.55000000000000004">
      <c r="A6329" t="str">
        <f>TEST_DATA!A6329</f>
        <v>27AAAAA6329Z5</v>
      </c>
      <c r="B6329" t="str">
        <f>TEST_DATA!B6329</f>
        <v>Jul-2017</v>
      </c>
      <c r="C6329">
        <f>TEST_DATA!C6329</f>
        <v>43346</v>
      </c>
      <c r="D6329" t="str">
        <f>TEST_DATA!D6329</f>
        <v>NON-NIL</v>
      </c>
      <c r="E6329">
        <f>TEST_DATA!E6329</f>
        <v>1779</v>
      </c>
    </row>
    <row r="6330" spans="1:5" x14ac:dyDescent="0.55000000000000004">
      <c r="A6330" t="str">
        <f>TEST_DATA!A6330</f>
        <v>27AAAAA6330Z5</v>
      </c>
      <c r="B6330" t="str">
        <f>TEST_DATA!B6330</f>
        <v>Mar-2023</v>
      </c>
      <c r="C6330">
        <f>TEST_DATA!C6330</f>
        <v>45662</v>
      </c>
      <c r="D6330" t="str">
        <f>TEST_DATA!D6330</f>
        <v>NIL</v>
      </c>
      <c r="E6330">
        <f>TEST_DATA!E6330</f>
        <v>335</v>
      </c>
    </row>
    <row r="6331" spans="1:5" x14ac:dyDescent="0.55000000000000004">
      <c r="A6331" t="str">
        <f>TEST_DATA!A6331</f>
        <v>27AAAAA6331Z5</v>
      </c>
      <c r="B6331" t="str">
        <f>TEST_DATA!B6331</f>
        <v>Mar-2020</v>
      </c>
      <c r="C6331">
        <f>TEST_DATA!C6331</f>
        <v>44334</v>
      </c>
      <c r="D6331" t="str">
        <f>TEST_DATA!D6331</f>
        <v>NON-NIL</v>
      </c>
      <c r="E6331">
        <f>TEST_DATA!E6331</f>
        <v>2206</v>
      </c>
    </row>
    <row r="6332" spans="1:5" x14ac:dyDescent="0.55000000000000004">
      <c r="A6332" t="str">
        <f>TEST_DATA!A6332</f>
        <v>27AAAAA6332Z5</v>
      </c>
      <c r="B6332" t="str">
        <f>TEST_DATA!B6332</f>
        <v>Sep-2017</v>
      </c>
      <c r="C6332">
        <f>TEST_DATA!C6332</f>
        <v>43480</v>
      </c>
      <c r="D6332" t="str">
        <f>TEST_DATA!D6332</f>
        <v>NON-NIL</v>
      </c>
      <c r="E6332">
        <f>TEST_DATA!E6332</f>
        <v>2361</v>
      </c>
    </row>
    <row r="6333" spans="1:5" x14ac:dyDescent="0.55000000000000004">
      <c r="A6333" t="str">
        <f>TEST_DATA!A6333</f>
        <v>27AAAAA6333Z5</v>
      </c>
      <c r="B6333" t="str">
        <f>TEST_DATA!B6333</f>
        <v>Jul-2017</v>
      </c>
      <c r="C6333">
        <f>TEST_DATA!C6333</f>
        <v>42963</v>
      </c>
      <c r="D6333" t="str">
        <f>TEST_DATA!D6333</f>
        <v>NIL</v>
      </c>
      <c r="E6333">
        <f>TEST_DATA!E6333</f>
        <v>431</v>
      </c>
    </row>
    <row r="6334" spans="1:5" x14ac:dyDescent="0.55000000000000004">
      <c r="A6334" t="str">
        <f>TEST_DATA!A6334</f>
        <v>27AAAAA6334Z5</v>
      </c>
      <c r="B6334" t="str">
        <f>TEST_DATA!B6334</f>
        <v>Sep-2018</v>
      </c>
      <c r="C6334">
        <f>TEST_DATA!C6334</f>
        <v>43875</v>
      </c>
      <c r="D6334" t="str">
        <f>TEST_DATA!D6334</f>
        <v>NIL</v>
      </c>
      <c r="E6334">
        <f>TEST_DATA!E6334</f>
        <v>1517</v>
      </c>
    </row>
    <row r="6335" spans="1:5" x14ac:dyDescent="0.55000000000000004">
      <c r="A6335" t="str">
        <f>TEST_DATA!A6335</f>
        <v>27AAAAA6335Z5</v>
      </c>
      <c r="B6335" t="str">
        <f>TEST_DATA!B6335</f>
        <v>May-2018</v>
      </c>
      <c r="C6335">
        <f>TEST_DATA!C6335</f>
        <v>43219</v>
      </c>
      <c r="D6335" t="str">
        <f>TEST_DATA!D6335</f>
        <v>NON-NIL</v>
      </c>
      <c r="E6335">
        <f>TEST_DATA!E6335</f>
        <v>1732</v>
      </c>
    </row>
    <row r="6336" spans="1:5" x14ac:dyDescent="0.55000000000000004">
      <c r="A6336" t="str">
        <f>TEST_DATA!A6336</f>
        <v>27AAAAA6336Z5</v>
      </c>
      <c r="B6336" t="str">
        <f>TEST_DATA!B6336</f>
        <v>Mar-2020</v>
      </c>
      <c r="C6336">
        <f>TEST_DATA!C6336</f>
        <v>44256</v>
      </c>
      <c r="D6336" t="str">
        <f>TEST_DATA!D6336</f>
        <v>NIL</v>
      </c>
      <c r="E6336">
        <f>TEST_DATA!E6336</f>
        <v>1530</v>
      </c>
    </row>
    <row r="6337" spans="1:5" x14ac:dyDescent="0.55000000000000004">
      <c r="A6337" t="str">
        <f>TEST_DATA!A6337</f>
        <v>27AAAAA6337Z5</v>
      </c>
      <c r="B6337" t="str">
        <f>TEST_DATA!B6337</f>
        <v>Sep-2017</v>
      </c>
      <c r="C6337">
        <f>TEST_DATA!C6337</f>
        <v>44203</v>
      </c>
      <c r="D6337" t="str">
        <f>TEST_DATA!D6337</f>
        <v>NON-NIL</v>
      </c>
      <c r="E6337">
        <f>TEST_DATA!E6337</f>
        <v>2066</v>
      </c>
    </row>
    <row r="6338" spans="1:5" x14ac:dyDescent="0.55000000000000004">
      <c r="A6338" t="str">
        <f>TEST_DATA!A6338</f>
        <v>27AAAAA6338Z5</v>
      </c>
      <c r="B6338" t="str">
        <f>TEST_DATA!B6338</f>
        <v>Dec-2019</v>
      </c>
      <c r="C6338">
        <f>TEST_DATA!C6338</f>
        <v>43550</v>
      </c>
      <c r="D6338" t="str">
        <f>TEST_DATA!D6338</f>
        <v>NON-NIL</v>
      </c>
      <c r="E6338">
        <f>TEST_DATA!E6338</f>
        <v>48</v>
      </c>
    </row>
    <row r="6339" spans="1:5" x14ac:dyDescent="0.55000000000000004">
      <c r="A6339" t="str">
        <f>TEST_DATA!A6339</f>
        <v>27AAAAA6339Z5</v>
      </c>
      <c r="B6339" t="str">
        <f>TEST_DATA!B6339</f>
        <v>Mar-2021</v>
      </c>
      <c r="C6339">
        <f>TEST_DATA!C6339</f>
        <v>44770</v>
      </c>
      <c r="D6339" t="str">
        <f>TEST_DATA!D6339</f>
        <v>NIL</v>
      </c>
      <c r="E6339">
        <f>TEST_DATA!E6339</f>
        <v>518</v>
      </c>
    </row>
    <row r="6340" spans="1:5" x14ac:dyDescent="0.55000000000000004">
      <c r="A6340" t="str">
        <f>TEST_DATA!A6340</f>
        <v>27AAAAA6340Z5</v>
      </c>
      <c r="B6340" t="str">
        <f>TEST_DATA!B6340</f>
        <v>Jun-2020</v>
      </c>
      <c r="C6340">
        <f>TEST_DATA!C6340</f>
        <v>44639</v>
      </c>
      <c r="D6340" t="str">
        <f>TEST_DATA!D6340</f>
        <v>NIL</v>
      </c>
      <c r="E6340">
        <f>TEST_DATA!E6340</f>
        <v>497</v>
      </c>
    </row>
    <row r="6341" spans="1:5" x14ac:dyDescent="0.55000000000000004">
      <c r="A6341" t="str">
        <f>TEST_DATA!A6341</f>
        <v>27AAAAA6341Z5</v>
      </c>
      <c r="B6341" t="str">
        <f>TEST_DATA!B6341</f>
        <v>Oct-2017</v>
      </c>
      <c r="C6341">
        <f>TEST_DATA!C6341</f>
        <v>44095</v>
      </c>
      <c r="D6341" t="str">
        <f>TEST_DATA!D6341</f>
        <v>NIL</v>
      </c>
      <c r="E6341">
        <f>TEST_DATA!E6341</f>
        <v>2394</v>
      </c>
    </row>
    <row r="6342" spans="1:5" x14ac:dyDescent="0.55000000000000004">
      <c r="A6342" t="str">
        <f>TEST_DATA!A6342</f>
        <v>27AAAAA6342Z5</v>
      </c>
      <c r="B6342" t="str">
        <f>TEST_DATA!B6342</f>
        <v>Sep-2017</v>
      </c>
      <c r="C6342">
        <f>TEST_DATA!C6342</f>
        <v>42938</v>
      </c>
      <c r="D6342" t="str">
        <f>TEST_DATA!D6342</f>
        <v>NIL</v>
      </c>
      <c r="E6342">
        <f>TEST_DATA!E6342</f>
        <v>2181</v>
      </c>
    </row>
    <row r="6343" spans="1:5" x14ac:dyDescent="0.55000000000000004">
      <c r="A6343" t="str">
        <f>TEST_DATA!A6343</f>
        <v>27AAAAA6343Z5</v>
      </c>
      <c r="B6343" t="str">
        <f>TEST_DATA!B6343</f>
        <v>Nov-2017</v>
      </c>
      <c r="C6343">
        <f>TEST_DATA!C6343</f>
        <v>44091</v>
      </c>
      <c r="D6343" t="str">
        <f>TEST_DATA!D6343</f>
        <v>NON-NIL</v>
      </c>
      <c r="E6343">
        <f>TEST_DATA!E6343</f>
        <v>1259</v>
      </c>
    </row>
    <row r="6344" spans="1:5" x14ac:dyDescent="0.55000000000000004">
      <c r="A6344" t="str">
        <f>TEST_DATA!A6344</f>
        <v>27AAAAA6344Z5</v>
      </c>
      <c r="B6344" t="str">
        <f>TEST_DATA!B6344</f>
        <v>Nov-2017</v>
      </c>
      <c r="C6344">
        <f>TEST_DATA!C6344</f>
        <v>44240</v>
      </c>
      <c r="D6344" t="str">
        <f>TEST_DATA!D6344</f>
        <v>NON-NIL</v>
      </c>
      <c r="E6344">
        <f>TEST_DATA!E6344</f>
        <v>1431</v>
      </c>
    </row>
    <row r="6345" spans="1:5" x14ac:dyDescent="0.55000000000000004">
      <c r="A6345" t="str">
        <f>TEST_DATA!A6345</f>
        <v>27AAAAA6345Z5</v>
      </c>
      <c r="B6345" t="str">
        <f>TEST_DATA!B6345</f>
        <v>Oct-2017</v>
      </c>
      <c r="C6345">
        <f>TEST_DATA!C6345</f>
        <v>43415</v>
      </c>
      <c r="D6345" t="str">
        <f>TEST_DATA!D6345</f>
        <v>NON-NIL</v>
      </c>
      <c r="E6345">
        <f>TEST_DATA!E6345</f>
        <v>173</v>
      </c>
    </row>
    <row r="6346" spans="1:5" x14ac:dyDescent="0.55000000000000004">
      <c r="A6346" t="str">
        <f>TEST_DATA!A6346</f>
        <v>27AAAAA6346Z5</v>
      </c>
      <c r="B6346" t="str">
        <f>TEST_DATA!B6346</f>
        <v>Mar-2020</v>
      </c>
      <c r="C6346">
        <f>TEST_DATA!C6346</f>
        <v>43951</v>
      </c>
      <c r="D6346" t="str">
        <f>TEST_DATA!D6346</f>
        <v>NON-NIL</v>
      </c>
      <c r="E6346">
        <f>TEST_DATA!E6346</f>
        <v>2191</v>
      </c>
    </row>
    <row r="6347" spans="1:5" x14ac:dyDescent="0.55000000000000004">
      <c r="A6347" t="str">
        <f>TEST_DATA!A6347</f>
        <v>27AAAAA6347Z5</v>
      </c>
      <c r="B6347" t="str">
        <f>TEST_DATA!B6347</f>
        <v>Apr-2021</v>
      </c>
      <c r="C6347">
        <f>TEST_DATA!C6347</f>
        <v>43879</v>
      </c>
      <c r="D6347" t="str">
        <f>TEST_DATA!D6347</f>
        <v>NIL</v>
      </c>
      <c r="E6347">
        <f>TEST_DATA!E6347</f>
        <v>174</v>
      </c>
    </row>
    <row r="6348" spans="1:5" x14ac:dyDescent="0.55000000000000004">
      <c r="A6348" t="str">
        <f>TEST_DATA!A6348</f>
        <v>27AAAAA6348Z5</v>
      </c>
      <c r="B6348" t="str">
        <f>TEST_DATA!B6348</f>
        <v>Apr-2018</v>
      </c>
      <c r="C6348">
        <f>TEST_DATA!C6348</f>
        <v>43588</v>
      </c>
      <c r="D6348" t="str">
        <f>TEST_DATA!D6348</f>
        <v>NIL</v>
      </c>
      <c r="E6348">
        <f>TEST_DATA!E6348</f>
        <v>555</v>
      </c>
    </row>
    <row r="6349" spans="1:5" x14ac:dyDescent="0.55000000000000004">
      <c r="A6349" t="str">
        <f>TEST_DATA!A6349</f>
        <v>27AAAAA6349Z5</v>
      </c>
      <c r="B6349" t="str">
        <f>TEST_DATA!B6349</f>
        <v>Apr-2018</v>
      </c>
      <c r="C6349">
        <f>TEST_DATA!C6349</f>
        <v>43351</v>
      </c>
      <c r="D6349" t="str">
        <f>TEST_DATA!D6349</f>
        <v>NON-NIL</v>
      </c>
      <c r="E6349">
        <f>TEST_DATA!E6349</f>
        <v>846</v>
      </c>
    </row>
    <row r="6350" spans="1:5" x14ac:dyDescent="0.55000000000000004">
      <c r="A6350" t="str">
        <f>TEST_DATA!A6350</f>
        <v>27AAAAA6350Z5</v>
      </c>
      <c r="B6350" t="str">
        <f>TEST_DATA!B6350</f>
        <v>Jul-2018</v>
      </c>
      <c r="C6350">
        <f>TEST_DATA!C6350</f>
        <v>43059</v>
      </c>
      <c r="D6350" t="str">
        <f>TEST_DATA!D6350</f>
        <v>NON-NIL</v>
      </c>
      <c r="E6350">
        <f>TEST_DATA!E6350</f>
        <v>2855</v>
      </c>
    </row>
    <row r="6351" spans="1:5" x14ac:dyDescent="0.55000000000000004">
      <c r="A6351" t="str">
        <f>TEST_DATA!A6351</f>
        <v>27AAAAA6351Z5</v>
      </c>
      <c r="B6351" t="str">
        <f>TEST_DATA!B6351</f>
        <v>Apr-2021</v>
      </c>
      <c r="C6351">
        <f>TEST_DATA!C6351</f>
        <v>45640</v>
      </c>
      <c r="D6351" t="str">
        <f>TEST_DATA!D6351</f>
        <v>NON-NIL</v>
      </c>
      <c r="E6351">
        <f>TEST_DATA!E6351</f>
        <v>842</v>
      </c>
    </row>
    <row r="6352" spans="1:5" x14ac:dyDescent="0.55000000000000004">
      <c r="A6352" t="str">
        <f>TEST_DATA!A6352</f>
        <v>27AAAAA6352Z5</v>
      </c>
      <c r="B6352" t="str">
        <f>TEST_DATA!B6352</f>
        <v>Jul-2018</v>
      </c>
      <c r="C6352">
        <f>TEST_DATA!C6352</f>
        <v>44468</v>
      </c>
      <c r="D6352" t="str">
        <f>TEST_DATA!D6352</f>
        <v>NON-NIL</v>
      </c>
      <c r="E6352">
        <f>TEST_DATA!E6352</f>
        <v>572</v>
      </c>
    </row>
    <row r="6353" spans="1:5" x14ac:dyDescent="0.55000000000000004">
      <c r="A6353" t="str">
        <f>TEST_DATA!A6353</f>
        <v>27AAAAA6353Z5</v>
      </c>
      <c r="B6353" t="str">
        <f>TEST_DATA!B6353</f>
        <v>Sep-2018</v>
      </c>
      <c r="C6353">
        <f>TEST_DATA!C6353</f>
        <v>43078</v>
      </c>
      <c r="D6353" t="str">
        <f>TEST_DATA!D6353</f>
        <v>NIL</v>
      </c>
      <c r="E6353">
        <f>TEST_DATA!E6353</f>
        <v>2827</v>
      </c>
    </row>
    <row r="6354" spans="1:5" x14ac:dyDescent="0.55000000000000004">
      <c r="A6354" t="str">
        <f>TEST_DATA!A6354</f>
        <v>27AAAAA6354Z5</v>
      </c>
      <c r="B6354" t="str">
        <f>TEST_DATA!B6354</f>
        <v>Jun-2018</v>
      </c>
      <c r="C6354">
        <f>TEST_DATA!C6354</f>
        <v>43960</v>
      </c>
      <c r="D6354" t="str">
        <f>TEST_DATA!D6354</f>
        <v>NON-NIL</v>
      </c>
      <c r="E6354">
        <f>TEST_DATA!E6354</f>
        <v>2327</v>
      </c>
    </row>
    <row r="6355" spans="1:5" x14ac:dyDescent="0.55000000000000004">
      <c r="A6355" t="str">
        <f>TEST_DATA!A6355</f>
        <v>27AAAAA6355Z5</v>
      </c>
      <c r="B6355" t="str">
        <f>TEST_DATA!B6355</f>
        <v>Feb-2018</v>
      </c>
      <c r="C6355">
        <f>TEST_DATA!C6355</f>
        <v>43345</v>
      </c>
      <c r="D6355" t="str">
        <f>TEST_DATA!D6355</f>
        <v>NON-NIL</v>
      </c>
      <c r="E6355">
        <f>TEST_DATA!E6355</f>
        <v>991</v>
      </c>
    </row>
    <row r="6356" spans="1:5" x14ac:dyDescent="0.55000000000000004">
      <c r="A6356" t="str">
        <f>TEST_DATA!A6356</f>
        <v>27AAAAA6356Z5</v>
      </c>
      <c r="B6356" t="str">
        <f>TEST_DATA!B6356</f>
        <v>Apr-2021</v>
      </c>
      <c r="C6356">
        <f>TEST_DATA!C6356</f>
        <v>43713</v>
      </c>
      <c r="D6356" t="str">
        <f>TEST_DATA!D6356</f>
        <v>NIL</v>
      </c>
      <c r="E6356">
        <f>TEST_DATA!E6356</f>
        <v>2566</v>
      </c>
    </row>
    <row r="6357" spans="1:5" x14ac:dyDescent="0.55000000000000004">
      <c r="A6357" t="str">
        <f>TEST_DATA!A6357</f>
        <v>27AAAAA6357Z5</v>
      </c>
      <c r="B6357" t="str">
        <f>TEST_DATA!B6357</f>
        <v>May-2018</v>
      </c>
      <c r="C6357">
        <f>TEST_DATA!C6357</f>
        <v>44032</v>
      </c>
      <c r="D6357" t="str">
        <f>TEST_DATA!D6357</f>
        <v>NON-NIL</v>
      </c>
      <c r="E6357">
        <f>TEST_DATA!E6357</f>
        <v>1762</v>
      </c>
    </row>
    <row r="6358" spans="1:5" x14ac:dyDescent="0.55000000000000004">
      <c r="A6358" t="str">
        <f>TEST_DATA!A6358</f>
        <v>27AAAAA6358Z5</v>
      </c>
      <c r="B6358" t="str">
        <f>TEST_DATA!B6358</f>
        <v>Sep-2017</v>
      </c>
      <c r="C6358">
        <f>TEST_DATA!C6358</f>
        <v>43668</v>
      </c>
      <c r="D6358" t="str">
        <f>TEST_DATA!D6358</f>
        <v>NON-NIL</v>
      </c>
      <c r="E6358">
        <f>TEST_DATA!E6358</f>
        <v>1844</v>
      </c>
    </row>
    <row r="6359" spans="1:5" x14ac:dyDescent="0.55000000000000004">
      <c r="A6359" t="str">
        <f>TEST_DATA!A6359</f>
        <v>27AAAAA6359Z5</v>
      </c>
      <c r="B6359" t="str">
        <f>TEST_DATA!B6359</f>
        <v>Jun-2020</v>
      </c>
      <c r="C6359">
        <f>TEST_DATA!C6359</f>
        <v>44335</v>
      </c>
      <c r="D6359" t="str">
        <f>TEST_DATA!D6359</f>
        <v>NIL</v>
      </c>
      <c r="E6359">
        <f>TEST_DATA!E6359</f>
        <v>2665</v>
      </c>
    </row>
    <row r="6360" spans="1:5" x14ac:dyDescent="0.55000000000000004">
      <c r="A6360" t="str">
        <f>TEST_DATA!A6360</f>
        <v>27AAAAA6360Z5</v>
      </c>
      <c r="B6360" t="str">
        <f>TEST_DATA!B6360</f>
        <v>May-2018</v>
      </c>
      <c r="C6360">
        <f>TEST_DATA!C6360</f>
        <v>43707</v>
      </c>
      <c r="D6360" t="str">
        <f>TEST_DATA!D6360</f>
        <v>NON-NIL</v>
      </c>
      <c r="E6360">
        <f>TEST_DATA!E6360</f>
        <v>980</v>
      </c>
    </row>
    <row r="6361" spans="1:5" x14ac:dyDescent="0.55000000000000004">
      <c r="A6361" t="str">
        <f>TEST_DATA!A6361</f>
        <v>27AAAAA6361Z5</v>
      </c>
      <c r="B6361" t="str">
        <f>TEST_DATA!B6361</f>
        <v>Mar-2020</v>
      </c>
      <c r="C6361">
        <f>TEST_DATA!C6361</f>
        <v>44829</v>
      </c>
      <c r="D6361" t="str">
        <f>TEST_DATA!D6361</f>
        <v>NIL</v>
      </c>
      <c r="E6361">
        <f>TEST_DATA!E6361</f>
        <v>1462</v>
      </c>
    </row>
    <row r="6362" spans="1:5" x14ac:dyDescent="0.55000000000000004">
      <c r="A6362" t="str">
        <f>TEST_DATA!A6362</f>
        <v>27AAAAA6362Z5</v>
      </c>
      <c r="B6362" t="str">
        <f>TEST_DATA!B6362</f>
        <v>Jun-2018</v>
      </c>
      <c r="C6362">
        <f>TEST_DATA!C6362</f>
        <v>44534</v>
      </c>
      <c r="D6362" t="str">
        <f>TEST_DATA!D6362</f>
        <v>NIL</v>
      </c>
      <c r="E6362">
        <f>TEST_DATA!E6362</f>
        <v>414</v>
      </c>
    </row>
    <row r="6363" spans="1:5" x14ac:dyDescent="0.55000000000000004">
      <c r="A6363" t="str">
        <f>TEST_DATA!A6363</f>
        <v>27AAAAA6363Z5</v>
      </c>
      <c r="B6363" t="str">
        <f>TEST_DATA!B6363</f>
        <v>Jul-2018</v>
      </c>
      <c r="C6363">
        <f>TEST_DATA!C6363</f>
        <v>43511</v>
      </c>
      <c r="D6363" t="str">
        <f>TEST_DATA!D6363</f>
        <v>NIL</v>
      </c>
      <c r="E6363">
        <f>TEST_DATA!E6363</f>
        <v>1609</v>
      </c>
    </row>
    <row r="6364" spans="1:5" x14ac:dyDescent="0.55000000000000004">
      <c r="A6364" t="str">
        <f>TEST_DATA!A6364</f>
        <v>27AAAAA6364Z5</v>
      </c>
      <c r="B6364" t="str">
        <f>TEST_DATA!B6364</f>
        <v>Jun-2020</v>
      </c>
      <c r="C6364">
        <f>TEST_DATA!C6364</f>
        <v>43918</v>
      </c>
      <c r="D6364" t="str">
        <f>TEST_DATA!D6364</f>
        <v>NIL</v>
      </c>
      <c r="E6364">
        <f>TEST_DATA!E6364</f>
        <v>2081</v>
      </c>
    </row>
    <row r="6365" spans="1:5" x14ac:dyDescent="0.55000000000000004">
      <c r="A6365" t="str">
        <f>TEST_DATA!A6365</f>
        <v>27AAAAA6365Z5</v>
      </c>
      <c r="B6365" t="str">
        <f>TEST_DATA!B6365</f>
        <v>Feb-2018</v>
      </c>
      <c r="C6365">
        <f>TEST_DATA!C6365</f>
        <v>43882</v>
      </c>
      <c r="D6365" t="str">
        <f>TEST_DATA!D6365</f>
        <v>NON-NIL</v>
      </c>
      <c r="E6365">
        <f>TEST_DATA!E6365</f>
        <v>744</v>
      </c>
    </row>
    <row r="6366" spans="1:5" x14ac:dyDescent="0.55000000000000004">
      <c r="A6366" t="str">
        <f>TEST_DATA!A6366</f>
        <v>27AAAAA6366Z5</v>
      </c>
      <c r="B6366" t="str">
        <f>TEST_DATA!B6366</f>
        <v>Sep-2018</v>
      </c>
      <c r="C6366">
        <f>TEST_DATA!C6366</f>
        <v>42974</v>
      </c>
      <c r="D6366" t="str">
        <f>TEST_DATA!D6366</f>
        <v>NIL</v>
      </c>
      <c r="E6366">
        <f>TEST_DATA!E6366</f>
        <v>2231</v>
      </c>
    </row>
    <row r="6367" spans="1:5" x14ac:dyDescent="0.55000000000000004">
      <c r="A6367" t="str">
        <f>TEST_DATA!A6367</f>
        <v>27AAAAA6367Z5</v>
      </c>
      <c r="B6367" t="str">
        <f>TEST_DATA!B6367</f>
        <v>Apr-2020</v>
      </c>
      <c r="C6367">
        <f>TEST_DATA!C6367</f>
        <v>44694</v>
      </c>
      <c r="D6367" t="str">
        <f>TEST_DATA!D6367</f>
        <v>NON-NIL</v>
      </c>
      <c r="E6367">
        <f>TEST_DATA!E6367</f>
        <v>1678</v>
      </c>
    </row>
    <row r="6368" spans="1:5" x14ac:dyDescent="0.55000000000000004">
      <c r="A6368" t="str">
        <f>TEST_DATA!A6368</f>
        <v>27AAAAA6368Z5</v>
      </c>
      <c r="B6368" t="str">
        <f>TEST_DATA!B6368</f>
        <v>Jul-2017</v>
      </c>
      <c r="C6368">
        <f>TEST_DATA!C6368</f>
        <v>43619</v>
      </c>
      <c r="D6368" t="str">
        <f>TEST_DATA!D6368</f>
        <v>NIL</v>
      </c>
      <c r="E6368">
        <f>TEST_DATA!E6368</f>
        <v>1208</v>
      </c>
    </row>
    <row r="6369" spans="1:5" x14ac:dyDescent="0.55000000000000004">
      <c r="A6369" t="str">
        <f>TEST_DATA!A6369</f>
        <v>27AAAAA6369Z5</v>
      </c>
      <c r="B6369" t="str">
        <f>TEST_DATA!B6369</f>
        <v>Dec-2017</v>
      </c>
      <c r="C6369">
        <f>TEST_DATA!C6369</f>
        <v>43984</v>
      </c>
      <c r="D6369" t="str">
        <f>TEST_DATA!D6369</f>
        <v>NIL</v>
      </c>
      <c r="E6369">
        <f>TEST_DATA!E6369</f>
        <v>1547</v>
      </c>
    </row>
    <row r="6370" spans="1:5" x14ac:dyDescent="0.55000000000000004">
      <c r="A6370" t="str">
        <f>TEST_DATA!A6370</f>
        <v>27AAAAA6370Z5</v>
      </c>
      <c r="B6370" t="str">
        <f>TEST_DATA!B6370</f>
        <v>Apr-2021</v>
      </c>
      <c r="C6370">
        <f>TEST_DATA!C6370</f>
        <v>44510</v>
      </c>
      <c r="D6370" t="str">
        <f>TEST_DATA!D6370</f>
        <v>NON-NIL</v>
      </c>
      <c r="E6370">
        <f>TEST_DATA!E6370</f>
        <v>281</v>
      </c>
    </row>
    <row r="6371" spans="1:5" x14ac:dyDescent="0.55000000000000004">
      <c r="A6371" t="str">
        <f>TEST_DATA!A6371</f>
        <v>27AAAAA6371Z5</v>
      </c>
      <c r="B6371" t="str">
        <f>TEST_DATA!B6371</f>
        <v>Dec-2022</v>
      </c>
      <c r="C6371">
        <f>TEST_DATA!C6371</f>
        <v>45154</v>
      </c>
      <c r="D6371" t="str">
        <f>TEST_DATA!D6371</f>
        <v>NIL</v>
      </c>
      <c r="E6371">
        <f>TEST_DATA!E6371</f>
        <v>143</v>
      </c>
    </row>
    <row r="6372" spans="1:5" x14ac:dyDescent="0.55000000000000004">
      <c r="A6372" t="str">
        <f>TEST_DATA!A6372</f>
        <v>27AAAAA6372Z5</v>
      </c>
      <c r="B6372" t="str">
        <f>TEST_DATA!B6372</f>
        <v>Dec-2024</v>
      </c>
      <c r="C6372">
        <f>TEST_DATA!C6372</f>
        <v>43895</v>
      </c>
      <c r="D6372" t="str">
        <f>TEST_DATA!D6372</f>
        <v>NON-NIL</v>
      </c>
      <c r="E6372">
        <f>TEST_DATA!E6372</f>
        <v>1324</v>
      </c>
    </row>
    <row r="6373" spans="1:5" x14ac:dyDescent="0.55000000000000004">
      <c r="A6373" t="str">
        <f>TEST_DATA!A6373</f>
        <v>27AAAAA6373Z5</v>
      </c>
      <c r="B6373" t="str">
        <f>TEST_DATA!B6373</f>
        <v>May-2020</v>
      </c>
      <c r="C6373">
        <f>TEST_DATA!C6373</f>
        <v>44250</v>
      </c>
      <c r="D6373" t="str">
        <f>TEST_DATA!D6373</f>
        <v>NON-NIL</v>
      </c>
      <c r="E6373">
        <f>TEST_DATA!E6373</f>
        <v>2193</v>
      </c>
    </row>
    <row r="6374" spans="1:5" x14ac:dyDescent="0.55000000000000004">
      <c r="A6374" t="str">
        <f>TEST_DATA!A6374</f>
        <v>27AAAAA6374Z5</v>
      </c>
      <c r="B6374" t="str">
        <f>TEST_DATA!B6374</f>
        <v>Mar-2023</v>
      </c>
      <c r="C6374">
        <f>TEST_DATA!C6374</f>
        <v>44693</v>
      </c>
      <c r="D6374" t="str">
        <f>TEST_DATA!D6374</f>
        <v>NON-NIL</v>
      </c>
      <c r="E6374">
        <f>TEST_DATA!E6374</f>
        <v>1087</v>
      </c>
    </row>
    <row r="6375" spans="1:5" x14ac:dyDescent="0.55000000000000004">
      <c r="A6375" t="str">
        <f>TEST_DATA!A6375</f>
        <v>27AAAAA6375Z5</v>
      </c>
      <c r="B6375" t="str">
        <f>TEST_DATA!B6375</f>
        <v>Aug-2017</v>
      </c>
      <c r="C6375">
        <f>TEST_DATA!C6375</f>
        <v>43681</v>
      </c>
      <c r="D6375" t="str">
        <f>TEST_DATA!D6375</f>
        <v>NIL</v>
      </c>
      <c r="E6375">
        <f>TEST_DATA!E6375</f>
        <v>153</v>
      </c>
    </row>
    <row r="6376" spans="1:5" x14ac:dyDescent="0.55000000000000004">
      <c r="A6376" t="str">
        <f>TEST_DATA!A6376</f>
        <v>27AAAAA6376Z5</v>
      </c>
      <c r="B6376" t="str">
        <f>TEST_DATA!B6376</f>
        <v>Jan-2018</v>
      </c>
      <c r="C6376">
        <f>TEST_DATA!C6376</f>
        <v>44287</v>
      </c>
      <c r="D6376" t="str">
        <f>TEST_DATA!D6376</f>
        <v>NIL</v>
      </c>
      <c r="E6376">
        <f>TEST_DATA!E6376</f>
        <v>554</v>
      </c>
    </row>
    <row r="6377" spans="1:5" x14ac:dyDescent="0.55000000000000004">
      <c r="A6377" t="str">
        <f>TEST_DATA!A6377</f>
        <v>27AAAAA6377Z5</v>
      </c>
      <c r="B6377" t="str">
        <f>TEST_DATA!B6377</f>
        <v>Jan-2019</v>
      </c>
      <c r="C6377">
        <f>TEST_DATA!C6377</f>
        <v>44342</v>
      </c>
      <c r="D6377" t="str">
        <f>TEST_DATA!D6377</f>
        <v>NIL</v>
      </c>
      <c r="E6377">
        <f>TEST_DATA!E6377</f>
        <v>1081</v>
      </c>
    </row>
    <row r="6378" spans="1:5" x14ac:dyDescent="0.55000000000000004">
      <c r="A6378" t="str">
        <f>TEST_DATA!A6378</f>
        <v>27AAAAA6378Z5</v>
      </c>
      <c r="B6378" t="str">
        <f>TEST_DATA!B6378</f>
        <v>Nov-2017</v>
      </c>
      <c r="C6378">
        <f>TEST_DATA!C6378</f>
        <v>43913</v>
      </c>
      <c r="D6378" t="str">
        <f>TEST_DATA!D6378</f>
        <v>NON-NIL</v>
      </c>
      <c r="E6378">
        <f>TEST_DATA!E6378</f>
        <v>854</v>
      </c>
    </row>
    <row r="6379" spans="1:5" x14ac:dyDescent="0.55000000000000004">
      <c r="A6379" t="str">
        <f>TEST_DATA!A6379</f>
        <v>27AAAAA6379Z5</v>
      </c>
      <c r="B6379" t="str">
        <f>TEST_DATA!B6379</f>
        <v>Aug-2018</v>
      </c>
      <c r="C6379">
        <f>TEST_DATA!C6379</f>
        <v>43192</v>
      </c>
      <c r="D6379" t="str">
        <f>TEST_DATA!D6379</f>
        <v>NIL</v>
      </c>
      <c r="E6379">
        <f>TEST_DATA!E6379</f>
        <v>1078</v>
      </c>
    </row>
    <row r="6380" spans="1:5" x14ac:dyDescent="0.55000000000000004">
      <c r="A6380" t="str">
        <f>TEST_DATA!A6380</f>
        <v>27AAAAA6380Z5</v>
      </c>
      <c r="B6380" t="str">
        <f>TEST_DATA!B6380</f>
        <v>May-2020</v>
      </c>
      <c r="C6380">
        <f>TEST_DATA!C6380</f>
        <v>44361</v>
      </c>
      <c r="D6380" t="str">
        <f>TEST_DATA!D6380</f>
        <v>NON-NIL</v>
      </c>
      <c r="E6380">
        <f>TEST_DATA!E6380</f>
        <v>1856</v>
      </c>
    </row>
    <row r="6381" spans="1:5" x14ac:dyDescent="0.55000000000000004">
      <c r="A6381" t="str">
        <f>TEST_DATA!A6381</f>
        <v>27AAAAA6381Z5</v>
      </c>
      <c r="B6381" t="str">
        <f>TEST_DATA!B6381</f>
        <v>Oct-2017</v>
      </c>
      <c r="C6381">
        <f>TEST_DATA!C6381</f>
        <v>44000</v>
      </c>
      <c r="D6381" t="str">
        <f>TEST_DATA!D6381</f>
        <v>NIL</v>
      </c>
      <c r="E6381">
        <f>TEST_DATA!E6381</f>
        <v>2424</v>
      </c>
    </row>
    <row r="6382" spans="1:5" x14ac:dyDescent="0.55000000000000004">
      <c r="A6382" t="str">
        <f>TEST_DATA!A6382</f>
        <v>27AAAAA6382Z5</v>
      </c>
      <c r="B6382" t="str">
        <f>TEST_DATA!B6382</f>
        <v>May-2018</v>
      </c>
      <c r="C6382">
        <f>TEST_DATA!C6382</f>
        <v>44543</v>
      </c>
      <c r="D6382" t="str">
        <f>TEST_DATA!D6382</f>
        <v>NIL</v>
      </c>
      <c r="E6382">
        <f>TEST_DATA!E6382</f>
        <v>88</v>
      </c>
    </row>
    <row r="6383" spans="1:5" x14ac:dyDescent="0.55000000000000004">
      <c r="A6383" t="str">
        <f>TEST_DATA!A6383</f>
        <v>27AAAAA6383Z5</v>
      </c>
      <c r="B6383" t="str">
        <f>TEST_DATA!B6383</f>
        <v>Mar-2020</v>
      </c>
      <c r="C6383">
        <f>TEST_DATA!C6383</f>
        <v>44674</v>
      </c>
      <c r="D6383" t="str">
        <f>TEST_DATA!D6383</f>
        <v>NIL</v>
      </c>
      <c r="E6383">
        <f>TEST_DATA!E6383</f>
        <v>1713</v>
      </c>
    </row>
    <row r="6384" spans="1:5" x14ac:dyDescent="0.55000000000000004">
      <c r="A6384" t="str">
        <f>TEST_DATA!A6384</f>
        <v>27AAAAA6384Z5</v>
      </c>
      <c r="B6384" t="str">
        <f>TEST_DATA!B6384</f>
        <v>Jan-2019</v>
      </c>
      <c r="C6384">
        <f>TEST_DATA!C6384</f>
        <v>45113</v>
      </c>
      <c r="D6384" t="str">
        <f>TEST_DATA!D6384</f>
        <v>NON-NIL</v>
      </c>
      <c r="E6384">
        <f>TEST_DATA!E6384</f>
        <v>2847</v>
      </c>
    </row>
    <row r="6385" spans="1:5" x14ac:dyDescent="0.55000000000000004">
      <c r="A6385" t="str">
        <f>TEST_DATA!A6385</f>
        <v>27AAAAA6385Z5</v>
      </c>
      <c r="B6385" t="str">
        <f>TEST_DATA!B6385</f>
        <v>Mar-2021</v>
      </c>
      <c r="C6385">
        <f>TEST_DATA!C6385</f>
        <v>43480</v>
      </c>
      <c r="D6385" t="str">
        <f>TEST_DATA!D6385</f>
        <v>NIL</v>
      </c>
      <c r="E6385">
        <f>TEST_DATA!E6385</f>
        <v>709</v>
      </c>
    </row>
    <row r="6386" spans="1:5" x14ac:dyDescent="0.55000000000000004">
      <c r="A6386" t="str">
        <f>TEST_DATA!A6386</f>
        <v>27AAAAA6386Z5</v>
      </c>
      <c r="B6386" t="str">
        <f>TEST_DATA!B6386</f>
        <v>Jun-2019</v>
      </c>
      <c r="C6386">
        <f>TEST_DATA!C6386</f>
        <v>45663</v>
      </c>
      <c r="D6386" t="str">
        <f>TEST_DATA!D6386</f>
        <v>NON-NIL</v>
      </c>
      <c r="E6386">
        <f>TEST_DATA!E6386</f>
        <v>2513</v>
      </c>
    </row>
    <row r="6387" spans="1:5" x14ac:dyDescent="0.55000000000000004">
      <c r="A6387" t="str">
        <f>TEST_DATA!A6387</f>
        <v>27AAAAA6387Z5</v>
      </c>
      <c r="B6387" t="str">
        <f>TEST_DATA!B6387</f>
        <v>Jun-2019</v>
      </c>
      <c r="C6387">
        <f>TEST_DATA!C6387</f>
        <v>45326</v>
      </c>
      <c r="D6387" t="str">
        <f>TEST_DATA!D6387</f>
        <v>NON-NIL</v>
      </c>
      <c r="E6387">
        <f>TEST_DATA!E6387</f>
        <v>1310</v>
      </c>
    </row>
    <row r="6388" spans="1:5" x14ac:dyDescent="0.55000000000000004">
      <c r="A6388" t="str">
        <f>TEST_DATA!A6388</f>
        <v>27AAAAA6388Z5</v>
      </c>
      <c r="B6388" t="str">
        <f>TEST_DATA!B6388</f>
        <v>Mar-2021</v>
      </c>
      <c r="C6388">
        <f>TEST_DATA!C6388</f>
        <v>44902</v>
      </c>
      <c r="D6388" t="str">
        <f>TEST_DATA!D6388</f>
        <v>NIL</v>
      </c>
      <c r="E6388">
        <f>TEST_DATA!E6388</f>
        <v>2895</v>
      </c>
    </row>
    <row r="6389" spans="1:5" x14ac:dyDescent="0.55000000000000004">
      <c r="A6389" t="str">
        <f>TEST_DATA!A6389</f>
        <v>27AAAAA6389Z5</v>
      </c>
      <c r="B6389" t="str">
        <f>TEST_DATA!B6389</f>
        <v>Feb-2018</v>
      </c>
      <c r="C6389">
        <f>TEST_DATA!C6389</f>
        <v>44487</v>
      </c>
      <c r="D6389" t="str">
        <f>TEST_DATA!D6389</f>
        <v>NON-NIL</v>
      </c>
      <c r="E6389">
        <f>TEST_DATA!E6389</f>
        <v>2202</v>
      </c>
    </row>
    <row r="6390" spans="1:5" x14ac:dyDescent="0.55000000000000004">
      <c r="A6390" t="str">
        <f>TEST_DATA!A6390</f>
        <v>27AAAAA6390Z5</v>
      </c>
      <c r="B6390" t="str">
        <f>TEST_DATA!B6390</f>
        <v>Jan-2021</v>
      </c>
      <c r="C6390">
        <f>TEST_DATA!C6390</f>
        <v>45324</v>
      </c>
      <c r="D6390" t="str">
        <f>TEST_DATA!D6390</f>
        <v>NIL</v>
      </c>
      <c r="E6390">
        <f>TEST_DATA!E6390</f>
        <v>2010</v>
      </c>
    </row>
    <row r="6391" spans="1:5" x14ac:dyDescent="0.55000000000000004">
      <c r="A6391" t="str">
        <f>TEST_DATA!A6391</f>
        <v>27AAAAA6391Z5</v>
      </c>
      <c r="B6391" t="str">
        <f>TEST_DATA!B6391</f>
        <v>Oct-2017</v>
      </c>
      <c r="C6391">
        <f>TEST_DATA!C6391</f>
        <v>43845</v>
      </c>
      <c r="D6391" t="str">
        <f>TEST_DATA!D6391</f>
        <v>NON-NIL</v>
      </c>
      <c r="E6391">
        <f>TEST_DATA!E6391</f>
        <v>805</v>
      </c>
    </row>
    <row r="6392" spans="1:5" x14ac:dyDescent="0.55000000000000004">
      <c r="A6392" t="str">
        <f>TEST_DATA!A6392</f>
        <v>27AAAAA6392Z5</v>
      </c>
      <c r="B6392" t="str">
        <f>TEST_DATA!B6392</f>
        <v>Jul-2017</v>
      </c>
      <c r="C6392">
        <f>TEST_DATA!C6392</f>
        <v>44231</v>
      </c>
      <c r="D6392" t="str">
        <f>TEST_DATA!D6392</f>
        <v>NON-NIL</v>
      </c>
      <c r="E6392">
        <f>TEST_DATA!E6392</f>
        <v>2264</v>
      </c>
    </row>
    <row r="6393" spans="1:5" x14ac:dyDescent="0.55000000000000004">
      <c r="A6393" t="str">
        <f>TEST_DATA!A6393</f>
        <v>27AAAAA6393Z5</v>
      </c>
      <c r="B6393" t="str">
        <f>TEST_DATA!B6393</f>
        <v>Dec-2019</v>
      </c>
      <c r="C6393">
        <f>TEST_DATA!C6393</f>
        <v>43956</v>
      </c>
      <c r="D6393" t="str">
        <f>TEST_DATA!D6393</f>
        <v>NIL</v>
      </c>
      <c r="E6393">
        <f>TEST_DATA!E6393</f>
        <v>1571</v>
      </c>
    </row>
    <row r="6394" spans="1:5" x14ac:dyDescent="0.55000000000000004">
      <c r="A6394" t="str">
        <f>TEST_DATA!A6394</f>
        <v>27AAAAA6394Z5</v>
      </c>
      <c r="B6394" t="str">
        <f>TEST_DATA!B6394</f>
        <v>Dec-2022</v>
      </c>
      <c r="C6394">
        <f>TEST_DATA!C6394</f>
        <v>44575</v>
      </c>
      <c r="D6394" t="str">
        <f>TEST_DATA!D6394</f>
        <v>NIL</v>
      </c>
      <c r="E6394">
        <f>TEST_DATA!E6394</f>
        <v>831</v>
      </c>
    </row>
    <row r="6395" spans="1:5" x14ac:dyDescent="0.55000000000000004">
      <c r="A6395" t="str">
        <f>TEST_DATA!A6395</f>
        <v>27AAAAA6395Z5</v>
      </c>
      <c r="B6395" t="str">
        <f>TEST_DATA!B6395</f>
        <v>Apr-2018</v>
      </c>
      <c r="C6395">
        <f>TEST_DATA!C6395</f>
        <v>43343</v>
      </c>
      <c r="D6395" t="str">
        <f>TEST_DATA!D6395</f>
        <v>NIL</v>
      </c>
      <c r="E6395">
        <f>TEST_DATA!E6395</f>
        <v>2077</v>
      </c>
    </row>
    <row r="6396" spans="1:5" x14ac:dyDescent="0.55000000000000004">
      <c r="A6396" t="str">
        <f>TEST_DATA!A6396</f>
        <v>27AAAAA6396Z5</v>
      </c>
      <c r="B6396" t="str">
        <f>TEST_DATA!B6396</f>
        <v>Jan-2019</v>
      </c>
      <c r="C6396">
        <f>TEST_DATA!C6396</f>
        <v>44307</v>
      </c>
      <c r="D6396" t="str">
        <f>TEST_DATA!D6396</f>
        <v>NON-NIL</v>
      </c>
      <c r="E6396">
        <f>TEST_DATA!E6396</f>
        <v>1815</v>
      </c>
    </row>
    <row r="6397" spans="1:5" x14ac:dyDescent="0.55000000000000004">
      <c r="A6397" t="str">
        <f>TEST_DATA!A6397</f>
        <v>27AAAAA6397Z5</v>
      </c>
      <c r="B6397" t="str">
        <f>TEST_DATA!B6397</f>
        <v>May-2020</v>
      </c>
      <c r="C6397">
        <f>TEST_DATA!C6397</f>
        <v>44566</v>
      </c>
      <c r="D6397" t="str">
        <f>TEST_DATA!D6397</f>
        <v>NIL</v>
      </c>
      <c r="E6397">
        <f>TEST_DATA!E6397</f>
        <v>2999</v>
      </c>
    </row>
    <row r="6398" spans="1:5" x14ac:dyDescent="0.55000000000000004">
      <c r="A6398" t="str">
        <f>TEST_DATA!A6398</f>
        <v>27AAAAA6398Z5</v>
      </c>
      <c r="B6398" t="str">
        <f>TEST_DATA!B6398</f>
        <v>Feb-2018</v>
      </c>
      <c r="C6398">
        <f>TEST_DATA!C6398</f>
        <v>43356</v>
      </c>
      <c r="D6398" t="str">
        <f>TEST_DATA!D6398</f>
        <v>NON-NIL</v>
      </c>
      <c r="E6398">
        <f>TEST_DATA!E6398</f>
        <v>1163</v>
      </c>
    </row>
    <row r="6399" spans="1:5" x14ac:dyDescent="0.55000000000000004">
      <c r="A6399" t="str">
        <f>TEST_DATA!A6399</f>
        <v>27AAAAA6399Z5</v>
      </c>
      <c r="B6399" t="str">
        <f>TEST_DATA!B6399</f>
        <v>Mar-2021</v>
      </c>
      <c r="C6399">
        <f>TEST_DATA!C6399</f>
        <v>45411</v>
      </c>
      <c r="D6399" t="str">
        <f>TEST_DATA!D6399</f>
        <v>NON-NIL</v>
      </c>
      <c r="E6399">
        <f>TEST_DATA!E6399</f>
        <v>57</v>
      </c>
    </row>
    <row r="6400" spans="1:5" x14ac:dyDescent="0.55000000000000004">
      <c r="A6400" t="str">
        <f>TEST_DATA!A6400</f>
        <v>27AAAAA6400Z5</v>
      </c>
      <c r="B6400" t="str">
        <f>TEST_DATA!B6400</f>
        <v>Dec-2022</v>
      </c>
      <c r="C6400">
        <f>TEST_DATA!C6400</f>
        <v>44494</v>
      </c>
      <c r="D6400" t="str">
        <f>TEST_DATA!D6400</f>
        <v>NIL</v>
      </c>
      <c r="E6400">
        <f>TEST_DATA!E6400</f>
        <v>952</v>
      </c>
    </row>
    <row r="6401" spans="1:5" x14ac:dyDescent="0.55000000000000004">
      <c r="A6401" t="str">
        <f>TEST_DATA!A6401</f>
        <v>27AAAAA6401Z5</v>
      </c>
      <c r="B6401" t="str">
        <f>TEST_DATA!B6401</f>
        <v>Jul-2020</v>
      </c>
      <c r="C6401">
        <f>TEST_DATA!C6401</f>
        <v>43848</v>
      </c>
      <c r="D6401" t="str">
        <f>TEST_DATA!D6401</f>
        <v>NIL</v>
      </c>
      <c r="E6401">
        <f>TEST_DATA!E6401</f>
        <v>2550</v>
      </c>
    </row>
    <row r="6402" spans="1:5" x14ac:dyDescent="0.55000000000000004">
      <c r="A6402" t="str">
        <f>TEST_DATA!A6402</f>
        <v>27AAAAA6402Z5</v>
      </c>
      <c r="B6402" t="str">
        <f>TEST_DATA!B6402</f>
        <v>Oct-2017</v>
      </c>
      <c r="C6402">
        <f>TEST_DATA!C6402</f>
        <v>43631</v>
      </c>
      <c r="D6402" t="str">
        <f>TEST_DATA!D6402</f>
        <v>NIL</v>
      </c>
      <c r="E6402">
        <f>TEST_DATA!E6402</f>
        <v>2099</v>
      </c>
    </row>
    <row r="6403" spans="1:5" x14ac:dyDescent="0.55000000000000004">
      <c r="A6403" t="str">
        <f>TEST_DATA!A6403</f>
        <v>27AAAAA6403Z5</v>
      </c>
      <c r="B6403" t="str">
        <f>TEST_DATA!B6403</f>
        <v>Dec-2022</v>
      </c>
      <c r="C6403">
        <f>TEST_DATA!C6403</f>
        <v>45182</v>
      </c>
      <c r="D6403" t="str">
        <f>TEST_DATA!D6403</f>
        <v>NIL</v>
      </c>
      <c r="E6403">
        <f>TEST_DATA!E6403</f>
        <v>763</v>
      </c>
    </row>
    <row r="6404" spans="1:5" x14ac:dyDescent="0.55000000000000004">
      <c r="A6404" t="str">
        <f>TEST_DATA!A6404</f>
        <v>27AAAAA6404Z5</v>
      </c>
      <c r="B6404" t="str">
        <f>TEST_DATA!B6404</f>
        <v>Dec-2019</v>
      </c>
      <c r="C6404">
        <f>TEST_DATA!C6404</f>
        <v>43989</v>
      </c>
      <c r="D6404" t="str">
        <f>TEST_DATA!D6404</f>
        <v>NON-NIL</v>
      </c>
      <c r="E6404">
        <f>TEST_DATA!E6404</f>
        <v>545</v>
      </c>
    </row>
    <row r="6405" spans="1:5" x14ac:dyDescent="0.55000000000000004">
      <c r="A6405" t="str">
        <f>TEST_DATA!A6405</f>
        <v>27AAAAA6405Z5</v>
      </c>
      <c r="B6405" t="str">
        <f>TEST_DATA!B6405</f>
        <v>Jun-2018</v>
      </c>
      <c r="C6405">
        <f>TEST_DATA!C6405</f>
        <v>43458</v>
      </c>
      <c r="D6405" t="str">
        <f>TEST_DATA!D6405</f>
        <v>NIL</v>
      </c>
      <c r="E6405">
        <f>TEST_DATA!E6405</f>
        <v>161</v>
      </c>
    </row>
    <row r="6406" spans="1:5" x14ac:dyDescent="0.55000000000000004">
      <c r="A6406" t="str">
        <f>TEST_DATA!A6406</f>
        <v>27AAAAA6406Z5</v>
      </c>
      <c r="B6406" t="str">
        <f>TEST_DATA!B6406</f>
        <v>Mar-2018</v>
      </c>
      <c r="C6406">
        <f>TEST_DATA!C6406</f>
        <v>43055</v>
      </c>
      <c r="D6406" t="str">
        <f>TEST_DATA!D6406</f>
        <v>NIL</v>
      </c>
      <c r="E6406">
        <f>TEST_DATA!E6406</f>
        <v>952</v>
      </c>
    </row>
    <row r="6407" spans="1:5" x14ac:dyDescent="0.55000000000000004">
      <c r="A6407" t="str">
        <f>TEST_DATA!A6407</f>
        <v>27AAAAA6407Z5</v>
      </c>
      <c r="B6407" t="str">
        <f>TEST_DATA!B6407</f>
        <v>Dec-2024</v>
      </c>
      <c r="C6407">
        <f>TEST_DATA!C6407</f>
        <v>43814</v>
      </c>
      <c r="D6407" t="str">
        <f>TEST_DATA!D6407</f>
        <v>NIL</v>
      </c>
      <c r="E6407">
        <f>TEST_DATA!E6407</f>
        <v>2966</v>
      </c>
    </row>
    <row r="6408" spans="1:5" x14ac:dyDescent="0.55000000000000004">
      <c r="A6408" t="str">
        <f>TEST_DATA!A6408</f>
        <v>27AAAAA6408Z5</v>
      </c>
      <c r="B6408" t="str">
        <f>TEST_DATA!B6408</f>
        <v>May-2020</v>
      </c>
      <c r="C6408">
        <f>TEST_DATA!C6408</f>
        <v>44560</v>
      </c>
      <c r="D6408" t="str">
        <f>TEST_DATA!D6408</f>
        <v>NON-NIL</v>
      </c>
      <c r="E6408">
        <f>TEST_DATA!E6408</f>
        <v>1891</v>
      </c>
    </row>
    <row r="6409" spans="1:5" x14ac:dyDescent="0.55000000000000004">
      <c r="A6409" t="str">
        <f>TEST_DATA!A6409</f>
        <v>27AAAAA6409Z5</v>
      </c>
      <c r="B6409" t="str">
        <f>TEST_DATA!B6409</f>
        <v>Nov-2017</v>
      </c>
      <c r="C6409">
        <f>TEST_DATA!C6409</f>
        <v>42931</v>
      </c>
      <c r="D6409" t="str">
        <f>TEST_DATA!D6409</f>
        <v>NON-NIL</v>
      </c>
      <c r="E6409">
        <f>TEST_DATA!E6409</f>
        <v>1144</v>
      </c>
    </row>
    <row r="6410" spans="1:5" x14ac:dyDescent="0.55000000000000004">
      <c r="A6410" t="str">
        <f>TEST_DATA!A6410</f>
        <v>27AAAAA6410Z5</v>
      </c>
      <c r="B6410" t="str">
        <f>TEST_DATA!B6410</f>
        <v>Sep-2017</v>
      </c>
      <c r="C6410">
        <f>TEST_DATA!C6410</f>
        <v>42957</v>
      </c>
      <c r="D6410" t="str">
        <f>TEST_DATA!D6410</f>
        <v>NIL</v>
      </c>
      <c r="E6410">
        <f>TEST_DATA!E6410</f>
        <v>2897</v>
      </c>
    </row>
    <row r="6411" spans="1:5" x14ac:dyDescent="0.55000000000000004">
      <c r="A6411" t="str">
        <f>TEST_DATA!A6411</f>
        <v>27AAAAA6411Z5</v>
      </c>
      <c r="B6411" t="str">
        <f>TEST_DATA!B6411</f>
        <v>Jul-2020</v>
      </c>
      <c r="C6411">
        <f>TEST_DATA!C6411</f>
        <v>44844</v>
      </c>
      <c r="D6411" t="str">
        <f>TEST_DATA!D6411</f>
        <v>NON-NIL</v>
      </c>
      <c r="E6411">
        <f>TEST_DATA!E6411</f>
        <v>408</v>
      </c>
    </row>
    <row r="6412" spans="1:5" x14ac:dyDescent="0.55000000000000004">
      <c r="A6412" t="str">
        <f>TEST_DATA!A6412</f>
        <v>27AAAAA6412Z5</v>
      </c>
      <c r="B6412" t="str">
        <f>TEST_DATA!B6412</f>
        <v>Mar-2020</v>
      </c>
      <c r="C6412">
        <f>TEST_DATA!C6412</f>
        <v>44271</v>
      </c>
      <c r="D6412" t="str">
        <f>TEST_DATA!D6412</f>
        <v>NIL</v>
      </c>
      <c r="E6412">
        <f>TEST_DATA!E6412</f>
        <v>1108</v>
      </c>
    </row>
    <row r="6413" spans="1:5" x14ac:dyDescent="0.55000000000000004">
      <c r="A6413" t="str">
        <f>TEST_DATA!A6413</f>
        <v>27AAAAA6413Z5</v>
      </c>
      <c r="B6413" t="str">
        <f>TEST_DATA!B6413</f>
        <v>Jun-2018</v>
      </c>
      <c r="C6413">
        <f>TEST_DATA!C6413</f>
        <v>44516</v>
      </c>
      <c r="D6413" t="str">
        <f>TEST_DATA!D6413</f>
        <v>NIL</v>
      </c>
      <c r="E6413">
        <f>TEST_DATA!E6413</f>
        <v>2256</v>
      </c>
    </row>
    <row r="6414" spans="1:5" x14ac:dyDescent="0.55000000000000004">
      <c r="A6414" t="str">
        <f>TEST_DATA!A6414</f>
        <v>27AAAAA6414Z5</v>
      </c>
      <c r="B6414" t="str">
        <f>TEST_DATA!B6414</f>
        <v>May-2020</v>
      </c>
      <c r="C6414">
        <f>TEST_DATA!C6414</f>
        <v>43985</v>
      </c>
      <c r="D6414" t="str">
        <f>TEST_DATA!D6414</f>
        <v>NIL</v>
      </c>
      <c r="E6414">
        <f>TEST_DATA!E6414</f>
        <v>2545</v>
      </c>
    </row>
    <row r="6415" spans="1:5" x14ac:dyDescent="0.55000000000000004">
      <c r="A6415" t="str">
        <f>TEST_DATA!A6415</f>
        <v>27AAAAA6415Z5</v>
      </c>
      <c r="B6415" t="str">
        <f>TEST_DATA!B6415</f>
        <v>Jan-2019</v>
      </c>
      <c r="C6415">
        <f>TEST_DATA!C6415</f>
        <v>44733</v>
      </c>
      <c r="D6415" t="str">
        <f>TEST_DATA!D6415</f>
        <v>NIL</v>
      </c>
      <c r="E6415">
        <f>TEST_DATA!E6415</f>
        <v>2598</v>
      </c>
    </row>
    <row r="6416" spans="1:5" x14ac:dyDescent="0.55000000000000004">
      <c r="A6416" t="str">
        <f>TEST_DATA!A6416</f>
        <v>27AAAAA6416Z5</v>
      </c>
      <c r="B6416" t="str">
        <f>TEST_DATA!B6416</f>
        <v>Nov-2017</v>
      </c>
      <c r="C6416">
        <f>TEST_DATA!C6416</f>
        <v>43212</v>
      </c>
      <c r="D6416" t="str">
        <f>TEST_DATA!D6416</f>
        <v>NON-NIL</v>
      </c>
      <c r="E6416">
        <f>TEST_DATA!E6416</f>
        <v>2228</v>
      </c>
    </row>
    <row r="6417" spans="1:5" x14ac:dyDescent="0.55000000000000004">
      <c r="A6417" t="str">
        <f>TEST_DATA!A6417</f>
        <v>27AAAAA6417Z5</v>
      </c>
      <c r="B6417" t="str">
        <f>TEST_DATA!B6417</f>
        <v>Sep-2018</v>
      </c>
      <c r="C6417">
        <f>TEST_DATA!C6417</f>
        <v>42974</v>
      </c>
      <c r="D6417" t="str">
        <f>TEST_DATA!D6417</f>
        <v>NON-NIL</v>
      </c>
      <c r="E6417">
        <f>TEST_DATA!E6417</f>
        <v>618</v>
      </c>
    </row>
    <row r="6418" spans="1:5" x14ac:dyDescent="0.55000000000000004">
      <c r="A6418" t="str">
        <f>TEST_DATA!A6418</f>
        <v>27AAAAA6418Z5</v>
      </c>
      <c r="B6418" t="str">
        <f>TEST_DATA!B6418</f>
        <v>Jan-2021</v>
      </c>
      <c r="C6418">
        <f>TEST_DATA!C6418</f>
        <v>45062</v>
      </c>
      <c r="D6418" t="str">
        <f>TEST_DATA!D6418</f>
        <v>NON-NIL</v>
      </c>
      <c r="E6418">
        <f>TEST_DATA!E6418</f>
        <v>2352</v>
      </c>
    </row>
    <row r="6419" spans="1:5" x14ac:dyDescent="0.55000000000000004">
      <c r="A6419" t="str">
        <f>TEST_DATA!A6419</f>
        <v>27AAAAA6419Z5</v>
      </c>
      <c r="B6419" t="str">
        <f>TEST_DATA!B6419</f>
        <v>Aug-2018</v>
      </c>
      <c r="C6419">
        <f>TEST_DATA!C6419</f>
        <v>43336</v>
      </c>
      <c r="D6419" t="str">
        <f>TEST_DATA!D6419</f>
        <v>NIL</v>
      </c>
      <c r="E6419">
        <f>TEST_DATA!E6419</f>
        <v>726</v>
      </c>
    </row>
    <row r="6420" spans="1:5" x14ac:dyDescent="0.55000000000000004">
      <c r="A6420" t="str">
        <f>TEST_DATA!A6420</f>
        <v>27AAAAA6420Z5</v>
      </c>
      <c r="B6420" t="str">
        <f>TEST_DATA!B6420</f>
        <v>Jun-2018</v>
      </c>
      <c r="C6420">
        <f>TEST_DATA!C6420</f>
        <v>43077</v>
      </c>
      <c r="D6420" t="str">
        <f>TEST_DATA!D6420</f>
        <v>NON-NIL</v>
      </c>
      <c r="E6420">
        <f>TEST_DATA!E6420</f>
        <v>1222</v>
      </c>
    </row>
    <row r="6421" spans="1:5" x14ac:dyDescent="0.55000000000000004">
      <c r="A6421" t="str">
        <f>TEST_DATA!A6421</f>
        <v>27AAAAA6421Z5</v>
      </c>
      <c r="B6421" t="str">
        <f>TEST_DATA!B6421</f>
        <v>Apr-2021</v>
      </c>
      <c r="C6421">
        <f>TEST_DATA!C6421</f>
        <v>44056</v>
      </c>
      <c r="D6421" t="str">
        <f>TEST_DATA!D6421</f>
        <v>NIL</v>
      </c>
      <c r="E6421">
        <f>TEST_DATA!E6421</f>
        <v>1186</v>
      </c>
    </row>
    <row r="6422" spans="1:5" x14ac:dyDescent="0.55000000000000004">
      <c r="A6422" t="str">
        <f>TEST_DATA!A6422</f>
        <v>27AAAAA6422Z5</v>
      </c>
      <c r="B6422" t="str">
        <f>TEST_DATA!B6422</f>
        <v>Jul-2017</v>
      </c>
      <c r="C6422">
        <f>TEST_DATA!C6422</f>
        <v>43459</v>
      </c>
      <c r="D6422" t="str">
        <f>TEST_DATA!D6422</f>
        <v>NIL</v>
      </c>
      <c r="E6422">
        <f>TEST_DATA!E6422</f>
        <v>706</v>
      </c>
    </row>
    <row r="6423" spans="1:5" x14ac:dyDescent="0.55000000000000004">
      <c r="A6423" t="str">
        <f>TEST_DATA!A6423</f>
        <v>27AAAAA6423Z5</v>
      </c>
      <c r="B6423" t="str">
        <f>TEST_DATA!B6423</f>
        <v>Aug-2018</v>
      </c>
      <c r="C6423">
        <f>TEST_DATA!C6423</f>
        <v>43121</v>
      </c>
      <c r="D6423" t="str">
        <f>TEST_DATA!D6423</f>
        <v>NIL</v>
      </c>
      <c r="E6423">
        <f>TEST_DATA!E6423</f>
        <v>2185</v>
      </c>
    </row>
    <row r="6424" spans="1:5" x14ac:dyDescent="0.55000000000000004">
      <c r="A6424" t="str">
        <f>TEST_DATA!A6424</f>
        <v>27AAAAA6424Z5</v>
      </c>
      <c r="B6424" t="str">
        <f>TEST_DATA!B6424</f>
        <v>Dec-2022</v>
      </c>
      <c r="C6424">
        <f>TEST_DATA!C6424</f>
        <v>43677</v>
      </c>
      <c r="D6424" t="str">
        <f>TEST_DATA!D6424</f>
        <v>NIL</v>
      </c>
      <c r="E6424">
        <f>TEST_DATA!E6424</f>
        <v>788</v>
      </c>
    </row>
    <row r="6425" spans="1:5" x14ac:dyDescent="0.55000000000000004">
      <c r="A6425" t="str">
        <f>TEST_DATA!A6425</f>
        <v>27AAAAA6425Z5</v>
      </c>
      <c r="B6425" t="str">
        <f>TEST_DATA!B6425</f>
        <v>Apr-2018</v>
      </c>
      <c r="C6425">
        <f>TEST_DATA!C6425</f>
        <v>43700</v>
      </c>
      <c r="D6425" t="str">
        <f>TEST_DATA!D6425</f>
        <v>NON-NIL</v>
      </c>
      <c r="E6425">
        <f>TEST_DATA!E6425</f>
        <v>406</v>
      </c>
    </row>
    <row r="6426" spans="1:5" x14ac:dyDescent="0.55000000000000004">
      <c r="A6426" t="str">
        <f>TEST_DATA!A6426</f>
        <v>27AAAAA6426Z5</v>
      </c>
      <c r="B6426" t="str">
        <f>TEST_DATA!B6426</f>
        <v>Jul-2020</v>
      </c>
      <c r="C6426">
        <f>TEST_DATA!C6426</f>
        <v>44612</v>
      </c>
      <c r="D6426" t="str">
        <f>TEST_DATA!D6426</f>
        <v>NIL</v>
      </c>
      <c r="E6426">
        <f>TEST_DATA!E6426</f>
        <v>205</v>
      </c>
    </row>
    <row r="6427" spans="1:5" x14ac:dyDescent="0.55000000000000004">
      <c r="A6427" t="str">
        <f>TEST_DATA!A6427</f>
        <v>27AAAAA6427Z5</v>
      </c>
      <c r="B6427" t="str">
        <f>TEST_DATA!B6427</f>
        <v>Jan-2019</v>
      </c>
      <c r="C6427">
        <f>TEST_DATA!C6427</f>
        <v>43515</v>
      </c>
      <c r="D6427" t="str">
        <f>TEST_DATA!D6427</f>
        <v>NIL</v>
      </c>
      <c r="E6427">
        <f>TEST_DATA!E6427</f>
        <v>2237</v>
      </c>
    </row>
    <row r="6428" spans="1:5" x14ac:dyDescent="0.55000000000000004">
      <c r="A6428" t="str">
        <f>TEST_DATA!A6428</f>
        <v>27AAAAA6428Z5</v>
      </c>
      <c r="B6428" t="str">
        <f>TEST_DATA!B6428</f>
        <v>Jul-2018</v>
      </c>
      <c r="C6428">
        <f>TEST_DATA!C6428</f>
        <v>43835</v>
      </c>
      <c r="D6428" t="str">
        <f>TEST_DATA!D6428</f>
        <v>NIL</v>
      </c>
      <c r="E6428">
        <f>TEST_DATA!E6428</f>
        <v>229</v>
      </c>
    </row>
    <row r="6429" spans="1:5" x14ac:dyDescent="0.55000000000000004">
      <c r="A6429" t="str">
        <f>TEST_DATA!A6429</f>
        <v>27AAAAA6429Z5</v>
      </c>
      <c r="B6429" t="str">
        <f>TEST_DATA!B6429</f>
        <v>Nov-2017</v>
      </c>
      <c r="C6429">
        <f>TEST_DATA!C6429</f>
        <v>44512</v>
      </c>
      <c r="D6429" t="str">
        <f>TEST_DATA!D6429</f>
        <v>NIL</v>
      </c>
      <c r="E6429">
        <f>TEST_DATA!E6429</f>
        <v>130</v>
      </c>
    </row>
    <row r="6430" spans="1:5" x14ac:dyDescent="0.55000000000000004">
      <c r="A6430" t="str">
        <f>TEST_DATA!A6430</f>
        <v>27AAAAA6430Z5</v>
      </c>
      <c r="B6430" t="str">
        <f>TEST_DATA!B6430</f>
        <v>Apr-2020</v>
      </c>
      <c r="C6430">
        <f>TEST_DATA!C6430</f>
        <v>44517</v>
      </c>
      <c r="D6430" t="str">
        <f>TEST_DATA!D6430</f>
        <v>NIL</v>
      </c>
      <c r="E6430">
        <f>TEST_DATA!E6430</f>
        <v>1601</v>
      </c>
    </row>
    <row r="6431" spans="1:5" x14ac:dyDescent="0.55000000000000004">
      <c r="A6431" t="str">
        <f>TEST_DATA!A6431</f>
        <v>27AAAAA6431Z5</v>
      </c>
      <c r="B6431" t="str">
        <f>TEST_DATA!B6431</f>
        <v>Dec-2024</v>
      </c>
      <c r="C6431">
        <f>TEST_DATA!C6431</f>
        <v>45162</v>
      </c>
      <c r="D6431" t="str">
        <f>TEST_DATA!D6431</f>
        <v>NIL</v>
      </c>
      <c r="E6431">
        <f>TEST_DATA!E6431</f>
        <v>287</v>
      </c>
    </row>
    <row r="6432" spans="1:5" x14ac:dyDescent="0.55000000000000004">
      <c r="A6432" t="str">
        <f>TEST_DATA!A6432</f>
        <v>27AAAAA6432Z5</v>
      </c>
      <c r="B6432" t="str">
        <f>TEST_DATA!B6432</f>
        <v>Mar-2020</v>
      </c>
      <c r="C6432">
        <f>TEST_DATA!C6432</f>
        <v>44569</v>
      </c>
      <c r="D6432" t="str">
        <f>TEST_DATA!D6432</f>
        <v>NIL</v>
      </c>
      <c r="E6432">
        <f>TEST_DATA!E6432</f>
        <v>1676</v>
      </c>
    </row>
    <row r="6433" spans="1:5" x14ac:dyDescent="0.55000000000000004">
      <c r="A6433" t="str">
        <f>TEST_DATA!A6433</f>
        <v>27AAAAA6433Z5</v>
      </c>
      <c r="B6433" t="str">
        <f>TEST_DATA!B6433</f>
        <v>Dec-2019</v>
      </c>
      <c r="C6433">
        <f>TEST_DATA!C6433</f>
        <v>43593</v>
      </c>
      <c r="D6433" t="str">
        <f>TEST_DATA!D6433</f>
        <v>NIL</v>
      </c>
      <c r="E6433">
        <f>TEST_DATA!E6433</f>
        <v>1388</v>
      </c>
    </row>
    <row r="6434" spans="1:5" x14ac:dyDescent="0.55000000000000004">
      <c r="A6434" t="str">
        <f>TEST_DATA!A6434</f>
        <v>27AAAAA6434Z5</v>
      </c>
      <c r="B6434" t="str">
        <f>TEST_DATA!B6434</f>
        <v>Sep-2018</v>
      </c>
      <c r="C6434">
        <f>TEST_DATA!C6434</f>
        <v>43891</v>
      </c>
      <c r="D6434" t="str">
        <f>TEST_DATA!D6434</f>
        <v>NON-NIL</v>
      </c>
      <c r="E6434">
        <f>TEST_DATA!E6434</f>
        <v>122</v>
      </c>
    </row>
    <row r="6435" spans="1:5" x14ac:dyDescent="0.55000000000000004">
      <c r="A6435" t="str">
        <f>TEST_DATA!A6435</f>
        <v>27AAAAA6435Z5</v>
      </c>
      <c r="B6435" t="str">
        <f>TEST_DATA!B6435</f>
        <v>Aug-2017</v>
      </c>
      <c r="C6435">
        <f>TEST_DATA!C6435</f>
        <v>43113</v>
      </c>
      <c r="D6435" t="str">
        <f>TEST_DATA!D6435</f>
        <v>NON-NIL</v>
      </c>
      <c r="E6435">
        <f>TEST_DATA!E6435</f>
        <v>996</v>
      </c>
    </row>
    <row r="6436" spans="1:5" x14ac:dyDescent="0.55000000000000004">
      <c r="A6436" t="str">
        <f>TEST_DATA!A6436</f>
        <v>27AAAAA6436Z5</v>
      </c>
      <c r="B6436" t="str">
        <f>TEST_DATA!B6436</f>
        <v>Nov-2017</v>
      </c>
      <c r="C6436">
        <f>TEST_DATA!C6436</f>
        <v>43600</v>
      </c>
      <c r="D6436" t="str">
        <f>TEST_DATA!D6436</f>
        <v>NIL</v>
      </c>
      <c r="E6436">
        <f>TEST_DATA!E6436</f>
        <v>106</v>
      </c>
    </row>
    <row r="6437" spans="1:5" x14ac:dyDescent="0.55000000000000004">
      <c r="A6437" t="str">
        <f>TEST_DATA!A6437</f>
        <v>27AAAAA6437Z5</v>
      </c>
      <c r="B6437" t="str">
        <f>TEST_DATA!B6437</f>
        <v>Apr-2021</v>
      </c>
      <c r="C6437">
        <f>TEST_DATA!C6437</f>
        <v>45355</v>
      </c>
      <c r="D6437" t="str">
        <f>TEST_DATA!D6437</f>
        <v>NIL</v>
      </c>
      <c r="E6437">
        <f>TEST_DATA!E6437</f>
        <v>2520</v>
      </c>
    </row>
    <row r="6438" spans="1:5" x14ac:dyDescent="0.55000000000000004">
      <c r="A6438" t="str">
        <f>TEST_DATA!A6438</f>
        <v>27AAAAA6438Z5</v>
      </c>
      <c r="B6438" t="str">
        <f>TEST_DATA!B6438</f>
        <v>Sep-2018</v>
      </c>
      <c r="C6438">
        <f>TEST_DATA!C6438</f>
        <v>43100</v>
      </c>
      <c r="D6438" t="str">
        <f>TEST_DATA!D6438</f>
        <v>NIL</v>
      </c>
      <c r="E6438">
        <f>TEST_DATA!E6438</f>
        <v>141</v>
      </c>
    </row>
    <row r="6439" spans="1:5" x14ac:dyDescent="0.55000000000000004">
      <c r="A6439" t="str">
        <f>TEST_DATA!A6439</f>
        <v>27AAAAA6439Z5</v>
      </c>
      <c r="B6439" t="str">
        <f>TEST_DATA!B6439</f>
        <v>May-2020</v>
      </c>
      <c r="C6439">
        <f>TEST_DATA!C6439</f>
        <v>44755</v>
      </c>
      <c r="D6439" t="str">
        <f>TEST_DATA!D6439</f>
        <v>NIL</v>
      </c>
      <c r="E6439">
        <f>TEST_DATA!E6439</f>
        <v>656</v>
      </c>
    </row>
    <row r="6440" spans="1:5" x14ac:dyDescent="0.55000000000000004">
      <c r="A6440" t="str">
        <f>TEST_DATA!A6440</f>
        <v>27AAAAA6440Z5</v>
      </c>
      <c r="B6440" t="str">
        <f>TEST_DATA!B6440</f>
        <v>Sep-2017</v>
      </c>
      <c r="C6440">
        <f>TEST_DATA!C6440</f>
        <v>43140</v>
      </c>
      <c r="D6440" t="str">
        <f>TEST_DATA!D6440</f>
        <v>NIL</v>
      </c>
      <c r="E6440">
        <f>TEST_DATA!E6440</f>
        <v>2214</v>
      </c>
    </row>
    <row r="6441" spans="1:5" x14ac:dyDescent="0.55000000000000004">
      <c r="A6441" t="str">
        <f>TEST_DATA!A6441</f>
        <v>27AAAAA6441Z5</v>
      </c>
      <c r="B6441" t="str">
        <f>TEST_DATA!B6441</f>
        <v>Dec-2022</v>
      </c>
      <c r="C6441">
        <f>TEST_DATA!C6441</f>
        <v>45025</v>
      </c>
      <c r="D6441" t="str">
        <f>TEST_DATA!D6441</f>
        <v>NIL</v>
      </c>
      <c r="E6441">
        <f>TEST_DATA!E6441</f>
        <v>2086</v>
      </c>
    </row>
    <row r="6442" spans="1:5" x14ac:dyDescent="0.55000000000000004">
      <c r="A6442" t="str">
        <f>TEST_DATA!A6442</f>
        <v>27AAAAA6442Z5</v>
      </c>
      <c r="B6442" t="str">
        <f>TEST_DATA!B6442</f>
        <v>Jan-2019</v>
      </c>
      <c r="C6442">
        <f>TEST_DATA!C6442</f>
        <v>43775</v>
      </c>
      <c r="D6442" t="str">
        <f>TEST_DATA!D6442</f>
        <v>NON-NIL</v>
      </c>
      <c r="E6442">
        <f>TEST_DATA!E6442</f>
        <v>2030</v>
      </c>
    </row>
    <row r="6443" spans="1:5" x14ac:dyDescent="0.55000000000000004">
      <c r="A6443" t="str">
        <f>TEST_DATA!A6443</f>
        <v>27AAAAA6443Z5</v>
      </c>
      <c r="B6443" t="str">
        <f>TEST_DATA!B6443</f>
        <v>Nov-2017</v>
      </c>
      <c r="C6443">
        <f>TEST_DATA!C6443</f>
        <v>43297</v>
      </c>
      <c r="D6443" t="str">
        <f>TEST_DATA!D6443</f>
        <v>NIL</v>
      </c>
      <c r="E6443">
        <f>TEST_DATA!E6443</f>
        <v>102</v>
      </c>
    </row>
    <row r="6444" spans="1:5" x14ac:dyDescent="0.55000000000000004">
      <c r="A6444" t="str">
        <f>TEST_DATA!A6444</f>
        <v>27AAAAA6444Z5</v>
      </c>
      <c r="B6444" t="str">
        <f>TEST_DATA!B6444</f>
        <v>Apr-2021</v>
      </c>
      <c r="C6444">
        <f>TEST_DATA!C6444</f>
        <v>44505</v>
      </c>
      <c r="D6444" t="str">
        <f>TEST_DATA!D6444</f>
        <v>NON-NIL</v>
      </c>
      <c r="E6444">
        <f>TEST_DATA!E6444</f>
        <v>2907</v>
      </c>
    </row>
    <row r="6445" spans="1:5" x14ac:dyDescent="0.55000000000000004">
      <c r="A6445" t="str">
        <f>TEST_DATA!A6445</f>
        <v>27AAAAA6445Z5</v>
      </c>
      <c r="B6445" t="str">
        <f>TEST_DATA!B6445</f>
        <v>Mar-2021</v>
      </c>
      <c r="C6445">
        <f>TEST_DATA!C6445</f>
        <v>44610</v>
      </c>
      <c r="D6445" t="str">
        <f>TEST_DATA!D6445</f>
        <v>NON-NIL</v>
      </c>
      <c r="E6445">
        <f>TEST_DATA!E6445</f>
        <v>458</v>
      </c>
    </row>
    <row r="6446" spans="1:5" x14ac:dyDescent="0.55000000000000004">
      <c r="A6446" t="str">
        <f>TEST_DATA!A6446</f>
        <v>27AAAAA6446Z5</v>
      </c>
      <c r="B6446" t="str">
        <f>TEST_DATA!B6446</f>
        <v>Jan-2019</v>
      </c>
      <c r="C6446">
        <f>TEST_DATA!C6446</f>
        <v>43920</v>
      </c>
      <c r="D6446" t="str">
        <f>TEST_DATA!D6446</f>
        <v>NIL</v>
      </c>
      <c r="E6446">
        <f>TEST_DATA!E6446</f>
        <v>2241</v>
      </c>
    </row>
    <row r="6447" spans="1:5" x14ac:dyDescent="0.55000000000000004">
      <c r="A6447" t="str">
        <f>TEST_DATA!A6447</f>
        <v>27AAAAA6447Z5</v>
      </c>
      <c r="B6447" t="str">
        <f>TEST_DATA!B6447</f>
        <v>Apr-2021</v>
      </c>
      <c r="C6447">
        <f>TEST_DATA!C6447</f>
        <v>43746</v>
      </c>
      <c r="D6447" t="str">
        <f>TEST_DATA!D6447</f>
        <v>NON-NIL</v>
      </c>
      <c r="E6447">
        <f>TEST_DATA!E6447</f>
        <v>25</v>
      </c>
    </row>
    <row r="6448" spans="1:5" x14ac:dyDescent="0.55000000000000004">
      <c r="A6448" t="str">
        <f>TEST_DATA!A6448</f>
        <v>27AAAAA6448Z5</v>
      </c>
      <c r="B6448" t="str">
        <f>TEST_DATA!B6448</f>
        <v>Sep-2018</v>
      </c>
      <c r="C6448">
        <f>TEST_DATA!C6448</f>
        <v>43442</v>
      </c>
      <c r="D6448" t="str">
        <f>TEST_DATA!D6448</f>
        <v>NON-NIL</v>
      </c>
      <c r="E6448">
        <f>TEST_DATA!E6448</f>
        <v>1003</v>
      </c>
    </row>
    <row r="6449" spans="1:5" x14ac:dyDescent="0.55000000000000004">
      <c r="A6449" t="str">
        <f>TEST_DATA!A6449</f>
        <v>27AAAAA6449Z5</v>
      </c>
      <c r="B6449" t="str">
        <f>TEST_DATA!B6449</f>
        <v>Aug-2018</v>
      </c>
      <c r="C6449">
        <f>TEST_DATA!C6449</f>
        <v>43027</v>
      </c>
      <c r="D6449" t="str">
        <f>TEST_DATA!D6449</f>
        <v>NIL</v>
      </c>
      <c r="E6449">
        <f>TEST_DATA!E6449</f>
        <v>923</v>
      </c>
    </row>
    <row r="6450" spans="1:5" x14ac:dyDescent="0.55000000000000004">
      <c r="A6450" t="str">
        <f>TEST_DATA!A6450</f>
        <v>27AAAAA6450Z5</v>
      </c>
      <c r="B6450" t="str">
        <f>TEST_DATA!B6450</f>
        <v>Mar-2021</v>
      </c>
      <c r="C6450">
        <f>TEST_DATA!C6450</f>
        <v>44701</v>
      </c>
      <c r="D6450" t="str">
        <f>TEST_DATA!D6450</f>
        <v>NON-NIL</v>
      </c>
      <c r="E6450">
        <f>TEST_DATA!E6450</f>
        <v>539</v>
      </c>
    </row>
    <row r="6451" spans="1:5" x14ac:dyDescent="0.55000000000000004">
      <c r="A6451" t="str">
        <f>TEST_DATA!A6451</f>
        <v>27AAAAA6451Z5</v>
      </c>
      <c r="B6451" t="str">
        <f>TEST_DATA!B6451</f>
        <v>Dec-2017</v>
      </c>
      <c r="C6451">
        <f>TEST_DATA!C6451</f>
        <v>43655</v>
      </c>
      <c r="D6451" t="str">
        <f>TEST_DATA!D6451</f>
        <v>NIL</v>
      </c>
      <c r="E6451">
        <f>TEST_DATA!E6451</f>
        <v>380</v>
      </c>
    </row>
    <row r="6452" spans="1:5" x14ac:dyDescent="0.55000000000000004">
      <c r="A6452" t="str">
        <f>TEST_DATA!A6452</f>
        <v>27AAAAA6452Z5</v>
      </c>
      <c r="B6452" t="str">
        <f>TEST_DATA!B6452</f>
        <v>May-2020</v>
      </c>
      <c r="C6452">
        <f>TEST_DATA!C6452</f>
        <v>44644</v>
      </c>
      <c r="D6452" t="str">
        <f>TEST_DATA!D6452</f>
        <v>NIL</v>
      </c>
      <c r="E6452">
        <f>TEST_DATA!E6452</f>
        <v>590</v>
      </c>
    </row>
    <row r="6453" spans="1:5" x14ac:dyDescent="0.55000000000000004">
      <c r="A6453" t="str">
        <f>TEST_DATA!A6453</f>
        <v>27AAAAA6453Z5</v>
      </c>
      <c r="B6453" t="str">
        <f>TEST_DATA!B6453</f>
        <v>May-2018</v>
      </c>
      <c r="C6453">
        <f>TEST_DATA!C6453</f>
        <v>43287</v>
      </c>
      <c r="D6453" t="str">
        <f>TEST_DATA!D6453</f>
        <v>NIL</v>
      </c>
      <c r="E6453">
        <f>TEST_DATA!E6453</f>
        <v>2407</v>
      </c>
    </row>
    <row r="6454" spans="1:5" x14ac:dyDescent="0.55000000000000004">
      <c r="A6454" t="str">
        <f>TEST_DATA!A6454</f>
        <v>27AAAAA6454Z5</v>
      </c>
      <c r="B6454" t="str">
        <f>TEST_DATA!B6454</f>
        <v>Mar-2018</v>
      </c>
      <c r="C6454">
        <f>TEST_DATA!C6454</f>
        <v>44463</v>
      </c>
      <c r="D6454" t="str">
        <f>TEST_DATA!D6454</f>
        <v>NIL</v>
      </c>
      <c r="E6454">
        <f>TEST_DATA!E6454</f>
        <v>581</v>
      </c>
    </row>
    <row r="6455" spans="1:5" x14ac:dyDescent="0.55000000000000004">
      <c r="A6455" t="str">
        <f>TEST_DATA!A6455</f>
        <v>27AAAAA6455Z5</v>
      </c>
      <c r="B6455" t="str">
        <f>TEST_DATA!B6455</f>
        <v>Jan-2021</v>
      </c>
      <c r="C6455">
        <f>TEST_DATA!C6455</f>
        <v>43535</v>
      </c>
      <c r="D6455" t="str">
        <f>TEST_DATA!D6455</f>
        <v>NON-NIL</v>
      </c>
      <c r="E6455">
        <f>TEST_DATA!E6455</f>
        <v>1249</v>
      </c>
    </row>
    <row r="6456" spans="1:5" x14ac:dyDescent="0.55000000000000004">
      <c r="A6456" t="str">
        <f>TEST_DATA!A6456</f>
        <v>27AAAAA6456Z5</v>
      </c>
      <c r="B6456" t="str">
        <f>TEST_DATA!B6456</f>
        <v>Jan-2021</v>
      </c>
      <c r="C6456">
        <f>TEST_DATA!C6456</f>
        <v>45293</v>
      </c>
      <c r="D6456" t="str">
        <f>TEST_DATA!D6456</f>
        <v>NON-NIL</v>
      </c>
      <c r="E6456">
        <f>TEST_DATA!E6456</f>
        <v>738</v>
      </c>
    </row>
    <row r="6457" spans="1:5" x14ac:dyDescent="0.55000000000000004">
      <c r="A6457" t="str">
        <f>TEST_DATA!A6457</f>
        <v>27AAAAA6457Z5</v>
      </c>
      <c r="B6457" t="str">
        <f>TEST_DATA!B6457</f>
        <v>Jul-2018</v>
      </c>
      <c r="C6457">
        <f>TEST_DATA!C6457</f>
        <v>44180</v>
      </c>
      <c r="D6457" t="str">
        <f>TEST_DATA!D6457</f>
        <v>NIL</v>
      </c>
      <c r="E6457">
        <f>TEST_DATA!E6457</f>
        <v>852</v>
      </c>
    </row>
    <row r="6458" spans="1:5" x14ac:dyDescent="0.55000000000000004">
      <c r="A6458" t="str">
        <f>TEST_DATA!A6458</f>
        <v>27AAAAA6458Z5</v>
      </c>
      <c r="B6458" t="str">
        <f>TEST_DATA!B6458</f>
        <v>Jun-2020</v>
      </c>
      <c r="C6458">
        <f>TEST_DATA!C6458</f>
        <v>44205</v>
      </c>
      <c r="D6458" t="str">
        <f>TEST_DATA!D6458</f>
        <v>NON-NIL</v>
      </c>
      <c r="E6458">
        <f>TEST_DATA!E6458</f>
        <v>2627</v>
      </c>
    </row>
    <row r="6459" spans="1:5" x14ac:dyDescent="0.55000000000000004">
      <c r="A6459" t="str">
        <f>TEST_DATA!A6459</f>
        <v>27AAAAA6459Z5</v>
      </c>
      <c r="B6459" t="str">
        <f>TEST_DATA!B6459</f>
        <v>May-2020</v>
      </c>
      <c r="C6459">
        <f>TEST_DATA!C6459</f>
        <v>44554</v>
      </c>
      <c r="D6459" t="str">
        <f>TEST_DATA!D6459</f>
        <v>NON-NIL</v>
      </c>
      <c r="E6459">
        <f>TEST_DATA!E6459</f>
        <v>386</v>
      </c>
    </row>
    <row r="6460" spans="1:5" x14ac:dyDescent="0.55000000000000004">
      <c r="A6460" t="str">
        <f>TEST_DATA!A6460</f>
        <v>27AAAAA6460Z5</v>
      </c>
      <c r="B6460" t="str">
        <f>TEST_DATA!B6460</f>
        <v>Feb-2018</v>
      </c>
      <c r="C6460">
        <f>TEST_DATA!C6460</f>
        <v>43184</v>
      </c>
      <c r="D6460" t="str">
        <f>TEST_DATA!D6460</f>
        <v>NON-NIL</v>
      </c>
      <c r="E6460">
        <f>TEST_DATA!E6460</f>
        <v>1675</v>
      </c>
    </row>
    <row r="6461" spans="1:5" x14ac:dyDescent="0.55000000000000004">
      <c r="A6461" t="str">
        <f>TEST_DATA!A6461</f>
        <v>27AAAAA6461Z5</v>
      </c>
      <c r="B6461" t="str">
        <f>TEST_DATA!B6461</f>
        <v>Sep-2017</v>
      </c>
      <c r="C6461">
        <f>TEST_DATA!C6461</f>
        <v>44251</v>
      </c>
      <c r="D6461" t="str">
        <f>TEST_DATA!D6461</f>
        <v>NON-NIL</v>
      </c>
      <c r="E6461">
        <f>TEST_DATA!E6461</f>
        <v>2468</v>
      </c>
    </row>
    <row r="6462" spans="1:5" x14ac:dyDescent="0.55000000000000004">
      <c r="A6462" t="str">
        <f>TEST_DATA!A6462</f>
        <v>27AAAAA6462Z5</v>
      </c>
      <c r="B6462" t="str">
        <f>TEST_DATA!B6462</f>
        <v>Dec-2022</v>
      </c>
      <c r="C6462">
        <f>TEST_DATA!C6462</f>
        <v>44695</v>
      </c>
      <c r="D6462" t="str">
        <f>TEST_DATA!D6462</f>
        <v>NIL</v>
      </c>
      <c r="E6462">
        <f>TEST_DATA!E6462</f>
        <v>2773</v>
      </c>
    </row>
    <row r="6463" spans="1:5" x14ac:dyDescent="0.55000000000000004">
      <c r="A6463" t="str">
        <f>TEST_DATA!A6463</f>
        <v>27AAAAA6463Z5</v>
      </c>
      <c r="B6463" t="str">
        <f>TEST_DATA!B6463</f>
        <v>Nov-2017</v>
      </c>
      <c r="C6463">
        <f>TEST_DATA!C6463</f>
        <v>43470</v>
      </c>
      <c r="D6463" t="str">
        <f>TEST_DATA!D6463</f>
        <v>NON-NIL</v>
      </c>
      <c r="E6463">
        <f>TEST_DATA!E6463</f>
        <v>2834</v>
      </c>
    </row>
    <row r="6464" spans="1:5" x14ac:dyDescent="0.55000000000000004">
      <c r="A6464" t="str">
        <f>TEST_DATA!A6464</f>
        <v>27AAAAA6464Z5</v>
      </c>
      <c r="B6464" t="str">
        <f>TEST_DATA!B6464</f>
        <v>Jun-2018</v>
      </c>
      <c r="C6464">
        <f>TEST_DATA!C6464</f>
        <v>44113</v>
      </c>
      <c r="D6464" t="str">
        <f>TEST_DATA!D6464</f>
        <v>NON-NIL</v>
      </c>
      <c r="E6464">
        <f>TEST_DATA!E6464</f>
        <v>458</v>
      </c>
    </row>
    <row r="6465" spans="1:5" x14ac:dyDescent="0.55000000000000004">
      <c r="A6465" t="str">
        <f>TEST_DATA!A6465</f>
        <v>27AAAAA6465Z5</v>
      </c>
      <c r="B6465" t="str">
        <f>TEST_DATA!B6465</f>
        <v>Jul-2018</v>
      </c>
      <c r="C6465">
        <f>TEST_DATA!C6465</f>
        <v>42992</v>
      </c>
      <c r="D6465" t="str">
        <f>TEST_DATA!D6465</f>
        <v>NIL</v>
      </c>
      <c r="E6465">
        <f>TEST_DATA!E6465</f>
        <v>433</v>
      </c>
    </row>
    <row r="6466" spans="1:5" x14ac:dyDescent="0.55000000000000004">
      <c r="A6466" t="str">
        <f>TEST_DATA!A6466</f>
        <v>27AAAAA6466Z5</v>
      </c>
      <c r="B6466" t="str">
        <f>TEST_DATA!B6466</f>
        <v>Oct-2017</v>
      </c>
      <c r="C6466">
        <f>TEST_DATA!C6466</f>
        <v>44094</v>
      </c>
      <c r="D6466" t="str">
        <f>TEST_DATA!D6466</f>
        <v>NIL</v>
      </c>
      <c r="E6466">
        <f>TEST_DATA!E6466</f>
        <v>1309</v>
      </c>
    </row>
    <row r="6467" spans="1:5" x14ac:dyDescent="0.55000000000000004">
      <c r="A6467" t="str">
        <f>TEST_DATA!A6467</f>
        <v>27AAAAA6467Z5</v>
      </c>
      <c r="B6467" t="str">
        <f>TEST_DATA!B6467</f>
        <v>Dec-2019</v>
      </c>
      <c r="C6467">
        <f>TEST_DATA!C6467</f>
        <v>43838</v>
      </c>
      <c r="D6467" t="str">
        <f>TEST_DATA!D6467</f>
        <v>NIL</v>
      </c>
      <c r="E6467">
        <f>TEST_DATA!E6467</f>
        <v>1760</v>
      </c>
    </row>
    <row r="6468" spans="1:5" x14ac:dyDescent="0.55000000000000004">
      <c r="A6468" t="str">
        <f>TEST_DATA!A6468</f>
        <v>27AAAAA6468Z5</v>
      </c>
      <c r="B6468" t="str">
        <f>TEST_DATA!B6468</f>
        <v>Dec-2019</v>
      </c>
      <c r="C6468">
        <f>TEST_DATA!C6468</f>
        <v>45123</v>
      </c>
      <c r="D6468" t="str">
        <f>TEST_DATA!D6468</f>
        <v>NON-NIL</v>
      </c>
      <c r="E6468">
        <f>TEST_DATA!E6468</f>
        <v>3000</v>
      </c>
    </row>
    <row r="6469" spans="1:5" x14ac:dyDescent="0.55000000000000004">
      <c r="A6469" t="str">
        <f>TEST_DATA!A6469</f>
        <v>27AAAAA6469Z5</v>
      </c>
      <c r="B6469" t="str">
        <f>TEST_DATA!B6469</f>
        <v>Apr-2020</v>
      </c>
      <c r="C6469">
        <f>TEST_DATA!C6469</f>
        <v>44678</v>
      </c>
      <c r="D6469" t="str">
        <f>TEST_DATA!D6469</f>
        <v>NON-NIL</v>
      </c>
      <c r="E6469">
        <f>TEST_DATA!E6469</f>
        <v>1961</v>
      </c>
    </row>
    <row r="6470" spans="1:5" x14ac:dyDescent="0.55000000000000004">
      <c r="A6470" t="str">
        <f>TEST_DATA!A6470</f>
        <v>27AAAAA6470Z5</v>
      </c>
      <c r="B6470" t="str">
        <f>TEST_DATA!B6470</f>
        <v>Dec-2019</v>
      </c>
      <c r="C6470">
        <f>TEST_DATA!C6470</f>
        <v>45218</v>
      </c>
      <c r="D6470" t="str">
        <f>TEST_DATA!D6470</f>
        <v>NON-NIL</v>
      </c>
      <c r="E6470">
        <f>TEST_DATA!E6470</f>
        <v>519</v>
      </c>
    </row>
    <row r="6471" spans="1:5" x14ac:dyDescent="0.55000000000000004">
      <c r="A6471" t="str">
        <f>TEST_DATA!A6471</f>
        <v>27AAAAA6471Z5</v>
      </c>
      <c r="B6471" t="str">
        <f>TEST_DATA!B6471</f>
        <v>Jan-2018</v>
      </c>
      <c r="C6471">
        <f>TEST_DATA!C6471</f>
        <v>43866</v>
      </c>
      <c r="D6471" t="str">
        <f>TEST_DATA!D6471</f>
        <v>NON-NIL</v>
      </c>
      <c r="E6471">
        <f>TEST_DATA!E6471</f>
        <v>240</v>
      </c>
    </row>
    <row r="6472" spans="1:5" x14ac:dyDescent="0.55000000000000004">
      <c r="A6472" t="str">
        <f>TEST_DATA!A6472</f>
        <v>27AAAAA6472Z5</v>
      </c>
      <c r="B6472" t="str">
        <f>TEST_DATA!B6472</f>
        <v>Jul-2017</v>
      </c>
      <c r="C6472">
        <f>TEST_DATA!C6472</f>
        <v>43941</v>
      </c>
      <c r="D6472" t="str">
        <f>TEST_DATA!D6472</f>
        <v>NON-NIL</v>
      </c>
      <c r="E6472">
        <f>TEST_DATA!E6472</f>
        <v>1277</v>
      </c>
    </row>
    <row r="6473" spans="1:5" x14ac:dyDescent="0.55000000000000004">
      <c r="A6473" t="str">
        <f>TEST_DATA!A6473</f>
        <v>27AAAAA6473Z5</v>
      </c>
      <c r="B6473" t="str">
        <f>TEST_DATA!B6473</f>
        <v>Sep-2018</v>
      </c>
      <c r="C6473">
        <f>TEST_DATA!C6473</f>
        <v>43447</v>
      </c>
      <c r="D6473" t="str">
        <f>TEST_DATA!D6473</f>
        <v>NIL</v>
      </c>
      <c r="E6473">
        <f>TEST_DATA!E6473</f>
        <v>2093</v>
      </c>
    </row>
    <row r="6474" spans="1:5" x14ac:dyDescent="0.55000000000000004">
      <c r="A6474" t="str">
        <f>TEST_DATA!A6474</f>
        <v>27AAAAA6474Z5</v>
      </c>
      <c r="B6474" t="str">
        <f>TEST_DATA!B6474</f>
        <v>Jan-2021</v>
      </c>
      <c r="C6474">
        <f>TEST_DATA!C6474</f>
        <v>44411</v>
      </c>
      <c r="D6474" t="str">
        <f>TEST_DATA!D6474</f>
        <v>NON-NIL</v>
      </c>
      <c r="E6474">
        <f>TEST_DATA!E6474</f>
        <v>2692</v>
      </c>
    </row>
    <row r="6475" spans="1:5" x14ac:dyDescent="0.55000000000000004">
      <c r="A6475" t="str">
        <f>TEST_DATA!A6475</f>
        <v>27AAAAA6475Z5</v>
      </c>
      <c r="B6475" t="str">
        <f>TEST_DATA!B6475</f>
        <v>Dec-2019</v>
      </c>
      <c r="C6475">
        <f>TEST_DATA!C6475</f>
        <v>43828</v>
      </c>
      <c r="D6475" t="str">
        <f>TEST_DATA!D6475</f>
        <v>NIL</v>
      </c>
      <c r="E6475">
        <f>TEST_DATA!E6475</f>
        <v>2342</v>
      </c>
    </row>
    <row r="6476" spans="1:5" x14ac:dyDescent="0.55000000000000004">
      <c r="A6476" t="str">
        <f>TEST_DATA!A6476</f>
        <v>27AAAAA6476Z5</v>
      </c>
      <c r="B6476" t="str">
        <f>TEST_DATA!B6476</f>
        <v>Aug-2017</v>
      </c>
      <c r="C6476">
        <f>TEST_DATA!C6476</f>
        <v>43921</v>
      </c>
      <c r="D6476" t="str">
        <f>TEST_DATA!D6476</f>
        <v>NON-NIL</v>
      </c>
      <c r="E6476">
        <f>TEST_DATA!E6476</f>
        <v>2538</v>
      </c>
    </row>
    <row r="6477" spans="1:5" x14ac:dyDescent="0.55000000000000004">
      <c r="A6477" t="str">
        <f>TEST_DATA!A6477</f>
        <v>27AAAAA6477Z5</v>
      </c>
      <c r="B6477" t="str">
        <f>TEST_DATA!B6477</f>
        <v>Mar-2023</v>
      </c>
      <c r="C6477">
        <f>TEST_DATA!C6477</f>
        <v>45789</v>
      </c>
      <c r="D6477" t="str">
        <f>TEST_DATA!D6477</f>
        <v>NIL</v>
      </c>
      <c r="E6477">
        <f>TEST_DATA!E6477</f>
        <v>351</v>
      </c>
    </row>
    <row r="6478" spans="1:5" x14ac:dyDescent="0.55000000000000004">
      <c r="A6478" t="str">
        <f>TEST_DATA!A6478</f>
        <v>27AAAAA6478Z5</v>
      </c>
      <c r="B6478" t="str">
        <f>TEST_DATA!B6478</f>
        <v>Aug-2018</v>
      </c>
      <c r="C6478">
        <f>TEST_DATA!C6478</f>
        <v>43532</v>
      </c>
      <c r="D6478" t="str">
        <f>TEST_DATA!D6478</f>
        <v>NIL</v>
      </c>
      <c r="E6478">
        <f>TEST_DATA!E6478</f>
        <v>206</v>
      </c>
    </row>
    <row r="6479" spans="1:5" x14ac:dyDescent="0.55000000000000004">
      <c r="A6479" t="str">
        <f>TEST_DATA!A6479</f>
        <v>27AAAAA6479Z5</v>
      </c>
      <c r="B6479" t="str">
        <f>TEST_DATA!B6479</f>
        <v>Jul-2018</v>
      </c>
      <c r="C6479">
        <f>TEST_DATA!C6479</f>
        <v>44086</v>
      </c>
      <c r="D6479" t="str">
        <f>TEST_DATA!D6479</f>
        <v>NIL</v>
      </c>
      <c r="E6479">
        <f>TEST_DATA!E6479</f>
        <v>1609</v>
      </c>
    </row>
    <row r="6480" spans="1:5" x14ac:dyDescent="0.55000000000000004">
      <c r="A6480" t="str">
        <f>TEST_DATA!A6480</f>
        <v>27AAAAA6480Z5</v>
      </c>
      <c r="B6480" t="str">
        <f>TEST_DATA!B6480</f>
        <v>Apr-2020</v>
      </c>
      <c r="C6480">
        <f>TEST_DATA!C6480</f>
        <v>44092</v>
      </c>
      <c r="D6480" t="str">
        <f>TEST_DATA!D6480</f>
        <v>NIL</v>
      </c>
      <c r="E6480">
        <f>TEST_DATA!E6480</f>
        <v>1335</v>
      </c>
    </row>
    <row r="6481" spans="1:5" x14ac:dyDescent="0.55000000000000004">
      <c r="A6481" t="str">
        <f>TEST_DATA!A6481</f>
        <v>27AAAAA6481Z5</v>
      </c>
      <c r="B6481" t="str">
        <f>TEST_DATA!B6481</f>
        <v>Feb-2018</v>
      </c>
      <c r="C6481">
        <f>TEST_DATA!C6481</f>
        <v>43487</v>
      </c>
      <c r="D6481" t="str">
        <f>TEST_DATA!D6481</f>
        <v>NON-NIL</v>
      </c>
      <c r="E6481">
        <f>TEST_DATA!E6481</f>
        <v>2088</v>
      </c>
    </row>
    <row r="6482" spans="1:5" x14ac:dyDescent="0.55000000000000004">
      <c r="A6482" t="str">
        <f>TEST_DATA!A6482</f>
        <v>27AAAAA6482Z5</v>
      </c>
      <c r="B6482" t="str">
        <f>TEST_DATA!B6482</f>
        <v>Aug-2018</v>
      </c>
      <c r="C6482">
        <f>TEST_DATA!C6482</f>
        <v>43470</v>
      </c>
      <c r="D6482" t="str">
        <f>TEST_DATA!D6482</f>
        <v>NON-NIL</v>
      </c>
      <c r="E6482">
        <f>TEST_DATA!E6482</f>
        <v>160</v>
      </c>
    </row>
    <row r="6483" spans="1:5" x14ac:dyDescent="0.55000000000000004">
      <c r="A6483" t="str">
        <f>TEST_DATA!A6483</f>
        <v>27AAAAA6483Z5</v>
      </c>
      <c r="B6483" t="str">
        <f>TEST_DATA!B6483</f>
        <v>Jun-2019</v>
      </c>
      <c r="C6483">
        <f>TEST_DATA!C6483</f>
        <v>44112</v>
      </c>
      <c r="D6483" t="str">
        <f>TEST_DATA!D6483</f>
        <v>NIL</v>
      </c>
      <c r="E6483">
        <f>TEST_DATA!E6483</f>
        <v>917</v>
      </c>
    </row>
    <row r="6484" spans="1:5" x14ac:dyDescent="0.55000000000000004">
      <c r="A6484" t="str">
        <f>TEST_DATA!A6484</f>
        <v>27AAAAA6484Z5</v>
      </c>
      <c r="B6484" t="str">
        <f>TEST_DATA!B6484</f>
        <v>Mar-2020</v>
      </c>
      <c r="C6484">
        <f>TEST_DATA!C6484</f>
        <v>44911</v>
      </c>
      <c r="D6484" t="str">
        <f>TEST_DATA!D6484</f>
        <v>NON-NIL</v>
      </c>
      <c r="E6484">
        <f>TEST_DATA!E6484</f>
        <v>1304</v>
      </c>
    </row>
    <row r="6485" spans="1:5" x14ac:dyDescent="0.55000000000000004">
      <c r="A6485" t="str">
        <f>TEST_DATA!A6485</f>
        <v>27AAAAA6485Z5</v>
      </c>
      <c r="B6485" t="str">
        <f>TEST_DATA!B6485</f>
        <v>Mar-2018</v>
      </c>
      <c r="C6485">
        <f>TEST_DATA!C6485</f>
        <v>43801</v>
      </c>
      <c r="D6485" t="str">
        <f>TEST_DATA!D6485</f>
        <v>NIL</v>
      </c>
      <c r="E6485">
        <f>TEST_DATA!E6485</f>
        <v>606</v>
      </c>
    </row>
    <row r="6486" spans="1:5" x14ac:dyDescent="0.55000000000000004">
      <c r="A6486" t="str">
        <f>TEST_DATA!A6486</f>
        <v>27AAAAA6486Z5</v>
      </c>
      <c r="B6486" t="str">
        <f>TEST_DATA!B6486</f>
        <v>Jul-2020</v>
      </c>
      <c r="C6486">
        <f>TEST_DATA!C6486</f>
        <v>43850</v>
      </c>
      <c r="D6486" t="str">
        <f>TEST_DATA!D6486</f>
        <v>NIL</v>
      </c>
      <c r="E6486">
        <f>TEST_DATA!E6486</f>
        <v>270</v>
      </c>
    </row>
    <row r="6487" spans="1:5" x14ac:dyDescent="0.55000000000000004">
      <c r="A6487" t="str">
        <f>TEST_DATA!A6487</f>
        <v>27AAAAA6487Z5</v>
      </c>
      <c r="B6487" t="str">
        <f>TEST_DATA!B6487</f>
        <v>Dec-2017</v>
      </c>
      <c r="C6487">
        <f>TEST_DATA!C6487</f>
        <v>43325</v>
      </c>
      <c r="D6487" t="str">
        <f>TEST_DATA!D6487</f>
        <v>NON-NIL</v>
      </c>
      <c r="E6487">
        <f>TEST_DATA!E6487</f>
        <v>2811</v>
      </c>
    </row>
    <row r="6488" spans="1:5" x14ac:dyDescent="0.55000000000000004">
      <c r="A6488" t="str">
        <f>TEST_DATA!A6488</f>
        <v>27AAAAA6488Z5</v>
      </c>
      <c r="B6488" t="str">
        <f>TEST_DATA!B6488</f>
        <v>Jan-2021</v>
      </c>
      <c r="C6488">
        <f>TEST_DATA!C6488</f>
        <v>44073</v>
      </c>
      <c r="D6488" t="str">
        <f>TEST_DATA!D6488</f>
        <v>NIL</v>
      </c>
      <c r="E6488">
        <f>TEST_DATA!E6488</f>
        <v>1471</v>
      </c>
    </row>
    <row r="6489" spans="1:5" x14ac:dyDescent="0.55000000000000004">
      <c r="A6489" t="str">
        <f>TEST_DATA!A6489</f>
        <v>27AAAAA6489Z5</v>
      </c>
      <c r="B6489" t="str">
        <f>TEST_DATA!B6489</f>
        <v>Dec-2024</v>
      </c>
      <c r="C6489">
        <f>TEST_DATA!C6489</f>
        <v>44812</v>
      </c>
      <c r="D6489" t="str">
        <f>TEST_DATA!D6489</f>
        <v>NIL</v>
      </c>
      <c r="E6489">
        <f>TEST_DATA!E6489</f>
        <v>852</v>
      </c>
    </row>
    <row r="6490" spans="1:5" x14ac:dyDescent="0.55000000000000004">
      <c r="A6490" t="str">
        <f>TEST_DATA!A6490</f>
        <v>27AAAAA6490Z5</v>
      </c>
      <c r="B6490" t="str">
        <f>TEST_DATA!B6490</f>
        <v>Mar-2021</v>
      </c>
      <c r="C6490">
        <f>TEST_DATA!C6490</f>
        <v>44358</v>
      </c>
      <c r="D6490" t="str">
        <f>TEST_DATA!D6490</f>
        <v>NIL</v>
      </c>
      <c r="E6490">
        <f>TEST_DATA!E6490</f>
        <v>249</v>
      </c>
    </row>
    <row r="6491" spans="1:5" x14ac:dyDescent="0.55000000000000004">
      <c r="A6491" t="str">
        <f>TEST_DATA!A6491</f>
        <v>27AAAAA6491Z5</v>
      </c>
      <c r="B6491" t="str">
        <f>TEST_DATA!B6491</f>
        <v>Jul-2017</v>
      </c>
      <c r="C6491">
        <f>TEST_DATA!C6491</f>
        <v>42954</v>
      </c>
      <c r="D6491" t="str">
        <f>TEST_DATA!D6491</f>
        <v>NON-NIL</v>
      </c>
      <c r="E6491">
        <f>TEST_DATA!E6491</f>
        <v>1018</v>
      </c>
    </row>
    <row r="6492" spans="1:5" x14ac:dyDescent="0.55000000000000004">
      <c r="A6492" t="str">
        <f>TEST_DATA!A6492</f>
        <v>27AAAAA6492Z5</v>
      </c>
      <c r="B6492" t="str">
        <f>TEST_DATA!B6492</f>
        <v>Apr-2021</v>
      </c>
      <c r="C6492">
        <f>TEST_DATA!C6492</f>
        <v>44660</v>
      </c>
      <c r="D6492" t="str">
        <f>TEST_DATA!D6492</f>
        <v>NON-NIL</v>
      </c>
      <c r="E6492">
        <f>TEST_DATA!E6492</f>
        <v>1857</v>
      </c>
    </row>
    <row r="6493" spans="1:5" x14ac:dyDescent="0.55000000000000004">
      <c r="A6493" t="str">
        <f>TEST_DATA!A6493</f>
        <v>27AAAAA6493Z5</v>
      </c>
      <c r="B6493" t="str">
        <f>TEST_DATA!B6493</f>
        <v>Feb-2018</v>
      </c>
      <c r="C6493">
        <f>TEST_DATA!C6493</f>
        <v>44132</v>
      </c>
      <c r="D6493" t="str">
        <f>TEST_DATA!D6493</f>
        <v>NIL</v>
      </c>
      <c r="E6493">
        <f>TEST_DATA!E6493</f>
        <v>2507</v>
      </c>
    </row>
    <row r="6494" spans="1:5" x14ac:dyDescent="0.55000000000000004">
      <c r="A6494" t="str">
        <f>TEST_DATA!A6494</f>
        <v>27AAAAA6494Z5</v>
      </c>
      <c r="B6494" t="str">
        <f>TEST_DATA!B6494</f>
        <v>Jul-2017</v>
      </c>
      <c r="C6494">
        <f>TEST_DATA!C6494</f>
        <v>42923</v>
      </c>
      <c r="D6494" t="str">
        <f>TEST_DATA!D6494</f>
        <v>NIL</v>
      </c>
      <c r="E6494">
        <f>TEST_DATA!E6494</f>
        <v>496</v>
      </c>
    </row>
    <row r="6495" spans="1:5" x14ac:dyDescent="0.55000000000000004">
      <c r="A6495" t="str">
        <f>TEST_DATA!A6495</f>
        <v>27AAAAA6495Z5</v>
      </c>
      <c r="B6495" t="str">
        <f>TEST_DATA!B6495</f>
        <v>Mar-2018</v>
      </c>
      <c r="C6495">
        <f>TEST_DATA!C6495</f>
        <v>43160</v>
      </c>
      <c r="D6495" t="str">
        <f>TEST_DATA!D6495</f>
        <v>NON-NIL</v>
      </c>
      <c r="E6495">
        <f>TEST_DATA!E6495</f>
        <v>10</v>
      </c>
    </row>
    <row r="6496" spans="1:5" x14ac:dyDescent="0.55000000000000004">
      <c r="A6496" t="str">
        <f>TEST_DATA!A6496</f>
        <v>27AAAAA6496Z5</v>
      </c>
      <c r="B6496" t="str">
        <f>TEST_DATA!B6496</f>
        <v>Jul-2017</v>
      </c>
      <c r="C6496">
        <f>TEST_DATA!C6496</f>
        <v>44104</v>
      </c>
      <c r="D6496" t="str">
        <f>TEST_DATA!D6496</f>
        <v>NIL</v>
      </c>
      <c r="E6496">
        <f>TEST_DATA!E6496</f>
        <v>1574</v>
      </c>
    </row>
    <row r="6497" spans="1:5" x14ac:dyDescent="0.55000000000000004">
      <c r="A6497" t="str">
        <f>TEST_DATA!A6497</f>
        <v>27AAAAA6497Z5</v>
      </c>
      <c r="B6497" t="str">
        <f>TEST_DATA!B6497</f>
        <v>Mar-2020</v>
      </c>
      <c r="C6497">
        <f>TEST_DATA!C6497</f>
        <v>44142</v>
      </c>
      <c r="D6497" t="str">
        <f>TEST_DATA!D6497</f>
        <v>NIL</v>
      </c>
      <c r="E6497">
        <f>TEST_DATA!E6497</f>
        <v>568</v>
      </c>
    </row>
    <row r="6498" spans="1:5" x14ac:dyDescent="0.55000000000000004">
      <c r="A6498" t="str">
        <f>TEST_DATA!A6498</f>
        <v>27AAAAA6498Z5</v>
      </c>
      <c r="B6498" t="str">
        <f>TEST_DATA!B6498</f>
        <v>Jun-2020</v>
      </c>
      <c r="C6498">
        <f>TEST_DATA!C6498</f>
        <v>44843</v>
      </c>
      <c r="D6498" t="str">
        <f>TEST_DATA!D6498</f>
        <v>NIL</v>
      </c>
      <c r="E6498">
        <f>TEST_DATA!E6498</f>
        <v>1870</v>
      </c>
    </row>
    <row r="6499" spans="1:5" x14ac:dyDescent="0.55000000000000004">
      <c r="A6499" t="str">
        <f>TEST_DATA!A6499</f>
        <v>27AAAAA6499Z5</v>
      </c>
      <c r="B6499" t="str">
        <f>TEST_DATA!B6499</f>
        <v>Jan-2021</v>
      </c>
      <c r="C6499">
        <f>TEST_DATA!C6499</f>
        <v>45644</v>
      </c>
      <c r="D6499" t="str">
        <f>TEST_DATA!D6499</f>
        <v>NON-NIL</v>
      </c>
      <c r="E6499">
        <f>TEST_DATA!E6499</f>
        <v>2934</v>
      </c>
    </row>
    <row r="6500" spans="1:5" x14ac:dyDescent="0.55000000000000004">
      <c r="A6500" t="str">
        <f>TEST_DATA!A6500</f>
        <v>27AAAAA6500Z5</v>
      </c>
      <c r="B6500" t="str">
        <f>TEST_DATA!B6500</f>
        <v>Apr-2020</v>
      </c>
      <c r="C6500">
        <f>TEST_DATA!C6500</f>
        <v>43922</v>
      </c>
      <c r="D6500" t="str">
        <f>TEST_DATA!D6500</f>
        <v>NON-NIL</v>
      </c>
      <c r="E6500">
        <f>TEST_DATA!E6500</f>
        <v>36</v>
      </c>
    </row>
    <row r="6501" spans="1:5" x14ac:dyDescent="0.55000000000000004">
      <c r="A6501" t="str">
        <f>TEST_DATA!A6501</f>
        <v>27AAAAA6501Z5</v>
      </c>
      <c r="B6501" t="str">
        <f>TEST_DATA!B6501</f>
        <v>Dec-2019</v>
      </c>
      <c r="C6501">
        <f>TEST_DATA!C6501</f>
        <v>44845</v>
      </c>
      <c r="D6501" t="str">
        <f>TEST_DATA!D6501</f>
        <v>NON-NIL</v>
      </c>
      <c r="E6501">
        <f>TEST_DATA!E6501</f>
        <v>2225</v>
      </c>
    </row>
    <row r="6502" spans="1:5" x14ac:dyDescent="0.55000000000000004">
      <c r="A6502" t="str">
        <f>TEST_DATA!A6502</f>
        <v>27AAAAA6502Z5</v>
      </c>
      <c r="B6502" t="str">
        <f>TEST_DATA!B6502</f>
        <v>Dec-2022</v>
      </c>
      <c r="C6502">
        <f>TEST_DATA!C6502</f>
        <v>43802</v>
      </c>
      <c r="D6502" t="str">
        <f>TEST_DATA!D6502</f>
        <v>NON-NIL</v>
      </c>
      <c r="E6502">
        <f>TEST_DATA!E6502</f>
        <v>1966</v>
      </c>
    </row>
    <row r="6503" spans="1:5" x14ac:dyDescent="0.55000000000000004">
      <c r="A6503" t="str">
        <f>TEST_DATA!A6503</f>
        <v>27AAAAA6503Z5</v>
      </c>
      <c r="B6503" t="str">
        <f>TEST_DATA!B6503</f>
        <v>Mar-2018</v>
      </c>
      <c r="C6503">
        <f>TEST_DATA!C6503</f>
        <v>43712</v>
      </c>
      <c r="D6503" t="str">
        <f>TEST_DATA!D6503</f>
        <v>NIL</v>
      </c>
      <c r="E6503">
        <f>TEST_DATA!E6503</f>
        <v>166</v>
      </c>
    </row>
    <row r="6504" spans="1:5" x14ac:dyDescent="0.55000000000000004">
      <c r="A6504" t="str">
        <f>TEST_DATA!A6504</f>
        <v>27AAAAA6504Z5</v>
      </c>
      <c r="B6504" t="str">
        <f>TEST_DATA!B6504</f>
        <v>Aug-2017</v>
      </c>
      <c r="C6504">
        <f>TEST_DATA!C6504</f>
        <v>42964</v>
      </c>
      <c r="D6504" t="str">
        <f>TEST_DATA!D6504</f>
        <v>NON-NIL</v>
      </c>
      <c r="E6504">
        <f>TEST_DATA!E6504</f>
        <v>2802</v>
      </c>
    </row>
    <row r="6505" spans="1:5" x14ac:dyDescent="0.55000000000000004">
      <c r="A6505" t="str">
        <f>TEST_DATA!A6505</f>
        <v>27AAAAA6505Z5</v>
      </c>
      <c r="B6505" t="str">
        <f>TEST_DATA!B6505</f>
        <v>Feb-2018</v>
      </c>
      <c r="C6505">
        <f>TEST_DATA!C6505</f>
        <v>43427</v>
      </c>
      <c r="D6505" t="str">
        <f>TEST_DATA!D6505</f>
        <v>NON-NIL</v>
      </c>
      <c r="E6505">
        <f>TEST_DATA!E6505</f>
        <v>486</v>
      </c>
    </row>
    <row r="6506" spans="1:5" x14ac:dyDescent="0.55000000000000004">
      <c r="A6506" t="str">
        <f>TEST_DATA!A6506</f>
        <v>27AAAAA6506Z5</v>
      </c>
      <c r="B6506" t="str">
        <f>TEST_DATA!B6506</f>
        <v>Dec-2024</v>
      </c>
      <c r="C6506">
        <f>TEST_DATA!C6506</f>
        <v>43862</v>
      </c>
      <c r="D6506" t="str">
        <f>TEST_DATA!D6506</f>
        <v>NIL</v>
      </c>
      <c r="E6506">
        <f>TEST_DATA!E6506</f>
        <v>1825</v>
      </c>
    </row>
    <row r="6507" spans="1:5" x14ac:dyDescent="0.55000000000000004">
      <c r="A6507" t="str">
        <f>TEST_DATA!A6507</f>
        <v>27AAAAA6507Z5</v>
      </c>
      <c r="B6507" t="str">
        <f>TEST_DATA!B6507</f>
        <v>Sep-2017</v>
      </c>
      <c r="C6507">
        <f>TEST_DATA!C6507</f>
        <v>43113</v>
      </c>
      <c r="D6507" t="str">
        <f>TEST_DATA!D6507</f>
        <v>NIL</v>
      </c>
      <c r="E6507">
        <f>TEST_DATA!E6507</f>
        <v>1303</v>
      </c>
    </row>
    <row r="6508" spans="1:5" x14ac:dyDescent="0.55000000000000004">
      <c r="A6508" t="str">
        <f>TEST_DATA!A6508</f>
        <v>27AAAAA6508Z5</v>
      </c>
      <c r="B6508" t="str">
        <f>TEST_DATA!B6508</f>
        <v>Sep-2017</v>
      </c>
      <c r="C6508">
        <f>TEST_DATA!C6508</f>
        <v>44273</v>
      </c>
      <c r="D6508" t="str">
        <f>TEST_DATA!D6508</f>
        <v>NON-NIL</v>
      </c>
      <c r="E6508">
        <f>TEST_DATA!E6508</f>
        <v>2843</v>
      </c>
    </row>
    <row r="6509" spans="1:5" x14ac:dyDescent="0.55000000000000004">
      <c r="A6509" t="str">
        <f>TEST_DATA!A6509</f>
        <v>27AAAAA6509Z5</v>
      </c>
      <c r="B6509" t="str">
        <f>TEST_DATA!B6509</f>
        <v>Mar-2018</v>
      </c>
      <c r="C6509">
        <f>TEST_DATA!C6509</f>
        <v>43592</v>
      </c>
      <c r="D6509" t="str">
        <f>TEST_DATA!D6509</f>
        <v>NIL</v>
      </c>
      <c r="E6509">
        <f>TEST_DATA!E6509</f>
        <v>2348</v>
      </c>
    </row>
    <row r="6510" spans="1:5" x14ac:dyDescent="0.55000000000000004">
      <c r="A6510" t="str">
        <f>TEST_DATA!A6510</f>
        <v>27AAAAA6510Z5</v>
      </c>
      <c r="B6510" t="str">
        <f>TEST_DATA!B6510</f>
        <v>Apr-2021</v>
      </c>
      <c r="C6510">
        <f>TEST_DATA!C6510</f>
        <v>44731</v>
      </c>
      <c r="D6510" t="str">
        <f>TEST_DATA!D6510</f>
        <v>NIL</v>
      </c>
      <c r="E6510">
        <f>TEST_DATA!E6510</f>
        <v>74</v>
      </c>
    </row>
    <row r="6511" spans="1:5" x14ac:dyDescent="0.55000000000000004">
      <c r="A6511" t="str">
        <f>TEST_DATA!A6511</f>
        <v>27AAAAA6511Z5</v>
      </c>
      <c r="B6511" t="str">
        <f>TEST_DATA!B6511</f>
        <v>Jan-2018</v>
      </c>
      <c r="C6511">
        <f>TEST_DATA!C6511</f>
        <v>44219</v>
      </c>
      <c r="D6511" t="str">
        <f>TEST_DATA!D6511</f>
        <v>NON-NIL</v>
      </c>
      <c r="E6511">
        <f>TEST_DATA!E6511</f>
        <v>2722</v>
      </c>
    </row>
    <row r="6512" spans="1:5" x14ac:dyDescent="0.55000000000000004">
      <c r="A6512" t="str">
        <f>TEST_DATA!A6512</f>
        <v>27AAAAA6512Z5</v>
      </c>
      <c r="B6512" t="str">
        <f>TEST_DATA!B6512</f>
        <v>Jul-2017</v>
      </c>
      <c r="C6512">
        <f>TEST_DATA!C6512</f>
        <v>43057</v>
      </c>
      <c r="D6512" t="str">
        <f>TEST_DATA!D6512</f>
        <v>NON-NIL</v>
      </c>
      <c r="E6512">
        <f>TEST_DATA!E6512</f>
        <v>833</v>
      </c>
    </row>
    <row r="6513" spans="1:5" x14ac:dyDescent="0.55000000000000004">
      <c r="A6513" t="str">
        <f>TEST_DATA!A6513</f>
        <v>27AAAAA6513Z5</v>
      </c>
      <c r="B6513" t="str">
        <f>TEST_DATA!B6513</f>
        <v>May-2018</v>
      </c>
      <c r="C6513">
        <f>TEST_DATA!C6513</f>
        <v>44478</v>
      </c>
      <c r="D6513" t="str">
        <f>TEST_DATA!D6513</f>
        <v>NIL</v>
      </c>
      <c r="E6513">
        <f>TEST_DATA!E6513</f>
        <v>1137</v>
      </c>
    </row>
    <row r="6514" spans="1:5" x14ac:dyDescent="0.55000000000000004">
      <c r="A6514" t="str">
        <f>TEST_DATA!A6514</f>
        <v>27AAAAA6514Z5</v>
      </c>
      <c r="B6514" t="str">
        <f>TEST_DATA!B6514</f>
        <v>Aug-2018</v>
      </c>
      <c r="C6514">
        <f>TEST_DATA!C6514</f>
        <v>43758</v>
      </c>
      <c r="D6514" t="str">
        <f>TEST_DATA!D6514</f>
        <v>NIL</v>
      </c>
      <c r="E6514">
        <f>TEST_DATA!E6514</f>
        <v>1828</v>
      </c>
    </row>
    <row r="6515" spans="1:5" x14ac:dyDescent="0.55000000000000004">
      <c r="A6515" t="str">
        <f>TEST_DATA!A6515</f>
        <v>27AAAAA6515Z5</v>
      </c>
      <c r="B6515" t="str">
        <f>TEST_DATA!B6515</f>
        <v>May-2018</v>
      </c>
      <c r="C6515">
        <f>TEST_DATA!C6515</f>
        <v>43685</v>
      </c>
      <c r="D6515" t="str">
        <f>TEST_DATA!D6515</f>
        <v>NON-NIL</v>
      </c>
      <c r="E6515">
        <f>TEST_DATA!E6515</f>
        <v>1160</v>
      </c>
    </row>
    <row r="6516" spans="1:5" x14ac:dyDescent="0.55000000000000004">
      <c r="A6516" t="str">
        <f>TEST_DATA!A6516</f>
        <v>27AAAAA6516Z5</v>
      </c>
      <c r="B6516" t="str">
        <f>TEST_DATA!B6516</f>
        <v>Mar-2020</v>
      </c>
      <c r="C6516">
        <f>TEST_DATA!C6516</f>
        <v>44390</v>
      </c>
      <c r="D6516" t="str">
        <f>TEST_DATA!D6516</f>
        <v>NON-NIL</v>
      </c>
      <c r="E6516">
        <f>TEST_DATA!E6516</f>
        <v>1769</v>
      </c>
    </row>
    <row r="6517" spans="1:5" x14ac:dyDescent="0.55000000000000004">
      <c r="A6517" t="str">
        <f>TEST_DATA!A6517</f>
        <v>27AAAAA6517Z5</v>
      </c>
      <c r="B6517" t="str">
        <f>TEST_DATA!B6517</f>
        <v>Sep-2018</v>
      </c>
      <c r="C6517">
        <f>TEST_DATA!C6517</f>
        <v>43220</v>
      </c>
      <c r="D6517" t="str">
        <f>TEST_DATA!D6517</f>
        <v>NIL</v>
      </c>
      <c r="E6517">
        <f>TEST_DATA!E6517</f>
        <v>391</v>
      </c>
    </row>
    <row r="6518" spans="1:5" x14ac:dyDescent="0.55000000000000004">
      <c r="A6518" t="str">
        <f>TEST_DATA!A6518</f>
        <v>27AAAAA6518Z5</v>
      </c>
      <c r="B6518" t="str">
        <f>TEST_DATA!B6518</f>
        <v>Aug-2017</v>
      </c>
      <c r="C6518">
        <f>TEST_DATA!C6518</f>
        <v>44044</v>
      </c>
      <c r="D6518" t="str">
        <f>TEST_DATA!D6518</f>
        <v>NIL</v>
      </c>
      <c r="E6518">
        <f>TEST_DATA!E6518</f>
        <v>1093</v>
      </c>
    </row>
    <row r="6519" spans="1:5" x14ac:dyDescent="0.55000000000000004">
      <c r="A6519" t="str">
        <f>TEST_DATA!A6519</f>
        <v>27AAAAA6519Z5</v>
      </c>
      <c r="B6519" t="str">
        <f>TEST_DATA!B6519</f>
        <v>Dec-2024</v>
      </c>
      <c r="C6519">
        <f>TEST_DATA!C6519</f>
        <v>43531</v>
      </c>
      <c r="D6519" t="str">
        <f>TEST_DATA!D6519</f>
        <v>NIL</v>
      </c>
      <c r="E6519">
        <f>TEST_DATA!E6519</f>
        <v>2893</v>
      </c>
    </row>
    <row r="6520" spans="1:5" x14ac:dyDescent="0.55000000000000004">
      <c r="A6520" t="str">
        <f>TEST_DATA!A6520</f>
        <v>27AAAAA6520Z5</v>
      </c>
      <c r="B6520" t="str">
        <f>TEST_DATA!B6520</f>
        <v>Mar-2021</v>
      </c>
      <c r="C6520">
        <f>TEST_DATA!C6520</f>
        <v>45674</v>
      </c>
      <c r="D6520" t="str">
        <f>TEST_DATA!D6520</f>
        <v>NIL</v>
      </c>
      <c r="E6520">
        <f>TEST_DATA!E6520</f>
        <v>2820</v>
      </c>
    </row>
    <row r="6521" spans="1:5" x14ac:dyDescent="0.55000000000000004">
      <c r="A6521" t="str">
        <f>TEST_DATA!A6521</f>
        <v>27AAAAA6521Z5</v>
      </c>
      <c r="B6521" t="str">
        <f>TEST_DATA!B6521</f>
        <v>Jun-2019</v>
      </c>
      <c r="C6521">
        <f>TEST_DATA!C6521</f>
        <v>44089</v>
      </c>
      <c r="D6521" t="str">
        <f>TEST_DATA!D6521</f>
        <v>NIL</v>
      </c>
      <c r="E6521">
        <f>TEST_DATA!E6521</f>
        <v>2673</v>
      </c>
    </row>
    <row r="6522" spans="1:5" x14ac:dyDescent="0.55000000000000004">
      <c r="A6522" t="str">
        <f>TEST_DATA!A6522</f>
        <v>27AAAAA6522Z5</v>
      </c>
      <c r="B6522" t="str">
        <f>TEST_DATA!B6522</f>
        <v>Feb-2018</v>
      </c>
      <c r="C6522">
        <f>TEST_DATA!C6522</f>
        <v>43968</v>
      </c>
      <c r="D6522" t="str">
        <f>TEST_DATA!D6522</f>
        <v>NON-NIL</v>
      </c>
      <c r="E6522">
        <f>TEST_DATA!E6522</f>
        <v>2443</v>
      </c>
    </row>
    <row r="6523" spans="1:5" x14ac:dyDescent="0.55000000000000004">
      <c r="A6523" t="str">
        <f>TEST_DATA!A6523</f>
        <v>27AAAAA6523Z5</v>
      </c>
      <c r="B6523" t="str">
        <f>TEST_DATA!B6523</f>
        <v>Mar-2021</v>
      </c>
      <c r="C6523">
        <f>TEST_DATA!C6523</f>
        <v>44649</v>
      </c>
      <c r="D6523" t="str">
        <f>TEST_DATA!D6523</f>
        <v>NIL</v>
      </c>
      <c r="E6523">
        <f>TEST_DATA!E6523</f>
        <v>611</v>
      </c>
    </row>
    <row r="6524" spans="1:5" x14ac:dyDescent="0.55000000000000004">
      <c r="A6524" t="str">
        <f>TEST_DATA!A6524</f>
        <v>27AAAAA6524Z5</v>
      </c>
      <c r="B6524" t="str">
        <f>TEST_DATA!B6524</f>
        <v>Dec-2024</v>
      </c>
      <c r="C6524">
        <f>TEST_DATA!C6524</f>
        <v>45067</v>
      </c>
      <c r="D6524" t="str">
        <f>TEST_DATA!D6524</f>
        <v>NIL</v>
      </c>
      <c r="E6524">
        <f>TEST_DATA!E6524</f>
        <v>137</v>
      </c>
    </row>
    <row r="6525" spans="1:5" x14ac:dyDescent="0.55000000000000004">
      <c r="A6525" t="str">
        <f>TEST_DATA!A6525</f>
        <v>27AAAAA6525Z5</v>
      </c>
      <c r="B6525" t="str">
        <f>TEST_DATA!B6525</f>
        <v>Jun-2019</v>
      </c>
      <c r="C6525">
        <f>TEST_DATA!C6525</f>
        <v>44885</v>
      </c>
      <c r="D6525" t="str">
        <f>TEST_DATA!D6525</f>
        <v>NIL</v>
      </c>
      <c r="E6525">
        <f>TEST_DATA!E6525</f>
        <v>2035</v>
      </c>
    </row>
    <row r="6526" spans="1:5" x14ac:dyDescent="0.55000000000000004">
      <c r="A6526" t="str">
        <f>TEST_DATA!A6526</f>
        <v>27AAAAA6526Z5</v>
      </c>
      <c r="B6526" t="str">
        <f>TEST_DATA!B6526</f>
        <v>Mar-2018</v>
      </c>
      <c r="C6526">
        <f>TEST_DATA!C6526</f>
        <v>44327</v>
      </c>
      <c r="D6526" t="str">
        <f>TEST_DATA!D6526</f>
        <v>NON-NIL</v>
      </c>
      <c r="E6526">
        <f>TEST_DATA!E6526</f>
        <v>556</v>
      </c>
    </row>
    <row r="6527" spans="1:5" x14ac:dyDescent="0.55000000000000004">
      <c r="A6527" t="str">
        <f>TEST_DATA!A6527</f>
        <v>27AAAAA6527Z5</v>
      </c>
      <c r="B6527" t="str">
        <f>TEST_DATA!B6527</f>
        <v>Sep-2018</v>
      </c>
      <c r="C6527">
        <f>TEST_DATA!C6527</f>
        <v>43382</v>
      </c>
      <c r="D6527" t="str">
        <f>TEST_DATA!D6527</f>
        <v>NON-NIL</v>
      </c>
      <c r="E6527">
        <f>TEST_DATA!E6527</f>
        <v>2609</v>
      </c>
    </row>
    <row r="6528" spans="1:5" x14ac:dyDescent="0.55000000000000004">
      <c r="A6528" t="str">
        <f>TEST_DATA!A6528</f>
        <v>27AAAAA6528Z5</v>
      </c>
      <c r="B6528" t="str">
        <f>TEST_DATA!B6528</f>
        <v>Jan-2018</v>
      </c>
      <c r="C6528">
        <f>TEST_DATA!C6528</f>
        <v>43759</v>
      </c>
      <c r="D6528" t="str">
        <f>TEST_DATA!D6528</f>
        <v>NON-NIL</v>
      </c>
      <c r="E6528">
        <f>TEST_DATA!E6528</f>
        <v>654</v>
      </c>
    </row>
    <row r="6529" spans="1:5" x14ac:dyDescent="0.55000000000000004">
      <c r="A6529" t="str">
        <f>TEST_DATA!A6529</f>
        <v>27AAAAA6529Z5</v>
      </c>
      <c r="B6529" t="str">
        <f>TEST_DATA!B6529</f>
        <v>Feb-2018</v>
      </c>
      <c r="C6529">
        <f>TEST_DATA!C6529</f>
        <v>43622</v>
      </c>
      <c r="D6529" t="str">
        <f>TEST_DATA!D6529</f>
        <v>NON-NIL</v>
      </c>
      <c r="E6529">
        <f>TEST_DATA!E6529</f>
        <v>71</v>
      </c>
    </row>
    <row r="6530" spans="1:5" x14ac:dyDescent="0.55000000000000004">
      <c r="A6530" t="str">
        <f>TEST_DATA!A6530</f>
        <v>27AAAAA6530Z5</v>
      </c>
      <c r="B6530" t="str">
        <f>TEST_DATA!B6530</f>
        <v>Jul-2017</v>
      </c>
      <c r="C6530">
        <f>TEST_DATA!C6530</f>
        <v>43520</v>
      </c>
      <c r="D6530" t="str">
        <f>TEST_DATA!D6530</f>
        <v>NIL</v>
      </c>
      <c r="E6530">
        <f>TEST_DATA!E6530</f>
        <v>653</v>
      </c>
    </row>
    <row r="6531" spans="1:5" x14ac:dyDescent="0.55000000000000004">
      <c r="A6531" t="str">
        <f>TEST_DATA!A6531</f>
        <v>27AAAAA6531Z5</v>
      </c>
      <c r="B6531" t="str">
        <f>TEST_DATA!B6531</f>
        <v>Apr-2020</v>
      </c>
      <c r="C6531">
        <f>TEST_DATA!C6531</f>
        <v>44024</v>
      </c>
      <c r="D6531" t="str">
        <f>TEST_DATA!D6531</f>
        <v>NIL</v>
      </c>
      <c r="E6531">
        <f>TEST_DATA!E6531</f>
        <v>2259</v>
      </c>
    </row>
    <row r="6532" spans="1:5" x14ac:dyDescent="0.55000000000000004">
      <c r="A6532" t="str">
        <f>TEST_DATA!A6532</f>
        <v>27AAAAA6532Z5</v>
      </c>
      <c r="B6532" t="str">
        <f>TEST_DATA!B6532</f>
        <v>Jul-2020</v>
      </c>
      <c r="C6532">
        <f>TEST_DATA!C6532</f>
        <v>44510</v>
      </c>
      <c r="D6532" t="str">
        <f>TEST_DATA!D6532</f>
        <v>NIL</v>
      </c>
      <c r="E6532">
        <f>TEST_DATA!E6532</f>
        <v>2248</v>
      </c>
    </row>
    <row r="6533" spans="1:5" x14ac:dyDescent="0.55000000000000004">
      <c r="A6533" t="str">
        <f>TEST_DATA!A6533</f>
        <v>27AAAAA6533Z5</v>
      </c>
      <c r="B6533" t="str">
        <f>TEST_DATA!B6533</f>
        <v>Oct-2017</v>
      </c>
      <c r="C6533">
        <f>TEST_DATA!C6533</f>
        <v>44323</v>
      </c>
      <c r="D6533" t="str">
        <f>TEST_DATA!D6533</f>
        <v>NON-NIL</v>
      </c>
      <c r="E6533">
        <f>TEST_DATA!E6533</f>
        <v>284</v>
      </c>
    </row>
    <row r="6534" spans="1:5" x14ac:dyDescent="0.55000000000000004">
      <c r="A6534" t="str">
        <f>TEST_DATA!A6534</f>
        <v>27AAAAA6534Z5</v>
      </c>
      <c r="B6534" t="str">
        <f>TEST_DATA!B6534</f>
        <v>May-2020</v>
      </c>
      <c r="C6534">
        <f>TEST_DATA!C6534</f>
        <v>44192</v>
      </c>
      <c r="D6534" t="str">
        <f>TEST_DATA!D6534</f>
        <v>NON-NIL</v>
      </c>
      <c r="E6534">
        <f>TEST_DATA!E6534</f>
        <v>1417</v>
      </c>
    </row>
    <row r="6535" spans="1:5" x14ac:dyDescent="0.55000000000000004">
      <c r="A6535" t="str">
        <f>TEST_DATA!A6535</f>
        <v>27AAAAA6535Z5</v>
      </c>
      <c r="B6535" t="str">
        <f>TEST_DATA!B6535</f>
        <v>Mar-2020</v>
      </c>
      <c r="C6535">
        <f>TEST_DATA!C6535</f>
        <v>43867</v>
      </c>
      <c r="D6535" t="str">
        <f>TEST_DATA!D6535</f>
        <v>NON-NIL</v>
      </c>
      <c r="E6535">
        <f>TEST_DATA!E6535</f>
        <v>2726</v>
      </c>
    </row>
    <row r="6536" spans="1:5" x14ac:dyDescent="0.55000000000000004">
      <c r="A6536" t="str">
        <f>TEST_DATA!A6536</f>
        <v>27AAAAA6536Z5</v>
      </c>
      <c r="B6536" t="str">
        <f>TEST_DATA!B6536</f>
        <v>Mar-2023</v>
      </c>
      <c r="C6536">
        <f>TEST_DATA!C6536</f>
        <v>45094</v>
      </c>
      <c r="D6536" t="str">
        <f>TEST_DATA!D6536</f>
        <v>NIL</v>
      </c>
      <c r="E6536">
        <f>TEST_DATA!E6536</f>
        <v>129</v>
      </c>
    </row>
    <row r="6537" spans="1:5" x14ac:dyDescent="0.55000000000000004">
      <c r="A6537" t="str">
        <f>TEST_DATA!A6537</f>
        <v>27AAAAA6537Z5</v>
      </c>
      <c r="B6537" t="str">
        <f>TEST_DATA!B6537</f>
        <v>Aug-2017</v>
      </c>
      <c r="C6537">
        <f>TEST_DATA!C6537</f>
        <v>43868</v>
      </c>
      <c r="D6537" t="str">
        <f>TEST_DATA!D6537</f>
        <v>NIL</v>
      </c>
      <c r="E6537">
        <f>TEST_DATA!E6537</f>
        <v>897</v>
      </c>
    </row>
    <row r="6538" spans="1:5" x14ac:dyDescent="0.55000000000000004">
      <c r="A6538" t="str">
        <f>TEST_DATA!A6538</f>
        <v>27AAAAA6538Z5</v>
      </c>
      <c r="B6538" t="str">
        <f>TEST_DATA!B6538</f>
        <v>Aug-2017</v>
      </c>
      <c r="C6538">
        <f>TEST_DATA!C6538</f>
        <v>43458</v>
      </c>
      <c r="D6538" t="str">
        <f>TEST_DATA!D6538</f>
        <v>NON-NIL</v>
      </c>
      <c r="E6538">
        <f>TEST_DATA!E6538</f>
        <v>1672</v>
      </c>
    </row>
    <row r="6539" spans="1:5" x14ac:dyDescent="0.55000000000000004">
      <c r="A6539" t="str">
        <f>TEST_DATA!A6539</f>
        <v>27AAAAA6539Z5</v>
      </c>
      <c r="B6539" t="str">
        <f>TEST_DATA!B6539</f>
        <v>Jul-2017</v>
      </c>
      <c r="C6539">
        <f>TEST_DATA!C6539</f>
        <v>43027</v>
      </c>
      <c r="D6539" t="str">
        <f>TEST_DATA!D6539</f>
        <v>NIL</v>
      </c>
      <c r="E6539">
        <f>TEST_DATA!E6539</f>
        <v>523</v>
      </c>
    </row>
    <row r="6540" spans="1:5" x14ac:dyDescent="0.55000000000000004">
      <c r="A6540" t="str">
        <f>TEST_DATA!A6540</f>
        <v>27AAAAA6540Z5</v>
      </c>
      <c r="B6540" t="str">
        <f>TEST_DATA!B6540</f>
        <v>Dec-2019</v>
      </c>
      <c r="C6540">
        <f>TEST_DATA!C6540</f>
        <v>44458</v>
      </c>
      <c r="D6540" t="str">
        <f>TEST_DATA!D6540</f>
        <v>NIL</v>
      </c>
      <c r="E6540">
        <f>TEST_DATA!E6540</f>
        <v>1877</v>
      </c>
    </row>
    <row r="6541" spans="1:5" x14ac:dyDescent="0.55000000000000004">
      <c r="A6541" t="str">
        <f>TEST_DATA!A6541</f>
        <v>27AAAAA6541Z5</v>
      </c>
      <c r="B6541" t="str">
        <f>TEST_DATA!B6541</f>
        <v>Sep-2017</v>
      </c>
      <c r="C6541">
        <f>TEST_DATA!C6541</f>
        <v>42977</v>
      </c>
      <c r="D6541" t="str">
        <f>TEST_DATA!D6541</f>
        <v>NIL</v>
      </c>
      <c r="E6541">
        <f>TEST_DATA!E6541</f>
        <v>2963</v>
      </c>
    </row>
    <row r="6542" spans="1:5" x14ac:dyDescent="0.55000000000000004">
      <c r="A6542" t="str">
        <f>TEST_DATA!A6542</f>
        <v>27AAAAA6542Z5</v>
      </c>
      <c r="B6542" t="str">
        <f>TEST_DATA!B6542</f>
        <v>Dec-2024</v>
      </c>
      <c r="C6542">
        <f>TEST_DATA!C6542</f>
        <v>44185</v>
      </c>
      <c r="D6542" t="str">
        <f>TEST_DATA!D6542</f>
        <v>NIL</v>
      </c>
      <c r="E6542">
        <f>TEST_DATA!E6542</f>
        <v>520</v>
      </c>
    </row>
    <row r="6543" spans="1:5" x14ac:dyDescent="0.55000000000000004">
      <c r="A6543" t="str">
        <f>TEST_DATA!A6543</f>
        <v>27AAAAA6543Z5</v>
      </c>
      <c r="B6543" t="str">
        <f>TEST_DATA!B6543</f>
        <v>Mar-2020</v>
      </c>
      <c r="C6543">
        <f>TEST_DATA!C6543</f>
        <v>44705</v>
      </c>
      <c r="D6543" t="str">
        <f>TEST_DATA!D6543</f>
        <v>NIL</v>
      </c>
      <c r="E6543">
        <f>TEST_DATA!E6543</f>
        <v>1437</v>
      </c>
    </row>
    <row r="6544" spans="1:5" x14ac:dyDescent="0.55000000000000004">
      <c r="A6544" t="str">
        <f>TEST_DATA!A6544</f>
        <v>27AAAAA6544Z5</v>
      </c>
      <c r="B6544" t="str">
        <f>TEST_DATA!B6544</f>
        <v>Sep-2017</v>
      </c>
      <c r="C6544">
        <f>TEST_DATA!C6544</f>
        <v>43173</v>
      </c>
      <c r="D6544" t="str">
        <f>TEST_DATA!D6544</f>
        <v>NIL</v>
      </c>
      <c r="E6544">
        <f>TEST_DATA!E6544</f>
        <v>2682</v>
      </c>
    </row>
    <row r="6545" spans="1:5" x14ac:dyDescent="0.55000000000000004">
      <c r="A6545" t="str">
        <f>TEST_DATA!A6545</f>
        <v>27AAAAA6545Z5</v>
      </c>
      <c r="B6545" t="str">
        <f>TEST_DATA!B6545</f>
        <v>Dec-2024</v>
      </c>
      <c r="C6545">
        <f>TEST_DATA!C6545</f>
        <v>44549</v>
      </c>
      <c r="D6545" t="str">
        <f>TEST_DATA!D6545</f>
        <v>NON-NIL</v>
      </c>
      <c r="E6545">
        <f>TEST_DATA!E6545</f>
        <v>47</v>
      </c>
    </row>
    <row r="6546" spans="1:5" x14ac:dyDescent="0.55000000000000004">
      <c r="A6546" t="str">
        <f>TEST_DATA!A6546</f>
        <v>27AAAAA6546Z5</v>
      </c>
      <c r="B6546" t="str">
        <f>TEST_DATA!B6546</f>
        <v>Jan-2019</v>
      </c>
      <c r="C6546">
        <f>TEST_DATA!C6546</f>
        <v>45224</v>
      </c>
      <c r="D6546" t="str">
        <f>TEST_DATA!D6546</f>
        <v>NON-NIL</v>
      </c>
      <c r="E6546">
        <f>TEST_DATA!E6546</f>
        <v>1331</v>
      </c>
    </row>
    <row r="6547" spans="1:5" x14ac:dyDescent="0.55000000000000004">
      <c r="A6547" t="str">
        <f>TEST_DATA!A6547</f>
        <v>27AAAAA6547Z5</v>
      </c>
      <c r="B6547" t="str">
        <f>TEST_DATA!B6547</f>
        <v>Feb-2018</v>
      </c>
      <c r="C6547">
        <f>TEST_DATA!C6547</f>
        <v>44497</v>
      </c>
      <c r="D6547" t="str">
        <f>TEST_DATA!D6547</f>
        <v>NON-NIL</v>
      </c>
      <c r="E6547">
        <f>TEST_DATA!E6547</f>
        <v>1278</v>
      </c>
    </row>
    <row r="6548" spans="1:5" x14ac:dyDescent="0.55000000000000004">
      <c r="A6548" t="str">
        <f>TEST_DATA!A6548</f>
        <v>27AAAAA6548Z5</v>
      </c>
      <c r="B6548" t="str">
        <f>TEST_DATA!B6548</f>
        <v>Jul-2018</v>
      </c>
      <c r="C6548">
        <f>TEST_DATA!C6548</f>
        <v>44402</v>
      </c>
      <c r="D6548" t="str">
        <f>TEST_DATA!D6548</f>
        <v>NIL</v>
      </c>
      <c r="E6548">
        <f>TEST_DATA!E6548</f>
        <v>1251</v>
      </c>
    </row>
    <row r="6549" spans="1:5" x14ac:dyDescent="0.55000000000000004">
      <c r="A6549" t="str">
        <f>TEST_DATA!A6549</f>
        <v>27AAAAA6549Z5</v>
      </c>
      <c r="B6549" t="str">
        <f>TEST_DATA!B6549</f>
        <v>May-2020</v>
      </c>
      <c r="C6549">
        <f>TEST_DATA!C6549</f>
        <v>44194</v>
      </c>
      <c r="D6549" t="str">
        <f>TEST_DATA!D6549</f>
        <v>NIL</v>
      </c>
      <c r="E6549">
        <f>TEST_DATA!E6549</f>
        <v>1801</v>
      </c>
    </row>
    <row r="6550" spans="1:5" x14ac:dyDescent="0.55000000000000004">
      <c r="A6550" t="str">
        <f>TEST_DATA!A6550</f>
        <v>27AAAAA6550Z5</v>
      </c>
      <c r="B6550" t="str">
        <f>TEST_DATA!B6550</f>
        <v>Aug-2018</v>
      </c>
      <c r="C6550">
        <f>TEST_DATA!C6550</f>
        <v>43365</v>
      </c>
      <c r="D6550" t="str">
        <f>TEST_DATA!D6550</f>
        <v>NON-NIL</v>
      </c>
      <c r="E6550">
        <f>TEST_DATA!E6550</f>
        <v>1568</v>
      </c>
    </row>
    <row r="6551" spans="1:5" x14ac:dyDescent="0.55000000000000004">
      <c r="A6551" t="str">
        <f>TEST_DATA!A6551</f>
        <v>27AAAAA6551Z5</v>
      </c>
      <c r="B6551" t="str">
        <f>TEST_DATA!B6551</f>
        <v>Dec-2022</v>
      </c>
      <c r="C6551">
        <f>TEST_DATA!C6551</f>
        <v>43569</v>
      </c>
      <c r="D6551" t="str">
        <f>TEST_DATA!D6551</f>
        <v>NIL</v>
      </c>
      <c r="E6551">
        <f>TEST_DATA!E6551</f>
        <v>2547</v>
      </c>
    </row>
    <row r="6552" spans="1:5" x14ac:dyDescent="0.55000000000000004">
      <c r="A6552" t="str">
        <f>TEST_DATA!A6552</f>
        <v>27AAAAA6552Z5</v>
      </c>
      <c r="B6552" t="str">
        <f>TEST_DATA!B6552</f>
        <v>Sep-2017</v>
      </c>
      <c r="C6552">
        <f>TEST_DATA!C6552</f>
        <v>43598</v>
      </c>
      <c r="D6552" t="str">
        <f>TEST_DATA!D6552</f>
        <v>NIL</v>
      </c>
      <c r="E6552">
        <f>TEST_DATA!E6552</f>
        <v>28</v>
      </c>
    </row>
    <row r="6553" spans="1:5" x14ac:dyDescent="0.55000000000000004">
      <c r="A6553" t="str">
        <f>TEST_DATA!A6553</f>
        <v>27AAAAA6553Z5</v>
      </c>
      <c r="B6553" t="str">
        <f>TEST_DATA!B6553</f>
        <v>Jun-2018</v>
      </c>
      <c r="C6553">
        <f>TEST_DATA!C6553</f>
        <v>43939</v>
      </c>
      <c r="D6553" t="str">
        <f>TEST_DATA!D6553</f>
        <v>NIL</v>
      </c>
      <c r="E6553">
        <f>TEST_DATA!E6553</f>
        <v>2997</v>
      </c>
    </row>
    <row r="6554" spans="1:5" x14ac:dyDescent="0.55000000000000004">
      <c r="A6554" t="str">
        <f>TEST_DATA!A6554</f>
        <v>27AAAAA6554Z5</v>
      </c>
      <c r="B6554" t="str">
        <f>TEST_DATA!B6554</f>
        <v>Apr-2018</v>
      </c>
      <c r="C6554">
        <f>TEST_DATA!C6554</f>
        <v>43924</v>
      </c>
      <c r="D6554" t="str">
        <f>TEST_DATA!D6554</f>
        <v>NIL</v>
      </c>
      <c r="E6554">
        <f>TEST_DATA!E6554</f>
        <v>1062</v>
      </c>
    </row>
    <row r="6555" spans="1:5" x14ac:dyDescent="0.55000000000000004">
      <c r="A6555" t="str">
        <f>TEST_DATA!A6555</f>
        <v>27AAAAA6555Z5</v>
      </c>
      <c r="B6555" t="str">
        <f>TEST_DATA!B6555</f>
        <v>Feb-2018</v>
      </c>
      <c r="C6555">
        <f>TEST_DATA!C6555</f>
        <v>43633</v>
      </c>
      <c r="D6555" t="str">
        <f>TEST_DATA!D6555</f>
        <v>NON-NIL</v>
      </c>
      <c r="E6555">
        <f>TEST_DATA!E6555</f>
        <v>340</v>
      </c>
    </row>
    <row r="6556" spans="1:5" x14ac:dyDescent="0.55000000000000004">
      <c r="A6556" t="str">
        <f>TEST_DATA!A6556</f>
        <v>27AAAAA6556Z5</v>
      </c>
      <c r="B6556" t="str">
        <f>TEST_DATA!B6556</f>
        <v>Jan-2019</v>
      </c>
      <c r="C6556">
        <f>TEST_DATA!C6556</f>
        <v>45144</v>
      </c>
      <c r="D6556" t="str">
        <f>TEST_DATA!D6556</f>
        <v>NIL</v>
      </c>
      <c r="E6556">
        <f>TEST_DATA!E6556</f>
        <v>668</v>
      </c>
    </row>
    <row r="6557" spans="1:5" x14ac:dyDescent="0.55000000000000004">
      <c r="A6557" t="str">
        <f>TEST_DATA!A6557</f>
        <v>27AAAAA6557Z5</v>
      </c>
      <c r="B6557" t="str">
        <f>TEST_DATA!B6557</f>
        <v>May-2018</v>
      </c>
      <c r="C6557">
        <f>TEST_DATA!C6557</f>
        <v>44467</v>
      </c>
      <c r="D6557" t="str">
        <f>TEST_DATA!D6557</f>
        <v>NIL</v>
      </c>
      <c r="E6557">
        <f>TEST_DATA!E6557</f>
        <v>2782</v>
      </c>
    </row>
    <row r="6558" spans="1:5" x14ac:dyDescent="0.55000000000000004">
      <c r="A6558" t="str">
        <f>TEST_DATA!A6558</f>
        <v>27AAAAA6558Z5</v>
      </c>
      <c r="B6558" t="str">
        <f>TEST_DATA!B6558</f>
        <v>Nov-2017</v>
      </c>
      <c r="C6558">
        <f>TEST_DATA!C6558</f>
        <v>43856</v>
      </c>
      <c r="D6558" t="str">
        <f>TEST_DATA!D6558</f>
        <v>NIL</v>
      </c>
      <c r="E6558">
        <f>TEST_DATA!E6558</f>
        <v>1614</v>
      </c>
    </row>
    <row r="6559" spans="1:5" x14ac:dyDescent="0.55000000000000004">
      <c r="A6559" t="str">
        <f>TEST_DATA!A6559</f>
        <v>27AAAAA6559Z5</v>
      </c>
      <c r="B6559" t="str">
        <f>TEST_DATA!B6559</f>
        <v>Sep-2018</v>
      </c>
      <c r="C6559">
        <f>TEST_DATA!C6559</f>
        <v>42924</v>
      </c>
      <c r="D6559" t="str">
        <f>TEST_DATA!D6559</f>
        <v>NON-NIL</v>
      </c>
      <c r="E6559">
        <f>TEST_DATA!E6559</f>
        <v>1713</v>
      </c>
    </row>
    <row r="6560" spans="1:5" x14ac:dyDescent="0.55000000000000004">
      <c r="A6560" t="str">
        <f>TEST_DATA!A6560</f>
        <v>27AAAAA6560Z5</v>
      </c>
      <c r="B6560" t="str">
        <f>TEST_DATA!B6560</f>
        <v>Jul-2020</v>
      </c>
      <c r="C6560">
        <f>TEST_DATA!C6560</f>
        <v>44624</v>
      </c>
      <c r="D6560" t="str">
        <f>TEST_DATA!D6560</f>
        <v>NON-NIL</v>
      </c>
      <c r="E6560">
        <f>TEST_DATA!E6560</f>
        <v>2862</v>
      </c>
    </row>
    <row r="6561" spans="1:5" x14ac:dyDescent="0.55000000000000004">
      <c r="A6561" t="str">
        <f>TEST_DATA!A6561</f>
        <v>27AAAAA6561Z5</v>
      </c>
      <c r="B6561" t="str">
        <f>TEST_DATA!B6561</f>
        <v>Apr-2021</v>
      </c>
      <c r="C6561">
        <f>TEST_DATA!C6561</f>
        <v>45105</v>
      </c>
      <c r="D6561" t="str">
        <f>TEST_DATA!D6561</f>
        <v>NIL</v>
      </c>
      <c r="E6561">
        <f>TEST_DATA!E6561</f>
        <v>532</v>
      </c>
    </row>
    <row r="6562" spans="1:5" x14ac:dyDescent="0.55000000000000004">
      <c r="A6562" t="str">
        <f>TEST_DATA!A6562</f>
        <v>27AAAAA6562Z5</v>
      </c>
      <c r="B6562" t="str">
        <f>TEST_DATA!B6562</f>
        <v>Mar-2018</v>
      </c>
      <c r="C6562">
        <f>TEST_DATA!C6562</f>
        <v>43073</v>
      </c>
      <c r="D6562" t="str">
        <f>TEST_DATA!D6562</f>
        <v>NON-NIL</v>
      </c>
      <c r="E6562">
        <f>TEST_DATA!E6562</f>
        <v>1674</v>
      </c>
    </row>
    <row r="6563" spans="1:5" x14ac:dyDescent="0.55000000000000004">
      <c r="A6563" t="str">
        <f>TEST_DATA!A6563</f>
        <v>27AAAAA6563Z5</v>
      </c>
      <c r="B6563" t="str">
        <f>TEST_DATA!B6563</f>
        <v>Mar-2023</v>
      </c>
      <c r="C6563">
        <f>TEST_DATA!C6563</f>
        <v>45701</v>
      </c>
      <c r="D6563" t="str">
        <f>TEST_DATA!D6563</f>
        <v>NON-NIL</v>
      </c>
      <c r="E6563">
        <f>TEST_DATA!E6563</f>
        <v>2091</v>
      </c>
    </row>
    <row r="6564" spans="1:5" x14ac:dyDescent="0.55000000000000004">
      <c r="A6564" t="str">
        <f>TEST_DATA!A6564</f>
        <v>27AAAAA6564Z5</v>
      </c>
      <c r="B6564" t="str">
        <f>TEST_DATA!B6564</f>
        <v>Mar-2023</v>
      </c>
      <c r="C6564">
        <f>TEST_DATA!C6564</f>
        <v>44570</v>
      </c>
      <c r="D6564" t="str">
        <f>TEST_DATA!D6564</f>
        <v>NON-NIL</v>
      </c>
      <c r="E6564">
        <f>TEST_DATA!E6564</f>
        <v>1938</v>
      </c>
    </row>
    <row r="6565" spans="1:5" x14ac:dyDescent="0.55000000000000004">
      <c r="A6565" t="str">
        <f>TEST_DATA!A6565</f>
        <v>27AAAAA6565Z5</v>
      </c>
      <c r="B6565" t="str">
        <f>TEST_DATA!B6565</f>
        <v>Sep-2018</v>
      </c>
      <c r="C6565">
        <f>TEST_DATA!C6565</f>
        <v>43081</v>
      </c>
      <c r="D6565" t="str">
        <f>TEST_DATA!D6565</f>
        <v>NIL</v>
      </c>
      <c r="E6565">
        <f>TEST_DATA!E6565</f>
        <v>2368</v>
      </c>
    </row>
    <row r="6566" spans="1:5" x14ac:dyDescent="0.55000000000000004">
      <c r="A6566" t="str">
        <f>TEST_DATA!A6566</f>
        <v>27AAAAA6566Z5</v>
      </c>
      <c r="B6566" t="str">
        <f>TEST_DATA!B6566</f>
        <v>Aug-2017</v>
      </c>
      <c r="C6566">
        <f>TEST_DATA!C6566</f>
        <v>44225</v>
      </c>
      <c r="D6566" t="str">
        <f>TEST_DATA!D6566</f>
        <v>NIL</v>
      </c>
      <c r="E6566">
        <f>TEST_DATA!E6566</f>
        <v>1481</v>
      </c>
    </row>
    <row r="6567" spans="1:5" x14ac:dyDescent="0.55000000000000004">
      <c r="A6567" t="str">
        <f>TEST_DATA!A6567</f>
        <v>27AAAAA6567Z5</v>
      </c>
      <c r="B6567" t="str">
        <f>TEST_DATA!B6567</f>
        <v>Jul-2017</v>
      </c>
      <c r="C6567">
        <f>TEST_DATA!C6567</f>
        <v>42991</v>
      </c>
      <c r="D6567" t="str">
        <f>TEST_DATA!D6567</f>
        <v>NON-NIL</v>
      </c>
      <c r="E6567">
        <f>TEST_DATA!E6567</f>
        <v>445</v>
      </c>
    </row>
    <row r="6568" spans="1:5" x14ac:dyDescent="0.55000000000000004">
      <c r="A6568" t="str">
        <f>TEST_DATA!A6568</f>
        <v>27AAAAA6568Z5</v>
      </c>
      <c r="B6568" t="str">
        <f>TEST_DATA!B6568</f>
        <v>Apr-2021</v>
      </c>
      <c r="C6568">
        <f>TEST_DATA!C6568</f>
        <v>45556</v>
      </c>
      <c r="D6568" t="str">
        <f>TEST_DATA!D6568</f>
        <v>NON-NIL</v>
      </c>
      <c r="E6568">
        <f>TEST_DATA!E6568</f>
        <v>2050</v>
      </c>
    </row>
    <row r="6569" spans="1:5" x14ac:dyDescent="0.55000000000000004">
      <c r="A6569" t="str">
        <f>TEST_DATA!A6569</f>
        <v>27AAAAA6569Z5</v>
      </c>
      <c r="B6569" t="str">
        <f>TEST_DATA!B6569</f>
        <v>Mar-2020</v>
      </c>
      <c r="C6569">
        <f>TEST_DATA!C6569</f>
        <v>44820</v>
      </c>
      <c r="D6569" t="str">
        <f>TEST_DATA!D6569</f>
        <v>NON-NIL</v>
      </c>
      <c r="E6569">
        <f>TEST_DATA!E6569</f>
        <v>596</v>
      </c>
    </row>
    <row r="6570" spans="1:5" x14ac:dyDescent="0.55000000000000004">
      <c r="A6570" t="str">
        <f>TEST_DATA!A6570</f>
        <v>27AAAAA6570Z5</v>
      </c>
      <c r="B6570" t="str">
        <f>TEST_DATA!B6570</f>
        <v>Nov-2017</v>
      </c>
      <c r="C6570">
        <f>TEST_DATA!C6570</f>
        <v>43398</v>
      </c>
      <c r="D6570" t="str">
        <f>TEST_DATA!D6570</f>
        <v>NON-NIL</v>
      </c>
      <c r="E6570">
        <f>TEST_DATA!E6570</f>
        <v>1113</v>
      </c>
    </row>
    <row r="6571" spans="1:5" x14ac:dyDescent="0.55000000000000004">
      <c r="A6571" t="str">
        <f>TEST_DATA!A6571</f>
        <v>27AAAAA6571Z5</v>
      </c>
      <c r="B6571" t="str">
        <f>TEST_DATA!B6571</f>
        <v>Apr-2021</v>
      </c>
      <c r="C6571">
        <f>TEST_DATA!C6571</f>
        <v>44324</v>
      </c>
      <c r="D6571" t="str">
        <f>TEST_DATA!D6571</f>
        <v>NON-NIL</v>
      </c>
      <c r="E6571">
        <f>TEST_DATA!E6571</f>
        <v>219</v>
      </c>
    </row>
    <row r="6572" spans="1:5" x14ac:dyDescent="0.55000000000000004">
      <c r="A6572" t="str">
        <f>TEST_DATA!A6572</f>
        <v>27AAAAA6572Z5</v>
      </c>
      <c r="B6572" t="str">
        <f>TEST_DATA!B6572</f>
        <v>Apr-2018</v>
      </c>
      <c r="C6572">
        <f>TEST_DATA!C6572</f>
        <v>44403</v>
      </c>
      <c r="D6572" t="str">
        <f>TEST_DATA!D6572</f>
        <v>NON-NIL</v>
      </c>
      <c r="E6572">
        <f>TEST_DATA!E6572</f>
        <v>1549</v>
      </c>
    </row>
    <row r="6573" spans="1:5" x14ac:dyDescent="0.55000000000000004">
      <c r="A6573" t="str">
        <f>TEST_DATA!A6573</f>
        <v>27AAAAA6573Z5</v>
      </c>
      <c r="B6573" t="str">
        <f>TEST_DATA!B6573</f>
        <v>Dec-2019</v>
      </c>
      <c r="C6573">
        <f>TEST_DATA!C6573</f>
        <v>44090</v>
      </c>
      <c r="D6573" t="str">
        <f>TEST_DATA!D6573</f>
        <v>NIL</v>
      </c>
      <c r="E6573">
        <f>TEST_DATA!E6573</f>
        <v>617</v>
      </c>
    </row>
    <row r="6574" spans="1:5" x14ac:dyDescent="0.55000000000000004">
      <c r="A6574" t="str">
        <f>TEST_DATA!A6574</f>
        <v>27AAAAA6574Z5</v>
      </c>
      <c r="B6574" t="str">
        <f>TEST_DATA!B6574</f>
        <v>Sep-2017</v>
      </c>
      <c r="C6574">
        <f>TEST_DATA!C6574</f>
        <v>43605</v>
      </c>
      <c r="D6574" t="str">
        <f>TEST_DATA!D6574</f>
        <v>NON-NIL</v>
      </c>
      <c r="E6574">
        <f>TEST_DATA!E6574</f>
        <v>1035</v>
      </c>
    </row>
    <row r="6575" spans="1:5" x14ac:dyDescent="0.55000000000000004">
      <c r="A6575" t="str">
        <f>TEST_DATA!A6575</f>
        <v>27AAAAA6575Z5</v>
      </c>
      <c r="B6575" t="str">
        <f>TEST_DATA!B6575</f>
        <v>Apr-2020</v>
      </c>
      <c r="C6575">
        <f>TEST_DATA!C6575</f>
        <v>44560</v>
      </c>
      <c r="D6575" t="str">
        <f>TEST_DATA!D6575</f>
        <v>NIL</v>
      </c>
      <c r="E6575">
        <f>TEST_DATA!E6575</f>
        <v>1461</v>
      </c>
    </row>
    <row r="6576" spans="1:5" x14ac:dyDescent="0.55000000000000004">
      <c r="A6576" t="str">
        <f>TEST_DATA!A6576</f>
        <v>27AAAAA6576Z5</v>
      </c>
      <c r="B6576" t="str">
        <f>TEST_DATA!B6576</f>
        <v>Mar-2018</v>
      </c>
      <c r="C6576">
        <f>TEST_DATA!C6576</f>
        <v>44094</v>
      </c>
      <c r="D6576" t="str">
        <f>TEST_DATA!D6576</f>
        <v>NIL</v>
      </c>
      <c r="E6576">
        <f>TEST_DATA!E6576</f>
        <v>70</v>
      </c>
    </row>
    <row r="6577" spans="1:5" x14ac:dyDescent="0.55000000000000004">
      <c r="A6577" t="str">
        <f>TEST_DATA!A6577</f>
        <v>27AAAAA6577Z5</v>
      </c>
      <c r="B6577" t="str">
        <f>TEST_DATA!B6577</f>
        <v>Jul-2018</v>
      </c>
      <c r="C6577">
        <f>TEST_DATA!C6577</f>
        <v>44268</v>
      </c>
      <c r="D6577" t="str">
        <f>TEST_DATA!D6577</f>
        <v>NON-NIL</v>
      </c>
      <c r="E6577">
        <f>TEST_DATA!E6577</f>
        <v>1159</v>
      </c>
    </row>
    <row r="6578" spans="1:5" x14ac:dyDescent="0.55000000000000004">
      <c r="A6578" t="str">
        <f>TEST_DATA!A6578</f>
        <v>27AAAAA6578Z5</v>
      </c>
      <c r="B6578" t="str">
        <f>TEST_DATA!B6578</f>
        <v>May-2020</v>
      </c>
      <c r="C6578">
        <f>TEST_DATA!C6578</f>
        <v>44011</v>
      </c>
      <c r="D6578" t="str">
        <f>TEST_DATA!D6578</f>
        <v>NIL</v>
      </c>
      <c r="E6578">
        <f>TEST_DATA!E6578</f>
        <v>414</v>
      </c>
    </row>
    <row r="6579" spans="1:5" x14ac:dyDescent="0.55000000000000004">
      <c r="A6579" t="str">
        <f>TEST_DATA!A6579</f>
        <v>27AAAAA6579Z5</v>
      </c>
      <c r="B6579" t="str">
        <f>TEST_DATA!B6579</f>
        <v>Jun-2020</v>
      </c>
      <c r="C6579">
        <f>TEST_DATA!C6579</f>
        <v>44840</v>
      </c>
      <c r="D6579" t="str">
        <f>TEST_DATA!D6579</f>
        <v>NIL</v>
      </c>
      <c r="E6579">
        <f>TEST_DATA!E6579</f>
        <v>2239</v>
      </c>
    </row>
    <row r="6580" spans="1:5" x14ac:dyDescent="0.55000000000000004">
      <c r="A6580" t="str">
        <f>TEST_DATA!A6580</f>
        <v>27AAAAA6580Z5</v>
      </c>
      <c r="B6580" t="str">
        <f>TEST_DATA!B6580</f>
        <v>Dec-2019</v>
      </c>
      <c r="C6580">
        <f>TEST_DATA!C6580</f>
        <v>43794</v>
      </c>
      <c r="D6580" t="str">
        <f>TEST_DATA!D6580</f>
        <v>NIL</v>
      </c>
      <c r="E6580">
        <f>TEST_DATA!E6580</f>
        <v>1898</v>
      </c>
    </row>
    <row r="6581" spans="1:5" x14ac:dyDescent="0.55000000000000004">
      <c r="A6581" t="str">
        <f>TEST_DATA!A6581</f>
        <v>27AAAAA6581Z5</v>
      </c>
      <c r="B6581" t="str">
        <f>TEST_DATA!B6581</f>
        <v>Feb-2018</v>
      </c>
      <c r="C6581">
        <f>TEST_DATA!C6581</f>
        <v>42922</v>
      </c>
      <c r="D6581" t="str">
        <f>TEST_DATA!D6581</f>
        <v>NON-NIL</v>
      </c>
      <c r="E6581">
        <f>TEST_DATA!E6581</f>
        <v>956</v>
      </c>
    </row>
    <row r="6582" spans="1:5" x14ac:dyDescent="0.55000000000000004">
      <c r="A6582" t="str">
        <f>TEST_DATA!A6582</f>
        <v>27AAAAA6582Z5</v>
      </c>
      <c r="B6582" t="str">
        <f>TEST_DATA!B6582</f>
        <v>Apr-2018</v>
      </c>
      <c r="C6582">
        <f>TEST_DATA!C6582</f>
        <v>43378</v>
      </c>
      <c r="D6582" t="str">
        <f>TEST_DATA!D6582</f>
        <v>NON-NIL</v>
      </c>
      <c r="E6582">
        <f>TEST_DATA!E6582</f>
        <v>2773</v>
      </c>
    </row>
    <row r="6583" spans="1:5" x14ac:dyDescent="0.55000000000000004">
      <c r="A6583" t="str">
        <f>TEST_DATA!A6583</f>
        <v>27AAAAA6583Z5</v>
      </c>
      <c r="B6583" t="str">
        <f>TEST_DATA!B6583</f>
        <v>Mar-2020</v>
      </c>
      <c r="C6583">
        <f>TEST_DATA!C6583</f>
        <v>44419</v>
      </c>
      <c r="D6583" t="str">
        <f>TEST_DATA!D6583</f>
        <v>NIL</v>
      </c>
      <c r="E6583">
        <f>TEST_DATA!E6583</f>
        <v>2965</v>
      </c>
    </row>
    <row r="6584" spans="1:5" x14ac:dyDescent="0.55000000000000004">
      <c r="A6584" t="str">
        <f>TEST_DATA!A6584</f>
        <v>27AAAAA6584Z5</v>
      </c>
      <c r="B6584" t="str">
        <f>TEST_DATA!B6584</f>
        <v>Sep-2017</v>
      </c>
      <c r="C6584">
        <f>TEST_DATA!C6584</f>
        <v>43998</v>
      </c>
      <c r="D6584" t="str">
        <f>TEST_DATA!D6584</f>
        <v>NON-NIL</v>
      </c>
      <c r="E6584">
        <f>TEST_DATA!E6584</f>
        <v>2403</v>
      </c>
    </row>
    <row r="6585" spans="1:5" x14ac:dyDescent="0.55000000000000004">
      <c r="A6585" t="str">
        <f>TEST_DATA!A6585</f>
        <v>27AAAAA6585Z5</v>
      </c>
      <c r="B6585" t="str">
        <f>TEST_DATA!B6585</f>
        <v>Apr-2021</v>
      </c>
      <c r="C6585">
        <f>TEST_DATA!C6585</f>
        <v>45185</v>
      </c>
      <c r="D6585" t="str">
        <f>TEST_DATA!D6585</f>
        <v>NIL</v>
      </c>
      <c r="E6585">
        <f>TEST_DATA!E6585</f>
        <v>1659</v>
      </c>
    </row>
    <row r="6586" spans="1:5" x14ac:dyDescent="0.55000000000000004">
      <c r="A6586" t="str">
        <f>TEST_DATA!A6586</f>
        <v>27AAAAA6586Z5</v>
      </c>
      <c r="B6586" t="str">
        <f>TEST_DATA!B6586</f>
        <v>Jul-2018</v>
      </c>
      <c r="C6586">
        <f>TEST_DATA!C6586</f>
        <v>43448</v>
      </c>
      <c r="D6586" t="str">
        <f>TEST_DATA!D6586</f>
        <v>NIL</v>
      </c>
      <c r="E6586">
        <f>TEST_DATA!E6586</f>
        <v>1422</v>
      </c>
    </row>
    <row r="6587" spans="1:5" x14ac:dyDescent="0.55000000000000004">
      <c r="A6587" t="str">
        <f>TEST_DATA!A6587</f>
        <v>27AAAAA6587Z5</v>
      </c>
      <c r="B6587" t="str">
        <f>TEST_DATA!B6587</f>
        <v>Mar-2023</v>
      </c>
      <c r="C6587">
        <f>TEST_DATA!C6587</f>
        <v>43868</v>
      </c>
      <c r="D6587" t="str">
        <f>TEST_DATA!D6587</f>
        <v>NIL</v>
      </c>
      <c r="E6587">
        <f>TEST_DATA!E6587</f>
        <v>179</v>
      </c>
    </row>
    <row r="6588" spans="1:5" x14ac:dyDescent="0.55000000000000004">
      <c r="A6588" t="str">
        <f>TEST_DATA!A6588</f>
        <v>27AAAAA6588Z5</v>
      </c>
      <c r="B6588" t="str">
        <f>TEST_DATA!B6588</f>
        <v>Dec-2017</v>
      </c>
      <c r="C6588">
        <f>TEST_DATA!C6588</f>
        <v>43103</v>
      </c>
      <c r="D6588" t="str">
        <f>TEST_DATA!D6588</f>
        <v>NIL</v>
      </c>
      <c r="E6588">
        <f>TEST_DATA!E6588</f>
        <v>1519</v>
      </c>
    </row>
    <row r="6589" spans="1:5" x14ac:dyDescent="0.55000000000000004">
      <c r="A6589" t="str">
        <f>TEST_DATA!A6589</f>
        <v>27AAAAA6589Z5</v>
      </c>
      <c r="B6589" t="str">
        <f>TEST_DATA!B6589</f>
        <v>Apr-2018</v>
      </c>
      <c r="C6589">
        <f>TEST_DATA!C6589</f>
        <v>43318</v>
      </c>
      <c r="D6589" t="str">
        <f>TEST_DATA!D6589</f>
        <v>NON-NIL</v>
      </c>
      <c r="E6589">
        <f>TEST_DATA!E6589</f>
        <v>336</v>
      </c>
    </row>
    <row r="6590" spans="1:5" x14ac:dyDescent="0.55000000000000004">
      <c r="A6590" t="str">
        <f>TEST_DATA!A6590</f>
        <v>27AAAAA6590Z5</v>
      </c>
      <c r="B6590" t="str">
        <f>TEST_DATA!B6590</f>
        <v>Apr-2021</v>
      </c>
      <c r="C6590">
        <f>TEST_DATA!C6590</f>
        <v>44229</v>
      </c>
      <c r="D6590" t="str">
        <f>TEST_DATA!D6590</f>
        <v>NIL</v>
      </c>
      <c r="E6590">
        <f>TEST_DATA!E6590</f>
        <v>120</v>
      </c>
    </row>
    <row r="6591" spans="1:5" x14ac:dyDescent="0.55000000000000004">
      <c r="A6591" t="str">
        <f>TEST_DATA!A6591</f>
        <v>27AAAAA6591Z5</v>
      </c>
      <c r="B6591" t="str">
        <f>TEST_DATA!B6591</f>
        <v>Oct-2017</v>
      </c>
      <c r="C6591">
        <f>TEST_DATA!C6591</f>
        <v>44367</v>
      </c>
      <c r="D6591" t="str">
        <f>TEST_DATA!D6591</f>
        <v>NON-NIL</v>
      </c>
      <c r="E6591">
        <f>TEST_DATA!E6591</f>
        <v>208</v>
      </c>
    </row>
    <row r="6592" spans="1:5" x14ac:dyDescent="0.55000000000000004">
      <c r="A6592" t="str">
        <f>TEST_DATA!A6592</f>
        <v>27AAAAA6592Z5</v>
      </c>
      <c r="B6592" t="str">
        <f>TEST_DATA!B6592</f>
        <v>Apr-2018</v>
      </c>
      <c r="C6592">
        <f>TEST_DATA!C6592</f>
        <v>44168</v>
      </c>
      <c r="D6592" t="str">
        <f>TEST_DATA!D6592</f>
        <v>NON-NIL</v>
      </c>
      <c r="E6592">
        <f>TEST_DATA!E6592</f>
        <v>17</v>
      </c>
    </row>
    <row r="6593" spans="1:5" x14ac:dyDescent="0.55000000000000004">
      <c r="A6593" t="str">
        <f>TEST_DATA!A6593</f>
        <v>27AAAAA6593Z5</v>
      </c>
      <c r="B6593" t="str">
        <f>TEST_DATA!B6593</f>
        <v>Dec-2022</v>
      </c>
      <c r="C6593">
        <f>TEST_DATA!C6593</f>
        <v>44447</v>
      </c>
      <c r="D6593" t="str">
        <f>TEST_DATA!D6593</f>
        <v>NON-NIL</v>
      </c>
      <c r="E6593">
        <f>TEST_DATA!E6593</f>
        <v>582</v>
      </c>
    </row>
    <row r="6594" spans="1:5" x14ac:dyDescent="0.55000000000000004">
      <c r="A6594" t="str">
        <f>TEST_DATA!A6594</f>
        <v>27AAAAA6594Z5</v>
      </c>
      <c r="B6594" t="str">
        <f>TEST_DATA!B6594</f>
        <v>Oct-2017</v>
      </c>
      <c r="C6594">
        <f>TEST_DATA!C6594</f>
        <v>44378</v>
      </c>
      <c r="D6594" t="str">
        <f>TEST_DATA!D6594</f>
        <v>NON-NIL</v>
      </c>
      <c r="E6594">
        <f>TEST_DATA!E6594</f>
        <v>216</v>
      </c>
    </row>
    <row r="6595" spans="1:5" x14ac:dyDescent="0.55000000000000004">
      <c r="A6595" t="str">
        <f>TEST_DATA!A6595</f>
        <v>27AAAAA6595Z5</v>
      </c>
      <c r="B6595" t="str">
        <f>TEST_DATA!B6595</f>
        <v>Aug-2017</v>
      </c>
      <c r="C6595">
        <f>TEST_DATA!C6595</f>
        <v>43331</v>
      </c>
      <c r="D6595" t="str">
        <f>TEST_DATA!D6595</f>
        <v>NIL</v>
      </c>
      <c r="E6595">
        <f>TEST_DATA!E6595</f>
        <v>255</v>
      </c>
    </row>
    <row r="6596" spans="1:5" x14ac:dyDescent="0.55000000000000004">
      <c r="A6596" t="str">
        <f>TEST_DATA!A6596</f>
        <v>27AAAAA6596Z5</v>
      </c>
      <c r="B6596" t="str">
        <f>TEST_DATA!B6596</f>
        <v>Jul-2020</v>
      </c>
      <c r="C6596">
        <f>TEST_DATA!C6596</f>
        <v>44243</v>
      </c>
      <c r="D6596" t="str">
        <f>TEST_DATA!D6596</f>
        <v>NIL</v>
      </c>
      <c r="E6596">
        <f>TEST_DATA!E6596</f>
        <v>2435</v>
      </c>
    </row>
    <row r="6597" spans="1:5" x14ac:dyDescent="0.55000000000000004">
      <c r="A6597" t="str">
        <f>TEST_DATA!A6597</f>
        <v>27AAAAA6597Z5</v>
      </c>
      <c r="B6597" t="str">
        <f>TEST_DATA!B6597</f>
        <v>Sep-2018</v>
      </c>
      <c r="C6597">
        <f>TEST_DATA!C6597</f>
        <v>44044</v>
      </c>
      <c r="D6597" t="str">
        <f>TEST_DATA!D6597</f>
        <v>NIL</v>
      </c>
      <c r="E6597">
        <f>TEST_DATA!E6597</f>
        <v>328</v>
      </c>
    </row>
    <row r="6598" spans="1:5" x14ac:dyDescent="0.55000000000000004">
      <c r="A6598" t="str">
        <f>TEST_DATA!A6598</f>
        <v>27AAAAA6598Z5</v>
      </c>
      <c r="B6598" t="str">
        <f>TEST_DATA!B6598</f>
        <v>Sep-2017</v>
      </c>
      <c r="C6598">
        <f>TEST_DATA!C6598</f>
        <v>43482</v>
      </c>
      <c r="D6598" t="str">
        <f>TEST_DATA!D6598</f>
        <v>NIL</v>
      </c>
      <c r="E6598">
        <f>TEST_DATA!E6598</f>
        <v>54</v>
      </c>
    </row>
    <row r="6599" spans="1:5" x14ac:dyDescent="0.55000000000000004">
      <c r="A6599" t="str">
        <f>TEST_DATA!A6599</f>
        <v>27AAAAA6599Z5</v>
      </c>
      <c r="B6599" t="str">
        <f>TEST_DATA!B6599</f>
        <v>Jan-2018</v>
      </c>
      <c r="C6599">
        <f>TEST_DATA!C6599</f>
        <v>43526</v>
      </c>
      <c r="D6599" t="str">
        <f>TEST_DATA!D6599</f>
        <v>NON-NIL</v>
      </c>
      <c r="E6599">
        <f>TEST_DATA!E6599</f>
        <v>478</v>
      </c>
    </row>
    <row r="6600" spans="1:5" x14ac:dyDescent="0.55000000000000004">
      <c r="A6600" t="str">
        <f>TEST_DATA!A6600</f>
        <v>27AAAAA6600Z5</v>
      </c>
      <c r="B6600" t="str">
        <f>TEST_DATA!B6600</f>
        <v>Feb-2018</v>
      </c>
      <c r="C6600">
        <f>TEST_DATA!C6600</f>
        <v>43136</v>
      </c>
      <c r="D6600" t="str">
        <f>TEST_DATA!D6600</f>
        <v>NON-NIL</v>
      </c>
      <c r="E6600">
        <f>TEST_DATA!E6600</f>
        <v>405</v>
      </c>
    </row>
    <row r="6601" spans="1:5" x14ac:dyDescent="0.55000000000000004">
      <c r="A6601" t="str">
        <f>TEST_DATA!A6601</f>
        <v>27AAAAA6601Z5</v>
      </c>
      <c r="B6601" t="str">
        <f>TEST_DATA!B6601</f>
        <v>Mar-2020</v>
      </c>
      <c r="C6601">
        <f>TEST_DATA!C6601</f>
        <v>44786</v>
      </c>
      <c r="D6601" t="str">
        <f>TEST_DATA!D6601</f>
        <v>NON-NIL</v>
      </c>
      <c r="E6601">
        <f>TEST_DATA!E6601</f>
        <v>186</v>
      </c>
    </row>
    <row r="6602" spans="1:5" x14ac:dyDescent="0.55000000000000004">
      <c r="A6602" t="str">
        <f>TEST_DATA!A6602</f>
        <v>27AAAAA6602Z5</v>
      </c>
      <c r="B6602" t="str">
        <f>TEST_DATA!B6602</f>
        <v>Mar-2021</v>
      </c>
      <c r="C6602">
        <f>TEST_DATA!C6602</f>
        <v>43895</v>
      </c>
      <c r="D6602" t="str">
        <f>TEST_DATA!D6602</f>
        <v>NON-NIL</v>
      </c>
      <c r="E6602">
        <f>TEST_DATA!E6602</f>
        <v>637</v>
      </c>
    </row>
    <row r="6603" spans="1:5" x14ac:dyDescent="0.55000000000000004">
      <c r="A6603" t="str">
        <f>TEST_DATA!A6603</f>
        <v>27AAAAA6603Z5</v>
      </c>
      <c r="B6603" t="str">
        <f>TEST_DATA!B6603</f>
        <v>Mar-2021</v>
      </c>
      <c r="C6603">
        <f>TEST_DATA!C6603</f>
        <v>44919</v>
      </c>
      <c r="D6603" t="str">
        <f>TEST_DATA!D6603</f>
        <v>NIL</v>
      </c>
      <c r="E6603">
        <f>TEST_DATA!E6603</f>
        <v>2956</v>
      </c>
    </row>
    <row r="6604" spans="1:5" x14ac:dyDescent="0.55000000000000004">
      <c r="A6604" t="str">
        <f>TEST_DATA!A6604</f>
        <v>27AAAAA6604Z5</v>
      </c>
      <c r="B6604" t="str">
        <f>TEST_DATA!B6604</f>
        <v>Jun-2019</v>
      </c>
      <c r="C6604">
        <f>TEST_DATA!C6604</f>
        <v>44524</v>
      </c>
      <c r="D6604" t="str">
        <f>TEST_DATA!D6604</f>
        <v>NIL</v>
      </c>
      <c r="E6604">
        <f>TEST_DATA!E6604</f>
        <v>2383</v>
      </c>
    </row>
    <row r="6605" spans="1:5" x14ac:dyDescent="0.55000000000000004">
      <c r="A6605" t="str">
        <f>TEST_DATA!A6605</f>
        <v>27AAAAA6605Z5</v>
      </c>
      <c r="B6605" t="str">
        <f>TEST_DATA!B6605</f>
        <v>May-2020</v>
      </c>
      <c r="C6605">
        <f>TEST_DATA!C6605</f>
        <v>44414</v>
      </c>
      <c r="D6605" t="str">
        <f>TEST_DATA!D6605</f>
        <v>NON-NIL</v>
      </c>
      <c r="E6605">
        <f>TEST_DATA!E6605</f>
        <v>2145</v>
      </c>
    </row>
    <row r="6606" spans="1:5" x14ac:dyDescent="0.55000000000000004">
      <c r="A6606" t="str">
        <f>TEST_DATA!A6606</f>
        <v>27AAAAA6606Z5</v>
      </c>
      <c r="B6606" t="str">
        <f>TEST_DATA!B6606</f>
        <v>May-2018</v>
      </c>
      <c r="C6606">
        <f>TEST_DATA!C6606</f>
        <v>43663</v>
      </c>
      <c r="D6606" t="str">
        <f>TEST_DATA!D6606</f>
        <v>NIL</v>
      </c>
      <c r="E6606">
        <f>TEST_DATA!E6606</f>
        <v>2575</v>
      </c>
    </row>
    <row r="6607" spans="1:5" x14ac:dyDescent="0.55000000000000004">
      <c r="A6607" t="str">
        <f>TEST_DATA!A6607</f>
        <v>27AAAAA6607Z5</v>
      </c>
      <c r="B6607" t="str">
        <f>TEST_DATA!B6607</f>
        <v>Oct-2017</v>
      </c>
      <c r="C6607">
        <f>TEST_DATA!C6607</f>
        <v>43074</v>
      </c>
      <c r="D6607" t="str">
        <f>TEST_DATA!D6607</f>
        <v>NIL</v>
      </c>
      <c r="E6607">
        <f>TEST_DATA!E6607</f>
        <v>1792</v>
      </c>
    </row>
    <row r="6608" spans="1:5" x14ac:dyDescent="0.55000000000000004">
      <c r="A6608" t="str">
        <f>TEST_DATA!A6608</f>
        <v>27AAAAA6608Z5</v>
      </c>
      <c r="B6608" t="str">
        <f>TEST_DATA!B6608</f>
        <v>May-2018</v>
      </c>
      <c r="C6608">
        <f>TEST_DATA!C6608</f>
        <v>43374</v>
      </c>
      <c r="D6608" t="str">
        <f>TEST_DATA!D6608</f>
        <v>NON-NIL</v>
      </c>
      <c r="E6608">
        <f>TEST_DATA!E6608</f>
        <v>2171</v>
      </c>
    </row>
    <row r="6609" spans="1:5" x14ac:dyDescent="0.55000000000000004">
      <c r="A6609" t="str">
        <f>TEST_DATA!A6609</f>
        <v>27AAAAA6609Z5</v>
      </c>
      <c r="B6609" t="str">
        <f>TEST_DATA!B6609</f>
        <v>Dec-2017</v>
      </c>
      <c r="C6609">
        <f>TEST_DATA!C6609</f>
        <v>44363</v>
      </c>
      <c r="D6609" t="str">
        <f>TEST_DATA!D6609</f>
        <v>NIL</v>
      </c>
      <c r="E6609">
        <f>TEST_DATA!E6609</f>
        <v>92</v>
      </c>
    </row>
    <row r="6610" spans="1:5" x14ac:dyDescent="0.55000000000000004">
      <c r="A6610" t="str">
        <f>TEST_DATA!A6610</f>
        <v>27AAAAA6610Z5</v>
      </c>
      <c r="B6610" t="str">
        <f>TEST_DATA!B6610</f>
        <v>Jan-2019</v>
      </c>
      <c r="C6610">
        <f>TEST_DATA!C6610</f>
        <v>44147</v>
      </c>
      <c r="D6610" t="str">
        <f>TEST_DATA!D6610</f>
        <v>NON-NIL</v>
      </c>
      <c r="E6610">
        <f>TEST_DATA!E6610</f>
        <v>2140</v>
      </c>
    </row>
    <row r="6611" spans="1:5" x14ac:dyDescent="0.55000000000000004">
      <c r="A6611" t="str">
        <f>TEST_DATA!A6611</f>
        <v>27AAAAA6611Z5</v>
      </c>
      <c r="B6611" t="str">
        <f>TEST_DATA!B6611</f>
        <v>Jan-2021</v>
      </c>
      <c r="C6611">
        <f>TEST_DATA!C6611</f>
        <v>43480</v>
      </c>
      <c r="D6611" t="str">
        <f>TEST_DATA!D6611</f>
        <v>NON-NIL</v>
      </c>
      <c r="E6611">
        <f>TEST_DATA!E6611</f>
        <v>563</v>
      </c>
    </row>
    <row r="6612" spans="1:5" x14ac:dyDescent="0.55000000000000004">
      <c r="A6612" t="str">
        <f>TEST_DATA!A6612</f>
        <v>27AAAAA6612Z5</v>
      </c>
      <c r="B6612" t="str">
        <f>TEST_DATA!B6612</f>
        <v>Mar-2021</v>
      </c>
      <c r="C6612">
        <f>TEST_DATA!C6612</f>
        <v>45382</v>
      </c>
      <c r="D6612" t="str">
        <f>TEST_DATA!D6612</f>
        <v>NIL</v>
      </c>
      <c r="E6612">
        <f>TEST_DATA!E6612</f>
        <v>2928</v>
      </c>
    </row>
    <row r="6613" spans="1:5" x14ac:dyDescent="0.55000000000000004">
      <c r="A6613" t="str">
        <f>TEST_DATA!A6613</f>
        <v>27AAAAA6613Z5</v>
      </c>
      <c r="B6613" t="str">
        <f>TEST_DATA!B6613</f>
        <v>Feb-2018</v>
      </c>
      <c r="C6613">
        <f>TEST_DATA!C6613</f>
        <v>43875</v>
      </c>
      <c r="D6613" t="str">
        <f>TEST_DATA!D6613</f>
        <v>NIL</v>
      </c>
      <c r="E6613">
        <f>TEST_DATA!E6613</f>
        <v>1701</v>
      </c>
    </row>
    <row r="6614" spans="1:5" x14ac:dyDescent="0.55000000000000004">
      <c r="A6614" t="str">
        <f>TEST_DATA!A6614</f>
        <v>27AAAAA6614Z5</v>
      </c>
      <c r="B6614" t="str">
        <f>TEST_DATA!B6614</f>
        <v>Oct-2017</v>
      </c>
      <c r="C6614">
        <f>TEST_DATA!C6614</f>
        <v>43790</v>
      </c>
      <c r="D6614" t="str">
        <f>TEST_DATA!D6614</f>
        <v>NIL</v>
      </c>
      <c r="E6614">
        <f>TEST_DATA!E6614</f>
        <v>2263</v>
      </c>
    </row>
    <row r="6615" spans="1:5" x14ac:dyDescent="0.55000000000000004">
      <c r="A6615" t="str">
        <f>TEST_DATA!A6615</f>
        <v>27AAAAA6615Z5</v>
      </c>
      <c r="B6615" t="str">
        <f>TEST_DATA!B6615</f>
        <v>Jul-2020</v>
      </c>
      <c r="C6615">
        <f>TEST_DATA!C6615</f>
        <v>44879</v>
      </c>
      <c r="D6615" t="str">
        <f>TEST_DATA!D6615</f>
        <v>NIL</v>
      </c>
      <c r="E6615">
        <f>TEST_DATA!E6615</f>
        <v>2521</v>
      </c>
    </row>
    <row r="6616" spans="1:5" x14ac:dyDescent="0.55000000000000004">
      <c r="A6616" t="str">
        <f>TEST_DATA!A6616</f>
        <v>27AAAAA6616Z5</v>
      </c>
      <c r="B6616" t="str">
        <f>TEST_DATA!B6616</f>
        <v>Jan-2019</v>
      </c>
      <c r="C6616">
        <f>TEST_DATA!C6616</f>
        <v>44099</v>
      </c>
      <c r="D6616" t="str">
        <f>TEST_DATA!D6616</f>
        <v>NIL</v>
      </c>
      <c r="E6616">
        <f>TEST_DATA!E6616</f>
        <v>830</v>
      </c>
    </row>
    <row r="6617" spans="1:5" x14ac:dyDescent="0.55000000000000004">
      <c r="A6617" t="str">
        <f>TEST_DATA!A6617</f>
        <v>27AAAAA6617Z5</v>
      </c>
      <c r="B6617" t="str">
        <f>TEST_DATA!B6617</f>
        <v>Jun-2020</v>
      </c>
      <c r="C6617">
        <f>TEST_DATA!C6617</f>
        <v>44617</v>
      </c>
      <c r="D6617" t="str">
        <f>TEST_DATA!D6617</f>
        <v>NON-NIL</v>
      </c>
      <c r="E6617">
        <f>TEST_DATA!E6617</f>
        <v>1970</v>
      </c>
    </row>
    <row r="6618" spans="1:5" x14ac:dyDescent="0.55000000000000004">
      <c r="A6618" t="str">
        <f>TEST_DATA!A6618</f>
        <v>27AAAAA6618Z5</v>
      </c>
      <c r="B6618" t="str">
        <f>TEST_DATA!B6618</f>
        <v>Jan-2019</v>
      </c>
      <c r="C6618">
        <f>TEST_DATA!C6618</f>
        <v>43960</v>
      </c>
      <c r="D6618" t="str">
        <f>TEST_DATA!D6618</f>
        <v>NIL</v>
      </c>
      <c r="E6618">
        <f>TEST_DATA!E6618</f>
        <v>1987</v>
      </c>
    </row>
    <row r="6619" spans="1:5" x14ac:dyDescent="0.55000000000000004">
      <c r="A6619" t="str">
        <f>TEST_DATA!A6619</f>
        <v>27AAAAA6619Z5</v>
      </c>
      <c r="B6619" t="str">
        <f>TEST_DATA!B6619</f>
        <v>May-2018</v>
      </c>
      <c r="C6619">
        <f>TEST_DATA!C6619</f>
        <v>43381</v>
      </c>
      <c r="D6619" t="str">
        <f>TEST_DATA!D6619</f>
        <v>NIL</v>
      </c>
      <c r="E6619">
        <f>TEST_DATA!E6619</f>
        <v>1832</v>
      </c>
    </row>
    <row r="6620" spans="1:5" x14ac:dyDescent="0.55000000000000004">
      <c r="A6620" t="str">
        <f>TEST_DATA!A6620</f>
        <v>27AAAAA6620Z5</v>
      </c>
      <c r="B6620" t="str">
        <f>TEST_DATA!B6620</f>
        <v>Dec-2024</v>
      </c>
      <c r="C6620">
        <f>TEST_DATA!C6620</f>
        <v>45183</v>
      </c>
      <c r="D6620" t="str">
        <f>TEST_DATA!D6620</f>
        <v>NIL</v>
      </c>
      <c r="E6620">
        <f>TEST_DATA!E6620</f>
        <v>28</v>
      </c>
    </row>
    <row r="6621" spans="1:5" x14ac:dyDescent="0.55000000000000004">
      <c r="A6621" t="str">
        <f>TEST_DATA!A6621</f>
        <v>27AAAAA6621Z5</v>
      </c>
      <c r="B6621" t="str">
        <f>TEST_DATA!B6621</f>
        <v>Dec-2017</v>
      </c>
      <c r="C6621">
        <f>TEST_DATA!C6621</f>
        <v>44551</v>
      </c>
      <c r="D6621" t="str">
        <f>TEST_DATA!D6621</f>
        <v>NON-NIL</v>
      </c>
      <c r="E6621">
        <f>TEST_DATA!E6621</f>
        <v>2240</v>
      </c>
    </row>
    <row r="6622" spans="1:5" x14ac:dyDescent="0.55000000000000004">
      <c r="A6622" t="str">
        <f>TEST_DATA!A6622</f>
        <v>27AAAAA6622Z5</v>
      </c>
      <c r="B6622" t="str">
        <f>TEST_DATA!B6622</f>
        <v>Jul-2017</v>
      </c>
      <c r="C6622">
        <f>TEST_DATA!C6622</f>
        <v>44296</v>
      </c>
      <c r="D6622" t="str">
        <f>TEST_DATA!D6622</f>
        <v>NON-NIL</v>
      </c>
      <c r="E6622">
        <f>TEST_DATA!E6622</f>
        <v>1441</v>
      </c>
    </row>
    <row r="6623" spans="1:5" x14ac:dyDescent="0.55000000000000004">
      <c r="A6623" t="str">
        <f>TEST_DATA!A6623</f>
        <v>27AAAAA6623Z5</v>
      </c>
      <c r="B6623" t="str">
        <f>TEST_DATA!B6623</f>
        <v>Sep-2018</v>
      </c>
      <c r="C6623">
        <f>TEST_DATA!C6623</f>
        <v>43942</v>
      </c>
      <c r="D6623" t="str">
        <f>TEST_DATA!D6623</f>
        <v>NIL</v>
      </c>
      <c r="E6623">
        <f>TEST_DATA!E6623</f>
        <v>60</v>
      </c>
    </row>
    <row r="6624" spans="1:5" x14ac:dyDescent="0.55000000000000004">
      <c r="A6624" t="str">
        <f>TEST_DATA!A6624</f>
        <v>27AAAAA6624Z5</v>
      </c>
      <c r="B6624" t="str">
        <f>TEST_DATA!B6624</f>
        <v>Dec-2017</v>
      </c>
      <c r="C6624">
        <f>TEST_DATA!C6624</f>
        <v>44250</v>
      </c>
      <c r="D6624" t="str">
        <f>TEST_DATA!D6624</f>
        <v>NON-NIL</v>
      </c>
      <c r="E6624">
        <f>TEST_DATA!E6624</f>
        <v>2740</v>
      </c>
    </row>
    <row r="6625" spans="1:5" x14ac:dyDescent="0.55000000000000004">
      <c r="A6625" t="str">
        <f>TEST_DATA!A6625</f>
        <v>27AAAAA6625Z5</v>
      </c>
      <c r="B6625" t="str">
        <f>TEST_DATA!B6625</f>
        <v>Mar-2023</v>
      </c>
      <c r="C6625">
        <f>TEST_DATA!C6625</f>
        <v>44666</v>
      </c>
      <c r="D6625" t="str">
        <f>TEST_DATA!D6625</f>
        <v>NIL</v>
      </c>
      <c r="E6625">
        <f>TEST_DATA!E6625</f>
        <v>552</v>
      </c>
    </row>
    <row r="6626" spans="1:5" x14ac:dyDescent="0.55000000000000004">
      <c r="A6626" t="str">
        <f>TEST_DATA!A6626</f>
        <v>27AAAAA6626Z5</v>
      </c>
      <c r="B6626" t="str">
        <f>TEST_DATA!B6626</f>
        <v>Jan-2018</v>
      </c>
      <c r="C6626">
        <f>TEST_DATA!C6626</f>
        <v>43726</v>
      </c>
      <c r="D6626" t="str">
        <f>TEST_DATA!D6626</f>
        <v>NIL</v>
      </c>
      <c r="E6626">
        <f>TEST_DATA!E6626</f>
        <v>664</v>
      </c>
    </row>
    <row r="6627" spans="1:5" x14ac:dyDescent="0.55000000000000004">
      <c r="A6627" t="str">
        <f>TEST_DATA!A6627</f>
        <v>27AAAAA6627Z5</v>
      </c>
      <c r="B6627" t="str">
        <f>TEST_DATA!B6627</f>
        <v>Dec-2022</v>
      </c>
      <c r="C6627">
        <f>TEST_DATA!C6627</f>
        <v>43963</v>
      </c>
      <c r="D6627" t="str">
        <f>TEST_DATA!D6627</f>
        <v>NON-NIL</v>
      </c>
      <c r="E6627">
        <f>TEST_DATA!E6627</f>
        <v>2396</v>
      </c>
    </row>
    <row r="6628" spans="1:5" x14ac:dyDescent="0.55000000000000004">
      <c r="A6628" t="str">
        <f>TEST_DATA!A6628</f>
        <v>27AAAAA6628Z5</v>
      </c>
      <c r="B6628" t="str">
        <f>TEST_DATA!B6628</f>
        <v>Aug-2017</v>
      </c>
      <c r="C6628">
        <f>TEST_DATA!C6628</f>
        <v>44533</v>
      </c>
      <c r="D6628" t="str">
        <f>TEST_DATA!D6628</f>
        <v>NON-NIL</v>
      </c>
      <c r="E6628">
        <f>TEST_DATA!E6628</f>
        <v>2467</v>
      </c>
    </row>
    <row r="6629" spans="1:5" x14ac:dyDescent="0.55000000000000004">
      <c r="A6629" t="str">
        <f>TEST_DATA!A6629</f>
        <v>27AAAAA6629Z5</v>
      </c>
      <c r="B6629" t="str">
        <f>TEST_DATA!B6629</f>
        <v>Jun-2020</v>
      </c>
      <c r="C6629">
        <f>TEST_DATA!C6629</f>
        <v>44614</v>
      </c>
      <c r="D6629" t="str">
        <f>TEST_DATA!D6629</f>
        <v>NON-NIL</v>
      </c>
      <c r="E6629">
        <f>TEST_DATA!E6629</f>
        <v>1867</v>
      </c>
    </row>
    <row r="6630" spans="1:5" x14ac:dyDescent="0.55000000000000004">
      <c r="A6630" t="str">
        <f>TEST_DATA!A6630</f>
        <v>27AAAAA6630Z5</v>
      </c>
      <c r="B6630" t="str">
        <f>TEST_DATA!B6630</f>
        <v>Mar-2018</v>
      </c>
      <c r="C6630">
        <f>TEST_DATA!C6630</f>
        <v>43732</v>
      </c>
      <c r="D6630" t="str">
        <f>TEST_DATA!D6630</f>
        <v>NON-NIL</v>
      </c>
      <c r="E6630">
        <f>TEST_DATA!E6630</f>
        <v>81</v>
      </c>
    </row>
    <row r="6631" spans="1:5" x14ac:dyDescent="0.55000000000000004">
      <c r="A6631" t="str">
        <f>TEST_DATA!A6631</f>
        <v>27AAAAA6631Z5</v>
      </c>
      <c r="B6631" t="str">
        <f>TEST_DATA!B6631</f>
        <v>Jul-2018</v>
      </c>
      <c r="C6631">
        <f>TEST_DATA!C6631</f>
        <v>44557</v>
      </c>
      <c r="D6631" t="str">
        <f>TEST_DATA!D6631</f>
        <v>NON-NIL</v>
      </c>
      <c r="E6631">
        <f>TEST_DATA!E6631</f>
        <v>2794</v>
      </c>
    </row>
    <row r="6632" spans="1:5" x14ac:dyDescent="0.55000000000000004">
      <c r="A6632" t="str">
        <f>TEST_DATA!A6632</f>
        <v>27AAAAA6632Z5</v>
      </c>
      <c r="B6632" t="str">
        <f>TEST_DATA!B6632</f>
        <v>Jun-2020</v>
      </c>
      <c r="C6632">
        <f>TEST_DATA!C6632</f>
        <v>44561</v>
      </c>
      <c r="D6632" t="str">
        <f>TEST_DATA!D6632</f>
        <v>NIL</v>
      </c>
      <c r="E6632">
        <f>TEST_DATA!E6632</f>
        <v>1789</v>
      </c>
    </row>
    <row r="6633" spans="1:5" x14ac:dyDescent="0.55000000000000004">
      <c r="A6633" t="str">
        <f>TEST_DATA!A6633</f>
        <v>27AAAAA6633Z5</v>
      </c>
      <c r="B6633" t="str">
        <f>TEST_DATA!B6633</f>
        <v>Apr-2020</v>
      </c>
      <c r="C6633">
        <f>TEST_DATA!C6633</f>
        <v>44073</v>
      </c>
      <c r="D6633" t="str">
        <f>TEST_DATA!D6633</f>
        <v>NIL</v>
      </c>
      <c r="E6633">
        <f>TEST_DATA!E6633</f>
        <v>2367</v>
      </c>
    </row>
    <row r="6634" spans="1:5" x14ac:dyDescent="0.55000000000000004">
      <c r="A6634" t="str">
        <f>TEST_DATA!A6634</f>
        <v>27AAAAA6634Z5</v>
      </c>
      <c r="B6634" t="str">
        <f>TEST_DATA!B6634</f>
        <v>Mar-2023</v>
      </c>
      <c r="C6634">
        <f>TEST_DATA!C6634</f>
        <v>44959</v>
      </c>
      <c r="D6634" t="str">
        <f>TEST_DATA!D6634</f>
        <v>NIL</v>
      </c>
      <c r="E6634">
        <f>TEST_DATA!E6634</f>
        <v>366</v>
      </c>
    </row>
    <row r="6635" spans="1:5" x14ac:dyDescent="0.55000000000000004">
      <c r="A6635" t="str">
        <f>TEST_DATA!A6635</f>
        <v>27AAAAA6635Z5</v>
      </c>
      <c r="B6635" t="str">
        <f>TEST_DATA!B6635</f>
        <v>May-2018</v>
      </c>
      <c r="C6635">
        <f>TEST_DATA!C6635</f>
        <v>43029</v>
      </c>
      <c r="D6635" t="str">
        <f>TEST_DATA!D6635</f>
        <v>NIL</v>
      </c>
      <c r="E6635">
        <f>TEST_DATA!E6635</f>
        <v>1665</v>
      </c>
    </row>
    <row r="6636" spans="1:5" x14ac:dyDescent="0.55000000000000004">
      <c r="A6636" t="str">
        <f>TEST_DATA!A6636</f>
        <v>27AAAAA6636Z5</v>
      </c>
      <c r="B6636" t="str">
        <f>TEST_DATA!B6636</f>
        <v>Dec-2024</v>
      </c>
      <c r="C6636">
        <f>TEST_DATA!C6636</f>
        <v>44687</v>
      </c>
      <c r="D6636" t="str">
        <f>TEST_DATA!D6636</f>
        <v>NIL</v>
      </c>
      <c r="E6636">
        <f>TEST_DATA!E6636</f>
        <v>1590</v>
      </c>
    </row>
    <row r="6637" spans="1:5" x14ac:dyDescent="0.55000000000000004">
      <c r="A6637" t="str">
        <f>TEST_DATA!A6637</f>
        <v>27AAAAA6637Z5</v>
      </c>
      <c r="B6637" t="str">
        <f>TEST_DATA!B6637</f>
        <v>Sep-2017</v>
      </c>
      <c r="C6637">
        <f>TEST_DATA!C6637</f>
        <v>42926</v>
      </c>
      <c r="D6637" t="str">
        <f>TEST_DATA!D6637</f>
        <v>NON-NIL</v>
      </c>
      <c r="E6637">
        <f>TEST_DATA!E6637</f>
        <v>39</v>
      </c>
    </row>
    <row r="6638" spans="1:5" x14ac:dyDescent="0.55000000000000004">
      <c r="A6638" t="str">
        <f>TEST_DATA!A6638</f>
        <v>27AAAAA6638Z5</v>
      </c>
      <c r="B6638" t="str">
        <f>TEST_DATA!B6638</f>
        <v>Jan-2018</v>
      </c>
      <c r="C6638">
        <f>TEST_DATA!C6638</f>
        <v>43321</v>
      </c>
      <c r="D6638" t="str">
        <f>TEST_DATA!D6638</f>
        <v>NON-NIL</v>
      </c>
      <c r="E6638">
        <f>TEST_DATA!E6638</f>
        <v>190</v>
      </c>
    </row>
    <row r="6639" spans="1:5" x14ac:dyDescent="0.55000000000000004">
      <c r="A6639" t="str">
        <f>TEST_DATA!A6639</f>
        <v>27AAAAA6639Z5</v>
      </c>
      <c r="B6639" t="str">
        <f>TEST_DATA!B6639</f>
        <v>Dec-2022</v>
      </c>
      <c r="C6639">
        <f>TEST_DATA!C6639</f>
        <v>45606</v>
      </c>
      <c r="D6639" t="str">
        <f>TEST_DATA!D6639</f>
        <v>NON-NIL</v>
      </c>
      <c r="E6639">
        <f>TEST_DATA!E6639</f>
        <v>641</v>
      </c>
    </row>
    <row r="6640" spans="1:5" x14ac:dyDescent="0.55000000000000004">
      <c r="A6640" t="str">
        <f>TEST_DATA!A6640</f>
        <v>27AAAAA6640Z5</v>
      </c>
      <c r="B6640" t="str">
        <f>TEST_DATA!B6640</f>
        <v>Apr-2018</v>
      </c>
      <c r="C6640">
        <f>TEST_DATA!C6640</f>
        <v>43350</v>
      </c>
      <c r="D6640" t="str">
        <f>TEST_DATA!D6640</f>
        <v>NIL</v>
      </c>
      <c r="E6640">
        <f>TEST_DATA!E6640</f>
        <v>2539</v>
      </c>
    </row>
    <row r="6641" spans="1:5" x14ac:dyDescent="0.55000000000000004">
      <c r="A6641" t="str">
        <f>TEST_DATA!A6641</f>
        <v>27AAAAA6641Z5</v>
      </c>
      <c r="B6641" t="str">
        <f>TEST_DATA!B6641</f>
        <v>Dec-2019</v>
      </c>
      <c r="C6641">
        <f>TEST_DATA!C6641</f>
        <v>44375</v>
      </c>
      <c r="D6641" t="str">
        <f>TEST_DATA!D6641</f>
        <v>NIL</v>
      </c>
      <c r="E6641">
        <f>TEST_DATA!E6641</f>
        <v>1181</v>
      </c>
    </row>
    <row r="6642" spans="1:5" x14ac:dyDescent="0.55000000000000004">
      <c r="A6642" t="str">
        <f>TEST_DATA!A6642</f>
        <v>27AAAAA6642Z5</v>
      </c>
      <c r="B6642" t="str">
        <f>TEST_DATA!B6642</f>
        <v>Dec-2019</v>
      </c>
      <c r="C6642">
        <f>TEST_DATA!C6642</f>
        <v>44665</v>
      </c>
      <c r="D6642" t="str">
        <f>TEST_DATA!D6642</f>
        <v>NIL</v>
      </c>
      <c r="E6642">
        <f>TEST_DATA!E6642</f>
        <v>902</v>
      </c>
    </row>
    <row r="6643" spans="1:5" x14ac:dyDescent="0.55000000000000004">
      <c r="A6643" t="str">
        <f>TEST_DATA!A6643</f>
        <v>27AAAAA6643Z5</v>
      </c>
      <c r="B6643" t="str">
        <f>TEST_DATA!B6643</f>
        <v>Jul-2017</v>
      </c>
      <c r="C6643">
        <f>TEST_DATA!C6643</f>
        <v>42937</v>
      </c>
      <c r="D6643" t="str">
        <f>TEST_DATA!D6643</f>
        <v>NON-NIL</v>
      </c>
      <c r="E6643">
        <f>TEST_DATA!E6643</f>
        <v>438</v>
      </c>
    </row>
    <row r="6644" spans="1:5" x14ac:dyDescent="0.55000000000000004">
      <c r="A6644" t="str">
        <f>TEST_DATA!A6644</f>
        <v>27AAAAA6644Z5</v>
      </c>
      <c r="B6644" t="str">
        <f>TEST_DATA!B6644</f>
        <v>Jan-2021</v>
      </c>
      <c r="C6644">
        <f>TEST_DATA!C6644</f>
        <v>45207</v>
      </c>
      <c r="D6644" t="str">
        <f>TEST_DATA!D6644</f>
        <v>NIL</v>
      </c>
      <c r="E6644">
        <f>TEST_DATA!E6644</f>
        <v>63</v>
      </c>
    </row>
    <row r="6645" spans="1:5" x14ac:dyDescent="0.55000000000000004">
      <c r="A6645" t="str">
        <f>TEST_DATA!A6645</f>
        <v>27AAAAA6645Z5</v>
      </c>
      <c r="B6645" t="str">
        <f>TEST_DATA!B6645</f>
        <v>May-2018</v>
      </c>
      <c r="C6645">
        <f>TEST_DATA!C6645</f>
        <v>43385</v>
      </c>
      <c r="D6645" t="str">
        <f>TEST_DATA!D6645</f>
        <v>NIL</v>
      </c>
      <c r="E6645">
        <f>TEST_DATA!E6645</f>
        <v>603</v>
      </c>
    </row>
    <row r="6646" spans="1:5" x14ac:dyDescent="0.55000000000000004">
      <c r="A6646" t="str">
        <f>TEST_DATA!A6646</f>
        <v>27AAAAA6646Z5</v>
      </c>
      <c r="B6646" t="str">
        <f>TEST_DATA!B6646</f>
        <v>Oct-2017</v>
      </c>
      <c r="C6646">
        <f>TEST_DATA!C6646</f>
        <v>43671</v>
      </c>
      <c r="D6646" t="str">
        <f>TEST_DATA!D6646</f>
        <v>NIL</v>
      </c>
      <c r="E6646">
        <f>TEST_DATA!E6646</f>
        <v>1544</v>
      </c>
    </row>
    <row r="6647" spans="1:5" x14ac:dyDescent="0.55000000000000004">
      <c r="A6647" t="str">
        <f>TEST_DATA!A6647</f>
        <v>27AAAAA6647Z5</v>
      </c>
      <c r="B6647" t="str">
        <f>TEST_DATA!B6647</f>
        <v>Jan-2019</v>
      </c>
      <c r="C6647">
        <f>TEST_DATA!C6647</f>
        <v>44959</v>
      </c>
      <c r="D6647" t="str">
        <f>TEST_DATA!D6647</f>
        <v>NON-NIL</v>
      </c>
      <c r="E6647">
        <f>TEST_DATA!E6647</f>
        <v>2860</v>
      </c>
    </row>
    <row r="6648" spans="1:5" x14ac:dyDescent="0.55000000000000004">
      <c r="A6648" t="str">
        <f>TEST_DATA!A6648</f>
        <v>27AAAAA6648Z5</v>
      </c>
      <c r="B6648" t="str">
        <f>TEST_DATA!B6648</f>
        <v>Apr-2018</v>
      </c>
      <c r="C6648">
        <f>TEST_DATA!C6648</f>
        <v>43744</v>
      </c>
      <c r="D6648" t="str">
        <f>TEST_DATA!D6648</f>
        <v>NIL</v>
      </c>
      <c r="E6648">
        <f>TEST_DATA!E6648</f>
        <v>946</v>
      </c>
    </row>
    <row r="6649" spans="1:5" x14ac:dyDescent="0.55000000000000004">
      <c r="A6649" t="str">
        <f>TEST_DATA!A6649</f>
        <v>27AAAAA6649Z5</v>
      </c>
      <c r="B6649" t="str">
        <f>TEST_DATA!B6649</f>
        <v>Jun-2020</v>
      </c>
      <c r="C6649">
        <f>TEST_DATA!C6649</f>
        <v>44506</v>
      </c>
      <c r="D6649" t="str">
        <f>TEST_DATA!D6649</f>
        <v>NIL</v>
      </c>
      <c r="E6649">
        <f>TEST_DATA!E6649</f>
        <v>1269</v>
      </c>
    </row>
    <row r="6650" spans="1:5" x14ac:dyDescent="0.55000000000000004">
      <c r="A6650" t="str">
        <f>TEST_DATA!A6650</f>
        <v>27AAAAA6650Z5</v>
      </c>
      <c r="B6650" t="str">
        <f>TEST_DATA!B6650</f>
        <v>Dec-2019</v>
      </c>
      <c r="C6650">
        <f>TEST_DATA!C6650</f>
        <v>43837</v>
      </c>
      <c r="D6650" t="str">
        <f>TEST_DATA!D6650</f>
        <v>NIL</v>
      </c>
      <c r="E6650">
        <f>TEST_DATA!E6650</f>
        <v>12</v>
      </c>
    </row>
    <row r="6651" spans="1:5" x14ac:dyDescent="0.55000000000000004">
      <c r="A6651" t="str">
        <f>TEST_DATA!A6651</f>
        <v>27AAAAA6651Z5</v>
      </c>
      <c r="B6651" t="str">
        <f>TEST_DATA!B6651</f>
        <v>May-2018</v>
      </c>
      <c r="C6651">
        <f>TEST_DATA!C6651</f>
        <v>42951</v>
      </c>
      <c r="D6651" t="str">
        <f>TEST_DATA!D6651</f>
        <v>NIL</v>
      </c>
      <c r="E6651">
        <f>TEST_DATA!E6651</f>
        <v>1131</v>
      </c>
    </row>
    <row r="6652" spans="1:5" x14ac:dyDescent="0.55000000000000004">
      <c r="A6652" t="str">
        <f>TEST_DATA!A6652</f>
        <v>27AAAAA6652Z5</v>
      </c>
      <c r="B6652" t="str">
        <f>TEST_DATA!B6652</f>
        <v>Jan-2019</v>
      </c>
      <c r="C6652">
        <f>TEST_DATA!C6652</f>
        <v>45188</v>
      </c>
      <c r="D6652" t="str">
        <f>TEST_DATA!D6652</f>
        <v>NON-NIL</v>
      </c>
      <c r="E6652">
        <f>TEST_DATA!E6652</f>
        <v>636</v>
      </c>
    </row>
    <row r="6653" spans="1:5" x14ac:dyDescent="0.55000000000000004">
      <c r="A6653" t="str">
        <f>TEST_DATA!A6653</f>
        <v>27AAAAA6653Z5</v>
      </c>
      <c r="B6653" t="str">
        <f>TEST_DATA!B6653</f>
        <v>Jan-2019</v>
      </c>
      <c r="C6653">
        <f>TEST_DATA!C6653</f>
        <v>45536</v>
      </c>
      <c r="D6653" t="str">
        <f>TEST_DATA!D6653</f>
        <v>NON-NIL</v>
      </c>
      <c r="E6653">
        <f>TEST_DATA!E6653</f>
        <v>500</v>
      </c>
    </row>
    <row r="6654" spans="1:5" x14ac:dyDescent="0.55000000000000004">
      <c r="A6654" t="str">
        <f>TEST_DATA!A6654</f>
        <v>27AAAAA6654Z5</v>
      </c>
      <c r="B6654" t="str">
        <f>TEST_DATA!B6654</f>
        <v>May-2018</v>
      </c>
      <c r="C6654">
        <f>TEST_DATA!C6654</f>
        <v>43884</v>
      </c>
      <c r="D6654" t="str">
        <f>TEST_DATA!D6654</f>
        <v>NIL</v>
      </c>
      <c r="E6654">
        <f>TEST_DATA!E6654</f>
        <v>2260</v>
      </c>
    </row>
    <row r="6655" spans="1:5" x14ac:dyDescent="0.55000000000000004">
      <c r="A6655" t="str">
        <f>TEST_DATA!A6655</f>
        <v>27AAAAA6655Z5</v>
      </c>
      <c r="B6655" t="str">
        <f>TEST_DATA!B6655</f>
        <v>May-2018</v>
      </c>
      <c r="C6655">
        <f>TEST_DATA!C6655</f>
        <v>43574</v>
      </c>
      <c r="D6655" t="str">
        <f>TEST_DATA!D6655</f>
        <v>NIL</v>
      </c>
      <c r="E6655">
        <f>TEST_DATA!E6655</f>
        <v>560</v>
      </c>
    </row>
    <row r="6656" spans="1:5" x14ac:dyDescent="0.55000000000000004">
      <c r="A6656" t="str">
        <f>TEST_DATA!A6656</f>
        <v>27AAAAA6656Z5</v>
      </c>
      <c r="B6656" t="str">
        <f>TEST_DATA!B6656</f>
        <v>Dec-2019</v>
      </c>
      <c r="C6656">
        <f>TEST_DATA!C6656</f>
        <v>43778</v>
      </c>
      <c r="D6656" t="str">
        <f>TEST_DATA!D6656</f>
        <v>NON-NIL</v>
      </c>
      <c r="E6656">
        <f>TEST_DATA!E6656</f>
        <v>2018</v>
      </c>
    </row>
    <row r="6657" spans="1:5" x14ac:dyDescent="0.55000000000000004">
      <c r="A6657" t="str">
        <f>TEST_DATA!A6657</f>
        <v>27AAAAA6657Z5</v>
      </c>
      <c r="B6657" t="str">
        <f>TEST_DATA!B6657</f>
        <v>May-2018</v>
      </c>
      <c r="C6657">
        <f>TEST_DATA!C6657</f>
        <v>43118</v>
      </c>
      <c r="D6657" t="str">
        <f>TEST_DATA!D6657</f>
        <v>NIL</v>
      </c>
      <c r="E6657">
        <f>TEST_DATA!E6657</f>
        <v>959</v>
      </c>
    </row>
    <row r="6658" spans="1:5" x14ac:dyDescent="0.55000000000000004">
      <c r="A6658" t="str">
        <f>TEST_DATA!A6658</f>
        <v>27AAAAA6658Z5</v>
      </c>
      <c r="B6658" t="str">
        <f>TEST_DATA!B6658</f>
        <v>Mar-2020</v>
      </c>
      <c r="C6658">
        <f>TEST_DATA!C6658</f>
        <v>44593</v>
      </c>
      <c r="D6658" t="str">
        <f>TEST_DATA!D6658</f>
        <v>NON-NIL</v>
      </c>
      <c r="E6658">
        <f>TEST_DATA!E6658</f>
        <v>2075</v>
      </c>
    </row>
    <row r="6659" spans="1:5" x14ac:dyDescent="0.55000000000000004">
      <c r="A6659" t="str">
        <f>TEST_DATA!A6659</f>
        <v>27AAAAA6659Z5</v>
      </c>
      <c r="B6659" t="str">
        <f>TEST_DATA!B6659</f>
        <v>Oct-2017</v>
      </c>
      <c r="C6659">
        <f>TEST_DATA!C6659</f>
        <v>43616</v>
      </c>
      <c r="D6659" t="str">
        <f>TEST_DATA!D6659</f>
        <v>NON-NIL</v>
      </c>
      <c r="E6659">
        <f>TEST_DATA!E6659</f>
        <v>1063</v>
      </c>
    </row>
    <row r="6660" spans="1:5" x14ac:dyDescent="0.55000000000000004">
      <c r="A6660" t="str">
        <f>TEST_DATA!A6660</f>
        <v>27AAAAA6660Z5</v>
      </c>
      <c r="B6660" t="str">
        <f>TEST_DATA!B6660</f>
        <v>Nov-2017</v>
      </c>
      <c r="C6660">
        <f>TEST_DATA!C6660</f>
        <v>43687</v>
      </c>
      <c r="D6660" t="str">
        <f>TEST_DATA!D6660</f>
        <v>NIL</v>
      </c>
      <c r="E6660">
        <f>TEST_DATA!E6660</f>
        <v>2750</v>
      </c>
    </row>
    <row r="6661" spans="1:5" x14ac:dyDescent="0.55000000000000004">
      <c r="A6661" t="str">
        <f>TEST_DATA!A6661</f>
        <v>27AAAAA6661Z5</v>
      </c>
      <c r="B6661" t="str">
        <f>TEST_DATA!B6661</f>
        <v>Apr-2021</v>
      </c>
      <c r="C6661">
        <f>TEST_DATA!C6661</f>
        <v>45357</v>
      </c>
      <c r="D6661" t="str">
        <f>TEST_DATA!D6661</f>
        <v>NIL</v>
      </c>
      <c r="E6661">
        <f>TEST_DATA!E6661</f>
        <v>930</v>
      </c>
    </row>
    <row r="6662" spans="1:5" x14ac:dyDescent="0.55000000000000004">
      <c r="A6662" t="str">
        <f>TEST_DATA!A6662</f>
        <v>27AAAAA6662Z5</v>
      </c>
      <c r="B6662" t="str">
        <f>TEST_DATA!B6662</f>
        <v>Jan-2021</v>
      </c>
      <c r="C6662">
        <f>TEST_DATA!C6662</f>
        <v>45036</v>
      </c>
      <c r="D6662" t="str">
        <f>TEST_DATA!D6662</f>
        <v>NIL</v>
      </c>
      <c r="E6662">
        <f>TEST_DATA!E6662</f>
        <v>628</v>
      </c>
    </row>
    <row r="6663" spans="1:5" x14ac:dyDescent="0.55000000000000004">
      <c r="A6663" t="str">
        <f>TEST_DATA!A6663</f>
        <v>27AAAAA6663Z5</v>
      </c>
      <c r="B6663" t="str">
        <f>TEST_DATA!B6663</f>
        <v>Apr-2018</v>
      </c>
      <c r="C6663">
        <f>TEST_DATA!C6663</f>
        <v>44528</v>
      </c>
      <c r="D6663" t="str">
        <f>TEST_DATA!D6663</f>
        <v>NON-NIL</v>
      </c>
      <c r="E6663">
        <f>TEST_DATA!E6663</f>
        <v>1782</v>
      </c>
    </row>
    <row r="6664" spans="1:5" x14ac:dyDescent="0.55000000000000004">
      <c r="A6664" t="str">
        <f>TEST_DATA!A6664</f>
        <v>27AAAAA6664Z5</v>
      </c>
      <c r="B6664" t="str">
        <f>TEST_DATA!B6664</f>
        <v>Mar-2021</v>
      </c>
      <c r="C6664">
        <f>TEST_DATA!C6664</f>
        <v>44980</v>
      </c>
      <c r="D6664" t="str">
        <f>TEST_DATA!D6664</f>
        <v>NON-NIL</v>
      </c>
      <c r="E6664">
        <f>TEST_DATA!E6664</f>
        <v>1731</v>
      </c>
    </row>
    <row r="6665" spans="1:5" x14ac:dyDescent="0.55000000000000004">
      <c r="A6665" t="str">
        <f>TEST_DATA!A6665</f>
        <v>27AAAAA6665Z5</v>
      </c>
      <c r="B6665" t="str">
        <f>TEST_DATA!B6665</f>
        <v>Mar-2021</v>
      </c>
      <c r="C6665">
        <f>TEST_DATA!C6665</f>
        <v>45360</v>
      </c>
      <c r="D6665" t="str">
        <f>TEST_DATA!D6665</f>
        <v>NON-NIL</v>
      </c>
      <c r="E6665">
        <f>TEST_DATA!E6665</f>
        <v>578</v>
      </c>
    </row>
    <row r="6666" spans="1:5" x14ac:dyDescent="0.55000000000000004">
      <c r="A6666" t="str">
        <f>TEST_DATA!A6666</f>
        <v>27AAAAA6666Z5</v>
      </c>
      <c r="B6666" t="str">
        <f>TEST_DATA!B6666</f>
        <v>Aug-2017</v>
      </c>
      <c r="C6666">
        <f>TEST_DATA!C6666</f>
        <v>43650</v>
      </c>
      <c r="D6666" t="str">
        <f>TEST_DATA!D6666</f>
        <v>NIL</v>
      </c>
      <c r="E6666">
        <f>TEST_DATA!E6666</f>
        <v>1808</v>
      </c>
    </row>
    <row r="6667" spans="1:5" x14ac:dyDescent="0.55000000000000004">
      <c r="A6667" t="str">
        <f>TEST_DATA!A6667</f>
        <v>27AAAAA6667Z5</v>
      </c>
      <c r="B6667" t="str">
        <f>TEST_DATA!B6667</f>
        <v>Oct-2017</v>
      </c>
      <c r="C6667">
        <f>TEST_DATA!C6667</f>
        <v>42972</v>
      </c>
      <c r="D6667" t="str">
        <f>TEST_DATA!D6667</f>
        <v>NON-NIL</v>
      </c>
      <c r="E6667">
        <f>TEST_DATA!E6667</f>
        <v>833</v>
      </c>
    </row>
    <row r="6668" spans="1:5" x14ac:dyDescent="0.55000000000000004">
      <c r="A6668" t="str">
        <f>TEST_DATA!A6668</f>
        <v>27AAAAA6668Z5</v>
      </c>
      <c r="B6668" t="str">
        <f>TEST_DATA!B6668</f>
        <v>Aug-2017</v>
      </c>
      <c r="C6668">
        <f>TEST_DATA!C6668</f>
        <v>43941</v>
      </c>
      <c r="D6668" t="str">
        <f>TEST_DATA!D6668</f>
        <v>NON-NIL</v>
      </c>
      <c r="E6668">
        <f>TEST_DATA!E6668</f>
        <v>501</v>
      </c>
    </row>
    <row r="6669" spans="1:5" x14ac:dyDescent="0.55000000000000004">
      <c r="A6669" t="str">
        <f>TEST_DATA!A6669</f>
        <v>27AAAAA6669Z5</v>
      </c>
      <c r="B6669" t="str">
        <f>TEST_DATA!B6669</f>
        <v>Jun-2018</v>
      </c>
      <c r="C6669">
        <f>TEST_DATA!C6669</f>
        <v>43703</v>
      </c>
      <c r="D6669" t="str">
        <f>TEST_DATA!D6669</f>
        <v>NON-NIL</v>
      </c>
      <c r="E6669">
        <f>TEST_DATA!E6669</f>
        <v>2671</v>
      </c>
    </row>
    <row r="6670" spans="1:5" x14ac:dyDescent="0.55000000000000004">
      <c r="A6670" t="str">
        <f>TEST_DATA!A6670</f>
        <v>27AAAAA6670Z5</v>
      </c>
      <c r="B6670" t="str">
        <f>TEST_DATA!B6670</f>
        <v>Jan-2019</v>
      </c>
      <c r="C6670">
        <f>TEST_DATA!C6670</f>
        <v>45643</v>
      </c>
      <c r="D6670" t="str">
        <f>TEST_DATA!D6670</f>
        <v>NIL</v>
      </c>
      <c r="E6670">
        <f>TEST_DATA!E6670</f>
        <v>1970</v>
      </c>
    </row>
    <row r="6671" spans="1:5" x14ac:dyDescent="0.55000000000000004">
      <c r="A6671" t="str">
        <f>TEST_DATA!A6671</f>
        <v>27AAAAA6671Z5</v>
      </c>
      <c r="B6671" t="str">
        <f>TEST_DATA!B6671</f>
        <v>Jun-2020</v>
      </c>
      <c r="C6671">
        <f>TEST_DATA!C6671</f>
        <v>43956</v>
      </c>
      <c r="D6671" t="str">
        <f>TEST_DATA!D6671</f>
        <v>NIL</v>
      </c>
      <c r="E6671">
        <f>TEST_DATA!E6671</f>
        <v>400</v>
      </c>
    </row>
    <row r="6672" spans="1:5" x14ac:dyDescent="0.55000000000000004">
      <c r="A6672" t="str">
        <f>TEST_DATA!A6672</f>
        <v>27AAAAA6672Z5</v>
      </c>
      <c r="B6672" t="str">
        <f>TEST_DATA!B6672</f>
        <v>Jan-2019</v>
      </c>
      <c r="C6672">
        <f>TEST_DATA!C6672</f>
        <v>44768</v>
      </c>
      <c r="D6672" t="str">
        <f>TEST_DATA!D6672</f>
        <v>NON-NIL</v>
      </c>
      <c r="E6672">
        <f>TEST_DATA!E6672</f>
        <v>934</v>
      </c>
    </row>
    <row r="6673" spans="1:5" x14ac:dyDescent="0.55000000000000004">
      <c r="A6673" t="str">
        <f>TEST_DATA!A6673</f>
        <v>27AAAAA6673Z5</v>
      </c>
      <c r="B6673" t="str">
        <f>TEST_DATA!B6673</f>
        <v>Jun-2019</v>
      </c>
      <c r="C6673">
        <f>TEST_DATA!C6673</f>
        <v>43531</v>
      </c>
      <c r="D6673" t="str">
        <f>TEST_DATA!D6673</f>
        <v>NIL</v>
      </c>
      <c r="E6673">
        <f>TEST_DATA!E6673</f>
        <v>1811</v>
      </c>
    </row>
    <row r="6674" spans="1:5" x14ac:dyDescent="0.55000000000000004">
      <c r="A6674" t="str">
        <f>TEST_DATA!A6674</f>
        <v>27AAAAA6674Z5</v>
      </c>
      <c r="B6674" t="str">
        <f>TEST_DATA!B6674</f>
        <v>Apr-2018</v>
      </c>
      <c r="C6674">
        <f>TEST_DATA!C6674</f>
        <v>43066</v>
      </c>
      <c r="D6674" t="str">
        <f>TEST_DATA!D6674</f>
        <v>NON-NIL</v>
      </c>
      <c r="E6674">
        <f>TEST_DATA!E6674</f>
        <v>2061</v>
      </c>
    </row>
    <row r="6675" spans="1:5" x14ac:dyDescent="0.55000000000000004">
      <c r="A6675" t="str">
        <f>TEST_DATA!A6675</f>
        <v>27AAAAA6675Z5</v>
      </c>
      <c r="B6675" t="str">
        <f>TEST_DATA!B6675</f>
        <v>Mar-2023</v>
      </c>
      <c r="C6675">
        <f>TEST_DATA!C6675</f>
        <v>44794</v>
      </c>
      <c r="D6675" t="str">
        <f>TEST_DATA!D6675</f>
        <v>NON-NIL</v>
      </c>
      <c r="E6675">
        <f>TEST_DATA!E6675</f>
        <v>2751</v>
      </c>
    </row>
    <row r="6676" spans="1:5" x14ac:dyDescent="0.55000000000000004">
      <c r="A6676" t="str">
        <f>TEST_DATA!A6676</f>
        <v>27AAAAA6676Z5</v>
      </c>
      <c r="B6676" t="str">
        <f>TEST_DATA!B6676</f>
        <v>Dec-2017</v>
      </c>
      <c r="C6676">
        <f>TEST_DATA!C6676</f>
        <v>43702</v>
      </c>
      <c r="D6676" t="str">
        <f>TEST_DATA!D6676</f>
        <v>NIL</v>
      </c>
      <c r="E6676">
        <f>TEST_DATA!E6676</f>
        <v>663</v>
      </c>
    </row>
    <row r="6677" spans="1:5" x14ac:dyDescent="0.55000000000000004">
      <c r="A6677" t="str">
        <f>TEST_DATA!A6677</f>
        <v>27AAAAA6677Z5</v>
      </c>
      <c r="B6677" t="str">
        <f>TEST_DATA!B6677</f>
        <v>Mar-2020</v>
      </c>
      <c r="C6677">
        <f>TEST_DATA!C6677</f>
        <v>44184</v>
      </c>
      <c r="D6677" t="str">
        <f>TEST_DATA!D6677</f>
        <v>NON-NIL</v>
      </c>
      <c r="E6677">
        <f>TEST_DATA!E6677</f>
        <v>1063</v>
      </c>
    </row>
    <row r="6678" spans="1:5" x14ac:dyDescent="0.55000000000000004">
      <c r="A6678" t="str">
        <f>TEST_DATA!A6678</f>
        <v>27AAAAA6678Z5</v>
      </c>
      <c r="B6678" t="str">
        <f>TEST_DATA!B6678</f>
        <v>Mar-2021</v>
      </c>
      <c r="C6678">
        <f>TEST_DATA!C6678</f>
        <v>45081</v>
      </c>
      <c r="D6678" t="str">
        <f>TEST_DATA!D6678</f>
        <v>NON-NIL</v>
      </c>
      <c r="E6678">
        <f>TEST_DATA!E6678</f>
        <v>604</v>
      </c>
    </row>
    <row r="6679" spans="1:5" x14ac:dyDescent="0.55000000000000004">
      <c r="A6679" t="str">
        <f>TEST_DATA!A6679</f>
        <v>27AAAAA6679Z5</v>
      </c>
      <c r="B6679" t="str">
        <f>TEST_DATA!B6679</f>
        <v>Dec-2024</v>
      </c>
      <c r="C6679">
        <f>TEST_DATA!C6679</f>
        <v>45312</v>
      </c>
      <c r="D6679" t="str">
        <f>TEST_DATA!D6679</f>
        <v>NIL</v>
      </c>
      <c r="E6679">
        <f>TEST_DATA!E6679</f>
        <v>2273</v>
      </c>
    </row>
    <row r="6680" spans="1:5" x14ac:dyDescent="0.55000000000000004">
      <c r="A6680" t="str">
        <f>TEST_DATA!A6680</f>
        <v>27AAAAA6680Z5</v>
      </c>
      <c r="B6680" t="str">
        <f>TEST_DATA!B6680</f>
        <v>Jun-2019</v>
      </c>
      <c r="C6680">
        <f>TEST_DATA!C6680</f>
        <v>44695</v>
      </c>
      <c r="D6680" t="str">
        <f>TEST_DATA!D6680</f>
        <v>NIL</v>
      </c>
      <c r="E6680">
        <f>TEST_DATA!E6680</f>
        <v>1837</v>
      </c>
    </row>
    <row r="6681" spans="1:5" x14ac:dyDescent="0.55000000000000004">
      <c r="A6681" t="str">
        <f>TEST_DATA!A6681</f>
        <v>27AAAAA6681Z5</v>
      </c>
      <c r="B6681" t="str">
        <f>TEST_DATA!B6681</f>
        <v>Aug-2018</v>
      </c>
      <c r="C6681">
        <f>TEST_DATA!C6681</f>
        <v>43794</v>
      </c>
      <c r="D6681" t="str">
        <f>TEST_DATA!D6681</f>
        <v>NON-NIL</v>
      </c>
      <c r="E6681">
        <f>TEST_DATA!E6681</f>
        <v>557</v>
      </c>
    </row>
    <row r="6682" spans="1:5" x14ac:dyDescent="0.55000000000000004">
      <c r="A6682" t="str">
        <f>TEST_DATA!A6682</f>
        <v>27AAAAA6682Z5</v>
      </c>
      <c r="B6682" t="str">
        <f>TEST_DATA!B6682</f>
        <v>Jul-2017</v>
      </c>
      <c r="C6682">
        <f>TEST_DATA!C6682</f>
        <v>43829</v>
      </c>
      <c r="D6682" t="str">
        <f>TEST_DATA!D6682</f>
        <v>NON-NIL</v>
      </c>
      <c r="E6682">
        <f>TEST_DATA!E6682</f>
        <v>2798</v>
      </c>
    </row>
    <row r="6683" spans="1:5" x14ac:dyDescent="0.55000000000000004">
      <c r="A6683" t="str">
        <f>TEST_DATA!A6683</f>
        <v>27AAAAA6683Z5</v>
      </c>
      <c r="B6683" t="str">
        <f>TEST_DATA!B6683</f>
        <v>Jan-2018</v>
      </c>
      <c r="C6683">
        <f>TEST_DATA!C6683</f>
        <v>43211</v>
      </c>
      <c r="D6683" t="str">
        <f>TEST_DATA!D6683</f>
        <v>NON-NIL</v>
      </c>
      <c r="E6683">
        <f>TEST_DATA!E6683</f>
        <v>276</v>
      </c>
    </row>
    <row r="6684" spans="1:5" x14ac:dyDescent="0.55000000000000004">
      <c r="A6684" t="str">
        <f>TEST_DATA!A6684</f>
        <v>27AAAAA6684Z5</v>
      </c>
      <c r="B6684" t="str">
        <f>TEST_DATA!B6684</f>
        <v>Mar-2023</v>
      </c>
      <c r="C6684">
        <f>TEST_DATA!C6684</f>
        <v>44311</v>
      </c>
      <c r="D6684" t="str">
        <f>TEST_DATA!D6684</f>
        <v>NON-NIL</v>
      </c>
      <c r="E6684">
        <f>TEST_DATA!E6684</f>
        <v>852</v>
      </c>
    </row>
    <row r="6685" spans="1:5" x14ac:dyDescent="0.55000000000000004">
      <c r="A6685" t="str">
        <f>TEST_DATA!A6685</f>
        <v>27AAAAA6685Z5</v>
      </c>
      <c r="B6685" t="str">
        <f>TEST_DATA!B6685</f>
        <v>Jan-2021</v>
      </c>
      <c r="C6685">
        <f>TEST_DATA!C6685</f>
        <v>45712</v>
      </c>
      <c r="D6685" t="str">
        <f>TEST_DATA!D6685</f>
        <v>NON-NIL</v>
      </c>
      <c r="E6685">
        <f>TEST_DATA!E6685</f>
        <v>1949</v>
      </c>
    </row>
    <row r="6686" spans="1:5" x14ac:dyDescent="0.55000000000000004">
      <c r="A6686" t="str">
        <f>TEST_DATA!A6686</f>
        <v>27AAAAA6686Z5</v>
      </c>
      <c r="B6686" t="str">
        <f>TEST_DATA!B6686</f>
        <v>Aug-2018</v>
      </c>
      <c r="C6686">
        <f>TEST_DATA!C6686</f>
        <v>44333</v>
      </c>
      <c r="D6686" t="str">
        <f>TEST_DATA!D6686</f>
        <v>NIL</v>
      </c>
      <c r="E6686">
        <f>TEST_DATA!E6686</f>
        <v>1466</v>
      </c>
    </row>
    <row r="6687" spans="1:5" x14ac:dyDescent="0.55000000000000004">
      <c r="A6687" t="str">
        <f>TEST_DATA!A6687</f>
        <v>27AAAAA6687Z5</v>
      </c>
      <c r="B6687" t="str">
        <f>TEST_DATA!B6687</f>
        <v>Apr-2020</v>
      </c>
      <c r="C6687">
        <f>TEST_DATA!C6687</f>
        <v>44087</v>
      </c>
      <c r="D6687" t="str">
        <f>TEST_DATA!D6687</f>
        <v>NIL</v>
      </c>
      <c r="E6687">
        <f>TEST_DATA!E6687</f>
        <v>2166</v>
      </c>
    </row>
    <row r="6688" spans="1:5" x14ac:dyDescent="0.55000000000000004">
      <c r="A6688" t="str">
        <f>TEST_DATA!A6688</f>
        <v>27AAAAA6688Z5</v>
      </c>
      <c r="B6688" t="str">
        <f>TEST_DATA!B6688</f>
        <v>Aug-2018</v>
      </c>
      <c r="C6688">
        <f>TEST_DATA!C6688</f>
        <v>44395</v>
      </c>
      <c r="D6688" t="str">
        <f>TEST_DATA!D6688</f>
        <v>NON-NIL</v>
      </c>
      <c r="E6688">
        <f>TEST_DATA!E6688</f>
        <v>2487</v>
      </c>
    </row>
    <row r="6689" spans="1:5" x14ac:dyDescent="0.55000000000000004">
      <c r="A6689" t="str">
        <f>TEST_DATA!A6689</f>
        <v>27AAAAA6689Z5</v>
      </c>
      <c r="B6689" t="str">
        <f>TEST_DATA!B6689</f>
        <v>Aug-2017</v>
      </c>
      <c r="C6689">
        <f>TEST_DATA!C6689</f>
        <v>43749</v>
      </c>
      <c r="D6689" t="str">
        <f>TEST_DATA!D6689</f>
        <v>NIL</v>
      </c>
      <c r="E6689">
        <f>TEST_DATA!E6689</f>
        <v>1078</v>
      </c>
    </row>
    <row r="6690" spans="1:5" x14ac:dyDescent="0.55000000000000004">
      <c r="A6690" t="str">
        <f>TEST_DATA!A6690</f>
        <v>27AAAAA6690Z5</v>
      </c>
      <c r="B6690" t="str">
        <f>TEST_DATA!B6690</f>
        <v>Jun-2019</v>
      </c>
      <c r="C6690">
        <f>TEST_DATA!C6690</f>
        <v>45609</v>
      </c>
      <c r="D6690" t="str">
        <f>TEST_DATA!D6690</f>
        <v>NON-NIL</v>
      </c>
      <c r="E6690">
        <f>TEST_DATA!E6690</f>
        <v>2422</v>
      </c>
    </row>
    <row r="6691" spans="1:5" x14ac:dyDescent="0.55000000000000004">
      <c r="A6691" t="str">
        <f>TEST_DATA!A6691</f>
        <v>27AAAAA6691Z5</v>
      </c>
      <c r="B6691" t="str">
        <f>TEST_DATA!B6691</f>
        <v>Jun-2020</v>
      </c>
      <c r="C6691">
        <f>TEST_DATA!C6691</f>
        <v>44309</v>
      </c>
      <c r="D6691" t="str">
        <f>TEST_DATA!D6691</f>
        <v>NIL</v>
      </c>
      <c r="E6691">
        <f>TEST_DATA!E6691</f>
        <v>235</v>
      </c>
    </row>
    <row r="6692" spans="1:5" x14ac:dyDescent="0.55000000000000004">
      <c r="A6692" t="str">
        <f>TEST_DATA!A6692</f>
        <v>27AAAAA6692Z5</v>
      </c>
      <c r="B6692" t="str">
        <f>TEST_DATA!B6692</f>
        <v>Jul-2020</v>
      </c>
      <c r="C6692">
        <f>TEST_DATA!C6692</f>
        <v>44516</v>
      </c>
      <c r="D6692" t="str">
        <f>TEST_DATA!D6692</f>
        <v>NON-NIL</v>
      </c>
      <c r="E6692">
        <f>TEST_DATA!E6692</f>
        <v>963</v>
      </c>
    </row>
    <row r="6693" spans="1:5" x14ac:dyDescent="0.55000000000000004">
      <c r="A6693" t="str">
        <f>TEST_DATA!A6693</f>
        <v>27AAAAA6693Z5</v>
      </c>
      <c r="B6693" t="str">
        <f>TEST_DATA!B6693</f>
        <v>Mar-2018</v>
      </c>
      <c r="C6693">
        <f>TEST_DATA!C6693</f>
        <v>42929</v>
      </c>
      <c r="D6693" t="str">
        <f>TEST_DATA!D6693</f>
        <v>NON-NIL</v>
      </c>
      <c r="E6693">
        <f>TEST_DATA!E6693</f>
        <v>104</v>
      </c>
    </row>
    <row r="6694" spans="1:5" x14ac:dyDescent="0.55000000000000004">
      <c r="A6694" t="str">
        <f>TEST_DATA!A6694</f>
        <v>27AAAAA6694Z5</v>
      </c>
      <c r="B6694" t="str">
        <f>TEST_DATA!B6694</f>
        <v>Jun-2020</v>
      </c>
      <c r="C6694">
        <f>TEST_DATA!C6694</f>
        <v>44905</v>
      </c>
      <c r="D6694" t="str">
        <f>TEST_DATA!D6694</f>
        <v>NIL</v>
      </c>
      <c r="E6694">
        <f>TEST_DATA!E6694</f>
        <v>1942</v>
      </c>
    </row>
    <row r="6695" spans="1:5" x14ac:dyDescent="0.55000000000000004">
      <c r="A6695" t="str">
        <f>TEST_DATA!A6695</f>
        <v>27AAAAA6695Z5</v>
      </c>
      <c r="B6695" t="str">
        <f>TEST_DATA!B6695</f>
        <v>Jan-2018</v>
      </c>
      <c r="C6695">
        <f>TEST_DATA!C6695</f>
        <v>44100</v>
      </c>
      <c r="D6695" t="str">
        <f>TEST_DATA!D6695</f>
        <v>NON-NIL</v>
      </c>
      <c r="E6695">
        <f>TEST_DATA!E6695</f>
        <v>343</v>
      </c>
    </row>
    <row r="6696" spans="1:5" x14ac:dyDescent="0.55000000000000004">
      <c r="A6696" t="str">
        <f>TEST_DATA!A6696</f>
        <v>27AAAAA6696Z5</v>
      </c>
      <c r="B6696" t="str">
        <f>TEST_DATA!B6696</f>
        <v>Dec-2024</v>
      </c>
      <c r="C6696">
        <f>TEST_DATA!C6696</f>
        <v>44806</v>
      </c>
      <c r="D6696" t="str">
        <f>TEST_DATA!D6696</f>
        <v>NON-NIL</v>
      </c>
      <c r="E6696">
        <f>TEST_DATA!E6696</f>
        <v>1757</v>
      </c>
    </row>
    <row r="6697" spans="1:5" x14ac:dyDescent="0.55000000000000004">
      <c r="A6697" t="str">
        <f>TEST_DATA!A6697</f>
        <v>27AAAAA6697Z5</v>
      </c>
      <c r="B6697" t="str">
        <f>TEST_DATA!B6697</f>
        <v>Mar-2018</v>
      </c>
      <c r="C6697">
        <f>TEST_DATA!C6697</f>
        <v>44507</v>
      </c>
      <c r="D6697" t="str">
        <f>TEST_DATA!D6697</f>
        <v>NIL</v>
      </c>
      <c r="E6697">
        <f>TEST_DATA!E6697</f>
        <v>1287</v>
      </c>
    </row>
    <row r="6698" spans="1:5" x14ac:dyDescent="0.55000000000000004">
      <c r="A6698" t="str">
        <f>TEST_DATA!A6698</f>
        <v>27AAAAA6698Z5</v>
      </c>
      <c r="B6698" t="str">
        <f>TEST_DATA!B6698</f>
        <v>Jan-2018</v>
      </c>
      <c r="C6698">
        <f>TEST_DATA!C6698</f>
        <v>44313</v>
      </c>
      <c r="D6698" t="str">
        <f>TEST_DATA!D6698</f>
        <v>NON-NIL</v>
      </c>
      <c r="E6698">
        <f>TEST_DATA!E6698</f>
        <v>1685</v>
      </c>
    </row>
    <row r="6699" spans="1:5" x14ac:dyDescent="0.55000000000000004">
      <c r="A6699" t="str">
        <f>TEST_DATA!A6699</f>
        <v>27AAAAA6699Z5</v>
      </c>
      <c r="B6699" t="str">
        <f>TEST_DATA!B6699</f>
        <v>Sep-2018</v>
      </c>
      <c r="C6699">
        <f>TEST_DATA!C6699</f>
        <v>43035</v>
      </c>
      <c r="D6699" t="str">
        <f>TEST_DATA!D6699</f>
        <v>NON-NIL</v>
      </c>
      <c r="E6699">
        <f>TEST_DATA!E6699</f>
        <v>2048</v>
      </c>
    </row>
    <row r="6700" spans="1:5" x14ac:dyDescent="0.55000000000000004">
      <c r="A6700" t="str">
        <f>TEST_DATA!A6700</f>
        <v>27AAAAA6700Z5</v>
      </c>
      <c r="B6700" t="str">
        <f>TEST_DATA!B6700</f>
        <v>Apr-2020</v>
      </c>
      <c r="C6700">
        <f>TEST_DATA!C6700</f>
        <v>44779</v>
      </c>
      <c r="D6700" t="str">
        <f>TEST_DATA!D6700</f>
        <v>NON-NIL</v>
      </c>
      <c r="E6700">
        <f>TEST_DATA!E6700</f>
        <v>2910</v>
      </c>
    </row>
    <row r="6701" spans="1:5" x14ac:dyDescent="0.55000000000000004">
      <c r="A6701" t="str">
        <f>TEST_DATA!A6701</f>
        <v>27AAAAA6701Z5</v>
      </c>
      <c r="B6701" t="str">
        <f>TEST_DATA!B6701</f>
        <v>May-2018</v>
      </c>
      <c r="C6701">
        <f>TEST_DATA!C6701</f>
        <v>43622</v>
      </c>
      <c r="D6701" t="str">
        <f>TEST_DATA!D6701</f>
        <v>NON-NIL</v>
      </c>
      <c r="E6701">
        <f>TEST_DATA!E6701</f>
        <v>650</v>
      </c>
    </row>
    <row r="6702" spans="1:5" x14ac:dyDescent="0.55000000000000004">
      <c r="A6702" t="str">
        <f>TEST_DATA!A6702</f>
        <v>27AAAAA6702Z5</v>
      </c>
      <c r="B6702" t="str">
        <f>TEST_DATA!B6702</f>
        <v>Aug-2018</v>
      </c>
      <c r="C6702">
        <f>TEST_DATA!C6702</f>
        <v>43074</v>
      </c>
      <c r="D6702" t="str">
        <f>TEST_DATA!D6702</f>
        <v>NIL</v>
      </c>
      <c r="E6702">
        <f>TEST_DATA!E6702</f>
        <v>988</v>
      </c>
    </row>
    <row r="6703" spans="1:5" x14ac:dyDescent="0.55000000000000004">
      <c r="A6703" t="str">
        <f>TEST_DATA!A6703</f>
        <v>27AAAAA6703Z5</v>
      </c>
      <c r="B6703" t="str">
        <f>TEST_DATA!B6703</f>
        <v>Dec-2022</v>
      </c>
      <c r="C6703">
        <f>TEST_DATA!C6703</f>
        <v>45624</v>
      </c>
      <c r="D6703" t="str">
        <f>TEST_DATA!D6703</f>
        <v>NON-NIL</v>
      </c>
      <c r="E6703">
        <f>TEST_DATA!E6703</f>
        <v>602</v>
      </c>
    </row>
    <row r="6704" spans="1:5" x14ac:dyDescent="0.55000000000000004">
      <c r="A6704" t="str">
        <f>TEST_DATA!A6704</f>
        <v>27AAAAA6704Z5</v>
      </c>
      <c r="B6704" t="str">
        <f>TEST_DATA!B6704</f>
        <v>Mar-2023</v>
      </c>
      <c r="C6704">
        <f>TEST_DATA!C6704</f>
        <v>44207</v>
      </c>
      <c r="D6704" t="str">
        <f>TEST_DATA!D6704</f>
        <v>NON-NIL</v>
      </c>
      <c r="E6704">
        <f>TEST_DATA!E6704</f>
        <v>860</v>
      </c>
    </row>
    <row r="6705" spans="1:5" x14ac:dyDescent="0.55000000000000004">
      <c r="A6705" t="str">
        <f>TEST_DATA!A6705</f>
        <v>27AAAAA6705Z5</v>
      </c>
      <c r="B6705" t="str">
        <f>TEST_DATA!B6705</f>
        <v>Mar-2023</v>
      </c>
      <c r="C6705">
        <f>TEST_DATA!C6705</f>
        <v>45114</v>
      </c>
      <c r="D6705" t="str">
        <f>TEST_DATA!D6705</f>
        <v>NIL</v>
      </c>
      <c r="E6705">
        <f>TEST_DATA!E6705</f>
        <v>1865</v>
      </c>
    </row>
    <row r="6706" spans="1:5" x14ac:dyDescent="0.55000000000000004">
      <c r="A6706" t="str">
        <f>TEST_DATA!A6706</f>
        <v>27AAAAA6706Z5</v>
      </c>
      <c r="B6706" t="str">
        <f>TEST_DATA!B6706</f>
        <v>Jan-2021</v>
      </c>
      <c r="C6706">
        <f>TEST_DATA!C6706</f>
        <v>44310</v>
      </c>
      <c r="D6706" t="str">
        <f>TEST_DATA!D6706</f>
        <v>NIL</v>
      </c>
      <c r="E6706">
        <f>TEST_DATA!E6706</f>
        <v>244</v>
      </c>
    </row>
    <row r="6707" spans="1:5" x14ac:dyDescent="0.55000000000000004">
      <c r="A6707" t="str">
        <f>TEST_DATA!A6707</f>
        <v>27AAAAA6707Z5</v>
      </c>
      <c r="B6707" t="str">
        <f>TEST_DATA!B6707</f>
        <v>Jul-2020</v>
      </c>
      <c r="C6707">
        <f>TEST_DATA!C6707</f>
        <v>44191</v>
      </c>
      <c r="D6707" t="str">
        <f>TEST_DATA!D6707</f>
        <v>NIL</v>
      </c>
      <c r="E6707">
        <f>TEST_DATA!E6707</f>
        <v>2635</v>
      </c>
    </row>
    <row r="6708" spans="1:5" x14ac:dyDescent="0.55000000000000004">
      <c r="A6708" t="str">
        <f>TEST_DATA!A6708</f>
        <v>27AAAAA6708Z5</v>
      </c>
      <c r="B6708" t="str">
        <f>TEST_DATA!B6708</f>
        <v>Nov-2017</v>
      </c>
      <c r="C6708">
        <f>TEST_DATA!C6708</f>
        <v>43904</v>
      </c>
      <c r="D6708" t="str">
        <f>TEST_DATA!D6708</f>
        <v>NIL</v>
      </c>
      <c r="E6708">
        <f>TEST_DATA!E6708</f>
        <v>435</v>
      </c>
    </row>
    <row r="6709" spans="1:5" x14ac:dyDescent="0.55000000000000004">
      <c r="A6709" t="str">
        <f>TEST_DATA!A6709</f>
        <v>27AAAAA6709Z5</v>
      </c>
      <c r="B6709" t="str">
        <f>TEST_DATA!B6709</f>
        <v>Mar-2021</v>
      </c>
      <c r="C6709">
        <f>TEST_DATA!C6709</f>
        <v>43773</v>
      </c>
      <c r="D6709" t="str">
        <f>TEST_DATA!D6709</f>
        <v>NON-NIL</v>
      </c>
      <c r="E6709">
        <f>TEST_DATA!E6709</f>
        <v>1519</v>
      </c>
    </row>
    <row r="6710" spans="1:5" x14ac:dyDescent="0.55000000000000004">
      <c r="A6710" t="str">
        <f>TEST_DATA!A6710</f>
        <v>27AAAAA6710Z5</v>
      </c>
      <c r="B6710" t="str">
        <f>TEST_DATA!B6710</f>
        <v>May-2020</v>
      </c>
      <c r="C6710">
        <f>TEST_DATA!C6710</f>
        <v>44834</v>
      </c>
      <c r="D6710" t="str">
        <f>TEST_DATA!D6710</f>
        <v>NON-NIL</v>
      </c>
      <c r="E6710">
        <f>TEST_DATA!E6710</f>
        <v>2485</v>
      </c>
    </row>
    <row r="6711" spans="1:5" x14ac:dyDescent="0.55000000000000004">
      <c r="A6711" t="str">
        <f>TEST_DATA!A6711</f>
        <v>27AAAAA6711Z5</v>
      </c>
      <c r="B6711" t="str">
        <f>TEST_DATA!B6711</f>
        <v>Oct-2017</v>
      </c>
      <c r="C6711">
        <f>TEST_DATA!C6711</f>
        <v>43924</v>
      </c>
      <c r="D6711" t="str">
        <f>TEST_DATA!D6711</f>
        <v>NIL</v>
      </c>
      <c r="E6711">
        <f>TEST_DATA!E6711</f>
        <v>1732</v>
      </c>
    </row>
    <row r="6712" spans="1:5" x14ac:dyDescent="0.55000000000000004">
      <c r="A6712" t="str">
        <f>TEST_DATA!A6712</f>
        <v>27AAAAA6712Z5</v>
      </c>
      <c r="B6712" t="str">
        <f>TEST_DATA!B6712</f>
        <v>Dec-2017</v>
      </c>
      <c r="C6712">
        <f>TEST_DATA!C6712</f>
        <v>43034</v>
      </c>
      <c r="D6712" t="str">
        <f>TEST_DATA!D6712</f>
        <v>NON-NIL</v>
      </c>
      <c r="E6712">
        <f>TEST_DATA!E6712</f>
        <v>645</v>
      </c>
    </row>
    <row r="6713" spans="1:5" x14ac:dyDescent="0.55000000000000004">
      <c r="A6713" t="str">
        <f>TEST_DATA!A6713</f>
        <v>27AAAAA6713Z5</v>
      </c>
      <c r="B6713" t="str">
        <f>TEST_DATA!B6713</f>
        <v>Apr-2020</v>
      </c>
      <c r="C6713">
        <f>TEST_DATA!C6713</f>
        <v>44592</v>
      </c>
      <c r="D6713" t="str">
        <f>TEST_DATA!D6713</f>
        <v>NIL</v>
      </c>
      <c r="E6713">
        <f>TEST_DATA!E6713</f>
        <v>1183</v>
      </c>
    </row>
    <row r="6714" spans="1:5" x14ac:dyDescent="0.55000000000000004">
      <c r="A6714" t="str">
        <f>TEST_DATA!A6714</f>
        <v>27AAAAA6714Z5</v>
      </c>
      <c r="B6714" t="str">
        <f>TEST_DATA!B6714</f>
        <v>Mar-2018</v>
      </c>
      <c r="C6714">
        <f>TEST_DATA!C6714</f>
        <v>44048</v>
      </c>
      <c r="D6714" t="str">
        <f>TEST_DATA!D6714</f>
        <v>NON-NIL</v>
      </c>
      <c r="E6714">
        <f>TEST_DATA!E6714</f>
        <v>2363</v>
      </c>
    </row>
    <row r="6715" spans="1:5" x14ac:dyDescent="0.55000000000000004">
      <c r="A6715" t="str">
        <f>TEST_DATA!A6715</f>
        <v>27AAAAA6715Z5</v>
      </c>
      <c r="B6715" t="str">
        <f>TEST_DATA!B6715</f>
        <v>Dec-2019</v>
      </c>
      <c r="C6715">
        <f>TEST_DATA!C6715</f>
        <v>44419</v>
      </c>
      <c r="D6715" t="str">
        <f>TEST_DATA!D6715</f>
        <v>NIL</v>
      </c>
      <c r="E6715">
        <f>TEST_DATA!E6715</f>
        <v>1535</v>
      </c>
    </row>
    <row r="6716" spans="1:5" x14ac:dyDescent="0.55000000000000004">
      <c r="A6716" t="str">
        <f>TEST_DATA!A6716</f>
        <v>27AAAAA6716Z5</v>
      </c>
      <c r="B6716" t="str">
        <f>TEST_DATA!B6716</f>
        <v>Dec-2017</v>
      </c>
      <c r="C6716">
        <f>TEST_DATA!C6716</f>
        <v>43129</v>
      </c>
      <c r="D6716" t="str">
        <f>TEST_DATA!D6716</f>
        <v>NON-NIL</v>
      </c>
      <c r="E6716">
        <f>TEST_DATA!E6716</f>
        <v>2369</v>
      </c>
    </row>
    <row r="6717" spans="1:5" x14ac:dyDescent="0.55000000000000004">
      <c r="A6717" t="str">
        <f>TEST_DATA!A6717</f>
        <v>27AAAAA6717Z5</v>
      </c>
      <c r="B6717" t="str">
        <f>TEST_DATA!B6717</f>
        <v>Jul-2017</v>
      </c>
      <c r="C6717">
        <f>TEST_DATA!C6717</f>
        <v>43341</v>
      </c>
      <c r="D6717" t="str">
        <f>TEST_DATA!D6717</f>
        <v>NIL</v>
      </c>
      <c r="E6717">
        <f>TEST_DATA!E6717</f>
        <v>766</v>
      </c>
    </row>
    <row r="6718" spans="1:5" x14ac:dyDescent="0.55000000000000004">
      <c r="A6718" t="str">
        <f>TEST_DATA!A6718</f>
        <v>27AAAAA6718Z5</v>
      </c>
      <c r="B6718" t="str">
        <f>TEST_DATA!B6718</f>
        <v>Jul-2017</v>
      </c>
      <c r="C6718">
        <f>TEST_DATA!C6718</f>
        <v>43286</v>
      </c>
      <c r="D6718" t="str">
        <f>TEST_DATA!D6718</f>
        <v>NON-NIL</v>
      </c>
      <c r="E6718">
        <f>TEST_DATA!E6718</f>
        <v>2329</v>
      </c>
    </row>
    <row r="6719" spans="1:5" x14ac:dyDescent="0.55000000000000004">
      <c r="A6719" t="str">
        <f>TEST_DATA!A6719</f>
        <v>27AAAAA6719Z5</v>
      </c>
      <c r="B6719" t="str">
        <f>TEST_DATA!B6719</f>
        <v>Apr-2021</v>
      </c>
      <c r="C6719">
        <f>TEST_DATA!C6719</f>
        <v>45717</v>
      </c>
      <c r="D6719" t="str">
        <f>TEST_DATA!D6719</f>
        <v>NIL</v>
      </c>
      <c r="E6719">
        <f>TEST_DATA!E6719</f>
        <v>391</v>
      </c>
    </row>
    <row r="6720" spans="1:5" x14ac:dyDescent="0.55000000000000004">
      <c r="A6720" t="str">
        <f>TEST_DATA!A6720</f>
        <v>27AAAAA6720Z5</v>
      </c>
      <c r="B6720" t="str">
        <f>TEST_DATA!B6720</f>
        <v>Dec-2024</v>
      </c>
      <c r="C6720">
        <f>TEST_DATA!C6720</f>
        <v>44556</v>
      </c>
      <c r="D6720" t="str">
        <f>TEST_DATA!D6720</f>
        <v>NIL</v>
      </c>
      <c r="E6720">
        <f>TEST_DATA!E6720</f>
        <v>2779</v>
      </c>
    </row>
    <row r="6721" spans="1:5" x14ac:dyDescent="0.55000000000000004">
      <c r="A6721" t="str">
        <f>TEST_DATA!A6721</f>
        <v>27AAAAA6721Z5</v>
      </c>
      <c r="B6721" t="str">
        <f>TEST_DATA!B6721</f>
        <v>Jul-2018</v>
      </c>
      <c r="C6721">
        <f>TEST_DATA!C6721</f>
        <v>43467</v>
      </c>
      <c r="D6721" t="str">
        <f>TEST_DATA!D6721</f>
        <v>NON-NIL</v>
      </c>
      <c r="E6721">
        <f>TEST_DATA!E6721</f>
        <v>317</v>
      </c>
    </row>
    <row r="6722" spans="1:5" x14ac:dyDescent="0.55000000000000004">
      <c r="A6722" t="str">
        <f>TEST_DATA!A6722</f>
        <v>27AAAAA6722Z5</v>
      </c>
      <c r="B6722" t="str">
        <f>TEST_DATA!B6722</f>
        <v>Aug-2017</v>
      </c>
      <c r="C6722">
        <f>TEST_DATA!C6722</f>
        <v>43781</v>
      </c>
      <c r="D6722" t="str">
        <f>TEST_DATA!D6722</f>
        <v>NIL</v>
      </c>
      <c r="E6722">
        <f>TEST_DATA!E6722</f>
        <v>292</v>
      </c>
    </row>
    <row r="6723" spans="1:5" x14ac:dyDescent="0.55000000000000004">
      <c r="A6723" t="str">
        <f>TEST_DATA!A6723</f>
        <v>27AAAAA6723Z5</v>
      </c>
      <c r="B6723" t="str">
        <f>TEST_DATA!B6723</f>
        <v>Sep-2018</v>
      </c>
      <c r="C6723">
        <f>TEST_DATA!C6723</f>
        <v>43868</v>
      </c>
      <c r="D6723" t="str">
        <f>TEST_DATA!D6723</f>
        <v>NIL</v>
      </c>
      <c r="E6723">
        <f>TEST_DATA!E6723</f>
        <v>884</v>
      </c>
    </row>
    <row r="6724" spans="1:5" x14ac:dyDescent="0.55000000000000004">
      <c r="A6724" t="str">
        <f>TEST_DATA!A6724</f>
        <v>27AAAAA6724Z5</v>
      </c>
      <c r="B6724" t="str">
        <f>TEST_DATA!B6724</f>
        <v>Apr-2021</v>
      </c>
      <c r="C6724">
        <f>TEST_DATA!C6724</f>
        <v>43795</v>
      </c>
      <c r="D6724" t="str">
        <f>TEST_DATA!D6724</f>
        <v>NON-NIL</v>
      </c>
      <c r="E6724">
        <f>TEST_DATA!E6724</f>
        <v>794</v>
      </c>
    </row>
    <row r="6725" spans="1:5" x14ac:dyDescent="0.55000000000000004">
      <c r="A6725" t="str">
        <f>TEST_DATA!A6725</f>
        <v>27AAAAA6725Z5</v>
      </c>
      <c r="B6725" t="str">
        <f>TEST_DATA!B6725</f>
        <v>Sep-2018</v>
      </c>
      <c r="C6725">
        <f>TEST_DATA!C6725</f>
        <v>44511</v>
      </c>
      <c r="D6725" t="str">
        <f>TEST_DATA!D6725</f>
        <v>NIL</v>
      </c>
      <c r="E6725">
        <f>TEST_DATA!E6725</f>
        <v>1402</v>
      </c>
    </row>
    <row r="6726" spans="1:5" x14ac:dyDescent="0.55000000000000004">
      <c r="A6726" t="str">
        <f>TEST_DATA!A6726</f>
        <v>27AAAAA6726Z5</v>
      </c>
      <c r="B6726" t="str">
        <f>TEST_DATA!B6726</f>
        <v>Jun-2020</v>
      </c>
      <c r="C6726">
        <f>TEST_DATA!C6726</f>
        <v>43853</v>
      </c>
      <c r="D6726" t="str">
        <f>TEST_DATA!D6726</f>
        <v>NIL</v>
      </c>
      <c r="E6726">
        <f>TEST_DATA!E6726</f>
        <v>1192</v>
      </c>
    </row>
    <row r="6727" spans="1:5" x14ac:dyDescent="0.55000000000000004">
      <c r="A6727" t="str">
        <f>TEST_DATA!A6727</f>
        <v>27AAAAA6727Z5</v>
      </c>
      <c r="B6727" t="str">
        <f>TEST_DATA!B6727</f>
        <v>Mar-2020</v>
      </c>
      <c r="C6727">
        <f>TEST_DATA!C6727</f>
        <v>44237</v>
      </c>
      <c r="D6727" t="str">
        <f>TEST_DATA!D6727</f>
        <v>NIL</v>
      </c>
      <c r="E6727">
        <f>TEST_DATA!E6727</f>
        <v>756</v>
      </c>
    </row>
    <row r="6728" spans="1:5" x14ac:dyDescent="0.55000000000000004">
      <c r="A6728" t="str">
        <f>TEST_DATA!A6728</f>
        <v>27AAAAA6728Z5</v>
      </c>
      <c r="B6728" t="str">
        <f>TEST_DATA!B6728</f>
        <v>Aug-2018</v>
      </c>
      <c r="C6728">
        <f>TEST_DATA!C6728</f>
        <v>43856</v>
      </c>
      <c r="D6728" t="str">
        <f>TEST_DATA!D6728</f>
        <v>NIL</v>
      </c>
      <c r="E6728">
        <f>TEST_DATA!E6728</f>
        <v>1039</v>
      </c>
    </row>
    <row r="6729" spans="1:5" x14ac:dyDescent="0.55000000000000004">
      <c r="A6729" t="str">
        <f>TEST_DATA!A6729</f>
        <v>27AAAAA6729Z5</v>
      </c>
      <c r="B6729" t="str">
        <f>TEST_DATA!B6729</f>
        <v>Mar-2018</v>
      </c>
      <c r="C6729">
        <f>TEST_DATA!C6729</f>
        <v>43688</v>
      </c>
      <c r="D6729" t="str">
        <f>TEST_DATA!D6729</f>
        <v>NIL</v>
      </c>
      <c r="E6729">
        <f>TEST_DATA!E6729</f>
        <v>463</v>
      </c>
    </row>
    <row r="6730" spans="1:5" x14ac:dyDescent="0.55000000000000004">
      <c r="A6730" t="str">
        <f>TEST_DATA!A6730</f>
        <v>27AAAAA6730Z5</v>
      </c>
      <c r="B6730" t="str">
        <f>TEST_DATA!B6730</f>
        <v>Mar-2023</v>
      </c>
      <c r="C6730">
        <f>TEST_DATA!C6730</f>
        <v>45270</v>
      </c>
      <c r="D6730" t="str">
        <f>TEST_DATA!D6730</f>
        <v>NIL</v>
      </c>
      <c r="E6730">
        <f>TEST_DATA!E6730</f>
        <v>2306</v>
      </c>
    </row>
    <row r="6731" spans="1:5" x14ac:dyDescent="0.55000000000000004">
      <c r="A6731" t="str">
        <f>TEST_DATA!A6731</f>
        <v>27AAAAA6731Z5</v>
      </c>
      <c r="B6731" t="str">
        <f>TEST_DATA!B6731</f>
        <v>Mar-2018</v>
      </c>
      <c r="C6731">
        <f>TEST_DATA!C6731</f>
        <v>44519</v>
      </c>
      <c r="D6731" t="str">
        <f>TEST_DATA!D6731</f>
        <v>NON-NIL</v>
      </c>
      <c r="E6731">
        <f>TEST_DATA!E6731</f>
        <v>1774</v>
      </c>
    </row>
    <row r="6732" spans="1:5" x14ac:dyDescent="0.55000000000000004">
      <c r="A6732" t="str">
        <f>TEST_DATA!A6732</f>
        <v>27AAAAA6732Z5</v>
      </c>
      <c r="B6732" t="str">
        <f>TEST_DATA!B6732</f>
        <v>Feb-2018</v>
      </c>
      <c r="C6732">
        <f>TEST_DATA!C6732</f>
        <v>44054</v>
      </c>
      <c r="D6732" t="str">
        <f>TEST_DATA!D6732</f>
        <v>NIL</v>
      </c>
      <c r="E6732">
        <f>TEST_DATA!E6732</f>
        <v>2211</v>
      </c>
    </row>
    <row r="6733" spans="1:5" x14ac:dyDescent="0.55000000000000004">
      <c r="A6733" t="str">
        <f>TEST_DATA!A6733</f>
        <v>27AAAAA6733Z5</v>
      </c>
      <c r="B6733" t="str">
        <f>TEST_DATA!B6733</f>
        <v>Feb-2018</v>
      </c>
      <c r="C6733">
        <f>TEST_DATA!C6733</f>
        <v>44069</v>
      </c>
      <c r="D6733" t="str">
        <f>TEST_DATA!D6733</f>
        <v>NIL</v>
      </c>
      <c r="E6733">
        <f>TEST_DATA!E6733</f>
        <v>1628</v>
      </c>
    </row>
    <row r="6734" spans="1:5" x14ac:dyDescent="0.55000000000000004">
      <c r="A6734" t="str">
        <f>TEST_DATA!A6734</f>
        <v>27AAAAA6734Z5</v>
      </c>
      <c r="B6734" t="str">
        <f>TEST_DATA!B6734</f>
        <v>Mar-2021</v>
      </c>
      <c r="C6734">
        <f>TEST_DATA!C6734</f>
        <v>44797</v>
      </c>
      <c r="D6734" t="str">
        <f>TEST_DATA!D6734</f>
        <v>NON-NIL</v>
      </c>
      <c r="E6734">
        <f>TEST_DATA!E6734</f>
        <v>249</v>
      </c>
    </row>
    <row r="6735" spans="1:5" x14ac:dyDescent="0.55000000000000004">
      <c r="A6735" t="str">
        <f>TEST_DATA!A6735</f>
        <v>27AAAAA6735Z5</v>
      </c>
      <c r="B6735" t="str">
        <f>TEST_DATA!B6735</f>
        <v>Dec-2017</v>
      </c>
      <c r="C6735">
        <f>TEST_DATA!C6735</f>
        <v>43633</v>
      </c>
      <c r="D6735" t="str">
        <f>TEST_DATA!D6735</f>
        <v>NON-NIL</v>
      </c>
      <c r="E6735">
        <f>TEST_DATA!E6735</f>
        <v>445</v>
      </c>
    </row>
    <row r="6736" spans="1:5" x14ac:dyDescent="0.55000000000000004">
      <c r="A6736" t="str">
        <f>TEST_DATA!A6736</f>
        <v>27AAAAA6736Z5</v>
      </c>
      <c r="B6736" t="str">
        <f>TEST_DATA!B6736</f>
        <v>Jul-2020</v>
      </c>
      <c r="C6736">
        <f>TEST_DATA!C6736</f>
        <v>44279</v>
      </c>
      <c r="D6736" t="str">
        <f>TEST_DATA!D6736</f>
        <v>NIL</v>
      </c>
      <c r="E6736">
        <f>TEST_DATA!E6736</f>
        <v>521</v>
      </c>
    </row>
    <row r="6737" spans="1:5" x14ac:dyDescent="0.55000000000000004">
      <c r="A6737" t="str">
        <f>TEST_DATA!A6737</f>
        <v>27AAAAA6737Z5</v>
      </c>
      <c r="B6737" t="str">
        <f>TEST_DATA!B6737</f>
        <v>Sep-2018</v>
      </c>
      <c r="C6737">
        <f>TEST_DATA!C6737</f>
        <v>44352</v>
      </c>
      <c r="D6737" t="str">
        <f>TEST_DATA!D6737</f>
        <v>NIL</v>
      </c>
      <c r="E6737">
        <f>TEST_DATA!E6737</f>
        <v>2020</v>
      </c>
    </row>
    <row r="6738" spans="1:5" x14ac:dyDescent="0.55000000000000004">
      <c r="A6738" t="str">
        <f>TEST_DATA!A6738</f>
        <v>27AAAAA6738Z5</v>
      </c>
      <c r="B6738" t="str">
        <f>TEST_DATA!B6738</f>
        <v>Dec-2017</v>
      </c>
      <c r="C6738">
        <f>TEST_DATA!C6738</f>
        <v>44024</v>
      </c>
      <c r="D6738" t="str">
        <f>TEST_DATA!D6738</f>
        <v>NIL</v>
      </c>
      <c r="E6738">
        <f>TEST_DATA!E6738</f>
        <v>655</v>
      </c>
    </row>
    <row r="6739" spans="1:5" x14ac:dyDescent="0.55000000000000004">
      <c r="A6739" t="str">
        <f>TEST_DATA!A6739</f>
        <v>27AAAAA6739Z5</v>
      </c>
      <c r="B6739" t="str">
        <f>TEST_DATA!B6739</f>
        <v>Dec-2024</v>
      </c>
      <c r="C6739">
        <f>TEST_DATA!C6739</f>
        <v>45811</v>
      </c>
      <c r="D6739" t="str">
        <f>TEST_DATA!D6739</f>
        <v>NIL</v>
      </c>
      <c r="E6739">
        <f>TEST_DATA!E6739</f>
        <v>1587</v>
      </c>
    </row>
    <row r="6740" spans="1:5" x14ac:dyDescent="0.55000000000000004">
      <c r="A6740" t="str">
        <f>TEST_DATA!A6740</f>
        <v>27AAAAA6740Z5</v>
      </c>
      <c r="B6740" t="str">
        <f>TEST_DATA!B6740</f>
        <v>Feb-2018</v>
      </c>
      <c r="C6740">
        <f>TEST_DATA!C6740</f>
        <v>43629</v>
      </c>
      <c r="D6740" t="str">
        <f>TEST_DATA!D6740</f>
        <v>NIL</v>
      </c>
      <c r="E6740">
        <f>TEST_DATA!E6740</f>
        <v>1222</v>
      </c>
    </row>
    <row r="6741" spans="1:5" x14ac:dyDescent="0.55000000000000004">
      <c r="A6741" t="str">
        <f>TEST_DATA!A6741</f>
        <v>27AAAAA6741Z5</v>
      </c>
      <c r="B6741" t="str">
        <f>TEST_DATA!B6741</f>
        <v>Mar-2021</v>
      </c>
      <c r="C6741">
        <f>TEST_DATA!C6741</f>
        <v>45772</v>
      </c>
      <c r="D6741" t="str">
        <f>TEST_DATA!D6741</f>
        <v>NON-NIL</v>
      </c>
      <c r="E6741">
        <f>TEST_DATA!E6741</f>
        <v>243</v>
      </c>
    </row>
    <row r="6742" spans="1:5" x14ac:dyDescent="0.55000000000000004">
      <c r="A6742" t="str">
        <f>TEST_DATA!A6742</f>
        <v>27AAAAA6742Z5</v>
      </c>
      <c r="B6742" t="str">
        <f>TEST_DATA!B6742</f>
        <v>Nov-2017</v>
      </c>
      <c r="C6742">
        <f>TEST_DATA!C6742</f>
        <v>43798</v>
      </c>
      <c r="D6742" t="str">
        <f>TEST_DATA!D6742</f>
        <v>NON-NIL</v>
      </c>
      <c r="E6742">
        <f>TEST_DATA!E6742</f>
        <v>1853</v>
      </c>
    </row>
    <row r="6743" spans="1:5" x14ac:dyDescent="0.55000000000000004">
      <c r="A6743" t="str">
        <f>TEST_DATA!A6743</f>
        <v>27AAAAA6743Z5</v>
      </c>
      <c r="B6743" t="str">
        <f>TEST_DATA!B6743</f>
        <v>Jul-2018</v>
      </c>
      <c r="C6743">
        <f>TEST_DATA!C6743</f>
        <v>44239</v>
      </c>
      <c r="D6743" t="str">
        <f>TEST_DATA!D6743</f>
        <v>NON-NIL</v>
      </c>
      <c r="E6743">
        <f>TEST_DATA!E6743</f>
        <v>703</v>
      </c>
    </row>
    <row r="6744" spans="1:5" x14ac:dyDescent="0.55000000000000004">
      <c r="A6744" t="str">
        <f>TEST_DATA!A6744</f>
        <v>27AAAAA6744Z5</v>
      </c>
      <c r="B6744" t="str">
        <f>TEST_DATA!B6744</f>
        <v>Sep-2018</v>
      </c>
      <c r="C6744">
        <f>TEST_DATA!C6744</f>
        <v>43257</v>
      </c>
      <c r="D6744" t="str">
        <f>TEST_DATA!D6744</f>
        <v>NON-NIL</v>
      </c>
      <c r="E6744">
        <f>TEST_DATA!E6744</f>
        <v>1457</v>
      </c>
    </row>
    <row r="6745" spans="1:5" x14ac:dyDescent="0.55000000000000004">
      <c r="A6745" t="str">
        <f>TEST_DATA!A6745</f>
        <v>27AAAAA6745Z5</v>
      </c>
      <c r="B6745" t="str">
        <f>TEST_DATA!B6745</f>
        <v>Jan-2018</v>
      </c>
      <c r="C6745">
        <f>TEST_DATA!C6745</f>
        <v>44121</v>
      </c>
      <c r="D6745" t="str">
        <f>TEST_DATA!D6745</f>
        <v>NON-NIL</v>
      </c>
      <c r="E6745">
        <f>TEST_DATA!E6745</f>
        <v>1084</v>
      </c>
    </row>
    <row r="6746" spans="1:5" x14ac:dyDescent="0.55000000000000004">
      <c r="A6746" t="str">
        <f>TEST_DATA!A6746</f>
        <v>27AAAAA6746Z5</v>
      </c>
      <c r="B6746" t="str">
        <f>TEST_DATA!B6746</f>
        <v>Apr-2020</v>
      </c>
      <c r="C6746">
        <f>TEST_DATA!C6746</f>
        <v>44596</v>
      </c>
      <c r="D6746" t="str">
        <f>TEST_DATA!D6746</f>
        <v>NIL</v>
      </c>
      <c r="E6746">
        <f>TEST_DATA!E6746</f>
        <v>1854</v>
      </c>
    </row>
    <row r="6747" spans="1:5" x14ac:dyDescent="0.55000000000000004">
      <c r="A6747" t="str">
        <f>TEST_DATA!A6747</f>
        <v>27AAAAA6747Z5</v>
      </c>
      <c r="B6747" t="str">
        <f>TEST_DATA!B6747</f>
        <v>Jan-2021</v>
      </c>
      <c r="C6747">
        <f>TEST_DATA!C6747</f>
        <v>43468</v>
      </c>
      <c r="D6747" t="str">
        <f>TEST_DATA!D6747</f>
        <v>NON-NIL</v>
      </c>
      <c r="E6747">
        <f>TEST_DATA!E6747</f>
        <v>1234</v>
      </c>
    </row>
    <row r="6748" spans="1:5" x14ac:dyDescent="0.55000000000000004">
      <c r="A6748" t="str">
        <f>TEST_DATA!A6748</f>
        <v>27AAAAA6748Z5</v>
      </c>
      <c r="B6748" t="str">
        <f>TEST_DATA!B6748</f>
        <v>Dec-2022</v>
      </c>
      <c r="C6748">
        <f>TEST_DATA!C6748</f>
        <v>43477</v>
      </c>
      <c r="D6748" t="str">
        <f>TEST_DATA!D6748</f>
        <v>NON-NIL</v>
      </c>
      <c r="E6748">
        <f>TEST_DATA!E6748</f>
        <v>2028</v>
      </c>
    </row>
    <row r="6749" spans="1:5" x14ac:dyDescent="0.55000000000000004">
      <c r="A6749" t="str">
        <f>TEST_DATA!A6749</f>
        <v>27AAAAA6749Z5</v>
      </c>
      <c r="B6749" t="str">
        <f>TEST_DATA!B6749</f>
        <v>Jun-2018</v>
      </c>
      <c r="C6749">
        <f>TEST_DATA!C6749</f>
        <v>44460</v>
      </c>
      <c r="D6749" t="str">
        <f>TEST_DATA!D6749</f>
        <v>NON-NIL</v>
      </c>
      <c r="E6749">
        <f>TEST_DATA!E6749</f>
        <v>88</v>
      </c>
    </row>
    <row r="6750" spans="1:5" x14ac:dyDescent="0.55000000000000004">
      <c r="A6750" t="str">
        <f>TEST_DATA!A6750</f>
        <v>27AAAAA6750Z5</v>
      </c>
      <c r="B6750" t="str">
        <f>TEST_DATA!B6750</f>
        <v>Dec-2017</v>
      </c>
      <c r="C6750">
        <f>TEST_DATA!C6750</f>
        <v>43008</v>
      </c>
      <c r="D6750" t="str">
        <f>TEST_DATA!D6750</f>
        <v>NIL</v>
      </c>
      <c r="E6750">
        <f>TEST_DATA!E6750</f>
        <v>2724</v>
      </c>
    </row>
    <row r="6751" spans="1:5" x14ac:dyDescent="0.55000000000000004">
      <c r="A6751" t="str">
        <f>TEST_DATA!A6751</f>
        <v>27AAAAA6751Z5</v>
      </c>
      <c r="B6751" t="str">
        <f>TEST_DATA!B6751</f>
        <v>Jul-2020</v>
      </c>
      <c r="C6751">
        <f>TEST_DATA!C6751</f>
        <v>44042</v>
      </c>
      <c r="D6751" t="str">
        <f>TEST_DATA!D6751</f>
        <v>NIL</v>
      </c>
      <c r="E6751">
        <f>TEST_DATA!E6751</f>
        <v>2437</v>
      </c>
    </row>
    <row r="6752" spans="1:5" x14ac:dyDescent="0.55000000000000004">
      <c r="A6752" t="str">
        <f>TEST_DATA!A6752</f>
        <v>27AAAAA6752Z5</v>
      </c>
      <c r="B6752" t="str">
        <f>TEST_DATA!B6752</f>
        <v>Aug-2017</v>
      </c>
      <c r="C6752">
        <f>TEST_DATA!C6752</f>
        <v>43256</v>
      </c>
      <c r="D6752" t="str">
        <f>TEST_DATA!D6752</f>
        <v>NIL</v>
      </c>
      <c r="E6752">
        <f>TEST_DATA!E6752</f>
        <v>318</v>
      </c>
    </row>
    <row r="6753" spans="1:5" x14ac:dyDescent="0.55000000000000004">
      <c r="A6753" t="str">
        <f>TEST_DATA!A6753</f>
        <v>27AAAAA6753Z5</v>
      </c>
      <c r="B6753" t="str">
        <f>TEST_DATA!B6753</f>
        <v>Dec-2024</v>
      </c>
      <c r="C6753">
        <f>TEST_DATA!C6753</f>
        <v>44987</v>
      </c>
      <c r="D6753" t="str">
        <f>TEST_DATA!D6753</f>
        <v>NON-NIL</v>
      </c>
      <c r="E6753">
        <f>TEST_DATA!E6753</f>
        <v>975</v>
      </c>
    </row>
    <row r="6754" spans="1:5" x14ac:dyDescent="0.55000000000000004">
      <c r="A6754" t="str">
        <f>TEST_DATA!A6754</f>
        <v>27AAAAA6754Z5</v>
      </c>
      <c r="B6754" t="str">
        <f>TEST_DATA!B6754</f>
        <v>Apr-2020</v>
      </c>
      <c r="C6754">
        <f>TEST_DATA!C6754</f>
        <v>43897</v>
      </c>
      <c r="D6754" t="str">
        <f>TEST_DATA!D6754</f>
        <v>NON-NIL</v>
      </c>
      <c r="E6754">
        <f>TEST_DATA!E6754</f>
        <v>1061</v>
      </c>
    </row>
    <row r="6755" spans="1:5" x14ac:dyDescent="0.55000000000000004">
      <c r="A6755" t="str">
        <f>TEST_DATA!A6755</f>
        <v>27AAAAA6755Z5</v>
      </c>
      <c r="B6755" t="str">
        <f>TEST_DATA!B6755</f>
        <v>Dec-2019</v>
      </c>
      <c r="C6755">
        <f>TEST_DATA!C6755</f>
        <v>45810</v>
      </c>
      <c r="D6755" t="str">
        <f>TEST_DATA!D6755</f>
        <v>NIL</v>
      </c>
      <c r="E6755">
        <f>TEST_DATA!E6755</f>
        <v>2395</v>
      </c>
    </row>
    <row r="6756" spans="1:5" x14ac:dyDescent="0.55000000000000004">
      <c r="A6756" t="str">
        <f>TEST_DATA!A6756</f>
        <v>27AAAAA6756Z5</v>
      </c>
      <c r="B6756" t="str">
        <f>TEST_DATA!B6756</f>
        <v>Feb-2018</v>
      </c>
      <c r="C6756">
        <f>TEST_DATA!C6756</f>
        <v>43272</v>
      </c>
      <c r="D6756" t="str">
        <f>TEST_DATA!D6756</f>
        <v>NIL</v>
      </c>
      <c r="E6756">
        <f>TEST_DATA!E6756</f>
        <v>1427</v>
      </c>
    </row>
    <row r="6757" spans="1:5" x14ac:dyDescent="0.55000000000000004">
      <c r="A6757" t="str">
        <f>TEST_DATA!A6757</f>
        <v>27AAAAA6757Z5</v>
      </c>
      <c r="B6757" t="str">
        <f>TEST_DATA!B6757</f>
        <v>Jan-2018</v>
      </c>
      <c r="C6757">
        <f>TEST_DATA!C6757</f>
        <v>43423</v>
      </c>
      <c r="D6757" t="str">
        <f>TEST_DATA!D6757</f>
        <v>NIL</v>
      </c>
      <c r="E6757">
        <f>TEST_DATA!E6757</f>
        <v>709</v>
      </c>
    </row>
    <row r="6758" spans="1:5" x14ac:dyDescent="0.55000000000000004">
      <c r="A6758" t="str">
        <f>TEST_DATA!A6758</f>
        <v>27AAAAA6758Z5</v>
      </c>
      <c r="B6758" t="str">
        <f>TEST_DATA!B6758</f>
        <v>Jul-2017</v>
      </c>
      <c r="C6758">
        <f>TEST_DATA!C6758</f>
        <v>43260</v>
      </c>
      <c r="D6758" t="str">
        <f>TEST_DATA!D6758</f>
        <v>NIL</v>
      </c>
      <c r="E6758">
        <f>TEST_DATA!E6758</f>
        <v>1464</v>
      </c>
    </row>
    <row r="6759" spans="1:5" x14ac:dyDescent="0.55000000000000004">
      <c r="A6759" t="str">
        <f>TEST_DATA!A6759</f>
        <v>27AAAAA6759Z5</v>
      </c>
      <c r="B6759" t="str">
        <f>TEST_DATA!B6759</f>
        <v>Sep-2017</v>
      </c>
      <c r="C6759">
        <f>TEST_DATA!C6759</f>
        <v>43000</v>
      </c>
      <c r="D6759" t="str">
        <f>TEST_DATA!D6759</f>
        <v>NIL</v>
      </c>
      <c r="E6759">
        <f>TEST_DATA!E6759</f>
        <v>1532</v>
      </c>
    </row>
    <row r="6760" spans="1:5" x14ac:dyDescent="0.55000000000000004">
      <c r="A6760" t="str">
        <f>TEST_DATA!A6760</f>
        <v>27AAAAA6760Z5</v>
      </c>
      <c r="B6760" t="str">
        <f>TEST_DATA!B6760</f>
        <v>Dec-2024</v>
      </c>
      <c r="C6760">
        <f>TEST_DATA!C6760</f>
        <v>44823</v>
      </c>
      <c r="D6760" t="str">
        <f>TEST_DATA!D6760</f>
        <v>NON-NIL</v>
      </c>
      <c r="E6760">
        <f>TEST_DATA!E6760</f>
        <v>243</v>
      </c>
    </row>
    <row r="6761" spans="1:5" x14ac:dyDescent="0.55000000000000004">
      <c r="A6761" t="str">
        <f>TEST_DATA!A6761</f>
        <v>27AAAAA6761Z5</v>
      </c>
      <c r="B6761" t="str">
        <f>TEST_DATA!B6761</f>
        <v>Oct-2017</v>
      </c>
      <c r="C6761">
        <f>TEST_DATA!C6761</f>
        <v>44183</v>
      </c>
      <c r="D6761" t="str">
        <f>TEST_DATA!D6761</f>
        <v>NIL</v>
      </c>
      <c r="E6761">
        <f>TEST_DATA!E6761</f>
        <v>1382</v>
      </c>
    </row>
    <row r="6762" spans="1:5" x14ac:dyDescent="0.55000000000000004">
      <c r="A6762" t="str">
        <f>TEST_DATA!A6762</f>
        <v>27AAAAA6762Z5</v>
      </c>
      <c r="B6762" t="str">
        <f>TEST_DATA!B6762</f>
        <v>Apr-2018</v>
      </c>
      <c r="C6762">
        <f>TEST_DATA!C6762</f>
        <v>43589</v>
      </c>
      <c r="D6762" t="str">
        <f>TEST_DATA!D6762</f>
        <v>NIL</v>
      </c>
      <c r="E6762">
        <f>TEST_DATA!E6762</f>
        <v>925</v>
      </c>
    </row>
    <row r="6763" spans="1:5" x14ac:dyDescent="0.55000000000000004">
      <c r="A6763" t="str">
        <f>TEST_DATA!A6763</f>
        <v>27AAAAA6763Z5</v>
      </c>
      <c r="B6763" t="str">
        <f>TEST_DATA!B6763</f>
        <v>Mar-2023</v>
      </c>
      <c r="C6763">
        <f>TEST_DATA!C6763</f>
        <v>45124</v>
      </c>
      <c r="D6763" t="str">
        <f>TEST_DATA!D6763</f>
        <v>NON-NIL</v>
      </c>
      <c r="E6763">
        <f>TEST_DATA!E6763</f>
        <v>2847</v>
      </c>
    </row>
    <row r="6764" spans="1:5" x14ac:dyDescent="0.55000000000000004">
      <c r="A6764" t="str">
        <f>TEST_DATA!A6764</f>
        <v>27AAAAA6764Z5</v>
      </c>
      <c r="B6764" t="str">
        <f>TEST_DATA!B6764</f>
        <v>Apr-2021</v>
      </c>
      <c r="C6764">
        <f>TEST_DATA!C6764</f>
        <v>44318</v>
      </c>
      <c r="D6764" t="str">
        <f>TEST_DATA!D6764</f>
        <v>NIL</v>
      </c>
      <c r="E6764">
        <f>TEST_DATA!E6764</f>
        <v>1005</v>
      </c>
    </row>
    <row r="6765" spans="1:5" x14ac:dyDescent="0.55000000000000004">
      <c r="A6765" t="str">
        <f>TEST_DATA!A6765</f>
        <v>27AAAAA6765Z5</v>
      </c>
      <c r="B6765" t="str">
        <f>TEST_DATA!B6765</f>
        <v>Jan-2018</v>
      </c>
      <c r="C6765">
        <f>TEST_DATA!C6765</f>
        <v>43249</v>
      </c>
      <c r="D6765" t="str">
        <f>TEST_DATA!D6765</f>
        <v>NON-NIL</v>
      </c>
      <c r="E6765">
        <f>TEST_DATA!E6765</f>
        <v>1008</v>
      </c>
    </row>
    <row r="6766" spans="1:5" x14ac:dyDescent="0.55000000000000004">
      <c r="A6766" t="str">
        <f>TEST_DATA!A6766</f>
        <v>27AAAAA6766Z5</v>
      </c>
      <c r="B6766" t="str">
        <f>TEST_DATA!B6766</f>
        <v>Jul-2018</v>
      </c>
      <c r="C6766">
        <f>TEST_DATA!C6766</f>
        <v>43251</v>
      </c>
      <c r="D6766" t="str">
        <f>TEST_DATA!D6766</f>
        <v>NON-NIL</v>
      </c>
      <c r="E6766">
        <f>TEST_DATA!E6766</f>
        <v>541</v>
      </c>
    </row>
    <row r="6767" spans="1:5" x14ac:dyDescent="0.55000000000000004">
      <c r="A6767" t="str">
        <f>TEST_DATA!A6767</f>
        <v>27AAAAA6767Z5</v>
      </c>
      <c r="B6767" t="str">
        <f>TEST_DATA!B6767</f>
        <v>Jul-2017</v>
      </c>
      <c r="C6767">
        <f>TEST_DATA!C6767</f>
        <v>44017</v>
      </c>
      <c r="D6767" t="str">
        <f>TEST_DATA!D6767</f>
        <v>NIL</v>
      </c>
      <c r="E6767">
        <f>TEST_DATA!E6767</f>
        <v>1420</v>
      </c>
    </row>
    <row r="6768" spans="1:5" x14ac:dyDescent="0.55000000000000004">
      <c r="A6768" t="str">
        <f>TEST_DATA!A6768</f>
        <v>27AAAAA6768Z5</v>
      </c>
      <c r="B6768" t="str">
        <f>TEST_DATA!B6768</f>
        <v>Mar-2020</v>
      </c>
      <c r="C6768">
        <f>TEST_DATA!C6768</f>
        <v>44303</v>
      </c>
      <c r="D6768" t="str">
        <f>TEST_DATA!D6768</f>
        <v>NIL</v>
      </c>
      <c r="E6768">
        <f>TEST_DATA!E6768</f>
        <v>517</v>
      </c>
    </row>
    <row r="6769" spans="1:5" x14ac:dyDescent="0.55000000000000004">
      <c r="A6769" t="str">
        <f>TEST_DATA!A6769</f>
        <v>27AAAAA6769Z5</v>
      </c>
      <c r="B6769" t="str">
        <f>TEST_DATA!B6769</f>
        <v>Dec-2022</v>
      </c>
      <c r="C6769">
        <f>TEST_DATA!C6769</f>
        <v>44569</v>
      </c>
      <c r="D6769" t="str">
        <f>TEST_DATA!D6769</f>
        <v>NON-NIL</v>
      </c>
      <c r="E6769">
        <f>TEST_DATA!E6769</f>
        <v>370</v>
      </c>
    </row>
    <row r="6770" spans="1:5" x14ac:dyDescent="0.55000000000000004">
      <c r="A6770" t="str">
        <f>TEST_DATA!A6770</f>
        <v>27AAAAA6770Z5</v>
      </c>
      <c r="B6770" t="str">
        <f>TEST_DATA!B6770</f>
        <v>Dec-2017</v>
      </c>
      <c r="C6770">
        <f>TEST_DATA!C6770</f>
        <v>44104</v>
      </c>
      <c r="D6770" t="str">
        <f>TEST_DATA!D6770</f>
        <v>NIL</v>
      </c>
      <c r="E6770">
        <f>TEST_DATA!E6770</f>
        <v>1819</v>
      </c>
    </row>
    <row r="6771" spans="1:5" x14ac:dyDescent="0.55000000000000004">
      <c r="A6771" t="str">
        <f>TEST_DATA!A6771</f>
        <v>27AAAAA6771Z5</v>
      </c>
      <c r="B6771" t="str">
        <f>TEST_DATA!B6771</f>
        <v>Mar-2021</v>
      </c>
      <c r="C6771">
        <f>TEST_DATA!C6771</f>
        <v>44831</v>
      </c>
      <c r="D6771" t="str">
        <f>TEST_DATA!D6771</f>
        <v>NON-NIL</v>
      </c>
      <c r="E6771">
        <f>TEST_DATA!E6771</f>
        <v>1282</v>
      </c>
    </row>
    <row r="6772" spans="1:5" x14ac:dyDescent="0.55000000000000004">
      <c r="A6772" t="str">
        <f>TEST_DATA!A6772</f>
        <v>27AAAAA6772Z5</v>
      </c>
      <c r="B6772" t="str">
        <f>TEST_DATA!B6772</f>
        <v>Mar-2023</v>
      </c>
      <c r="C6772">
        <f>TEST_DATA!C6772</f>
        <v>44014</v>
      </c>
      <c r="D6772" t="str">
        <f>TEST_DATA!D6772</f>
        <v>NIL</v>
      </c>
      <c r="E6772">
        <f>TEST_DATA!E6772</f>
        <v>482</v>
      </c>
    </row>
    <row r="6773" spans="1:5" x14ac:dyDescent="0.55000000000000004">
      <c r="A6773" t="str">
        <f>TEST_DATA!A6773</f>
        <v>27AAAAA6773Z5</v>
      </c>
      <c r="B6773" t="str">
        <f>TEST_DATA!B6773</f>
        <v>Nov-2017</v>
      </c>
      <c r="C6773">
        <f>TEST_DATA!C6773</f>
        <v>43414</v>
      </c>
      <c r="D6773" t="str">
        <f>TEST_DATA!D6773</f>
        <v>NON-NIL</v>
      </c>
      <c r="E6773">
        <f>TEST_DATA!E6773</f>
        <v>1644</v>
      </c>
    </row>
    <row r="6774" spans="1:5" x14ac:dyDescent="0.55000000000000004">
      <c r="A6774" t="str">
        <f>TEST_DATA!A6774</f>
        <v>27AAAAA6774Z5</v>
      </c>
      <c r="B6774" t="str">
        <f>TEST_DATA!B6774</f>
        <v>Jan-2018</v>
      </c>
      <c r="C6774">
        <f>TEST_DATA!C6774</f>
        <v>43071</v>
      </c>
      <c r="D6774" t="str">
        <f>TEST_DATA!D6774</f>
        <v>NON-NIL</v>
      </c>
      <c r="E6774">
        <f>TEST_DATA!E6774</f>
        <v>1883</v>
      </c>
    </row>
    <row r="6775" spans="1:5" x14ac:dyDescent="0.55000000000000004">
      <c r="A6775" t="str">
        <f>TEST_DATA!A6775</f>
        <v>27AAAAA6775Z5</v>
      </c>
      <c r="B6775" t="str">
        <f>TEST_DATA!B6775</f>
        <v>Apr-2018</v>
      </c>
      <c r="C6775">
        <f>TEST_DATA!C6775</f>
        <v>44121</v>
      </c>
      <c r="D6775" t="str">
        <f>TEST_DATA!D6775</f>
        <v>NON-NIL</v>
      </c>
      <c r="E6775">
        <f>TEST_DATA!E6775</f>
        <v>1138</v>
      </c>
    </row>
    <row r="6776" spans="1:5" x14ac:dyDescent="0.55000000000000004">
      <c r="A6776" t="str">
        <f>TEST_DATA!A6776</f>
        <v>27AAAAA6776Z5</v>
      </c>
      <c r="B6776" t="str">
        <f>TEST_DATA!B6776</f>
        <v>Dec-2017</v>
      </c>
      <c r="C6776">
        <f>TEST_DATA!C6776</f>
        <v>43051</v>
      </c>
      <c r="D6776" t="str">
        <f>TEST_DATA!D6776</f>
        <v>NIL</v>
      </c>
      <c r="E6776">
        <f>TEST_DATA!E6776</f>
        <v>1572</v>
      </c>
    </row>
    <row r="6777" spans="1:5" x14ac:dyDescent="0.55000000000000004">
      <c r="A6777" t="str">
        <f>TEST_DATA!A6777</f>
        <v>27AAAAA6777Z5</v>
      </c>
      <c r="B6777" t="str">
        <f>TEST_DATA!B6777</f>
        <v>Dec-2017</v>
      </c>
      <c r="C6777">
        <f>TEST_DATA!C6777</f>
        <v>44136</v>
      </c>
      <c r="D6777" t="str">
        <f>TEST_DATA!D6777</f>
        <v>NON-NIL</v>
      </c>
      <c r="E6777">
        <f>TEST_DATA!E6777</f>
        <v>2625</v>
      </c>
    </row>
    <row r="6778" spans="1:5" x14ac:dyDescent="0.55000000000000004">
      <c r="A6778" t="str">
        <f>TEST_DATA!A6778</f>
        <v>27AAAAA6778Z5</v>
      </c>
      <c r="B6778" t="str">
        <f>TEST_DATA!B6778</f>
        <v>Sep-2017</v>
      </c>
      <c r="C6778">
        <f>TEST_DATA!C6778</f>
        <v>44076</v>
      </c>
      <c r="D6778" t="str">
        <f>TEST_DATA!D6778</f>
        <v>NIL</v>
      </c>
      <c r="E6778">
        <f>TEST_DATA!E6778</f>
        <v>1835</v>
      </c>
    </row>
    <row r="6779" spans="1:5" x14ac:dyDescent="0.55000000000000004">
      <c r="A6779" t="str">
        <f>TEST_DATA!A6779</f>
        <v>27AAAAA6779Z5</v>
      </c>
      <c r="B6779" t="str">
        <f>TEST_DATA!B6779</f>
        <v>May-2018</v>
      </c>
      <c r="C6779">
        <f>TEST_DATA!C6779</f>
        <v>44191</v>
      </c>
      <c r="D6779" t="str">
        <f>TEST_DATA!D6779</f>
        <v>NIL</v>
      </c>
      <c r="E6779">
        <f>TEST_DATA!E6779</f>
        <v>2400</v>
      </c>
    </row>
    <row r="6780" spans="1:5" x14ac:dyDescent="0.55000000000000004">
      <c r="A6780" t="str">
        <f>TEST_DATA!A6780</f>
        <v>27AAAAA6780Z5</v>
      </c>
      <c r="B6780" t="str">
        <f>TEST_DATA!B6780</f>
        <v>Nov-2017</v>
      </c>
      <c r="C6780">
        <f>TEST_DATA!C6780</f>
        <v>43287</v>
      </c>
      <c r="D6780" t="str">
        <f>TEST_DATA!D6780</f>
        <v>NON-NIL</v>
      </c>
      <c r="E6780">
        <f>TEST_DATA!E6780</f>
        <v>1828</v>
      </c>
    </row>
    <row r="6781" spans="1:5" x14ac:dyDescent="0.55000000000000004">
      <c r="A6781" t="str">
        <f>TEST_DATA!A6781</f>
        <v>27AAAAA6781Z5</v>
      </c>
      <c r="B6781" t="str">
        <f>TEST_DATA!B6781</f>
        <v>Sep-2017</v>
      </c>
      <c r="C6781">
        <f>TEST_DATA!C6781</f>
        <v>44356</v>
      </c>
      <c r="D6781" t="str">
        <f>TEST_DATA!D6781</f>
        <v>NIL</v>
      </c>
      <c r="E6781">
        <f>TEST_DATA!E6781</f>
        <v>409</v>
      </c>
    </row>
    <row r="6782" spans="1:5" x14ac:dyDescent="0.55000000000000004">
      <c r="A6782" t="str">
        <f>TEST_DATA!A6782</f>
        <v>27AAAAA6782Z5</v>
      </c>
      <c r="B6782" t="str">
        <f>TEST_DATA!B6782</f>
        <v>Jan-2019</v>
      </c>
      <c r="C6782">
        <f>TEST_DATA!C6782</f>
        <v>44991</v>
      </c>
      <c r="D6782" t="str">
        <f>TEST_DATA!D6782</f>
        <v>NIL</v>
      </c>
      <c r="E6782">
        <f>TEST_DATA!E6782</f>
        <v>2959</v>
      </c>
    </row>
    <row r="6783" spans="1:5" x14ac:dyDescent="0.55000000000000004">
      <c r="A6783" t="str">
        <f>TEST_DATA!A6783</f>
        <v>27AAAAA6783Z5</v>
      </c>
      <c r="B6783" t="str">
        <f>TEST_DATA!B6783</f>
        <v>Jul-2018</v>
      </c>
      <c r="C6783">
        <f>TEST_DATA!C6783</f>
        <v>43179</v>
      </c>
      <c r="D6783" t="str">
        <f>TEST_DATA!D6783</f>
        <v>NON-NIL</v>
      </c>
      <c r="E6783">
        <f>TEST_DATA!E6783</f>
        <v>1122</v>
      </c>
    </row>
    <row r="6784" spans="1:5" x14ac:dyDescent="0.55000000000000004">
      <c r="A6784" t="str">
        <f>TEST_DATA!A6784</f>
        <v>27AAAAA6784Z5</v>
      </c>
      <c r="B6784" t="str">
        <f>TEST_DATA!B6784</f>
        <v>Jan-2019</v>
      </c>
      <c r="C6784">
        <f>TEST_DATA!C6784</f>
        <v>44770</v>
      </c>
      <c r="D6784" t="str">
        <f>TEST_DATA!D6784</f>
        <v>NIL</v>
      </c>
      <c r="E6784">
        <f>TEST_DATA!E6784</f>
        <v>2735</v>
      </c>
    </row>
    <row r="6785" spans="1:5" x14ac:dyDescent="0.55000000000000004">
      <c r="A6785" t="str">
        <f>TEST_DATA!A6785</f>
        <v>27AAAAA6785Z5</v>
      </c>
      <c r="B6785" t="str">
        <f>TEST_DATA!B6785</f>
        <v>Mar-2023</v>
      </c>
      <c r="C6785">
        <f>TEST_DATA!C6785</f>
        <v>45549</v>
      </c>
      <c r="D6785" t="str">
        <f>TEST_DATA!D6785</f>
        <v>NON-NIL</v>
      </c>
      <c r="E6785">
        <f>TEST_DATA!E6785</f>
        <v>1031</v>
      </c>
    </row>
    <row r="6786" spans="1:5" x14ac:dyDescent="0.55000000000000004">
      <c r="A6786" t="str">
        <f>TEST_DATA!A6786</f>
        <v>27AAAAA6786Z5</v>
      </c>
      <c r="B6786" t="str">
        <f>TEST_DATA!B6786</f>
        <v>Jul-2018</v>
      </c>
      <c r="C6786">
        <f>TEST_DATA!C6786</f>
        <v>43127</v>
      </c>
      <c r="D6786" t="str">
        <f>TEST_DATA!D6786</f>
        <v>NIL</v>
      </c>
      <c r="E6786">
        <f>TEST_DATA!E6786</f>
        <v>2872</v>
      </c>
    </row>
    <row r="6787" spans="1:5" x14ac:dyDescent="0.55000000000000004">
      <c r="A6787" t="str">
        <f>TEST_DATA!A6787</f>
        <v>27AAAAA6787Z5</v>
      </c>
      <c r="B6787" t="str">
        <f>TEST_DATA!B6787</f>
        <v>Jul-2017</v>
      </c>
      <c r="C6787">
        <f>TEST_DATA!C6787</f>
        <v>44188</v>
      </c>
      <c r="D6787" t="str">
        <f>TEST_DATA!D6787</f>
        <v>NON-NIL</v>
      </c>
      <c r="E6787">
        <f>TEST_DATA!E6787</f>
        <v>493</v>
      </c>
    </row>
    <row r="6788" spans="1:5" x14ac:dyDescent="0.55000000000000004">
      <c r="A6788" t="str">
        <f>TEST_DATA!A6788</f>
        <v>27AAAAA6788Z5</v>
      </c>
      <c r="B6788" t="str">
        <f>TEST_DATA!B6788</f>
        <v>Sep-2018</v>
      </c>
      <c r="C6788">
        <f>TEST_DATA!C6788</f>
        <v>44486</v>
      </c>
      <c r="D6788" t="str">
        <f>TEST_DATA!D6788</f>
        <v>NIL</v>
      </c>
      <c r="E6788">
        <f>TEST_DATA!E6788</f>
        <v>108</v>
      </c>
    </row>
    <row r="6789" spans="1:5" x14ac:dyDescent="0.55000000000000004">
      <c r="A6789" t="str">
        <f>TEST_DATA!A6789</f>
        <v>27AAAAA6789Z5</v>
      </c>
      <c r="B6789" t="str">
        <f>TEST_DATA!B6789</f>
        <v>Jul-2017</v>
      </c>
      <c r="C6789">
        <f>TEST_DATA!C6789</f>
        <v>44086</v>
      </c>
      <c r="D6789" t="str">
        <f>TEST_DATA!D6789</f>
        <v>NIL</v>
      </c>
      <c r="E6789">
        <f>TEST_DATA!E6789</f>
        <v>2702</v>
      </c>
    </row>
    <row r="6790" spans="1:5" x14ac:dyDescent="0.55000000000000004">
      <c r="A6790" t="str">
        <f>TEST_DATA!A6790</f>
        <v>27AAAAA6790Z5</v>
      </c>
      <c r="B6790" t="str">
        <f>TEST_DATA!B6790</f>
        <v>Jan-2021</v>
      </c>
      <c r="C6790">
        <f>TEST_DATA!C6790</f>
        <v>45649</v>
      </c>
      <c r="D6790" t="str">
        <f>TEST_DATA!D6790</f>
        <v>NON-NIL</v>
      </c>
      <c r="E6790">
        <f>TEST_DATA!E6790</f>
        <v>1291</v>
      </c>
    </row>
    <row r="6791" spans="1:5" x14ac:dyDescent="0.55000000000000004">
      <c r="A6791" t="str">
        <f>TEST_DATA!A6791</f>
        <v>27AAAAA6791Z5</v>
      </c>
      <c r="B6791" t="str">
        <f>TEST_DATA!B6791</f>
        <v>Mar-2023</v>
      </c>
      <c r="C6791">
        <f>TEST_DATA!C6791</f>
        <v>44028</v>
      </c>
      <c r="D6791" t="str">
        <f>TEST_DATA!D6791</f>
        <v>NON-NIL</v>
      </c>
      <c r="E6791">
        <f>TEST_DATA!E6791</f>
        <v>250</v>
      </c>
    </row>
    <row r="6792" spans="1:5" x14ac:dyDescent="0.55000000000000004">
      <c r="A6792" t="str">
        <f>TEST_DATA!A6792</f>
        <v>27AAAAA6792Z5</v>
      </c>
      <c r="B6792" t="str">
        <f>TEST_DATA!B6792</f>
        <v>Jan-2018</v>
      </c>
      <c r="C6792">
        <f>TEST_DATA!C6792</f>
        <v>43257</v>
      </c>
      <c r="D6792" t="str">
        <f>TEST_DATA!D6792</f>
        <v>NIL</v>
      </c>
      <c r="E6792">
        <f>TEST_DATA!E6792</f>
        <v>257</v>
      </c>
    </row>
    <row r="6793" spans="1:5" x14ac:dyDescent="0.55000000000000004">
      <c r="A6793" t="str">
        <f>TEST_DATA!A6793</f>
        <v>27AAAAA6793Z5</v>
      </c>
      <c r="B6793" t="str">
        <f>TEST_DATA!B6793</f>
        <v>Jun-2018</v>
      </c>
      <c r="C6793">
        <f>TEST_DATA!C6793</f>
        <v>44332</v>
      </c>
      <c r="D6793" t="str">
        <f>TEST_DATA!D6793</f>
        <v>NIL</v>
      </c>
      <c r="E6793">
        <f>TEST_DATA!E6793</f>
        <v>1359</v>
      </c>
    </row>
    <row r="6794" spans="1:5" x14ac:dyDescent="0.55000000000000004">
      <c r="A6794" t="str">
        <f>TEST_DATA!A6794</f>
        <v>27AAAAA6794Z5</v>
      </c>
      <c r="B6794" t="str">
        <f>TEST_DATA!B6794</f>
        <v>Jun-2018</v>
      </c>
      <c r="C6794">
        <f>TEST_DATA!C6794</f>
        <v>42937</v>
      </c>
      <c r="D6794" t="str">
        <f>TEST_DATA!D6794</f>
        <v>NON-NIL</v>
      </c>
      <c r="E6794">
        <f>TEST_DATA!E6794</f>
        <v>385</v>
      </c>
    </row>
    <row r="6795" spans="1:5" x14ac:dyDescent="0.55000000000000004">
      <c r="A6795" t="str">
        <f>TEST_DATA!A6795</f>
        <v>27AAAAA6795Z5</v>
      </c>
      <c r="B6795" t="str">
        <f>TEST_DATA!B6795</f>
        <v>Mar-2018</v>
      </c>
      <c r="C6795">
        <f>TEST_DATA!C6795</f>
        <v>43346</v>
      </c>
      <c r="D6795" t="str">
        <f>TEST_DATA!D6795</f>
        <v>NIL</v>
      </c>
      <c r="E6795">
        <f>TEST_DATA!E6795</f>
        <v>411</v>
      </c>
    </row>
    <row r="6796" spans="1:5" x14ac:dyDescent="0.55000000000000004">
      <c r="A6796" t="str">
        <f>TEST_DATA!A6796</f>
        <v>27AAAAA6796Z5</v>
      </c>
      <c r="B6796" t="str">
        <f>TEST_DATA!B6796</f>
        <v>Mar-2020</v>
      </c>
      <c r="C6796">
        <f>TEST_DATA!C6796</f>
        <v>44046</v>
      </c>
      <c r="D6796" t="str">
        <f>TEST_DATA!D6796</f>
        <v>NON-NIL</v>
      </c>
      <c r="E6796">
        <f>TEST_DATA!E6796</f>
        <v>973</v>
      </c>
    </row>
    <row r="6797" spans="1:5" x14ac:dyDescent="0.55000000000000004">
      <c r="A6797" t="str">
        <f>TEST_DATA!A6797</f>
        <v>27AAAAA6797Z5</v>
      </c>
      <c r="B6797" t="str">
        <f>TEST_DATA!B6797</f>
        <v>Jun-2020</v>
      </c>
      <c r="C6797">
        <f>TEST_DATA!C6797</f>
        <v>43932</v>
      </c>
      <c r="D6797" t="str">
        <f>TEST_DATA!D6797</f>
        <v>NON-NIL</v>
      </c>
      <c r="E6797">
        <f>TEST_DATA!E6797</f>
        <v>1987</v>
      </c>
    </row>
    <row r="6798" spans="1:5" x14ac:dyDescent="0.55000000000000004">
      <c r="A6798" t="str">
        <f>TEST_DATA!A6798</f>
        <v>27AAAAA6798Z5</v>
      </c>
      <c r="B6798" t="str">
        <f>TEST_DATA!B6798</f>
        <v>Mar-2020</v>
      </c>
      <c r="C6798">
        <f>TEST_DATA!C6798</f>
        <v>44775</v>
      </c>
      <c r="D6798" t="str">
        <f>TEST_DATA!D6798</f>
        <v>NIL</v>
      </c>
      <c r="E6798">
        <f>TEST_DATA!E6798</f>
        <v>1068</v>
      </c>
    </row>
    <row r="6799" spans="1:5" x14ac:dyDescent="0.55000000000000004">
      <c r="A6799" t="str">
        <f>TEST_DATA!A6799</f>
        <v>27AAAAA6799Z5</v>
      </c>
      <c r="B6799" t="str">
        <f>TEST_DATA!B6799</f>
        <v>Sep-2018</v>
      </c>
      <c r="C6799">
        <f>TEST_DATA!C6799</f>
        <v>44156</v>
      </c>
      <c r="D6799" t="str">
        <f>TEST_DATA!D6799</f>
        <v>NIL</v>
      </c>
      <c r="E6799">
        <f>TEST_DATA!E6799</f>
        <v>1533</v>
      </c>
    </row>
    <row r="6800" spans="1:5" x14ac:dyDescent="0.55000000000000004">
      <c r="A6800" t="str">
        <f>TEST_DATA!A6800</f>
        <v>27AAAAA6800Z5</v>
      </c>
      <c r="B6800" t="str">
        <f>TEST_DATA!B6800</f>
        <v>Jul-2020</v>
      </c>
      <c r="C6800">
        <f>TEST_DATA!C6800</f>
        <v>44345</v>
      </c>
      <c r="D6800" t="str">
        <f>TEST_DATA!D6800</f>
        <v>NIL</v>
      </c>
      <c r="E6800">
        <f>TEST_DATA!E6800</f>
        <v>628</v>
      </c>
    </row>
    <row r="6801" spans="1:5" x14ac:dyDescent="0.55000000000000004">
      <c r="A6801" t="str">
        <f>TEST_DATA!A6801</f>
        <v>27AAAAA6801Z5</v>
      </c>
      <c r="B6801" t="str">
        <f>TEST_DATA!B6801</f>
        <v>Sep-2017</v>
      </c>
      <c r="C6801">
        <f>TEST_DATA!C6801</f>
        <v>43944</v>
      </c>
      <c r="D6801" t="str">
        <f>TEST_DATA!D6801</f>
        <v>NIL</v>
      </c>
      <c r="E6801">
        <f>TEST_DATA!E6801</f>
        <v>2900</v>
      </c>
    </row>
    <row r="6802" spans="1:5" x14ac:dyDescent="0.55000000000000004">
      <c r="A6802" t="str">
        <f>TEST_DATA!A6802</f>
        <v>27AAAAA6802Z5</v>
      </c>
      <c r="B6802" t="str">
        <f>TEST_DATA!B6802</f>
        <v>Dec-2022</v>
      </c>
      <c r="C6802">
        <f>TEST_DATA!C6802</f>
        <v>44507</v>
      </c>
      <c r="D6802" t="str">
        <f>TEST_DATA!D6802</f>
        <v>NON-NIL</v>
      </c>
      <c r="E6802">
        <f>TEST_DATA!E6802</f>
        <v>2868</v>
      </c>
    </row>
    <row r="6803" spans="1:5" x14ac:dyDescent="0.55000000000000004">
      <c r="A6803" t="str">
        <f>TEST_DATA!A6803</f>
        <v>27AAAAA6803Z5</v>
      </c>
      <c r="B6803" t="str">
        <f>TEST_DATA!B6803</f>
        <v>Dec-2019</v>
      </c>
      <c r="C6803">
        <f>TEST_DATA!C6803</f>
        <v>43914</v>
      </c>
      <c r="D6803" t="str">
        <f>TEST_DATA!D6803</f>
        <v>NIL</v>
      </c>
      <c r="E6803">
        <f>TEST_DATA!E6803</f>
        <v>30</v>
      </c>
    </row>
    <row r="6804" spans="1:5" x14ac:dyDescent="0.55000000000000004">
      <c r="A6804" t="str">
        <f>TEST_DATA!A6804</f>
        <v>27AAAAA6804Z5</v>
      </c>
      <c r="B6804" t="str">
        <f>TEST_DATA!B6804</f>
        <v>Apr-2018</v>
      </c>
      <c r="C6804">
        <f>TEST_DATA!C6804</f>
        <v>44497</v>
      </c>
      <c r="D6804" t="str">
        <f>TEST_DATA!D6804</f>
        <v>NON-NIL</v>
      </c>
      <c r="E6804">
        <f>TEST_DATA!E6804</f>
        <v>2017</v>
      </c>
    </row>
    <row r="6805" spans="1:5" x14ac:dyDescent="0.55000000000000004">
      <c r="A6805" t="str">
        <f>TEST_DATA!A6805</f>
        <v>27AAAAA6805Z5</v>
      </c>
      <c r="B6805" t="str">
        <f>TEST_DATA!B6805</f>
        <v>Aug-2017</v>
      </c>
      <c r="C6805">
        <f>TEST_DATA!C6805</f>
        <v>43800</v>
      </c>
      <c r="D6805" t="str">
        <f>TEST_DATA!D6805</f>
        <v>NON-NIL</v>
      </c>
      <c r="E6805">
        <f>TEST_DATA!E6805</f>
        <v>2597</v>
      </c>
    </row>
    <row r="6806" spans="1:5" x14ac:dyDescent="0.55000000000000004">
      <c r="A6806" t="str">
        <f>TEST_DATA!A6806</f>
        <v>27AAAAA6806Z5</v>
      </c>
      <c r="B6806" t="str">
        <f>TEST_DATA!B6806</f>
        <v>Jul-2018</v>
      </c>
      <c r="C6806">
        <f>TEST_DATA!C6806</f>
        <v>44093</v>
      </c>
      <c r="D6806" t="str">
        <f>TEST_DATA!D6806</f>
        <v>NIL</v>
      </c>
      <c r="E6806">
        <f>TEST_DATA!E6806</f>
        <v>855</v>
      </c>
    </row>
    <row r="6807" spans="1:5" x14ac:dyDescent="0.55000000000000004">
      <c r="A6807" t="str">
        <f>TEST_DATA!A6807</f>
        <v>27AAAAA6807Z5</v>
      </c>
      <c r="B6807" t="str">
        <f>TEST_DATA!B6807</f>
        <v>Dec-2024</v>
      </c>
      <c r="C6807">
        <f>TEST_DATA!C6807</f>
        <v>44426</v>
      </c>
      <c r="D6807" t="str">
        <f>TEST_DATA!D6807</f>
        <v>NIL</v>
      </c>
      <c r="E6807">
        <f>TEST_DATA!E6807</f>
        <v>2412</v>
      </c>
    </row>
    <row r="6808" spans="1:5" x14ac:dyDescent="0.55000000000000004">
      <c r="A6808" t="str">
        <f>TEST_DATA!A6808</f>
        <v>27AAAAA6808Z5</v>
      </c>
      <c r="B6808" t="str">
        <f>TEST_DATA!B6808</f>
        <v>Mar-2020</v>
      </c>
      <c r="C6808">
        <f>TEST_DATA!C6808</f>
        <v>44711</v>
      </c>
      <c r="D6808" t="str">
        <f>TEST_DATA!D6808</f>
        <v>NON-NIL</v>
      </c>
      <c r="E6808">
        <f>TEST_DATA!E6808</f>
        <v>390</v>
      </c>
    </row>
    <row r="6809" spans="1:5" x14ac:dyDescent="0.55000000000000004">
      <c r="A6809" t="str">
        <f>TEST_DATA!A6809</f>
        <v>27AAAAA6809Z5</v>
      </c>
      <c r="B6809" t="str">
        <f>TEST_DATA!B6809</f>
        <v>Jun-2018</v>
      </c>
      <c r="C6809">
        <f>TEST_DATA!C6809</f>
        <v>44181</v>
      </c>
      <c r="D6809" t="str">
        <f>TEST_DATA!D6809</f>
        <v>NIL</v>
      </c>
      <c r="E6809">
        <f>TEST_DATA!E6809</f>
        <v>679</v>
      </c>
    </row>
    <row r="6810" spans="1:5" x14ac:dyDescent="0.55000000000000004">
      <c r="A6810" t="str">
        <f>TEST_DATA!A6810</f>
        <v>27AAAAA6810Z5</v>
      </c>
      <c r="B6810" t="str">
        <f>TEST_DATA!B6810</f>
        <v>May-2018</v>
      </c>
      <c r="C6810">
        <f>TEST_DATA!C6810</f>
        <v>43873</v>
      </c>
      <c r="D6810" t="str">
        <f>TEST_DATA!D6810</f>
        <v>NON-NIL</v>
      </c>
      <c r="E6810">
        <f>TEST_DATA!E6810</f>
        <v>1774</v>
      </c>
    </row>
    <row r="6811" spans="1:5" x14ac:dyDescent="0.55000000000000004">
      <c r="A6811" t="str">
        <f>TEST_DATA!A6811</f>
        <v>27AAAAA6811Z5</v>
      </c>
      <c r="B6811" t="str">
        <f>TEST_DATA!B6811</f>
        <v>Mar-2018</v>
      </c>
      <c r="C6811">
        <f>TEST_DATA!C6811</f>
        <v>43034</v>
      </c>
      <c r="D6811" t="str">
        <f>TEST_DATA!D6811</f>
        <v>NON-NIL</v>
      </c>
      <c r="E6811">
        <f>TEST_DATA!E6811</f>
        <v>2607</v>
      </c>
    </row>
    <row r="6812" spans="1:5" x14ac:dyDescent="0.55000000000000004">
      <c r="A6812" t="str">
        <f>TEST_DATA!A6812</f>
        <v>27AAAAA6812Z5</v>
      </c>
      <c r="B6812" t="str">
        <f>TEST_DATA!B6812</f>
        <v>Jun-2019</v>
      </c>
      <c r="C6812">
        <f>TEST_DATA!C6812</f>
        <v>44937</v>
      </c>
      <c r="D6812" t="str">
        <f>TEST_DATA!D6812</f>
        <v>NIL</v>
      </c>
      <c r="E6812">
        <f>TEST_DATA!E6812</f>
        <v>2217</v>
      </c>
    </row>
    <row r="6813" spans="1:5" x14ac:dyDescent="0.55000000000000004">
      <c r="A6813" t="str">
        <f>TEST_DATA!A6813</f>
        <v>27AAAAA6813Z5</v>
      </c>
      <c r="B6813" t="str">
        <f>TEST_DATA!B6813</f>
        <v>Dec-2017</v>
      </c>
      <c r="C6813">
        <f>TEST_DATA!C6813</f>
        <v>44503</v>
      </c>
      <c r="D6813" t="str">
        <f>TEST_DATA!D6813</f>
        <v>NON-NIL</v>
      </c>
      <c r="E6813">
        <f>TEST_DATA!E6813</f>
        <v>2865</v>
      </c>
    </row>
    <row r="6814" spans="1:5" x14ac:dyDescent="0.55000000000000004">
      <c r="A6814" t="str">
        <f>TEST_DATA!A6814</f>
        <v>27AAAAA6814Z5</v>
      </c>
      <c r="B6814" t="str">
        <f>TEST_DATA!B6814</f>
        <v>Aug-2018</v>
      </c>
      <c r="C6814">
        <f>TEST_DATA!C6814</f>
        <v>44372</v>
      </c>
      <c r="D6814" t="str">
        <f>TEST_DATA!D6814</f>
        <v>NON-NIL</v>
      </c>
      <c r="E6814">
        <f>TEST_DATA!E6814</f>
        <v>552</v>
      </c>
    </row>
    <row r="6815" spans="1:5" x14ac:dyDescent="0.55000000000000004">
      <c r="A6815" t="str">
        <f>TEST_DATA!A6815</f>
        <v>27AAAAA6815Z5</v>
      </c>
      <c r="B6815" t="str">
        <f>TEST_DATA!B6815</f>
        <v>Jul-2018</v>
      </c>
      <c r="C6815">
        <f>TEST_DATA!C6815</f>
        <v>44531</v>
      </c>
      <c r="D6815" t="str">
        <f>TEST_DATA!D6815</f>
        <v>NIL</v>
      </c>
      <c r="E6815">
        <f>TEST_DATA!E6815</f>
        <v>73</v>
      </c>
    </row>
    <row r="6816" spans="1:5" x14ac:dyDescent="0.55000000000000004">
      <c r="A6816" t="str">
        <f>TEST_DATA!A6816</f>
        <v>27AAAAA6816Z5</v>
      </c>
      <c r="B6816" t="str">
        <f>TEST_DATA!B6816</f>
        <v>Jan-2021</v>
      </c>
      <c r="C6816">
        <f>TEST_DATA!C6816</f>
        <v>45546</v>
      </c>
      <c r="D6816" t="str">
        <f>TEST_DATA!D6816</f>
        <v>NON-NIL</v>
      </c>
      <c r="E6816">
        <f>TEST_DATA!E6816</f>
        <v>1629</v>
      </c>
    </row>
    <row r="6817" spans="1:5" x14ac:dyDescent="0.55000000000000004">
      <c r="A6817" t="str">
        <f>TEST_DATA!A6817</f>
        <v>27AAAAA6817Z5</v>
      </c>
      <c r="B6817" t="str">
        <f>TEST_DATA!B6817</f>
        <v>Jan-2019</v>
      </c>
      <c r="C6817">
        <f>TEST_DATA!C6817</f>
        <v>43979</v>
      </c>
      <c r="D6817" t="str">
        <f>TEST_DATA!D6817</f>
        <v>NIL</v>
      </c>
      <c r="E6817">
        <f>TEST_DATA!E6817</f>
        <v>1484</v>
      </c>
    </row>
    <row r="6818" spans="1:5" x14ac:dyDescent="0.55000000000000004">
      <c r="A6818" t="str">
        <f>TEST_DATA!A6818</f>
        <v>27AAAAA6818Z5</v>
      </c>
      <c r="B6818" t="str">
        <f>TEST_DATA!B6818</f>
        <v>Apr-2018</v>
      </c>
      <c r="C6818">
        <f>TEST_DATA!C6818</f>
        <v>43360</v>
      </c>
      <c r="D6818" t="str">
        <f>TEST_DATA!D6818</f>
        <v>NON-NIL</v>
      </c>
      <c r="E6818">
        <f>TEST_DATA!E6818</f>
        <v>1528</v>
      </c>
    </row>
    <row r="6819" spans="1:5" x14ac:dyDescent="0.55000000000000004">
      <c r="A6819" t="str">
        <f>TEST_DATA!A6819</f>
        <v>27AAAAA6819Z5</v>
      </c>
      <c r="B6819" t="str">
        <f>TEST_DATA!B6819</f>
        <v>Sep-2017</v>
      </c>
      <c r="C6819">
        <f>TEST_DATA!C6819</f>
        <v>44526</v>
      </c>
      <c r="D6819" t="str">
        <f>TEST_DATA!D6819</f>
        <v>NON-NIL</v>
      </c>
      <c r="E6819">
        <f>TEST_DATA!E6819</f>
        <v>691</v>
      </c>
    </row>
    <row r="6820" spans="1:5" x14ac:dyDescent="0.55000000000000004">
      <c r="A6820" t="str">
        <f>TEST_DATA!A6820</f>
        <v>27AAAAA6820Z5</v>
      </c>
      <c r="B6820" t="str">
        <f>TEST_DATA!B6820</f>
        <v>Dec-2019</v>
      </c>
      <c r="C6820">
        <f>TEST_DATA!C6820</f>
        <v>44117</v>
      </c>
      <c r="D6820" t="str">
        <f>TEST_DATA!D6820</f>
        <v>NIL</v>
      </c>
      <c r="E6820">
        <f>TEST_DATA!E6820</f>
        <v>751</v>
      </c>
    </row>
    <row r="6821" spans="1:5" x14ac:dyDescent="0.55000000000000004">
      <c r="A6821" t="str">
        <f>TEST_DATA!A6821</f>
        <v>27AAAAA6821Z5</v>
      </c>
      <c r="B6821" t="str">
        <f>TEST_DATA!B6821</f>
        <v>Mar-2023</v>
      </c>
      <c r="C6821">
        <f>TEST_DATA!C6821</f>
        <v>44901</v>
      </c>
      <c r="D6821" t="str">
        <f>TEST_DATA!D6821</f>
        <v>NIL</v>
      </c>
      <c r="E6821">
        <f>TEST_DATA!E6821</f>
        <v>435</v>
      </c>
    </row>
    <row r="6822" spans="1:5" x14ac:dyDescent="0.55000000000000004">
      <c r="A6822" t="str">
        <f>TEST_DATA!A6822</f>
        <v>27AAAAA6822Z5</v>
      </c>
      <c r="B6822" t="str">
        <f>TEST_DATA!B6822</f>
        <v>Dec-2019</v>
      </c>
      <c r="C6822">
        <f>TEST_DATA!C6822</f>
        <v>44217</v>
      </c>
      <c r="D6822" t="str">
        <f>TEST_DATA!D6822</f>
        <v>NON-NIL</v>
      </c>
      <c r="E6822">
        <f>TEST_DATA!E6822</f>
        <v>2987</v>
      </c>
    </row>
    <row r="6823" spans="1:5" x14ac:dyDescent="0.55000000000000004">
      <c r="A6823" t="str">
        <f>TEST_DATA!A6823</f>
        <v>27AAAAA6823Z5</v>
      </c>
      <c r="B6823" t="str">
        <f>TEST_DATA!B6823</f>
        <v>Apr-2021</v>
      </c>
      <c r="C6823">
        <f>TEST_DATA!C6823</f>
        <v>45127</v>
      </c>
      <c r="D6823" t="str">
        <f>TEST_DATA!D6823</f>
        <v>NIL</v>
      </c>
      <c r="E6823">
        <f>TEST_DATA!E6823</f>
        <v>1228</v>
      </c>
    </row>
    <row r="6824" spans="1:5" x14ac:dyDescent="0.55000000000000004">
      <c r="A6824" t="str">
        <f>TEST_DATA!A6824</f>
        <v>27AAAAA6824Z5</v>
      </c>
      <c r="B6824" t="str">
        <f>TEST_DATA!B6824</f>
        <v>Sep-2018</v>
      </c>
      <c r="C6824">
        <f>TEST_DATA!C6824</f>
        <v>43269</v>
      </c>
      <c r="D6824" t="str">
        <f>TEST_DATA!D6824</f>
        <v>NON-NIL</v>
      </c>
      <c r="E6824">
        <f>TEST_DATA!E6824</f>
        <v>772</v>
      </c>
    </row>
    <row r="6825" spans="1:5" x14ac:dyDescent="0.55000000000000004">
      <c r="A6825" t="str">
        <f>TEST_DATA!A6825</f>
        <v>27AAAAA6825Z5</v>
      </c>
      <c r="B6825" t="str">
        <f>TEST_DATA!B6825</f>
        <v>Mar-2020</v>
      </c>
      <c r="C6825">
        <f>TEST_DATA!C6825</f>
        <v>44346</v>
      </c>
      <c r="D6825" t="str">
        <f>TEST_DATA!D6825</f>
        <v>NIL</v>
      </c>
      <c r="E6825">
        <f>TEST_DATA!E6825</f>
        <v>2646</v>
      </c>
    </row>
    <row r="6826" spans="1:5" x14ac:dyDescent="0.55000000000000004">
      <c r="A6826" t="str">
        <f>TEST_DATA!A6826</f>
        <v>27AAAAA6826Z5</v>
      </c>
      <c r="B6826" t="str">
        <f>TEST_DATA!B6826</f>
        <v>Jul-2017</v>
      </c>
      <c r="C6826">
        <f>TEST_DATA!C6826</f>
        <v>43102</v>
      </c>
      <c r="D6826" t="str">
        <f>TEST_DATA!D6826</f>
        <v>NIL</v>
      </c>
      <c r="E6826">
        <f>TEST_DATA!E6826</f>
        <v>665</v>
      </c>
    </row>
    <row r="6827" spans="1:5" x14ac:dyDescent="0.55000000000000004">
      <c r="A6827" t="str">
        <f>TEST_DATA!A6827</f>
        <v>27AAAAA6827Z5</v>
      </c>
      <c r="B6827" t="str">
        <f>TEST_DATA!B6827</f>
        <v>Feb-2018</v>
      </c>
      <c r="C6827">
        <f>TEST_DATA!C6827</f>
        <v>43477</v>
      </c>
      <c r="D6827" t="str">
        <f>TEST_DATA!D6827</f>
        <v>NIL</v>
      </c>
      <c r="E6827">
        <f>TEST_DATA!E6827</f>
        <v>1177</v>
      </c>
    </row>
    <row r="6828" spans="1:5" x14ac:dyDescent="0.55000000000000004">
      <c r="A6828" t="str">
        <f>TEST_DATA!A6828</f>
        <v>27AAAAA6828Z5</v>
      </c>
      <c r="B6828" t="str">
        <f>TEST_DATA!B6828</f>
        <v>Mar-2020</v>
      </c>
      <c r="C6828">
        <f>TEST_DATA!C6828</f>
        <v>44189</v>
      </c>
      <c r="D6828" t="str">
        <f>TEST_DATA!D6828</f>
        <v>NIL</v>
      </c>
      <c r="E6828">
        <f>TEST_DATA!E6828</f>
        <v>55</v>
      </c>
    </row>
    <row r="6829" spans="1:5" x14ac:dyDescent="0.55000000000000004">
      <c r="A6829" t="str">
        <f>TEST_DATA!A6829</f>
        <v>27AAAAA6829Z5</v>
      </c>
      <c r="B6829" t="str">
        <f>TEST_DATA!B6829</f>
        <v>Apr-2020</v>
      </c>
      <c r="C6829">
        <f>TEST_DATA!C6829</f>
        <v>44686</v>
      </c>
      <c r="D6829" t="str">
        <f>TEST_DATA!D6829</f>
        <v>NON-NIL</v>
      </c>
      <c r="E6829">
        <f>TEST_DATA!E6829</f>
        <v>697</v>
      </c>
    </row>
    <row r="6830" spans="1:5" x14ac:dyDescent="0.55000000000000004">
      <c r="A6830" t="str">
        <f>TEST_DATA!A6830</f>
        <v>27AAAAA6830Z5</v>
      </c>
      <c r="B6830" t="str">
        <f>TEST_DATA!B6830</f>
        <v>Dec-2022</v>
      </c>
      <c r="C6830">
        <f>TEST_DATA!C6830</f>
        <v>45282</v>
      </c>
      <c r="D6830" t="str">
        <f>TEST_DATA!D6830</f>
        <v>NIL</v>
      </c>
      <c r="E6830">
        <f>TEST_DATA!E6830</f>
        <v>550</v>
      </c>
    </row>
    <row r="6831" spans="1:5" x14ac:dyDescent="0.55000000000000004">
      <c r="A6831" t="str">
        <f>TEST_DATA!A6831</f>
        <v>27AAAAA6831Z5</v>
      </c>
      <c r="B6831" t="str">
        <f>TEST_DATA!B6831</f>
        <v>Aug-2018</v>
      </c>
      <c r="C6831">
        <f>TEST_DATA!C6831</f>
        <v>43733</v>
      </c>
      <c r="D6831" t="str">
        <f>TEST_DATA!D6831</f>
        <v>NIL</v>
      </c>
      <c r="E6831">
        <f>TEST_DATA!E6831</f>
        <v>1074</v>
      </c>
    </row>
    <row r="6832" spans="1:5" x14ac:dyDescent="0.55000000000000004">
      <c r="A6832" t="str">
        <f>TEST_DATA!A6832</f>
        <v>27AAAAA6832Z5</v>
      </c>
      <c r="B6832" t="str">
        <f>TEST_DATA!B6832</f>
        <v>Dec-2022</v>
      </c>
      <c r="C6832">
        <f>TEST_DATA!C6832</f>
        <v>44869</v>
      </c>
      <c r="D6832" t="str">
        <f>TEST_DATA!D6832</f>
        <v>NIL</v>
      </c>
      <c r="E6832">
        <f>TEST_DATA!E6832</f>
        <v>2378</v>
      </c>
    </row>
    <row r="6833" spans="1:5" x14ac:dyDescent="0.55000000000000004">
      <c r="A6833" t="str">
        <f>TEST_DATA!A6833</f>
        <v>27AAAAA6833Z5</v>
      </c>
      <c r="B6833" t="str">
        <f>TEST_DATA!B6833</f>
        <v>Jun-2018</v>
      </c>
      <c r="C6833">
        <f>TEST_DATA!C6833</f>
        <v>43798</v>
      </c>
      <c r="D6833" t="str">
        <f>TEST_DATA!D6833</f>
        <v>NIL</v>
      </c>
      <c r="E6833">
        <f>TEST_DATA!E6833</f>
        <v>758</v>
      </c>
    </row>
    <row r="6834" spans="1:5" x14ac:dyDescent="0.55000000000000004">
      <c r="A6834" t="str">
        <f>TEST_DATA!A6834</f>
        <v>27AAAAA6834Z5</v>
      </c>
      <c r="B6834" t="str">
        <f>TEST_DATA!B6834</f>
        <v>Sep-2017</v>
      </c>
      <c r="C6834">
        <f>TEST_DATA!C6834</f>
        <v>43894</v>
      </c>
      <c r="D6834" t="str">
        <f>TEST_DATA!D6834</f>
        <v>NON-NIL</v>
      </c>
      <c r="E6834">
        <f>TEST_DATA!E6834</f>
        <v>2650</v>
      </c>
    </row>
    <row r="6835" spans="1:5" x14ac:dyDescent="0.55000000000000004">
      <c r="A6835" t="str">
        <f>TEST_DATA!A6835</f>
        <v>27AAAAA6835Z5</v>
      </c>
      <c r="B6835" t="str">
        <f>TEST_DATA!B6835</f>
        <v>Aug-2017</v>
      </c>
      <c r="C6835">
        <f>TEST_DATA!C6835</f>
        <v>42955</v>
      </c>
      <c r="D6835" t="str">
        <f>TEST_DATA!D6835</f>
        <v>NIL</v>
      </c>
      <c r="E6835">
        <f>TEST_DATA!E6835</f>
        <v>2517</v>
      </c>
    </row>
    <row r="6836" spans="1:5" x14ac:dyDescent="0.55000000000000004">
      <c r="A6836" t="str">
        <f>TEST_DATA!A6836</f>
        <v>27AAAAA6836Z5</v>
      </c>
      <c r="B6836" t="str">
        <f>TEST_DATA!B6836</f>
        <v>Sep-2017</v>
      </c>
      <c r="C6836">
        <f>TEST_DATA!C6836</f>
        <v>43019</v>
      </c>
      <c r="D6836" t="str">
        <f>TEST_DATA!D6836</f>
        <v>NIL</v>
      </c>
      <c r="E6836">
        <f>TEST_DATA!E6836</f>
        <v>2354</v>
      </c>
    </row>
    <row r="6837" spans="1:5" x14ac:dyDescent="0.55000000000000004">
      <c r="A6837" t="str">
        <f>TEST_DATA!A6837</f>
        <v>27AAAAA6837Z5</v>
      </c>
      <c r="B6837" t="str">
        <f>TEST_DATA!B6837</f>
        <v>Feb-2018</v>
      </c>
      <c r="C6837">
        <f>TEST_DATA!C6837</f>
        <v>43420</v>
      </c>
      <c r="D6837" t="str">
        <f>TEST_DATA!D6837</f>
        <v>NON-NIL</v>
      </c>
      <c r="E6837">
        <f>TEST_DATA!E6837</f>
        <v>822</v>
      </c>
    </row>
    <row r="6838" spans="1:5" x14ac:dyDescent="0.55000000000000004">
      <c r="A6838" t="str">
        <f>TEST_DATA!A6838</f>
        <v>27AAAAA6838Z5</v>
      </c>
      <c r="B6838" t="str">
        <f>TEST_DATA!B6838</f>
        <v>Dec-2019</v>
      </c>
      <c r="C6838">
        <f>TEST_DATA!C6838</f>
        <v>44193</v>
      </c>
      <c r="D6838" t="str">
        <f>TEST_DATA!D6838</f>
        <v>NIL</v>
      </c>
      <c r="E6838">
        <f>TEST_DATA!E6838</f>
        <v>656</v>
      </c>
    </row>
    <row r="6839" spans="1:5" x14ac:dyDescent="0.55000000000000004">
      <c r="A6839" t="str">
        <f>TEST_DATA!A6839</f>
        <v>27AAAAA6839Z5</v>
      </c>
      <c r="B6839" t="str">
        <f>TEST_DATA!B6839</f>
        <v>Apr-2018</v>
      </c>
      <c r="C6839">
        <f>TEST_DATA!C6839</f>
        <v>43866</v>
      </c>
      <c r="D6839" t="str">
        <f>TEST_DATA!D6839</f>
        <v>NIL</v>
      </c>
      <c r="E6839">
        <f>TEST_DATA!E6839</f>
        <v>355</v>
      </c>
    </row>
    <row r="6840" spans="1:5" x14ac:dyDescent="0.55000000000000004">
      <c r="A6840" t="str">
        <f>TEST_DATA!A6840</f>
        <v>27AAAAA6840Z5</v>
      </c>
      <c r="B6840" t="str">
        <f>TEST_DATA!B6840</f>
        <v>Mar-2020</v>
      </c>
      <c r="C6840">
        <f>TEST_DATA!C6840</f>
        <v>44286</v>
      </c>
      <c r="D6840" t="str">
        <f>TEST_DATA!D6840</f>
        <v>NON-NIL</v>
      </c>
      <c r="E6840">
        <f>TEST_DATA!E6840</f>
        <v>23</v>
      </c>
    </row>
    <row r="6841" spans="1:5" x14ac:dyDescent="0.55000000000000004">
      <c r="A6841" t="str">
        <f>TEST_DATA!A6841</f>
        <v>27AAAAA6841Z5</v>
      </c>
      <c r="B6841" t="str">
        <f>TEST_DATA!B6841</f>
        <v>Jul-2020</v>
      </c>
      <c r="C6841">
        <f>TEST_DATA!C6841</f>
        <v>43926</v>
      </c>
      <c r="D6841" t="str">
        <f>TEST_DATA!D6841</f>
        <v>NON-NIL</v>
      </c>
      <c r="E6841">
        <f>TEST_DATA!E6841</f>
        <v>87</v>
      </c>
    </row>
    <row r="6842" spans="1:5" x14ac:dyDescent="0.55000000000000004">
      <c r="A6842" t="str">
        <f>TEST_DATA!A6842</f>
        <v>27AAAAA6842Z5</v>
      </c>
      <c r="B6842" t="str">
        <f>TEST_DATA!B6842</f>
        <v>Jun-2019</v>
      </c>
      <c r="C6842">
        <f>TEST_DATA!C6842</f>
        <v>44054</v>
      </c>
      <c r="D6842" t="str">
        <f>TEST_DATA!D6842</f>
        <v>NON-NIL</v>
      </c>
      <c r="E6842">
        <f>TEST_DATA!E6842</f>
        <v>1990</v>
      </c>
    </row>
    <row r="6843" spans="1:5" x14ac:dyDescent="0.55000000000000004">
      <c r="A6843" t="str">
        <f>TEST_DATA!A6843</f>
        <v>27AAAAA6843Z5</v>
      </c>
      <c r="B6843" t="str">
        <f>TEST_DATA!B6843</f>
        <v>Jun-2020</v>
      </c>
      <c r="C6843">
        <f>TEST_DATA!C6843</f>
        <v>43907</v>
      </c>
      <c r="D6843" t="str">
        <f>TEST_DATA!D6843</f>
        <v>NON-NIL</v>
      </c>
      <c r="E6843">
        <f>TEST_DATA!E6843</f>
        <v>1638</v>
      </c>
    </row>
    <row r="6844" spans="1:5" x14ac:dyDescent="0.55000000000000004">
      <c r="A6844" t="str">
        <f>TEST_DATA!A6844</f>
        <v>27AAAAA6844Z5</v>
      </c>
      <c r="B6844" t="str">
        <f>TEST_DATA!B6844</f>
        <v>Mar-2018</v>
      </c>
      <c r="C6844">
        <f>TEST_DATA!C6844</f>
        <v>43736</v>
      </c>
      <c r="D6844" t="str">
        <f>TEST_DATA!D6844</f>
        <v>NIL</v>
      </c>
      <c r="E6844">
        <f>TEST_DATA!E6844</f>
        <v>2806</v>
      </c>
    </row>
    <row r="6845" spans="1:5" x14ac:dyDescent="0.55000000000000004">
      <c r="A6845" t="str">
        <f>TEST_DATA!A6845</f>
        <v>27AAAAA6845Z5</v>
      </c>
      <c r="B6845" t="str">
        <f>TEST_DATA!B6845</f>
        <v>Jan-2021</v>
      </c>
      <c r="C6845">
        <f>TEST_DATA!C6845</f>
        <v>45178</v>
      </c>
      <c r="D6845" t="str">
        <f>TEST_DATA!D6845</f>
        <v>NIL</v>
      </c>
      <c r="E6845">
        <f>TEST_DATA!E6845</f>
        <v>1941</v>
      </c>
    </row>
    <row r="6846" spans="1:5" x14ac:dyDescent="0.55000000000000004">
      <c r="A6846" t="str">
        <f>TEST_DATA!A6846</f>
        <v>27AAAAA6846Z5</v>
      </c>
      <c r="B6846" t="str">
        <f>TEST_DATA!B6846</f>
        <v>Aug-2018</v>
      </c>
      <c r="C6846">
        <f>TEST_DATA!C6846</f>
        <v>43182</v>
      </c>
      <c r="D6846" t="str">
        <f>TEST_DATA!D6846</f>
        <v>NON-NIL</v>
      </c>
      <c r="E6846">
        <f>TEST_DATA!E6846</f>
        <v>1152</v>
      </c>
    </row>
    <row r="6847" spans="1:5" x14ac:dyDescent="0.55000000000000004">
      <c r="A6847" t="str">
        <f>TEST_DATA!A6847</f>
        <v>27AAAAA6847Z5</v>
      </c>
      <c r="B6847" t="str">
        <f>TEST_DATA!B6847</f>
        <v>Jan-2018</v>
      </c>
      <c r="C6847">
        <f>TEST_DATA!C6847</f>
        <v>44368</v>
      </c>
      <c r="D6847" t="str">
        <f>TEST_DATA!D6847</f>
        <v>NON-NIL</v>
      </c>
      <c r="E6847">
        <f>TEST_DATA!E6847</f>
        <v>42</v>
      </c>
    </row>
    <row r="6848" spans="1:5" x14ac:dyDescent="0.55000000000000004">
      <c r="A6848" t="str">
        <f>TEST_DATA!A6848</f>
        <v>27AAAAA6848Z5</v>
      </c>
      <c r="B6848" t="str">
        <f>TEST_DATA!B6848</f>
        <v>Jul-2017</v>
      </c>
      <c r="C6848">
        <f>TEST_DATA!C6848</f>
        <v>44089</v>
      </c>
      <c r="D6848" t="str">
        <f>TEST_DATA!D6848</f>
        <v>NON-NIL</v>
      </c>
      <c r="E6848">
        <f>TEST_DATA!E6848</f>
        <v>934</v>
      </c>
    </row>
    <row r="6849" spans="1:5" x14ac:dyDescent="0.55000000000000004">
      <c r="A6849" t="str">
        <f>TEST_DATA!A6849</f>
        <v>27AAAAA6849Z5</v>
      </c>
      <c r="B6849" t="str">
        <f>TEST_DATA!B6849</f>
        <v>Sep-2018</v>
      </c>
      <c r="C6849">
        <f>TEST_DATA!C6849</f>
        <v>43272</v>
      </c>
      <c r="D6849" t="str">
        <f>TEST_DATA!D6849</f>
        <v>NIL</v>
      </c>
      <c r="E6849">
        <f>TEST_DATA!E6849</f>
        <v>1111</v>
      </c>
    </row>
    <row r="6850" spans="1:5" x14ac:dyDescent="0.55000000000000004">
      <c r="A6850" t="str">
        <f>TEST_DATA!A6850</f>
        <v>27AAAAA6850Z5</v>
      </c>
      <c r="B6850" t="str">
        <f>TEST_DATA!B6850</f>
        <v>Aug-2018</v>
      </c>
      <c r="C6850">
        <f>TEST_DATA!C6850</f>
        <v>43101</v>
      </c>
      <c r="D6850" t="str">
        <f>TEST_DATA!D6850</f>
        <v>NON-NIL</v>
      </c>
      <c r="E6850">
        <f>TEST_DATA!E6850</f>
        <v>1743</v>
      </c>
    </row>
    <row r="6851" spans="1:5" x14ac:dyDescent="0.55000000000000004">
      <c r="A6851" t="str">
        <f>TEST_DATA!A6851</f>
        <v>27AAAAA6851Z5</v>
      </c>
      <c r="B6851" t="str">
        <f>TEST_DATA!B6851</f>
        <v>Jun-2020</v>
      </c>
      <c r="C6851">
        <f>TEST_DATA!C6851</f>
        <v>44131</v>
      </c>
      <c r="D6851" t="str">
        <f>TEST_DATA!D6851</f>
        <v>NIL</v>
      </c>
      <c r="E6851">
        <f>TEST_DATA!E6851</f>
        <v>2757</v>
      </c>
    </row>
    <row r="6852" spans="1:5" x14ac:dyDescent="0.55000000000000004">
      <c r="A6852" t="str">
        <f>TEST_DATA!A6852</f>
        <v>27AAAAA6852Z5</v>
      </c>
      <c r="B6852" t="str">
        <f>TEST_DATA!B6852</f>
        <v>Oct-2017</v>
      </c>
      <c r="C6852">
        <f>TEST_DATA!C6852</f>
        <v>43338</v>
      </c>
      <c r="D6852" t="str">
        <f>TEST_DATA!D6852</f>
        <v>NIL</v>
      </c>
      <c r="E6852">
        <f>TEST_DATA!E6852</f>
        <v>1680</v>
      </c>
    </row>
    <row r="6853" spans="1:5" x14ac:dyDescent="0.55000000000000004">
      <c r="A6853" t="str">
        <f>TEST_DATA!A6853</f>
        <v>27AAAAA6853Z5</v>
      </c>
      <c r="B6853" t="str">
        <f>TEST_DATA!B6853</f>
        <v>Oct-2017</v>
      </c>
      <c r="C6853">
        <f>TEST_DATA!C6853</f>
        <v>42942</v>
      </c>
      <c r="D6853" t="str">
        <f>TEST_DATA!D6853</f>
        <v>NON-NIL</v>
      </c>
      <c r="E6853">
        <f>TEST_DATA!E6853</f>
        <v>1159</v>
      </c>
    </row>
    <row r="6854" spans="1:5" x14ac:dyDescent="0.55000000000000004">
      <c r="A6854" t="str">
        <f>TEST_DATA!A6854</f>
        <v>27AAAAA6854Z5</v>
      </c>
      <c r="B6854" t="str">
        <f>TEST_DATA!B6854</f>
        <v>Jul-2020</v>
      </c>
      <c r="C6854">
        <f>TEST_DATA!C6854</f>
        <v>44021</v>
      </c>
      <c r="D6854" t="str">
        <f>TEST_DATA!D6854</f>
        <v>NON-NIL</v>
      </c>
      <c r="E6854">
        <f>TEST_DATA!E6854</f>
        <v>1227</v>
      </c>
    </row>
    <row r="6855" spans="1:5" x14ac:dyDescent="0.55000000000000004">
      <c r="A6855" t="str">
        <f>TEST_DATA!A6855</f>
        <v>27AAAAA6855Z5</v>
      </c>
      <c r="B6855" t="str">
        <f>TEST_DATA!B6855</f>
        <v>Nov-2017</v>
      </c>
      <c r="C6855">
        <f>TEST_DATA!C6855</f>
        <v>43326</v>
      </c>
      <c r="D6855" t="str">
        <f>TEST_DATA!D6855</f>
        <v>NIL</v>
      </c>
      <c r="E6855">
        <f>TEST_DATA!E6855</f>
        <v>1593</v>
      </c>
    </row>
    <row r="6856" spans="1:5" x14ac:dyDescent="0.55000000000000004">
      <c r="A6856" t="str">
        <f>TEST_DATA!A6856</f>
        <v>27AAAAA6856Z5</v>
      </c>
      <c r="B6856" t="str">
        <f>TEST_DATA!B6856</f>
        <v>Jun-2018</v>
      </c>
      <c r="C6856">
        <f>TEST_DATA!C6856</f>
        <v>43482</v>
      </c>
      <c r="D6856" t="str">
        <f>TEST_DATA!D6856</f>
        <v>NON-NIL</v>
      </c>
      <c r="E6856">
        <f>TEST_DATA!E6856</f>
        <v>476</v>
      </c>
    </row>
    <row r="6857" spans="1:5" x14ac:dyDescent="0.55000000000000004">
      <c r="A6857" t="str">
        <f>TEST_DATA!A6857</f>
        <v>27AAAAA6857Z5</v>
      </c>
      <c r="B6857" t="str">
        <f>TEST_DATA!B6857</f>
        <v>Jan-2021</v>
      </c>
      <c r="C6857">
        <f>TEST_DATA!C6857</f>
        <v>44271</v>
      </c>
      <c r="D6857" t="str">
        <f>TEST_DATA!D6857</f>
        <v>NON-NIL</v>
      </c>
      <c r="E6857">
        <f>TEST_DATA!E6857</f>
        <v>731</v>
      </c>
    </row>
    <row r="6858" spans="1:5" x14ac:dyDescent="0.55000000000000004">
      <c r="A6858" t="str">
        <f>TEST_DATA!A6858</f>
        <v>27AAAAA6858Z5</v>
      </c>
      <c r="B6858" t="str">
        <f>TEST_DATA!B6858</f>
        <v>Sep-2018</v>
      </c>
      <c r="C6858">
        <f>TEST_DATA!C6858</f>
        <v>43879</v>
      </c>
      <c r="D6858" t="str">
        <f>TEST_DATA!D6858</f>
        <v>NON-NIL</v>
      </c>
      <c r="E6858">
        <f>TEST_DATA!E6858</f>
        <v>2143</v>
      </c>
    </row>
    <row r="6859" spans="1:5" x14ac:dyDescent="0.55000000000000004">
      <c r="A6859" t="str">
        <f>TEST_DATA!A6859</f>
        <v>27AAAAA6859Z5</v>
      </c>
      <c r="B6859" t="str">
        <f>TEST_DATA!B6859</f>
        <v>Jun-2018</v>
      </c>
      <c r="C6859">
        <f>TEST_DATA!C6859</f>
        <v>43893</v>
      </c>
      <c r="D6859" t="str">
        <f>TEST_DATA!D6859</f>
        <v>NON-NIL</v>
      </c>
      <c r="E6859">
        <f>TEST_DATA!E6859</f>
        <v>129</v>
      </c>
    </row>
    <row r="6860" spans="1:5" x14ac:dyDescent="0.55000000000000004">
      <c r="A6860" t="str">
        <f>TEST_DATA!A6860</f>
        <v>27AAAAA6860Z5</v>
      </c>
      <c r="B6860" t="str">
        <f>TEST_DATA!B6860</f>
        <v>Aug-2018</v>
      </c>
      <c r="C6860">
        <f>TEST_DATA!C6860</f>
        <v>44335</v>
      </c>
      <c r="D6860" t="str">
        <f>TEST_DATA!D6860</f>
        <v>NIL</v>
      </c>
      <c r="E6860">
        <f>TEST_DATA!E6860</f>
        <v>1028</v>
      </c>
    </row>
    <row r="6861" spans="1:5" x14ac:dyDescent="0.55000000000000004">
      <c r="A6861" t="str">
        <f>TEST_DATA!A6861</f>
        <v>27AAAAA6861Z5</v>
      </c>
      <c r="B6861" t="str">
        <f>TEST_DATA!B6861</f>
        <v>Apr-2020</v>
      </c>
      <c r="C6861">
        <f>TEST_DATA!C6861</f>
        <v>44429</v>
      </c>
      <c r="D6861" t="str">
        <f>TEST_DATA!D6861</f>
        <v>NIL</v>
      </c>
      <c r="E6861">
        <f>TEST_DATA!E6861</f>
        <v>2554</v>
      </c>
    </row>
    <row r="6862" spans="1:5" x14ac:dyDescent="0.55000000000000004">
      <c r="A6862" t="str">
        <f>TEST_DATA!A6862</f>
        <v>27AAAAA6862Z5</v>
      </c>
      <c r="B6862" t="str">
        <f>TEST_DATA!B6862</f>
        <v>Aug-2017</v>
      </c>
      <c r="C6862">
        <f>TEST_DATA!C6862</f>
        <v>43485</v>
      </c>
      <c r="D6862" t="str">
        <f>TEST_DATA!D6862</f>
        <v>NON-NIL</v>
      </c>
      <c r="E6862">
        <f>TEST_DATA!E6862</f>
        <v>284</v>
      </c>
    </row>
    <row r="6863" spans="1:5" x14ac:dyDescent="0.55000000000000004">
      <c r="A6863" t="str">
        <f>TEST_DATA!A6863</f>
        <v>27AAAAA6863Z5</v>
      </c>
      <c r="B6863" t="str">
        <f>TEST_DATA!B6863</f>
        <v>Jan-2019</v>
      </c>
      <c r="C6863">
        <f>TEST_DATA!C6863</f>
        <v>44808</v>
      </c>
      <c r="D6863" t="str">
        <f>TEST_DATA!D6863</f>
        <v>NON-NIL</v>
      </c>
      <c r="E6863">
        <f>TEST_DATA!E6863</f>
        <v>409</v>
      </c>
    </row>
    <row r="6864" spans="1:5" x14ac:dyDescent="0.55000000000000004">
      <c r="A6864" t="str">
        <f>TEST_DATA!A6864</f>
        <v>27AAAAA6864Z5</v>
      </c>
      <c r="B6864" t="str">
        <f>TEST_DATA!B6864</f>
        <v>Jun-2019</v>
      </c>
      <c r="C6864">
        <f>TEST_DATA!C6864</f>
        <v>45720</v>
      </c>
      <c r="D6864" t="str">
        <f>TEST_DATA!D6864</f>
        <v>NON-NIL</v>
      </c>
      <c r="E6864">
        <f>TEST_DATA!E6864</f>
        <v>80</v>
      </c>
    </row>
    <row r="6865" spans="1:5" x14ac:dyDescent="0.55000000000000004">
      <c r="A6865" t="str">
        <f>TEST_DATA!A6865</f>
        <v>27AAAAA6865Z5</v>
      </c>
      <c r="B6865" t="str">
        <f>TEST_DATA!B6865</f>
        <v>Sep-2017</v>
      </c>
      <c r="C6865">
        <f>TEST_DATA!C6865</f>
        <v>43929</v>
      </c>
      <c r="D6865" t="str">
        <f>TEST_DATA!D6865</f>
        <v>NIL</v>
      </c>
      <c r="E6865">
        <f>TEST_DATA!E6865</f>
        <v>706</v>
      </c>
    </row>
    <row r="6866" spans="1:5" x14ac:dyDescent="0.55000000000000004">
      <c r="A6866" t="str">
        <f>TEST_DATA!A6866</f>
        <v>27AAAAA6866Z5</v>
      </c>
      <c r="B6866" t="str">
        <f>TEST_DATA!B6866</f>
        <v>Apr-2018</v>
      </c>
      <c r="C6866">
        <f>TEST_DATA!C6866</f>
        <v>44345</v>
      </c>
      <c r="D6866" t="str">
        <f>TEST_DATA!D6866</f>
        <v>NIL</v>
      </c>
      <c r="E6866">
        <f>TEST_DATA!E6866</f>
        <v>168</v>
      </c>
    </row>
    <row r="6867" spans="1:5" x14ac:dyDescent="0.55000000000000004">
      <c r="A6867" t="str">
        <f>TEST_DATA!A6867</f>
        <v>27AAAAA6867Z5</v>
      </c>
      <c r="B6867" t="str">
        <f>TEST_DATA!B6867</f>
        <v>Dec-2024</v>
      </c>
      <c r="C6867">
        <f>TEST_DATA!C6867</f>
        <v>44156</v>
      </c>
      <c r="D6867" t="str">
        <f>TEST_DATA!D6867</f>
        <v>NON-NIL</v>
      </c>
      <c r="E6867">
        <f>TEST_DATA!E6867</f>
        <v>2295</v>
      </c>
    </row>
    <row r="6868" spans="1:5" x14ac:dyDescent="0.55000000000000004">
      <c r="A6868" t="str">
        <f>TEST_DATA!A6868</f>
        <v>27AAAAA6868Z5</v>
      </c>
      <c r="B6868" t="str">
        <f>TEST_DATA!B6868</f>
        <v>Feb-2018</v>
      </c>
      <c r="C6868">
        <f>TEST_DATA!C6868</f>
        <v>43828</v>
      </c>
      <c r="D6868" t="str">
        <f>TEST_DATA!D6868</f>
        <v>NON-NIL</v>
      </c>
      <c r="E6868">
        <f>TEST_DATA!E6868</f>
        <v>1092</v>
      </c>
    </row>
    <row r="6869" spans="1:5" x14ac:dyDescent="0.55000000000000004">
      <c r="A6869" t="str">
        <f>TEST_DATA!A6869</f>
        <v>27AAAAA6869Z5</v>
      </c>
      <c r="B6869" t="str">
        <f>TEST_DATA!B6869</f>
        <v>Mar-2021</v>
      </c>
      <c r="C6869">
        <f>TEST_DATA!C6869</f>
        <v>44560</v>
      </c>
      <c r="D6869" t="str">
        <f>TEST_DATA!D6869</f>
        <v>NIL</v>
      </c>
      <c r="E6869">
        <f>TEST_DATA!E6869</f>
        <v>2032</v>
      </c>
    </row>
    <row r="6870" spans="1:5" x14ac:dyDescent="0.55000000000000004">
      <c r="A6870" t="str">
        <f>TEST_DATA!A6870</f>
        <v>27AAAAA6870Z5</v>
      </c>
      <c r="B6870" t="str">
        <f>TEST_DATA!B6870</f>
        <v>Dec-2017</v>
      </c>
      <c r="C6870">
        <f>TEST_DATA!C6870</f>
        <v>43365</v>
      </c>
      <c r="D6870" t="str">
        <f>TEST_DATA!D6870</f>
        <v>NON-NIL</v>
      </c>
      <c r="E6870">
        <f>TEST_DATA!E6870</f>
        <v>1414</v>
      </c>
    </row>
    <row r="6871" spans="1:5" x14ac:dyDescent="0.55000000000000004">
      <c r="A6871" t="str">
        <f>TEST_DATA!A6871</f>
        <v>27AAAAA6871Z5</v>
      </c>
      <c r="B6871" t="str">
        <f>TEST_DATA!B6871</f>
        <v>Aug-2018</v>
      </c>
      <c r="C6871">
        <f>TEST_DATA!C6871</f>
        <v>44516</v>
      </c>
      <c r="D6871" t="str">
        <f>TEST_DATA!D6871</f>
        <v>NON-NIL</v>
      </c>
      <c r="E6871">
        <f>TEST_DATA!E6871</f>
        <v>804</v>
      </c>
    </row>
    <row r="6872" spans="1:5" x14ac:dyDescent="0.55000000000000004">
      <c r="A6872" t="str">
        <f>TEST_DATA!A6872</f>
        <v>27AAAAA6872Z5</v>
      </c>
      <c r="B6872" t="str">
        <f>TEST_DATA!B6872</f>
        <v>Jun-2019</v>
      </c>
      <c r="C6872">
        <f>TEST_DATA!C6872</f>
        <v>45058</v>
      </c>
      <c r="D6872" t="str">
        <f>TEST_DATA!D6872</f>
        <v>NON-NIL</v>
      </c>
      <c r="E6872">
        <f>TEST_DATA!E6872</f>
        <v>1837</v>
      </c>
    </row>
    <row r="6873" spans="1:5" x14ac:dyDescent="0.55000000000000004">
      <c r="A6873" t="str">
        <f>TEST_DATA!A6873</f>
        <v>27AAAAA6873Z5</v>
      </c>
      <c r="B6873" t="str">
        <f>TEST_DATA!B6873</f>
        <v>Mar-2020</v>
      </c>
      <c r="C6873">
        <f>TEST_DATA!C6873</f>
        <v>43853</v>
      </c>
      <c r="D6873" t="str">
        <f>TEST_DATA!D6873</f>
        <v>NIL</v>
      </c>
      <c r="E6873">
        <f>TEST_DATA!E6873</f>
        <v>1470</v>
      </c>
    </row>
    <row r="6874" spans="1:5" x14ac:dyDescent="0.55000000000000004">
      <c r="A6874" t="str">
        <f>TEST_DATA!A6874</f>
        <v>27AAAAA6874Z5</v>
      </c>
      <c r="B6874" t="str">
        <f>TEST_DATA!B6874</f>
        <v>Mar-2023</v>
      </c>
      <c r="C6874">
        <f>TEST_DATA!C6874</f>
        <v>44667</v>
      </c>
      <c r="D6874" t="str">
        <f>TEST_DATA!D6874</f>
        <v>NON-NIL</v>
      </c>
      <c r="E6874">
        <f>TEST_DATA!E6874</f>
        <v>923</v>
      </c>
    </row>
    <row r="6875" spans="1:5" x14ac:dyDescent="0.55000000000000004">
      <c r="A6875" t="str">
        <f>TEST_DATA!A6875</f>
        <v>27AAAAA6875Z5</v>
      </c>
      <c r="B6875" t="str">
        <f>TEST_DATA!B6875</f>
        <v>Jul-2018</v>
      </c>
      <c r="C6875">
        <f>TEST_DATA!C6875</f>
        <v>44475</v>
      </c>
      <c r="D6875" t="str">
        <f>TEST_DATA!D6875</f>
        <v>NIL</v>
      </c>
      <c r="E6875">
        <f>TEST_DATA!E6875</f>
        <v>1712</v>
      </c>
    </row>
    <row r="6876" spans="1:5" x14ac:dyDescent="0.55000000000000004">
      <c r="A6876" t="str">
        <f>TEST_DATA!A6876</f>
        <v>27AAAAA6876Z5</v>
      </c>
      <c r="B6876" t="str">
        <f>TEST_DATA!B6876</f>
        <v>Dec-2019</v>
      </c>
      <c r="C6876">
        <f>TEST_DATA!C6876</f>
        <v>45791</v>
      </c>
      <c r="D6876" t="str">
        <f>TEST_DATA!D6876</f>
        <v>NIL</v>
      </c>
      <c r="E6876">
        <f>TEST_DATA!E6876</f>
        <v>1150</v>
      </c>
    </row>
    <row r="6877" spans="1:5" x14ac:dyDescent="0.55000000000000004">
      <c r="A6877" t="str">
        <f>TEST_DATA!A6877</f>
        <v>27AAAAA6877Z5</v>
      </c>
      <c r="B6877" t="str">
        <f>TEST_DATA!B6877</f>
        <v>Jul-2020</v>
      </c>
      <c r="C6877">
        <f>TEST_DATA!C6877</f>
        <v>44788</v>
      </c>
      <c r="D6877" t="str">
        <f>TEST_DATA!D6877</f>
        <v>NIL</v>
      </c>
      <c r="E6877">
        <f>TEST_DATA!E6877</f>
        <v>810</v>
      </c>
    </row>
    <row r="6878" spans="1:5" x14ac:dyDescent="0.55000000000000004">
      <c r="A6878" t="str">
        <f>TEST_DATA!A6878</f>
        <v>27AAAAA6878Z5</v>
      </c>
      <c r="B6878" t="str">
        <f>TEST_DATA!B6878</f>
        <v>Jun-2019</v>
      </c>
      <c r="C6878">
        <f>TEST_DATA!C6878</f>
        <v>45243</v>
      </c>
      <c r="D6878" t="str">
        <f>TEST_DATA!D6878</f>
        <v>NON-NIL</v>
      </c>
      <c r="E6878">
        <f>TEST_DATA!E6878</f>
        <v>258</v>
      </c>
    </row>
    <row r="6879" spans="1:5" x14ac:dyDescent="0.55000000000000004">
      <c r="A6879" t="str">
        <f>TEST_DATA!A6879</f>
        <v>27AAAAA6879Z5</v>
      </c>
      <c r="B6879" t="str">
        <f>TEST_DATA!B6879</f>
        <v>May-2020</v>
      </c>
      <c r="C6879">
        <f>TEST_DATA!C6879</f>
        <v>43855</v>
      </c>
      <c r="D6879" t="str">
        <f>TEST_DATA!D6879</f>
        <v>NIL</v>
      </c>
      <c r="E6879">
        <f>TEST_DATA!E6879</f>
        <v>2439</v>
      </c>
    </row>
    <row r="6880" spans="1:5" x14ac:dyDescent="0.55000000000000004">
      <c r="A6880" t="str">
        <f>TEST_DATA!A6880</f>
        <v>27AAAAA6880Z5</v>
      </c>
      <c r="B6880" t="str">
        <f>TEST_DATA!B6880</f>
        <v>May-2018</v>
      </c>
      <c r="C6880">
        <f>TEST_DATA!C6880</f>
        <v>43382</v>
      </c>
      <c r="D6880" t="str">
        <f>TEST_DATA!D6880</f>
        <v>NON-NIL</v>
      </c>
      <c r="E6880">
        <f>TEST_DATA!E6880</f>
        <v>2563</v>
      </c>
    </row>
    <row r="6881" spans="1:5" x14ac:dyDescent="0.55000000000000004">
      <c r="A6881" t="str">
        <f>TEST_DATA!A6881</f>
        <v>27AAAAA6881Z5</v>
      </c>
      <c r="B6881" t="str">
        <f>TEST_DATA!B6881</f>
        <v>Dec-2024</v>
      </c>
      <c r="C6881">
        <f>TEST_DATA!C6881</f>
        <v>44747</v>
      </c>
      <c r="D6881" t="str">
        <f>TEST_DATA!D6881</f>
        <v>NON-NIL</v>
      </c>
      <c r="E6881">
        <f>TEST_DATA!E6881</f>
        <v>1097</v>
      </c>
    </row>
    <row r="6882" spans="1:5" x14ac:dyDescent="0.55000000000000004">
      <c r="A6882" t="str">
        <f>TEST_DATA!A6882</f>
        <v>27AAAAA6882Z5</v>
      </c>
      <c r="B6882" t="str">
        <f>TEST_DATA!B6882</f>
        <v>Dec-2017</v>
      </c>
      <c r="C6882">
        <f>TEST_DATA!C6882</f>
        <v>43104</v>
      </c>
      <c r="D6882" t="str">
        <f>TEST_DATA!D6882</f>
        <v>NON-NIL</v>
      </c>
      <c r="E6882">
        <f>TEST_DATA!E6882</f>
        <v>2974</v>
      </c>
    </row>
    <row r="6883" spans="1:5" x14ac:dyDescent="0.55000000000000004">
      <c r="A6883" t="str">
        <f>TEST_DATA!A6883</f>
        <v>27AAAAA6883Z5</v>
      </c>
      <c r="B6883" t="str">
        <f>TEST_DATA!B6883</f>
        <v>Mar-2018</v>
      </c>
      <c r="C6883">
        <f>TEST_DATA!C6883</f>
        <v>43397</v>
      </c>
      <c r="D6883" t="str">
        <f>TEST_DATA!D6883</f>
        <v>NON-NIL</v>
      </c>
      <c r="E6883">
        <f>TEST_DATA!E6883</f>
        <v>2416</v>
      </c>
    </row>
    <row r="6884" spans="1:5" x14ac:dyDescent="0.55000000000000004">
      <c r="A6884" t="str">
        <f>TEST_DATA!A6884</f>
        <v>27AAAAA6884Z5</v>
      </c>
      <c r="B6884" t="str">
        <f>TEST_DATA!B6884</f>
        <v>Apr-2020</v>
      </c>
      <c r="C6884">
        <f>TEST_DATA!C6884</f>
        <v>43863</v>
      </c>
      <c r="D6884" t="str">
        <f>TEST_DATA!D6884</f>
        <v>NIL</v>
      </c>
      <c r="E6884">
        <f>TEST_DATA!E6884</f>
        <v>2382</v>
      </c>
    </row>
    <row r="6885" spans="1:5" x14ac:dyDescent="0.55000000000000004">
      <c r="A6885" t="str">
        <f>TEST_DATA!A6885</f>
        <v>27AAAAA6885Z5</v>
      </c>
      <c r="B6885" t="str">
        <f>TEST_DATA!B6885</f>
        <v>Mar-2021</v>
      </c>
      <c r="C6885">
        <f>TEST_DATA!C6885</f>
        <v>44368</v>
      </c>
      <c r="D6885" t="str">
        <f>TEST_DATA!D6885</f>
        <v>NON-NIL</v>
      </c>
      <c r="E6885">
        <f>TEST_DATA!E6885</f>
        <v>2185</v>
      </c>
    </row>
    <row r="6886" spans="1:5" x14ac:dyDescent="0.55000000000000004">
      <c r="A6886" t="str">
        <f>TEST_DATA!A6886</f>
        <v>27AAAAA6886Z5</v>
      </c>
      <c r="B6886" t="str">
        <f>TEST_DATA!B6886</f>
        <v>Sep-2017</v>
      </c>
      <c r="C6886">
        <f>TEST_DATA!C6886</f>
        <v>43453</v>
      </c>
      <c r="D6886" t="str">
        <f>TEST_DATA!D6886</f>
        <v>NON-NIL</v>
      </c>
      <c r="E6886">
        <f>TEST_DATA!E6886</f>
        <v>204</v>
      </c>
    </row>
    <row r="6887" spans="1:5" x14ac:dyDescent="0.55000000000000004">
      <c r="A6887" t="str">
        <f>TEST_DATA!A6887</f>
        <v>27AAAAA6887Z5</v>
      </c>
      <c r="B6887" t="str">
        <f>TEST_DATA!B6887</f>
        <v>Apr-2018</v>
      </c>
      <c r="C6887">
        <f>TEST_DATA!C6887</f>
        <v>43917</v>
      </c>
      <c r="D6887" t="str">
        <f>TEST_DATA!D6887</f>
        <v>NON-NIL</v>
      </c>
      <c r="E6887">
        <f>TEST_DATA!E6887</f>
        <v>384</v>
      </c>
    </row>
    <row r="6888" spans="1:5" x14ac:dyDescent="0.55000000000000004">
      <c r="A6888" t="str">
        <f>TEST_DATA!A6888</f>
        <v>27AAAAA6888Z5</v>
      </c>
      <c r="B6888" t="str">
        <f>TEST_DATA!B6888</f>
        <v>Apr-2018</v>
      </c>
      <c r="C6888">
        <f>TEST_DATA!C6888</f>
        <v>43371</v>
      </c>
      <c r="D6888" t="str">
        <f>TEST_DATA!D6888</f>
        <v>NON-NIL</v>
      </c>
      <c r="E6888">
        <f>TEST_DATA!E6888</f>
        <v>2069</v>
      </c>
    </row>
    <row r="6889" spans="1:5" x14ac:dyDescent="0.55000000000000004">
      <c r="A6889" t="str">
        <f>TEST_DATA!A6889</f>
        <v>27AAAAA6889Z5</v>
      </c>
      <c r="B6889" t="str">
        <f>TEST_DATA!B6889</f>
        <v>Jun-2019</v>
      </c>
      <c r="C6889">
        <f>TEST_DATA!C6889</f>
        <v>44538</v>
      </c>
      <c r="D6889" t="str">
        <f>TEST_DATA!D6889</f>
        <v>NON-NIL</v>
      </c>
      <c r="E6889">
        <f>TEST_DATA!E6889</f>
        <v>869</v>
      </c>
    </row>
    <row r="6890" spans="1:5" x14ac:dyDescent="0.55000000000000004">
      <c r="A6890" t="str">
        <f>TEST_DATA!A6890</f>
        <v>27AAAAA6890Z5</v>
      </c>
      <c r="B6890" t="str">
        <f>TEST_DATA!B6890</f>
        <v>Sep-2018</v>
      </c>
      <c r="C6890">
        <f>TEST_DATA!C6890</f>
        <v>43021</v>
      </c>
      <c r="D6890" t="str">
        <f>TEST_DATA!D6890</f>
        <v>NON-NIL</v>
      </c>
      <c r="E6890">
        <f>TEST_DATA!E6890</f>
        <v>2980</v>
      </c>
    </row>
    <row r="6891" spans="1:5" x14ac:dyDescent="0.55000000000000004">
      <c r="A6891" t="str">
        <f>TEST_DATA!A6891</f>
        <v>27AAAAA6891Z5</v>
      </c>
      <c r="B6891" t="str">
        <f>TEST_DATA!B6891</f>
        <v>Jul-2018</v>
      </c>
      <c r="C6891">
        <f>TEST_DATA!C6891</f>
        <v>43085</v>
      </c>
      <c r="D6891" t="str">
        <f>TEST_DATA!D6891</f>
        <v>NON-NIL</v>
      </c>
      <c r="E6891">
        <f>TEST_DATA!E6891</f>
        <v>2669</v>
      </c>
    </row>
    <row r="6892" spans="1:5" x14ac:dyDescent="0.55000000000000004">
      <c r="A6892" t="str">
        <f>TEST_DATA!A6892</f>
        <v>27AAAAA6892Z5</v>
      </c>
      <c r="B6892" t="str">
        <f>TEST_DATA!B6892</f>
        <v>Mar-2023</v>
      </c>
      <c r="C6892">
        <f>TEST_DATA!C6892</f>
        <v>44905</v>
      </c>
      <c r="D6892" t="str">
        <f>TEST_DATA!D6892</f>
        <v>NON-NIL</v>
      </c>
      <c r="E6892">
        <f>TEST_DATA!E6892</f>
        <v>1050</v>
      </c>
    </row>
    <row r="6893" spans="1:5" x14ac:dyDescent="0.55000000000000004">
      <c r="A6893" t="str">
        <f>TEST_DATA!A6893</f>
        <v>27AAAAA6893Z5</v>
      </c>
      <c r="B6893" t="str">
        <f>TEST_DATA!B6893</f>
        <v>Dec-2024</v>
      </c>
      <c r="C6893">
        <f>TEST_DATA!C6893</f>
        <v>45162</v>
      </c>
      <c r="D6893" t="str">
        <f>TEST_DATA!D6893</f>
        <v>NON-NIL</v>
      </c>
      <c r="E6893">
        <f>TEST_DATA!E6893</f>
        <v>538</v>
      </c>
    </row>
    <row r="6894" spans="1:5" x14ac:dyDescent="0.55000000000000004">
      <c r="A6894" t="str">
        <f>TEST_DATA!A6894</f>
        <v>27AAAAA6894Z5</v>
      </c>
      <c r="B6894" t="str">
        <f>TEST_DATA!B6894</f>
        <v>Jun-2020</v>
      </c>
      <c r="C6894">
        <f>TEST_DATA!C6894</f>
        <v>44625</v>
      </c>
      <c r="D6894" t="str">
        <f>TEST_DATA!D6894</f>
        <v>NIL</v>
      </c>
      <c r="E6894">
        <f>TEST_DATA!E6894</f>
        <v>1655</v>
      </c>
    </row>
    <row r="6895" spans="1:5" x14ac:dyDescent="0.55000000000000004">
      <c r="A6895" t="str">
        <f>TEST_DATA!A6895</f>
        <v>27AAAAA6895Z5</v>
      </c>
      <c r="B6895" t="str">
        <f>TEST_DATA!B6895</f>
        <v>Dec-2019</v>
      </c>
      <c r="C6895">
        <f>TEST_DATA!C6895</f>
        <v>43741</v>
      </c>
      <c r="D6895" t="str">
        <f>TEST_DATA!D6895</f>
        <v>NON-NIL</v>
      </c>
      <c r="E6895">
        <f>TEST_DATA!E6895</f>
        <v>2699</v>
      </c>
    </row>
    <row r="6896" spans="1:5" x14ac:dyDescent="0.55000000000000004">
      <c r="A6896" t="str">
        <f>TEST_DATA!A6896</f>
        <v>27AAAAA6896Z5</v>
      </c>
      <c r="B6896" t="str">
        <f>TEST_DATA!B6896</f>
        <v>Apr-2018</v>
      </c>
      <c r="C6896">
        <f>TEST_DATA!C6896</f>
        <v>44338</v>
      </c>
      <c r="D6896" t="str">
        <f>TEST_DATA!D6896</f>
        <v>NIL</v>
      </c>
      <c r="E6896">
        <f>TEST_DATA!E6896</f>
        <v>2127</v>
      </c>
    </row>
    <row r="6897" spans="1:5" x14ac:dyDescent="0.55000000000000004">
      <c r="A6897" t="str">
        <f>TEST_DATA!A6897</f>
        <v>27AAAAA6897Z5</v>
      </c>
      <c r="B6897" t="str">
        <f>TEST_DATA!B6897</f>
        <v>Jun-2018</v>
      </c>
      <c r="C6897">
        <f>TEST_DATA!C6897</f>
        <v>43976</v>
      </c>
      <c r="D6897" t="str">
        <f>TEST_DATA!D6897</f>
        <v>NIL</v>
      </c>
      <c r="E6897">
        <f>TEST_DATA!E6897</f>
        <v>244</v>
      </c>
    </row>
    <row r="6898" spans="1:5" x14ac:dyDescent="0.55000000000000004">
      <c r="A6898" t="str">
        <f>TEST_DATA!A6898</f>
        <v>27AAAAA6898Z5</v>
      </c>
      <c r="B6898" t="str">
        <f>TEST_DATA!B6898</f>
        <v>Nov-2017</v>
      </c>
      <c r="C6898">
        <f>TEST_DATA!C6898</f>
        <v>43844</v>
      </c>
      <c r="D6898" t="str">
        <f>TEST_DATA!D6898</f>
        <v>NON-NIL</v>
      </c>
      <c r="E6898">
        <f>TEST_DATA!E6898</f>
        <v>2849</v>
      </c>
    </row>
    <row r="6899" spans="1:5" x14ac:dyDescent="0.55000000000000004">
      <c r="A6899" t="str">
        <f>TEST_DATA!A6899</f>
        <v>27AAAAA6899Z5</v>
      </c>
      <c r="B6899" t="str">
        <f>TEST_DATA!B6899</f>
        <v>Dec-2017</v>
      </c>
      <c r="C6899">
        <f>TEST_DATA!C6899</f>
        <v>44098</v>
      </c>
      <c r="D6899" t="str">
        <f>TEST_DATA!D6899</f>
        <v>NIL</v>
      </c>
      <c r="E6899">
        <f>TEST_DATA!E6899</f>
        <v>45</v>
      </c>
    </row>
    <row r="6900" spans="1:5" x14ac:dyDescent="0.55000000000000004">
      <c r="A6900" t="str">
        <f>TEST_DATA!A6900</f>
        <v>27AAAAA6900Z5</v>
      </c>
      <c r="B6900" t="str">
        <f>TEST_DATA!B6900</f>
        <v>Mar-2021</v>
      </c>
      <c r="C6900">
        <f>TEST_DATA!C6900</f>
        <v>45583</v>
      </c>
      <c r="D6900" t="str">
        <f>TEST_DATA!D6900</f>
        <v>NON-NIL</v>
      </c>
      <c r="E6900">
        <f>TEST_DATA!E6900</f>
        <v>1370</v>
      </c>
    </row>
    <row r="6901" spans="1:5" x14ac:dyDescent="0.55000000000000004">
      <c r="A6901" t="str">
        <f>TEST_DATA!A6901</f>
        <v>27AAAAA6901Z5</v>
      </c>
      <c r="B6901" t="str">
        <f>TEST_DATA!B6901</f>
        <v>Aug-2017</v>
      </c>
      <c r="C6901">
        <f>TEST_DATA!C6901</f>
        <v>44345</v>
      </c>
      <c r="D6901" t="str">
        <f>TEST_DATA!D6901</f>
        <v>NON-NIL</v>
      </c>
      <c r="E6901">
        <f>TEST_DATA!E6901</f>
        <v>2661</v>
      </c>
    </row>
    <row r="6902" spans="1:5" x14ac:dyDescent="0.55000000000000004">
      <c r="A6902" t="str">
        <f>TEST_DATA!A6902</f>
        <v>27AAAAA6902Z5</v>
      </c>
      <c r="B6902" t="str">
        <f>TEST_DATA!B6902</f>
        <v>Dec-2022</v>
      </c>
      <c r="C6902">
        <f>TEST_DATA!C6902</f>
        <v>45768</v>
      </c>
      <c r="D6902" t="str">
        <f>TEST_DATA!D6902</f>
        <v>NON-NIL</v>
      </c>
      <c r="E6902">
        <f>TEST_DATA!E6902</f>
        <v>83</v>
      </c>
    </row>
    <row r="6903" spans="1:5" x14ac:dyDescent="0.55000000000000004">
      <c r="A6903" t="str">
        <f>TEST_DATA!A6903</f>
        <v>27AAAAA6903Z5</v>
      </c>
      <c r="B6903" t="str">
        <f>TEST_DATA!B6903</f>
        <v>Apr-2018</v>
      </c>
      <c r="C6903">
        <f>TEST_DATA!C6903</f>
        <v>43400</v>
      </c>
      <c r="D6903" t="str">
        <f>TEST_DATA!D6903</f>
        <v>NON-NIL</v>
      </c>
      <c r="E6903">
        <f>TEST_DATA!E6903</f>
        <v>1687</v>
      </c>
    </row>
    <row r="6904" spans="1:5" x14ac:dyDescent="0.55000000000000004">
      <c r="A6904" t="str">
        <f>TEST_DATA!A6904</f>
        <v>27AAAAA6904Z5</v>
      </c>
      <c r="B6904" t="str">
        <f>TEST_DATA!B6904</f>
        <v>Mar-2021</v>
      </c>
      <c r="C6904">
        <f>TEST_DATA!C6904</f>
        <v>45220</v>
      </c>
      <c r="D6904" t="str">
        <f>TEST_DATA!D6904</f>
        <v>NIL</v>
      </c>
      <c r="E6904">
        <f>TEST_DATA!E6904</f>
        <v>1382</v>
      </c>
    </row>
    <row r="6905" spans="1:5" x14ac:dyDescent="0.55000000000000004">
      <c r="A6905" t="str">
        <f>TEST_DATA!A6905</f>
        <v>27AAAAA6905Z5</v>
      </c>
      <c r="B6905" t="str">
        <f>TEST_DATA!B6905</f>
        <v>Dec-2024</v>
      </c>
      <c r="C6905">
        <f>TEST_DATA!C6905</f>
        <v>43615</v>
      </c>
      <c r="D6905" t="str">
        <f>TEST_DATA!D6905</f>
        <v>NIL</v>
      </c>
      <c r="E6905">
        <f>TEST_DATA!E6905</f>
        <v>2891</v>
      </c>
    </row>
    <row r="6906" spans="1:5" x14ac:dyDescent="0.55000000000000004">
      <c r="A6906" t="str">
        <f>TEST_DATA!A6906</f>
        <v>27AAAAA6906Z5</v>
      </c>
      <c r="B6906" t="str">
        <f>TEST_DATA!B6906</f>
        <v>Feb-2018</v>
      </c>
      <c r="C6906">
        <f>TEST_DATA!C6906</f>
        <v>43826</v>
      </c>
      <c r="D6906" t="str">
        <f>TEST_DATA!D6906</f>
        <v>NON-NIL</v>
      </c>
      <c r="E6906">
        <f>TEST_DATA!E6906</f>
        <v>1740</v>
      </c>
    </row>
    <row r="6907" spans="1:5" x14ac:dyDescent="0.55000000000000004">
      <c r="A6907" t="str">
        <f>TEST_DATA!A6907</f>
        <v>27AAAAA6907Z5</v>
      </c>
      <c r="B6907" t="str">
        <f>TEST_DATA!B6907</f>
        <v>Mar-2020</v>
      </c>
      <c r="C6907">
        <f>TEST_DATA!C6907</f>
        <v>44873</v>
      </c>
      <c r="D6907" t="str">
        <f>TEST_DATA!D6907</f>
        <v>NIL</v>
      </c>
      <c r="E6907">
        <f>TEST_DATA!E6907</f>
        <v>865</v>
      </c>
    </row>
    <row r="6908" spans="1:5" x14ac:dyDescent="0.55000000000000004">
      <c r="A6908" t="str">
        <f>TEST_DATA!A6908</f>
        <v>27AAAAA6908Z5</v>
      </c>
      <c r="B6908" t="str">
        <f>TEST_DATA!B6908</f>
        <v>Jul-2017</v>
      </c>
      <c r="C6908">
        <f>TEST_DATA!C6908</f>
        <v>43728</v>
      </c>
      <c r="D6908" t="str">
        <f>TEST_DATA!D6908</f>
        <v>NON-NIL</v>
      </c>
      <c r="E6908">
        <f>TEST_DATA!E6908</f>
        <v>2640</v>
      </c>
    </row>
    <row r="6909" spans="1:5" x14ac:dyDescent="0.55000000000000004">
      <c r="A6909" t="str">
        <f>TEST_DATA!A6909</f>
        <v>27AAAAA6909Z5</v>
      </c>
      <c r="B6909" t="str">
        <f>TEST_DATA!B6909</f>
        <v>Sep-2018</v>
      </c>
      <c r="C6909">
        <f>TEST_DATA!C6909</f>
        <v>44280</v>
      </c>
      <c r="D6909" t="str">
        <f>TEST_DATA!D6909</f>
        <v>NIL</v>
      </c>
      <c r="E6909">
        <f>TEST_DATA!E6909</f>
        <v>91</v>
      </c>
    </row>
    <row r="6910" spans="1:5" x14ac:dyDescent="0.55000000000000004">
      <c r="A6910" t="str">
        <f>TEST_DATA!A6910</f>
        <v>27AAAAA6910Z5</v>
      </c>
      <c r="B6910" t="str">
        <f>TEST_DATA!B6910</f>
        <v>Dec-2022</v>
      </c>
      <c r="C6910">
        <f>TEST_DATA!C6910</f>
        <v>45123</v>
      </c>
      <c r="D6910" t="str">
        <f>TEST_DATA!D6910</f>
        <v>NON-NIL</v>
      </c>
      <c r="E6910">
        <f>TEST_DATA!E6910</f>
        <v>2870</v>
      </c>
    </row>
    <row r="6911" spans="1:5" x14ac:dyDescent="0.55000000000000004">
      <c r="A6911" t="str">
        <f>TEST_DATA!A6911</f>
        <v>27AAAAA6911Z5</v>
      </c>
      <c r="B6911" t="str">
        <f>TEST_DATA!B6911</f>
        <v>Apr-2021</v>
      </c>
      <c r="C6911">
        <f>TEST_DATA!C6911</f>
        <v>43958</v>
      </c>
      <c r="D6911" t="str">
        <f>TEST_DATA!D6911</f>
        <v>NIL</v>
      </c>
      <c r="E6911">
        <f>TEST_DATA!E6911</f>
        <v>749</v>
      </c>
    </row>
    <row r="6912" spans="1:5" x14ac:dyDescent="0.55000000000000004">
      <c r="A6912" t="str">
        <f>TEST_DATA!A6912</f>
        <v>27AAAAA6912Z5</v>
      </c>
      <c r="B6912" t="str">
        <f>TEST_DATA!B6912</f>
        <v>Jan-2021</v>
      </c>
      <c r="C6912">
        <f>TEST_DATA!C6912</f>
        <v>44217</v>
      </c>
      <c r="D6912" t="str">
        <f>TEST_DATA!D6912</f>
        <v>NON-NIL</v>
      </c>
      <c r="E6912">
        <f>TEST_DATA!E6912</f>
        <v>1680</v>
      </c>
    </row>
    <row r="6913" spans="1:5" x14ac:dyDescent="0.55000000000000004">
      <c r="A6913" t="str">
        <f>TEST_DATA!A6913</f>
        <v>27AAAAA6913Z5</v>
      </c>
      <c r="B6913" t="str">
        <f>TEST_DATA!B6913</f>
        <v>Dec-2024</v>
      </c>
      <c r="C6913">
        <f>TEST_DATA!C6913</f>
        <v>45413</v>
      </c>
      <c r="D6913" t="str">
        <f>TEST_DATA!D6913</f>
        <v>NON-NIL</v>
      </c>
      <c r="E6913">
        <f>TEST_DATA!E6913</f>
        <v>332</v>
      </c>
    </row>
    <row r="6914" spans="1:5" x14ac:dyDescent="0.55000000000000004">
      <c r="A6914" t="str">
        <f>TEST_DATA!A6914</f>
        <v>27AAAAA6914Z5</v>
      </c>
      <c r="B6914" t="str">
        <f>TEST_DATA!B6914</f>
        <v>Apr-2020</v>
      </c>
      <c r="C6914">
        <f>TEST_DATA!C6914</f>
        <v>43864</v>
      </c>
      <c r="D6914" t="str">
        <f>TEST_DATA!D6914</f>
        <v>NON-NIL</v>
      </c>
      <c r="E6914">
        <f>TEST_DATA!E6914</f>
        <v>2081</v>
      </c>
    </row>
    <row r="6915" spans="1:5" x14ac:dyDescent="0.55000000000000004">
      <c r="A6915" t="str">
        <f>TEST_DATA!A6915</f>
        <v>27AAAAA6915Z5</v>
      </c>
      <c r="B6915" t="str">
        <f>TEST_DATA!B6915</f>
        <v>May-2020</v>
      </c>
      <c r="C6915">
        <f>TEST_DATA!C6915</f>
        <v>44869</v>
      </c>
      <c r="D6915" t="str">
        <f>TEST_DATA!D6915</f>
        <v>NON-NIL</v>
      </c>
      <c r="E6915">
        <f>TEST_DATA!E6915</f>
        <v>1347</v>
      </c>
    </row>
    <row r="6916" spans="1:5" x14ac:dyDescent="0.55000000000000004">
      <c r="A6916" t="str">
        <f>TEST_DATA!A6916</f>
        <v>27AAAAA6916Z5</v>
      </c>
      <c r="B6916" t="str">
        <f>TEST_DATA!B6916</f>
        <v>Jan-2018</v>
      </c>
      <c r="C6916">
        <f>TEST_DATA!C6916</f>
        <v>43945</v>
      </c>
      <c r="D6916" t="str">
        <f>TEST_DATA!D6916</f>
        <v>NON-NIL</v>
      </c>
      <c r="E6916">
        <f>TEST_DATA!E6916</f>
        <v>2769</v>
      </c>
    </row>
    <row r="6917" spans="1:5" x14ac:dyDescent="0.55000000000000004">
      <c r="A6917" t="str">
        <f>TEST_DATA!A6917</f>
        <v>27AAAAA6917Z5</v>
      </c>
      <c r="B6917" t="str">
        <f>TEST_DATA!B6917</f>
        <v>Apr-2020</v>
      </c>
      <c r="C6917">
        <f>TEST_DATA!C6917</f>
        <v>43926</v>
      </c>
      <c r="D6917" t="str">
        <f>TEST_DATA!D6917</f>
        <v>NON-NIL</v>
      </c>
      <c r="E6917">
        <f>TEST_DATA!E6917</f>
        <v>1928</v>
      </c>
    </row>
    <row r="6918" spans="1:5" x14ac:dyDescent="0.55000000000000004">
      <c r="A6918" t="str">
        <f>TEST_DATA!A6918</f>
        <v>27AAAAA6918Z5</v>
      </c>
      <c r="B6918" t="str">
        <f>TEST_DATA!B6918</f>
        <v>Mar-2021</v>
      </c>
      <c r="C6918">
        <f>TEST_DATA!C6918</f>
        <v>44306</v>
      </c>
      <c r="D6918" t="str">
        <f>TEST_DATA!D6918</f>
        <v>NON-NIL</v>
      </c>
      <c r="E6918">
        <f>TEST_DATA!E6918</f>
        <v>837</v>
      </c>
    </row>
    <row r="6919" spans="1:5" x14ac:dyDescent="0.55000000000000004">
      <c r="A6919" t="str">
        <f>TEST_DATA!A6919</f>
        <v>27AAAAA6919Z5</v>
      </c>
      <c r="B6919" t="str">
        <f>TEST_DATA!B6919</f>
        <v>Apr-2018</v>
      </c>
      <c r="C6919">
        <f>TEST_DATA!C6919</f>
        <v>44309</v>
      </c>
      <c r="D6919" t="str">
        <f>TEST_DATA!D6919</f>
        <v>NIL</v>
      </c>
      <c r="E6919">
        <f>TEST_DATA!E6919</f>
        <v>2852</v>
      </c>
    </row>
    <row r="6920" spans="1:5" x14ac:dyDescent="0.55000000000000004">
      <c r="A6920" t="str">
        <f>TEST_DATA!A6920</f>
        <v>27AAAAA6920Z5</v>
      </c>
      <c r="B6920" t="str">
        <f>TEST_DATA!B6920</f>
        <v>Jun-2019</v>
      </c>
      <c r="C6920">
        <f>TEST_DATA!C6920</f>
        <v>45529</v>
      </c>
      <c r="D6920" t="str">
        <f>TEST_DATA!D6920</f>
        <v>NON-NIL</v>
      </c>
      <c r="E6920">
        <f>TEST_DATA!E6920</f>
        <v>1637</v>
      </c>
    </row>
    <row r="6921" spans="1:5" x14ac:dyDescent="0.55000000000000004">
      <c r="A6921" t="str">
        <f>TEST_DATA!A6921</f>
        <v>27AAAAA6921Z5</v>
      </c>
      <c r="B6921" t="str">
        <f>TEST_DATA!B6921</f>
        <v>Jul-2017</v>
      </c>
      <c r="C6921">
        <f>TEST_DATA!C6921</f>
        <v>44436</v>
      </c>
      <c r="D6921" t="str">
        <f>TEST_DATA!D6921</f>
        <v>NON-NIL</v>
      </c>
      <c r="E6921">
        <f>TEST_DATA!E6921</f>
        <v>2611</v>
      </c>
    </row>
    <row r="6922" spans="1:5" x14ac:dyDescent="0.55000000000000004">
      <c r="A6922" t="str">
        <f>TEST_DATA!A6922</f>
        <v>27AAAAA6922Z5</v>
      </c>
      <c r="B6922" t="str">
        <f>TEST_DATA!B6922</f>
        <v>May-2018</v>
      </c>
      <c r="C6922">
        <f>TEST_DATA!C6922</f>
        <v>42961</v>
      </c>
      <c r="D6922" t="str">
        <f>TEST_DATA!D6922</f>
        <v>NON-NIL</v>
      </c>
      <c r="E6922">
        <f>TEST_DATA!E6922</f>
        <v>2338</v>
      </c>
    </row>
    <row r="6923" spans="1:5" x14ac:dyDescent="0.55000000000000004">
      <c r="A6923" t="str">
        <f>TEST_DATA!A6923</f>
        <v>27AAAAA6923Z5</v>
      </c>
      <c r="B6923" t="str">
        <f>TEST_DATA!B6923</f>
        <v>Nov-2017</v>
      </c>
      <c r="C6923">
        <f>TEST_DATA!C6923</f>
        <v>43201</v>
      </c>
      <c r="D6923" t="str">
        <f>TEST_DATA!D6923</f>
        <v>NIL</v>
      </c>
      <c r="E6923">
        <f>TEST_DATA!E6923</f>
        <v>2844</v>
      </c>
    </row>
    <row r="6924" spans="1:5" x14ac:dyDescent="0.55000000000000004">
      <c r="A6924" t="str">
        <f>TEST_DATA!A6924</f>
        <v>27AAAAA6924Z5</v>
      </c>
      <c r="B6924" t="str">
        <f>TEST_DATA!B6924</f>
        <v>Sep-2018</v>
      </c>
      <c r="C6924">
        <f>TEST_DATA!C6924</f>
        <v>43037</v>
      </c>
      <c r="D6924" t="str">
        <f>TEST_DATA!D6924</f>
        <v>NON-NIL</v>
      </c>
      <c r="E6924">
        <f>TEST_DATA!E6924</f>
        <v>2653</v>
      </c>
    </row>
    <row r="6925" spans="1:5" x14ac:dyDescent="0.55000000000000004">
      <c r="A6925" t="str">
        <f>TEST_DATA!A6925</f>
        <v>27AAAAA6925Z5</v>
      </c>
      <c r="B6925" t="str">
        <f>TEST_DATA!B6925</f>
        <v>Mar-2023</v>
      </c>
      <c r="C6925">
        <f>TEST_DATA!C6925</f>
        <v>45763</v>
      </c>
      <c r="D6925" t="str">
        <f>TEST_DATA!D6925</f>
        <v>NON-NIL</v>
      </c>
      <c r="E6925">
        <f>TEST_DATA!E6925</f>
        <v>2867</v>
      </c>
    </row>
    <row r="6926" spans="1:5" x14ac:dyDescent="0.55000000000000004">
      <c r="A6926" t="str">
        <f>TEST_DATA!A6926</f>
        <v>27AAAAA6926Z5</v>
      </c>
      <c r="B6926" t="str">
        <f>TEST_DATA!B6926</f>
        <v>Mar-2021</v>
      </c>
      <c r="C6926">
        <f>TEST_DATA!C6926</f>
        <v>43784</v>
      </c>
      <c r="D6926" t="str">
        <f>TEST_DATA!D6926</f>
        <v>NON-NIL</v>
      </c>
      <c r="E6926">
        <f>TEST_DATA!E6926</f>
        <v>2796</v>
      </c>
    </row>
    <row r="6927" spans="1:5" x14ac:dyDescent="0.55000000000000004">
      <c r="A6927" t="str">
        <f>TEST_DATA!A6927</f>
        <v>27AAAAA6927Z5</v>
      </c>
      <c r="B6927" t="str">
        <f>TEST_DATA!B6927</f>
        <v>Jan-2021</v>
      </c>
      <c r="C6927">
        <f>TEST_DATA!C6927</f>
        <v>45279</v>
      </c>
      <c r="D6927" t="str">
        <f>TEST_DATA!D6927</f>
        <v>NIL</v>
      </c>
      <c r="E6927">
        <f>TEST_DATA!E6927</f>
        <v>1667</v>
      </c>
    </row>
    <row r="6928" spans="1:5" x14ac:dyDescent="0.55000000000000004">
      <c r="A6928" t="str">
        <f>TEST_DATA!A6928</f>
        <v>27AAAAA6928Z5</v>
      </c>
      <c r="B6928" t="str">
        <f>TEST_DATA!B6928</f>
        <v>Jul-2018</v>
      </c>
      <c r="C6928">
        <f>TEST_DATA!C6928</f>
        <v>43338</v>
      </c>
      <c r="D6928" t="str">
        <f>TEST_DATA!D6928</f>
        <v>NIL</v>
      </c>
      <c r="E6928">
        <f>TEST_DATA!E6928</f>
        <v>250</v>
      </c>
    </row>
    <row r="6929" spans="1:5" x14ac:dyDescent="0.55000000000000004">
      <c r="A6929" t="str">
        <f>TEST_DATA!A6929</f>
        <v>27AAAAA6929Z5</v>
      </c>
      <c r="B6929" t="str">
        <f>TEST_DATA!B6929</f>
        <v>Mar-2021</v>
      </c>
      <c r="C6929">
        <f>TEST_DATA!C6929</f>
        <v>43751</v>
      </c>
      <c r="D6929" t="str">
        <f>TEST_DATA!D6929</f>
        <v>NON-NIL</v>
      </c>
      <c r="E6929">
        <f>TEST_DATA!E6929</f>
        <v>667</v>
      </c>
    </row>
    <row r="6930" spans="1:5" x14ac:dyDescent="0.55000000000000004">
      <c r="A6930" t="str">
        <f>TEST_DATA!A6930</f>
        <v>27AAAAA6930Z5</v>
      </c>
      <c r="B6930" t="str">
        <f>TEST_DATA!B6930</f>
        <v>Mar-2020</v>
      </c>
      <c r="C6930">
        <f>TEST_DATA!C6930</f>
        <v>43861</v>
      </c>
      <c r="D6930" t="str">
        <f>TEST_DATA!D6930</f>
        <v>NON-NIL</v>
      </c>
      <c r="E6930">
        <f>TEST_DATA!E6930</f>
        <v>785</v>
      </c>
    </row>
    <row r="6931" spans="1:5" x14ac:dyDescent="0.55000000000000004">
      <c r="A6931" t="str">
        <f>TEST_DATA!A6931</f>
        <v>27AAAAA6931Z5</v>
      </c>
      <c r="B6931" t="str">
        <f>TEST_DATA!B6931</f>
        <v>Apr-2021</v>
      </c>
      <c r="C6931">
        <f>TEST_DATA!C6931</f>
        <v>44192</v>
      </c>
      <c r="D6931" t="str">
        <f>TEST_DATA!D6931</f>
        <v>NIL</v>
      </c>
      <c r="E6931">
        <f>TEST_DATA!E6931</f>
        <v>2756</v>
      </c>
    </row>
    <row r="6932" spans="1:5" x14ac:dyDescent="0.55000000000000004">
      <c r="A6932" t="str">
        <f>TEST_DATA!A6932</f>
        <v>27AAAAA6932Z5</v>
      </c>
      <c r="B6932" t="str">
        <f>TEST_DATA!B6932</f>
        <v>Mar-2020</v>
      </c>
      <c r="C6932">
        <f>TEST_DATA!C6932</f>
        <v>44158</v>
      </c>
      <c r="D6932" t="str">
        <f>TEST_DATA!D6932</f>
        <v>NON-NIL</v>
      </c>
      <c r="E6932">
        <f>TEST_DATA!E6932</f>
        <v>491</v>
      </c>
    </row>
    <row r="6933" spans="1:5" x14ac:dyDescent="0.55000000000000004">
      <c r="A6933" t="str">
        <f>TEST_DATA!A6933</f>
        <v>27AAAAA6933Z5</v>
      </c>
      <c r="B6933" t="str">
        <f>TEST_DATA!B6933</f>
        <v>Dec-2019</v>
      </c>
      <c r="C6933">
        <f>TEST_DATA!C6933</f>
        <v>44096</v>
      </c>
      <c r="D6933" t="str">
        <f>TEST_DATA!D6933</f>
        <v>NON-NIL</v>
      </c>
      <c r="E6933">
        <f>TEST_DATA!E6933</f>
        <v>2877</v>
      </c>
    </row>
    <row r="6934" spans="1:5" x14ac:dyDescent="0.55000000000000004">
      <c r="A6934" t="str">
        <f>TEST_DATA!A6934</f>
        <v>27AAAAA6934Z5</v>
      </c>
      <c r="B6934" t="str">
        <f>TEST_DATA!B6934</f>
        <v>May-2018</v>
      </c>
      <c r="C6934">
        <f>TEST_DATA!C6934</f>
        <v>44492</v>
      </c>
      <c r="D6934" t="str">
        <f>TEST_DATA!D6934</f>
        <v>NIL</v>
      </c>
      <c r="E6934">
        <f>TEST_DATA!E6934</f>
        <v>955</v>
      </c>
    </row>
    <row r="6935" spans="1:5" x14ac:dyDescent="0.55000000000000004">
      <c r="A6935" t="str">
        <f>TEST_DATA!A6935</f>
        <v>27AAAAA6935Z5</v>
      </c>
      <c r="B6935" t="str">
        <f>TEST_DATA!B6935</f>
        <v>Sep-2018</v>
      </c>
      <c r="C6935">
        <f>TEST_DATA!C6935</f>
        <v>43102</v>
      </c>
      <c r="D6935" t="str">
        <f>TEST_DATA!D6935</f>
        <v>NON-NIL</v>
      </c>
      <c r="E6935">
        <f>TEST_DATA!E6935</f>
        <v>24</v>
      </c>
    </row>
    <row r="6936" spans="1:5" x14ac:dyDescent="0.55000000000000004">
      <c r="A6936" t="str">
        <f>TEST_DATA!A6936</f>
        <v>27AAAAA6936Z5</v>
      </c>
      <c r="B6936" t="str">
        <f>TEST_DATA!B6936</f>
        <v>Dec-2019</v>
      </c>
      <c r="C6936">
        <f>TEST_DATA!C6936</f>
        <v>45198</v>
      </c>
      <c r="D6936" t="str">
        <f>TEST_DATA!D6936</f>
        <v>NON-NIL</v>
      </c>
      <c r="E6936">
        <f>TEST_DATA!E6936</f>
        <v>2501</v>
      </c>
    </row>
    <row r="6937" spans="1:5" x14ac:dyDescent="0.55000000000000004">
      <c r="A6937" t="str">
        <f>TEST_DATA!A6937</f>
        <v>27AAAAA6937Z5</v>
      </c>
      <c r="B6937" t="str">
        <f>TEST_DATA!B6937</f>
        <v>Mar-2018</v>
      </c>
      <c r="C6937">
        <f>TEST_DATA!C6937</f>
        <v>43268</v>
      </c>
      <c r="D6937" t="str">
        <f>TEST_DATA!D6937</f>
        <v>NON-NIL</v>
      </c>
      <c r="E6937">
        <f>TEST_DATA!E6937</f>
        <v>2405</v>
      </c>
    </row>
    <row r="6938" spans="1:5" x14ac:dyDescent="0.55000000000000004">
      <c r="A6938" t="str">
        <f>TEST_DATA!A6938</f>
        <v>27AAAAA6938Z5</v>
      </c>
      <c r="B6938" t="str">
        <f>TEST_DATA!B6938</f>
        <v>Apr-2018</v>
      </c>
      <c r="C6938">
        <f>TEST_DATA!C6938</f>
        <v>43240</v>
      </c>
      <c r="D6938" t="str">
        <f>TEST_DATA!D6938</f>
        <v>NIL</v>
      </c>
      <c r="E6938">
        <f>TEST_DATA!E6938</f>
        <v>844</v>
      </c>
    </row>
    <row r="6939" spans="1:5" x14ac:dyDescent="0.55000000000000004">
      <c r="A6939" t="str">
        <f>TEST_DATA!A6939</f>
        <v>27AAAAA6939Z5</v>
      </c>
      <c r="B6939" t="str">
        <f>TEST_DATA!B6939</f>
        <v>Jul-2020</v>
      </c>
      <c r="C6939">
        <f>TEST_DATA!C6939</f>
        <v>44311</v>
      </c>
      <c r="D6939" t="str">
        <f>TEST_DATA!D6939</f>
        <v>NIL</v>
      </c>
      <c r="E6939">
        <f>TEST_DATA!E6939</f>
        <v>2763</v>
      </c>
    </row>
    <row r="6940" spans="1:5" x14ac:dyDescent="0.55000000000000004">
      <c r="A6940" t="str">
        <f>TEST_DATA!A6940</f>
        <v>27AAAAA6940Z5</v>
      </c>
      <c r="B6940" t="str">
        <f>TEST_DATA!B6940</f>
        <v>Mar-2021</v>
      </c>
      <c r="C6940">
        <f>TEST_DATA!C6940</f>
        <v>44438</v>
      </c>
      <c r="D6940" t="str">
        <f>TEST_DATA!D6940</f>
        <v>NON-NIL</v>
      </c>
      <c r="E6940">
        <f>TEST_DATA!E6940</f>
        <v>1238</v>
      </c>
    </row>
    <row r="6941" spans="1:5" x14ac:dyDescent="0.55000000000000004">
      <c r="A6941" t="str">
        <f>TEST_DATA!A6941</f>
        <v>27AAAAA6941Z5</v>
      </c>
      <c r="B6941" t="str">
        <f>TEST_DATA!B6941</f>
        <v>Jun-2020</v>
      </c>
      <c r="C6941">
        <f>TEST_DATA!C6941</f>
        <v>43870</v>
      </c>
      <c r="D6941" t="str">
        <f>TEST_DATA!D6941</f>
        <v>NIL</v>
      </c>
      <c r="E6941">
        <f>TEST_DATA!E6941</f>
        <v>1156</v>
      </c>
    </row>
    <row r="6942" spans="1:5" x14ac:dyDescent="0.55000000000000004">
      <c r="A6942" t="str">
        <f>TEST_DATA!A6942</f>
        <v>27AAAAA6942Z5</v>
      </c>
      <c r="B6942" t="str">
        <f>TEST_DATA!B6942</f>
        <v>Jun-2018</v>
      </c>
      <c r="C6942">
        <f>TEST_DATA!C6942</f>
        <v>44504</v>
      </c>
      <c r="D6942" t="str">
        <f>TEST_DATA!D6942</f>
        <v>NON-NIL</v>
      </c>
      <c r="E6942">
        <f>TEST_DATA!E6942</f>
        <v>1841</v>
      </c>
    </row>
    <row r="6943" spans="1:5" x14ac:dyDescent="0.55000000000000004">
      <c r="A6943" t="str">
        <f>TEST_DATA!A6943</f>
        <v>27AAAAA6943Z5</v>
      </c>
      <c r="B6943" t="str">
        <f>TEST_DATA!B6943</f>
        <v>Jul-2017</v>
      </c>
      <c r="C6943">
        <f>TEST_DATA!C6943</f>
        <v>43696</v>
      </c>
      <c r="D6943" t="str">
        <f>TEST_DATA!D6943</f>
        <v>NIL</v>
      </c>
      <c r="E6943">
        <f>TEST_DATA!E6943</f>
        <v>260</v>
      </c>
    </row>
    <row r="6944" spans="1:5" x14ac:dyDescent="0.55000000000000004">
      <c r="A6944" t="str">
        <f>TEST_DATA!A6944</f>
        <v>27AAAAA6944Z5</v>
      </c>
      <c r="B6944" t="str">
        <f>TEST_DATA!B6944</f>
        <v>Apr-2020</v>
      </c>
      <c r="C6944">
        <f>TEST_DATA!C6944</f>
        <v>44527</v>
      </c>
      <c r="D6944" t="str">
        <f>TEST_DATA!D6944</f>
        <v>NON-NIL</v>
      </c>
      <c r="E6944">
        <f>TEST_DATA!E6944</f>
        <v>777</v>
      </c>
    </row>
    <row r="6945" spans="1:5" x14ac:dyDescent="0.55000000000000004">
      <c r="A6945" t="str">
        <f>TEST_DATA!A6945</f>
        <v>27AAAAA6945Z5</v>
      </c>
      <c r="B6945" t="str">
        <f>TEST_DATA!B6945</f>
        <v>Jul-2017</v>
      </c>
      <c r="C6945">
        <f>TEST_DATA!C6945</f>
        <v>43670</v>
      </c>
      <c r="D6945" t="str">
        <f>TEST_DATA!D6945</f>
        <v>NON-NIL</v>
      </c>
      <c r="E6945">
        <f>TEST_DATA!E6945</f>
        <v>2487</v>
      </c>
    </row>
    <row r="6946" spans="1:5" x14ac:dyDescent="0.55000000000000004">
      <c r="A6946" t="str">
        <f>TEST_DATA!A6946</f>
        <v>27AAAAA6946Z5</v>
      </c>
      <c r="B6946" t="str">
        <f>TEST_DATA!B6946</f>
        <v>Jun-2019</v>
      </c>
      <c r="C6946">
        <f>TEST_DATA!C6946</f>
        <v>44131</v>
      </c>
      <c r="D6946" t="str">
        <f>TEST_DATA!D6946</f>
        <v>NON-NIL</v>
      </c>
      <c r="E6946">
        <f>TEST_DATA!E6946</f>
        <v>950</v>
      </c>
    </row>
    <row r="6947" spans="1:5" x14ac:dyDescent="0.55000000000000004">
      <c r="A6947" t="str">
        <f>TEST_DATA!A6947</f>
        <v>27AAAAA6947Z5</v>
      </c>
      <c r="B6947" t="str">
        <f>TEST_DATA!B6947</f>
        <v>Dec-2019</v>
      </c>
      <c r="C6947">
        <f>TEST_DATA!C6947</f>
        <v>45565</v>
      </c>
      <c r="D6947" t="str">
        <f>TEST_DATA!D6947</f>
        <v>NON-NIL</v>
      </c>
      <c r="E6947">
        <f>TEST_DATA!E6947</f>
        <v>2697</v>
      </c>
    </row>
    <row r="6948" spans="1:5" x14ac:dyDescent="0.55000000000000004">
      <c r="A6948" t="str">
        <f>TEST_DATA!A6948</f>
        <v>27AAAAA6948Z5</v>
      </c>
      <c r="B6948" t="str">
        <f>TEST_DATA!B6948</f>
        <v>Apr-2021</v>
      </c>
      <c r="C6948">
        <f>TEST_DATA!C6948</f>
        <v>44470</v>
      </c>
      <c r="D6948" t="str">
        <f>TEST_DATA!D6948</f>
        <v>NIL</v>
      </c>
      <c r="E6948">
        <f>TEST_DATA!E6948</f>
        <v>2856</v>
      </c>
    </row>
    <row r="6949" spans="1:5" x14ac:dyDescent="0.55000000000000004">
      <c r="A6949" t="str">
        <f>TEST_DATA!A6949</f>
        <v>27AAAAA6949Z5</v>
      </c>
      <c r="B6949" t="str">
        <f>TEST_DATA!B6949</f>
        <v>Nov-2017</v>
      </c>
      <c r="C6949">
        <f>TEST_DATA!C6949</f>
        <v>44520</v>
      </c>
      <c r="D6949" t="str">
        <f>TEST_DATA!D6949</f>
        <v>NIL</v>
      </c>
      <c r="E6949">
        <f>TEST_DATA!E6949</f>
        <v>1908</v>
      </c>
    </row>
    <row r="6950" spans="1:5" x14ac:dyDescent="0.55000000000000004">
      <c r="A6950" t="str">
        <f>TEST_DATA!A6950</f>
        <v>27AAAAA6950Z5</v>
      </c>
      <c r="B6950" t="str">
        <f>TEST_DATA!B6950</f>
        <v>Jan-2021</v>
      </c>
      <c r="C6950">
        <f>TEST_DATA!C6950</f>
        <v>45672</v>
      </c>
      <c r="D6950" t="str">
        <f>TEST_DATA!D6950</f>
        <v>NIL</v>
      </c>
      <c r="E6950">
        <f>TEST_DATA!E6950</f>
        <v>1696</v>
      </c>
    </row>
    <row r="6951" spans="1:5" x14ac:dyDescent="0.55000000000000004">
      <c r="A6951" t="str">
        <f>TEST_DATA!A6951</f>
        <v>27AAAAA6951Z5</v>
      </c>
      <c r="B6951" t="str">
        <f>TEST_DATA!B6951</f>
        <v>Jan-2019</v>
      </c>
      <c r="C6951">
        <f>TEST_DATA!C6951</f>
        <v>45522</v>
      </c>
      <c r="D6951" t="str">
        <f>TEST_DATA!D6951</f>
        <v>NIL</v>
      </c>
      <c r="E6951">
        <f>TEST_DATA!E6951</f>
        <v>1582</v>
      </c>
    </row>
    <row r="6952" spans="1:5" x14ac:dyDescent="0.55000000000000004">
      <c r="A6952" t="str">
        <f>TEST_DATA!A6952</f>
        <v>27AAAAA6952Z5</v>
      </c>
      <c r="B6952" t="str">
        <f>TEST_DATA!B6952</f>
        <v>May-2020</v>
      </c>
      <c r="C6952">
        <f>TEST_DATA!C6952</f>
        <v>44602</v>
      </c>
      <c r="D6952" t="str">
        <f>TEST_DATA!D6952</f>
        <v>NON-NIL</v>
      </c>
      <c r="E6952">
        <f>TEST_DATA!E6952</f>
        <v>2716</v>
      </c>
    </row>
    <row r="6953" spans="1:5" x14ac:dyDescent="0.55000000000000004">
      <c r="A6953" t="str">
        <f>TEST_DATA!A6953</f>
        <v>27AAAAA6953Z5</v>
      </c>
      <c r="B6953" t="str">
        <f>TEST_DATA!B6953</f>
        <v>Feb-2018</v>
      </c>
      <c r="C6953">
        <f>TEST_DATA!C6953</f>
        <v>44305</v>
      </c>
      <c r="D6953" t="str">
        <f>TEST_DATA!D6953</f>
        <v>NIL</v>
      </c>
      <c r="E6953">
        <f>TEST_DATA!E6953</f>
        <v>1407</v>
      </c>
    </row>
    <row r="6954" spans="1:5" x14ac:dyDescent="0.55000000000000004">
      <c r="A6954" t="str">
        <f>TEST_DATA!A6954</f>
        <v>27AAAAA6954Z5</v>
      </c>
      <c r="B6954" t="str">
        <f>TEST_DATA!B6954</f>
        <v>Dec-2024</v>
      </c>
      <c r="C6954">
        <f>TEST_DATA!C6954</f>
        <v>45627</v>
      </c>
      <c r="D6954" t="str">
        <f>TEST_DATA!D6954</f>
        <v>NIL</v>
      </c>
      <c r="E6954">
        <f>TEST_DATA!E6954</f>
        <v>421</v>
      </c>
    </row>
    <row r="6955" spans="1:5" x14ac:dyDescent="0.55000000000000004">
      <c r="A6955" t="str">
        <f>TEST_DATA!A6955</f>
        <v>27AAAAA6955Z5</v>
      </c>
      <c r="B6955" t="str">
        <f>TEST_DATA!B6955</f>
        <v>Jul-2018</v>
      </c>
      <c r="C6955">
        <f>TEST_DATA!C6955</f>
        <v>44249</v>
      </c>
      <c r="D6955" t="str">
        <f>TEST_DATA!D6955</f>
        <v>NON-NIL</v>
      </c>
      <c r="E6955">
        <f>TEST_DATA!E6955</f>
        <v>2379</v>
      </c>
    </row>
    <row r="6956" spans="1:5" x14ac:dyDescent="0.55000000000000004">
      <c r="A6956" t="str">
        <f>TEST_DATA!A6956</f>
        <v>27AAAAA6956Z5</v>
      </c>
      <c r="B6956" t="str">
        <f>TEST_DATA!B6956</f>
        <v>Jan-2021</v>
      </c>
      <c r="C6956">
        <f>TEST_DATA!C6956</f>
        <v>44047</v>
      </c>
      <c r="D6956" t="str">
        <f>TEST_DATA!D6956</f>
        <v>NIL</v>
      </c>
      <c r="E6956">
        <f>TEST_DATA!E6956</f>
        <v>1345</v>
      </c>
    </row>
    <row r="6957" spans="1:5" x14ac:dyDescent="0.55000000000000004">
      <c r="A6957" t="str">
        <f>TEST_DATA!A6957</f>
        <v>27AAAAA6957Z5</v>
      </c>
      <c r="B6957" t="str">
        <f>TEST_DATA!B6957</f>
        <v>Jul-2017</v>
      </c>
      <c r="C6957">
        <f>TEST_DATA!C6957</f>
        <v>43326</v>
      </c>
      <c r="D6957" t="str">
        <f>TEST_DATA!D6957</f>
        <v>NON-NIL</v>
      </c>
      <c r="E6957">
        <f>TEST_DATA!E6957</f>
        <v>189</v>
      </c>
    </row>
    <row r="6958" spans="1:5" x14ac:dyDescent="0.55000000000000004">
      <c r="A6958" t="str">
        <f>TEST_DATA!A6958</f>
        <v>27AAAAA6958Z5</v>
      </c>
      <c r="B6958" t="str">
        <f>TEST_DATA!B6958</f>
        <v>Oct-2017</v>
      </c>
      <c r="C6958">
        <f>TEST_DATA!C6958</f>
        <v>43891</v>
      </c>
      <c r="D6958" t="str">
        <f>TEST_DATA!D6958</f>
        <v>NIL</v>
      </c>
      <c r="E6958">
        <f>TEST_DATA!E6958</f>
        <v>2453</v>
      </c>
    </row>
    <row r="6959" spans="1:5" x14ac:dyDescent="0.55000000000000004">
      <c r="A6959" t="str">
        <f>TEST_DATA!A6959</f>
        <v>27AAAAA6959Z5</v>
      </c>
      <c r="B6959" t="str">
        <f>TEST_DATA!B6959</f>
        <v>Nov-2017</v>
      </c>
      <c r="C6959">
        <f>TEST_DATA!C6959</f>
        <v>43761</v>
      </c>
      <c r="D6959" t="str">
        <f>TEST_DATA!D6959</f>
        <v>NON-NIL</v>
      </c>
      <c r="E6959">
        <f>TEST_DATA!E6959</f>
        <v>174</v>
      </c>
    </row>
    <row r="6960" spans="1:5" x14ac:dyDescent="0.55000000000000004">
      <c r="A6960" t="str">
        <f>TEST_DATA!A6960</f>
        <v>27AAAAA6960Z5</v>
      </c>
      <c r="B6960" t="str">
        <f>TEST_DATA!B6960</f>
        <v>Sep-2018</v>
      </c>
      <c r="C6960">
        <f>TEST_DATA!C6960</f>
        <v>43015</v>
      </c>
      <c r="D6960" t="str">
        <f>TEST_DATA!D6960</f>
        <v>NIL</v>
      </c>
      <c r="E6960">
        <f>TEST_DATA!E6960</f>
        <v>127</v>
      </c>
    </row>
    <row r="6961" spans="1:5" x14ac:dyDescent="0.55000000000000004">
      <c r="A6961" t="str">
        <f>TEST_DATA!A6961</f>
        <v>27AAAAA6961Z5</v>
      </c>
      <c r="B6961" t="str">
        <f>TEST_DATA!B6961</f>
        <v>Jun-2019</v>
      </c>
      <c r="C6961">
        <f>TEST_DATA!C6961</f>
        <v>45675</v>
      </c>
      <c r="D6961" t="str">
        <f>TEST_DATA!D6961</f>
        <v>NIL</v>
      </c>
      <c r="E6961">
        <f>TEST_DATA!E6961</f>
        <v>2120</v>
      </c>
    </row>
    <row r="6962" spans="1:5" x14ac:dyDescent="0.55000000000000004">
      <c r="A6962" t="str">
        <f>TEST_DATA!A6962</f>
        <v>27AAAAA6962Z5</v>
      </c>
      <c r="B6962" t="str">
        <f>TEST_DATA!B6962</f>
        <v>May-2020</v>
      </c>
      <c r="C6962">
        <f>TEST_DATA!C6962</f>
        <v>43965</v>
      </c>
      <c r="D6962" t="str">
        <f>TEST_DATA!D6962</f>
        <v>NON-NIL</v>
      </c>
      <c r="E6962">
        <f>TEST_DATA!E6962</f>
        <v>652</v>
      </c>
    </row>
    <row r="6963" spans="1:5" x14ac:dyDescent="0.55000000000000004">
      <c r="A6963" t="str">
        <f>TEST_DATA!A6963</f>
        <v>27AAAAA6963Z5</v>
      </c>
      <c r="B6963" t="str">
        <f>TEST_DATA!B6963</f>
        <v>Jul-2018</v>
      </c>
      <c r="C6963">
        <f>TEST_DATA!C6963</f>
        <v>43224</v>
      </c>
      <c r="D6963" t="str">
        <f>TEST_DATA!D6963</f>
        <v>NIL</v>
      </c>
      <c r="E6963">
        <f>TEST_DATA!E6963</f>
        <v>2460</v>
      </c>
    </row>
    <row r="6964" spans="1:5" x14ac:dyDescent="0.55000000000000004">
      <c r="A6964" t="str">
        <f>TEST_DATA!A6964</f>
        <v>27AAAAA6964Z5</v>
      </c>
      <c r="B6964" t="str">
        <f>TEST_DATA!B6964</f>
        <v>Aug-2018</v>
      </c>
      <c r="C6964">
        <f>TEST_DATA!C6964</f>
        <v>44043</v>
      </c>
      <c r="D6964" t="str">
        <f>TEST_DATA!D6964</f>
        <v>NIL</v>
      </c>
      <c r="E6964">
        <f>TEST_DATA!E6964</f>
        <v>2667</v>
      </c>
    </row>
    <row r="6965" spans="1:5" x14ac:dyDescent="0.55000000000000004">
      <c r="A6965" t="str">
        <f>TEST_DATA!A6965</f>
        <v>27AAAAA6965Z5</v>
      </c>
      <c r="B6965" t="str">
        <f>TEST_DATA!B6965</f>
        <v>Mar-2023</v>
      </c>
      <c r="C6965">
        <f>TEST_DATA!C6965</f>
        <v>44678</v>
      </c>
      <c r="D6965" t="str">
        <f>TEST_DATA!D6965</f>
        <v>NON-NIL</v>
      </c>
      <c r="E6965">
        <f>TEST_DATA!E6965</f>
        <v>2156</v>
      </c>
    </row>
    <row r="6966" spans="1:5" x14ac:dyDescent="0.55000000000000004">
      <c r="A6966" t="str">
        <f>TEST_DATA!A6966</f>
        <v>27AAAAA6966Z5</v>
      </c>
      <c r="B6966" t="str">
        <f>TEST_DATA!B6966</f>
        <v>May-2018</v>
      </c>
      <c r="C6966">
        <f>TEST_DATA!C6966</f>
        <v>44457</v>
      </c>
      <c r="D6966" t="str">
        <f>TEST_DATA!D6966</f>
        <v>NIL</v>
      </c>
      <c r="E6966">
        <f>TEST_DATA!E6966</f>
        <v>2705</v>
      </c>
    </row>
    <row r="6967" spans="1:5" x14ac:dyDescent="0.55000000000000004">
      <c r="A6967" t="str">
        <f>TEST_DATA!A6967</f>
        <v>27AAAAA6967Z5</v>
      </c>
      <c r="B6967" t="str">
        <f>TEST_DATA!B6967</f>
        <v>Mar-2023</v>
      </c>
      <c r="C6967">
        <f>TEST_DATA!C6967</f>
        <v>43544</v>
      </c>
      <c r="D6967" t="str">
        <f>TEST_DATA!D6967</f>
        <v>NON-NIL</v>
      </c>
      <c r="E6967">
        <f>TEST_DATA!E6967</f>
        <v>603</v>
      </c>
    </row>
    <row r="6968" spans="1:5" x14ac:dyDescent="0.55000000000000004">
      <c r="A6968" t="str">
        <f>TEST_DATA!A6968</f>
        <v>27AAAAA6968Z5</v>
      </c>
      <c r="B6968" t="str">
        <f>TEST_DATA!B6968</f>
        <v>Jun-2019</v>
      </c>
      <c r="C6968">
        <f>TEST_DATA!C6968</f>
        <v>45545</v>
      </c>
      <c r="D6968" t="str">
        <f>TEST_DATA!D6968</f>
        <v>NON-NIL</v>
      </c>
      <c r="E6968">
        <f>TEST_DATA!E6968</f>
        <v>2314</v>
      </c>
    </row>
    <row r="6969" spans="1:5" x14ac:dyDescent="0.55000000000000004">
      <c r="A6969" t="str">
        <f>TEST_DATA!A6969</f>
        <v>27AAAAA6969Z5</v>
      </c>
      <c r="B6969" t="str">
        <f>TEST_DATA!B6969</f>
        <v>Dec-2017</v>
      </c>
      <c r="C6969">
        <f>TEST_DATA!C6969</f>
        <v>44230</v>
      </c>
      <c r="D6969" t="str">
        <f>TEST_DATA!D6969</f>
        <v>NON-NIL</v>
      </c>
      <c r="E6969">
        <f>TEST_DATA!E6969</f>
        <v>2585</v>
      </c>
    </row>
    <row r="6970" spans="1:5" x14ac:dyDescent="0.55000000000000004">
      <c r="A6970" t="str">
        <f>TEST_DATA!A6970</f>
        <v>27AAAAA6970Z5</v>
      </c>
      <c r="B6970" t="str">
        <f>TEST_DATA!B6970</f>
        <v>Mar-2018</v>
      </c>
      <c r="C6970">
        <f>TEST_DATA!C6970</f>
        <v>43098</v>
      </c>
      <c r="D6970" t="str">
        <f>TEST_DATA!D6970</f>
        <v>NIL</v>
      </c>
      <c r="E6970">
        <f>TEST_DATA!E6970</f>
        <v>1716</v>
      </c>
    </row>
    <row r="6971" spans="1:5" x14ac:dyDescent="0.55000000000000004">
      <c r="A6971" t="str">
        <f>TEST_DATA!A6971</f>
        <v>27AAAAA6971Z5</v>
      </c>
      <c r="B6971" t="str">
        <f>TEST_DATA!B6971</f>
        <v>Dec-2019</v>
      </c>
      <c r="C6971">
        <f>TEST_DATA!C6971</f>
        <v>43474</v>
      </c>
      <c r="D6971" t="str">
        <f>TEST_DATA!D6971</f>
        <v>NON-NIL</v>
      </c>
      <c r="E6971">
        <f>TEST_DATA!E6971</f>
        <v>2426</v>
      </c>
    </row>
    <row r="6972" spans="1:5" x14ac:dyDescent="0.55000000000000004">
      <c r="A6972" t="str">
        <f>TEST_DATA!A6972</f>
        <v>27AAAAA6972Z5</v>
      </c>
      <c r="B6972" t="str">
        <f>TEST_DATA!B6972</f>
        <v>Jun-2020</v>
      </c>
      <c r="C6972">
        <f>TEST_DATA!C6972</f>
        <v>44061</v>
      </c>
      <c r="D6972" t="str">
        <f>TEST_DATA!D6972</f>
        <v>NON-NIL</v>
      </c>
      <c r="E6972">
        <f>TEST_DATA!E6972</f>
        <v>451</v>
      </c>
    </row>
    <row r="6973" spans="1:5" x14ac:dyDescent="0.55000000000000004">
      <c r="A6973" t="str">
        <f>TEST_DATA!A6973</f>
        <v>27AAAAA6973Z5</v>
      </c>
      <c r="B6973" t="str">
        <f>TEST_DATA!B6973</f>
        <v>Dec-2017</v>
      </c>
      <c r="C6973">
        <f>TEST_DATA!C6973</f>
        <v>44555</v>
      </c>
      <c r="D6973" t="str">
        <f>TEST_DATA!D6973</f>
        <v>NON-NIL</v>
      </c>
      <c r="E6973">
        <f>TEST_DATA!E6973</f>
        <v>1663</v>
      </c>
    </row>
    <row r="6974" spans="1:5" x14ac:dyDescent="0.55000000000000004">
      <c r="A6974" t="str">
        <f>TEST_DATA!A6974</f>
        <v>27AAAAA6974Z5</v>
      </c>
      <c r="B6974" t="str">
        <f>TEST_DATA!B6974</f>
        <v>Jul-2018</v>
      </c>
      <c r="C6974">
        <f>TEST_DATA!C6974</f>
        <v>43188</v>
      </c>
      <c r="D6974" t="str">
        <f>TEST_DATA!D6974</f>
        <v>NIL</v>
      </c>
      <c r="E6974">
        <f>TEST_DATA!E6974</f>
        <v>2283</v>
      </c>
    </row>
    <row r="6975" spans="1:5" x14ac:dyDescent="0.55000000000000004">
      <c r="A6975" t="str">
        <f>TEST_DATA!A6975</f>
        <v>27AAAAA6975Z5</v>
      </c>
      <c r="B6975" t="str">
        <f>TEST_DATA!B6975</f>
        <v>Aug-2017</v>
      </c>
      <c r="C6975">
        <f>TEST_DATA!C6975</f>
        <v>44003</v>
      </c>
      <c r="D6975" t="str">
        <f>TEST_DATA!D6975</f>
        <v>NIL</v>
      </c>
      <c r="E6975">
        <f>TEST_DATA!E6975</f>
        <v>68</v>
      </c>
    </row>
    <row r="6976" spans="1:5" x14ac:dyDescent="0.55000000000000004">
      <c r="A6976" t="str">
        <f>TEST_DATA!A6976</f>
        <v>27AAAAA6976Z5</v>
      </c>
      <c r="B6976" t="str">
        <f>TEST_DATA!B6976</f>
        <v>Feb-2018</v>
      </c>
      <c r="C6976">
        <f>TEST_DATA!C6976</f>
        <v>44196</v>
      </c>
      <c r="D6976" t="str">
        <f>TEST_DATA!D6976</f>
        <v>NIL</v>
      </c>
      <c r="E6976">
        <f>TEST_DATA!E6976</f>
        <v>1868</v>
      </c>
    </row>
    <row r="6977" spans="1:5" x14ac:dyDescent="0.55000000000000004">
      <c r="A6977" t="str">
        <f>TEST_DATA!A6977</f>
        <v>27AAAAA6977Z5</v>
      </c>
      <c r="B6977" t="str">
        <f>TEST_DATA!B6977</f>
        <v>Aug-2017</v>
      </c>
      <c r="C6977">
        <f>TEST_DATA!C6977</f>
        <v>44218</v>
      </c>
      <c r="D6977" t="str">
        <f>TEST_DATA!D6977</f>
        <v>NIL</v>
      </c>
      <c r="E6977">
        <f>TEST_DATA!E6977</f>
        <v>1725</v>
      </c>
    </row>
    <row r="6978" spans="1:5" x14ac:dyDescent="0.55000000000000004">
      <c r="A6978" t="str">
        <f>TEST_DATA!A6978</f>
        <v>27AAAAA6978Z5</v>
      </c>
      <c r="B6978" t="str">
        <f>TEST_DATA!B6978</f>
        <v>Jan-2018</v>
      </c>
      <c r="C6978">
        <f>TEST_DATA!C6978</f>
        <v>44294</v>
      </c>
      <c r="D6978" t="str">
        <f>TEST_DATA!D6978</f>
        <v>NON-NIL</v>
      </c>
      <c r="E6978">
        <f>TEST_DATA!E6978</f>
        <v>1149</v>
      </c>
    </row>
    <row r="6979" spans="1:5" x14ac:dyDescent="0.55000000000000004">
      <c r="A6979" t="str">
        <f>TEST_DATA!A6979</f>
        <v>27AAAAA6979Z5</v>
      </c>
      <c r="B6979" t="str">
        <f>TEST_DATA!B6979</f>
        <v>Mar-2018</v>
      </c>
      <c r="C6979">
        <f>TEST_DATA!C6979</f>
        <v>43364</v>
      </c>
      <c r="D6979" t="str">
        <f>TEST_DATA!D6979</f>
        <v>NON-NIL</v>
      </c>
      <c r="E6979">
        <f>TEST_DATA!E6979</f>
        <v>2436</v>
      </c>
    </row>
    <row r="6980" spans="1:5" x14ac:dyDescent="0.55000000000000004">
      <c r="A6980" t="str">
        <f>TEST_DATA!A6980</f>
        <v>27AAAAA6980Z5</v>
      </c>
      <c r="B6980" t="str">
        <f>TEST_DATA!B6980</f>
        <v>Jul-2018</v>
      </c>
      <c r="C6980">
        <f>TEST_DATA!C6980</f>
        <v>44207</v>
      </c>
      <c r="D6980" t="str">
        <f>TEST_DATA!D6980</f>
        <v>NIL</v>
      </c>
      <c r="E6980">
        <f>TEST_DATA!E6980</f>
        <v>2629</v>
      </c>
    </row>
    <row r="6981" spans="1:5" x14ac:dyDescent="0.55000000000000004">
      <c r="A6981" t="str">
        <f>TEST_DATA!A6981</f>
        <v>27AAAAA6981Z5</v>
      </c>
      <c r="B6981" t="str">
        <f>TEST_DATA!B6981</f>
        <v>Mar-2018</v>
      </c>
      <c r="C6981">
        <f>TEST_DATA!C6981</f>
        <v>43601</v>
      </c>
      <c r="D6981" t="str">
        <f>TEST_DATA!D6981</f>
        <v>NON-NIL</v>
      </c>
      <c r="E6981">
        <f>TEST_DATA!E6981</f>
        <v>24</v>
      </c>
    </row>
    <row r="6982" spans="1:5" x14ac:dyDescent="0.55000000000000004">
      <c r="A6982" t="str">
        <f>TEST_DATA!A6982</f>
        <v>27AAAAA6982Z5</v>
      </c>
      <c r="B6982" t="str">
        <f>TEST_DATA!B6982</f>
        <v>Sep-2017</v>
      </c>
      <c r="C6982">
        <f>TEST_DATA!C6982</f>
        <v>43282</v>
      </c>
      <c r="D6982" t="str">
        <f>TEST_DATA!D6982</f>
        <v>NIL</v>
      </c>
      <c r="E6982">
        <f>TEST_DATA!E6982</f>
        <v>1209</v>
      </c>
    </row>
    <row r="6983" spans="1:5" x14ac:dyDescent="0.55000000000000004">
      <c r="A6983" t="str">
        <f>TEST_DATA!A6983</f>
        <v>27AAAAA6983Z5</v>
      </c>
      <c r="B6983" t="str">
        <f>TEST_DATA!B6983</f>
        <v>Apr-2021</v>
      </c>
      <c r="C6983">
        <f>TEST_DATA!C6983</f>
        <v>44050</v>
      </c>
      <c r="D6983" t="str">
        <f>TEST_DATA!D6983</f>
        <v>NON-NIL</v>
      </c>
      <c r="E6983">
        <f>TEST_DATA!E6983</f>
        <v>664</v>
      </c>
    </row>
    <row r="6984" spans="1:5" x14ac:dyDescent="0.55000000000000004">
      <c r="A6984" t="str">
        <f>TEST_DATA!A6984</f>
        <v>27AAAAA6984Z5</v>
      </c>
      <c r="B6984" t="str">
        <f>TEST_DATA!B6984</f>
        <v>Jun-2020</v>
      </c>
      <c r="C6984">
        <f>TEST_DATA!C6984</f>
        <v>44596</v>
      </c>
      <c r="D6984" t="str">
        <f>TEST_DATA!D6984</f>
        <v>NIL</v>
      </c>
      <c r="E6984">
        <f>TEST_DATA!E6984</f>
        <v>1670</v>
      </c>
    </row>
    <row r="6985" spans="1:5" x14ac:dyDescent="0.55000000000000004">
      <c r="A6985" t="str">
        <f>TEST_DATA!A6985</f>
        <v>27AAAAA6985Z5</v>
      </c>
      <c r="B6985" t="str">
        <f>TEST_DATA!B6985</f>
        <v>Apr-2020</v>
      </c>
      <c r="C6985">
        <f>TEST_DATA!C6985</f>
        <v>43869</v>
      </c>
      <c r="D6985" t="str">
        <f>TEST_DATA!D6985</f>
        <v>NIL</v>
      </c>
      <c r="E6985">
        <f>TEST_DATA!E6985</f>
        <v>639</v>
      </c>
    </row>
    <row r="6986" spans="1:5" x14ac:dyDescent="0.55000000000000004">
      <c r="A6986" t="str">
        <f>TEST_DATA!A6986</f>
        <v>27AAAAA6986Z5</v>
      </c>
      <c r="B6986" t="str">
        <f>TEST_DATA!B6986</f>
        <v>Feb-2018</v>
      </c>
      <c r="C6986">
        <f>TEST_DATA!C6986</f>
        <v>43856</v>
      </c>
      <c r="D6986" t="str">
        <f>TEST_DATA!D6986</f>
        <v>NON-NIL</v>
      </c>
      <c r="E6986">
        <f>TEST_DATA!E6986</f>
        <v>1018</v>
      </c>
    </row>
    <row r="6987" spans="1:5" x14ac:dyDescent="0.55000000000000004">
      <c r="A6987" t="str">
        <f>TEST_DATA!A6987</f>
        <v>27AAAAA6987Z5</v>
      </c>
      <c r="B6987" t="str">
        <f>TEST_DATA!B6987</f>
        <v>Jul-2017</v>
      </c>
      <c r="C6987">
        <f>TEST_DATA!C6987</f>
        <v>43291</v>
      </c>
      <c r="D6987" t="str">
        <f>TEST_DATA!D6987</f>
        <v>NON-NIL</v>
      </c>
      <c r="E6987">
        <f>TEST_DATA!E6987</f>
        <v>2334</v>
      </c>
    </row>
    <row r="6988" spans="1:5" x14ac:dyDescent="0.55000000000000004">
      <c r="A6988" t="str">
        <f>TEST_DATA!A6988</f>
        <v>27AAAAA6988Z5</v>
      </c>
      <c r="B6988" t="str">
        <f>TEST_DATA!B6988</f>
        <v>Sep-2018</v>
      </c>
      <c r="C6988">
        <f>TEST_DATA!C6988</f>
        <v>43746</v>
      </c>
      <c r="D6988" t="str">
        <f>TEST_DATA!D6988</f>
        <v>NIL</v>
      </c>
      <c r="E6988">
        <f>TEST_DATA!E6988</f>
        <v>1023</v>
      </c>
    </row>
    <row r="6989" spans="1:5" x14ac:dyDescent="0.55000000000000004">
      <c r="A6989" t="str">
        <f>TEST_DATA!A6989</f>
        <v>27AAAAA6989Z5</v>
      </c>
      <c r="B6989" t="str">
        <f>TEST_DATA!B6989</f>
        <v>Apr-2020</v>
      </c>
      <c r="C6989">
        <f>TEST_DATA!C6989</f>
        <v>44602</v>
      </c>
      <c r="D6989" t="str">
        <f>TEST_DATA!D6989</f>
        <v>NON-NIL</v>
      </c>
      <c r="E6989">
        <f>TEST_DATA!E6989</f>
        <v>3</v>
      </c>
    </row>
    <row r="6990" spans="1:5" x14ac:dyDescent="0.55000000000000004">
      <c r="A6990" t="str">
        <f>TEST_DATA!A6990</f>
        <v>27AAAAA6990Z5</v>
      </c>
      <c r="B6990" t="str">
        <f>TEST_DATA!B6990</f>
        <v>Nov-2017</v>
      </c>
      <c r="C6990">
        <f>TEST_DATA!C6990</f>
        <v>44461</v>
      </c>
      <c r="D6990" t="str">
        <f>TEST_DATA!D6990</f>
        <v>NON-NIL</v>
      </c>
      <c r="E6990">
        <f>TEST_DATA!E6990</f>
        <v>992</v>
      </c>
    </row>
    <row r="6991" spans="1:5" x14ac:dyDescent="0.55000000000000004">
      <c r="A6991" t="str">
        <f>TEST_DATA!A6991</f>
        <v>27AAAAA6991Z5</v>
      </c>
      <c r="B6991" t="str">
        <f>TEST_DATA!B6991</f>
        <v>Jul-2018</v>
      </c>
      <c r="C6991">
        <f>TEST_DATA!C6991</f>
        <v>43568</v>
      </c>
      <c r="D6991" t="str">
        <f>TEST_DATA!D6991</f>
        <v>NIL</v>
      </c>
      <c r="E6991">
        <f>TEST_DATA!E6991</f>
        <v>2825</v>
      </c>
    </row>
    <row r="6992" spans="1:5" x14ac:dyDescent="0.55000000000000004">
      <c r="A6992" t="str">
        <f>TEST_DATA!A6992</f>
        <v>27AAAAA6992Z5</v>
      </c>
      <c r="B6992" t="str">
        <f>TEST_DATA!B6992</f>
        <v>Apr-2018</v>
      </c>
      <c r="C6992">
        <f>TEST_DATA!C6992</f>
        <v>43003</v>
      </c>
      <c r="D6992" t="str">
        <f>TEST_DATA!D6992</f>
        <v>NON-NIL</v>
      </c>
      <c r="E6992">
        <f>TEST_DATA!E6992</f>
        <v>1453</v>
      </c>
    </row>
    <row r="6993" spans="1:5" x14ac:dyDescent="0.55000000000000004">
      <c r="A6993" t="str">
        <f>TEST_DATA!A6993</f>
        <v>27AAAAA6993Z5</v>
      </c>
      <c r="B6993" t="str">
        <f>TEST_DATA!B6993</f>
        <v>Feb-2018</v>
      </c>
      <c r="C6993">
        <f>TEST_DATA!C6993</f>
        <v>44347</v>
      </c>
      <c r="D6993" t="str">
        <f>TEST_DATA!D6993</f>
        <v>NON-NIL</v>
      </c>
      <c r="E6993">
        <f>TEST_DATA!E6993</f>
        <v>1047</v>
      </c>
    </row>
    <row r="6994" spans="1:5" x14ac:dyDescent="0.55000000000000004">
      <c r="A6994" t="str">
        <f>TEST_DATA!A6994</f>
        <v>27AAAAA6994Z5</v>
      </c>
      <c r="B6994" t="str">
        <f>TEST_DATA!B6994</f>
        <v>Jun-2019</v>
      </c>
      <c r="C6994">
        <f>TEST_DATA!C6994</f>
        <v>43790</v>
      </c>
      <c r="D6994" t="str">
        <f>TEST_DATA!D6994</f>
        <v>NON-NIL</v>
      </c>
      <c r="E6994">
        <f>TEST_DATA!E6994</f>
        <v>1504</v>
      </c>
    </row>
    <row r="6995" spans="1:5" x14ac:dyDescent="0.55000000000000004">
      <c r="A6995" t="str">
        <f>TEST_DATA!A6995</f>
        <v>27AAAAA6995Z5</v>
      </c>
      <c r="B6995" t="str">
        <f>TEST_DATA!B6995</f>
        <v>Mar-2021</v>
      </c>
      <c r="C6995">
        <f>TEST_DATA!C6995</f>
        <v>44606</v>
      </c>
      <c r="D6995" t="str">
        <f>TEST_DATA!D6995</f>
        <v>NIL</v>
      </c>
      <c r="E6995">
        <f>TEST_DATA!E6995</f>
        <v>995</v>
      </c>
    </row>
    <row r="6996" spans="1:5" x14ac:dyDescent="0.55000000000000004">
      <c r="A6996" t="str">
        <f>TEST_DATA!A6996</f>
        <v>27AAAAA6996Z5</v>
      </c>
      <c r="B6996" t="str">
        <f>TEST_DATA!B6996</f>
        <v>Mar-2023</v>
      </c>
      <c r="C6996">
        <f>TEST_DATA!C6996</f>
        <v>45104</v>
      </c>
      <c r="D6996" t="str">
        <f>TEST_DATA!D6996</f>
        <v>NON-NIL</v>
      </c>
      <c r="E6996">
        <f>TEST_DATA!E6996</f>
        <v>2089</v>
      </c>
    </row>
    <row r="6997" spans="1:5" x14ac:dyDescent="0.55000000000000004">
      <c r="A6997" t="str">
        <f>TEST_DATA!A6997</f>
        <v>27AAAAA6997Z5</v>
      </c>
      <c r="B6997" t="str">
        <f>TEST_DATA!B6997</f>
        <v>Dec-2019</v>
      </c>
      <c r="C6997">
        <f>TEST_DATA!C6997</f>
        <v>44067</v>
      </c>
      <c r="D6997" t="str">
        <f>TEST_DATA!D6997</f>
        <v>NIL</v>
      </c>
      <c r="E6997">
        <f>TEST_DATA!E6997</f>
        <v>1442</v>
      </c>
    </row>
    <row r="6998" spans="1:5" x14ac:dyDescent="0.55000000000000004">
      <c r="A6998" t="str">
        <f>TEST_DATA!A6998</f>
        <v>27AAAAA6998Z5</v>
      </c>
      <c r="B6998" t="str">
        <f>TEST_DATA!B6998</f>
        <v>Mar-2023</v>
      </c>
      <c r="C6998">
        <f>TEST_DATA!C6998</f>
        <v>45800</v>
      </c>
      <c r="D6998" t="str">
        <f>TEST_DATA!D6998</f>
        <v>NON-NIL</v>
      </c>
      <c r="E6998">
        <f>TEST_DATA!E6998</f>
        <v>2041</v>
      </c>
    </row>
    <row r="6999" spans="1:5" x14ac:dyDescent="0.55000000000000004">
      <c r="A6999" t="str">
        <f>TEST_DATA!A6999</f>
        <v>27AAAAA6999Z5</v>
      </c>
      <c r="B6999" t="str">
        <f>TEST_DATA!B6999</f>
        <v>Feb-2018</v>
      </c>
      <c r="C6999">
        <f>TEST_DATA!C6999</f>
        <v>43977</v>
      </c>
      <c r="D6999" t="str">
        <f>TEST_DATA!D6999</f>
        <v>NON-NIL</v>
      </c>
      <c r="E6999">
        <f>TEST_DATA!E6999</f>
        <v>1132</v>
      </c>
    </row>
    <row r="7000" spans="1:5" x14ac:dyDescent="0.55000000000000004">
      <c r="A7000" t="str">
        <f>TEST_DATA!A7000</f>
        <v>27AAAAA7000Z5</v>
      </c>
      <c r="B7000" t="str">
        <f>TEST_DATA!B7000</f>
        <v>Jul-2020</v>
      </c>
      <c r="C7000">
        <f>TEST_DATA!C7000</f>
        <v>44650</v>
      </c>
      <c r="D7000" t="str">
        <f>TEST_DATA!D7000</f>
        <v>NON-NIL</v>
      </c>
      <c r="E7000">
        <f>TEST_DATA!E7000</f>
        <v>623</v>
      </c>
    </row>
    <row r="7001" spans="1:5" x14ac:dyDescent="0.55000000000000004">
      <c r="A7001" t="str">
        <f>TEST_DATA!A7001</f>
        <v>27AAAAA7001Z5</v>
      </c>
      <c r="B7001" t="str">
        <f>TEST_DATA!B7001</f>
        <v>Jan-2018</v>
      </c>
      <c r="C7001">
        <f>TEST_DATA!C7001</f>
        <v>43177</v>
      </c>
      <c r="D7001" t="str">
        <f>TEST_DATA!D7001</f>
        <v>NIL</v>
      </c>
      <c r="E7001">
        <f>TEST_DATA!E7001</f>
        <v>1752</v>
      </c>
    </row>
    <row r="7002" spans="1:5" x14ac:dyDescent="0.55000000000000004">
      <c r="A7002" t="str">
        <f>TEST_DATA!A7002</f>
        <v>27AAAAA7002Z5</v>
      </c>
      <c r="B7002" t="str">
        <f>TEST_DATA!B7002</f>
        <v>Aug-2017</v>
      </c>
      <c r="C7002">
        <f>TEST_DATA!C7002</f>
        <v>43697</v>
      </c>
      <c r="D7002" t="str">
        <f>TEST_DATA!D7002</f>
        <v>NON-NIL</v>
      </c>
      <c r="E7002">
        <f>TEST_DATA!E7002</f>
        <v>1898</v>
      </c>
    </row>
    <row r="7003" spans="1:5" x14ac:dyDescent="0.55000000000000004">
      <c r="A7003" t="str">
        <f>TEST_DATA!A7003</f>
        <v>27AAAAA7003Z5</v>
      </c>
      <c r="B7003" t="str">
        <f>TEST_DATA!B7003</f>
        <v>Apr-2020</v>
      </c>
      <c r="C7003">
        <f>TEST_DATA!C7003</f>
        <v>44914</v>
      </c>
      <c r="D7003" t="str">
        <f>TEST_DATA!D7003</f>
        <v>NON-NIL</v>
      </c>
      <c r="E7003">
        <f>TEST_DATA!E7003</f>
        <v>1162</v>
      </c>
    </row>
    <row r="7004" spans="1:5" x14ac:dyDescent="0.55000000000000004">
      <c r="A7004" t="str">
        <f>TEST_DATA!A7004</f>
        <v>27AAAAA7004Z5</v>
      </c>
      <c r="B7004" t="str">
        <f>TEST_DATA!B7004</f>
        <v>Mar-2020</v>
      </c>
      <c r="C7004">
        <f>TEST_DATA!C7004</f>
        <v>43981</v>
      </c>
      <c r="D7004" t="str">
        <f>TEST_DATA!D7004</f>
        <v>NIL</v>
      </c>
      <c r="E7004">
        <f>TEST_DATA!E7004</f>
        <v>1527</v>
      </c>
    </row>
    <row r="7005" spans="1:5" x14ac:dyDescent="0.55000000000000004">
      <c r="A7005" t="str">
        <f>TEST_DATA!A7005</f>
        <v>27AAAAA7005Z5</v>
      </c>
      <c r="B7005" t="str">
        <f>TEST_DATA!B7005</f>
        <v>Mar-2020</v>
      </c>
      <c r="C7005">
        <f>TEST_DATA!C7005</f>
        <v>44466</v>
      </c>
      <c r="D7005" t="str">
        <f>TEST_DATA!D7005</f>
        <v>NON-NIL</v>
      </c>
      <c r="E7005">
        <f>TEST_DATA!E7005</f>
        <v>2730</v>
      </c>
    </row>
    <row r="7006" spans="1:5" x14ac:dyDescent="0.55000000000000004">
      <c r="A7006" t="str">
        <f>TEST_DATA!A7006</f>
        <v>27AAAAA7006Z5</v>
      </c>
      <c r="B7006" t="str">
        <f>TEST_DATA!B7006</f>
        <v>Dec-2024</v>
      </c>
      <c r="C7006">
        <f>TEST_DATA!C7006</f>
        <v>44179</v>
      </c>
      <c r="D7006" t="str">
        <f>TEST_DATA!D7006</f>
        <v>NIL</v>
      </c>
      <c r="E7006">
        <f>TEST_DATA!E7006</f>
        <v>206</v>
      </c>
    </row>
    <row r="7007" spans="1:5" x14ac:dyDescent="0.55000000000000004">
      <c r="A7007" t="str">
        <f>TEST_DATA!A7007</f>
        <v>27AAAAA7007Z5</v>
      </c>
      <c r="B7007" t="str">
        <f>TEST_DATA!B7007</f>
        <v>Mar-2018</v>
      </c>
      <c r="C7007">
        <f>TEST_DATA!C7007</f>
        <v>43297</v>
      </c>
      <c r="D7007" t="str">
        <f>TEST_DATA!D7007</f>
        <v>NON-NIL</v>
      </c>
      <c r="E7007">
        <f>TEST_DATA!E7007</f>
        <v>755</v>
      </c>
    </row>
    <row r="7008" spans="1:5" x14ac:dyDescent="0.55000000000000004">
      <c r="A7008" t="str">
        <f>TEST_DATA!A7008</f>
        <v>27AAAAA7008Z5</v>
      </c>
      <c r="B7008" t="str">
        <f>TEST_DATA!B7008</f>
        <v>Dec-2017</v>
      </c>
      <c r="C7008">
        <f>TEST_DATA!C7008</f>
        <v>43758</v>
      </c>
      <c r="D7008" t="str">
        <f>TEST_DATA!D7008</f>
        <v>NIL</v>
      </c>
      <c r="E7008">
        <f>TEST_DATA!E7008</f>
        <v>45</v>
      </c>
    </row>
    <row r="7009" spans="1:5" x14ac:dyDescent="0.55000000000000004">
      <c r="A7009" t="str">
        <f>TEST_DATA!A7009</f>
        <v>27AAAAA7009Z5</v>
      </c>
      <c r="B7009" t="str">
        <f>TEST_DATA!B7009</f>
        <v>Jul-2018</v>
      </c>
      <c r="C7009">
        <f>TEST_DATA!C7009</f>
        <v>43770</v>
      </c>
      <c r="D7009" t="str">
        <f>TEST_DATA!D7009</f>
        <v>NON-NIL</v>
      </c>
      <c r="E7009">
        <f>TEST_DATA!E7009</f>
        <v>297</v>
      </c>
    </row>
    <row r="7010" spans="1:5" x14ac:dyDescent="0.55000000000000004">
      <c r="A7010" t="str">
        <f>TEST_DATA!A7010</f>
        <v>27AAAAA7010Z5</v>
      </c>
      <c r="B7010" t="str">
        <f>TEST_DATA!B7010</f>
        <v>Sep-2018</v>
      </c>
      <c r="C7010">
        <f>TEST_DATA!C7010</f>
        <v>44082</v>
      </c>
      <c r="D7010" t="str">
        <f>TEST_DATA!D7010</f>
        <v>NON-NIL</v>
      </c>
      <c r="E7010">
        <f>TEST_DATA!E7010</f>
        <v>724</v>
      </c>
    </row>
    <row r="7011" spans="1:5" x14ac:dyDescent="0.55000000000000004">
      <c r="A7011" t="str">
        <f>TEST_DATA!A7011</f>
        <v>27AAAAA7011Z5</v>
      </c>
      <c r="B7011" t="str">
        <f>TEST_DATA!B7011</f>
        <v>Jan-2018</v>
      </c>
      <c r="C7011">
        <f>TEST_DATA!C7011</f>
        <v>43623</v>
      </c>
      <c r="D7011" t="str">
        <f>TEST_DATA!D7011</f>
        <v>NON-NIL</v>
      </c>
      <c r="E7011">
        <f>TEST_DATA!E7011</f>
        <v>2499</v>
      </c>
    </row>
    <row r="7012" spans="1:5" x14ac:dyDescent="0.55000000000000004">
      <c r="A7012" t="str">
        <f>TEST_DATA!A7012</f>
        <v>27AAAAA7012Z5</v>
      </c>
      <c r="B7012" t="str">
        <f>TEST_DATA!B7012</f>
        <v>Mar-2020</v>
      </c>
      <c r="C7012">
        <f>TEST_DATA!C7012</f>
        <v>44147</v>
      </c>
      <c r="D7012" t="str">
        <f>TEST_DATA!D7012</f>
        <v>NIL</v>
      </c>
      <c r="E7012">
        <f>TEST_DATA!E7012</f>
        <v>882</v>
      </c>
    </row>
    <row r="7013" spans="1:5" x14ac:dyDescent="0.55000000000000004">
      <c r="A7013" t="str">
        <f>TEST_DATA!A7013</f>
        <v>27AAAAA7013Z5</v>
      </c>
      <c r="B7013" t="str">
        <f>TEST_DATA!B7013</f>
        <v>May-2018</v>
      </c>
      <c r="C7013">
        <f>TEST_DATA!C7013</f>
        <v>44456</v>
      </c>
      <c r="D7013" t="str">
        <f>TEST_DATA!D7013</f>
        <v>NON-NIL</v>
      </c>
      <c r="E7013">
        <f>TEST_DATA!E7013</f>
        <v>1637</v>
      </c>
    </row>
    <row r="7014" spans="1:5" x14ac:dyDescent="0.55000000000000004">
      <c r="A7014" t="str">
        <f>TEST_DATA!A7014</f>
        <v>27AAAAA7014Z5</v>
      </c>
      <c r="B7014" t="str">
        <f>TEST_DATA!B7014</f>
        <v>Dec-2019</v>
      </c>
      <c r="C7014">
        <f>TEST_DATA!C7014</f>
        <v>45574</v>
      </c>
      <c r="D7014" t="str">
        <f>TEST_DATA!D7014</f>
        <v>NON-NIL</v>
      </c>
      <c r="E7014">
        <f>TEST_DATA!E7014</f>
        <v>2908</v>
      </c>
    </row>
    <row r="7015" spans="1:5" x14ac:dyDescent="0.55000000000000004">
      <c r="A7015" t="str">
        <f>TEST_DATA!A7015</f>
        <v>27AAAAA7015Z5</v>
      </c>
      <c r="B7015" t="str">
        <f>TEST_DATA!B7015</f>
        <v>Jan-2019</v>
      </c>
      <c r="C7015">
        <f>TEST_DATA!C7015</f>
        <v>45313</v>
      </c>
      <c r="D7015" t="str">
        <f>TEST_DATA!D7015</f>
        <v>NIL</v>
      </c>
      <c r="E7015">
        <f>TEST_DATA!E7015</f>
        <v>1524</v>
      </c>
    </row>
    <row r="7016" spans="1:5" x14ac:dyDescent="0.55000000000000004">
      <c r="A7016" t="str">
        <f>TEST_DATA!A7016</f>
        <v>27AAAAA7016Z5</v>
      </c>
      <c r="B7016" t="str">
        <f>TEST_DATA!B7016</f>
        <v>Mar-2021</v>
      </c>
      <c r="C7016">
        <f>TEST_DATA!C7016</f>
        <v>45242</v>
      </c>
      <c r="D7016" t="str">
        <f>TEST_DATA!D7016</f>
        <v>NIL</v>
      </c>
      <c r="E7016">
        <f>TEST_DATA!E7016</f>
        <v>1233</v>
      </c>
    </row>
    <row r="7017" spans="1:5" x14ac:dyDescent="0.55000000000000004">
      <c r="A7017" t="str">
        <f>TEST_DATA!A7017</f>
        <v>27AAAAA7017Z5</v>
      </c>
      <c r="B7017" t="str">
        <f>TEST_DATA!B7017</f>
        <v>Oct-2017</v>
      </c>
      <c r="C7017">
        <f>TEST_DATA!C7017</f>
        <v>43422</v>
      </c>
      <c r="D7017" t="str">
        <f>TEST_DATA!D7017</f>
        <v>NON-NIL</v>
      </c>
      <c r="E7017">
        <f>TEST_DATA!E7017</f>
        <v>2151</v>
      </c>
    </row>
    <row r="7018" spans="1:5" x14ac:dyDescent="0.55000000000000004">
      <c r="A7018" t="str">
        <f>TEST_DATA!A7018</f>
        <v>27AAAAA7018Z5</v>
      </c>
      <c r="B7018" t="str">
        <f>TEST_DATA!B7018</f>
        <v>Dec-2017</v>
      </c>
      <c r="C7018">
        <f>TEST_DATA!C7018</f>
        <v>43017</v>
      </c>
      <c r="D7018" t="str">
        <f>TEST_DATA!D7018</f>
        <v>NON-NIL</v>
      </c>
      <c r="E7018">
        <f>TEST_DATA!E7018</f>
        <v>2490</v>
      </c>
    </row>
    <row r="7019" spans="1:5" x14ac:dyDescent="0.55000000000000004">
      <c r="A7019" t="str">
        <f>TEST_DATA!A7019</f>
        <v>27AAAAA7019Z5</v>
      </c>
      <c r="B7019" t="str">
        <f>TEST_DATA!B7019</f>
        <v>Dec-2022</v>
      </c>
      <c r="C7019">
        <f>TEST_DATA!C7019</f>
        <v>44477</v>
      </c>
      <c r="D7019" t="str">
        <f>TEST_DATA!D7019</f>
        <v>NIL</v>
      </c>
      <c r="E7019">
        <f>TEST_DATA!E7019</f>
        <v>1340</v>
      </c>
    </row>
    <row r="7020" spans="1:5" x14ac:dyDescent="0.55000000000000004">
      <c r="A7020" t="str">
        <f>TEST_DATA!A7020</f>
        <v>27AAAAA7020Z5</v>
      </c>
      <c r="B7020" t="str">
        <f>TEST_DATA!B7020</f>
        <v>Jan-2018</v>
      </c>
      <c r="C7020">
        <f>TEST_DATA!C7020</f>
        <v>44152</v>
      </c>
      <c r="D7020" t="str">
        <f>TEST_DATA!D7020</f>
        <v>NIL</v>
      </c>
      <c r="E7020">
        <f>TEST_DATA!E7020</f>
        <v>2455</v>
      </c>
    </row>
    <row r="7021" spans="1:5" x14ac:dyDescent="0.55000000000000004">
      <c r="A7021" t="str">
        <f>TEST_DATA!A7021</f>
        <v>27AAAAA7021Z5</v>
      </c>
      <c r="B7021" t="str">
        <f>TEST_DATA!B7021</f>
        <v>Sep-2017</v>
      </c>
      <c r="C7021">
        <f>TEST_DATA!C7021</f>
        <v>43233</v>
      </c>
      <c r="D7021" t="str">
        <f>TEST_DATA!D7021</f>
        <v>NIL</v>
      </c>
      <c r="E7021">
        <f>TEST_DATA!E7021</f>
        <v>1648</v>
      </c>
    </row>
    <row r="7022" spans="1:5" x14ac:dyDescent="0.55000000000000004">
      <c r="A7022" t="str">
        <f>TEST_DATA!A7022</f>
        <v>27AAAAA7022Z5</v>
      </c>
      <c r="B7022" t="str">
        <f>TEST_DATA!B7022</f>
        <v>Jul-2017</v>
      </c>
      <c r="C7022">
        <f>TEST_DATA!C7022</f>
        <v>42977</v>
      </c>
      <c r="D7022" t="str">
        <f>TEST_DATA!D7022</f>
        <v>NIL</v>
      </c>
      <c r="E7022">
        <f>TEST_DATA!E7022</f>
        <v>272</v>
      </c>
    </row>
    <row r="7023" spans="1:5" x14ac:dyDescent="0.55000000000000004">
      <c r="A7023" t="str">
        <f>TEST_DATA!A7023</f>
        <v>27AAAAA7023Z5</v>
      </c>
      <c r="B7023" t="str">
        <f>TEST_DATA!B7023</f>
        <v>Apr-2018</v>
      </c>
      <c r="C7023">
        <f>TEST_DATA!C7023</f>
        <v>43526</v>
      </c>
      <c r="D7023" t="str">
        <f>TEST_DATA!D7023</f>
        <v>NIL</v>
      </c>
      <c r="E7023">
        <f>TEST_DATA!E7023</f>
        <v>2672</v>
      </c>
    </row>
    <row r="7024" spans="1:5" x14ac:dyDescent="0.55000000000000004">
      <c r="A7024" t="str">
        <f>TEST_DATA!A7024</f>
        <v>27AAAAA7024Z5</v>
      </c>
      <c r="B7024" t="str">
        <f>TEST_DATA!B7024</f>
        <v>Jun-2020</v>
      </c>
      <c r="C7024">
        <f>TEST_DATA!C7024</f>
        <v>44786</v>
      </c>
      <c r="D7024" t="str">
        <f>TEST_DATA!D7024</f>
        <v>NON-NIL</v>
      </c>
      <c r="E7024">
        <f>TEST_DATA!E7024</f>
        <v>601</v>
      </c>
    </row>
    <row r="7025" spans="1:5" x14ac:dyDescent="0.55000000000000004">
      <c r="A7025" t="str">
        <f>TEST_DATA!A7025</f>
        <v>27AAAAA7025Z5</v>
      </c>
      <c r="B7025" t="str">
        <f>TEST_DATA!B7025</f>
        <v>Dec-2022</v>
      </c>
      <c r="C7025">
        <f>TEST_DATA!C7025</f>
        <v>43741</v>
      </c>
      <c r="D7025" t="str">
        <f>TEST_DATA!D7025</f>
        <v>NON-NIL</v>
      </c>
      <c r="E7025">
        <f>TEST_DATA!E7025</f>
        <v>2670</v>
      </c>
    </row>
    <row r="7026" spans="1:5" x14ac:dyDescent="0.55000000000000004">
      <c r="A7026" t="str">
        <f>TEST_DATA!A7026</f>
        <v>27AAAAA7026Z5</v>
      </c>
      <c r="B7026" t="str">
        <f>TEST_DATA!B7026</f>
        <v>Jun-2020</v>
      </c>
      <c r="C7026">
        <f>TEST_DATA!C7026</f>
        <v>44295</v>
      </c>
      <c r="D7026" t="str">
        <f>TEST_DATA!D7026</f>
        <v>NIL</v>
      </c>
      <c r="E7026">
        <f>TEST_DATA!E7026</f>
        <v>1164</v>
      </c>
    </row>
    <row r="7027" spans="1:5" x14ac:dyDescent="0.55000000000000004">
      <c r="A7027" t="str">
        <f>TEST_DATA!A7027</f>
        <v>27AAAAA7027Z5</v>
      </c>
      <c r="B7027" t="str">
        <f>TEST_DATA!B7027</f>
        <v>Jan-2021</v>
      </c>
      <c r="C7027">
        <f>TEST_DATA!C7027</f>
        <v>45776</v>
      </c>
      <c r="D7027" t="str">
        <f>TEST_DATA!D7027</f>
        <v>NIL</v>
      </c>
      <c r="E7027">
        <f>TEST_DATA!E7027</f>
        <v>891</v>
      </c>
    </row>
    <row r="7028" spans="1:5" x14ac:dyDescent="0.55000000000000004">
      <c r="A7028" t="str">
        <f>TEST_DATA!A7028</f>
        <v>27AAAAA7028Z5</v>
      </c>
      <c r="B7028" t="str">
        <f>TEST_DATA!B7028</f>
        <v>Apr-2018</v>
      </c>
      <c r="C7028">
        <f>TEST_DATA!C7028</f>
        <v>43159</v>
      </c>
      <c r="D7028" t="str">
        <f>TEST_DATA!D7028</f>
        <v>NIL</v>
      </c>
      <c r="E7028">
        <f>TEST_DATA!E7028</f>
        <v>836</v>
      </c>
    </row>
    <row r="7029" spans="1:5" x14ac:dyDescent="0.55000000000000004">
      <c r="A7029" t="str">
        <f>TEST_DATA!A7029</f>
        <v>27AAAAA7029Z5</v>
      </c>
      <c r="B7029" t="str">
        <f>TEST_DATA!B7029</f>
        <v>Jun-2019</v>
      </c>
      <c r="C7029">
        <f>TEST_DATA!C7029</f>
        <v>45820</v>
      </c>
      <c r="D7029" t="str">
        <f>TEST_DATA!D7029</f>
        <v>NON-NIL</v>
      </c>
      <c r="E7029">
        <f>TEST_DATA!E7029</f>
        <v>1316</v>
      </c>
    </row>
    <row r="7030" spans="1:5" x14ac:dyDescent="0.55000000000000004">
      <c r="A7030" t="str">
        <f>TEST_DATA!A7030</f>
        <v>27AAAAA7030Z5</v>
      </c>
      <c r="B7030" t="str">
        <f>TEST_DATA!B7030</f>
        <v>Nov-2017</v>
      </c>
      <c r="C7030">
        <f>TEST_DATA!C7030</f>
        <v>44218</v>
      </c>
      <c r="D7030" t="str">
        <f>TEST_DATA!D7030</f>
        <v>NON-NIL</v>
      </c>
      <c r="E7030">
        <f>TEST_DATA!E7030</f>
        <v>542</v>
      </c>
    </row>
    <row r="7031" spans="1:5" x14ac:dyDescent="0.55000000000000004">
      <c r="A7031" t="str">
        <f>TEST_DATA!A7031</f>
        <v>27AAAAA7031Z5</v>
      </c>
      <c r="B7031" t="str">
        <f>TEST_DATA!B7031</f>
        <v>Aug-2017</v>
      </c>
      <c r="C7031">
        <f>TEST_DATA!C7031</f>
        <v>44128</v>
      </c>
      <c r="D7031" t="str">
        <f>TEST_DATA!D7031</f>
        <v>NON-NIL</v>
      </c>
      <c r="E7031">
        <f>TEST_DATA!E7031</f>
        <v>2639</v>
      </c>
    </row>
    <row r="7032" spans="1:5" x14ac:dyDescent="0.55000000000000004">
      <c r="A7032" t="str">
        <f>TEST_DATA!A7032</f>
        <v>27AAAAA7032Z5</v>
      </c>
      <c r="B7032" t="str">
        <f>TEST_DATA!B7032</f>
        <v>May-2018</v>
      </c>
      <c r="C7032">
        <f>TEST_DATA!C7032</f>
        <v>44291</v>
      </c>
      <c r="D7032" t="str">
        <f>TEST_DATA!D7032</f>
        <v>NON-NIL</v>
      </c>
      <c r="E7032">
        <f>TEST_DATA!E7032</f>
        <v>1217</v>
      </c>
    </row>
    <row r="7033" spans="1:5" x14ac:dyDescent="0.55000000000000004">
      <c r="A7033" t="str">
        <f>TEST_DATA!A7033</f>
        <v>27AAAAA7033Z5</v>
      </c>
      <c r="B7033" t="str">
        <f>TEST_DATA!B7033</f>
        <v>Dec-2017</v>
      </c>
      <c r="C7033">
        <f>TEST_DATA!C7033</f>
        <v>44437</v>
      </c>
      <c r="D7033" t="str">
        <f>TEST_DATA!D7033</f>
        <v>NIL</v>
      </c>
      <c r="E7033">
        <f>TEST_DATA!E7033</f>
        <v>1215</v>
      </c>
    </row>
    <row r="7034" spans="1:5" x14ac:dyDescent="0.55000000000000004">
      <c r="A7034" t="str">
        <f>TEST_DATA!A7034</f>
        <v>27AAAAA7034Z5</v>
      </c>
      <c r="B7034" t="str">
        <f>TEST_DATA!B7034</f>
        <v>Jul-2017</v>
      </c>
      <c r="C7034">
        <f>TEST_DATA!C7034</f>
        <v>43591</v>
      </c>
      <c r="D7034" t="str">
        <f>TEST_DATA!D7034</f>
        <v>NIL</v>
      </c>
      <c r="E7034">
        <f>TEST_DATA!E7034</f>
        <v>227</v>
      </c>
    </row>
    <row r="7035" spans="1:5" x14ac:dyDescent="0.55000000000000004">
      <c r="A7035" t="str">
        <f>TEST_DATA!A7035</f>
        <v>27AAAAA7035Z5</v>
      </c>
      <c r="B7035" t="str">
        <f>TEST_DATA!B7035</f>
        <v>Jun-2019</v>
      </c>
      <c r="C7035">
        <f>TEST_DATA!C7035</f>
        <v>44214</v>
      </c>
      <c r="D7035" t="str">
        <f>TEST_DATA!D7035</f>
        <v>NIL</v>
      </c>
      <c r="E7035">
        <f>TEST_DATA!E7035</f>
        <v>1379</v>
      </c>
    </row>
    <row r="7036" spans="1:5" x14ac:dyDescent="0.55000000000000004">
      <c r="A7036" t="str">
        <f>TEST_DATA!A7036</f>
        <v>27AAAAA7036Z5</v>
      </c>
      <c r="B7036" t="str">
        <f>TEST_DATA!B7036</f>
        <v>Dec-2022</v>
      </c>
      <c r="C7036">
        <f>TEST_DATA!C7036</f>
        <v>44416</v>
      </c>
      <c r="D7036" t="str">
        <f>TEST_DATA!D7036</f>
        <v>NIL</v>
      </c>
      <c r="E7036">
        <f>TEST_DATA!E7036</f>
        <v>2335</v>
      </c>
    </row>
    <row r="7037" spans="1:5" x14ac:dyDescent="0.55000000000000004">
      <c r="A7037" t="str">
        <f>TEST_DATA!A7037</f>
        <v>27AAAAA7037Z5</v>
      </c>
      <c r="B7037" t="str">
        <f>TEST_DATA!B7037</f>
        <v>Jan-2019</v>
      </c>
      <c r="C7037">
        <f>TEST_DATA!C7037</f>
        <v>45213</v>
      </c>
      <c r="D7037" t="str">
        <f>TEST_DATA!D7037</f>
        <v>NON-NIL</v>
      </c>
      <c r="E7037">
        <f>TEST_DATA!E7037</f>
        <v>2492</v>
      </c>
    </row>
    <row r="7038" spans="1:5" x14ac:dyDescent="0.55000000000000004">
      <c r="A7038" t="str">
        <f>TEST_DATA!A7038</f>
        <v>27AAAAA7038Z5</v>
      </c>
      <c r="B7038" t="str">
        <f>TEST_DATA!B7038</f>
        <v>Apr-2021</v>
      </c>
      <c r="C7038">
        <f>TEST_DATA!C7038</f>
        <v>43885</v>
      </c>
      <c r="D7038" t="str">
        <f>TEST_DATA!D7038</f>
        <v>NON-NIL</v>
      </c>
      <c r="E7038">
        <f>TEST_DATA!E7038</f>
        <v>2288</v>
      </c>
    </row>
    <row r="7039" spans="1:5" x14ac:dyDescent="0.55000000000000004">
      <c r="A7039" t="str">
        <f>TEST_DATA!A7039</f>
        <v>27AAAAA7039Z5</v>
      </c>
      <c r="B7039" t="str">
        <f>TEST_DATA!B7039</f>
        <v>Dec-2024</v>
      </c>
      <c r="C7039">
        <f>TEST_DATA!C7039</f>
        <v>45107</v>
      </c>
      <c r="D7039" t="str">
        <f>TEST_DATA!D7039</f>
        <v>NIL</v>
      </c>
      <c r="E7039">
        <f>TEST_DATA!E7039</f>
        <v>2328</v>
      </c>
    </row>
    <row r="7040" spans="1:5" x14ac:dyDescent="0.55000000000000004">
      <c r="A7040" t="str">
        <f>TEST_DATA!A7040</f>
        <v>27AAAAA7040Z5</v>
      </c>
      <c r="B7040" t="str">
        <f>TEST_DATA!B7040</f>
        <v>Dec-2022</v>
      </c>
      <c r="C7040">
        <f>TEST_DATA!C7040</f>
        <v>45699</v>
      </c>
      <c r="D7040" t="str">
        <f>TEST_DATA!D7040</f>
        <v>NIL</v>
      </c>
      <c r="E7040">
        <f>TEST_DATA!E7040</f>
        <v>2658</v>
      </c>
    </row>
    <row r="7041" spans="1:5" x14ac:dyDescent="0.55000000000000004">
      <c r="A7041" t="str">
        <f>TEST_DATA!A7041</f>
        <v>27AAAAA7041Z5</v>
      </c>
      <c r="B7041" t="str">
        <f>TEST_DATA!B7041</f>
        <v>Mar-2023</v>
      </c>
      <c r="C7041">
        <f>TEST_DATA!C7041</f>
        <v>44981</v>
      </c>
      <c r="D7041" t="str">
        <f>TEST_DATA!D7041</f>
        <v>NON-NIL</v>
      </c>
      <c r="E7041">
        <f>TEST_DATA!E7041</f>
        <v>2187</v>
      </c>
    </row>
    <row r="7042" spans="1:5" x14ac:dyDescent="0.55000000000000004">
      <c r="A7042" t="str">
        <f>TEST_DATA!A7042</f>
        <v>27AAAAA7042Z5</v>
      </c>
      <c r="B7042" t="str">
        <f>TEST_DATA!B7042</f>
        <v>Nov-2017</v>
      </c>
      <c r="C7042">
        <f>TEST_DATA!C7042</f>
        <v>42925</v>
      </c>
      <c r="D7042" t="str">
        <f>TEST_DATA!D7042</f>
        <v>NIL</v>
      </c>
      <c r="E7042">
        <f>TEST_DATA!E7042</f>
        <v>1940</v>
      </c>
    </row>
    <row r="7043" spans="1:5" x14ac:dyDescent="0.55000000000000004">
      <c r="A7043" t="str">
        <f>TEST_DATA!A7043</f>
        <v>27AAAAA7043Z5</v>
      </c>
      <c r="B7043" t="str">
        <f>TEST_DATA!B7043</f>
        <v>Jun-2020</v>
      </c>
      <c r="C7043">
        <f>TEST_DATA!C7043</f>
        <v>44577</v>
      </c>
      <c r="D7043" t="str">
        <f>TEST_DATA!D7043</f>
        <v>NIL</v>
      </c>
      <c r="E7043">
        <f>TEST_DATA!E7043</f>
        <v>2572</v>
      </c>
    </row>
    <row r="7044" spans="1:5" x14ac:dyDescent="0.55000000000000004">
      <c r="A7044" t="str">
        <f>TEST_DATA!A7044</f>
        <v>27AAAAA7044Z5</v>
      </c>
      <c r="B7044" t="str">
        <f>TEST_DATA!B7044</f>
        <v>Jul-2017</v>
      </c>
      <c r="C7044">
        <f>TEST_DATA!C7044</f>
        <v>43835</v>
      </c>
      <c r="D7044" t="str">
        <f>TEST_DATA!D7044</f>
        <v>NON-NIL</v>
      </c>
      <c r="E7044">
        <f>TEST_DATA!E7044</f>
        <v>1675</v>
      </c>
    </row>
    <row r="7045" spans="1:5" x14ac:dyDescent="0.55000000000000004">
      <c r="A7045" t="str">
        <f>TEST_DATA!A7045</f>
        <v>27AAAAA7045Z5</v>
      </c>
      <c r="B7045" t="str">
        <f>TEST_DATA!B7045</f>
        <v>Oct-2017</v>
      </c>
      <c r="C7045">
        <f>TEST_DATA!C7045</f>
        <v>43994</v>
      </c>
      <c r="D7045" t="str">
        <f>TEST_DATA!D7045</f>
        <v>NON-NIL</v>
      </c>
      <c r="E7045">
        <f>TEST_DATA!E7045</f>
        <v>2342</v>
      </c>
    </row>
    <row r="7046" spans="1:5" x14ac:dyDescent="0.55000000000000004">
      <c r="A7046" t="str">
        <f>TEST_DATA!A7046</f>
        <v>27AAAAA7046Z5</v>
      </c>
      <c r="B7046" t="str">
        <f>TEST_DATA!B7046</f>
        <v>May-2018</v>
      </c>
      <c r="C7046">
        <f>TEST_DATA!C7046</f>
        <v>43900</v>
      </c>
      <c r="D7046" t="str">
        <f>TEST_DATA!D7046</f>
        <v>NIL</v>
      </c>
      <c r="E7046">
        <f>TEST_DATA!E7046</f>
        <v>2669</v>
      </c>
    </row>
    <row r="7047" spans="1:5" x14ac:dyDescent="0.55000000000000004">
      <c r="A7047" t="str">
        <f>TEST_DATA!A7047</f>
        <v>27AAAAA7047Z5</v>
      </c>
      <c r="B7047" t="str">
        <f>TEST_DATA!B7047</f>
        <v>Jan-2021</v>
      </c>
      <c r="C7047">
        <f>TEST_DATA!C7047</f>
        <v>44655</v>
      </c>
      <c r="D7047" t="str">
        <f>TEST_DATA!D7047</f>
        <v>NIL</v>
      </c>
      <c r="E7047">
        <f>TEST_DATA!E7047</f>
        <v>1268</v>
      </c>
    </row>
    <row r="7048" spans="1:5" x14ac:dyDescent="0.55000000000000004">
      <c r="A7048" t="str">
        <f>TEST_DATA!A7048</f>
        <v>27AAAAA7048Z5</v>
      </c>
      <c r="B7048" t="str">
        <f>TEST_DATA!B7048</f>
        <v>Feb-2018</v>
      </c>
      <c r="C7048">
        <f>TEST_DATA!C7048</f>
        <v>44545</v>
      </c>
      <c r="D7048" t="str">
        <f>TEST_DATA!D7048</f>
        <v>NON-NIL</v>
      </c>
      <c r="E7048">
        <f>TEST_DATA!E7048</f>
        <v>2010</v>
      </c>
    </row>
    <row r="7049" spans="1:5" x14ac:dyDescent="0.55000000000000004">
      <c r="A7049" t="str">
        <f>TEST_DATA!A7049</f>
        <v>27AAAAA7049Z5</v>
      </c>
      <c r="B7049" t="str">
        <f>TEST_DATA!B7049</f>
        <v>Mar-2018</v>
      </c>
      <c r="C7049">
        <f>TEST_DATA!C7049</f>
        <v>43163</v>
      </c>
      <c r="D7049" t="str">
        <f>TEST_DATA!D7049</f>
        <v>NIL</v>
      </c>
      <c r="E7049">
        <f>TEST_DATA!E7049</f>
        <v>1302</v>
      </c>
    </row>
    <row r="7050" spans="1:5" x14ac:dyDescent="0.55000000000000004">
      <c r="A7050" t="str">
        <f>TEST_DATA!A7050</f>
        <v>27AAAAA7050Z5</v>
      </c>
      <c r="B7050" t="str">
        <f>TEST_DATA!B7050</f>
        <v>Feb-2018</v>
      </c>
      <c r="C7050">
        <f>TEST_DATA!C7050</f>
        <v>43065</v>
      </c>
      <c r="D7050" t="str">
        <f>TEST_DATA!D7050</f>
        <v>NIL</v>
      </c>
      <c r="E7050">
        <f>TEST_DATA!E7050</f>
        <v>1974</v>
      </c>
    </row>
    <row r="7051" spans="1:5" x14ac:dyDescent="0.55000000000000004">
      <c r="A7051" t="str">
        <f>TEST_DATA!A7051</f>
        <v>27AAAAA7051Z5</v>
      </c>
      <c r="B7051" t="str">
        <f>TEST_DATA!B7051</f>
        <v>Jun-2020</v>
      </c>
      <c r="C7051">
        <f>TEST_DATA!C7051</f>
        <v>44477</v>
      </c>
      <c r="D7051" t="str">
        <f>TEST_DATA!D7051</f>
        <v>NON-NIL</v>
      </c>
      <c r="E7051">
        <f>TEST_DATA!E7051</f>
        <v>397</v>
      </c>
    </row>
    <row r="7052" spans="1:5" x14ac:dyDescent="0.55000000000000004">
      <c r="A7052" t="str">
        <f>TEST_DATA!A7052</f>
        <v>27AAAAA7052Z5</v>
      </c>
      <c r="B7052" t="str">
        <f>TEST_DATA!B7052</f>
        <v>Jul-2017</v>
      </c>
      <c r="C7052">
        <f>TEST_DATA!C7052</f>
        <v>43023</v>
      </c>
      <c r="D7052" t="str">
        <f>TEST_DATA!D7052</f>
        <v>NON-NIL</v>
      </c>
      <c r="E7052">
        <f>TEST_DATA!E7052</f>
        <v>2007</v>
      </c>
    </row>
    <row r="7053" spans="1:5" x14ac:dyDescent="0.55000000000000004">
      <c r="A7053" t="str">
        <f>TEST_DATA!A7053</f>
        <v>27AAAAA7053Z5</v>
      </c>
      <c r="B7053" t="str">
        <f>TEST_DATA!B7053</f>
        <v>Jan-2019</v>
      </c>
      <c r="C7053">
        <f>TEST_DATA!C7053</f>
        <v>44270</v>
      </c>
      <c r="D7053" t="str">
        <f>TEST_DATA!D7053</f>
        <v>NIL</v>
      </c>
      <c r="E7053">
        <f>TEST_DATA!E7053</f>
        <v>300</v>
      </c>
    </row>
    <row r="7054" spans="1:5" x14ac:dyDescent="0.55000000000000004">
      <c r="A7054" t="str">
        <f>TEST_DATA!A7054</f>
        <v>27AAAAA7054Z5</v>
      </c>
      <c r="B7054" t="str">
        <f>TEST_DATA!B7054</f>
        <v>Jan-2019</v>
      </c>
      <c r="C7054">
        <f>TEST_DATA!C7054</f>
        <v>44898</v>
      </c>
      <c r="D7054" t="str">
        <f>TEST_DATA!D7054</f>
        <v>NIL</v>
      </c>
      <c r="E7054">
        <f>TEST_DATA!E7054</f>
        <v>924</v>
      </c>
    </row>
    <row r="7055" spans="1:5" x14ac:dyDescent="0.55000000000000004">
      <c r="A7055" t="str">
        <f>TEST_DATA!A7055</f>
        <v>27AAAAA7055Z5</v>
      </c>
      <c r="B7055" t="str">
        <f>TEST_DATA!B7055</f>
        <v>Aug-2018</v>
      </c>
      <c r="C7055">
        <f>TEST_DATA!C7055</f>
        <v>43093</v>
      </c>
      <c r="D7055" t="str">
        <f>TEST_DATA!D7055</f>
        <v>NIL</v>
      </c>
      <c r="E7055">
        <f>TEST_DATA!E7055</f>
        <v>184</v>
      </c>
    </row>
    <row r="7056" spans="1:5" x14ac:dyDescent="0.55000000000000004">
      <c r="A7056" t="str">
        <f>TEST_DATA!A7056</f>
        <v>27AAAAA7056Z5</v>
      </c>
      <c r="B7056" t="str">
        <f>TEST_DATA!B7056</f>
        <v>Nov-2017</v>
      </c>
      <c r="C7056">
        <f>TEST_DATA!C7056</f>
        <v>44340</v>
      </c>
      <c r="D7056" t="str">
        <f>TEST_DATA!D7056</f>
        <v>NON-NIL</v>
      </c>
      <c r="E7056">
        <f>TEST_DATA!E7056</f>
        <v>2547</v>
      </c>
    </row>
    <row r="7057" spans="1:5" x14ac:dyDescent="0.55000000000000004">
      <c r="A7057" t="str">
        <f>TEST_DATA!A7057</f>
        <v>27AAAAA7057Z5</v>
      </c>
      <c r="B7057" t="str">
        <f>TEST_DATA!B7057</f>
        <v>Jan-2021</v>
      </c>
      <c r="C7057">
        <f>TEST_DATA!C7057</f>
        <v>43756</v>
      </c>
      <c r="D7057" t="str">
        <f>TEST_DATA!D7057</f>
        <v>NIL</v>
      </c>
      <c r="E7057">
        <f>TEST_DATA!E7057</f>
        <v>2112</v>
      </c>
    </row>
    <row r="7058" spans="1:5" x14ac:dyDescent="0.55000000000000004">
      <c r="A7058" t="str">
        <f>TEST_DATA!A7058</f>
        <v>27AAAAA7058Z5</v>
      </c>
      <c r="B7058" t="str">
        <f>TEST_DATA!B7058</f>
        <v>Jan-2019</v>
      </c>
      <c r="C7058">
        <f>TEST_DATA!C7058</f>
        <v>44258</v>
      </c>
      <c r="D7058" t="str">
        <f>TEST_DATA!D7058</f>
        <v>NIL</v>
      </c>
      <c r="E7058">
        <f>TEST_DATA!E7058</f>
        <v>1882</v>
      </c>
    </row>
    <row r="7059" spans="1:5" x14ac:dyDescent="0.55000000000000004">
      <c r="A7059" t="str">
        <f>TEST_DATA!A7059</f>
        <v>27AAAAA7059Z5</v>
      </c>
      <c r="B7059" t="str">
        <f>TEST_DATA!B7059</f>
        <v>Aug-2017</v>
      </c>
      <c r="C7059">
        <f>TEST_DATA!C7059</f>
        <v>43305</v>
      </c>
      <c r="D7059" t="str">
        <f>TEST_DATA!D7059</f>
        <v>NON-NIL</v>
      </c>
      <c r="E7059">
        <f>TEST_DATA!E7059</f>
        <v>2997</v>
      </c>
    </row>
    <row r="7060" spans="1:5" x14ac:dyDescent="0.55000000000000004">
      <c r="A7060" t="str">
        <f>TEST_DATA!A7060</f>
        <v>27AAAAA7060Z5</v>
      </c>
      <c r="B7060" t="str">
        <f>TEST_DATA!B7060</f>
        <v>Dec-2017</v>
      </c>
      <c r="C7060">
        <f>TEST_DATA!C7060</f>
        <v>43518</v>
      </c>
      <c r="D7060" t="str">
        <f>TEST_DATA!D7060</f>
        <v>NON-NIL</v>
      </c>
      <c r="E7060">
        <f>TEST_DATA!E7060</f>
        <v>1126</v>
      </c>
    </row>
    <row r="7061" spans="1:5" x14ac:dyDescent="0.55000000000000004">
      <c r="A7061" t="str">
        <f>TEST_DATA!A7061</f>
        <v>27AAAAA7061Z5</v>
      </c>
      <c r="B7061" t="str">
        <f>TEST_DATA!B7061</f>
        <v>Mar-2023</v>
      </c>
      <c r="C7061">
        <f>TEST_DATA!C7061</f>
        <v>45303</v>
      </c>
      <c r="D7061" t="str">
        <f>TEST_DATA!D7061</f>
        <v>NON-NIL</v>
      </c>
      <c r="E7061">
        <f>TEST_DATA!E7061</f>
        <v>2252</v>
      </c>
    </row>
    <row r="7062" spans="1:5" x14ac:dyDescent="0.55000000000000004">
      <c r="A7062" t="str">
        <f>TEST_DATA!A7062</f>
        <v>27AAAAA7062Z5</v>
      </c>
      <c r="B7062" t="str">
        <f>TEST_DATA!B7062</f>
        <v>Apr-2020</v>
      </c>
      <c r="C7062">
        <f>TEST_DATA!C7062</f>
        <v>43831</v>
      </c>
      <c r="D7062" t="str">
        <f>TEST_DATA!D7062</f>
        <v>NON-NIL</v>
      </c>
      <c r="E7062">
        <f>TEST_DATA!E7062</f>
        <v>2020</v>
      </c>
    </row>
    <row r="7063" spans="1:5" x14ac:dyDescent="0.55000000000000004">
      <c r="A7063" t="str">
        <f>TEST_DATA!A7063</f>
        <v>27AAAAA7063Z5</v>
      </c>
      <c r="B7063" t="str">
        <f>TEST_DATA!B7063</f>
        <v>Aug-2018</v>
      </c>
      <c r="C7063">
        <f>TEST_DATA!C7063</f>
        <v>42969</v>
      </c>
      <c r="D7063" t="str">
        <f>TEST_DATA!D7063</f>
        <v>NON-NIL</v>
      </c>
      <c r="E7063">
        <f>TEST_DATA!E7063</f>
        <v>2189</v>
      </c>
    </row>
    <row r="7064" spans="1:5" x14ac:dyDescent="0.55000000000000004">
      <c r="A7064" t="str">
        <f>TEST_DATA!A7064</f>
        <v>27AAAAA7064Z5</v>
      </c>
      <c r="B7064" t="str">
        <f>TEST_DATA!B7064</f>
        <v>Aug-2018</v>
      </c>
      <c r="C7064">
        <f>TEST_DATA!C7064</f>
        <v>43180</v>
      </c>
      <c r="D7064" t="str">
        <f>TEST_DATA!D7064</f>
        <v>NIL</v>
      </c>
      <c r="E7064">
        <f>TEST_DATA!E7064</f>
        <v>1291</v>
      </c>
    </row>
    <row r="7065" spans="1:5" x14ac:dyDescent="0.55000000000000004">
      <c r="A7065" t="str">
        <f>TEST_DATA!A7065</f>
        <v>27AAAAA7065Z5</v>
      </c>
      <c r="B7065" t="str">
        <f>TEST_DATA!B7065</f>
        <v>Sep-2017</v>
      </c>
      <c r="C7065">
        <f>TEST_DATA!C7065</f>
        <v>42927</v>
      </c>
      <c r="D7065" t="str">
        <f>TEST_DATA!D7065</f>
        <v>NON-NIL</v>
      </c>
      <c r="E7065">
        <f>TEST_DATA!E7065</f>
        <v>1693</v>
      </c>
    </row>
    <row r="7066" spans="1:5" x14ac:dyDescent="0.55000000000000004">
      <c r="A7066" t="str">
        <f>TEST_DATA!A7066</f>
        <v>27AAAAA7066Z5</v>
      </c>
      <c r="B7066" t="str">
        <f>TEST_DATA!B7066</f>
        <v>May-2018</v>
      </c>
      <c r="C7066">
        <f>TEST_DATA!C7066</f>
        <v>43073</v>
      </c>
      <c r="D7066" t="str">
        <f>TEST_DATA!D7066</f>
        <v>NIL</v>
      </c>
      <c r="E7066">
        <f>TEST_DATA!E7066</f>
        <v>1930</v>
      </c>
    </row>
    <row r="7067" spans="1:5" x14ac:dyDescent="0.55000000000000004">
      <c r="A7067" t="str">
        <f>TEST_DATA!A7067</f>
        <v>27AAAAA7067Z5</v>
      </c>
      <c r="B7067" t="str">
        <f>TEST_DATA!B7067</f>
        <v>May-2020</v>
      </c>
      <c r="C7067">
        <f>TEST_DATA!C7067</f>
        <v>43900</v>
      </c>
      <c r="D7067" t="str">
        <f>TEST_DATA!D7067</f>
        <v>NON-NIL</v>
      </c>
      <c r="E7067">
        <f>TEST_DATA!E7067</f>
        <v>367</v>
      </c>
    </row>
    <row r="7068" spans="1:5" x14ac:dyDescent="0.55000000000000004">
      <c r="A7068" t="str">
        <f>TEST_DATA!A7068</f>
        <v>27AAAAA7068Z5</v>
      </c>
      <c r="B7068" t="str">
        <f>TEST_DATA!B7068</f>
        <v>Jan-2019</v>
      </c>
      <c r="C7068">
        <f>TEST_DATA!C7068</f>
        <v>44444</v>
      </c>
      <c r="D7068" t="str">
        <f>TEST_DATA!D7068</f>
        <v>NIL</v>
      </c>
      <c r="E7068">
        <f>TEST_DATA!E7068</f>
        <v>2204</v>
      </c>
    </row>
    <row r="7069" spans="1:5" x14ac:dyDescent="0.55000000000000004">
      <c r="A7069" t="str">
        <f>TEST_DATA!A7069</f>
        <v>27AAAAA7069Z5</v>
      </c>
      <c r="B7069" t="str">
        <f>TEST_DATA!B7069</f>
        <v>Mar-2020</v>
      </c>
      <c r="C7069">
        <f>TEST_DATA!C7069</f>
        <v>44541</v>
      </c>
      <c r="D7069" t="str">
        <f>TEST_DATA!D7069</f>
        <v>NIL</v>
      </c>
      <c r="E7069">
        <f>TEST_DATA!E7069</f>
        <v>1097</v>
      </c>
    </row>
    <row r="7070" spans="1:5" x14ac:dyDescent="0.55000000000000004">
      <c r="A7070" t="str">
        <f>TEST_DATA!A7070</f>
        <v>27AAAAA7070Z5</v>
      </c>
      <c r="B7070" t="str">
        <f>TEST_DATA!B7070</f>
        <v>Jun-2018</v>
      </c>
      <c r="C7070">
        <f>TEST_DATA!C7070</f>
        <v>43702</v>
      </c>
      <c r="D7070" t="str">
        <f>TEST_DATA!D7070</f>
        <v>NIL</v>
      </c>
      <c r="E7070">
        <f>TEST_DATA!E7070</f>
        <v>1047</v>
      </c>
    </row>
    <row r="7071" spans="1:5" x14ac:dyDescent="0.55000000000000004">
      <c r="A7071" t="str">
        <f>TEST_DATA!A7071</f>
        <v>27AAAAA7071Z5</v>
      </c>
      <c r="B7071" t="str">
        <f>TEST_DATA!B7071</f>
        <v>Aug-2017</v>
      </c>
      <c r="C7071">
        <f>TEST_DATA!C7071</f>
        <v>44156</v>
      </c>
      <c r="D7071" t="str">
        <f>TEST_DATA!D7071</f>
        <v>NIL</v>
      </c>
      <c r="E7071">
        <f>TEST_DATA!E7071</f>
        <v>2286</v>
      </c>
    </row>
    <row r="7072" spans="1:5" x14ac:dyDescent="0.55000000000000004">
      <c r="A7072" t="str">
        <f>TEST_DATA!A7072</f>
        <v>27AAAAA7072Z5</v>
      </c>
      <c r="B7072" t="str">
        <f>TEST_DATA!B7072</f>
        <v>Apr-2021</v>
      </c>
      <c r="C7072">
        <f>TEST_DATA!C7072</f>
        <v>44916</v>
      </c>
      <c r="D7072" t="str">
        <f>TEST_DATA!D7072</f>
        <v>NIL</v>
      </c>
      <c r="E7072">
        <f>TEST_DATA!E7072</f>
        <v>1410</v>
      </c>
    </row>
    <row r="7073" spans="1:5" x14ac:dyDescent="0.55000000000000004">
      <c r="A7073" t="str">
        <f>TEST_DATA!A7073</f>
        <v>27AAAAA7073Z5</v>
      </c>
      <c r="B7073" t="str">
        <f>TEST_DATA!B7073</f>
        <v>Jun-2018</v>
      </c>
      <c r="C7073">
        <f>TEST_DATA!C7073</f>
        <v>44032</v>
      </c>
      <c r="D7073" t="str">
        <f>TEST_DATA!D7073</f>
        <v>NIL</v>
      </c>
      <c r="E7073">
        <f>TEST_DATA!E7073</f>
        <v>2985</v>
      </c>
    </row>
    <row r="7074" spans="1:5" x14ac:dyDescent="0.55000000000000004">
      <c r="A7074" t="str">
        <f>TEST_DATA!A7074</f>
        <v>27AAAAA7074Z5</v>
      </c>
      <c r="B7074" t="str">
        <f>TEST_DATA!B7074</f>
        <v>Jan-2021</v>
      </c>
      <c r="C7074">
        <f>TEST_DATA!C7074</f>
        <v>43856</v>
      </c>
      <c r="D7074" t="str">
        <f>TEST_DATA!D7074</f>
        <v>NON-NIL</v>
      </c>
      <c r="E7074">
        <f>TEST_DATA!E7074</f>
        <v>1850</v>
      </c>
    </row>
    <row r="7075" spans="1:5" x14ac:dyDescent="0.55000000000000004">
      <c r="A7075" t="str">
        <f>TEST_DATA!A7075</f>
        <v>27AAAAA7075Z5</v>
      </c>
      <c r="B7075" t="str">
        <f>TEST_DATA!B7075</f>
        <v>Mar-2018</v>
      </c>
      <c r="C7075">
        <f>TEST_DATA!C7075</f>
        <v>43472</v>
      </c>
      <c r="D7075" t="str">
        <f>TEST_DATA!D7075</f>
        <v>NON-NIL</v>
      </c>
      <c r="E7075">
        <f>TEST_DATA!E7075</f>
        <v>2740</v>
      </c>
    </row>
    <row r="7076" spans="1:5" x14ac:dyDescent="0.55000000000000004">
      <c r="A7076" t="str">
        <f>TEST_DATA!A7076</f>
        <v>27AAAAA7076Z5</v>
      </c>
      <c r="B7076" t="str">
        <f>TEST_DATA!B7076</f>
        <v>Jun-2018</v>
      </c>
      <c r="C7076">
        <f>TEST_DATA!C7076</f>
        <v>43426</v>
      </c>
      <c r="D7076" t="str">
        <f>TEST_DATA!D7076</f>
        <v>NIL</v>
      </c>
      <c r="E7076">
        <f>TEST_DATA!E7076</f>
        <v>1631</v>
      </c>
    </row>
    <row r="7077" spans="1:5" x14ac:dyDescent="0.55000000000000004">
      <c r="A7077" t="str">
        <f>TEST_DATA!A7077</f>
        <v>27AAAAA7077Z5</v>
      </c>
      <c r="B7077" t="str">
        <f>TEST_DATA!B7077</f>
        <v>Aug-2017</v>
      </c>
      <c r="C7077">
        <f>TEST_DATA!C7077</f>
        <v>44241</v>
      </c>
      <c r="D7077" t="str">
        <f>TEST_DATA!D7077</f>
        <v>NON-NIL</v>
      </c>
      <c r="E7077">
        <f>TEST_DATA!E7077</f>
        <v>1936</v>
      </c>
    </row>
    <row r="7078" spans="1:5" x14ac:dyDescent="0.55000000000000004">
      <c r="A7078" t="str">
        <f>TEST_DATA!A7078</f>
        <v>27AAAAA7078Z5</v>
      </c>
      <c r="B7078" t="str">
        <f>TEST_DATA!B7078</f>
        <v>Jul-2017</v>
      </c>
      <c r="C7078">
        <f>TEST_DATA!C7078</f>
        <v>43020</v>
      </c>
      <c r="D7078" t="str">
        <f>TEST_DATA!D7078</f>
        <v>NON-NIL</v>
      </c>
      <c r="E7078">
        <f>TEST_DATA!E7078</f>
        <v>46</v>
      </c>
    </row>
    <row r="7079" spans="1:5" x14ac:dyDescent="0.55000000000000004">
      <c r="A7079" t="str">
        <f>TEST_DATA!A7079</f>
        <v>27AAAAA7079Z5</v>
      </c>
      <c r="B7079" t="str">
        <f>TEST_DATA!B7079</f>
        <v>Mar-2020</v>
      </c>
      <c r="C7079">
        <f>TEST_DATA!C7079</f>
        <v>44334</v>
      </c>
      <c r="D7079" t="str">
        <f>TEST_DATA!D7079</f>
        <v>NIL</v>
      </c>
      <c r="E7079">
        <f>TEST_DATA!E7079</f>
        <v>2936</v>
      </c>
    </row>
    <row r="7080" spans="1:5" x14ac:dyDescent="0.55000000000000004">
      <c r="A7080" t="str">
        <f>TEST_DATA!A7080</f>
        <v>27AAAAA7080Z5</v>
      </c>
      <c r="B7080" t="str">
        <f>TEST_DATA!B7080</f>
        <v>Apr-2018</v>
      </c>
      <c r="C7080">
        <f>TEST_DATA!C7080</f>
        <v>43570</v>
      </c>
      <c r="D7080" t="str">
        <f>TEST_DATA!D7080</f>
        <v>NON-NIL</v>
      </c>
      <c r="E7080">
        <f>TEST_DATA!E7080</f>
        <v>480</v>
      </c>
    </row>
    <row r="7081" spans="1:5" x14ac:dyDescent="0.55000000000000004">
      <c r="A7081" t="str">
        <f>TEST_DATA!A7081</f>
        <v>27AAAAA7081Z5</v>
      </c>
      <c r="B7081" t="str">
        <f>TEST_DATA!B7081</f>
        <v>Dec-2019</v>
      </c>
      <c r="C7081">
        <f>TEST_DATA!C7081</f>
        <v>44597</v>
      </c>
      <c r="D7081" t="str">
        <f>TEST_DATA!D7081</f>
        <v>NIL</v>
      </c>
      <c r="E7081">
        <f>TEST_DATA!E7081</f>
        <v>1018</v>
      </c>
    </row>
    <row r="7082" spans="1:5" x14ac:dyDescent="0.55000000000000004">
      <c r="A7082" t="str">
        <f>TEST_DATA!A7082</f>
        <v>27AAAAA7082Z5</v>
      </c>
      <c r="B7082" t="str">
        <f>TEST_DATA!B7082</f>
        <v>Apr-2020</v>
      </c>
      <c r="C7082">
        <f>TEST_DATA!C7082</f>
        <v>44137</v>
      </c>
      <c r="D7082" t="str">
        <f>TEST_DATA!D7082</f>
        <v>NIL</v>
      </c>
      <c r="E7082">
        <f>TEST_DATA!E7082</f>
        <v>333</v>
      </c>
    </row>
    <row r="7083" spans="1:5" x14ac:dyDescent="0.55000000000000004">
      <c r="A7083" t="str">
        <f>TEST_DATA!A7083</f>
        <v>27AAAAA7083Z5</v>
      </c>
      <c r="B7083" t="str">
        <f>TEST_DATA!B7083</f>
        <v>Apr-2021</v>
      </c>
      <c r="C7083">
        <f>TEST_DATA!C7083</f>
        <v>45676</v>
      </c>
      <c r="D7083" t="str">
        <f>TEST_DATA!D7083</f>
        <v>NIL</v>
      </c>
      <c r="E7083">
        <f>TEST_DATA!E7083</f>
        <v>2789</v>
      </c>
    </row>
    <row r="7084" spans="1:5" x14ac:dyDescent="0.55000000000000004">
      <c r="A7084" t="str">
        <f>TEST_DATA!A7084</f>
        <v>27AAAAA7084Z5</v>
      </c>
      <c r="B7084" t="str">
        <f>TEST_DATA!B7084</f>
        <v>Jan-2018</v>
      </c>
      <c r="C7084">
        <f>TEST_DATA!C7084</f>
        <v>44122</v>
      </c>
      <c r="D7084" t="str">
        <f>TEST_DATA!D7084</f>
        <v>NON-NIL</v>
      </c>
      <c r="E7084">
        <f>TEST_DATA!E7084</f>
        <v>1612</v>
      </c>
    </row>
    <row r="7085" spans="1:5" x14ac:dyDescent="0.55000000000000004">
      <c r="A7085" t="str">
        <f>TEST_DATA!A7085</f>
        <v>27AAAAA7085Z5</v>
      </c>
      <c r="B7085" t="str">
        <f>TEST_DATA!B7085</f>
        <v>Mar-2021</v>
      </c>
      <c r="C7085">
        <f>TEST_DATA!C7085</f>
        <v>44122</v>
      </c>
      <c r="D7085" t="str">
        <f>TEST_DATA!D7085</f>
        <v>NIL</v>
      </c>
      <c r="E7085">
        <f>TEST_DATA!E7085</f>
        <v>977</v>
      </c>
    </row>
    <row r="7086" spans="1:5" x14ac:dyDescent="0.55000000000000004">
      <c r="A7086" t="str">
        <f>TEST_DATA!A7086</f>
        <v>27AAAAA7086Z5</v>
      </c>
      <c r="B7086" t="str">
        <f>TEST_DATA!B7086</f>
        <v>Jun-2019</v>
      </c>
      <c r="C7086">
        <f>TEST_DATA!C7086</f>
        <v>44988</v>
      </c>
      <c r="D7086" t="str">
        <f>TEST_DATA!D7086</f>
        <v>NON-NIL</v>
      </c>
      <c r="E7086">
        <f>TEST_DATA!E7086</f>
        <v>2803</v>
      </c>
    </row>
    <row r="7087" spans="1:5" x14ac:dyDescent="0.55000000000000004">
      <c r="A7087" t="str">
        <f>TEST_DATA!A7087</f>
        <v>27AAAAA7087Z5</v>
      </c>
      <c r="B7087" t="str">
        <f>TEST_DATA!B7087</f>
        <v>Mar-2018</v>
      </c>
      <c r="C7087">
        <f>TEST_DATA!C7087</f>
        <v>44203</v>
      </c>
      <c r="D7087" t="str">
        <f>TEST_DATA!D7087</f>
        <v>NIL</v>
      </c>
      <c r="E7087">
        <f>TEST_DATA!E7087</f>
        <v>2703</v>
      </c>
    </row>
    <row r="7088" spans="1:5" x14ac:dyDescent="0.55000000000000004">
      <c r="A7088" t="str">
        <f>TEST_DATA!A7088</f>
        <v>27AAAAA7088Z5</v>
      </c>
      <c r="B7088" t="str">
        <f>TEST_DATA!B7088</f>
        <v>Sep-2018</v>
      </c>
      <c r="C7088">
        <f>TEST_DATA!C7088</f>
        <v>44010</v>
      </c>
      <c r="D7088" t="str">
        <f>TEST_DATA!D7088</f>
        <v>NIL</v>
      </c>
      <c r="E7088">
        <f>TEST_DATA!E7088</f>
        <v>620</v>
      </c>
    </row>
    <row r="7089" spans="1:5" x14ac:dyDescent="0.55000000000000004">
      <c r="A7089" t="str">
        <f>TEST_DATA!A7089</f>
        <v>27AAAAA7089Z5</v>
      </c>
      <c r="B7089" t="str">
        <f>TEST_DATA!B7089</f>
        <v>Jul-2018</v>
      </c>
      <c r="C7089">
        <f>TEST_DATA!C7089</f>
        <v>43575</v>
      </c>
      <c r="D7089" t="str">
        <f>TEST_DATA!D7089</f>
        <v>NIL</v>
      </c>
      <c r="E7089">
        <f>TEST_DATA!E7089</f>
        <v>2490</v>
      </c>
    </row>
    <row r="7090" spans="1:5" x14ac:dyDescent="0.55000000000000004">
      <c r="A7090" t="str">
        <f>TEST_DATA!A7090</f>
        <v>27AAAAA7090Z5</v>
      </c>
      <c r="B7090" t="str">
        <f>TEST_DATA!B7090</f>
        <v>Jul-2020</v>
      </c>
      <c r="C7090">
        <f>TEST_DATA!C7090</f>
        <v>44523</v>
      </c>
      <c r="D7090" t="str">
        <f>TEST_DATA!D7090</f>
        <v>NIL</v>
      </c>
      <c r="E7090">
        <f>TEST_DATA!E7090</f>
        <v>1565</v>
      </c>
    </row>
    <row r="7091" spans="1:5" x14ac:dyDescent="0.55000000000000004">
      <c r="A7091" t="str">
        <f>TEST_DATA!A7091</f>
        <v>27AAAAA7091Z5</v>
      </c>
      <c r="B7091" t="str">
        <f>TEST_DATA!B7091</f>
        <v>Apr-2018</v>
      </c>
      <c r="C7091">
        <f>TEST_DATA!C7091</f>
        <v>44334</v>
      </c>
      <c r="D7091" t="str">
        <f>TEST_DATA!D7091</f>
        <v>NON-NIL</v>
      </c>
      <c r="E7091">
        <f>TEST_DATA!E7091</f>
        <v>2905</v>
      </c>
    </row>
    <row r="7092" spans="1:5" x14ac:dyDescent="0.55000000000000004">
      <c r="A7092" t="str">
        <f>TEST_DATA!A7092</f>
        <v>27AAAAA7092Z5</v>
      </c>
      <c r="B7092" t="str">
        <f>TEST_DATA!B7092</f>
        <v>Apr-2020</v>
      </c>
      <c r="C7092">
        <f>TEST_DATA!C7092</f>
        <v>44254</v>
      </c>
      <c r="D7092" t="str">
        <f>TEST_DATA!D7092</f>
        <v>NIL</v>
      </c>
      <c r="E7092">
        <f>TEST_DATA!E7092</f>
        <v>2958</v>
      </c>
    </row>
    <row r="7093" spans="1:5" x14ac:dyDescent="0.55000000000000004">
      <c r="A7093" t="str">
        <f>TEST_DATA!A7093</f>
        <v>27AAAAA7093Z5</v>
      </c>
      <c r="B7093" t="str">
        <f>TEST_DATA!B7093</f>
        <v>Feb-2018</v>
      </c>
      <c r="C7093">
        <f>TEST_DATA!C7093</f>
        <v>43618</v>
      </c>
      <c r="D7093" t="str">
        <f>TEST_DATA!D7093</f>
        <v>NON-NIL</v>
      </c>
      <c r="E7093">
        <f>TEST_DATA!E7093</f>
        <v>541</v>
      </c>
    </row>
    <row r="7094" spans="1:5" x14ac:dyDescent="0.55000000000000004">
      <c r="A7094" t="str">
        <f>TEST_DATA!A7094</f>
        <v>27AAAAA7094Z5</v>
      </c>
      <c r="B7094" t="str">
        <f>TEST_DATA!B7094</f>
        <v>Jan-2018</v>
      </c>
      <c r="C7094">
        <f>TEST_DATA!C7094</f>
        <v>43030</v>
      </c>
      <c r="D7094" t="str">
        <f>TEST_DATA!D7094</f>
        <v>NIL</v>
      </c>
      <c r="E7094">
        <f>TEST_DATA!E7094</f>
        <v>2477</v>
      </c>
    </row>
    <row r="7095" spans="1:5" x14ac:dyDescent="0.55000000000000004">
      <c r="A7095" t="str">
        <f>TEST_DATA!A7095</f>
        <v>27AAAAA7095Z5</v>
      </c>
      <c r="B7095" t="str">
        <f>TEST_DATA!B7095</f>
        <v>Sep-2018</v>
      </c>
      <c r="C7095">
        <f>TEST_DATA!C7095</f>
        <v>43531</v>
      </c>
      <c r="D7095" t="str">
        <f>TEST_DATA!D7095</f>
        <v>NON-NIL</v>
      </c>
      <c r="E7095">
        <f>TEST_DATA!E7095</f>
        <v>84</v>
      </c>
    </row>
    <row r="7096" spans="1:5" x14ac:dyDescent="0.55000000000000004">
      <c r="A7096" t="str">
        <f>TEST_DATA!A7096</f>
        <v>27AAAAA7096Z5</v>
      </c>
      <c r="B7096" t="str">
        <f>TEST_DATA!B7096</f>
        <v>Jun-2019</v>
      </c>
      <c r="C7096">
        <f>TEST_DATA!C7096</f>
        <v>45543</v>
      </c>
      <c r="D7096" t="str">
        <f>TEST_DATA!D7096</f>
        <v>NIL</v>
      </c>
      <c r="E7096">
        <f>TEST_DATA!E7096</f>
        <v>1769</v>
      </c>
    </row>
    <row r="7097" spans="1:5" x14ac:dyDescent="0.55000000000000004">
      <c r="A7097" t="str">
        <f>TEST_DATA!A7097</f>
        <v>27AAAAA7097Z5</v>
      </c>
      <c r="B7097" t="str">
        <f>TEST_DATA!B7097</f>
        <v>Jan-2019</v>
      </c>
      <c r="C7097">
        <f>TEST_DATA!C7097</f>
        <v>43640</v>
      </c>
      <c r="D7097" t="str">
        <f>TEST_DATA!D7097</f>
        <v>NON-NIL</v>
      </c>
      <c r="E7097">
        <f>TEST_DATA!E7097</f>
        <v>174</v>
      </c>
    </row>
    <row r="7098" spans="1:5" x14ac:dyDescent="0.55000000000000004">
      <c r="A7098" t="str">
        <f>TEST_DATA!A7098</f>
        <v>27AAAAA7098Z5</v>
      </c>
      <c r="B7098" t="str">
        <f>TEST_DATA!B7098</f>
        <v>Apr-2020</v>
      </c>
      <c r="C7098">
        <f>TEST_DATA!C7098</f>
        <v>44175</v>
      </c>
      <c r="D7098" t="str">
        <f>TEST_DATA!D7098</f>
        <v>NIL</v>
      </c>
      <c r="E7098">
        <f>TEST_DATA!E7098</f>
        <v>2783</v>
      </c>
    </row>
    <row r="7099" spans="1:5" x14ac:dyDescent="0.55000000000000004">
      <c r="A7099" t="str">
        <f>TEST_DATA!A7099</f>
        <v>27AAAAA7099Z5</v>
      </c>
      <c r="B7099" t="str">
        <f>TEST_DATA!B7099</f>
        <v>Jul-2020</v>
      </c>
      <c r="C7099">
        <f>TEST_DATA!C7099</f>
        <v>44071</v>
      </c>
      <c r="D7099" t="str">
        <f>TEST_DATA!D7099</f>
        <v>NIL</v>
      </c>
      <c r="E7099">
        <f>TEST_DATA!E7099</f>
        <v>2215</v>
      </c>
    </row>
    <row r="7100" spans="1:5" x14ac:dyDescent="0.55000000000000004">
      <c r="A7100" t="str">
        <f>TEST_DATA!A7100</f>
        <v>27AAAAA7100Z5</v>
      </c>
      <c r="B7100" t="str">
        <f>TEST_DATA!B7100</f>
        <v>Dec-2022</v>
      </c>
      <c r="C7100">
        <f>TEST_DATA!C7100</f>
        <v>44621</v>
      </c>
      <c r="D7100" t="str">
        <f>TEST_DATA!D7100</f>
        <v>NIL</v>
      </c>
      <c r="E7100">
        <f>TEST_DATA!E7100</f>
        <v>323</v>
      </c>
    </row>
    <row r="7101" spans="1:5" x14ac:dyDescent="0.55000000000000004">
      <c r="A7101" t="str">
        <f>TEST_DATA!A7101</f>
        <v>27AAAAA7101Z5</v>
      </c>
      <c r="B7101" t="str">
        <f>TEST_DATA!B7101</f>
        <v>Sep-2017</v>
      </c>
      <c r="C7101">
        <f>TEST_DATA!C7101</f>
        <v>43325</v>
      </c>
      <c r="D7101" t="str">
        <f>TEST_DATA!D7101</f>
        <v>NIL</v>
      </c>
      <c r="E7101">
        <f>TEST_DATA!E7101</f>
        <v>1596</v>
      </c>
    </row>
    <row r="7102" spans="1:5" x14ac:dyDescent="0.55000000000000004">
      <c r="A7102" t="str">
        <f>TEST_DATA!A7102</f>
        <v>27AAAAA7102Z5</v>
      </c>
      <c r="B7102" t="str">
        <f>TEST_DATA!B7102</f>
        <v>Jul-2018</v>
      </c>
      <c r="C7102">
        <f>TEST_DATA!C7102</f>
        <v>43122</v>
      </c>
      <c r="D7102" t="str">
        <f>TEST_DATA!D7102</f>
        <v>NIL</v>
      </c>
      <c r="E7102">
        <f>TEST_DATA!E7102</f>
        <v>1373</v>
      </c>
    </row>
    <row r="7103" spans="1:5" x14ac:dyDescent="0.55000000000000004">
      <c r="A7103" t="str">
        <f>TEST_DATA!A7103</f>
        <v>27AAAAA7103Z5</v>
      </c>
      <c r="B7103" t="str">
        <f>TEST_DATA!B7103</f>
        <v>Dec-2019</v>
      </c>
      <c r="C7103">
        <f>TEST_DATA!C7103</f>
        <v>44595</v>
      </c>
      <c r="D7103" t="str">
        <f>TEST_DATA!D7103</f>
        <v>NON-NIL</v>
      </c>
      <c r="E7103">
        <f>TEST_DATA!E7103</f>
        <v>2297</v>
      </c>
    </row>
    <row r="7104" spans="1:5" x14ac:dyDescent="0.55000000000000004">
      <c r="A7104" t="str">
        <f>TEST_DATA!A7104</f>
        <v>27AAAAA7104Z5</v>
      </c>
      <c r="B7104" t="str">
        <f>TEST_DATA!B7104</f>
        <v>Aug-2017</v>
      </c>
      <c r="C7104">
        <f>TEST_DATA!C7104</f>
        <v>43619</v>
      </c>
      <c r="D7104" t="str">
        <f>TEST_DATA!D7104</f>
        <v>NIL</v>
      </c>
      <c r="E7104">
        <f>TEST_DATA!E7104</f>
        <v>1635</v>
      </c>
    </row>
    <row r="7105" spans="1:5" x14ac:dyDescent="0.55000000000000004">
      <c r="A7105" t="str">
        <f>TEST_DATA!A7105</f>
        <v>27AAAAA7105Z5</v>
      </c>
      <c r="B7105" t="str">
        <f>TEST_DATA!B7105</f>
        <v>Feb-2018</v>
      </c>
      <c r="C7105">
        <f>TEST_DATA!C7105</f>
        <v>43298</v>
      </c>
      <c r="D7105" t="str">
        <f>TEST_DATA!D7105</f>
        <v>NIL</v>
      </c>
      <c r="E7105">
        <f>TEST_DATA!E7105</f>
        <v>456</v>
      </c>
    </row>
    <row r="7106" spans="1:5" x14ac:dyDescent="0.55000000000000004">
      <c r="A7106" t="str">
        <f>TEST_DATA!A7106</f>
        <v>27AAAAA7106Z5</v>
      </c>
      <c r="B7106" t="str">
        <f>TEST_DATA!B7106</f>
        <v>Apr-2020</v>
      </c>
      <c r="C7106">
        <f>TEST_DATA!C7106</f>
        <v>44656</v>
      </c>
      <c r="D7106" t="str">
        <f>TEST_DATA!D7106</f>
        <v>NIL</v>
      </c>
      <c r="E7106">
        <f>TEST_DATA!E7106</f>
        <v>1209</v>
      </c>
    </row>
    <row r="7107" spans="1:5" x14ac:dyDescent="0.55000000000000004">
      <c r="A7107" t="str">
        <f>TEST_DATA!A7107</f>
        <v>27AAAAA7107Z5</v>
      </c>
      <c r="B7107" t="str">
        <f>TEST_DATA!B7107</f>
        <v>Sep-2018</v>
      </c>
      <c r="C7107">
        <f>TEST_DATA!C7107</f>
        <v>44552</v>
      </c>
      <c r="D7107" t="str">
        <f>TEST_DATA!D7107</f>
        <v>NIL</v>
      </c>
      <c r="E7107">
        <f>TEST_DATA!E7107</f>
        <v>601</v>
      </c>
    </row>
    <row r="7108" spans="1:5" x14ac:dyDescent="0.55000000000000004">
      <c r="A7108" t="str">
        <f>TEST_DATA!A7108</f>
        <v>27AAAAA7108Z5</v>
      </c>
      <c r="B7108" t="str">
        <f>TEST_DATA!B7108</f>
        <v>Jul-2017</v>
      </c>
      <c r="C7108">
        <f>TEST_DATA!C7108</f>
        <v>43559</v>
      </c>
      <c r="D7108" t="str">
        <f>TEST_DATA!D7108</f>
        <v>NIL</v>
      </c>
      <c r="E7108">
        <f>TEST_DATA!E7108</f>
        <v>2460</v>
      </c>
    </row>
    <row r="7109" spans="1:5" x14ac:dyDescent="0.55000000000000004">
      <c r="A7109" t="str">
        <f>TEST_DATA!A7109</f>
        <v>27AAAAA7109Z5</v>
      </c>
      <c r="B7109" t="str">
        <f>TEST_DATA!B7109</f>
        <v>Dec-2024</v>
      </c>
      <c r="C7109">
        <f>TEST_DATA!C7109</f>
        <v>45392</v>
      </c>
      <c r="D7109" t="str">
        <f>TEST_DATA!D7109</f>
        <v>NIL</v>
      </c>
      <c r="E7109">
        <f>TEST_DATA!E7109</f>
        <v>1949</v>
      </c>
    </row>
    <row r="7110" spans="1:5" x14ac:dyDescent="0.55000000000000004">
      <c r="A7110" t="str">
        <f>TEST_DATA!A7110</f>
        <v>27AAAAA7110Z5</v>
      </c>
      <c r="B7110" t="str">
        <f>TEST_DATA!B7110</f>
        <v>Jan-2019</v>
      </c>
      <c r="C7110">
        <f>TEST_DATA!C7110</f>
        <v>44582</v>
      </c>
      <c r="D7110" t="str">
        <f>TEST_DATA!D7110</f>
        <v>NON-NIL</v>
      </c>
      <c r="E7110">
        <f>TEST_DATA!E7110</f>
        <v>2912</v>
      </c>
    </row>
    <row r="7111" spans="1:5" x14ac:dyDescent="0.55000000000000004">
      <c r="A7111" t="str">
        <f>TEST_DATA!A7111</f>
        <v>27AAAAA7111Z5</v>
      </c>
      <c r="B7111" t="str">
        <f>TEST_DATA!B7111</f>
        <v>Mar-2018</v>
      </c>
      <c r="C7111">
        <f>TEST_DATA!C7111</f>
        <v>43523</v>
      </c>
      <c r="D7111" t="str">
        <f>TEST_DATA!D7111</f>
        <v>NON-NIL</v>
      </c>
      <c r="E7111">
        <f>TEST_DATA!E7111</f>
        <v>2975</v>
      </c>
    </row>
    <row r="7112" spans="1:5" x14ac:dyDescent="0.55000000000000004">
      <c r="A7112" t="str">
        <f>TEST_DATA!A7112</f>
        <v>27AAAAA7112Z5</v>
      </c>
      <c r="B7112" t="str">
        <f>TEST_DATA!B7112</f>
        <v>Jul-2020</v>
      </c>
      <c r="C7112">
        <f>TEST_DATA!C7112</f>
        <v>43947</v>
      </c>
      <c r="D7112" t="str">
        <f>TEST_DATA!D7112</f>
        <v>NIL</v>
      </c>
      <c r="E7112">
        <f>TEST_DATA!E7112</f>
        <v>2623</v>
      </c>
    </row>
    <row r="7113" spans="1:5" x14ac:dyDescent="0.55000000000000004">
      <c r="A7113" t="str">
        <f>TEST_DATA!A7113</f>
        <v>27AAAAA7113Z5</v>
      </c>
      <c r="B7113" t="str">
        <f>TEST_DATA!B7113</f>
        <v>Dec-2024</v>
      </c>
      <c r="C7113">
        <f>TEST_DATA!C7113</f>
        <v>44271</v>
      </c>
      <c r="D7113" t="str">
        <f>TEST_DATA!D7113</f>
        <v>NIL</v>
      </c>
      <c r="E7113">
        <f>TEST_DATA!E7113</f>
        <v>1817</v>
      </c>
    </row>
    <row r="7114" spans="1:5" x14ac:dyDescent="0.55000000000000004">
      <c r="A7114" t="str">
        <f>TEST_DATA!A7114</f>
        <v>27AAAAA7114Z5</v>
      </c>
      <c r="B7114" t="str">
        <f>TEST_DATA!B7114</f>
        <v>Mar-2021</v>
      </c>
      <c r="C7114">
        <f>TEST_DATA!C7114</f>
        <v>43726</v>
      </c>
      <c r="D7114" t="str">
        <f>TEST_DATA!D7114</f>
        <v>NON-NIL</v>
      </c>
      <c r="E7114">
        <f>TEST_DATA!E7114</f>
        <v>1599</v>
      </c>
    </row>
    <row r="7115" spans="1:5" x14ac:dyDescent="0.55000000000000004">
      <c r="A7115" t="str">
        <f>TEST_DATA!A7115</f>
        <v>27AAAAA7115Z5</v>
      </c>
      <c r="B7115" t="str">
        <f>TEST_DATA!B7115</f>
        <v>Jan-2021</v>
      </c>
      <c r="C7115">
        <f>TEST_DATA!C7115</f>
        <v>43766</v>
      </c>
      <c r="D7115" t="str">
        <f>TEST_DATA!D7115</f>
        <v>NON-NIL</v>
      </c>
      <c r="E7115">
        <f>TEST_DATA!E7115</f>
        <v>2986</v>
      </c>
    </row>
    <row r="7116" spans="1:5" x14ac:dyDescent="0.55000000000000004">
      <c r="A7116" t="str">
        <f>TEST_DATA!A7116</f>
        <v>27AAAAA7116Z5</v>
      </c>
      <c r="B7116" t="str">
        <f>TEST_DATA!B7116</f>
        <v>Feb-2018</v>
      </c>
      <c r="C7116">
        <f>TEST_DATA!C7116</f>
        <v>44097</v>
      </c>
      <c r="D7116" t="str">
        <f>TEST_DATA!D7116</f>
        <v>NON-NIL</v>
      </c>
      <c r="E7116">
        <f>TEST_DATA!E7116</f>
        <v>1725</v>
      </c>
    </row>
    <row r="7117" spans="1:5" x14ac:dyDescent="0.55000000000000004">
      <c r="A7117" t="str">
        <f>TEST_DATA!A7117</f>
        <v>27AAAAA7117Z5</v>
      </c>
      <c r="B7117" t="str">
        <f>TEST_DATA!B7117</f>
        <v>Dec-2024</v>
      </c>
      <c r="C7117">
        <f>TEST_DATA!C7117</f>
        <v>45456</v>
      </c>
      <c r="D7117" t="str">
        <f>TEST_DATA!D7117</f>
        <v>NON-NIL</v>
      </c>
      <c r="E7117">
        <f>TEST_DATA!E7117</f>
        <v>1671</v>
      </c>
    </row>
    <row r="7118" spans="1:5" x14ac:dyDescent="0.55000000000000004">
      <c r="A7118" t="str">
        <f>TEST_DATA!A7118</f>
        <v>27AAAAA7118Z5</v>
      </c>
      <c r="B7118" t="str">
        <f>TEST_DATA!B7118</f>
        <v>Nov-2017</v>
      </c>
      <c r="C7118">
        <f>TEST_DATA!C7118</f>
        <v>43751</v>
      </c>
      <c r="D7118" t="str">
        <f>TEST_DATA!D7118</f>
        <v>NIL</v>
      </c>
      <c r="E7118">
        <f>TEST_DATA!E7118</f>
        <v>1016</v>
      </c>
    </row>
    <row r="7119" spans="1:5" x14ac:dyDescent="0.55000000000000004">
      <c r="A7119" t="str">
        <f>TEST_DATA!A7119</f>
        <v>27AAAAA7119Z5</v>
      </c>
      <c r="B7119" t="str">
        <f>TEST_DATA!B7119</f>
        <v>May-2018</v>
      </c>
      <c r="C7119">
        <f>TEST_DATA!C7119</f>
        <v>44356</v>
      </c>
      <c r="D7119" t="str">
        <f>TEST_DATA!D7119</f>
        <v>NON-NIL</v>
      </c>
      <c r="E7119">
        <f>TEST_DATA!E7119</f>
        <v>11</v>
      </c>
    </row>
    <row r="7120" spans="1:5" x14ac:dyDescent="0.55000000000000004">
      <c r="A7120" t="str">
        <f>TEST_DATA!A7120</f>
        <v>27AAAAA7120Z5</v>
      </c>
      <c r="B7120" t="str">
        <f>TEST_DATA!B7120</f>
        <v>Jun-2018</v>
      </c>
      <c r="C7120">
        <f>TEST_DATA!C7120</f>
        <v>43392</v>
      </c>
      <c r="D7120" t="str">
        <f>TEST_DATA!D7120</f>
        <v>NIL</v>
      </c>
      <c r="E7120">
        <f>TEST_DATA!E7120</f>
        <v>564</v>
      </c>
    </row>
    <row r="7121" spans="1:5" x14ac:dyDescent="0.55000000000000004">
      <c r="A7121" t="str">
        <f>TEST_DATA!A7121</f>
        <v>27AAAAA7121Z5</v>
      </c>
      <c r="B7121" t="str">
        <f>TEST_DATA!B7121</f>
        <v>Jan-2021</v>
      </c>
      <c r="C7121">
        <f>TEST_DATA!C7121</f>
        <v>45040</v>
      </c>
      <c r="D7121" t="str">
        <f>TEST_DATA!D7121</f>
        <v>NIL</v>
      </c>
      <c r="E7121">
        <f>TEST_DATA!E7121</f>
        <v>2189</v>
      </c>
    </row>
    <row r="7122" spans="1:5" x14ac:dyDescent="0.55000000000000004">
      <c r="A7122" t="str">
        <f>TEST_DATA!A7122</f>
        <v>27AAAAA7122Z5</v>
      </c>
      <c r="B7122" t="str">
        <f>TEST_DATA!B7122</f>
        <v>Apr-2018</v>
      </c>
      <c r="C7122">
        <f>TEST_DATA!C7122</f>
        <v>42950</v>
      </c>
      <c r="D7122" t="str">
        <f>TEST_DATA!D7122</f>
        <v>NIL</v>
      </c>
      <c r="E7122">
        <f>TEST_DATA!E7122</f>
        <v>1531</v>
      </c>
    </row>
    <row r="7123" spans="1:5" x14ac:dyDescent="0.55000000000000004">
      <c r="A7123" t="str">
        <f>TEST_DATA!A7123</f>
        <v>27AAAAA7123Z5</v>
      </c>
      <c r="B7123" t="str">
        <f>TEST_DATA!B7123</f>
        <v>Jan-2019</v>
      </c>
      <c r="C7123">
        <f>TEST_DATA!C7123</f>
        <v>45741</v>
      </c>
      <c r="D7123" t="str">
        <f>TEST_DATA!D7123</f>
        <v>NON-NIL</v>
      </c>
      <c r="E7123">
        <f>TEST_DATA!E7123</f>
        <v>24</v>
      </c>
    </row>
    <row r="7124" spans="1:5" x14ac:dyDescent="0.55000000000000004">
      <c r="A7124" t="str">
        <f>TEST_DATA!A7124</f>
        <v>27AAAAA7124Z5</v>
      </c>
      <c r="B7124" t="str">
        <f>TEST_DATA!B7124</f>
        <v>Jan-2018</v>
      </c>
      <c r="C7124">
        <f>TEST_DATA!C7124</f>
        <v>43712</v>
      </c>
      <c r="D7124" t="str">
        <f>TEST_DATA!D7124</f>
        <v>NON-NIL</v>
      </c>
      <c r="E7124">
        <f>TEST_DATA!E7124</f>
        <v>198</v>
      </c>
    </row>
    <row r="7125" spans="1:5" x14ac:dyDescent="0.55000000000000004">
      <c r="A7125" t="str">
        <f>TEST_DATA!A7125</f>
        <v>27AAAAA7125Z5</v>
      </c>
      <c r="B7125" t="str">
        <f>TEST_DATA!B7125</f>
        <v>May-2018</v>
      </c>
      <c r="C7125">
        <f>TEST_DATA!C7125</f>
        <v>43023</v>
      </c>
      <c r="D7125" t="str">
        <f>TEST_DATA!D7125</f>
        <v>NON-NIL</v>
      </c>
      <c r="E7125">
        <f>TEST_DATA!E7125</f>
        <v>968</v>
      </c>
    </row>
    <row r="7126" spans="1:5" x14ac:dyDescent="0.55000000000000004">
      <c r="A7126" t="str">
        <f>TEST_DATA!A7126</f>
        <v>27AAAAA7126Z5</v>
      </c>
      <c r="B7126" t="str">
        <f>TEST_DATA!B7126</f>
        <v>Aug-2017</v>
      </c>
      <c r="C7126">
        <f>TEST_DATA!C7126</f>
        <v>43728</v>
      </c>
      <c r="D7126" t="str">
        <f>TEST_DATA!D7126</f>
        <v>NON-NIL</v>
      </c>
      <c r="E7126">
        <f>TEST_DATA!E7126</f>
        <v>977</v>
      </c>
    </row>
    <row r="7127" spans="1:5" x14ac:dyDescent="0.55000000000000004">
      <c r="A7127" t="str">
        <f>TEST_DATA!A7127</f>
        <v>27AAAAA7127Z5</v>
      </c>
      <c r="B7127" t="str">
        <f>TEST_DATA!B7127</f>
        <v>Aug-2018</v>
      </c>
      <c r="C7127">
        <f>TEST_DATA!C7127</f>
        <v>42934</v>
      </c>
      <c r="D7127" t="str">
        <f>TEST_DATA!D7127</f>
        <v>NON-NIL</v>
      </c>
      <c r="E7127">
        <f>TEST_DATA!E7127</f>
        <v>180</v>
      </c>
    </row>
    <row r="7128" spans="1:5" x14ac:dyDescent="0.55000000000000004">
      <c r="A7128" t="str">
        <f>TEST_DATA!A7128</f>
        <v>27AAAAA7128Z5</v>
      </c>
      <c r="B7128" t="str">
        <f>TEST_DATA!B7128</f>
        <v>Nov-2017</v>
      </c>
      <c r="C7128">
        <f>TEST_DATA!C7128</f>
        <v>44413</v>
      </c>
      <c r="D7128" t="str">
        <f>TEST_DATA!D7128</f>
        <v>NIL</v>
      </c>
      <c r="E7128">
        <f>TEST_DATA!E7128</f>
        <v>2650</v>
      </c>
    </row>
    <row r="7129" spans="1:5" x14ac:dyDescent="0.55000000000000004">
      <c r="A7129" t="str">
        <f>TEST_DATA!A7129</f>
        <v>27AAAAA7129Z5</v>
      </c>
      <c r="B7129" t="str">
        <f>TEST_DATA!B7129</f>
        <v>May-2020</v>
      </c>
      <c r="C7129">
        <f>TEST_DATA!C7129</f>
        <v>44709</v>
      </c>
      <c r="D7129" t="str">
        <f>TEST_DATA!D7129</f>
        <v>NON-NIL</v>
      </c>
      <c r="E7129">
        <f>TEST_DATA!E7129</f>
        <v>32</v>
      </c>
    </row>
    <row r="7130" spans="1:5" x14ac:dyDescent="0.55000000000000004">
      <c r="A7130" t="str">
        <f>TEST_DATA!A7130</f>
        <v>27AAAAA7130Z5</v>
      </c>
      <c r="B7130" t="str">
        <f>TEST_DATA!B7130</f>
        <v>Apr-2020</v>
      </c>
      <c r="C7130">
        <f>TEST_DATA!C7130</f>
        <v>44078</v>
      </c>
      <c r="D7130" t="str">
        <f>TEST_DATA!D7130</f>
        <v>NIL</v>
      </c>
      <c r="E7130">
        <f>TEST_DATA!E7130</f>
        <v>886</v>
      </c>
    </row>
    <row r="7131" spans="1:5" x14ac:dyDescent="0.55000000000000004">
      <c r="A7131" t="str">
        <f>TEST_DATA!A7131</f>
        <v>27AAAAA7131Z5</v>
      </c>
      <c r="B7131" t="str">
        <f>TEST_DATA!B7131</f>
        <v>Mar-2020</v>
      </c>
      <c r="C7131">
        <f>TEST_DATA!C7131</f>
        <v>43920</v>
      </c>
      <c r="D7131" t="str">
        <f>TEST_DATA!D7131</f>
        <v>NIL</v>
      </c>
      <c r="E7131">
        <f>TEST_DATA!E7131</f>
        <v>675</v>
      </c>
    </row>
    <row r="7132" spans="1:5" x14ac:dyDescent="0.55000000000000004">
      <c r="A7132" t="str">
        <f>TEST_DATA!A7132</f>
        <v>27AAAAA7132Z5</v>
      </c>
      <c r="B7132" t="str">
        <f>TEST_DATA!B7132</f>
        <v>Aug-2017</v>
      </c>
      <c r="C7132">
        <f>TEST_DATA!C7132</f>
        <v>44434</v>
      </c>
      <c r="D7132" t="str">
        <f>TEST_DATA!D7132</f>
        <v>NIL</v>
      </c>
      <c r="E7132">
        <f>TEST_DATA!E7132</f>
        <v>2617</v>
      </c>
    </row>
    <row r="7133" spans="1:5" x14ac:dyDescent="0.55000000000000004">
      <c r="A7133" t="str">
        <f>TEST_DATA!A7133</f>
        <v>27AAAAA7133Z5</v>
      </c>
      <c r="B7133" t="str">
        <f>TEST_DATA!B7133</f>
        <v>Jul-2017</v>
      </c>
      <c r="C7133">
        <f>TEST_DATA!C7133</f>
        <v>43210</v>
      </c>
      <c r="D7133" t="str">
        <f>TEST_DATA!D7133</f>
        <v>NON-NIL</v>
      </c>
      <c r="E7133">
        <f>TEST_DATA!E7133</f>
        <v>554</v>
      </c>
    </row>
    <row r="7134" spans="1:5" x14ac:dyDescent="0.55000000000000004">
      <c r="A7134" t="str">
        <f>TEST_DATA!A7134</f>
        <v>27AAAAA7134Z5</v>
      </c>
      <c r="B7134" t="str">
        <f>TEST_DATA!B7134</f>
        <v>Jul-2017</v>
      </c>
      <c r="C7134">
        <f>TEST_DATA!C7134</f>
        <v>44162</v>
      </c>
      <c r="D7134" t="str">
        <f>TEST_DATA!D7134</f>
        <v>NON-NIL</v>
      </c>
      <c r="E7134">
        <f>TEST_DATA!E7134</f>
        <v>1388</v>
      </c>
    </row>
    <row r="7135" spans="1:5" x14ac:dyDescent="0.55000000000000004">
      <c r="A7135" t="str">
        <f>TEST_DATA!A7135</f>
        <v>27AAAAA7135Z5</v>
      </c>
      <c r="B7135" t="str">
        <f>TEST_DATA!B7135</f>
        <v>Dec-2017</v>
      </c>
      <c r="C7135">
        <f>TEST_DATA!C7135</f>
        <v>44327</v>
      </c>
      <c r="D7135" t="str">
        <f>TEST_DATA!D7135</f>
        <v>NIL</v>
      </c>
      <c r="E7135">
        <f>TEST_DATA!E7135</f>
        <v>1884</v>
      </c>
    </row>
    <row r="7136" spans="1:5" x14ac:dyDescent="0.55000000000000004">
      <c r="A7136" t="str">
        <f>TEST_DATA!A7136</f>
        <v>27AAAAA7136Z5</v>
      </c>
      <c r="B7136" t="str">
        <f>TEST_DATA!B7136</f>
        <v>Mar-2021</v>
      </c>
      <c r="C7136">
        <f>TEST_DATA!C7136</f>
        <v>44985</v>
      </c>
      <c r="D7136" t="str">
        <f>TEST_DATA!D7136</f>
        <v>NON-NIL</v>
      </c>
      <c r="E7136">
        <f>TEST_DATA!E7136</f>
        <v>2851</v>
      </c>
    </row>
    <row r="7137" spans="1:5" x14ac:dyDescent="0.55000000000000004">
      <c r="A7137" t="str">
        <f>TEST_DATA!A7137</f>
        <v>27AAAAA7137Z5</v>
      </c>
      <c r="B7137" t="str">
        <f>TEST_DATA!B7137</f>
        <v>Apr-2020</v>
      </c>
      <c r="C7137">
        <f>TEST_DATA!C7137</f>
        <v>44581</v>
      </c>
      <c r="D7137" t="str">
        <f>TEST_DATA!D7137</f>
        <v>NIL</v>
      </c>
      <c r="E7137">
        <f>TEST_DATA!E7137</f>
        <v>459</v>
      </c>
    </row>
    <row r="7138" spans="1:5" x14ac:dyDescent="0.55000000000000004">
      <c r="A7138" t="str">
        <f>TEST_DATA!A7138</f>
        <v>27AAAAA7138Z5</v>
      </c>
      <c r="B7138" t="str">
        <f>TEST_DATA!B7138</f>
        <v>Mar-2020</v>
      </c>
      <c r="C7138">
        <f>TEST_DATA!C7138</f>
        <v>44213</v>
      </c>
      <c r="D7138" t="str">
        <f>TEST_DATA!D7138</f>
        <v>NON-NIL</v>
      </c>
      <c r="E7138">
        <f>TEST_DATA!E7138</f>
        <v>170</v>
      </c>
    </row>
    <row r="7139" spans="1:5" x14ac:dyDescent="0.55000000000000004">
      <c r="A7139" t="str">
        <f>TEST_DATA!A7139</f>
        <v>27AAAAA7139Z5</v>
      </c>
      <c r="B7139" t="str">
        <f>TEST_DATA!B7139</f>
        <v>Aug-2017</v>
      </c>
      <c r="C7139">
        <f>TEST_DATA!C7139</f>
        <v>44193</v>
      </c>
      <c r="D7139" t="str">
        <f>TEST_DATA!D7139</f>
        <v>NON-NIL</v>
      </c>
      <c r="E7139">
        <f>TEST_DATA!E7139</f>
        <v>176</v>
      </c>
    </row>
    <row r="7140" spans="1:5" x14ac:dyDescent="0.55000000000000004">
      <c r="A7140" t="str">
        <f>TEST_DATA!A7140</f>
        <v>27AAAAA7140Z5</v>
      </c>
      <c r="B7140" t="str">
        <f>TEST_DATA!B7140</f>
        <v>Nov-2017</v>
      </c>
      <c r="C7140">
        <f>TEST_DATA!C7140</f>
        <v>43866</v>
      </c>
      <c r="D7140" t="str">
        <f>TEST_DATA!D7140</f>
        <v>NON-NIL</v>
      </c>
      <c r="E7140">
        <f>TEST_DATA!E7140</f>
        <v>2019</v>
      </c>
    </row>
    <row r="7141" spans="1:5" x14ac:dyDescent="0.55000000000000004">
      <c r="A7141" t="str">
        <f>TEST_DATA!A7141</f>
        <v>27AAAAA7141Z5</v>
      </c>
      <c r="B7141" t="str">
        <f>TEST_DATA!B7141</f>
        <v>Apr-2018</v>
      </c>
      <c r="C7141">
        <f>TEST_DATA!C7141</f>
        <v>44271</v>
      </c>
      <c r="D7141" t="str">
        <f>TEST_DATA!D7141</f>
        <v>NON-NIL</v>
      </c>
      <c r="E7141">
        <f>TEST_DATA!E7141</f>
        <v>1055</v>
      </c>
    </row>
    <row r="7142" spans="1:5" x14ac:dyDescent="0.55000000000000004">
      <c r="A7142" t="str">
        <f>TEST_DATA!A7142</f>
        <v>27AAAAA7142Z5</v>
      </c>
      <c r="B7142" t="str">
        <f>TEST_DATA!B7142</f>
        <v>Apr-2021</v>
      </c>
      <c r="C7142">
        <f>TEST_DATA!C7142</f>
        <v>44585</v>
      </c>
      <c r="D7142" t="str">
        <f>TEST_DATA!D7142</f>
        <v>NIL</v>
      </c>
      <c r="E7142">
        <f>TEST_DATA!E7142</f>
        <v>179</v>
      </c>
    </row>
    <row r="7143" spans="1:5" x14ac:dyDescent="0.55000000000000004">
      <c r="A7143" t="str">
        <f>TEST_DATA!A7143</f>
        <v>27AAAAA7143Z5</v>
      </c>
      <c r="B7143" t="str">
        <f>TEST_DATA!B7143</f>
        <v>May-2018</v>
      </c>
      <c r="C7143">
        <f>TEST_DATA!C7143</f>
        <v>43502</v>
      </c>
      <c r="D7143" t="str">
        <f>TEST_DATA!D7143</f>
        <v>NON-NIL</v>
      </c>
      <c r="E7143">
        <f>TEST_DATA!E7143</f>
        <v>2840</v>
      </c>
    </row>
    <row r="7144" spans="1:5" x14ac:dyDescent="0.55000000000000004">
      <c r="A7144" t="str">
        <f>TEST_DATA!A7144</f>
        <v>27AAAAA7144Z5</v>
      </c>
      <c r="B7144" t="str">
        <f>TEST_DATA!B7144</f>
        <v>Apr-2018</v>
      </c>
      <c r="C7144">
        <f>TEST_DATA!C7144</f>
        <v>43591</v>
      </c>
      <c r="D7144" t="str">
        <f>TEST_DATA!D7144</f>
        <v>NIL</v>
      </c>
      <c r="E7144">
        <f>TEST_DATA!E7144</f>
        <v>2104</v>
      </c>
    </row>
    <row r="7145" spans="1:5" x14ac:dyDescent="0.55000000000000004">
      <c r="A7145" t="str">
        <f>TEST_DATA!A7145</f>
        <v>27AAAAA7145Z5</v>
      </c>
      <c r="B7145" t="str">
        <f>TEST_DATA!B7145</f>
        <v>Sep-2017</v>
      </c>
      <c r="C7145">
        <f>TEST_DATA!C7145</f>
        <v>43171</v>
      </c>
      <c r="D7145" t="str">
        <f>TEST_DATA!D7145</f>
        <v>NIL</v>
      </c>
      <c r="E7145">
        <f>TEST_DATA!E7145</f>
        <v>2583</v>
      </c>
    </row>
    <row r="7146" spans="1:5" x14ac:dyDescent="0.55000000000000004">
      <c r="A7146" t="str">
        <f>TEST_DATA!A7146</f>
        <v>27AAAAA7146Z5</v>
      </c>
      <c r="B7146" t="str">
        <f>TEST_DATA!B7146</f>
        <v>Dec-2019</v>
      </c>
      <c r="C7146">
        <f>TEST_DATA!C7146</f>
        <v>43960</v>
      </c>
      <c r="D7146" t="str">
        <f>TEST_DATA!D7146</f>
        <v>NON-NIL</v>
      </c>
      <c r="E7146">
        <f>TEST_DATA!E7146</f>
        <v>1424</v>
      </c>
    </row>
    <row r="7147" spans="1:5" x14ac:dyDescent="0.55000000000000004">
      <c r="A7147" t="str">
        <f>TEST_DATA!A7147</f>
        <v>27AAAAA7147Z5</v>
      </c>
      <c r="B7147" t="str">
        <f>TEST_DATA!B7147</f>
        <v>May-2020</v>
      </c>
      <c r="C7147">
        <f>TEST_DATA!C7147</f>
        <v>44548</v>
      </c>
      <c r="D7147" t="str">
        <f>TEST_DATA!D7147</f>
        <v>NIL</v>
      </c>
      <c r="E7147">
        <f>TEST_DATA!E7147</f>
        <v>1160</v>
      </c>
    </row>
    <row r="7148" spans="1:5" x14ac:dyDescent="0.55000000000000004">
      <c r="A7148" t="str">
        <f>TEST_DATA!A7148</f>
        <v>27AAAAA7148Z5</v>
      </c>
      <c r="B7148" t="str">
        <f>TEST_DATA!B7148</f>
        <v>Dec-2024</v>
      </c>
      <c r="C7148">
        <f>TEST_DATA!C7148</f>
        <v>44625</v>
      </c>
      <c r="D7148" t="str">
        <f>TEST_DATA!D7148</f>
        <v>NON-NIL</v>
      </c>
      <c r="E7148">
        <f>TEST_DATA!E7148</f>
        <v>1630</v>
      </c>
    </row>
    <row r="7149" spans="1:5" x14ac:dyDescent="0.55000000000000004">
      <c r="A7149" t="str">
        <f>TEST_DATA!A7149</f>
        <v>27AAAAA7149Z5</v>
      </c>
      <c r="B7149" t="str">
        <f>TEST_DATA!B7149</f>
        <v>Jul-2018</v>
      </c>
      <c r="C7149">
        <f>TEST_DATA!C7149</f>
        <v>43238</v>
      </c>
      <c r="D7149" t="str">
        <f>TEST_DATA!D7149</f>
        <v>NIL</v>
      </c>
      <c r="E7149">
        <f>TEST_DATA!E7149</f>
        <v>2445</v>
      </c>
    </row>
    <row r="7150" spans="1:5" x14ac:dyDescent="0.55000000000000004">
      <c r="A7150" t="str">
        <f>TEST_DATA!A7150</f>
        <v>27AAAAA7150Z5</v>
      </c>
      <c r="B7150" t="str">
        <f>TEST_DATA!B7150</f>
        <v>Apr-2021</v>
      </c>
      <c r="C7150">
        <f>TEST_DATA!C7150</f>
        <v>44985</v>
      </c>
      <c r="D7150" t="str">
        <f>TEST_DATA!D7150</f>
        <v>NIL</v>
      </c>
      <c r="E7150">
        <f>TEST_DATA!E7150</f>
        <v>505</v>
      </c>
    </row>
    <row r="7151" spans="1:5" x14ac:dyDescent="0.55000000000000004">
      <c r="A7151" t="str">
        <f>TEST_DATA!A7151</f>
        <v>27AAAAA7151Z5</v>
      </c>
      <c r="B7151" t="str">
        <f>TEST_DATA!B7151</f>
        <v>Jan-2019</v>
      </c>
      <c r="C7151">
        <f>TEST_DATA!C7151</f>
        <v>45493</v>
      </c>
      <c r="D7151" t="str">
        <f>TEST_DATA!D7151</f>
        <v>NIL</v>
      </c>
      <c r="E7151">
        <f>TEST_DATA!E7151</f>
        <v>1289</v>
      </c>
    </row>
    <row r="7152" spans="1:5" x14ac:dyDescent="0.55000000000000004">
      <c r="A7152" t="str">
        <f>TEST_DATA!A7152</f>
        <v>27AAAAA7152Z5</v>
      </c>
      <c r="B7152" t="str">
        <f>TEST_DATA!B7152</f>
        <v>Jul-2020</v>
      </c>
      <c r="C7152">
        <f>TEST_DATA!C7152</f>
        <v>44665</v>
      </c>
      <c r="D7152" t="str">
        <f>TEST_DATA!D7152</f>
        <v>NON-NIL</v>
      </c>
      <c r="E7152">
        <f>TEST_DATA!E7152</f>
        <v>49</v>
      </c>
    </row>
    <row r="7153" spans="1:5" x14ac:dyDescent="0.55000000000000004">
      <c r="A7153" t="str">
        <f>TEST_DATA!A7153</f>
        <v>27AAAAA7153Z5</v>
      </c>
      <c r="B7153" t="str">
        <f>TEST_DATA!B7153</f>
        <v>Feb-2018</v>
      </c>
      <c r="C7153">
        <f>TEST_DATA!C7153</f>
        <v>43753</v>
      </c>
      <c r="D7153" t="str">
        <f>TEST_DATA!D7153</f>
        <v>NIL</v>
      </c>
      <c r="E7153">
        <f>TEST_DATA!E7153</f>
        <v>1720</v>
      </c>
    </row>
    <row r="7154" spans="1:5" x14ac:dyDescent="0.55000000000000004">
      <c r="A7154" t="str">
        <f>TEST_DATA!A7154</f>
        <v>27AAAAA7154Z5</v>
      </c>
      <c r="B7154" t="str">
        <f>TEST_DATA!B7154</f>
        <v>Dec-2022</v>
      </c>
      <c r="C7154">
        <f>TEST_DATA!C7154</f>
        <v>44037</v>
      </c>
      <c r="D7154" t="str">
        <f>TEST_DATA!D7154</f>
        <v>NON-NIL</v>
      </c>
      <c r="E7154">
        <f>TEST_DATA!E7154</f>
        <v>2219</v>
      </c>
    </row>
    <row r="7155" spans="1:5" x14ac:dyDescent="0.55000000000000004">
      <c r="A7155" t="str">
        <f>TEST_DATA!A7155</f>
        <v>27AAAAA7155Z5</v>
      </c>
      <c r="B7155" t="str">
        <f>TEST_DATA!B7155</f>
        <v>Aug-2018</v>
      </c>
      <c r="C7155">
        <f>TEST_DATA!C7155</f>
        <v>42979</v>
      </c>
      <c r="D7155" t="str">
        <f>TEST_DATA!D7155</f>
        <v>NON-NIL</v>
      </c>
      <c r="E7155">
        <f>TEST_DATA!E7155</f>
        <v>42</v>
      </c>
    </row>
    <row r="7156" spans="1:5" x14ac:dyDescent="0.55000000000000004">
      <c r="A7156" t="str">
        <f>TEST_DATA!A7156</f>
        <v>27AAAAA7156Z5</v>
      </c>
      <c r="B7156" t="str">
        <f>TEST_DATA!B7156</f>
        <v>Apr-2018</v>
      </c>
      <c r="C7156">
        <f>TEST_DATA!C7156</f>
        <v>43836</v>
      </c>
      <c r="D7156" t="str">
        <f>TEST_DATA!D7156</f>
        <v>NIL</v>
      </c>
      <c r="E7156">
        <f>TEST_DATA!E7156</f>
        <v>1726</v>
      </c>
    </row>
    <row r="7157" spans="1:5" x14ac:dyDescent="0.55000000000000004">
      <c r="A7157" t="str">
        <f>TEST_DATA!A7157</f>
        <v>27AAAAA7157Z5</v>
      </c>
      <c r="B7157" t="str">
        <f>TEST_DATA!B7157</f>
        <v>Dec-2024</v>
      </c>
      <c r="C7157">
        <f>TEST_DATA!C7157</f>
        <v>45129</v>
      </c>
      <c r="D7157" t="str">
        <f>TEST_DATA!D7157</f>
        <v>NIL</v>
      </c>
      <c r="E7157">
        <f>TEST_DATA!E7157</f>
        <v>536</v>
      </c>
    </row>
    <row r="7158" spans="1:5" x14ac:dyDescent="0.55000000000000004">
      <c r="A7158" t="str">
        <f>TEST_DATA!A7158</f>
        <v>27AAAAA7158Z5</v>
      </c>
      <c r="B7158" t="str">
        <f>TEST_DATA!B7158</f>
        <v>Jan-2018</v>
      </c>
      <c r="C7158">
        <f>TEST_DATA!C7158</f>
        <v>43640</v>
      </c>
      <c r="D7158" t="str">
        <f>TEST_DATA!D7158</f>
        <v>NIL</v>
      </c>
      <c r="E7158">
        <f>TEST_DATA!E7158</f>
        <v>1499</v>
      </c>
    </row>
    <row r="7159" spans="1:5" x14ac:dyDescent="0.55000000000000004">
      <c r="A7159" t="str">
        <f>TEST_DATA!A7159</f>
        <v>27AAAAA7159Z5</v>
      </c>
      <c r="B7159" t="str">
        <f>TEST_DATA!B7159</f>
        <v>Jun-2019</v>
      </c>
      <c r="C7159">
        <f>TEST_DATA!C7159</f>
        <v>44961</v>
      </c>
      <c r="D7159" t="str">
        <f>TEST_DATA!D7159</f>
        <v>NIL</v>
      </c>
      <c r="E7159">
        <f>TEST_DATA!E7159</f>
        <v>290</v>
      </c>
    </row>
    <row r="7160" spans="1:5" x14ac:dyDescent="0.55000000000000004">
      <c r="A7160" t="str">
        <f>TEST_DATA!A7160</f>
        <v>27AAAAA7160Z5</v>
      </c>
      <c r="B7160" t="str">
        <f>TEST_DATA!B7160</f>
        <v>Jun-2018</v>
      </c>
      <c r="C7160">
        <f>TEST_DATA!C7160</f>
        <v>43324</v>
      </c>
      <c r="D7160" t="str">
        <f>TEST_DATA!D7160</f>
        <v>NIL</v>
      </c>
      <c r="E7160">
        <f>TEST_DATA!E7160</f>
        <v>277</v>
      </c>
    </row>
    <row r="7161" spans="1:5" x14ac:dyDescent="0.55000000000000004">
      <c r="A7161" t="str">
        <f>TEST_DATA!A7161</f>
        <v>27AAAAA7161Z5</v>
      </c>
      <c r="B7161" t="str">
        <f>TEST_DATA!B7161</f>
        <v>Sep-2018</v>
      </c>
      <c r="C7161">
        <f>TEST_DATA!C7161</f>
        <v>43388</v>
      </c>
      <c r="D7161" t="str">
        <f>TEST_DATA!D7161</f>
        <v>NIL</v>
      </c>
      <c r="E7161">
        <f>TEST_DATA!E7161</f>
        <v>1733</v>
      </c>
    </row>
    <row r="7162" spans="1:5" x14ac:dyDescent="0.55000000000000004">
      <c r="A7162" t="str">
        <f>TEST_DATA!A7162</f>
        <v>27AAAAA7162Z5</v>
      </c>
      <c r="B7162" t="str">
        <f>TEST_DATA!B7162</f>
        <v>Jan-2019</v>
      </c>
      <c r="C7162">
        <f>TEST_DATA!C7162</f>
        <v>43850</v>
      </c>
      <c r="D7162" t="str">
        <f>TEST_DATA!D7162</f>
        <v>NON-NIL</v>
      </c>
      <c r="E7162">
        <f>TEST_DATA!E7162</f>
        <v>1733</v>
      </c>
    </row>
    <row r="7163" spans="1:5" x14ac:dyDescent="0.55000000000000004">
      <c r="A7163" t="str">
        <f>TEST_DATA!A7163</f>
        <v>27AAAAA7163Z5</v>
      </c>
      <c r="B7163" t="str">
        <f>TEST_DATA!B7163</f>
        <v>Aug-2017</v>
      </c>
      <c r="C7163">
        <f>TEST_DATA!C7163</f>
        <v>43627</v>
      </c>
      <c r="D7163" t="str">
        <f>TEST_DATA!D7163</f>
        <v>NON-NIL</v>
      </c>
      <c r="E7163">
        <f>TEST_DATA!E7163</f>
        <v>2343</v>
      </c>
    </row>
    <row r="7164" spans="1:5" x14ac:dyDescent="0.55000000000000004">
      <c r="A7164" t="str">
        <f>TEST_DATA!A7164</f>
        <v>27AAAAA7164Z5</v>
      </c>
      <c r="B7164" t="str">
        <f>TEST_DATA!B7164</f>
        <v>Aug-2017</v>
      </c>
      <c r="C7164">
        <f>TEST_DATA!C7164</f>
        <v>43681</v>
      </c>
      <c r="D7164" t="str">
        <f>TEST_DATA!D7164</f>
        <v>NIL</v>
      </c>
      <c r="E7164">
        <f>TEST_DATA!E7164</f>
        <v>734</v>
      </c>
    </row>
    <row r="7165" spans="1:5" x14ac:dyDescent="0.55000000000000004">
      <c r="A7165" t="str">
        <f>TEST_DATA!A7165</f>
        <v>27AAAAA7165Z5</v>
      </c>
      <c r="B7165" t="str">
        <f>TEST_DATA!B7165</f>
        <v>Mar-2018</v>
      </c>
      <c r="C7165">
        <f>TEST_DATA!C7165</f>
        <v>43535</v>
      </c>
      <c r="D7165" t="str">
        <f>TEST_DATA!D7165</f>
        <v>NIL</v>
      </c>
      <c r="E7165">
        <f>TEST_DATA!E7165</f>
        <v>856</v>
      </c>
    </row>
    <row r="7166" spans="1:5" x14ac:dyDescent="0.55000000000000004">
      <c r="A7166" t="str">
        <f>TEST_DATA!A7166</f>
        <v>27AAAAA7166Z5</v>
      </c>
      <c r="B7166" t="str">
        <f>TEST_DATA!B7166</f>
        <v>Feb-2018</v>
      </c>
      <c r="C7166">
        <f>TEST_DATA!C7166</f>
        <v>44126</v>
      </c>
      <c r="D7166" t="str">
        <f>TEST_DATA!D7166</f>
        <v>NON-NIL</v>
      </c>
      <c r="E7166">
        <f>TEST_DATA!E7166</f>
        <v>1259</v>
      </c>
    </row>
    <row r="7167" spans="1:5" x14ac:dyDescent="0.55000000000000004">
      <c r="A7167" t="str">
        <f>TEST_DATA!A7167</f>
        <v>27AAAAA7167Z5</v>
      </c>
      <c r="B7167" t="str">
        <f>TEST_DATA!B7167</f>
        <v>Sep-2018</v>
      </c>
      <c r="C7167">
        <f>TEST_DATA!C7167</f>
        <v>44078</v>
      </c>
      <c r="D7167" t="str">
        <f>TEST_DATA!D7167</f>
        <v>NON-NIL</v>
      </c>
      <c r="E7167">
        <f>TEST_DATA!E7167</f>
        <v>231</v>
      </c>
    </row>
    <row r="7168" spans="1:5" x14ac:dyDescent="0.55000000000000004">
      <c r="A7168" t="str">
        <f>TEST_DATA!A7168</f>
        <v>27AAAAA7168Z5</v>
      </c>
      <c r="B7168" t="str">
        <f>TEST_DATA!B7168</f>
        <v>Jul-2020</v>
      </c>
      <c r="C7168">
        <f>TEST_DATA!C7168</f>
        <v>44599</v>
      </c>
      <c r="D7168" t="str">
        <f>TEST_DATA!D7168</f>
        <v>NON-NIL</v>
      </c>
      <c r="E7168">
        <f>TEST_DATA!E7168</f>
        <v>2997</v>
      </c>
    </row>
    <row r="7169" spans="1:5" x14ac:dyDescent="0.55000000000000004">
      <c r="A7169" t="str">
        <f>TEST_DATA!A7169</f>
        <v>27AAAAA7169Z5</v>
      </c>
      <c r="B7169" t="str">
        <f>TEST_DATA!B7169</f>
        <v>Jan-2021</v>
      </c>
      <c r="C7169">
        <f>TEST_DATA!C7169</f>
        <v>44962</v>
      </c>
      <c r="D7169" t="str">
        <f>TEST_DATA!D7169</f>
        <v>NIL</v>
      </c>
      <c r="E7169">
        <f>TEST_DATA!E7169</f>
        <v>397</v>
      </c>
    </row>
    <row r="7170" spans="1:5" x14ac:dyDescent="0.55000000000000004">
      <c r="A7170" t="str">
        <f>TEST_DATA!A7170</f>
        <v>27AAAAA7170Z5</v>
      </c>
      <c r="B7170" t="str">
        <f>TEST_DATA!B7170</f>
        <v>Jun-2020</v>
      </c>
      <c r="C7170">
        <f>TEST_DATA!C7170</f>
        <v>44486</v>
      </c>
      <c r="D7170" t="str">
        <f>TEST_DATA!D7170</f>
        <v>NON-NIL</v>
      </c>
      <c r="E7170">
        <f>TEST_DATA!E7170</f>
        <v>2390</v>
      </c>
    </row>
    <row r="7171" spans="1:5" x14ac:dyDescent="0.55000000000000004">
      <c r="A7171" t="str">
        <f>TEST_DATA!A7171</f>
        <v>27AAAAA7171Z5</v>
      </c>
      <c r="B7171" t="str">
        <f>TEST_DATA!B7171</f>
        <v>Aug-2017</v>
      </c>
      <c r="C7171">
        <f>TEST_DATA!C7171</f>
        <v>43570</v>
      </c>
      <c r="D7171" t="str">
        <f>TEST_DATA!D7171</f>
        <v>NON-NIL</v>
      </c>
      <c r="E7171">
        <f>TEST_DATA!E7171</f>
        <v>504</v>
      </c>
    </row>
    <row r="7172" spans="1:5" x14ac:dyDescent="0.55000000000000004">
      <c r="A7172" t="str">
        <f>TEST_DATA!A7172</f>
        <v>27AAAAA7172Z5</v>
      </c>
      <c r="B7172" t="str">
        <f>TEST_DATA!B7172</f>
        <v>Mar-2020</v>
      </c>
      <c r="C7172">
        <f>TEST_DATA!C7172</f>
        <v>43994</v>
      </c>
      <c r="D7172" t="str">
        <f>TEST_DATA!D7172</f>
        <v>NON-NIL</v>
      </c>
      <c r="E7172">
        <f>TEST_DATA!E7172</f>
        <v>1780</v>
      </c>
    </row>
    <row r="7173" spans="1:5" x14ac:dyDescent="0.55000000000000004">
      <c r="A7173" t="str">
        <f>TEST_DATA!A7173</f>
        <v>27AAAAA7173Z5</v>
      </c>
      <c r="B7173" t="str">
        <f>TEST_DATA!B7173</f>
        <v>Jan-2021</v>
      </c>
      <c r="C7173">
        <f>TEST_DATA!C7173</f>
        <v>44696</v>
      </c>
      <c r="D7173" t="str">
        <f>TEST_DATA!D7173</f>
        <v>NON-NIL</v>
      </c>
      <c r="E7173">
        <f>TEST_DATA!E7173</f>
        <v>2378</v>
      </c>
    </row>
    <row r="7174" spans="1:5" x14ac:dyDescent="0.55000000000000004">
      <c r="A7174" t="str">
        <f>TEST_DATA!A7174</f>
        <v>27AAAAA7174Z5</v>
      </c>
      <c r="B7174" t="str">
        <f>TEST_DATA!B7174</f>
        <v>Jan-2018</v>
      </c>
      <c r="C7174">
        <f>TEST_DATA!C7174</f>
        <v>43796</v>
      </c>
      <c r="D7174" t="str">
        <f>TEST_DATA!D7174</f>
        <v>NON-NIL</v>
      </c>
      <c r="E7174">
        <f>TEST_DATA!E7174</f>
        <v>1590</v>
      </c>
    </row>
    <row r="7175" spans="1:5" x14ac:dyDescent="0.55000000000000004">
      <c r="A7175" t="str">
        <f>TEST_DATA!A7175</f>
        <v>27AAAAA7175Z5</v>
      </c>
      <c r="B7175" t="str">
        <f>TEST_DATA!B7175</f>
        <v>Dec-2024</v>
      </c>
      <c r="C7175">
        <f>TEST_DATA!C7175</f>
        <v>43970</v>
      </c>
      <c r="D7175" t="str">
        <f>TEST_DATA!D7175</f>
        <v>NIL</v>
      </c>
      <c r="E7175">
        <f>TEST_DATA!E7175</f>
        <v>797</v>
      </c>
    </row>
    <row r="7176" spans="1:5" x14ac:dyDescent="0.55000000000000004">
      <c r="A7176" t="str">
        <f>TEST_DATA!A7176</f>
        <v>27AAAAA7176Z5</v>
      </c>
      <c r="B7176" t="str">
        <f>TEST_DATA!B7176</f>
        <v>Dec-2024</v>
      </c>
      <c r="C7176">
        <f>TEST_DATA!C7176</f>
        <v>44786</v>
      </c>
      <c r="D7176" t="str">
        <f>TEST_DATA!D7176</f>
        <v>NON-NIL</v>
      </c>
      <c r="E7176">
        <f>TEST_DATA!E7176</f>
        <v>1080</v>
      </c>
    </row>
    <row r="7177" spans="1:5" x14ac:dyDescent="0.55000000000000004">
      <c r="A7177" t="str">
        <f>TEST_DATA!A7177</f>
        <v>27AAAAA7177Z5</v>
      </c>
      <c r="B7177" t="str">
        <f>TEST_DATA!B7177</f>
        <v>May-2020</v>
      </c>
      <c r="C7177">
        <f>TEST_DATA!C7177</f>
        <v>44773</v>
      </c>
      <c r="D7177" t="str">
        <f>TEST_DATA!D7177</f>
        <v>NON-NIL</v>
      </c>
      <c r="E7177">
        <f>TEST_DATA!E7177</f>
        <v>2240</v>
      </c>
    </row>
    <row r="7178" spans="1:5" x14ac:dyDescent="0.55000000000000004">
      <c r="A7178" t="str">
        <f>TEST_DATA!A7178</f>
        <v>27AAAAA7178Z5</v>
      </c>
      <c r="B7178" t="str">
        <f>TEST_DATA!B7178</f>
        <v>Jul-2017</v>
      </c>
      <c r="C7178">
        <f>TEST_DATA!C7178</f>
        <v>43683</v>
      </c>
      <c r="D7178" t="str">
        <f>TEST_DATA!D7178</f>
        <v>NON-NIL</v>
      </c>
      <c r="E7178">
        <f>TEST_DATA!E7178</f>
        <v>201</v>
      </c>
    </row>
    <row r="7179" spans="1:5" x14ac:dyDescent="0.55000000000000004">
      <c r="A7179" t="str">
        <f>TEST_DATA!A7179</f>
        <v>27AAAAA7179Z5</v>
      </c>
      <c r="B7179" t="str">
        <f>TEST_DATA!B7179</f>
        <v>Mar-2021</v>
      </c>
      <c r="C7179">
        <f>TEST_DATA!C7179</f>
        <v>44226</v>
      </c>
      <c r="D7179" t="str">
        <f>TEST_DATA!D7179</f>
        <v>NIL</v>
      </c>
      <c r="E7179">
        <f>TEST_DATA!E7179</f>
        <v>2842</v>
      </c>
    </row>
    <row r="7180" spans="1:5" x14ac:dyDescent="0.55000000000000004">
      <c r="A7180" t="str">
        <f>TEST_DATA!A7180</f>
        <v>27AAAAA7180Z5</v>
      </c>
      <c r="B7180" t="str">
        <f>TEST_DATA!B7180</f>
        <v>Jan-2019</v>
      </c>
      <c r="C7180">
        <f>TEST_DATA!C7180</f>
        <v>45407</v>
      </c>
      <c r="D7180" t="str">
        <f>TEST_DATA!D7180</f>
        <v>NIL</v>
      </c>
      <c r="E7180">
        <f>TEST_DATA!E7180</f>
        <v>2220</v>
      </c>
    </row>
    <row r="7181" spans="1:5" x14ac:dyDescent="0.55000000000000004">
      <c r="A7181" t="str">
        <f>TEST_DATA!A7181</f>
        <v>27AAAAA7181Z5</v>
      </c>
      <c r="B7181" t="str">
        <f>TEST_DATA!B7181</f>
        <v>Mar-2018</v>
      </c>
      <c r="C7181">
        <f>TEST_DATA!C7181</f>
        <v>43417</v>
      </c>
      <c r="D7181" t="str">
        <f>TEST_DATA!D7181</f>
        <v>NIL</v>
      </c>
      <c r="E7181">
        <f>TEST_DATA!E7181</f>
        <v>2631</v>
      </c>
    </row>
    <row r="7182" spans="1:5" x14ac:dyDescent="0.55000000000000004">
      <c r="A7182" t="str">
        <f>TEST_DATA!A7182</f>
        <v>27AAAAA7182Z5</v>
      </c>
      <c r="B7182" t="str">
        <f>TEST_DATA!B7182</f>
        <v>Oct-2017</v>
      </c>
      <c r="C7182">
        <f>TEST_DATA!C7182</f>
        <v>44071</v>
      </c>
      <c r="D7182" t="str">
        <f>TEST_DATA!D7182</f>
        <v>NIL</v>
      </c>
      <c r="E7182">
        <f>TEST_DATA!E7182</f>
        <v>671</v>
      </c>
    </row>
    <row r="7183" spans="1:5" x14ac:dyDescent="0.55000000000000004">
      <c r="A7183" t="str">
        <f>TEST_DATA!A7183</f>
        <v>27AAAAA7183Z5</v>
      </c>
      <c r="B7183" t="str">
        <f>TEST_DATA!B7183</f>
        <v>Jul-2017</v>
      </c>
      <c r="C7183">
        <f>TEST_DATA!C7183</f>
        <v>44152</v>
      </c>
      <c r="D7183" t="str">
        <f>TEST_DATA!D7183</f>
        <v>NON-NIL</v>
      </c>
      <c r="E7183">
        <f>TEST_DATA!E7183</f>
        <v>1771</v>
      </c>
    </row>
    <row r="7184" spans="1:5" x14ac:dyDescent="0.55000000000000004">
      <c r="A7184" t="str">
        <f>TEST_DATA!A7184</f>
        <v>27AAAAA7184Z5</v>
      </c>
      <c r="B7184" t="str">
        <f>TEST_DATA!B7184</f>
        <v>Jan-2019</v>
      </c>
      <c r="C7184">
        <f>TEST_DATA!C7184</f>
        <v>44456</v>
      </c>
      <c r="D7184" t="str">
        <f>TEST_DATA!D7184</f>
        <v>NIL</v>
      </c>
      <c r="E7184">
        <f>TEST_DATA!E7184</f>
        <v>776</v>
      </c>
    </row>
    <row r="7185" spans="1:5" x14ac:dyDescent="0.55000000000000004">
      <c r="A7185" t="str">
        <f>TEST_DATA!A7185</f>
        <v>27AAAAA7185Z5</v>
      </c>
      <c r="B7185" t="str">
        <f>TEST_DATA!B7185</f>
        <v>Mar-2023</v>
      </c>
      <c r="C7185">
        <f>TEST_DATA!C7185</f>
        <v>44054</v>
      </c>
      <c r="D7185" t="str">
        <f>TEST_DATA!D7185</f>
        <v>NON-NIL</v>
      </c>
      <c r="E7185">
        <f>TEST_DATA!E7185</f>
        <v>871</v>
      </c>
    </row>
    <row r="7186" spans="1:5" x14ac:dyDescent="0.55000000000000004">
      <c r="A7186" t="str">
        <f>TEST_DATA!A7186</f>
        <v>27AAAAA7186Z5</v>
      </c>
      <c r="B7186" t="str">
        <f>TEST_DATA!B7186</f>
        <v>Apr-2021</v>
      </c>
      <c r="C7186">
        <f>TEST_DATA!C7186</f>
        <v>44011</v>
      </c>
      <c r="D7186" t="str">
        <f>TEST_DATA!D7186</f>
        <v>NIL</v>
      </c>
      <c r="E7186">
        <f>TEST_DATA!E7186</f>
        <v>2316</v>
      </c>
    </row>
    <row r="7187" spans="1:5" x14ac:dyDescent="0.55000000000000004">
      <c r="A7187" t="str">
        <f>TEST_DATA!A7187</f>
        <v>27AAAAA7187Z5</v>
      </c>
      <c r="B7187" t="str">
        <f>TEST_DATA!B7187</f>
        <v>Mar-2023</v>
      </c>
      <c r="C7187">
        <f>TEST_DATA!C7187</f>
        <v>45124</v>
      </c>
      <c r="D7187" t="str">
        <f>TEST_DATA!D7187</f>
        <v>NON-NIL</v>
      </c>
      <c r="E7187">
        <f>TEST_DATA!E7187</f>
        <v>1061</v>
      </c>
    </row>
    <row r="7188" spans="1:5" x14ac:dyDescent="0.55000000000000004">
      <c r="A7188" t="str">
        <f>TEST_DATA!A7188</f>
        <v>27AAAAA7188Z5</v>
      </c>
      <c r="B7188" t="str">
        <f>TEST_DATA!B7188</f>
        <v>Aug-2017</v>
      </c>
      <c r="C7188">
        <f>TEST_DATA!C7188</f>
        <v>43298</v>
      </c>
      <c r="D7188" t="str">
        <f>TEST_DATA!D7188</f>
        <v>NIL</v>
      </c>
      <c r="E7188">
        <f>TEST_DATA!E7188</f>
        <v>1319</v>
      </c>
    </row>
    <row r="7189" spans="1:5" x14ac:dyDescent="0.55000000000000004">
      <c r="A7189" t="str">
        <f>TEST_DATA!A7189</f>
        <v>27AAAAA7189Z5</v>
      </c>
      <c r="B7189" t="str">
        <f>TEST_DATA!B7189</f>
        <v>Feb-2018</v>
      </c>
      <c r="C7189">
        <f>TEST_DATA!C7189</f>
        <v>44479</v>
      </c>
      <c r="D7189" t="str">
        <f>TEST_DATA!D7189</f>
        <v>NIL</v>
      </c>
      <c r="E7189">
        <f>TEST_DATA!E7189</f>
        <v>1617</v>
      </c>
    </row>
    <row r="7190" spans="1:5" x14ac:dyDescent="0.55000000000000004">
      <c r="A7190" t="str">
        <f>TEST_DATA!A7190</f>
        <v>27AAAAA7190Z5</v>
      </c>
      <c r="B7190" t="str">
        <f>TEST_DATA!B7190</f>
        <v>Apr-2021</v>
      </c>
      <c r="C7190">
        <f>TEST_DATA!C7190</f>
        <v>45350</v>
      </c>
      <c r="D7190" t="str">
        <f>TEST_DATA!D7190</f>
        <v>NON-NIL</v>
      </c>
      <c r="E7190">
        <f>TEST_DATA!E7190</f>
        <v>2528</v>
      </c>
    </row>
    <row r="7191" spans="1:5" x14ac:dyDescent="0.55000000000000004">
      <c r="A7191" t="str">
        <f>TEST_DATA!A7191</f>
        <v>27AAAAA7191Z5</v>
      </c>
      <c r="B7191" t="str">
        <f>TEST_DATA!B7191</f>
        <v>Mar-2023</v>
      </c>
      <c r="C7191">
        <f>TEST_DATA!C7191</f>
        <v>44231</v>
      </c>
      <c r="D7191" t="str">
        <f>TEST_DATA!D7191</f>
        <v>NON-NIL</v>
      </c>
      <c r="E7191">
        <f>TEST_DATA!E7191</f>
        <v>677</v>
      </c>
    </row>
    <row r="7192" spans="1:5" x14ac:dyDescent="0.55000000000000004">
      <c r="A7192" t="str">
        <f>TEST_DATA!A7192</f>
        <v>27AAAAA7192Z5</v>
      </c>
      <c r="B7192" t="str">
        <f>TEST_DATA!B7192</f>
        <v>Sep-2018</v>
      </c>
      <c r="C7192">
        <f>TEST_DATA!C7192</f>
        <v>43886</v>
      </c>
      <c r="D7192" t="str">
        <f>TEST_DATA!D7192</f>
        <v>NIL</v>
      </c>
      <c r="E7192">
        <f>TEST_DATA!E7192</f>
        <v>2547</v>
      </c>
    </row>
    <row r="7193" spans="1:5" x14ac:dyDescent="0.55000000000000004">
      <c r="A7193" t="str">
        <f>TEST_DATA!A7193</f>
        <v>27AAAAA7193Z5</v>
      </c>
      <c r="B7193" t="str">
        <f>TEST_DATA!B7193</f>
        <v>Jul-2020</v>
      </c>
      <c r="C7193">
        <f>TEST_DATA!C7193</f>
        <v>44157</v>
      </c>
      <c r="D7193" t="str">
        <f>TEST_DATA!D7193</f>
        <v>NIL</v>
      </c>
      <c r="E7193">
        <f>TEST_DATA!E7193</f>
        <v>2952</v>
      </c>
    </row>
    <row r="7194" spans="1:5" x14ac:dyDescent="0.55000000000000004">
      <c r="A7194" t="str">
        <f>TEST_DATA!A7194</f>
        <v>27AAAAA7194Z5</v>
      </c>
      <c r="B7194" t="str">
        <f>TEST_DATA!B7194</f>
        <v>Dec-2019</v>
      </c>
      <c r="C7194">
        <f>TEST_DATA!C7194</f>
        <v>44851</v>
      </c>
      <c r="D7194" t="str">
        <f>TEST_DATA!D7194</f>
        <v>NIL</v>
      </c>
      <c r="E7194">
        <f>TEST_DATA!E7194</f>
        <v>191</v>
      </c>
    </row>
    <row r="7195" spans="1:5" x14ac:dyDescent="0.55000000000000004">
      <c r="A7195" t="str">
        <f>TEST_DATA!A7195</f>
        <v>27AAAAA7195Z5</v>
      </c>
      <c r="B7195" t="str">
        <f>TEST_DATA!B7195</f>
        <v>Nov-2017</v>
      </c>
      <c r="C7195">
        <f>TEST_DATA!C7195</f>
        <v>43405</v>
      </c>
      <c r="D7195" t="str">
        <f>TEST_DATA!D7195</f>
        <v>NIL</v>
      </c>
      <c r="E7195">
        <f>TEST_DATA!E7195</f>
        <v>88</v>
      </c>
    </row>
    <row r="7196" spans="1:5" x14ac:dyDescent="0.55000000000000004">
      <c r="A7196" t="str">
        <f>TEST_DATA!A7196</f>
        <v>27AAAAA7196Z5</v>
      </c>
      <c r="B7196" t="str">
        <f>TEST_DATA!B7196</f>
        <v>Mar-2020</v>
      </c>
      <c r="C7196">
        <f>TEST_DATA!C7196</f>
        <v>44023</v>
      </c>
      <c r="D7196" t="str">
        <f>TEST_DATA!D7196</f>
        <v>NON-NIL</v>
      </c>
      <c r="E7196">
        <f>TEST_DATA!E7196</f>
        <v>2821</v>
      </c>
    </row>
    <row r="7197" spans="1:5" x14ac:dyDescent="0.55000000000000004">
      <c r="A7197" t="str">
        <f>TEST_DATA!A7197</f>
        <v>27AAAAA7197Z5</v>
      </c>
      <c r="B7197" t="str">
        <f>TEST_DATA!B7197</f>
        <v>Jul-2017</v>
      </c>
      <c r="C7197">
        <f>TEST_DATA!C7197</f>
        <v>43050</v>
      </c>
      <c r="D7197" t="str">
        <f>TEST_DATA!D7197</f>
        <v>NON-NIL</v>
      </c>
      <c r="E7197">
        <f>TEST_DATA!E7197</f>
        <v>2526</v>
      </c>
    </row>
    <row r="7198" spans="1:5" x14ac:dyDescent="0.55000000000000004">
      <c r="A7198" t="str">
        <f>TEST_DATA!A7198</f>
        <v>27AAAAA7198Z5</v>
      </c>
      <c r="B7198" t="str">
        <f>TEST_DATA!B7198</f>
        <v>Jan-2018</v>
      </c>
      <c r="C7198">
        <f>TEST_DATA!C7198</f>
        <v>43383</v>
      </c>
      <c r="D7198" t="str">
        <f>TEST_DATA!D7198</f>
        <v>NIL</v>
      </c>
      <c r="E7198">
        <f>TEST_DATA!E7198</f>
        <v>2114</v>
      </c>
    </row>
    <row r="7199" spans="1:5" x14ac:dyDescent="0.55000000000000004">
      <c r="A7199" t="str">
        <f>TEST_DATA!A7199</f>
        <v>27AAAAA7199Z5</v>
      </c>
      <c r="B7199" t="str">
        <f>TEST_DATA!B7199</f>
        <v>Mar-2018</v>
      </c>
      <c r="C7199">
        <f>TEST_DATA!C7199</f>
        <v>43517</v>
      </c>
      <c r="D7199" t="str">
        <f>TEST_DATA!D7199</f>
        <v>NIL</v>
      </c>
      <c r="E7199">
        <f>TEST_DATA!E7199</f>
        <v>870</v>
      </c>
    </row>
    <row r="7200" spans="1:5" x14ac:dyDescent="0.55000000000000004">
      <c r="A7200" t="str">
        <f>TEST_DATA!A7200</f>
        <v>27AAAAA7200Z5</v>
      </c>
      <c r="B7200" t="str">
        <f>TEST_DATA!B7200</f>
        <v>Apr-2018</v>
      </c>
      <c r="C7200">
        <f>TEST_DATA!C7200</f>
        <v>43930</v>
      </c>
      <c r="D7200" t="str">
        <f>TEST_DATA!D7200</f>
        <v>NIL</v>
      </c>
      <c r="E7200">
        <f>TEST_DATA!E7200</f>
        <v>2476</v>
      </c>
    </row>
    <row r="7201" spans="1:5" x14ac:dyDescent="0.55000000000000004">
      <c r="A7201" t="str">
        <f>TEST_DATA!A7201</f>
        <v>27AAAAA7201Z5</v>
      </c>
      <c r="B7201" t="str">
        <f>TEST_DATA!B7201</f>
        <v>Mar-2020</v>
      </c>
      <c r="C7201">
        <f>TEST_DATA!C7201</f>
        <v>44906</v>
      </c>
      <c r="D7201" t="str">
        <f>TEST_DATA!D7201</f>
        <v>NIL</v>
      </c>
      <c r="E7201">
        <f>TEST_DATA!E7201</f>
        <v>2490</v>
      </c>
    </row>
    <row r="7202" spans="1:5" x14ac:dyDescent="0.55000000000000004">
      <c r="A7202" t="str">
        <f>TEST_DATA!A7202</f>
        <v>27AAAAA7202Z5</v>
      </c>
      <c r="B7202" t="str">
        <f>TEST_DATA!B7202</f>
        <v>Jul-2017</v>
      </c>
      <c r="C7202">
        <f>TEST_DATA!C7202</f>
        <v>44554</v>
      </c>
      <c r="D7202" t="str">
        <f>TEST_DATA!D7202</f>
        <v>NON-NIL</v>
      </c>
      <c r="E7202">
        <f>TEST_DATA!E7202</f>
        <v>1357</v>
      </c>
    </row>
    <row r="7203" spans="1:5" x14ac:dyDescent="0.55000000000000004">
      <c r="A7203" t="str">
        <f>TEST_DATA!A7203</f>
        <v>27AAAAA7203Z5</v>
      </c>
      <c r="B7203" t="str">
        <f>TEST_DATA!B7203</f>
        <v>Dec-2022</v>
      </c>
      <c r="C7203">
        <f>TEST_DATA!C7203</f>
        <v>44781</v>
      </c>
      <c r="D7203" t="str">
        <f>TEST_DATA!D7203</f>
        <v>NIL</v>
      </c>
      <c r="E7203">
        <f>TEST_DATA!E7203</f>
        <v>1344</v>
      </c>
    </row>
    <row r="7204" spans="1:5" x14ac:dyDescent="0.55000000000000004">
      <c r="A7204" t="str">
        <f>TEST_DATA!A7204</f>
        <v>27AAAAA7204Z5</v>
      </c>
      <c r="B7204" t="str">
        <f>TEST_DATA!B7204</f>
        <v>Dec-2022</v>
      </c>
      <c r="C7204">
        <f>TEST_DATA!C7204</f>
        <v>44566</v>
      </c>
      <c r="D7204" t="str">
        <f>TEST_DATA!D7204</f>
        <v>NON-NIL</v>
      </c>
      <c r="E7204">
        <f>TEST_DATA!E7204</f>
        <v>519</v>
      </c>
    </row>
    <row r="7205" spans="1:5" x14ac:dyDescent="0.55000000000000004">
      <c r="A7205" t="str">
        <f>TEST_DATA!A7205</f>
        <v>27AAAAA7205Z5</v>
      </c>
      <c r="B7205" t="str">
        <f>TEST_DATA!B7205</f>
        <v>Dec-2024</v>
      </c>
      <c r="C7205">
        <f>TEST_DATA!C7205</f>
        <v>45059</v>
      </c>
      <c r="D7205" t="str">
        <f>TEST_DATA!D7205</f>
        <v>NIL</v>
      </c>
      <c r="E7205">
        <f>TEST_DATA!E7205</f>
        <v>1812</v>
      </c>
    </row>
    <row r="7206" spans="1:5" x14ac:dyDescent="0.55000000000000004">
      <c r="A7206" t="str">
        <f>TEST_DATA!A7206</f>
        <v>27AAAAA7206Z5</v>
      </c>
      <c r="B7206" t="str">
        <f>TEST_DATA!B7206</f>
        <v>May-2018</v>
      </c>
      <c r="C7206">
        <f>TEST_DATA!C7206</f>
        <v>43810</v>
      </c>
      <c r="D7206" t="str">
        <f>TEST_DATA!D7206</f>
        <v>NIL</v>
      </c>
      <c r="E7206">
        <f>TEST_DATA!E7206</f>
        <v>826</v>
      </c>
    </row>
    <row r="7207" spans="1:5" x14ac:dyDescent="0.55000000000000004">
      <c r="A7207" t="str">
        <f>TEST_DATA!A7207</f>
        <v>27AAAAA7207Z5</v>
      </c>
      <c r="B7207" t="str">
        <f>TEST_DATA!B7207</f>
        <v>Dec-2019</v>
      </c>
      <c r="C7207">
        <f>TEST_DATA!C7207</f>
        <v>44371</v>
      </c>
      <c r="D7207" t="str">
        <f>TEST_DATA!D7207</f>
        <v>NIL</v>
      </c>
      <c r="E7207">
        <f>TEST_DATA!E7207</f>
        <v>120</v>
      </c>
    </row>
    <row r="7208" spans="1:5" x14ac:dyDescent="0.55000000000000004">
      <c r="A7208" t="str">
        <f>TEST_DATA!A7208</f>
        <v>27AAAAA7208Z5</v>
      </c>
      <c r="B7208" t="str">
        <f>TEST_DATA!B7208</f>
        <v>Jul-2017</v>
      </c>
      <c r="C7208">
        <f>TEST_DATA!C7208</f>
        <v>44384</v>
      </c>
      <c r="D7208" t="str">
        <f>TEST_DATA!D7208</f>
        <v>NON-NIL</v>
      </c>
      <c r="E7208">
        <f>TEST_DATA!E7208</f>
        <v>1164</v>
      </c>
    </row>
    <row r="7209" spans="1:5" x14ac:dyDescent="0.55000000000000004">
      <c r="A7209" t="str">
        <f>TEST_DATA!A7209</f>
        <v>27AAAAA7209Z5</v>
      </c>
      <c r="B7209" t="str">
        <f>TEST_DATA!B7209</f>
        <v>Feb-2018</v>
      </c>
      <c r="C7209">
        <f>TEST_DATA!C7209</f>
        <v>43354</v>
      </c>
      <c r="D7209" t="str">
        <f>TEST_DATA!D7209</f>
        <v>NIL</v>
      </c>
      <c r="E7209">
        <f>TEST_DATA!E7209</f>
        <v>754</v>
      </c>
    </row>
    <row r="7210" spans="1:5" x14ac:dyDescent="0.55000000000000004">
      <c r="A7210" t="str">
        <f>TEST_DATA!A7210</f>
        <v>27AAAAA7210Z5</v>
      </c>
      <c r="B7210" t="str">
        <f>TEST_DATA!B7210</f>
        <v>Mar-2021</v>
      </c>
      <c r="C7210">
        <f>TEST_DATA!C7210</f>
        <v>45237</v>
      </c>
      <c r="D7210" t="str">
        <f>TEST_DATA!D7210</f>
        <v>NIL</v>
      </c>
      <c r="E7210">
        <f>TEST_DATA!E7210</f>
        <v>525</v>
      </c>
    </row>
    <row r="7211" spans="1:5" x14ac:dyDescent="0.55000000000000004">
      <c r="A7211" t="str">
        <f>TEST_DATA!A7211</f>
        <v>27AAAAA7211Z5</v>
      </c>
      <c r="B7211" t="str">
        <f>TEST_DATA!B7211</f>
        <v>Jan-2019</v>
      </c>
      <c r="C7211">
        <f>TEST_DATA!C7211</f>
        <v>45306</v>
      </c>
      <c r="D7211" t="str">
        <f>TEST_DATA!D7211</f>
        <v>NON-NIL</v>
      </c>
      <c r="E7211">
        <f>TEST_DATA!E7211</f>
        <v>1912</v>
      </c>
    </row>
    <row r="7212" spans="1:5" x14ac:dyDescent="0.55000000000000004">
      <c r="A7212" t="str">
        <f>TEST_DATA!A7212</f>
        <v>27AAAAA7212Z5</v>
      </c>
      <c r="B7212" t="str">
        <f>TEST_DATA!B7212</f>
        <v>Jan-2018</v>
      </c>
      <c r="C7212">
        <f>TEST_DATA!C7212</f>
        <v>43334</v>
      </c>
      <c r="D7212" t="str">
        <f>TEST_DATA!D7212</f>
        <v>NIL</v>
      </c>
      <c r="E7212">
        <f>TEST_DATA!E7212</f>
        <v>1696</v>
      </c>
    </row>
    <row r="7213" spans="1:5" x14ac:dyDescent="0.55000000000000004">
      <c r="A7213" t="str">
        <f>TEST_DATA!A7213</f>
        <v>27AAAAA7213Z5</v>
      </c>
      <c r="B7213" t="str">
        <f>TEST_DATA!B7213</f>
        <v>Dec-2024</v>
      </c>
      <c r="C7213">
        <f>TEST_DATA!C7213</f>
        <v>45539</v>
      </c>
      <c r="D7213" t="str">
        <f>TEST_DATA!D7213</f>
        <v>NIL</v>
      </c>
      <c r="E7213">
        <f>TEST_DATA!E7213</f>
        <v>1631</v>
      </c>
    </row>
    <row r="7214" spans="1:5" x14ac:dyDescent="0.55000000000000004">
      <c r="A7214" t="str">
        <f>TEST_DATA!A7214</f>
        <v>27AAAAA7214Z5</v>
      </c>
      <c r="B7214" t="str">
        <f>TEST_DATA!B7214</f>
        <v>Jul-2018</v>
      </c>
      <c r="C7214">
        <f>TEST_DATA!C7214</f>
        <v>43528</v>
      </c>
      <c r="D7214" t="str">
        <f>TEST_DATA!D7214</f>
        <v>NON-NIL</v>
      </c>
      <c r="E7214">
        <f>TEST_DATA!E7214</f>
        <v>115</v>
      </c>
    </row>
    <row r="7215" spans="1:5" x14ac:dyDescent="0.55000000000000004">
      <c r="A7215" t="str">
        <f>TEST_DATA!A7215</f>
        <v>27AAAAA7215Z5</v>
      </c>
      <c r="B7215" t="str">
        <f>TEST_DATA!B7215</f>
        <v>Apr-2021</v>
      </c>
      <c r="C7215">
        <f>TEST_DATA!C7215</f>
        <v>45280</v>
      </c>
      <c r="D7215" t="str">
        <f>TEST_DATA!D7215</f>
        <v>NIL</v>
      </c>
      <c r="E7215">
        <f>TEST_DATA!E7215</f>
        <v>849</v>
      </c>
    </row>
    <row r="7216" spans="1:5" x14ac:dyDescent="0.55000000000000004">
      <c r="A7216" t="str">
        <f>TEST_DATA!A7216</f>
        <v>27AAAAA7216Z5</v>
      </c>
      <c r="B7216" t="str">
        <f>TEST_DATA!B7216</f>
        <v>Dec-2019</v>
      </c>
      <c r="C7216">
        <f>TEST_DATA!C7216</f>
        <v>44946</v>
      </c>
      <c r="D7216" t="str">
        <f>TEST_DATA!D7216</f>
        <v>NIL</v>
      </c>
      <c r="E7216">
        <f>TEST_DATA!E7216</f>
        <v>975</v>
      </c>
    </row>
    <row r="7217" spans="1:5" x14ac:dyDescent="0.55000000000000004">
      <c r="A7217" t="str">
        <f>TEST_DATA!A7217</f>
        <v>27AAAAA7217Z5</v>
      </c>
      <c r="B7217" t="str">
        <f>TEST_DATA!B7217</f>
        <v>Jul-2018</v>
      </c>
      <c r="C7217">
        <f>TEST_DATA!C7217</f>
        <v>44550</v>
      </c>
      <c r="D7217" t="str">
        <f>TEST_DATA!D7217</f>
        <v>NIL</v>
      </c>
      <c r="E7217">
        <f>TEST_DATA!E7217</f>
        <v>1372</v>
      </c>
    </row>
    <row r="7218" spans="1:5" x14ac:dyDescent="0.55000000000000004">
      <c r="A7218" t="str">
        <f>TEST_DATA!A7218</f>
        <v>27AAAAA7218Z5</v>
      </c>
      <c r="B7218" t="str">
        <f>TEST_DATA!B7218</f>
        <v>Apr-2020</v>
      </c>
      <c r="C7218">
        <f>TEST_DATA!C7218</f>
        <v>44472</v>
      </c>
      <c r="D7218" t="str">
        <f>TEST_DATA!D7218</f>
        <v>NIL</v>
      </c>
      <c r="E7218">
        <f>TEST_DATA!E7218</f>
        <v>2555</v>
      </c>
    </row>
    <row r="7219" spans="1:5" x14ac:dyDescent="0.55000000000000004">
      <c r="A7219" t="str">
        <f>TEST_DATA!A7219</f>
        <v>27AAAAA7219Z5</v>
      </c>
      <c r="B7219" t="str">
        <f>TEST_DATA!B7219</f>
        <v>Jun-2019</v>
      </c>
      <c r="C7219">
        <f>TEST_DATA!C7219</f>
        <v>44712</v>
      </c>
      <c r="D7219" t="str">
        <f>TEST_DATA!D7219</f>
        <v>NIL</v>
      </c>
      <c r="E7219">
        <f>TEST_DATA!E7219</f>
        <v>2581</v>
      </c>
    </row>
    <row r="7220" spans="1:5" x14ac:dyDescent="0.55000000000000004">
      <c r="A7220" t="str">
        <f>TEST_DATA!A7220</f>
        <v>27AAAAA7220Z5</v>
      </c>
      <c r="B7220" t="str">
        <f>TEST_DATA!B7220</f>
        <v>Apr-2018</v>
      </c>
      <c r="C7220">
        <f>TEST_DATA!C7220</f>
        <v>43090</v>
      </c>
      <c r="D7220" t="str">
        <f>TEST_DATA!D7220</f>
        <v>NIL</v>
      </c>
      <c r="E7220">
        <f>TEST_DATA!E7220</f>
        <v>2622</v>
      </c>
    </row>
    <row r="7221" spans="1:5" x14ac:dyDescent="0.55000000000000004">
      <c r="A7221" t="str">
        <f>TEST_DATA!A7221</f>
        <v>27AAAAA7221Z5</v>
      </c>
      <c r="B7221" t="str">
        <f>TEST_DATA!B7221</f>
        <v>Jan-2019</v>
      </c>
      <c r="C7221">
        <f>TEST_DATA!C7221</f>
        <v>44684</v>
      </c>
      <c r="D7221" t="str">
        <f>TEST_DATA!D7221</f>
        <v>NIL</v>
      </c>
      <c r="E7221">
        <f>TEST_DATA!E7221</f>
        <v>541</v>
      </c>
    </row>
    <row r="7222" spans="1:5" x14ac:dyDescent="0.55000000000000004">
      <c r="A7222" t="str">
        <f>TEST_DATA!A7222</f>
        <v>27AAAAA7222Z5</v>
      </c>
      <c r="B7222" t="str">
        <f>TEST_DATA!B7222</f>
        <v>Dec-2024</v>
      </c>
      <c r="C7222">
        <f>TEST_DATA!C7222</f>
        <v>45497</v>
      </c>
      <c r="D7222" t="str">
        <f>TEST_DATA!D7222</f>
        <v>NON-NIL</v>
      </c>
      <c r="E7222">
        <f>TEST_DATA!E7222</f>
        <v>75</v>
      </c>
    </row>
    <row r="7223" spans="1:5" x14ac:dyDescent="0.55000000000000004">
      <c r="A7223" t="str">
        <f>TEST_DATA!A7223</f>
        <v>27AAAAA7223Z5</v>
      </c>
      <c r="B7223" t="str">
        <f>TEST_DATA!B7223</f>
        <v>Jun-2020</v>
      </c>
      <c r="C7223">
        <f>TEST_DATA!C7223</f>
        <v>44720</v>
      </c>
      <c r="D7223" t="str">
        <f>TEST_DATA!D7223</f>
        <v>NON-NIL</v>
      </c>
      <c r="E7223">
        <f>TEST_DATA!E7223</f>
        <v>1502</v>
      </c>
    </row>
    <row r="7224" spans="1:5" x14ac:dyDescent="0.55000000000000004">
      <c r="A7224" t="str">
        <f>TEST_DATA!A7224</f>
        <v>27AAAAA7224Z5</v>
      </c>
      <c r="B7224" t="str">
        <f>TEST_DATA!B7224</f>
        <v>Jun-2019</v>
      </c>
      <c r="C7224">
        <f>TEST_DATA!C7224</f>
        <v>44150</v>
      </c>
      <c r="D7224" t="str">
        <f>TEST_DATA!D7224</f>
        <v>NON-NIL</v>
      </c>
      <c r="E7224">
        <f>TEST_DATA!E7224</f>
        <v>1857</v>
      </c>
    </row>
    <row r="7225" spans="1:5" x14ac:dyDescent="0.55000000000000004">
      <c r="A7225" t="str">
        <f>TEST_DATA!A7225</f>
        <v>27AAAAA7225Z5</v>
      </c>
      <c r="B7225" t="str">
        <f>TEST_DATA!B7225</f>
        <v>Aug-2018</v>
      </c>
      <c r="C7225">
        <f>TEST_DATA!C7225</f>
        <v>43199</v>
      </c>
      <c r="D7225" t="str">
        <f>TEST_DATA!D7225</f>
        <v>NON-NIL</v>
      </c>
      <c r="E7225">
        <f>TEST_DATA!E7225</f>
        <v>2331</v>
      </c>
    </row>
    <row r="7226" spans="1:5" x14ac:dyDescent="0.55000000000000004">
      <c r="A7226" t="str">
        <f>TEST_DATA!A7226</f>
        <v>27AAAAA7226Z5</v>
      </c>
      <c r="B7226" t="str">
        <f>TEST_DATA!B7226</f>
        <v>Jul-2017</v>
      </c>
      <c r="C7226">
        <f>TEST_DATA!C7226</f>
        <v>43797</v>
      </c>
      <c r="D7226" t="str">
        <f>TEST_DATA!D7226</f>
        <v>NIL</v>
      </c>
      <c r="E7226">
        <f>TEST_DATA!E7226</f>
        <v>56</v>
      </c>
    </row>
    <row r="7227" spans="1:5" x14ac:dyDescent="0.55000000000000004">
      <c r="A7227" t="str">
        <f>TEST_DATA!A7227</f>
        <v>27AAAAA7227Z5</v>
      </c>
      <c r="B7227" t="str">
        <f>TEST_DATA!B7227</f>
        <v>Dec-2022</v>
      </c>
      <c r="C7227">
        <f>TEST_DATA!C7227</f>
        <v>43629</v>
      </c>
      <c r="D7227" t="str">
        <f>TEST_DATA!D7227</f>
        <v>NIL</v>
      </c>
      <c r="E7227">
        <f>TEST_DATA!E7227</f>
        <v>2894</v>
      </c>
    </row>
    <row r="7228" spans="1:5" x14ac:dyDescent="0.55000000000000004">
      <c r="A7228" t="str">
        <f>TEST_DATA!A7228</f>
        <v>27AAAAA7228Z5</v>
      </c>
      <c r="B7228" t="str">
        <f>TEST_DATA!B7228</f>
        <v>Jul-2018</v>
      </c>
      <c r="C7228">
        <f>TEST_DATA!C7228</f>
        <v>43307</v>
      </c>
      <c r="D7228" t="str">
        <f>TEST_DATA!D7228</f>
        <v>NON-NIL</v>
      </c>
      <c r="E7228">
        <f>TEST_DATA!E7228</f>
        <v>2598</v>
      </c>
    </row>
    <row r="7229" spans="1:5" x14ac:dyDescent="0.55000000000000004">
      <c r="A7229" t="str">
        <f>TEST_DATA!A7229</f>
        <v>27AAAAA7229Z5</v>
      </c>
      <c r="B7229" t="str">
        <f>TEST_DATA!B7229</f>
        <v>Mar-2023</v>
      </c>
      <c r="C7229">
        <f>TEST_DATA!C7229</f>
        <v>45118</v>
      </c>
      <c r="D7229" t="str">
        <f>TEST_DATA!D7229</f>
        <v>NON-NIL</v>
      </c>
      <c r="E7229">
        <f>TEST_DATA!E7229</f>
        <v>1686</v>
      </c>
    </row>
    <row r="7230" spans="1:5" x14ac:dyDescent="0.55000000000000004">
      <c r="A7230" t="str">
        <f>TEST_DATA!A7230</f>
        <v>27AAAAA7230Z5</v>
      </c>
      <c r="B7230" t="str">
        <f>TEST_DATA!B7230</f>
        <v>Jan-2021</v>
      </c>
      <c r="C7230">
        <f>TEST_DATA!C7230</f>
        <v>43756</v>
      </c>
      <c r="D7230" t="str">
        <f>TEST_DATA!D7230</f>
        <v>NON-NIL</v>
      </c>
      <c r="E7230">
        <f>TEST_DATA!E7230</f>
        <v>2349</v>
      </c>
    </row>
    <row r="7231" spans="1:5" x14ac:dyDescent="0.55000000000000004">
      <c r="A7231" t="str">
        <f>TEST_DATA!A7231</f>
        <v>27AAAAA7231Z5</v>
      </c>
      <c r="B7231" t="str">
        <f>TEST_DATA!B7231</f>
        <v>Sep-2018</v>
      </c>
      <c r="C7231">
        <f>TEST_DATA!C7231</f>
        <v>43464</v>
      </c>
      <c r="D7231" t="str">
        <f>TEST_DATA!D7231</f>
        <v>NON-NIL</v>
      </c>
      <c r="E7231">
        <f>TEST_DATA!E7231</f>
        <v>2437</v>
      </c>
    </row>
    <row r="7232" spans="1:5" x14ac:dyDescent="0.55000000000000004">
      <c r="A7232" t="str">
        <f>TEST_DATA!A7232</f>
        <v>27AAAAA7232Z5</v>
      </c>
      <c r="B7232" t="str">
        <f>TEST_DATA!B7232</f>
        <v>Jan-2019</v>
      </c>
      <c r="C7232">
        <f>TEST_DATA!C7232</f>
        <v>44321</v>
      </c>
      <c r="D7232" t="str">
        <f>TEST_DATA!D7232</f>
        <v>NIL</v>
      </c>
      <c r="E7232">
        <f>TEST_DATA!E7232</f>
        <v>2141</v>
      </c>
    </row>
    <row r="7233" spans="1:5" x14ac:dyDescent="0.55000000000000004">
      <c r="A7233" t="str">
        <f>TEST_DATA!A7233</f>
        <v>27AAAAA7233Z5</v>
      </c>
      <c r="B7233" t="str">
        <f>TEST_DATA!B7233</f>
        <v>Jan-2018</v>
      </c>
      <c r="C7233">
        <f>TEST_DATA!C7233</f>
        <v>44119</v>
      </c>
      <c r="D7233" t="str">
        <f>TEST_DATA!D7233</f>
        <v>NON-NIL</v>
      </c>
      <c r="E7233">
        <f>TEST_DATA!E7233</f>
        <v>2352</v>
      </c>
    </row>
    <row r="7234" spans="1:5" x14ac:dyDescent="0.55000000000000004">
      <c r="A7234" t="str">
        <f>TEST_DATA!A7234</f>
        <v>27AAAAA7234Z5</v>
      </c>
      <c r="B7234" t="str">
        <f>TEST_DATA!B7234</f>
        <v>Dec-2022</v>
      </c>
      <c r="C7234">
        <f>TEST_DATA!C7234</f>
        <v>45684</v>
      </c>
      <c r="D7234" t="str">
        <f>TEST_DATA!D7234</f>
        <v>NON-NIL</v>
      </c>
      <c r="E7234">
        <f>TEST_DATA!E7234</f>
        <v>2450</v>
      </c>
    </row>
    <row r="7235" spans="1:5" x14ac:dyDescent="0.55000000000000004">
      <c r="A7235" t="str">
        <f>TEST_DATA!A7235</f>
        <v>27AAAAA7235Z5</v>
      </c>
      <c r="B7235" t="str">
        <f>TEST_DATA!B7235</f>
        <v>Apr-2021</v>
      </c>
      <c r="C7235">
        <f>TEST_DATA!C7235</f>
        <v>43782</v>
      </c>
      <c r="D7235" t="str">
        <f>TEST_DATA!D7235</f>
        <v>NON-NIL</v>
      </c>
      <c r="E7235">
        <f>TEST_DATA!E7235</f>
        <v>2452</v>
      </c>
    </row>
    <row r="7236" spans="1:5" x14ac:dyDescent="0.55000000000000004">
      <c r="A7236" t="str">
        <f>TEST_DATA!A7236</f>
        <v>27AAAAA7236Z5</v>
      </c>
      <c r="B7236" t="str">
        <f>TEST_DATA!B7236</f>
        <v>Jul-2020</v>
      </c>
      <c r="C7236">
        <f>TEST_DATA!C7236</f>
        <v>44867</v>
      </c>
      <c r="D7236" t="str">
        <f>TEST_DATA!D7236</f>
        <v>NON-NIL</v>
      </c>
      <c r="E7236">
        <f>TEST_DATA!E7236</f>
        <v>140</v>
      </c>
    </row>
    <row r="7237" spans="1:5" x14ac:dyDescent="0.55000000000000004">
      <c r="A7237" t="str">
        <f>TEST_DATA!A7237</f>
        <v>27AAAAA7237Z5</v>
      </c>
      <c r="B7237" t="str">
        <f>TEST_DATA!B7237</f>
        <v>Mar-2020</v>
      </c>
      <c r="C7237">
        <f>TEST_DATA!C7237</f>
        <v>44476</v>
      </c>
      <c r="D7237" t="str">
        <f>TEST_DATA!D7237</f>
        <v>NON-NIL</v>
      </c>
      <c r="E7237">
        <f>TEST_DATA!E7237</f>
        <v>58</v>
      </c>
    </row>
    <row r="7238" spans="1:5" x14ac:dyDescent="0.55000000000000004">
      <c r="A7238" t="str">
        <f>TEST_DATA!A7238</f>
        <v>27AAAAA7238Z5</v>
      </c>
      <c r="B7238" t="str">
        <f>TEST_DATA!B7238</f>
        <v>Mar-2023</v>
      </c>
      <c r="C7238">
        <f>TEST_DATA!C7238</f>
        <v>44621</v>
      </c>
      <c r="D7238" t="str">
        <f>TEST_DATA!D7238</f>
        <v>NIL</v>
      </c>
      <c r="E7238">
        <f>TEST_DATA!E7238</f>
        <v>585</v>
      </c>
    </row>
    <row r="7239" spans="1:5" x14ac:dyDescent="0.55000000000000004">
      <c r="A7239" t="str">
        <f>TEST_DATA!A7239</f>
        <v>27AAAAA7239Z5</v>
      </c>
      <c r="B7239" t="str">
        <f>TEST_DATA!B7239</f>
        <v>Dec-2022</v>
      </c>
      <c r="C7239">
        <f>TEST_DATA!C7239</f>
        <v>45173</v>
      </c>
      <c r="D7239" t="str">
        <f>TEST_DATA!D7239</f>
        <v>NON-NIL</v>
      </c>
      <c r="E7239">
        <f>TEST_DATA!E7239</f>
        <v>1214</v>
      </c>
    </row>
    <row r="7240" spans="1:5" x14ac:dyDescent="0.55000000000000004">
      <c r="A7240" t="str">
        <f>TEST_DATA!A7240</f>
        <v>27AAAAA7240Z5</v>
      </c>
      <c r="B7240" t="str">
        <f>TEST_DATA!B7240</f>
        <v>Jan-2018</v>
      </c>
      <c r="C7240">
        <f>TEST_DATA!C7240</f>
        <v>43178</v>
      </c>
      <c r="D7240" t="str">
        <f>TEST_DATA!D7240</f>
        <v>NIL</v>
      </c>
      <c r="E7240">
        <f>TEST_DATA!E7240</f>
        <v>911</v>
      </c>
    </row>
    <row r="7241" spans="1:5" x14ac:dyDescent="0.55000000000000004">
      <c r="A7241" t="str">
        <f>TEST_DATA!A7241</f>
        <v>27AAAAA7241Z5</v>
      </c>
      <c r="B7241" t="str">
        <f>TEST_DATA!B7241</f>
        <v>Mar-2020</v>
      </c>
      <c r="C7241">
        <f>TEST_DATA!C7241</f>
        <v>44357</v>
      </c>
      <c r="D7241" t="str">
        <f>TEST_DATA!D7241</f>
        <v>NON-NIL</v>
      </c>
      <c r="E7241">
        <f>TEST_DATA!E7241</f>
        <v>415</v>
      </c>
    </row>
    <row r="7242" spans="1:5" x14ac:dyDescent="0.55000000000000004">
      <c r="A7242" t="str">
        <f>TEST_DATA!A7242</f>
        <v>27AAAAA7242Z5</v>
      </c>
      <c r="B7242" t="str">
        <f>TEST_DATA!B7242</f>
        <v>Nov-2017</v>
      </c>
      <c r="C7242">
        <f>TEST_DATA!C7242</f>
        <v>43123</v>
      </c>
      <c r="D7242" t="str">
        <f>TEST_DATA!D7242</f>
        <v>NIL</v>
      </c>
      <c r="E7242">
        <f>TEST_DATA!E7242</f>
        <v>2943</v>
      </c>
    </row>
    <row r="7243" spans="1:5" x14ac:dyDescent="0.55000000000000004">
      <c r="A7243" t="str">
        <f>TEST_DATA!A7243</f>
        <v>27AAAAA7243Z5</v>
      </c>
      <c r="B7243" t="str">
        <f>TEST_DATA!B7243</f>
        <v>Dec-2019</v>
      </c>
      <c r="C7243">
        <f>TEST_DATA!C7243</f>
        <v>45651</v>
      </c>
      <c r="D7243" t="str">
        <f>TEST_DATA!D7243</f>
        <v>NIL</v>
      </c>
      <c r="E7243">
        <f>TEST_DATA!E7243</f>
        <v>2705</v>
      </c>
    </row>
    <row r="7244" spans="1:5" x14ac:dyDescent="0.55000000000000004">
      <c r="A7244" t="str">
        <f>TEST_DATA!A7244</f>
        <v>27AAAAA7244Z5</v>
      </c>
      <c r="B7244" t="str">
        <f>TEST_DATA!B7244</f>
        <v>Mar-2023</v>
      </c>
      <c r="C7244">
        <f>TEST_DATA!C7244</f>
        <v>43893</v>
      </c>
      <c r="D7244" t="str">
        <f>TEST_DATA!D7244</f>
        <v>NON-NIL</v>
      </c>
      <c r="E7244">
        <f>TEST_DATA!E7244</f>
        <v>2522</v>
      </c>
    </row>
    <row r="7245" spans="1:5" x14ac:dyDescent="0.55000000000000004">
      <c r="A7245" t="str">
        <f>TEST_DATA!A7245</f>
        <v>27AAAAA7245Z5</v>
      </c>
      <c r="B7245" t="str">
        <f>TEST_DATA!B7245</f>
        <v>Apr-2018</v>
      </c>
      <c r="C7245">
        <f>TEST_DATA!C7245</f>
        <v>44068</v>
      </c>
      <c r="D7245" t="str">
        <f>TEST_DATA!D7245</f>
        <v>NON-NIL</v>
      </c>
      <c r="E7245">
        <f>TEST_DATA!E7245</f>
        <v>933</v>
      </c>
    </row>
    <row r="7246" spans="1:5" x14ac:dyDescent="0.55000000000000004">
      <c r="A7246" t="str">
        <f>TEST_DATA!A7246</f>
        <v>27AAAAA7246Z5</v>
      </c>
      <c r="B7246" t="str">
        <f>TEST_DATA!B7246</f>
        <v>Mar-2018</v>
      </c>
      <c r="C7246">
        <f>TEST_DATA!C7246</f>
        <v>42950</v>
      </c>
      <c r="D7246" t="str">
        <f>TEST_DATA!D7246</f>
        <v>NIL</v>
      </c>
      <c r="E7246">
        <f>TEST_DATA!E7246</f>
        <v>2866</v>
      </c>
    </row>
    <row r="7247" spans="1:5" x14ac:dyDescent="0.55000000000000004">
      <c r="A7247" t="str">
        <f>TEST_DATA!A7247</f>
        <v>27AAAAA7247Z5</v>
      </c>
      <c r="B7247" t="str">
        <f>TEST_DATA!B7247</f>
        <v>Sep-2017</v>
      </c>
      <c r="C7247">
        <f>TEST_DATA!C7247</f>
        <v>43290</v>
      </c>
      <c r="D7247" t="str">
        <f>TEST_DATA!D7247</f>
        <v>NON-NIL</v>
      </c>
      <c r="E7247">
        <f>TEST_DATA!E7247</f>
        <v>1789</v>
      </c>
    </row>
    <row r="7248" spans="1:5" x14ac:dyDescent="0.55000000000000004">
      <c r="A7248" t="str">
        <f>TEST_DATA!A7248</f>
        <v>27AAAAA7248Z5</v>
      </c>
      <c r="B7248" t="str">
        <f>TEST_DATA!B7248</f>
        <v>Jan-2021</v>
      </c>
      <c r="C7248">
        <f>TEST_DATA!C7248</f>
        <v>44135</v>
      </c>
      <c r="D7248" t="str">
        <f>TEST_DATA!D7248</f>
        <v>NIL</v>
      </c>
      <c r="E7248">
        <f>TEST_DATA!E7248</f>
        <v>790</v>
      </c>
    </row>
    <row r="7249" spans="1:5" x14ac:dyDescent="0.55000000000000004">
      <c r="A7249" t="str">
        <f>TEST_DATA!A7249</f>
        <v>27AAAAA7249Z5</v>
      </c>
      <c r="B7249" t="str">
        <f>TEST_DATA!B7249</f>
        <v>Dec-2022</v>
      </c>
      <c r="C7249">
        <f>TEST_DATA!C7249</f>
        <v>45641</v>
      </c>
      <c r="D7249" t="str">
        <f>TEST_DATA!D7249</f>
        <v>NON-NIL</v>
      </c>
      <c r="E7249">
        <f>TEST_DATA!E7249</f>
        <v>2038</v>
      </c>
    </row>
    <row r="7250" spans="1:5" x14ac:dyDescent="0.55000000000000004">
      <c r="A7250" t="str">
        <f>TEST_DATA!A7250</f>
        <v>27AAAAA7250Z5</v>
      </c>
      <c r="B7250" t="str">
        <f>TEST_DATA!B7250</f>
        <v>Apr-2018</v>
      </c>
      <c r="C7250">
        <f>TEST_DATA!C7250</f>
        <v>43270</v>
      </c>
      <c r="D7250" t="str">
        <f>TEST_DATA!D7250</f>
        <v>NIL</v>
      </c>
      <c r="E7250">
        <f>TEST_DATA!E7250</f>
        <v>1396</v>
      </c>
    </row>
    <row r="7251" spans="1:5" x14ac:dyDescent="0.55000000000000004">
      <c r="A7251" t="str">
        <f>TEST_DATA!A7251</f>
        <v>27AAAAA7251Z5</v>
      </c>
      <c r="B7251" t="str">
        <f>TEST_DATA!B7251</f>
        <v>Jul-2018</v>
      </c>
      <c r="C7251">
        <f>TEST_DATA!C7251</f>
        <v>44381</v>
      </c>
      <c r="D7251" t="str">
        <f>TEST_DATA!D7251</f>
        <v>NON-NIL</v>
      </c>
      <c r="E7251">
        <f>TEST_DATA!E7251</f>
        <v>2064</v>
      </c>
    </row>
    <row r="7252" spans="1:5" x14ac:dyDescent="0.55000000000000004">
      <c r="A7252" t="str">
        <f>TEST_DATA!A7252</f>
        <v>27AAAAA7252Z5</v>
      </c>
      <c r="B7252" t="str">
        <f>TEST_DATA!B7252</f>
        <v>Jul-2020</v>
      </c>
      <c r="C7252">
        <f>TEST_DATA!C7252</f>
        <v>44837</v>
      </c>
      <c r="D7252" t="str">
        <f>TEST_DATA!D7252</f>
        <v>NIL</v>
      </c>
      <c r="E7252">
        <f>TEST_DATA!E7252</f>
        <v>2102</v>
      </c>
    </row>
    <row r="7253" spans="1:5" x14ac:dyDescent="0.55000000000000004">
      <c r="A7253" t="str">
        <f>TEST_DATA!A7253</f>
        <v>27AAAAA7253Z5</v>
      </c>
      <c r="B7253" t="str">
        <f>TEST_DATA!B7253</f>
        <v>Mar-2021</v>
      </c>
      <c r="C7253">
        <f>TEST_DATA!C7253</f>
        <v>45518</v>
      </c>
      <c r="D7253" t="str">
        <f>TEST_DATA!D7253</f>
        <v>NIL</v>
      </c>
      <c r="E7253">
        <f>TEST_DATA!E7253</f>
        <v>527</v>
      </c>
    </row>
    <row r="7254" spans="1:5" x14ac:dyDescent="0.55000000000000004">
      <c r="A7254" t="str">
        <f>TEST_DATA!A7254</f>
        <v>27AAAAA7254Z5</v>
      </c>
      <c r="B7254" t="str">
        <f>TEST_DATA!B7254</f>
        <v>Jan-2018</v>
      </c>
      <c r="C7254">
        <f>TEST_DATA!C7254</f>
        <v>43839</v>
      </c>
      <c r="D7254" t="str">
        <f>TEST_DATA!D7254</f>
        <v>NON-NIL</v>
      </c>
      <c r="E7254">
        <f>TEST_DATA!E7254</f>
        <v>236</v>
      </c>
    </row>
    <row r="7255" spans="1:5" x14ac:dyDescent="0.55000000000000004">
      <c r="A7255" t="str">
        <f>TEST_DATA!A7255</f>
        <v>27AAAAA7255Z5</v>
      </c>
      <c r="B7255" t="str">
        <f>TEST_DATA!B7255</f>
        <v>May-2018</v>
      </c>
      <c r="C7255">
        <f>TEST_DATA!C7255</f>
        <v>44263</v>
      </c>
      <c r="D7255" t="str">
        <f>TEST_DATA!D7255</f>
        <v>NON-NIL</v>
      </c>
      <c r="E7255">
        <f>TEST_DATA!E7255</f>
        <v>276</v>
      </c>
    </row>
    <row r="7256" spans="1:5" x14ac:dyDescent="0.55000000000000004">
      <c r="A7256" t="str">
        <f>TEST_DATA!A7256</f>
        <v>27AAAAA7256Z5</v>
      </c>
      <c r="B7256" t="str">
        <f>TEST_DATA!B7256</f>
        <v>Jul-2018</v>
      </c>
      <c r="C7256">
        <f>TEST_DATA!C7256</f>
        <v>43986</v>
      </c>
      <c r="D7256" t="str">
        <f>TEST_DATA!D7256</f>
        <v>NIL</v>
      </c>
      <c r="E7256">
        <f>TEST_DATA!E7256</f>
        <v>1574</v>
      </c>
    </row>
    <row r="7257" spans="1:5" x14ac:dyDescent="0.55000000000000004">
      <c r="A7257" t="str">
        <f>TEST_DATA!A7257</f>
        <v>27AAAAA7257Z5</v>
      </c>
      <c r="B7257" t="str">
        <f>TEST_DATA!B7257</f>
        <v>Jul-2020</v>
      </c>
      <c r="C7257">
        <f>TEST_DATA!C7257</f>
        <v>43988</v>
      </c>
      <c r="D7257" t="str">
        <f>TEST_DATA!D7257</f>
        <v>NIL</v>
      </c>
      <c r="E7257">
        <f>TEST_DATA!E7257</f>
        <v>2858</v>
      </c>
    </row>
    <row r="7258" spans="1:5" x14ac:dyDescent="0.55000000000000004">
      <c r="A7258" t="str">
        <f>TEST_DATA!A7258</f>
        <v>27AAAAA7258Z5</v>
      </c>
      <c r="B7258" t="str">
        <f>TEST_DATA!B7258</f>
        <v>Jan-2021</v>
      </c>
      <c r="C7258">
        <f>TEST_DATA!C7258</f>
        <v>44512</v>
      </c>
      <c r="D7258" t="str">
        <f>TEST_DATA!D7258</f>
        <v>NON-NIL</v>
      </c>
      <c r="E7258">
        <f>TEST_DATA!E7258</f>
        <v>1641</v>
      </c>
    </row>
    <row r="7259" spans="1:5" x14ac:dyDescent="0.55000000000000004">
      <c r="A7259" t="str">
        <f>TEST_DATA!A7259</f>
        <v>27AAAAA7259Z5</v>
      </c>
      <c r="B7259" t="str">
        <f>TEST_DATA!B7259</f>
        <v>Apr-2018</v>
      </c>
      <c r="C7259">
        <f>TEST_DATA!C7259</f>
        <v>43874</v>
      </c>
      <c r="D7259" t="str">
        <f>TEST_DATA!D7259</f>
        <v>NON-NIL</v>
      </c>
      <c r="E7259">
        <f>TEST_DATA!E7259</f>
        <v>1603</v>
      </c>
    </row>
    <row r="7260" spans="1:5" x14ac:dyDescent="0.55000000000000004">
      <c r="A7260" t="str">
        <f>TEST_DATA!A7260</f>
        <v>27AAAAA7260Z5</v>
      </c>
      <c r="B7260" t="str">
        <f>TEST_DATA!B7260</f>
        <v>Jul-2017</v>
      </c>
      <c r="C7260">
        <f>TEST_DATA!C7260</f>
        <v>44459</v>
      </c>
      <c r="D7260" t="str">
        <f>TEST_DATA!D7260</f>
        <v>NON-NIL</v>
      </c>
      <c r="E7260">
        <f>TEST_DATA!E7260</f>
        <v>2110</v>
      </c>
    </row>
    <row r="7261" spans="1:5" x14ac:dyDescent="0.55000000000000004">
      <c r="A7261" t="str">
        <f>TEST_DATA!A7261</f>
        <v>27AAAAA7261Z5</v>
      </c>
      <c r="B7261" t="str">
        <f>TEST_DATA!B7261</f>
        <v>Aug-2018</v>
      </c>
      <c r="C7261">
        <f>TEST_DATA!C7261</f>
        <v>44323</v>
      </c>
      <c r="D7261" t="str">
        <f>TEST_DATA!D7261</f>
        <v>NON-NIL</v>
      </c>
      <c r="E7261">
        <f>TEST_DATA!E7261</f>
        <v>2553</v>
      </c>
    </row>
    <row r="7262" spans="1:5" x14ac:dyDescent="0.55000000000000004">
      <c r="A7262" t="str">
        <f>TEST_DATA!A7262</f>
        <v>27AAAAA7262Z5</v>
      </c>
      <c r="B7262" t="str">
        <f>TEST_DATA!B7262</f>
        <v>Mar-2018</v>
      </c>
      <c r="C7262">
        <f>TEST_DATA!C7262</f>
        <v>44078</v>
      </c>
      <c r="D7262" t="str">
        <f>TEST_DATA!D7262</f>
        <v>NON-NIL</v>
      </c>
      <c r="E7262">
        <f>TEST_DATA!E7262</f>
        <v>789</v>
      </c>
    </row>
    <row r="7263" spans="1:5" x14ac:dyDescent="0.55000000000000004">
      <c r="A7263" t="str">
        <f>TEST_DATA!A7263</f>
        <v>27AAAAA7263Z5</v>
      </c>
      <c r="B7263" t="str">
        <f>TEST_DATA!B7263</f>
        <v>Dec-2024</v>
      </c>
      <c r="C7263">
        <f>TEST_DATA!C7263</f>
        <v>45684</v>
      </c>
      <c r="D7263" t="str">
        <f>TEST_DATA!D7263</f>
        <v>NIL</v>
      </c>
      <c r="E7263">
        <f>TEST_DATA!E7263</f>
        <v>15</v>
      </c>
    </row>
    <row r="7264" spans="1:5" x14ac:dyDescent="0.55000000000000004">
      <c r="A7264" t="str">
        <f>TEST_DATA!A7264</f>
        <v>27AAAAA7264Z5</v>
      </c>
      <c r="B7264" t="str">
        <f>TEST_DATA!B7264</f>
        <v>Mar-2023</v>
      </c>
      <c r="C7264">
        <f>TEST_DATA!C7264</f>
        <v>45287</v>
      </c>
      <c r="D7264" t="str">
        <f>TEST_DATA!D7264</f>
        <v>NIL</v>
      </c>
      <c r="E7264">
        <f>TEST_DATA!E7264</f>
        <v>824</v>
      </c>
    </row>
    <row r="7265" spans="1:5" x14ac:dyDescent="0.55000000000000004">
      <c r="A7265" t="str">
        <f>TEST_DATA!A7265</f>
        <v>27AAAAA7265Z5</v>
      </c>
      <c r="B7265" t="str">
        <f>TEST_DATA!B7265</f>
        <v>Jul-2018</v>
      </c>
      <c r="C7265">
        <f>TEST_DATA!C7265</f>
        <v>43161</v>
      </c>
      <c r="D7265" t="str">
        <f>TEST_DATA!D7265</f>
        <v>NIL</v>
      </c>
      <c r="E7265">
        <f>TEST_DATA!E7265</f>
        <v>2224</v>
      </c>
    </row>
    <row r="7266" spans="1:5" x14ac:dyDescent="0.55000000000000004">
      <c r="A7266" t="str">
        <f>TEST_DATA!A7266</f>
        <v>27AAAAA7266Z5</v>
      </c>
      <c r="B7266" t="str">
        <f>TEST_DATA!B7266</f>
        <v>Aug-2017</v>
      </c>
      <c r="C7266">
        <f>TEST_DATA!C7266</f>
        <v>44092</v>
      </c>
      <c r="D7266" t="str">
        <f>TEST_DATA!D7266</f>
        <v>NIL</v>
      </c>
      <c r="E7266">
        <f>TEST_DATA!E7266</f>
        <v>1708</v>
      </c>
    </row>
    <row r="7267" spans="1:5" x14ac:dyDescent="0.55000000000000004">
      <c r="A7267" t="str">
        <f>TEST_DATA!A7267</f>
        <v>27AAAAA7267Z5</v>
      </c>
      <c r="B7267" t="str">
        <f>TEST_DATA!B7267</f>
        <v>Sep-2017</v>
      </c>
      <c r="C7267">
        <f>TEST_DATA!C7267</f>
        <v>43703</v>
      </c>
      <c r="D7267" t="str">
        <f>TEST_DATA!D7267</f>
        <v>NON-NIL</v>
      </c>
      <c r="E7267">
        <f>TEST_DATA!E7267</f>
        <v>542</v>
      </c>
    </row>
    <row r="7268" spans="1:5" x14ac:dyDescent="0.55000000000000004">
      <c r="A7268" t="str">
        <f>TEST_DATA!A7268</f>
        <v>27AAAAA7268Z5</v>
      </c>
      <c r="B7268" t="str">
        <f>TEST_DATA!B7268</f>
        <v>Jul-2017</v>
      </c>
      <c r="C7268">
        <f>TEST_DATA!C7268</f>
        <v>43119</v>
      </c>
      <c r="D7268" t="str">
        <f>TEST_DATA!D7268</f>
        <v>NON-NIL</v>
      </c>
      <c r="E7268">
        <f>TEST_DATA!E7268</f>
        <v>1321</v>
      </c>
    </row>
    <row r="7269" spans="1:5" x14ac:dyDescent="0.55000000000000004">
      <c r="A7269" t="str">
        <f>TEST_DATA!A7269</f>
        <v>27AAAAA7269Z5</v>
      </c>
      <c r="B7269" t="str">
        <f>TEST_DATA!B7269</f>
        <v>Jun-2018</v>
      </c>
      <c r="C7269">
        <f>TEST_DATA!C7269</f>
        <v>43569</v>
      </c>
      <c r="D7269" t="str">
        <f>TEST_DATA!D7269</f>
        <v>NON-NIL</v>
      </c>
      <c r="E7269">
        <f>TEST_DATA!E7269</f>
        <v>2803</v>
      </c>
    </row>
    <row r="7270" spans="1:5" x14ac:dyDescent="0.55000000000000004">
      <c r="A7270" t="str">
        <f>TEST_DATA!A7270</f>
        <v>27AAAAA7270Z5</v>
      </c>
      <c r="B7270" t="str">
        <f>TEST_DATA!B7270</f>
        <v>Jun-2019</v>
      </c>
      <c r="C7270">
        <f>TEST_DATA!C7270</f>
        <v>45130</v>
      </c>
      <c r="D7270" t="str">
        <f>TEST_DATA!D7270</f>
        <v>NON-NIL</v>
      </c>
      <c r="E7270">
        <f>TEST_DATA!E7270</f>
        <v>1353</v>
      </c>
    </row>
    <row r="7271" spans="1:5" x14ac:dyDescent="0.55000000000000004">
      <c r="A7271" t="str">
        <f>TEST_DATA!A7271</f>
        <v>27AAAAA7271Z5</v>
      </c>
      <c r="B7271" t="str">
        <f>TEST_DATA!B7271</f>
        <v>Jan-2019</v>
      </c>
      <c r="C7271">
        <f>TEST_DATA!C7271</f>
        <v>45607</v>
      </c>
      <c r="D7271" t="str">
        <f>TEST_DATA!D7271</f>
        <v>NON-NIL</v>
      </c>
      <c r="E7271">
        <f>TEST_DATA!E7271</f>
        <v>1320</v>
      </c>
    </row>
    <row r="7272" spans="1:5" x14ac:dyDescent="0.55000000000000004">
      <c r="A7272" t="str">
        <f>TEST_DATA!A7272</f>
        <v>27AAAAA7272Z5</v>
      </c>
      <c r="B7272" t="str">
        <f>TEST_DATA!B7272</f>
        <v>May-2018</v>
      </c>
      <c r="C7272">
        <f>TEST_DATA!C7272</f>
        <v>44456</v>
      </c>
      <c r="D7272" t="str">
        <f>TEST_DATA!D7272</f>
        <v>NON-NIL</v>
      </c>
      <c r="E7272">
        <f>TEST_DATA!E7272</f>
        <v>2021</v>
      </c>
    </row>
    <row r="7273" spans="1:5" x14ac:dyDescent="0.55000000000000004">
      <c r="A7273" t="str">
        <f>TEST_DATA!A7273</f>
        <v>27AAAAA7273Z5</v>
      </c>
      <c r="B7273" t="str">
        <f>TEST_DATA!B7273</f>
        <v>Jun-2018</v>
      </c>
      <c r="C7273">
        <f>TEST_DATA!C7273</f>
        <v>43121</v>
      </c>
      <c r="D7273" t="str">
        <f>TEST_DATA!D7273</f>
        <v>NIL</v>
      </c>
      <c r="E7273">
        <f>TEST_DATA!E7273</f>
        <v>1043</v>
      </c>
    </row>
    <row r="7274" spans="1:5" x14ac:dyDescent="0.55000000000000004">
      <c r="A7274" t="str">
        <f>TEST_DATA!A7274</f>
        <v>27AAAAA7274Z5</v>
      </c>
      <c r="B7274" t="str">
        <f>TEST_DATA!B7274</f>
        <v>Jan-2019</v>
      </c>
      <c r="C7274">
        <f>TEST_DATA!C7274</f>
        <v>45231</v>
      </c>
      <c r="D7274" t="str">
        <f>TEST_DATA!D7274</f>
        <v>NON-NIL</v>
      </c>
      <c r="E7274">
        <f>TEST_DATA!E7274</f>
        <v>23</v>
      </c>
    </row>
    <row r="7275" spans="1:5" x14ac:dyDescent="0.55000000000000004">
      <c r="A7275" t="str">
        <f>TEST_DATA!A7275</f>
        <v>27AAAAA7275Z5</v>
      </c>
      <c r="B7275" t="str">
        <f>TEST_DATA!B7275</f>
        <v>Jul-2017</v>
      </c>
      <c r="C7275">
        <f>TEST_DATA!C7275</f>
        <v>43024</v>
      </c>
      <c r="D7275" t="str">
        <f>TEST_DATA!D7275</f>
        <v>NON-NIL</v>
      </c>
      <c r="E7275">
        <f>TEST_DATA!E7275</f>
        <v>2145</v>
      </c>
    </row>
    <row r="7276" spans="1:5" x14ac:dyDescent="0.55000000000000004">
      <c r="A7276" t="str">
        <f>TEST_DATA!A7276</f>
        <v>27AAAAA7276Z5</v>
      </c>
      <c r="B7276" t="str">
        <f>TEST_DATA!B7276</f>
        <v>Sep-2018</v>
      </c>
      <c r="C7276">
        <f>TEST_DATA!C7276</f>
        <v>43608</v>
      </c>
      <c r="D7276" t="str">
        <f>TEST_DATA!D7276</f>
        <v>NON-NIL</v>
      </c>
      <c r="E7276">
        <f>TEST_DATA!E7276</f>
        <v>2174</v>
      </c>
    </row>
    <row r="7277" spans="1:5" x14ac:dyDescent="0.55000000000000004">
      <c r="A7277" t="str">
        <f>TEST_DATA!A7277</f>
        <v>27AAAAA7277Z5</v>
      </c>
      <c r="B7277" t="str">
        <f>TEST_DATA!B7277</f>
        <v>Mar-2023</v>
      </c>
      <c r="C7277">
        <f>TEST_DATA!C7277</f>
        <v>44009</v>
      </c>
      <c r="D7277" t="str">
        <f>TEST_DATA!D7277</f>
        <v>NON-NIL</v>
      </c>
      <c r="E7277">
        <f>TEST_DATA!E7277</f>
        <v>2798</v>
      </c>
    </row>
    <row r="7278" spans="1:5" x14ac:dyDescent="0.55000000000000004">
      <c r="A7278" t="str">
        <f>TEST_DATA!A7278</f>
        <v>27AAAAA7278Z5</v>
      </c>
      <c r="B7278" t="str">
        <f>TEST_DATA!B7278</f>
        <v>Aug-2017</v>
      </c>
      <c r="C7278">
        <f>TEST_DATA!C7278</f>
        <v>43648</v>
      </c>
      <c r="D7278" t="str">
        <f>TEST_DATA!D7278</f>
        <v>NIL</v>
      </c>
      <c r="E7278">
        <f>TEST_DATA!E7278</f>
        <v>1698</v>
      </c>
    </row>
    <row r="7279" spans="1:5" x14ac:dyDescent="0.55000000000000004">
      <c r="A7279" t="str">
        <f>TEST_DATA!A7279</f>
        <v>27AAAAA7279Z5</v>
      </c>
      <c r="B7279" t="str">
        <f>TEST_DATA!B7279</f>
        <v>Jul-2018</v>
      </c>
      <c r="C7279">
        <f>TEST_DATA!C7279</f>
        <v>43639</v>
      </c>
      <c r="D7279" t="str">
        <f>TEST_DATA!D7279</f>
        <v>NON-NIL</v>
      </c>
      <c r="E7279">
        <f>TEST_DATA!E7279</f>
        <v>1331</v>
      </c>
    </row>
    <row r="7280" spans="1:5" x14ac:dyDescent="0.55000000000000004">
      <c r="A7280" t="str">
        <f>TEST_DATA!A7280</f>
        <v>27AAAAA7280Z5</v>
      </c>
      <c r="B7280" t="str">
        <f>TEST_DATA!B7280</f>
        <v>Oct-2017</v>
      </c>
      <c r="C7280">
        <f>TEST_DATA!C7280</f>
        <v>43232</v>
      </c>
      <c r="D7280" t="str">
        <f>TEST_DATA!D7280</f>
        <v>NIL</v>
      </c>
      <c r="E7280">
        <f>TEST_DATA!E7280</f>
        <v>1051</v>
      </c>
    </row>
    <row r="7281" spans="1:5" x14ac:dyDescent="0.55000000000000004">
      <c r="A7281" t="str">
        <f>TEST_DATA!A7281</f>
        <v>27AAAAA7281Z5</v>
      </c>
      <c r="B7281" t="str">
        <f>TEST_DATA!B7281</f>
        <v>Mar-2023</v>
      </c>
      <c r="C7281">
        <f>TEST_DATA!C7281</f>
        <v>44705</v>
      </c>
      <c r="D7281" t="str">
        <f>TEST_DATA!D7281</f>
        <v>NON-NIL</v>
      </c>
      <c r="E7281">
        <f>TEST_DATA!E7281</f>
        <v>281</v>
      </c>
    </row>
    <row r="7282" spans="1:5" x14ac:dyDescent="0.55000000000000004">
      <c r="A7282" t="str">
        <f>TEST_DATA!A7282</f>
        <v>27AAAAA7282Z5</v>
      </c>
      <c r="B7282" t="str">
        <f>TEST_DATA!B7282</f>
        <v>Mar-2021</v>
      </c>
      <c r="C7282">
        <f>TEST_DATA!C7282</f>
        <v>45564</v>
      </c>
      <c r="D7282" t="str">
        <f>TEST_DATA!D7282</f>
        <v>NON-NIL</v>
      </c>
      <c r="E7282">
        <f>TEST_DATA!E7282</f>
        <v>1212</v>
      </c>
    </row>
    <row r="7283" spans="1:5" x14ac:dyDescent="0.55000000000000004">
      <c r="A7283" t="str">
        <f>TEST_DATA!A7283</f>
        <v>27AAAAA7283Z5</v>
      </c>
      <c r="B7283" t="str">
        <f>TEST_DATA!B7283</f>
        <v>Jul-2017</v>
      </c>
      <c r="C7283">
        <f>TEST_DATA!C7283</f>
        <v>43211</v>
      </c>
      <c r="D7283" t="str">
        <f>TEST_DATA!D7283</f>
        <v>NIL</v>
      </c>
      <c r="E7283">
        <f>TEST_DATA!E7283</f>
        <v>825</v>
      </c>
    </row>
    <row r="7284" spans="1:5" x14ac:dyDescent="0.55000000000000004">
      <c r="A7284" t="str">
        <f>TEST_DATA!A7284</f>
        <v>27AAAAA7284Z5</v>
      </c>
      <c r="B7284" t="str">
        <f>TEST_DATA!B7284</f>
        <v>Jun-2019</v>
      </c>
      <c r="C7284">
        <f>TEST_DATA!C7284</f>
        <v>45131</v>
      </c>
      <c r="D7284" t="str">
        <f>TEST_DATA!D7284</f>
        <v>NON-NIL</v>
      </c>
      <c r="E7284">
        <f>TEST_DATA!E7284</f>
        <v>69</v>
      </c>
    </row>
    <row r="7285" spans="1:5" x14ac:dyDescent="0.55000000000000004">
      <c r="A7285" t="str">
        <f>TEST_DATA!A7285</f>
        <v>27AAAAA7285Z5</v>
      </c>
      <c r="B7285" t="str">
        <f>TEST_DATA!B7285</f>
        <v>Jun-2019</v>
      </c>
      <c r="C7285">
        <f>TEST_DATA!C7285</f>
        <v>44421</v>
      </c>
      <c r="D7285" t="str">
        <f>TEST_DATA!D7285</f>
        <v>NON-NIL</v>
      </c>
      <c r="E7285">
        <f>TEST_DATA!E7285</f>
        <v>1924</v>
      </c>
    </row>
    <row r="7286" spans="1:5" x14ac:dyDescent="0.55000000000000004">
      <c r="A7286" t="str">
        <f>TEST_DATA!A7286</f>
        <v>27AAAAA7286Z5</v>
      </c>
      <c r="B7286" t="str">
        <f>TEST_DATA!B7286</f>
        <v>Mar-2023</v>
      </c>
      <c r="C7286">
        <f>TEST_DATA!C7286</f>
        <v>43637</v>
      </c>
      <c r="D7286" t="str">
        <f>TEST_DATA!D7286</f>
        <v>NIL</v>
      </c>
      <c r="E7286">
        <f>TEST_DATA!E7286</f>
        <v>1853</v>
      </c>
    </row>
    <row r="7287" spans="1:5" x14ac:dyDescent="0.55000000000000004">
      <c r="A7287" t="str">
        <f>TEST_DATA!A7287</f>
        <v>27AAAAA7287Z5</v>
      </c>
      <c r="B7287" t="str">
        <f>TEST_DATA!B7287</f>
        <v>Jul-2017</v>
      </c>
      <c r="C7287">
        <f>TEST_DATA!C7287</f>
        <v>43419</v>
      </c>
      <c r="D7287" t="str">
        <f>TEST_DATA!D7287</f>
        <v>NON-NIL</v>
      </c>
      <c r="E7287">
        <f>TEST_DATA!E7287</f>
        <v>794</v>
      </c>
    </row>
    <row r="7288" spans="1:5" x14ac:dyDescent="0.55000000000000004">
      <c r="A7288" t="str">
        <f>TEST_DATA!A7288</f>
        <v>27AAAAA7288Z5</v>
      </c>
      <c r="B7288" t="str">
        <f>TEST_DATA!B7288</f>
        <v>Aug-2017</v>
      </c>
      <c r="C7288">
        <f>TEST_DATA!C7288</f>
        <v>44191</v>
      </c>
      <c r="D7288" t="str">
        <f>TEST_DATA!D7288</f>
        <v>NON-NIL</v>
      </c>
      <c r="E7288">
        <f>TEST_DATA!E7288</f>
        <v>1096</v>
      </c>
    </row>
    <row r="7289" spans="1:5" x14ac:dyDescent="0.55000000000000004">
      <c r="A7289" t="str">
        <f>TEST_DATA!A7289</f>
        <v>27AAAAA7289Z5</v>
      </c>
      <c r="B7289" t="str">
        <f>TEST_DATA!B7289</f>
        <v>Nov-2017</v>
      </c>
      <c r="C7289">
        <f>TEST_DATA!C7289</f>
        <v>43351</v>
      </c>
      <c r="D7289" t="str">
        <f>TEST_DATA!D7289</f>
        <v>NON-NIL</v>
      </c>
      <c r="E7289">
        <f>TEST_DATA!E7289</f>
        <v>248</v>
      </c>
    </row>
    <row r="7290" spans="1:5" x14ac:dyDescent="0.55000000000000004">
      <c r="A7290" t="str">
        <f>TEST_DATA!A7290</f>
        <v>27AAAAA7290Z5</v>
      </c>
      <c r="B7290" t="str">
        <f>TEST_DATA!B7290</f>
        <v>Dec-2017</v>
      </c>
      <c r="C7290">
        <f>TEST_DATA!C7290</f>
        <v>43009</v>
      </c>
      <c r="D7290" t="str">
        <f>TEST_DATA!D7290</f>
        <v>NON-NIL</v>
      </c>
      <c r="E7290">
        <f>TEST_DATA!E7290</f>
        <v>2995</v>
      </c>
    </row>
    <row r="7291" spans="1:5" x14ac:dyDescent="0.55000000000000004">
      <c r="A7291" t="str">
        <f>TEST_DATA!A7291</f>
        <v>27AAAAA7291Z5</v>
      </c>
      <c r="B7291" t="str">
        <f>TEST_DATA!B7291</f>
        <v>Aug-2017</v>
      </c>
      <c r="C7291">
        <f>TEST_DATA!C7291</f>
        <v>44024</v>
      </c>
      <c r="D7291" t="str">
        <f>TEST_DATA!D7291</f>
        <v>NIL</v>
      </c>
      <c r="E7291">
        <f>TEST_DATA!E7291</f>
        <v>124</v>
      </c>
    </row>
    <row r="7292" spans="1:5" x14ac:dyDescent="0.55000000000000004">
      <c r="A7292" t="str">
        <f>TEST_DATA!A7292</f>
        <v>27AAAAA7292Z5</v>
      </c>
      <c r="B7292" t="str">
        <f>TEST_DATA!B7292</f>
        <v>Apr-2020</v>
      </c>
      <c r="C7292">
        <f>TEST_DATA!C7292</f>
        <v>44400</v>
      </c>
      <c r="D7292" t="str">
        <f>TEST_DATA!D7292</f>
        <v>NIL</v>
      </c>
      <c r="E7292">
        <f>TEST_DATA!E7292</f>
        <v>870</v>
      </c>
    </row>
    <row r="7293" spans="1:5" x14ac:dyDescent="0.55000000000000004">
      <c r="A7293" t="str">
        <f>TEST_DATA!A7293</f>
        <v>27AAAAA7293Z5</v>
      </c>
      <c r="B7293" t="str">
        <f>TEST_DATA!B7293</f>
        <v>Mar-2018</v>
      </c>
      <c r="C7293">
        <f>TEST_DATA!C7293</f>
        <v>44285</v>
      </c>
      <c r="D7293" t="str">
        <f>TEST_DATA!D7293</f>
        <v>NIL</v>
      </c>
      <c r="E7293">
        <f>TEST_DATA!E7293</f>
        <v>2391</v>
      </c>
    </row>
    <row r="7294" spans="1:5" x14ac:dyDescent="0.55000000000000004">
      <c r="A7294" t="str">
        <f>TEST_DATA!A7294</f>
        <v>27AAAAA7294Z5</v>
      </c>
      <c r="B7294" t="str">
        <f>TEST_DATA!B7294</f>
        <v>Mar-2021</v>
      </c>
      <c r="C7294">
        <f>TEST_DATA!C7294</f>
        <v>45240</v>
      </c>
      <c r="D7294" t="str">
        <f>TEST_DATA!D7294</f>
        <v>NIL</v>
      </c>
      <c r="E7294">
        <f>TEST_DATA!E7294</f>
        <v>2487</v>
      </c>
    </row>
    <row r="7295" spans="1:5" x14ac:dyDescent="0.55000000000000004">
      <c r="A7295" t="str">
        <f>TEST_DATA!A7295</f>
        <v>27AAAAA7295Z5</v>
      </c>
      <c r="B7295" t="str">
        <f>TEST_DATA!B7295</f>
        <v>Jan-2019</v>
      </c>
      <c r="C7295">
        <f>TEST_DATA!C7295</f>
        <v>45451</v>
      </c>
      <c r="D7295" t="str">
        <f>TEST_DATA!D7295</f>
        <v>NON-NIL</v>
      </c>
      <c r="E7295">
        <f>TEST_DATA!E7295</f>
        <v>552</v>
      </c>
    </row>
    <row r="7296" spans="1:5" x14ac:dyDescent="0.55000000000000004">
      <c r="A7296" t="str">
        <f>TEST_DATA!A7296</f>
        <v>27AAAAA7296Z5</v>
      </c>
      <c r="B7296" t="str">
        <f>TEST_DATA!B7296</f>
        <v>Dec-2022</v>
      </c>
      <c r="C7296">
        <f>TEST_DATA!C7296</f>
        <v>44583</v>
      </c>
      <c r="D7296" t="str">
        <f>TEST_DATA!D7296</f>
        <v>NON-NIL</v>
      </c>
      <c r="E7296">
        <f>TEST_DATA!E7296</f>
        <v>626</v>
      </c>
    </row>
    <row r="7297" spans="1:5" x14ac:dyDescent="0.55000000000000004">
      <c r="A7297" t="str">
        <f>TEST_DATA!A7297</f>
        <v>27AAAAA7297Z5</v>
      </c>
      <c r="B7297" t="str">
        <f>TEST_DATA!B7297</f>
        <v>Dec-2019</v>
      </c>
      <c r="C7297">
        <f>TEST_DATA!C7297</f>
        <v>44566</v>
      </c>
      <c r="D7297" t="str">
        <f>TEST_DATA!D7297</f>
        <v>NIL</v>
      </c>
      <c r="E7297">
        <f>TEST_DATA!E7297</f>
        <v>859</v>
      </c>
    </row>
    <row r="7298" spans="1:5" x14ac:dyDescent="0.55000000000000004">
      <c r="A7298" t="str">
        <f>TEST_DATA!A7298</f>
        <v>27AAAAA7298Z5</v>
      </c>
      <c r="B7298" t="str">
        <f>TEST_DATA!B7298</f>
        <v>Jun-2018</v>
      </c>
      <c r="C7298">
        <f>TEST_DATA!C7298</f>
        <v>43714</v>
      </c>
      <c r="D7298" t="str">
        <f>TEST_DATA!D7298</f>
        <v>NON-NIL</v>
      </c>
      <c r="E7298">
        <f>TEST_DATA!E7298</f>
        <v>2157</v>
      </c>
    </row>
    <row r="7299" spans="1:5" x14ac:dyDescent="0.55000000000000004">
      <c r="A7299" t="str">
        <f>TEST_DATA!A7299</f>
        <v>27AAAAA7299Z5</v>
      </c>
      <c r="B7299" t="str">
        <f>TEST_DATA!B7299</f>
        <v>Jul-2017</v>
      </c>
      <c r="C7299">
        <f>TEST_DATA!C7299</f>
        <v>43528</v>
      </c>
      <c r="D7299" t="str">
        <f>TEST_DATA!D7299</f>
        <v>NON-NIL</v>
      </c>
      <c r="E7299">
        <f>TEST_DATA!E7299</f>
        <v>173</v>
      </c>
    </row>
    <row r="7300" spans="1:5" x14ac:dyDescent="0.55000000000000004">
      <c r="A7300" t="str">
        <f>TEST_DATA!A7300</f>
        <v>27AAAAA7300Z5</v>
      </c>
      <c r="B7300" t="str">
        <f>TEST_DATA!B7300</f>
        <v>Sep-2018</v>
      </c>
      <c r="C7300">
        <f>TEST_DATA!C7300</f>
        <v>43336</v>
      </c>
      <c r="D7300" t="str">
        <f>TEST_DATA!D7300</f>
        <v>NON-NIL</v>
      </c>
      <c r="E7300">
        <f>TEST_DATA!E7300</f>
        <v>1546</v>
      </c>
    </row>
    <row r="7301" spans="1:5" x14ac:dyDescent="0.55000000000000004">
      <c r="A7301" t="str">
        <f>TEST_DATA!A7301</f>
        <v>27AAAAA7301Z5</v>
      </c>
      <c r="B7301" t="str">
        <f>TEST_DATA!B7301</f>
        <v>Mar-2021</v>
      </c>
      <c r="C7301">
        <f>TEST_DATA!C7301</f>
        <v>45481</v>
      </c>
      <c r="D7301" t="str">
        <f>TEST_DATA!D7301</f>
        <v>NON-NIL</v>
      </c>
      <c r="E7301">
        <f>TEST_DATA!E7301</f>
        <v>2086</v>
      </c>
    </row>
    <row r="7302" spans="1:5" x14ac:dyDescent="0.55000000000000004">
      <c r="A7302" t="str">
        <f>TEST_DATA!A7302</f>
        <v>27AAAAA7302Z5</v>
      </c>
      <c r="B7302" t="str">
        <f>TEST_DATA!B7302</f>
        <v>Jul-2017</v>
      </c>
      <c r="C7302">
        <f>TEST_DATA!C7302</f>
        <v>44090</v>
      </c>
      <c r="D7302" t="str">
        <f>TEST_DATA!D7302</f>
        <v>NON-NIL</v>
      </c>
      <c r="E7302">
        <f>TEST_DATA!E7302</f>
        <v>2040</v>
      </c>
    </row>
    <row r="7303" spans="1:5" x14ac:dyDescent="0.55000000000000004">
      <c r="A7303" t="str">
        <f>TEST_DATA!A7303</f>
        <v>27AAAAA7303Z5</v>
      </c>
      <c r="B7303" t="str">
        <f>TEST_DATA!B7303</f>
        <v>May-2020</v>
      </c>
      <c r="C7303">
        <f>TEST_DATA!C7303</f>
        <v>44287</v>
      </c>
      <c r="D7303" t="str">
        <f>TEST_DATA!D7303</f>
        <v>NON-NIL</v>
      </c>
      <c r="E7303">
        <f>TEST_DATA!E7303</f>
        <v>2772</v>
      </c>
    </row>
    <row r="7304" spans="1:5" x14ac:dyDescent="0.55000000000000004">
      <c r="A7304" t="str">
        <f>TEST_DATA!A7304</f>
        <v>27AAAAA7304Z5</v>
      </c>
      <c r="B7304" t="str">
        <f>TEST_DATA!B7304</f>
        <v>Jul-2017</v>
      </c>
      <c r="C7304">
        <f>TEST_DATA!C7304</f>
        <v>43606</v>
      </c>
      <c r="D7304" t="str">
        <f>TEST_DATA!D7304</f>
        <v>NIL</v>
      </c>
      <c r="E7304">
        <f>TEST_DATA!E7304</f>
        <v>574</v>
      </c>
    </row>
    <row r="7305" spans="1:5" x14ac:dyDescent="0.55000000000000004">
      <c r="A7305" t="str">
        <f>TEST_DATA!A7305</f>
        <v>27AAAAA7305Z5</v>
      </c>
      <c r="B7305" t="str">
        <f>TEST_DATA!B7305</f>
        <v>Jun-2020</v>
      </c>
      <c r="C7305">
        <f>TEST_DATA!C7305</f>
        <v>44716</v>
      </c>
      <c r="D7305" t="str">
        <f>TEST_DATA!D7305</f>
        <v>NIL</v>
      </c>
      <c r="E7305">
        <f>TEST_DATA!E7305</f>
        <v>690</v>
      </c>
    </row>
    <row r="7306" spans="1:5" x14ac:dyDescent="0.55000000000000004">
      <c r="A7306" t="str">
        <f>TEST_DATA!A7306</f>
        <v>27AAAAA7306Z5</v>
      </c>
      <c r="B7306" t="str">
        <f>TEST_DATA!B7306</f>
        <v>Jul-2020</v>
      </c>
      <c r="C7306">
        <f>TEST_DATA!C7306</f>
        <v>44344</v>
      </c>
      <c r="D7306" t="str">
        <f>TEST_DATA!D7306</f>
        <v>NON-NIL</v>
      </c>
      <c r="E7306">
        <f>TEST_DATA!E7306</f>
        <v>602</v>
      </c>
    </row>
    <row r="7307" spans="1:5" x14ac:dyDescent="0.55000000000000004">
      <c r="A7307" t="str">
        <f>TEST_DATA!A7307</f>
        <v>27AAAAA7307Z5</v>
      </c>
      <c r="B7307" t="str">
        <f>TEST_DATA!B7307</f>
        <v>May-2020</v>
      </c>
      <c r="C7307">
        <f>TEST_DATA!C7307</f>
        <v>43921</v>
      </c>
      <c r="D7307" t="str">
        <f>TEST_DATA!D7307</f>
        <v>NIL</v>
      </c>
      <c r="E7307">
        <f>TEST_DATA!E7307</f>
        <v>368</v>
      </c>
    </row>
    <row r="7308" spans="1:5" x14ac:dyDescent="0.55000000000000004">
      <c r="A7308" t="str">
        <f>TEST_DATA!A7308</f>
        <v>27AAAAA7308Z5</v>
      </c>
      <c r="B7308" t="str">
        <f>TEST_DATA!B7308</f>
        <v>Jun-2018</v>
      </c>
      <c r="C7308">
        <f>TEST_DATA!C7308</f>
        <v>44003</v>
      </c>
      <c r="D7308" t="str">
        <f>TEST_DATA!D7308</f>
        <v>NIL</v>
      </c>
      <c r="E7308">
        <f>TEST_DATA!E7308</f>
        <v>1360</v>
      </c>
    </row>
    <row r="7309" spans="1:5" x14ac:dyDescent="0.55000000000000004">
      <c r="A7309" t="str">
        <f>TEST_DATA!A7309</f>
        <v>27AAAAA7309Z5</v>
      </c>
      <c r="B7309" t="str">
        <f>TEST_DATA!B7309</f>
        <v>Jun-2019</v>
      </c>
      <c r="C7309">
        <f>TEST_DATA!C7309</f>
        <v>44614</v>
      </c>
      <c r="D7309" t="str">
        <f>TEST_DATA!D7309</f>
        <v>NIL</v>
      </c>
      <c r="E7309">
        <f>TEST_DATA!E7309</f>
        <v>1919</v>
      </c>
    </row>
    <row r="7310" spans="1:5" x14ac:dyDescent="0.55000000000000004">
      <c r="A7310" t="str">
        <f>TEST_DATA!A7310</f>
        <v>27AAAAA7310Z5</v>
      </c>
      <c r="B7310" t="str">
        <f>TEST_DATA!B7310</f>
        <v>Jan-2018</v>
      </c>
      <c r="C7310">
        <f>TEST_DATA!C7310</f>
        <v>43556</v>
      </c>
      <c r="D7310" t="str">
        <f>TEST_DATA!D7310</f>
        <v>NIL</v>
      </c>
      <c r="E7310">
        <f>TEST_DATA!E7310</f>
        <v>167</v>
      </c>
    </row>
    <row r="7311" spans="1:5" x14ac:dyDescent="0.55000000000000004">
      <c r="A7311" t="str">
        <f>TEST_DATA!A7311</f>
        <v>27AAAAA7311Z5</v>
      </c>
      <c r="B7311" t="str">
        <f>TEST_DATA!B7311</f>
        <v>Feb-2018</v>
      </c>
      <c r="C7311">
        <f>TEST_DATA!C7311</f>
        <v>43114</v>
      </c>
      <c r="D7311" t="str">
        <f>TEST_DATA!D7311</f>
        <v>NON-NIL</v>
      </c>
      <c r="E7311">
        <f>TEST_DATA!E7311</f>
        <v>2723</v>
      </c>
    </row>
    <row r="7312" spans="1:5" x14ac:dyDescent="0.55000000000000004">
      <c r="A7312" t="str">
        <f>TEST_DATA!A7312</f>
        <v>27AAAAA7312Z5</v>
      </c>
      <c r="B7312" t="str">
        <f>TEST_DATA!B7312</f>
        <v>Sep-2018</v>
      </c>
      <c r="C7312">
        <f>TEST_DATA!C7312</f>
        <v>43881</v>
      </c>
      <c r="D7312" t="str">
        <f>TEST_DATA!D7312</f>
        <v>NON-NIL</v>
      </c>
      <c r="E7312">
        <f>TEST_DATA!E7312</f>
        <v>2181</v>
      </c>
    </row>
    <row r="7313" spans="1:5" x14ac:dyDescent="0.55000000000000004">
      <c r="A7313" t="str">
        <f>TEST_DATA!A7313</f>
        <v>27AAAAA7313Z5</v>
      </c>
      <c r="B7313" t="str">
        <f>TEST_DATA!B7313</f>
        <v>Aug-2018</v>
      </c>
      <c r="C7313">
        <f>TEST_DATA!C7313</f>
        <v>43859</v>
      </c>
      <c r="D7313" t="str">
        <f>TEST_DATA!D7313</f>
        <v>NON-NIL</v>
      </c>
      <c r="E7313">
        <f>TEST_DATA!E7313</f>
        <v>2497</v>
      </c>
    </row>
    <row r="7314" spans="1:5" x14ac:dyDescent="0.55000000000000004">
      <c r="A7314" t="str">
        <f>TEST_DATA!A7314</f>
        <v>27AAAAA7314Z5</v>
      </c>
      <c r="B7314" t="str">
        <f>TEST_DATA!B7314</f>
        <v>Jun-2018</v>
      </c>
      <c r="C7314">
        <f>TEST_DATA!C7314</f>
        <v>43149</v>
      </c>
      <c r="D7314" t="str">
        <f>TEST_DATA!D7314</f>
        <v>NON-NIL</v>
      </c>
      <c r="E7314">
        <f>TEST_DATA!E7314</f>
        <v>273</v>
      </c>
    </row>
    <row r="7315" spans="1:5" x14ac:dyDescent="0.55000000000000004">
      <c r="A7315" t="str">
        <f>TEST_DATA!A7315</f>
        <v>27AAAAA7315Z5</v>
      </c>
      <c r="B7315" t="str">
        <f>TEST_DATA!B7315</f>
        <v>Jun-2019</v>
      </c>
      <c r="C7315">
        <f>TEST_DATA!C7315</f>
        <v>45208</v>
      </c>
      <c r="D7315" t="str">
        <f>TEST_DATA!D7315</f>
        <v>NON-NIL</v>
      </c>
      <c r="E7315">
        <f>TEST_DATA!E7315</f>
        <v>2812</v>
      </c>
    </row>
    <row r="7316" spans="1:5" x14ac:dyDescent="0.55000000000000004">
      <c r="A7316" t="str">
        <f>TEST_DATA!A7316</f>
        <v>27AAAAA7316Z5</v>
      </c>
      <c r="B7316" t="str">
        <f>TEST_DATA!B7316</f>
        <v>Jun-2019</v>
      </c>
      <c r="C7316">
        <f>TEST_DATA!C7316</f>
        <v>44117</v>
      </c>
      <c r="D7316" t="str">
        <f>TEST_DATA!D7316</f>
        <v>NIL</v>
      </c>
      <c r="E7316">
        <f>TEST_DATA!E7316</f>
        <v>15</v>
      </c>
    </row>
    <row r="7317" spans="1:5" x14ac:dyDescent="0.55000000000000004">
      <c r="A7317" t="str">
        <f>TEST_DATA!A7317</f>
        <v>27AAAAA7317Z5</v>
      </c>
      <c r="B7317" t="str">
        <f>TEST_DATA!B7317</f>
        <v>Jun-2019</v>
      </c>
      <c r="C7317">
        <f>TEST_DATA!C7317</f>
        <v>45604</v>
      </c>
      <c r="D7317" t="str">
        <f>TEST_DATA!D7317</f>
        <v>NIL</v>
      </c>
      <c r="E7317">
        <f>TEST_DATA!E7317</f>
        <v>2483</v>
      </c>
    </row>
    <row r="7318" spans="1:5" x14ac:dyDescent="0.55000000000000004">
      <c r="A7318" t="str">
        <f>TEST_DATA!A7318</f>
        <v>27AAAAA7318Z5</v>
      </c>
      <c r="B7318" t="str">
        <f>TEST_DATA!B7318</f>
        <v>May-2018</v>
      </c>
      <c r="C7318">
        <f>TEST_DATA!C7318</f>
        <v>44528</v>
      </c>
      <c r="D7318" t="str">
        <f>TEST_DATA!D7318</f>
        <v>NON-NIL</v>
      </c>
      <c r="E7318">
        <f>TEST_DATA!E7318</f>
        <v>2852</v>
      </c>
    </row>
    <row r="7319" spans="1:5" x14ac:dyDescent="0.55000000000000004">
      <c r="A7319" t="str">
        <f>TEST_DATA!A7319</f>
        <v>27AAAAA7319Z5</v>
      </c>
      <c r="B7319" t="str">
        <f>TEST_DATA!B7319</f>
        <v>Jun-2019</v>
      </c>
      <c r="C7319">
        <f>TEST_DATA!C7319</f>
        <v>44598</v>
      </c>
      <c r="D7319" t="str">
        <f>TEST_DATA!D7319</f>
        <v>NIL</v>
      </c>
      <c r="E7319">
        <f>TEST_DATA!E7319</f>
        <v>2336</v>
      </c>
    </row>
    <row r="7320" spans="1:5" x14ac:dyDescent="0.55000000000000004">
      <c r="A7320" t="str">
        <f>TEST_DATA!A7320</f>
        <v>27AAAAA7320Z5</v>
      </c>
      <c r="B7320" t="str">
        <f>TEST_DATA!B7320</f>
        <v>Aug-2018</v>
      </c>
      <c r="C7320">
        <f>TEST_DATA!C7320</f>
        <v>43242</v>
      </c>
      <c r="D7320" t="str">
        <f>TEST_DATA!D7320</f>
        <v>NIL</v>
      </c>
      <c r="E7320">
        <f>TEST_DATA!E7320</f>
        <v>2648</v>
      </c>
    </row>
    <row r="7321" spans="1:5" x14ac:dyDescent="0.55000000000000004">
      <c r="A7321" t="str">
        <f>TEST_DATA!A7321</f>
        <v>27AAAAA7321Z5</v>
      </c>
      <c r="B7321" t="str">
        <f>TEST_DATA!B7321</f>
        <v>Mar-2021</v>
      </c>
      <c r="C7321">
        <f>TEST_DATA!C7321</f>
        <v>44366</v>
      </c>
      <c r="D7321" t="str">
        <f>TEST_DATA!D7321</f>
        <v>NIL</v>
      </c>
      <c r="E7321">
        <f>TEST_DATA!E7321</f>
        <v>1758</v>
      </c>
    </row>
    <row r="7322" spans="1:5" x14ac:dyDescent="0.55000000000000004">
      <c r="A7322" t="str">
        <f>TEST_DATA!A7322</f>
        <v>27AAAAA7322Z5</v>
      </c>
      <c r="B7322" t="str">
        <f>TEST_DATA!B7322</f>
        <v>Jul-2017</v>
      </c>
      <c r="C7322">
        <f>TEST_DATA!C7322</f>
        <v>44426</v>
      </c>
      <c r="D7322" t="str">
        <f>TEST_DATA!D7322</f>
        <v>NON-NIL</v>
      </c>
      <c r="E7322">
        <f>TEST_DATA!E7322</f>
        <v>2959</v>
      </c>
    </row>
    <row r="7323" spans="1:5" x14ac:dyDescent="0.55000000000000004">
      <c r="A7323" t="str">
        <f>TEST_DATA!A7323</f>
        <v>27AAAAA7323Z5</v>
      </c>
      <c r="B7323" t="str">
        <f>TEST_DATA!B7323</f>
        <v>Dec-2019</v>
      </c>
      <c r="C7323">
        <f>TEST_DATA!C7323</f>
        <v>45009</v>
      </c>
      <c r="D7323" t="str">
        <f>TEST_DATA!D7323</f>
        <v>NON-NIL</v>
      </c>
      <c r="E7323">
        <f>TEST_DATA!E7323</f>
        <v>678</v>
      </c>
    </row>
    <row r="7324" spans="1:5" x14ac:dyDescent="0.55000000000000004">
      <c r="A7324" t="str">
        <f>TEST_DATA!A7324</f>
        <v>27AAAAA7324Z5</v>
      </c>
      <c r="B7324" t="str">
        <f>TEST_DATA!B7324</f>
        <v>Sep-2018</v>
      </c>
      <c r="C7324">
        <f>TEST_DATA!C7324</f>
        <v>43777</v>
      </c>
      <c r="D7324" t="str">
        <f>TEST_DATA!D7324</f>
        <v>NON-NIL</v>
      </c>
      <c r="E7324">
        <f>TEST_DATA!E7324</f>
        <v>1198</v>
      </c>
    </row>
    <row r="7325" spans="1:5" x14ac:dyDescent="0.55000000000000004">
      <c r="A7325" t="str">
        <f>TEST_DATA!A7325</f>
        <v>27AAAAA7325Z5</v>
      </c>
      <c r="B7325" t="str">
        <f>TEST_DATA!B7325</f>
        <v>Jun-2019</v>
      </c>
      <c r="C7325">
        <f>TEST_DATA!C7325</f>
        <v>44325</v>
      </c>
      <c r="D7325" t="str">
        <f>TEST_DATA!D7325</f>
        <v>NIL</v>
      </c>
      <c r="E7325">
        <f>TEST_DATA!E7325</f>
        <v>1816</v>
      </c>
    </row>
    <row r="7326" spans="1:5" x14ac:dyDescent="0.55000000000000004">
      <c r="A7326" t="str">
        <f>TEST_DATA!A7326</f>
        <v>27AAAAA7326Z5</v>
      </c>
      <c r="B7326" t="str">
        <f>TEST_DATA!B7326</f>
        <v>Jan-2018</v>
      </c>
      <c r="C7326">
        <f>TEST_DATA!C7326</f>
        <v>44350</v>
      </c>
      <c r="D7326" t="str">
        <f>TEST_DATA!D7326</f>
        <v>NIL</v>
      </c>
      <c r="E7326">
        <f>TEST_DATA!E7326</f>
        <v>1572</v>
      </c>
    </row>
    <row r="7327" spans="1:5" x14ac:dyDescent="0.55000000000000004">
      <c r="A7327" t="str">
        <f>TEST_DATA!A7327</f>
        <v>27AAAAA7327Z5</v>
      </c>
      <c r="B7327" t="str">
        <f>TEST_DATA!B7327</f>
        <v>Jul-2018</v>
      </c>
      <c r="C7327">
        <f>TEST_DATA!C7327</f>
        <v>43289</v>
      </c>
      <c r="D7327" t="str">
        <f>TEST_DATA!D7327</f>
        <v>NIL</v>
      </c>
      <c r="E7327">
        <f>TEST_DATA!E7327</f>
        <v>2691</v>
      </c>
    </row>
    <row r="7328" spans="1:5" x14ac:dyDescent="0.55000000000000004">
      <c r="A7328" t="str">
        <f>TEST_DATA!A7328</f>
        <v>27AAAAA7328Z5</v>
      </c>
      <c r="B7328" t="str">
        <f>TEST_DATA!B7328</f>
        <v>May-2020</v>
      </c>
      <c r="C7328">
        <f>TEST_DATA!C7328</f>
        <v>44008</v>
      </c>
      <c r="D7328" t="str">
        <f>TEST_DATA!D7328</f>
        <v>NON-NIL</v>
      </c>
      <c r="E7328">
        <f>TEST_DATA!E7328</f>
        <v>377</v>
      </c>
    </row>
    <row r="7329" spans="1:5" x14ac:dyDescent="0.55000000000000004">
      <c r="A7329" t="str">
        <f>TEST_DATA!A7329</f>
        <v>27AAAAA7329Z5</v>
      </c>
      <c r="B7329" t="str">
        <f>TEST_DATA!B7329</f>
        <v>Apr-2021</v>
      </c>
      <c r="C7329">
        <f>TEST_DATA!C7329</f>
        <v>45635</v>
      </c>
      <c r="D7329" t="str">
        <f>TEST_DATA!D7329</f>
        <v>NIL</v>
      </c>
      <c r="E7329">
        <f>TEST_DATA!E7329</f>
        <v>1919</v>
      </c>
    </row>
    <row r="7330" spans="1:5" x14ac:dyDescent="0.55000000000000004">
      <c r="A7330" t="str">
        <f>TEST_DATA!A7330</f>
        <v>27AAAAA7330Z5</v>
      </c>
      <c r="B7330" t="str">
        <f>TEST_DATA!B7330</f>
        <v>Dec-2019</v>
      </c>
      <c r="C7330">
        <f>TEST_DATA!C7330</f>
        <v>45516</v>
      </c>
      <c r="D7330" t="str">
        <f>TEST_DATA!D7330</f>
        <v>NIL</v>
      </c>
      <c r="E7330">
        <f>TEST_DATA!E7330</f>
        <v>1207</v>
      </c>
    </row>
    <row r="7331" spans="1:5" x14ac:dyDescent="0.55000000000000004">
      <c r="A7331" t="str">
        <f>TEST_DATA!A7331</f>
        <v>27AAAAA7331Z5</v>
      </c>
      <c r="B7331" t="str">
        <f>TEST_DATA!B7331</f>
        <v>Mar-2021</v>
      </c>
      <c r="C7331">
        <f>TEST_DATA!C7331</f>
        <v>44066</v>
      </c>
      <c r="D7331" t="str">
        <f>TEST_DATA!D7331</f>
        <v>NON-NIL</v>
      </c>
      <c r="E7331">
        <f>TEST_DATA!E7331</f>
        <v>1481</v>
      </c>
    </row>
    <row r="7332" spans="1:5" x14ac:dyDescent="0.55000000000000004">
      <c r="A7332" t="str">
        <f>TEST_DATA!A7332</f>
        <v>27AAAAA7332Z5</v>
      </c>
      <c r="B7332" t="str">
        <f>TEST_DATA!B7332</f>
        <v>Dec-2022</v>
      </c>
      <c r="C7332">
        <f>TEST_DATA!C7332</f>
        <v>44858</v>
      </c>
      <c r="D7332" t="str">
        <f>TEST_DATA!D7332</f>
        <v>NON-NIL</v>
      </c>
      <c r="E7332">
        <f>TEST_DATA!E7332</f>
        <v>1697</v>
      </c>
    </row>
    <row r="7333" spans="1:5" x14ac:dyDescent="0.55000000000000004">
      <c r="A7333" t="str">
        <f>TEST_DATA!A7333</f>
        <v>27AAAAA7333Z5</v>
      </c>
      <c r="B7333" t="str">
        <f>TEST_DATA!B7333</f>
        <v>Apr-2020</v>
      </c>
      <c r="C7333">
        <f>TEST_DATA!C7333</f>
        <v>43878</v>
      </c>
      <c r="D7333" t="str">
        <f>TEST_DATA!D7333</f>
        <v>NON-NIL</v>
      </c>
      <c r="E7333">
        <f>TEST_DATA!E7333</f>
        <v>625</v>
      </c>
    </row>
    <row r="7334" spans="1:5" x14ac:dyDescent="0.55000000000000004">
      <c r="A7334" t="str">
        <f>TEST_DATA!A7334</f>
        <v>27AAAAA7334Z5</v>
      </c>
      <c r="B7334" t="str">
        <f>TEST_DATA!B7334</f>
        <v>Feb-2018</v>
      </c>
      <c r="C7334">
        <f>TEST_DATA!C7334</f>
        <v>43190</v>
      </c>
      <c r="D7334" t="str">
        <f>TEST_DATA!D7334</f>
        <v>NON-NIL</v>
      </c>
      <c r="E7334">
        <f>TEST_DATA!E7334</f>
        <v>2969</v>
      </c>
    </row>
    <row r="7335" spans="1:5" x14ac:dyDescent="0.55000000000000004">
      <c r="A7335" t="str">
        <f>TEST_DATA!A7335</f>
        <v>27AAAAA7335Z5</v>
      </c>
      <c r="B7335" t="str">
        <f>TEST_DATA!B7335</f>
        <v>Nov-2017</v>
      </c>
      <c r="C7335">
        <f>TEST_DATA!C7335</f>
        <v>43367</v>
      </c>
      <c r="D7335" t="str">
        <f>TEST_DATA!D7335</f>
        <v>NON-NIL</v>
      </c>
      <c r="E7335">
        <f>TEST_DATA!E7335</f>
        <v>487</v>
      </c>
    </row>
    <row r="7336" spans="1:5" x14ac:dyDescent="0.55000000000000004">
      <c r="A7336" t="str">
        <f>TEST_DATA!A7336</f>
        <v>27AAAAA7336Z5</v>
      </c>
      <c r="B7336" t="str">
        <f>TEST_DATA!B7336</f>
        <v>Sep-2018</v>
      </c>
      <c r="C7336">
        <f>TEST_DATA!C7336</f>
        <v>44196</v>
      </c>
      <c r="D7336" t="str">
        <f>TEST_DATA!D7336</f>
        <v>NIL</v>
      </c>
      <c r="E7336">
        <f>TEST_DATA!E7336</f>
        <v>620</v>
      </c>
    </row>
    <row r="7337" spans="1:5" x14ac:dyDescent="0.55000000000000004">
      <c r="A7337" t="str">
        <f>TEST_DATA!A7337</f>
        <v>27AAAAA7337Z5</v>
      </c>
      <c r="B7337" t="str">
        <f>TEST_DATA!B7337</f>
        <v>Dec-2024</v>
      </c>
      <c r="C7337">
        <f>TEST_DATA!C7337</f>
        <v>44167</v>
      </c>
      <c r="D7337" t="str">
        <f>TEST_DATA!D7337</f>
        <v>NIL</v>
      </c>
      <c r="E7337">
        <f>TEST_DATA!E7337</f>
        <v>1931</v>
      </c>
    </row>
    <row r="7338" spans="1:5" x14ac:dyDescent="0.55000000000000004">
      <c r="A7338" t="str">
        <f>TEST_DATA!A7338</f>
        <v>27AAAAA7338Z5</v>
      </c>
      <c r="B7338" t="str">
        <f>TEST_DATA!B7338</f>
        <v>Jun-2020</v>
      </c>
      <c r="C7338">
        <f>TEST_DATA!C7338</f>
        <v>43946</v>
      </c>
      <c r="D7338" t="str">
        <f>TEST_DATA!D7338</f>
        <v>NIL</v>
      </c>
      <c r="E7338">
        <f>TEST_DATA!E7338</f>
        <v>2901</v>
      </c>
    </row>
    <row r="7339" spans="1:5" x14ac:dyDescent="0.55000000000000004">
      <c r="A7339" t="str">
        <f>TEST_DATA!A7339</f>
        <v>27AAAAA7339Z5</v>
      </c>
      <c r="B7339" t="str">
        <f>TEST_DATA!B7339</f>
        <v>Dec-2022</v>
      </c>
      <c r="C7339">
        <f>TEST_DATA!C7339</f>
        <v>45220</v>
      </c>
      <c r="D7339" t="str">
        <f>TEST_DATA!D7339</f>
        <v>NON-NIL</v>
      </c>
      <c r="E7339">
        <f>TEST_DATA!E7339</f>
        <v>1117</v>
      </c>
    </row>
    <row r="7340" spans="1:5" x14ac:dyDescent="0.55000000000000004">
      <c r="A7340" t="str">
        <f>TEST_DATA!A7340</f>
        <v>27AAAAA7340Z5</v>
      </c>
      <c r="B7340" t="str">
        <f>TEST_DATA!B7340</f>
        <v>Mar-2023</v>
      </c>
      <c r="C7340">
        <f>TEST_DATA!C7340</f>
        <v>45686</v>
      </c>
      <c r="D7340" t="str">
        <f>TEST_DATA!D7340</f>
        <v>NON-NIL</v>
      </c>
      <c r="E7340">
        <f>TEST_DATA!E7340</f>
        <v>227</v>
      </c>
    </row>
    <row r="7341" spans="1:5" x14ac:dyDescent="0.55000000000000004">
      <c r="A7341" t="str">
        <f>TEST_DATA!A7341</f>
        <v>27AAAAA7341Z5</v>
      </c>
      <c r="B7341" t="str">
        <f>TEST_DATA!B7341</f>
        <v>Jun-2020</v>
      </c>
      <c r="C7341">
        <f>TEST_DATA!C7341</f>
        <v>44405</v>
      </c>
      <c r="D7341" t="str">
        <f>TEST_DATA!D7341</f>
        <v>NON-NIL</v>
      </c>
      <c r="E7341">
        <f>TEST_DATA!E7341</f>
        <v>1829</v>
      </c>
    </row>
    <row r="7342" spans="1:5" x14ac:dyDescent="0.55000000000000004">
      <c r="A7342" t="str">
        <f>TEST_DATA!A7342</f>
        <v>27AAAAA7342Z5</v>
      </c>
      <c r="B7342" t="str">
        <f>TEST_DATA!B7342</f>
        <v>Mar-2020</v>
      </c>
      <c r="C7342">
        <f>TEST_DATA!C7342</f>
        <v>44492</v>
      </c>
      <c r="D7342" t="str">
        <f>TEST_DATA!D7342</f>
        <v>NON-NIL</v>
      </c>
      <c r="E7342">
        <f>TEST_DATA!E7342</f>
        <v>289</v>
      </c>
    </row>
    <row r="7343" spans="1:5" x14ac:dyDescent="0.55000000000000004">
      <c r="A7343" t="str">
        <f>TEST_DATA!A7343</f>
        <v>27AAAAA7343Z5</v>
      </c>
      <c r="B7343" t="str">
        <f>TEST_DATA!B7343</f>
        <v>May-2020</v>
      </c>
      <c r="C7343">
        <f>TEST_DATA!C7343</f>
        <v>44742</v>
      </c>
      <c r="D7343" t="str">
        <f>TEST_DATA!D7343</f>
        <v>NON-NIL</v>
      </c>
      <c r="E7343">
        <f>TEST_DATA!E7343</f>
        <v>2033</v>
      </c>
    </row>
    <row r="7344" spans="1:5" x14ac:dyDescent="0.55000000000000004">
      <c r="A7344" t="str">
        <f>TEST_DATA!A7344</f>
        <v>27AAAAA7344Z5</v>
      </c>
      <c r="B7344" t="str">
        <f>TEST_DATA!B7344</f>
        <v>May-2018</v>
      </c>
      <c r="C7344">
        <f>TEST_DATA!C7344</f>
        <v>43559</v>
      </c>
      <c r="D7344" t="str">
        <f>TEST_DATA!D7344</f>
        <v>NIL</v>
      </c>
      <c r="E7344">
        <f>TEST_DATA!E7344</f>
        <v>2430</v>
      </c>
    </row>
    <row r="7345" spans="1:5" x14ac:dyDescent="0.55000000000000004">
      <c r="A7345" t="str">
        <f>TEST_DATA!A7345</f>
        <v>27AAAAA7345Z5</v>
      </c>
      <c r="B7345" t="str">
        <f>TEST_DATA!B7345</f>
        <v>Jun-2019</v>
      </c>
      <c r="C7345">
        <f>TEST_DATA!C7345</f>
        <v>43783</v>
      </c>
      <c r="D7345" t="str">
        <f>TEST_DATA!D7345</f>
        <v>NIL</v>
      </c>
      <c r="E7345">
        <f>TEST_DATA!E7345</f>
        <v>1853</v>
      </c>
    </row>
    <row r="7346" spans="1:5" x14ac:dyDescent="0.55000000000000004">
      <c r="A7346" t="str">
        <f>TEST_DATA!A7346</f>
        <v>27AAAAA7346Z5</v>
      </c>
      <c r="B7346" t="str">
        <f>TEST_DATA!B7346</f>
        <v>Jan-2021</v>
      </c>
      <c r="C7346">
        <f>TEST_DATA!C7346</f>
        <v>44326</v>
      </c>
      <c r="D7346" t="str">
        <f>TEST_DATA!D7346</f>
        <v>NON-NIL</v>
      </c>
      <c r="E7346">
        <f>TEST_DATA!E7346</f>
        <v>2106</v>
      </c>
    </row>
    <row r="7347" spans="1:5" x14ac:dyDescent="0.55000000000000004">
      <c r="A7347" t="str">
        <f>TEST_DATA!A7347</f>
        <v>27AAAAA7347Z5</v>
      </c>
      <c r="B7347" t="str">
        <f>TEST_DATA!B7347</f>
        <v>Sep-2017</v>
      </c>
      <c r="C7347">
        <f>TEST_DATA!C7347</f>
        <v>43639</v>
      </c>
      <c r="D7347" t="str">
        <f>TEST_DATA!D7347</f>
        <v>NIL</v>
      </c>
      <c r="E7347">
        <f>TEST_DATA!E7347</f>
        <v>1312</v>
      </c>
    </row>
    <row r="7348" spans="1:5" x14ac:dyDescent="0.55000000000000004">
      <c r="A7348" t="str">
        <f>TEST_DATA!A7348</f>
        <v>27AAAAA7348Z5</v>
      </c>
      <c r="B7348" t="str">
        <f>TEST_DATA!B7348</f>
        <v>Jan-2019</v>
      </c>
      <c r="C7348">
        <f>TEST_DATA!C7348</f>
        <v>43703</v>
      </c>
      <c r="D7348" t="str">
        <f>TEST_DATA!D7348</f>
        <v>NON-NIL</v>
      </c>
      <c r="E7348">
        <f>TEST_DATA!E7348</f>
        <v>1513</v>
      </c>
    </row>
    <row r="7349" spans="1:5" x14ac:dyDescent="0.55000000000000004">
      <c r="A7349" t="str">
        <f>TEST_DATA!A7349</f>
        <v>27AAAAA7349Z5</v>
      </c>
      <c r="B7349" t="str">
        <f>TEST_DATA!B7349</f>
        <v>Jun-2019</v>
      </c>
      <c r="C7349">
        <f>TEST_DATA!C7349</f>
        <v>45065</v>
      </c>
      <c r="D7349" t="str">
        <f>TEST_DATA!D7349</f>
        <v>NIL</v>
      </c>
      <c r="E7349">
        <f>TEST_DATA!E7349</f>
        <v>1658</v>
      </c>
    </row>
    <row r="7350" spans="1:5" x14ac:dyDescent="0.55000000000000004">
      <c r="A7350" t="str">
        <f>TEST_DATA!A7350</f>
        <v>27AAAAA7350Z5</v>
      </c>
      <c r="B7350" t="str">
        <f>TEST_DATA!B7350</f>
        <v>Dec-2022</v>
      </c>
      <c r="C7350">
        <f>TEST_DATA!C7350</f>
        <v>45718</v>
      </c>
      <c r="D7350" t="str">
        <f>TEST_DATA!D7350</f>
        <v>NIL</v>
      </c>
      <c r="E7350">
        <f>TEST_DATA!E7350</f>
        <v>2070</v>
      </c>
    </row>
    <row r="7351" spans="1:5" x14ac:dyDescent="0.55000000000000004">
      <c r="A7351" t="str">
        <f>TEST_DATA!A7351</f>
        <v>27AAAAA7351Z5</v>
      </c>
      <c r="B7351" t="str">
        <f>TEST_DATA!B7351</f>
        <v>Mar-2018</v>
      </c>
      <c r="C7351">
        <f>TEST_DATA!C7351</f>
        <v>44044</v>
      </c>
      <c r="D7351" t="str">
        <f>TEST_DATA!D7351</f>
        <v>NON-NIL</v>
      </c>
      <c r="E7351">
        <f>TEST_DATA!E7351</f>
        <v>1683</v>
      </c>
    </row>
    <row r="7352" spans="1:5" x14ac:dyDescent="0.55000000000000004">
      <c r="A7352" t="str">
        <f>TEST_DATA!A7352</f>
        <v>27AAAAA7352Z5</v>
      </c>
      <c r="B7352" t="str">
        <f>TEST_DATA!B7352</f>
        <v>Jan-2018</v>
      </c>
      <c r="C7352">
        <f>TEST_DATA!C7352</f>
        <v>43992</v>
      </c>
      <c r="D7352" t="str">
        <f>TEST_DATA!D7352</f>
        <v>NIL</v>
      </c>
      <c r="E7352">
        <f>TEST_DATA!E7352</f>
        <v>637</v>
      </c>
    </row>
    <row r="7353" spans="1:5" x14ac:dyDescent="0.55000000000000004">
      <c r="A7353" t="str">
        <f>TEST_DATA!A7353</f>
        <v>27AAAAA7353Z5</v>
      </c>
      <c r="B7353" t="str">
        <f>TEST_DATA!B7353</f>
        <v>Jul-2017</v>
      </c>
      <c r="C7353">
        <f>TEST_DATA!C7353</f>
        <v>44320</v>
      </c>
      <c r="D7353" t="str">
        <f>TEST_DATA!D7353</f>
        <v>NON-NIL</v>
      </c>
      <c r="E7353">
        <f>TEST_DATA!E7353</f>
        <v>1632</v>
      </c>
    </row>
    <row r="7354" spans="1:5" x14ac:dyDescent="0.55000000000000004">
      <c r="A7354" t="str">
        <f>TEST_DATA!A7354</f>
        <v>27AAAAA7354Z5</v>
      </c>
      <c r="B7354" t="str">
        <f>TEST_DATA!B7354</f>
        <v>Sep-2017</v>
      </c>
      <c r="C7354">
        <f>TEST_DATA!C7354</f>
        <v>43226</v>
      </c>
      <c r="D7354" t="str">
        <f>TEST_DATA!D7354</f>
        <v>NIL</v>
      </c>
      <c r="E7354">
        <f>TEST_DATA!E7354</f>
        <v>2431</v>
      </c>
    </row>
    <row r="7355" spans="1:5" x14ac:dyDescent="0.55000000000000004">
      <c r="A7355" t="str">
        <f>TEST_DATA!A7355</f>
        <v>27AAAAA7355Z5</v>
      </c>
      <c r="B7355" t="str">
        <f>TEST_DATA!B7355</f>
        <v>Jul-2018</v>
      </c>
      <c r="C7355">
        <f>TEST_DATA!C7355</f>
        <v>44312</v>
      </c>
      <c r="D7355" t="str">
        <f>TEST_DATA!D7355</f>
        <v>NIL</v>
      </c>
      <c r="E7355">
        <f>TEST_DATA!E7355</f>
        <v>738</v>
      </c>
    </row>
    <row r="7356" spans="1:5" x14ac:dyDescent="0.55000000000000004">
      <c r="A7356" t="str">
        <f>TEST_DATA!A7356</f>
        <v>27AAAAA7356Z5</v>
      </c>
      <c r="B7356" t="str">
        <f>TEST_DATA!B7356</f>
        <v>Oct-2017</v>
      </c>
      <c r="C7356">
        <f>TEST_DATA!C7356</f>
        <v>44210</v>
      </c>
      <c r="D7356" t="str">
        <f>TEST_DATA!D7356</f>
        <v>NIL</v>
      </c>
      <c r="E7356">
        <f>TEST_DATA!E7356</f>
        <v>2588</v>
      </c>
    </row>
    <row r="7357" spans="1:5" x14ac:dyDescent="0.55000000000000004">
      <c r="A7357" t="str">
        <f>TEST_DATA!A7357</f>
        <v>27AAAAA7357Z5</v>
      </c>
      <c r="B7357" t="str">
        <f>TEST_DATA!B7357</f>
        <v>Mar-2023</v>
      </c>
      <c r="C7357">
        <f>TEST_DATA!C7357</f>
        <v>44832</v>
      </c>
      <c r="D7357" t="str">
        <f>TEST_DATA!D7357</f>
        <v>NIL</v>
      </c>
      <c r="E7357">
        <f>TEST_DATA!E7357</f>
        <v>2241</v>
      </c>
    </row>
    <row r="7358" spans="1:5" x14ac:dyDescent="0.55000000000000004">
      <c r="A7358" t="str">
        <f>TEST_DATA!A7358</f>
        <v>27AAAAA7358Z5</v>
      </c>
      <c r="B7358" t="str">
        <f>TEST_DATA!B7358</f>
        <v>Dec-2024</v>
      </c>
      <c r="C7358">
        <f>TEST_DATA!C7358</f>
        <v>45705</v>
      </c>
      <c r="D7358" t="str">
        <f>TEST_DATA!D7358</f>
        <v>NIL</v>
      </c>
      <c r="E7358">
        <f>TEST_DATA!E7358</f>
        <v>633</v>
      </c>
    </row>
    <row r="7359" spans="1:5" x14ac:dyDescent="0.55000000000000004">
      <c r="A7359" t="str">
        <f>TEST_DATA!A7359</f>
        <v>27AAAAA7359Z5</v>
      </c>
      <c r="B7359" t="str">
        <f>TEST_DATA!B7359</f>
        <v>Mar-2020</v>
      </c>
      <c r="C7359">
        <f>TEST_DATA!C7359</f>
        <v>44902</v>
      </c>
      <c r="D7359" t="str">
        <f>TEST_DATA!D7359</f>
        <v>NON-NIL</v>
      </c>
      <c r="E7359">
        <f>TEST_DATA!E7359</f>
        <v>2685</v>
      </c>
    </row>
    <row r="7360" spans="1:5" x14ac:dyDescent="0.55000000000000004">
      <c r="A7360" t="str">
        <f>TEST_DATA!A7360</f>
        <v>27AAAAA7360Z5</v>
      </c>
      <c r="B7360" t="str">
        <f>TEST_DATA!B7360</f>
        <v>Apr-2021</v>
      </c>
      <c r="C7360">
        <f>TEST_DATA!C7360</f>
        <v>43868</v>
      </c>
      <c r="D7360" t="str">
        <f>TEST_DATA!D7360</f>
        <v>NIL</v>
      </c>
      <c r="E7360">
        <f>TEST_DATA!E7360</f>
        <v>108</v>
      </c>
    </row>
    <row r="7361" spans="1:5" x14ac:dyDescent="0.55000000000000004">
      <c r="A7361" t="str">
        <f>TEST_DATA!A7361</f>
        <v>27AAAAA7361Z5</v>
      </c>
      <c r="B7361" t="str">
        <f>TEST_DATA!B7361</f>
        <v>May-2020</v>
      </c>
      <c r="C7361">
        <f>TEST_DATA!C7361</f>
        <v>44831</v>
      </c>
      <c r="D7361" t="str">
        <f>TEST_DATA!D7361</f>
        <v>NIL</v>
      </c>
      <c r="E7361">
        <f>TEST_DATA!E7361</f>
        <v>1645</v>
      </c>
    </row>
    <row r="7362" spans="1:5" x14ac:dyDescent="0.55000000000000004">
      <c r="A7362" t="str">
        <f>TEST_DATA!A7362</f>
        <v>27AAAAA7362Z5</v>
      </c>
      <c r="B7362" t="str">
        <f>TEST_DATA!B7362</f>
        <v>Jul-2018</v>
      </c>
      <c r="C7362">
        <f>TEST_DATA!C7362</f>
        <v>44381</v>
      </c>
      <c r="D7362" t="str">
        <f>TEST_DATA!D7362</f>
        <v>NIL</v>
      </c>
      <c r="E7362">
        <f>TEST_DATA!E7362</f>
        <v>485</v>
      </c>
    </row>
    <row r="7363" spans="1:5" x14ac:dyDescent="0.55000000000000004">
      <c r="A7363" t="str">
        <f>TEST_DATA!A7363</f>
        <v>27AAAAA7363Z5</v>
      </c>
      <c r="B7363" t="str">
        <f>TEST_DATA!B7363</f>
        <v>Aug-2017</v>
      </c>
      <c r="C7363">
        <f>TEST_DATA!C7363</f>
        <v>43848</v>
      </c>
      <c r="D7363" t="str">
        <f>TEST_DATA!D7363</f>
        <v>NIL</v>
      </c>
      <c r="E7363">
        <f>TEST_DATA!E7363</f>
        <v>898</v>
      </c>
    </row>
    <row r="7364" spans="1:5" x14ac:dyDescent="0.55000000000000004">
      <c r="A7364" t="str">
        <f>TEST_DATA!A7364</f>
        <v>27AAAAA7364Z5</v>
      </c>
      <c r="B7364" t="str">
        <f>TEST_DATA!B7364</f>
        <v>Jan-2019</v>
      </c>
      <c r="C7364">
        <f>TEST_DATA!C7364</f>
        <v>44067</v>
      </c>
      <c r="D7364" t="str">
        <f>TEST_DATA!D7364</f>
        <v>NIL</v>
      </c>
      <c r="E7364">
        <f>TEST_DATA!E7364</f>
        <v>1587</v>
      </c>
    </row>
    <row r="7365" spans="1:5" x14ac:dyDescent="0.55000000000000004">
      <c r="A7365" t="str">
        <f>TEST_DATA!A7365</f>
        <v>27AAAAA7365Z5</v>
      </c>
      <c r="B7365" t="str">
        <f>TEST_DATA!B7365</f>
        <v>Dec-2019</v>
      </c>
      <c r="C7365">
        <f>TEST_DATA!C7365</f>
        <v>44412</v>
      </c>
      <c r="D7365" t="str">
        <f>TEST_DATA!D7365</f>
        <v>NIL</v>
      </c>
      <c r="E7365">
        <f>TEST_DATA!E7365</f>
        <v>1125</v>
      </c>
    </row>
    <row r="7366" spans="1:5" x14ac:dyDescent="0.55000000000000004">
      <c r="A7366" t="str">
        <f>TEST_DATA!A7366</f>
        <v>27AAAAA7366Z5</v>
      </c>
      <c r="B7366" t="str">
        <f>TEST_DATA!B7366</f>
        <v>Dec-2024</v>
      </c>
      <c r="C7366">
        <f>TEST_DATA!C7366</f>
        <v>45560</v>
      </c>
      <c r="D7366" t="str">
        <f>TEST_DATA!D7366</f>
        <v>NON-NIL</v>
      </c>
      <c r="E7366">
        <f>TEST_DATA!E7366</f>
        <v>2708</v>
      </c>
    </row>
    <row r="7367" spans="1:5" x14ac:dyDescent="0.55000000000000004">
      <c r="A7367" t="str">
        <f>TEST_DATA!A7367</f>
        <v>27AAAAA7367Z5</v>
      </c>
      <c r="B7367" t="str">
        <f>TEST_DATA!B7367</f>
        <v>Apr-2018</v>
      </c>
      <c r="C7367">
        <f>TEST_DATA!C7367</f>
        <v>44161</v>
      </c>
      <c r="D7367" t="str">
        <f>TEST_DATA!D7367</f>
        <v>NON-NIL</v>
      </c>
      <c r="E7367">
        <f>TEST_DATA!E7367</f>
        <v>189</v>
      </c>
    </row>
    <row r="7368" spans="1:5" x14ac:dyDescent="0.55000000000000004">
      <c r="A7368" t="str">
        <f>TEST_DATA!A7368</f>
        <v>27AAAAA7368Z5</v>
      </c>
      <c r="B7368" t="str">
        <f>TEST_DATA!B7368</f>
        <v>Feb-2018</v>
      </c>
      <c r="C7368">
        <f>TEST_DATA!C7368</f>
        <v>44378</v>
      </c>
      <c r="D7368" t="str">
        <f>TEST_DATA!D7368</f>
        <v>NON-NIL</v>
      </c>
      <c r="E7368">
        <f>TEST_DATA!E7368</f>
        <v>181</v>
      </c>
    </row>
    <row r="7369" spans="1:5" x14ac:dyDescent="0.55000000000000004">
      <c r="A7369" t="str">
        <f>TEST_DATA!A7369</f>
        <v>27AAAAA7369Z5</v>
      </c>
      <c r="B7369" t="str">
        <f>TEST_DATA!B7369</f>
        <v>Aug-2018</v>
      </c>
      <c r="C7369">
        <f>TEST_DATA!C7369</f>
        <v>43922</v>
      </c>
      <c r="D7369" t="str">
        <f>TEST_DATA!D7369</f>
        <v>NON-NIL</v>
      </c>
      <c r="E7369">
        <f>TEST_DATA!E7369</f>
        <v>1885</v>
      </c>
    </row>
    <row r="7370" spans="1:5" x14ac:dyDescent="0.55000000000000004">
      <c r="A7370" t="str">
        <f>TEST_DATA!A7370</f>
        <v>27AAAAA7370Z5</v>
      </c>
      <c r="B7370" t="str">
        <f>TEST_DATA!B7370</f>
        <v>Jun-2019</v>
      </c>
      <c r="C7370">
        <f>TEST_DATA!C7370</f>
        <v>45160</v>
      </c>
      <c r="D7370" t="str">
        <f>TEST_DATA!D7370</f>
        <v>NIL</v>
      </c>
      <c r="E7370">
        <f>TEST_DATA!E7370</f>
        <v>782</v>
      </c>
    </row>
    <row r="7371" spans="1:5" x14ac:dyDescent="0.55000000000000004">
      <c r="A7371" t="str">
        <f>TEST_DATA!A7371</f>
        <v>27AAAAA7371Z5</v>
      </c>
      <c r="B7371" t="str">
        <f>TEST_DATA!B7371</f>
        <v>May-2018</v>
      </c>
      <c r="C7371">
        <f>TEST_DATA!C7371</f>
        <v>43642</v>
      </c>
      <c r="D7371" t="str">
        <f>TEST_DATA!D7371</f>
        <v>NON-NIL</v>
      </c>
      <c r="E7371">
        <f>TEST_DATA!E7371</f>
        <v>54</v>
      </c>
    </row>
    <row r="7372" spans="1:5" x14ac:dyDescent="0.55000000000000004">
      <c r="A7372" t="str">
        <f>TEST_DATA!A7372</f>
        <v>27AAAAA7372Z5</v>
      </c>
      <c r="B7372" t="str">
        <f>TEST_DATA!B7372</f>
        <v>Apr-2021</v>
      </c>
      <c r="C7372">
        <f>TEST_DATA!C7372</f>
        <v>45460</v>
      </c>
      <c r="D7372" t="str">
        <f>TEST_DATA!D7372</f>
        <v>NON-NIL</v>
      </c>
      <c r="E7372">
        <f>TEST_DATA!E7372</f>
        <v>967</v>
      </c>
    </row>
    <row r="7373" spans="1:5" x14ac:dyDescent="0.55000000000000004">
      <c r="A7373" t="str">
        <f>TEST_DATA!A7373</f>
        <v>27AAAAA7373Z5</v>
      </c>
      <c r="B7373" t="str">
        <f>TEST_DATA!B7373</f>
        <v>Jan-2021</v>
      </c>
      <c r="C7373">
        <f>TEST_DATA!C7373</f>
        <v>43881</v>
      </c>
      <c r="D7373" t="str">
        <f>TEST_DATA!D7373</f>
        <v>NIL</v>
      </c>
      <c r="E7373">
        <f>TEST_DATA!E7373</f>
        <v>2695</v>
      </c>
    </row>
    <row r="7374" spans="1:5" x14ac:dyDescent="0.55000000000000004">
      <c r="A7374" t="str">
        <f>TEST_DATA!A7374</f>
        <v>27AAAAA7374Z5</v>
      </c>
      <c r="B7374" t="str">
        <f>TEST_DATA!B7374</f>
        <v>Dec-2024</v>
      </c>
      <c r="C7374">
        <f>TEST_DATA!C7374</f>
        <v>44359</v>
      </c>
      <c r="D7374" t="str">
        <f>TEST_DATA!D7374</f>
        <v>NIL</v>
      </c>
      <c r="E7374">
        <f>TEST_DATA!E7374</f>
        <v>1322</v>
      </c>
    </row>
    <row r="7375" spans="1:5" x14ac:dyDescent="0.55000000000000004">
      <c r="A7375" t="str">
        <f>TEST_DATA!A7375</f>
        <v>27AAAAA7375Z5</v>
      </c>
      <c r="B7375" t="str">
        <f>TEST_DATA!B7375</f>
        <v>May-2018</v>
      </c>
      <c r="C7375">
        <f>TEST_DATA!C7375</f>
        <v>43613</v>
      </c>
      <c r="D7375" t="str">
        <f>TEST_DATA!D7375</f>
        <v>NIL</v>
      </c>
      <c r="E7375">
        <f>TEST_DATA!E7375</f>
        <v>2790</v>
      </c>
    </row>
    <row r="7376" spans="1:5" x14ac:dyDescent="0.55000000000000004">
      <c r="A7376" t="str">
        <f>TEST_DATA!A7376</f>
        <v>27AAAAA7376Z5</v>
      </c>
      <c r="B7376" t="str">
        <f>TEST_DATA!B7376</f>
        <v>Mar-2023</v>
      </c>
      <c r="C7376">
        <f>TEST_DATA!C7376</f>
        <v>44769</v>
      </c>
      <c r="D7376" t="str">
        <f>TEST_DATA!D7376</f>
        <v>NON-NIL</v>
      </c>
      <c r="E7376">
        <f>TEST_DATA!E7376</f>
        <v>2769</v>
      </c>
    </row>
    <row r="7377" spans="1:5" x14ac:dyDescent="0.55000000000000004">
      <c r="A7377" t="str">
        <f>TEST_DATA!A7377</f>
        <v>27AAAAA7377Z5</v>
      </c>
      <c r="B7377" t="str">
        <f>TEST_DATA!B7377</f>
        <v>Dec-2024</v>
      </c>
      <c r="C7377">
        <f>TEST_DATA!C7377</f>
        <v>43600</v>
      </c>
      <c r="D7377" t="str">
        <f>TEST_DATA!D7377</f>
        <v>NON-NIL</v>
      </c>
      <c r="E7377">
        <f>TEST_DATA!E7377</f>
        <v>520</v>
      </c>
    </row>
    <row r="7378" spans="1:5" x14ac:dyDescent="0.55000000000000004">
      <c r="A7378" t="str">
        <f>TEST_DATA!A7378</f>
        <v>27AAAAA7378Z5</v>
      </c>
      <c r="B7378" t="str">
        <f>TEST_DATA!B7378</f>
        <v>May-2020</v>
      </c>
      <c r="C7378">
        <f>TEST_DATA!C7378</f>
        <v>44022</v>
      </c>
      <c r="D7378" t="str">
        <f>TEST_DATA!D7378</f>
        <v>NON-NIL</v>
      </c>
      <c r="E7378">
        <f>TEST_DATA!E7378</f>
        <v>2530</v>
      </c>
    </row>
    <row r="7379" spans="1:5" x14ac:dyDescent="0.55000000000000004">
      <c r="A7379" t="str">
        <f>TEST_DATA!A7379</f>
        <v>27AAAAA7379Z5</v>
      </c>
      <c r="B7379" t="str">
        <f>TEST_DATA!B7379</f>
        <v>Apr-2020</v>
      </c>
      <c r="C7379">
        <f>TEST_DATA!C7379</f>
        <v>44286</v>
      </c>
      <c r="D7379" t="str">
        <f>TEST_DATA!D7379</f>
        <v>NON-NIL</v>
      </c>
      <c r="E7379">
        <f>TEST_DATA!E7379</f>
        <v>2911</v>
      </c>
    </row>
    <row r="7380" spans="1:5" x14ac:dyDescent="0.55000000000000004">
      <c r="A7380" t="str">
        <f>TEST_DATA!A7380</f>
        <v>27AAAAA7380Z5</v>
      </c>
      <c r="B7380" t="str">
        <f>TEST_DATA!B7380</f>
        <v>Dec-2022</v>
      </c>
      <c r="C7380">
        <f>TEST_DATA!C7380</f>
        <v>44613</v>
      </c>
      <c r="D7380" t="str">
        <f>TEST_DATA!D7380</f>
        <v>NON-NIL</v>
      </c>
      <c r="E7380">
        <f>TEST_DATA!E7380</f>
        <v>183</v>
      </c>
    </row>
    <row r="7381" spans="1:5" x14ac:dyDescent="0.55000000000000004">
      <c r="A7381" t="str">
        <f>TEST_DATA!A7381</f>
        <v>27AAAAA7381Z5</v>
      </c>
      <c r="B7381" t="str">
        <f>TEST_DATA!B7381</f>
        <v>Apr-2018</v>
      </c>
      <c r="C7381">
        <f>TEST_DATA!C7381</f>
        <v>43669</v>
      </c>
      <c r="D7381" t="str">
        <f>TEST_DATA!D7381</f>
        <v>NIL</v>
      </c>
      <c r="E7381">
        <f>TEST_DATA!E7381</f>
        <v>428</v>
      </c>
    </row>
    <row r="7382" spans="1:5" x14ac:dyDescent="0.55000000000000004">
      <c r="A7382" t="str">
        <f>TEST_DATA!A7382</f>
        <v>27AAAAA7382Z5</v>
      </c>
      <c r="B7382" t="str">
        <f>TEST_DATA!B7382</f>
        <v>Sep-2017</v>
      </c>
      <c r="C7382">
        <f>TEST_DATA!C7382</f>
        <v>43554</v>
      </c>
      <c r="D7382" t="str">
        <f>TEST_DATA!D7382</f>
        <v>NIL</v>
      </c>
      <c r="E7382">
        <f>TEST_DATA!E7382</f>
        <v>1263</v>
      </c>
    </row>
    <row r="7383" spans="1:5" x14ac:dyDescent="0.55000000000000004">
      <c r="A7383" t="str">
        <f>TEST_DATA!A7383</f>
        <v>27AAAAA7383Z5</v>
      </c>
      <c r="B7383" t="str">
        <f>TEST_DATA!B7383</f>
        <v>Dec-2024</v>
      </c>
      <c r="C7383">
        <f>TEST_DATA!C7383</f>
        <v>45445</v>
      </c>
      <c r="D7383" t="str">
        <f>TEST_DATA!D7383</f>
        <v>NIL</v>
      </c>
      <c r="E7383">
        <f>TEST_DATA!E7383</f>
        <v>2668</v>
      </c>
    </row>
    <row r="7384" spans="1:5" x14ac:dyDescent="0.55000000000000004">
      <c r="A7384" t="str">
        <f>TEST_DATA!A7384</f>
        <v>27AAAAA7384Z5</v>
      </c>
      <c r="B7384" t="str">
        <f>TEST_DATA!B7384</f>
        <v>Jul-2020</v>
      </c>
      <c r="C7384">
        <f>TEST_DATA!C7384</f>
        <v>44040</v>
      </c>
      <c r="D7384" t="str">
        <f>TEST_DATA!D7384</f>
        <v>NIL</v>
      </c>
      <c r="E7384">
        <f>TEST_DATA!E7384</f>
        <v>929</v>
      </c>
    </row>
    <row r="7385" spans="1:5" x14ac:dyDescent="0.55000000000000004">
      <c r="A7385" t="str">
        <f>TEST_DATA!A7385</f>
        <v>27AAAAA7385Z5</v>
      </c>
      <c r="B7385" t="str">
        <f>TEST_DATA!B7385</f>
        <v>May-2020</v>
      </c>
      <c r="C7385">
        <f>TEST_DATA!C7385</f>
        <v>44491</v>
      </c>
      <c r="D7385" t="str">
        <f>TEST_DATA!D7385</f>
        <v>NIL</v>
      </c>
      <c r="E7385">
        <f>TEST_DATA!E7385</f>
        <v>812</v>
      </c>
    </row>
    <row r="7386" spans="1:5" x14ac:dyDescent="0.55000000000000004">
      <c r="A7386" t="str">
        <f>TEST_DATA!A7386</f>
        <v>27AAAAA7386Z5</v>
      </c>
      <c r="B7386" t="str">
        <f>TEST_DATA!B7386</f>
        <v>Jul-2018</v>
      </c>
      <c r="C7386">
        <f>TEST_DATA!C7386</f>
        <v>44014</v>
      </c>
      <c r="D7386" t="str">
        <f>TEST_DATA!D7386</f>
        <v>NON-NIL</v>
      </c>
      <c r="E7386">
        <f>TEST_DATA!E7386</f>
        <v>466</v>
      </c>
    </row>
    <row r="7387" spans="1:5" x14ac:dyDescent="0.55000000000000004">
      <c r="A7387" t="str">
        <f>TEST_DATA!A7387</f>
        <v>27AAAAA7387Z5</v>
      </c>
      <c r="B7387" t="str">
        <f>TEST_DATA!B7387</f>
        <v>May-2018</v>
      </c>
      <c r="C7387">
        <f>TEST_DATA!C7387</f>
        <v>44202</v>
      </c>
      <c r="D7387" t="str">
        <f>TEST_DATA!D7387</f>
        <v>NON-NIL</v>
      </c>
      <c r="E7387">
        <f>TEST_DATA!E7387</f>
        <v>2186</v>
      </c>
    </row>
    <row r="7388" spans="1:5" x14ac:dyDescent="0.55000000000000004">
      <c r="A7388" t="str">
        <f>TEST_DATA!A7388</f>
        <v>27AAAAA7388Z5</v>
      </c>
      <c r="B7388" t="str">
        <f>TEST_DATA!B7388</f>
        <v>Apr-2020</v>
      </c>
      <c r="C7388">
        <f>TEST_DATA!C7388</f>
        <v>43983</v>
      </c>
      <c r="D7388" t="str">
        <f>TEST_DATA!D7388</f>
        <v>NIL</v>
      </c>
      <c r="E7388">
        <f>TEST_DATA!E7388</f>
        <v>2387</v>
      </c>
    </row>
    <row r="7389" spans="1:5" x14ac:dyDescent="0.55000000000000004">
      <c r="A7389" t="str">
        <f>TEST_DATA!A7389</f>
        <v>27AAAAA7389Z5</v>
      </c>
      <c r="B7389" t="str">
        <f>TEST_DATA!B7389</f>
        <v>May-2020</v>
      </c>
      <c r="C7389">
        <f>TEST_DATA!C7389</f>
        <v>44727</v>
      </c>
      <c r="D7389" t="str">
        <f>TEST_DATA!D7389</f>
        <v>NON-NIL</v>
      </c>
      <c r="E7389">
        <f>TEST_DATA!E7389</f>
        <v>2530</v>
      </c>
    </row>
    <row r="7390" spans="1:5" x14ac:dyDescent="0.55000000000000004">
      <c r="A7390" t="str">
        <f>TEST_DATA!A7390</f>
        <v>27AAAAA7390Z5</v>
      </c>
      <c r="B7390" t="str">
        <f>TEST_DATA!B7390</f>
        <v>Sep-2018</v>
      </c>
      <c r="C7390">
        <f>TEST_DATA!C7390</f>
        <v>44018</v>
      </c>
      <c r="D7390" t="str">
        <f>TEST_DATA!D7390</f>
        <v>NIL</v>
      </c>
      <c r="E7390">
        <f>TEST_DATA!E7390</f>
        <v>582</v>
      </c>
    </row>
    <row r="7391" spans="1:5" x14ac:dyDescent="0.55000000000000004">
      <c r="A7391" t="str">
        <f>TEST_DATA!A7391</f>
        <v>27AAAAA7391Z5</v>
      </c>
      <c r="B7391" t="str">
        <f>TEST_DATA!B7391</f>
        <v>Feb-2018</v>
      </c>
      <c r="C7391">
        <f>TEST_DATA!C7391</f>
        <v>44225</v>
      </c>
      <c r="D7391" t="str">
        <f>TEST_DATA!D7391</f>
        <v>NON-NIL</v>
      </c>
      <c r="E7391">
        <f>TEST_DATA!E7391</f>
        <v>2570</v>
      </c>
    </row>
    <row r="7392" spans="1:5" x14ac:dyDescent="0.55000000000000004">
      <c r="A7392" t="str">
        <f>TEST_DATA!A7392</f>
        <v>27AAAAA7392Z5</v>
      </c>
      <c r="B7392" t="str">
        <f>TEST_DATA!B7392</f>
        <v>Mar-2018</v>
      </c>
      <c r="C7392">
        <f>TEST_DATA!C7392</f>
        <v>43648</v>
      </c>
      <c r="D7392" t="str">
        <f>TEST_DATA!D7392</f>
        <v>NON-NIL</v>
      </c>
      <c r="E7392">
        <f>TEST_DATA!E7392</f>
        <v>2098</v>
      </c>
    </row>
    <row r="7393" spans="1:5" x14ac:dyDescent="0.55000000000000004">
      <c r="A7393" t="str">
        <f>TEST_DATA!A7393</f>
        <v>27AAAAA7393Z5</v>
      </c>
      <c r="B7393" t="str">
        <f>TEST_DATA!B7393</f>
        <v>Apr-2018</v>
      </c>
      <c r="C7393">
        <f>TEST_DATA!C7393</f>
        <v>43456</v>
      </c>
      <c r="D7393" t="str">
        <f>TEST_DATA!D7393</f>
        <v>NON-NIL</v>
      </c>
      <c r="E7393">
        <f>TEST_DATA!E7393</f>
        <v>1937</v>
      </c>
    </row>
    <row r="7394" spans="1:5" x14ac:dyDescent="0.55000000000000004">
      <c r="A7394" t="str">
        <f>TEST_DATA!A7394</f>
        <v>27AAAAA7394Z5</v>
      </c>
      <c r="B7394" t="str">
        <f>TEST_DATA!B7394</f>
        <v>Mar-2020</v>
      </c>
      <c r="C7394">
        <f>TEST_DATA!C7394</f>
        <v>44431</v>
      </c>
      <c r="D7394" t="str">
        <f>TEST_DATA!D7394</f>
        <v>NIL</v>
      </c>
      <c r="E7394">
        <f>TEST_DATA!E7394</f>
        <v>949</v>
      </c>
    </row>
    <row r="7395" spans="1:5" x14ac:dyDescent="0.55000000000000004">
      <c r="A7395" t="str">
        <f>TEST_DATA!A7395</f>
        <v>27AAAAA7395Z5</v>
      </c>
      <c r="B7395" t="str">
        <f>TEST_DATA!B7395</f>
        <v>Dec-2022</v>
      </c>
      <c r="C7395">
        <f>TEST_DATA!C7395</f>
        <v>45199</v>
      </c>
      <c r="D7395" t="str">
        <f>TEST_DATA!D7395</f>
        <v>NON-NIL</v>
      </c>
      <c r="E7395">
        <f>TEST_DATA!E7395</f>
        <v>1221</v>
      </c>
    </row>
    <row r="7396" spans="1:5" x14ac:dyDescent="0.55000000000000004">
      <c r="A7396" t="str">
        <f>TEST_DATA!A7396</f>
        <v>27AAAAA7396Z5</v>
      </c>
      <c r="B7396" t="str">
        <f>TEST_DATA!B7396</f>
        <v>Dec-2022</v>
      </c>
      <c r="C7396">
        <f>TEST_DATA!C7396</f>
        <v>43554</v>
      </c>
      <c r="D7396" t="str">
        <f>TEST_DATA!D7396</f>
        <v>NIL</v>
      </c>
      <c r="E7396">
        <f>TEST_DATA!E7396</f>
        <v>1769</v>
      </c>
    </row>
    <row r="7397" spans="1:5" x14ac:dyDescent="0.55000000000000004">
      <c r="A7397" t="str">
        <f>TEST_DATA!A7397</f>
        <v>27AAAAA7397Z5</v>
      </c>
      <c r="B7397" t="str">
        <f>TEST_DATA!B7397</f>
        <v>Jan-2018</v>
      </c>
      <c r="C7397">
        <f>TEST_DATA!C7397</f>
        <v>43192</v>
      </c>
      <c r="D7397" t="str">
        <f>TEST_DATA!D7397</f>
        <v>NON-NIL</v>
      </c>
      <c r="E7397">
        <f>TEST_DATA!E7397</f>
        <v>1965</v>
      </c>
    </row>
    <row r="7398" spans="1:5" x14ac:dyDescent="0.55000000000000004">
      <c r="A7398" t="str">
        <f>TEST_DATA!A7398</f>
        <v>27AAAAA7398Z5</v>
      </c>
      <c r="B7398" t="str">
        <f>TEST_DATA!B7398</f>
        <v>Jan-2018</v>
      </c>
      <c r="C7398">
        <f>TEST_DATA!C7398</f>
        <v>44470</v>
      </c>
      <c r="D7398" t="str">
        <f>TEST_DATA!D7398</f>
        <v>NON-NIL</v>
      </c>
      <c r="E7398">
        <f>TEST_DATA!E7398</f>
        <v>2072</v>
      </c>
    </row>
    <row r="7399" spans="1:5" x14ac:dyDescent="0.55000000000000004">
      <c r="A7399" t="str">
        <f>TEST_DATA!A7399</f>
        <v>27AAAAA7399Z5</v>
      </c>
      <c r="B7399" t="str">
        <f>TEST_DATA!B7399</f>
        <v>Jun-2020</v>
      </c>
      <c r="C7399">
        <f>TEST_DATA!C7399</f>
        <v>44257</v>
      </c>
      <c r="D7399" t="str">
        <f>TEST_DATA!D7399</f>
        <v>NIL</v>
      </c>
      <c r="E7399">
        <f>TEST_DATA!E7399</f>
        <v>1454</v>
      </c>
    </row>
    <row r="7400" spans="1:5" x14ac:dyDescent="0.55000000000000004">
      <c r="A7400" t="str">
        <f>TEST_DATA!A7400</f>
        <v>27AAAAA7400Z5</v>
      </c>
      <c r="B7400" t="str">
        <f>TEST_DATA!B7400</f>
        <v>Mar-2020</v>
      </c>
      <c r="C7400">
        <f>TEST_DATA!C7400</f>
        <v>44851</v>
      </c>
      <c r="D7400" t="str">
        <f>TEST_DATA!D7400</f>
        <v>NON-NIL</v>
      </c>
      <c r="E7400">
        <f>TEST_DATA!E7400</f>
        <v>1855</v>
      </c>
    </row>
    <row r="7401" spans="1:5" x14ac:dyDescent="0.55000000000000004">
      <c r="A7401" t="str">
        <f>TEST_DATA!A7401</f>
        <v>27AAAAA7401Z5</v>
      </c>
      <c r="B7401" t="str">
        <f>TEST_DATA!B7401</f>
        <v>Jul-2020</v>
      </c>
      <c r="C7401">
        <f>TEST_DATA!C7401</f>
        <v>44159</v>
      </c>
      <c r="D7401" t="str">
        <f>TEST_DATA!D7401</f>
        <v>NIL</v>
      </c>
      <c r="E7401">
        <f>TEST_DATA!E7401</f>
        <v>2713</v>
      </c>
    </row>
    <row r="7402" spans="1:5" x14ac:dyDescent="0.55000000000000004">
      <c r="A7402" t="str">
        <f>TEST_DATA!A7402</f>
        <v>27AAAAA7402Z5</v>
      </c>
      <c r="B7402" t="str">
        <f>TEST_DATA!B7402</f>
        <v>Sep-2018</v>
      </c>
      <c r="C7402">
        <f>TEST_DATA!C7402</f>
        <v>43395</v>
      </c>
      <c r="D7402" t="str">
        <f>TEST_DATA!D7402</f>
        <v>NIL</v>
      </c>
      <c r="E7402">
        <f>TEST_DATA!E7402</f>
        <v>2085</v>
      </c>
    </row>
    <row r="7403" spans="1:5" x14ac:dyDescent="0.55000000000000004">
      <c r="A7403" t="str">
        <f>TEST_DATA!A7403</f>
        <v>27AAAAA7403Z5</v>
      </c>
      <c r="B7403" t="str">
        <f>TEST_DATA!B7403</f>
        <v>Jul-2018</v>
      </c>
      <c r="C7403">
        <f>TEST_DATA!C7403</f>
        <v>44062</v>
      </c>
      <c r="D7403" t="str">
        <f>TEST_DATA!D7403</f>
        <v>NIL</v>
      </c>
      <c r="E7403">
        <f>TEST_DATA!E7403</f>
        <v>2910</v>
      </c>
    </row>
    <row r="7404" spans="1:5" x14ac:dyDescent="0.55000000000000004">
      <c r="A7404" t="str">
        <f>TEST_DATA!A7404</f>
        <v>27AAAAA7404Z5</v>
      </c>
      <c r="B7404" t="str">
        <f>TEST_DATA!B7404</f>
        <v>Aug-2017</v>
      </c>
      <c r="C7404">
        <f>TEST_DATA!C7404</f>
        <v>43196</v>
      </c>
      <c r="D7404" t="str">
        <f>TEST_DATA!D7404</f>
        <v>NIL</v>
      </c>
      <c r="E7404">
        <f>TEST_DATA!E7404</f>
        <v>1357</v>
      </c>
    </row>
    <row r="7405" spans="1:5" x14ac:dyDescent="0.55000000000000004">
      <c r="A7405" t="str">
        <f>TEST_DATA!A7405</f>
        <v>27AAAAA7405Z5</v>
      </c>
      <c r="B7405" t="str">
        <f>TEST_DATA!B7405</f>
        <v>Dec-2019</v>
      </c>
      <c r="C7405">
        <f>TEST_DATA!C7405</f>
        <v>44974</v>
      </c>
      <c r="D7405" t="str">
        <f>TEST_DATA!D7405</f>
        <v>NON-NIL</v>
      </c>
      <c r="E7405">
        <f>TEST_DATA!E7405</f>
        <v>2631</v>
      </c>
    </row>
    <row r="7406" spans="1:5" x14ac:dyDescent="0.55000000000000004">
      <c r="A7406" t="str">
        <f>TEST_DATA!A7406</f>
        <v>27AAAAA7406Z5</v>
      </c>
      <c r="B7406" t="str">
        <f>TEST_DATA!B7406</f>
        <v>Dec-2017</v>
      </c>
      <c r="C7406">
        <f>TEST_DATA!C7406</f>
        <v>43381</v>
      </c>
      <c r="D7406" t="str">
        <f>TEST_DATA!D7406</f>
        <v>NIL</v>
      </c>
      <c r="E7406">
        <f>TEST_DATA!E7406</f>
        <v>717</v>
      </c>
    </row>
    <row r="7407" spans="1:5" x14ac:dyDescent="0.55000000000000004">
      <c r="A7407" t="str">
        <f>TEST_DATA!A7407</f>
        <v>27AAAAA7407Z5</v>
      </c>
      <c r="B7407" t="str">
        <f>TEST_DATA!B7407</f>
        <v>Apr-2018</v>
      </c>
      <c r="C7407">
        <f>TEST_DATA!C7407</f>
        <v>43102</v>
      </c>
      <c r="D7407" t="str">
        <f>TEST_DATA!D7407</f>
        <v>NON-NIL</v>
      </c>
      <c r="E7407">
        <f>TEST_DATA!E7407</f>
        <v>1527</v>
      </c>
    </row>
    <row r="7408" spans="1:5" x14ac:dyDescent="0.55000000000000004">
      <c r="A7408" t="str">
        <f>TEST_DATA!A7408</f>
        <v>27AAAAA7408Z5</v>
      </c>
      <c r="B7408" t="str">
        <f>TEST_DATA!B7408</f>
        <v>Sep-2017</v>
      </c>
      <c r="C7408">
        <f>TEST_DATA!C7408</f>
        <v>44043</v>
      </c>
      <c r="D7408" t="str">
        <f>TEST_DATA!D7408</f>
        <v>NON-NIL</v>
      </c>
      <c r="E7408">
        <f>TEST_DATA!E7408</f>
        <v>2567</v>
      </c>
    </row>
    <row r="7409" spans="1:5" x14ac:dyDescent="0.55000000000000004">
      <c r="A7409" t="str">
        <f>TEST_DATA!A7409</f>
        <v>27AAAAA7409Z5</v>
      </c>
      <c r="B7409" t="str">
        <f>TEST_DATA!B7409</f>
        <v>Jan-2021</v>
      </c>
      <c r="C7409">
        <f>TEST_DATA!C7409</f>
        <v>44507</v>
      </c>
      <c r="D7409" t="str">
        <f>TEST_DATA!D7409</f>
        <v>NIL</v>
      </c>
      <c r="E7409">
        <f>TEST_DATA!E7409</f>
        <v>2388</v>
      </c>
    </row>
    <row r="7410" spans="1:5" x14ac:dyDescent="0.55000000000000004">
      <c r="A7410" t="str">
        <f>TEST_DATA!A7410</f>
        <v>27AAAAA7410Z5</v>
      </c>
      <c r="B7410" t="str">
        <f>TEST_DATA!B7410</f>
        <v>Aug-2018</v>
      </c>
      <c r="C7410">
        <f>TEST_DATA!C7410</f>
        <v>44549</v>
      </c>
      <c r="D7410" t="str">
        <f>TEST_DATA!D7410</f>
        <v>NON-NIL</v>
      </c>
      <c r="E7410">
        <f>TEST_DATA!E7410</f>
        <v>98</v>
      </c>
    </row>
    <row r="7411" spans="1:5" x14ac:dyDescent="0.55000000000000004">
      <c r="A7411" t="str">
        <f>TEST_DATA!A7411</f>
        <v>27AAAAA7411Z5</v>
      </c>
      <c r="B7411" t="str">
        <f>TEST_DATA!B7411</f>
        <v>Sep-2018</v>
      </c>
      <c r="C7411">
        <f>TEST_DATA!C7411</f>
        <v>43341</v>
      </c>
      <c r="D7411" t="str">
        <f>TEST_DATA!D7411</f>
        <v>NON-NIL</v>
      </c>
      <c r="E7411">
        <f>TEST_DATA!E7411</f>
        <v>1194</v>
      </c>
    </row>
    <row r="7412" spans="1:5" x14ac:dyDescent="0.55000000000000004">
      <c r="A7412" t="str">
        <f>TEST_DATA!A7412</f>
        <v>27AAAAA7412Z5</v>
      </c>
      <c r="B7412" t="str">
        <f>TEST_DATA!B7412</f>
        <v>Apr-2021</v>
      </c>
      <c r="C7412">
        <f>TEST_DATA!C7412</f>
        <v>45040</v>
      </c>
      <c r="D7412" t="str">
        <f>TEST_DATA!D7412</f>
        <v>NON-NIL</v>
      </c>
      <c r="E7412">
        <f>TEST_DATA!E7412</f>
        <v>2904</v>
      </c>
    </row>
    <row r="7413" spans="1:5" x14ac:dyDescent="0.55000000000000004">
      <c r="A7413" t="str">
        <f>TEST_DATA!A7413</f>
        <v>27AAAAA7413Z5</v>
      </c>
      <c r="B7413" t="str">
        <f>TEST_DATA!B7413</f>
        <v>Mar-2018</v>
      </c>
      <c r="C7413">
        <f>TEST_DATA!C7413</f>
        <v>43713</v>
      </c>
      <c r="D7413" t="str">
        <f>TEST_DATA!D7413</f>
        <v>NIL</v>
      </c>
      <c r="E7413">
        <f>TEST_DATA!E7413</f>
        <v>2978</v>
      </c>
    </row>
    <row r="7414" spans="1:5" x14ac:dyDescent="0.55000000000000004">
      <c r="A7414" t="str">
        <f>TEST_DATA!A7414</f>
        <v>27AAAAA7414Z5</v>
      </c>
      <c r="B7414" t="str">
        <f>TEST_DATA!B7414</f>
        <v>Oct-2017</v>
      </c>
      <c r="C7414">
        <f>TEST_DATA!C7414</f>
        <v>43624</v>
      </c>
      <c r="D7414" t="str">
        <f>TEST_DATA!D7414</f>
        <v>NON-NIL</v>
      </c>
      <c r="E7414">
        <f>TEST_DATA!E7414</f>
        <v>2231</v>
      </c>
    </row>
    <row r="7415" spans="1:5" x14ac:dyDescent="0.55000000000000004">
      <c r="A7415" t="str">
        <f>TEST_DATA!A7415</f>
        <v>27AAAAA7415Z5</v>
      </c>
      <c r="B7415" t="str">
        <f>TEST_DATA!B7415</f>
        <v>Apr-2018</v>
      </c>
      <c r="C7415">
        <f>TEST_DATA!C7415</f>
        <v>44248</v>
      </c>
      <c r="D7415" t="str">
        <f>TEST_DATA!D7415</f>
        <v>NIL</v>
      </c>
      <c r="E7415">
        <f>TEST_DATA!E7415</f>
        <v>2568</v>
      </c>
    </row>
    <row r="7416" spans="1:5" x14ac:dyDescent="0.55000000000000004">
      <c r="A7416" t="str">
        <f>TEST_DATA!A7416</f>
        <v>27AAAAA7416Z5</v>
      </c>
      <c r="B7416" t="str">
        <f>TEST_DATA!B7416</f>
        <v>Jan-2019</v>
      </c>
      <c r="C7416">
        <f>TEST_DATA!C7416</f>
        <v>44562</v>
      </c>
      <c r="D7416" t="str">
        <f>TEST_DATA!D7416</f>
        <v>NIL</v>
      </c>
      <c r="E7416">
        <f>TEST_DATA!E7416</f>
        <v>1739</v>
      </c>
    </row>
    <row r="7417" spans="1:5" x14ac:dyDescent="0.55000000000000004">
      <c r="A7417" t="str">
        <f>TEST_DATA!A7417</f>
        <v>27AAAAA7417Z5</v>
      </c>
      <c r="B7417" t="str">
        <f>TEST_DATA!B7417</f>
        <v>Sep-2017</v>
      </c>
      <c r="C7417">
        <f>TEST_DATA!C7417</f>
        <v>43822</v>
      </c>
      <c r="D7417" t="str">
        <f>TEST_DATA!D7417</f>
        <v>NIL</v>
      </c>
      <c r="E7417">
        <f>TEST_DATA!E7417</f>
        <v>1379</v>
      </c>
    </row>
    <row r="7418" spans="1:5" x14ac:dyDescent="0.55000000000000004">
      <c r="A7418" t="str">
        <f>TEST_DATA!A7418</f>
        <v>27AAAAA7418Z5</v>
      </c>
      <c r="B7418" t="str">
        <f>TEST_DATA!B7418</f>
        <v>Jul-2017</v>
      </c>
      <c r="C7418">
        <f>TEST_DATA!C7418</f>
        <v>43247</v>
      </c>
      <c r="D7418" t="str">
        <f>TEST_DATA!D7418</f>
        <v>NIL</v>
      </c>
      <c r="E7418">
        <f>TEST_DATA!E7418</f>
        <v>315</v>
      </c>
    </row>
    <row r="7419" spans="1:5" x14ac:dyDescent="0.55000000000000004">
      <c r="A7419" t="str">
        <f>TEST_DATA!A7419</f>
        <v>27AAAAA7419Z5</v>
      </c>
      <c r="B7419" t="str">
        <f>TEST_DATA!B7419</f>
        <v>Jun-2019</v>
      </c>
      <c r="C7419">
        <f>TEST_DATA!C7419</f>
        <v>43851</v>
      </c>
      <c r="D7419" t="str">
        <f>TEST_DATA!D7419</f>
        <v>NON-NIL</v>
      </c>
      <c r="E7419">
        <f>TEST_DATA!E7419</f>
        <v>2312</v>
      </c>
    </row>
    <row r="7420" spans="1:5" x14ac:dyDescent="0.55000000000000004">
      <c r="A7420" t="str">
        <f>TEST_DATA!A7420</f>
        <v>27AAAAA7420Z5</v>
      </c>
      <c r="B7420" t="str">
        <f>TEST_DATA!B7420</f>
        <v>Dec-2019</v>
      </c>
      <c r="C7420">
        <f>TEST_DATA!C7420</f>
        <v>43760</v>
      </c>
      <c r="D7420" t="str">
        <f>TEST_DATA!D7420</f>
        <v>NON-NIL</v>
      </c>
      <c r="E7420">
        <f>TEST_DATA!E7420</f>
        <v>405</v>
      </c>
    </row>
    <row r="7421" spans="1:5" x14ac:dyDescent="0.55000000000000004">
      <c r="A7421" t="str">
        <f>TEST_DATA!A7421</f>
        <v>27AAAAA7421Z5</v>
      </c>
      <c r="B7421" t="str">
        <f>TEST_DATA!B7421</f>
        <v>Feb-2018</v>
      </c>
      <c r="C7421">
        <f>TEST_DATA!C7421</f>
        <v>44530</v>
      </c>
      <c r="D7421" t="str">
        <f>TEST_DATA!D7421</f>
        <v>NON-NIL</v>
      </c>
      <c r="E7421">
        <f>TEST_DATA!E7421</f>
        <v>1120</v>
      </c>
    </row>
    <row r="7422" spans="1:5" x14ac:dyDescent="0.55000000000000004">
      <c r="A7422" t="str">
        <f>TEST_DATA!A7422</f>
        <v>27AAAAA7422Z5</v>
      </c>
      <c r="B7422" t="str">
        <f>TEST_DATA!B7422</f>
        <v>Jun-2020</v>
      </c>
      <c r="C7422">
        <f>TEST_DATA!C7422</f>
        <v>44813</v>
      </c>
      <c r="D7422" t="str">
        <f>TEST_DATA!D7422</f>
        <v>NON-NIL</v>
      </c>
      <c r="E7422">
        <f>TEST_DATA!E7422</f>
        <v>2863</v>
      </c>
    </row>
    <row r="7423" spans="1:5" x14ac:dyDescent="0.55000000000000004">
      <c r="A7423" t="str">
        <f>TEST_DATA!A7423</f>
        <v>27AAAAA7423Z5</v>
      </c>
      <c r="B7423" t="str">
        <f>TEST_DATA!B7423</f>
        <v>Dec-2024</v>
      </c>
      <c r="C7423">
        <f>TEST_DATA!C7423</f>
        <v>43705</v>
      </c>
      <c r="D7423" t="str">
        <f>TEST_DATA!D7423</f>
        <v>NON-NIL</v>
      </c>
      <c r="E7423">
        <f>TEST_DATA!E7423</f>
        <v>2303</v>
      </c>
    </row>
    <row r="7424" spans="1:5" x14ac:dyDescent="0.55000000000000004">
      <c r="A7424" t="str">
        <f>TEST_DATA!A7424</f>
        <v>27AAAAA7424Z5</v>
      </c>
      <c r="B7424" t="str">
        <f>TEST_DATA!B7424</f>
        <v>Jan-2018</v>
      </c>
      <c r="C7424">
        <f>TEST_DATA!C7424</f>
        <v>44338</v>
      </c>
      <c r="D7424" t="str">
        <f>TEST_DATA!D7424</f>
        <v>NON-NIL</v>
      </c>
      <c r="E7424">
        <f>TEST_DATA!E7424</f>
        <v>1842</v>
      </c>
    </row>
    <row r="7425" spans="1:5" x14ac:dyDescent="0.55000000000000004">
      <c r="A7425" t="str">
        <f>TEST_DATA!A7425</f>
        <v>27AAAAA7425Z5</v>
      </c>
      <c r="B7425" t="str">
        <f>TEST_DATA!B7425</f>
        <v>Apr-2018</v>
      </c>
      <c r="C7425">
        <f>TEST_DATA!C7425</f>
        <v>42969</v>
      </c>
      <c r="D7425" t="str">
        <f>TEST_DATA!D7425</f>
        <v>NIL</v>
      </c>
      <c r="E7425">
        <f>TEST_DATA!E7425</f>
        <v>2422</v>
      </c>
    </row>
    <row r="7426" spans="1:5" x14ac:dyDescent="0.55000000000000004">
      <c r="A7426" t="str">
        <f>TEST_DATA!A7426</f>
        <v>27AAAAA7426Z5</v>
      </c>
      <c r="B7426" t="str">
        <f>TEST_DATA!B7426</f>
        <v>Apr-2021</v>
      </c>
      <c r="C7426">
        <f>TEST_DATA!C7426</f>
        <v>43979</v>
      </c>
      <c r="D7426" t="str">
        <f>TEST_DATA!D7426</f>
        <v>NON-NIL</v>
      </c>
      <c r="E7426">
        <f>TEST_DATA!E7426</f>
        <v>1182</v>
      </c>
    </row>
    <row r="7427" spans="1:5" x14ac:dyDescent="0.55000000000000004">
      <c r="A7427" t="str">
        <f>TEST_DATA!A7427</f>
        <v>27AAAAA7427Z5</v>
      </c>
      <c r="B7427" t="str">
        <f>TEST_DATA!B7427</f>
        <v>Jun-2020</v>
      </c>
      <c r="C7427">
        <f>TEST_DATA!C7427</f>
        <v>44325</v>
      </c>
      <c r="D7427" t="str">
        <f>TEST_DATA!D7427</f>
        <v>NIL</v>
      </c>
      <c r="E7427">
        <f>TEST_DATA!E7427</f>
        <v>117</v>
      </c>
    </row>
    <row r="7428" spans="1:5" x14ac:dyDescent="0.55000000000000004">
      <c r="A7428" t="str">
        <f>TEST_DATA!A7428</f>
        <v>27AAAAA7428Z5</v>
      </c>
      <c r="B7428" t="str">
        <f>TEST_DATA!B7428</f>
        <v>Apr-2021</v>
      </c>
      <c r="C7428">
        <f>TEST_DATA!C7428</f>
        <v>44086</v>
      </c>
      <c r="D7428" t="str">
        <f>TEST_DATA!D7428</f>
        <v>NON-NIL</v>
      </c>
      <c r="E7428">
        <f>TEST_DATA!E7428</f>
        <v>2598</v>
      </c>
    </row>
    <row r="7429" spans="1:5" x14ac:dyDescent="0.55000000000000004">
      <c r="A7429" t="str">
        <f>TEST_DATA!A7429</f>
        <v>27AAAAA7429Z5</v>
      </c>
      <c r="B7429" t="str">
        <f>TEST_DATA!B7429</f>
        <v>Jun-2018</v>
      </c>
      <c r="C7429">
        <f>TEST_DATA!C7429</f>
        <v>44451</v>
      </c>
      <c r="D7429" t="str">
        <f>TEST_DATA!D7429</f>
        <v>NIL</v>
      </c>
      <c r="E7429">
        <f>TEST_DATA!E7429</f>
        <v>2355</v>
      </c>
    </row>
    <row r="7430" spans="1:5" x14ac:dyDescent="0.55000000000000004">
      <c r="A7430" t="str">
        <f>TEST_DATA!A7430</f>
        <v>27AAAAA7430Z5</v>
      </c>
      <c r="B7430" t="str">
        <f>TEST_DATA!B7430</f>
        <v>Jan-2021</v>
      </c>
      <c r="C7430">
        <f>TEST_DATA!C7430</f>
        <v>45040</v>
      </c>
      <c r="D7430" t="str">
        <f>TEST_DATA!D7430</f>
        <v>NIL</v>
      </c>
      <c r="E7430">
        <f>TEST_DATA!E7430</f>
        <v>477</v>
      </c>
    </row>
    <row r="7431" spans="1:5" x14ac:dyDescent="0.55000000000000004">
      <c r="A7431" t="str">
        <f>TEST_DATA!A7431</f>
        <v>27AAAAA7431Z5</v>
      </c>
      <c r="B7431" t="str">
        <f>TEST_DATA!B7431</f>
        <v>Dec-2019</v>
      </c>
      <c r="C7431">
        <f>TEST_DATA!C7431</f>
        <v>44238</v>
      </c>
      <c r="D7431" t="str">
        <f>TEST_DATA!D7431</f>
        <v>NON-NIL</v>
      </c>
      <c r="E7431">
        <f>TEST_DATA!E7431</f>
        <v>1544</v>
      </c>
    </row>
    <row r="7432" spans="1:5" x14ac:dyDescent="0.55000000000000004">
      <c r="A7432" t="str">
        <f>TEST_DATA!A7432</f>
        <v>27AAAAA7432Z5</v>
      </c>
      <c r="B7432" t="str">
        <f>TEST_DATA!B7432</f>
        <v>Sep-2018</v>
      </c>
      <c r="C7432">
        <f>TEST_DATA!C7432</f>
        <v>43858</v>
      </c>
      <c r="D7432" t="str">
        <f>TEST_DATA!D7432</f>
        <v>NIL</v>
      </c>
      <c r="E7432">
        <f>TEST_DATA!E7432</f>
        <v>2456</v>
      </c>
    </row>
    <row r="7433" spans="1:5" x14ac:dyDescent="0.55000000000000004">
      <c r="A7433" t="str">
        <f>TEST_DATA!A7433</f>
        <v>27AAAAA7433Z5</v>
      </c>
      <c r="B7433" t="str">
        <f>TEST_DATA!B7433</f>
        <v>Jan-2021</v>
      </c>
      <c r="C7433">
        <f>TEST_DATA!C7433</f>
        <v>45012</v>
      </c>
      <c r="D7433" t="str">
        <f>TEST_DATA!D7433</f>
        <v>NON-NIL</v>
      </c>
      <c r="E7433">
        <f>TEST_DATA!E7433</f>
        <v>1695</v>
      </c>
    </row>
    <row r="7434" spans="1:5" x14ac:dyDescent="0.55000000000000004">
      <c r="A7434" t="str">
        <f>TEST_DATA!A7434</f>
        <v>27AAAAA7434Z5</v>
      </c>
      <c r="B7434" t="str">
        <f>TEST_DATA!B7434</f>
        <v>Aug-2018</v>
      </c>
      <c r="C7434">
        <f>TEST_DATA!C7434</f>
        <v>43076</v>
      </c>
      <c r="D7434" t="str">
        <f>TEST_DATA!D7434</f>
        <v>NIL</v>
      </c>
      <c r="E7434">
        <f>TEST_DATA!E7434</f>
        <v>571</v>
      </c>
    </row>
    <row r="7435" spans="1:5" x14ac:dyDescent="0.55000000000000004">
      <c r="A7435" t="str">
        <f>TEST_DATA!A7435</f>
        <v>27AAAAA7435Z5</v>
      </c>
      <c r="B7435" t="str">
        <f>TEST_DATA!B7435</f>
        <v>May-2018</v>
      </c>
      <c r="C7435">
        <f>TEST_DATA!C7435</f>
        <v>44446</v>
      </c>
      <c r="D7435" t="str">
        <f>TEST_DATA!D7435</f>
        <v>NON-NIL</v>
      </c>
      <c r="E7435">
        <f>TEST_DATA!E7435</f>
        <v>985</v>
      </c>
    </row>
    <row r="7436" spans="1:5" x14ac:dyDescent="0.55000000000000004">
      <c r="A7436" t="str">
        <f>TEST_DATA!A7436</f>
        <v>27AAAAA7436Z5</v>
      </c>
      <c r="B7436" t="str">
        <f>TEST_DATA!B7436</f>
        <v>Mar-2018</v>
      </c>
      <c r="C7436">
        <f>TEST_DATA!C7436</f>
        <v>43273</v>
      </c>
      <c r="D7436" t="str">
        <f>TEST_DATA!D7436</f>
        <v>NIL</v>
      </c>
      <c r="E7436">
        <f>TEST_DATA!E7436</f>
        <v>550</v>
      </c>
    </row>
    <row r="7437" spans="1:5" x14ac:dyDescent="0.55000000000000004">
      <c r="A7437" t="str">
        <f>TEST_DATA!A7437</f>
        <v>27AAAAA7437Z5</v>
      </c>
      <c r="B7437" t="str">
        <f>TEST_DATA!B7437</f>
        <v>Apr-2021</v>
      </c>
      <c r="C7437">
        <f>TEST_DATA!C7437</f>
        <v>43990</v>
      </c>
      <c r="D7437" t="str">
        <f>TEST_DATA!D7437</f>
        <v>NIL</v>
      </c>
      <c r="E7437">
        <f>TEST_DATA!E7437</f>
        <v>2785</v>
      </c>
    </row>
    <row r="7438" spans="1:5" x14ac:dyDescent="0.55000000000000004">
      <c r="A7438" t="str">
        <f>TEST_DATA!A7438</f>
        <v>27AAAAA7438Z5</v>
      </c>
      <c r="B7438" t="str">
        <f>TEST_DATA!B7438</f>
        <v>Jul-2020</v>
      </c>
      <c r="C7438">
        <f>TEST_DATA!C7438</f>
        <v>44281</v>
      </c>
      <c r="D7438" t="str">
        <f>TEST_DATA!D7438</f>
        <v>NON-NIL</v>
      </c>
      <c r="E7438">
        <f>TEST_DATA!E7438</f>
        <v>2513</v>
      </c>
    </row>
    <row r="7439" spans="1:5" x14ac:dyDescent="0.55000000000000004">
      <c r="A7439" t="str">
        <f>TEST_DATA!A7439</f>
        <v>27AAAAA7439Z5</v>
      </c>
      <c r="B7439" t="str">
        <f>TEST_DATA!B7439</f>
        <v>Mar-2020</v>
      </c>
      <c r="C7439">
        <f>TEST_DATA!C7439</f>
        <v>43912</v>
      </c>
      <c r="D7439" t="str">
        <f>TEST_DATA!D7439</f>
        <v>NIL</v>
      </c>
      <c r="E7439">
        <f>TEST_DATA!E7439</f>
        <v>855</v>
      </c>
    </row>
    <row r="7440" spans="1:5" x14ac:dyDescent="0.55000000000000004">
      <c r="A7440" t="str">
        <f>TEST_DATA!A7440</f>
        <v>27AAAAA7440Z5</v>
      </c>
      <c r="B7440" t="str">
        <f>TEST_DATA!B7440</f>
        <v>Jan-2021</v>
      </c>
      <c r="C7440">
        <f>TEST_DATA!C7440</f>
        <v>45258</v>
      </c>
      <c r="D7440" t="str">
        <f>TEST_DATA!D7440</f>
        <v>NON-NIL</v>
      </c>
      <c r="E7440">
        <f>TEST_DATA!E7440</f>
        <v>2268</v>
      </c>
    </row>
    <row r="7441" spans="1:5" x14ac:dyDescent="0.55000000000000004">
      <c r="A7441" t="str">
        <f>TEST_DATA!A7441</f>
        <v>27AAAAA7441Z5</v>
      </c>
      <c r="B7441" t="str">
        <f>TEST_DATA!B7441</f>
        <v>Feb-2018</v>
      </c>
      <c r="C7441">
        <f>TEST_DATA!C7441</f>
        <v>43779</v>
      </c>
      <c r="D7441" t="str">
        <f>TEST_DATA!D7441</f>
        <v>NON-NIL</v>
      </c>
      <c r="E7441">
        <f>TEST_DATA!E7441</f>
        <v>1466</v>
      </c>
    </row>
    <row r="7442" spans="1:5" x14ac:dyDescent="0.55000000000000004">
      <c r="A7442" t="str">
        <f>TEST_DATA!A7442</f>
        <v>27AAAAA7442Z5</v>
      </c>
      <c r="B7442" t="str">
        <f>TEST_DATA!B7442</f>
        <v>Apr-2020</v>
      </c>
      <c r="C7442">
        <f>TEST_DATA!C7442</f>
        <v>43864</v>
      </c>
      <c r="D7442" t="str">
        <f>TEST_DATA!D7442</f>
        <v>NIL</v>
      </c>
      <c r="E7442">
        <f>TEST_DATA!E7442</f>
        <v>1942</v>
      </c>
    </row>
    <row r="7443" spans="1:5" x14ac:dyDescent="0.55000000000000004">
      <c r="A7443" t="str">
        <f>TEST_DATA!A7443</f>
        <v>27AAAAA7443Z5</v>
      </c>
      <c r="B7443" t="str">
        <f>TEST_DATA!B7443</f>
        <v>Mar-2023</v>
      </c>
      <c r="C7443">
        <f>TEST_DATA!C7443</f>
        <v>45318</v>
      </c>
      <c r="D7443" t="str">
        <f>TEST_DATA!D7443</f>
        <v>NIL</v>
      </c>
      <c r="E7443">
        <f>TEST_DATA!E7443</f>
        <v>1341</v>
      </c>
    </row>
    <row r="7444" spans="1:5" x14ac:dyDescent="0.55000000000000004">
      <c r="A7444" t="str">
        <f>TEST_DATA!A7444</f>
        <v>27AAAAA7444Z5</v>
      </c>
      <c r="B7444" t="str">
        <f>TEST_DATA!B7444</f>
        <v>Nov-2017</v>
      </c>
      <c r="C7444">
        <f>TEST_DATA!C7444</f>
        <v>44218</v>
      </c>
      <c r="D7444" t="str">
        <f>TEST_DATA!D7444</f>
        <v>NON-NIL</v>
      </c>
      <c r="E7444">
        <f>TEST_DATA!E7444</f>
        <v>1130</v>
      </c>
    </row>
    <row r="7445" spans="1:5" x14ac:dyDescent="0.55000000000000004">
      <c r="A7445" t="str">
        <f>TEST_DATA!A7445</f>
        <v>27AAAAA7445Z5</v>
      </c>
      <c r="B7445" t="str">
        <f>TEST_DATA!B7445</f>
        <v>Dec-2022</v>
      </c>
      <c r="C7445">
        <f>TEST_DATA!C7445</f>
        <v>45119</v>
      </c>
      <c r="D7445" t="str">
        <f>TEST_DATA!D7445</f>
        <v>NIL</v>
      </c>
      <c r="E7445">
        <f>TEST_DATA!E7445</f>
        <v>1123</v>
      </c>
    </row>
    <row r="7446" spans="1:5" x14ac:dyDescent="0.55000000000000004">
      <c r="A7446" t="str">
        <f>TEST_DATA!A7446</f>
        <v>27AAAAA7446Z5</v>
      </c>
      <c r="B7446" t="str">
        <f>TEST_DATA!B7446</f>
        <v>Apr-2018</v>
      </c>
      <c r="C7446">
        <f>TEST_DATA!C7446</f>
        <v>42972</v>
      </c>
      <c r="D7446" t="str">
        <f>TEST_DATA!D7446</f>
        <v>NIL</v>
      </c>
      <c r="E7446">
        <f>TEST_DATA!E7446</f>
        <v>865</v>
      </c>
    </row>
    <row r="7447" spans="1:5" x14ac:dyDescent="0.55000000000000004">
      <c r="A7447" t="str">
        <f>TEST_DATA!A7447</f>
        <v>27AAAAA7447Z5</v>
      </c>
      <c r="B7447" t="str">
        <f>TEST_DATA!B7447</f>
        <v>Feb-2018</v>
      </c>
      <c r="C7447">
        <f>TEST_DATA!C7447</f>
        <v>44508</v>
      </c>
      <c r="D7447" t="str">
        <f>TEST_DATA!D7447</f>
        <v>NON-NIL</v>
      </c>
      <c r="E7447">
        <f>TEST_DATA!E7447</f>
        <v>256</v>
      </c>
    </row>
    <row r="7448" spans="1:5" x14ac:dyDescent="0.55000000000000004">
      <c r="A7448" t="str">
        <f>TEST_DATA!A7448</f>
        <v>27AAAAA7448Z5</v>
      </c>
      <c r="B7448" t="str">
        <f>TEST_DATA!B7448</f>
        <v>Sep-2018</v>
      </c>
      <c r="C7448">
        <f>TEST_DATA!C7448</f>
        <v>43539</v>
      </c>
      <c r="D7448" t="str">
        <f>TEST_DATA!D7448</f>
        <v>NON-NIL</v>
      </c>
      <c r="E7448">
        <f>TEST_DATA!E7448</f>
        <v>1476</v>
      </c>
    </row>
    <row r="7449" spans="1:5" x14ac:dyDescent="0.55000000000000004">
      <c r="A7449" t="str">
        <f>TEST_DATA!A7449</f>
        <v>27AAAAA7449Z5</v>
      </c>
      <c r="B7449" t="str">
        <f>TEST_DATA!B7449</f>
        <v>Aug-2018</v>
      </c>
      <c r="C7449">
        <f>TEST_DATA!C7449</f>
        <v>43546</v>
      </c>
      <c r="D7449" t="str">
        <f>TEST_DATA!D7449</f>
        <v>NIL</v>
      </c>
      <c r="E7449">
        <f>TEST_DATA!E7449</f>
        <v>1543</v>
      </c>
    </row>
    <row r="7450" spans="1:5" x14ac:dyDescent="0.55000000000000004">
      <c r="A7450" t="str">
        <f>TEST_DATA!A7450</f>
        <v>27AAAAA7450Z5</v>
      </c>
      <c r="B7450" t="str">
        <f>TEST_DATA!B7450</f>
        <v>Dec-2022</v>
      </c>
      <c r="C7450">
        <f>TEST_DATA!C7450</f>
        <v>43681</v>
      </c>
      <c r="D7450" t="str">
        <f>TEST_DATA!D7450</f>
        <v>NIL</v>
      </c>
      <c r="E7450">
        <f>TEST_DATA!E7450</f>
        <v>2251</v>
      </c>
    </row>
    <row r="7451" spans="1:5" x14ac:dyDescent="0.55000000000000004">
      <c r="A7451" t="str">
        <f>TEST_DATA!A7451</f>
        <v>27AAAAA7451Z5</v>
      </c>
      <c r="B7451" t="str">
        <f>TEST_DATA!B7451</f>
        <v>Jul-2018</v>
      </c>
      <c r="C7451">
        <f>TEST_DATA!C7451</f>
        <v>43421</v>
      </c>
      <c r="D7451" t="str">
        <f>TEST_DATA!D7451</f>
        <v>NON-NIL</v>
      </c>
      <c r="E7451">
        <f>TEST_DATA!E7451</f>
        <v>525</v>
      </c>
    </row>
    <row r="7452" spans="1:5" x14ac:dyDescent="0.55000000000000004">
      <c r="A7452" t="str">
        <f>TEST_DATA!A7452</f>
        <v>27AAAAA7452Z5</v>
      </c>
      <c r="B7452" t="str">
        <f>TEST_DATA!B7452</f>
        <v>Jul-2018</v>
      </c>
      <c r="C7452">
        <f>TEST_DATA!C7452</f>
        <v>43363</v>
      </c>
      <c r="D7452" t="str">
        <f>TEST_DATA!D7452</f>
        <v>NIL</v>
      </c>
      <c r="E7452">
        <f>TEST_DATA!E7452</f>
        <v>2324</v>
      </c>
    </row>
    <row r="7453" spans="1:5" x14ac:dyDescent="0.55000000000000004">
      <c r="A7453" t="str">
        <f>TEST_DATA!A7453</f>
        <v>27AAAAA7453Z5</v>
      </c>
      <c r="B7453" t="str">
        <f>TEST_DATA!B7453</f>
        <v>Mar-2020</v>
      </c>
      <c r="C7453">
        <f>TEST_DATA!C7453</f>
        <v>44561</v>
      </c>
      <c r="D7453" t="str">
        <f>TEST_DATA!D7453</f>
        <v>NON-NIL</v>
      </c>
      <c r="E7453">
        <f>TEST_DATA!E7453</f>
        <v>2508</v>
      </c>
    </row>
    <row r="7454" spans="1:5" x14ac:dyDescent="0.55000000000000004">
      <c r="A7454" t="str">
        <f>TEST_DATA!A7454</f>
        <v>27AAAAA7454Z5</v>
      </c>
      <c r="B7454" t="str">
        <f>TEST_DATA!B7454</f>
        <v>May-2020</v>
      </c>
      <c r="C7454">
        <f>TEST_DATA!C7454</f>
        <v>44516</v>
      </c>
      <c r="D7454" t="str">
        <f>TEST_DATA!D7454</f>
        <v>NON-NIL</v>
      </c>
      <c r="E7454">
        <f>TEST_DATA!E7454</f>
        <v>2386</v>
      </c>
    </row>
    <row r="7455" spans="1:5" x14ac:dyDescent="0.55000000000000004">
      <c r="A7455" t="str">
        <f>TEST_DATA!A7455</f>
        <v>27AAAAA7455Z5</v>
      </c>
      <c r="B7455" t="str">
        <f>TEST_DATA!B7455</f>
        <v>Mar-2021</v>
      </c>
      <c r="C7455">
        <f>TEST_DATA!C7455</f>
        <v>44112</v>
      </c>
      <c r="D7455" t="str">
        <f>TEST_DATA!D7455</f>
        <v>NIL</v>
      </c>
      <c r="E7455">
        <f>TEST_DATA!E7455</f>
        <v>1990</v>
      </c>
    </row>
    <row r="7456" spans="1:5" x14ac:dyDescent="0.55000000000000004">
      <c r="A7456" t="str">
        <f>TEST_DATA!A7456</f>
        <v>27AAAAA7456Z5</v>
      </c>
      <c r="B7456" t="str">
        <f>TEST_DATA!B7456</f>
        <v>Jun-2020</v>
      </c>
      <c r="C7456">
        <f>TEST_DATA!C7456</f>
        <v>44729</v>
      </c>
      <c r="D7456" t="str">
        <f>TEST_DATA!D7456</f>
        <v>NON-NIL</v>
      </c>
      <c r="E7456">
        <f>TEST_DATA!E7456</f>
        <v>1076</v>
      </c>
    </row>
    <row r="7457" spans="1:5" x14ac:dyDescent="0.55000000000000004">
      <c r="A7457" t="str">
        <f>TEST_DATA!A7457</f>
        <v>27AAAAA7457Z5</v>
      </c>
      <c r="B7457" t="str">
        <f>TEST_DATA!B7457</f>
        <v>Apr-2021</v>
      </c>
      <c r="C7457">
        <f>TEST_DATA!C7457</f>
        <v>43845</v>
      </c>
      <c r="D7457" t="str">
        <f>TEST_DATA!D7457</f>
        <v>NON-NIL</v>
      </c>
      <c r="E7457">
        <f>TEST_DATA!E7457</f>
        <v>2489</v>
      </c>
    </row>
    <row r="7458" spans="1:5" x14ac:dyDescent="0.55000000000000004">
      <c r="A7458" t="str">
        <f>TEST_DATA!A7458</f>
        <v>27AAAAA7458Z5</v>
      </c>
      <c r="B7458" t="str">
        <f>TEST_DATA!B7458</f>
        <v>Aug-2017</v>
      </c>
      <c r="C7458">
        <f>TEST_DATA!C7458</f>
        <v>42970</v>
      </c>
      <c r="D7458" t="str">
        <f>TEST_DATA!D7458</f>
        <v>NIL</v>
      </c>
      <c r="E7458">
        <f>TEST_DATA!E7458</f>
        <v>2242</v>
      </c>
    </row>
    <row r="7459" spans="1:5" x14ac:dyDescent="0.55000000000000004">
      <c r="A7459" t="str">
        <f>TEST_DATA!A7459</f>
        <v>27AAAAA7459Z5</v>
      </c>
      <c r="B7459" t="str">
        <f>TEST_DATA!B7459</f>
        <v>May-2018</v>
      </c>
      <c r="C7459">
        <f>TEST_DATA!C7459</f>
        <v>42922</v>
      </c>
      <c r="D7459" t="str">
        <f>TEST_DATA!D7459</f>
        <v>NIL</v>
      </c>
      <c r="E7459">
        <f>TEST_DATA!E7459</f>
        <v>1370</v>
      </c>
    </row>
    <row r="7460" spans="1:5" x14ac:dyDescent="0.55000000000000004">
      <c r="A7460" t="str">
        <f>TEST_DATA!A7460</f>
        <v>27AAAAA7460Z5</v>
      </c>
      <c r="B7460" t="str">
        <f>TEST_DATA!B7460</f>
        <v>May-2018</v>
      </c>
      <c r="C7460">
        <f>TEST_DATA!C7460</f>
        <v>43047</v>
      </c>
      <c r="D7460" t="str">
        <f>TEST_DATA!D7460</f>
        <v>NIL</v>
      </c>
      <c r="E7460">
        <f>TEST_DATA!E7460</f>
        <v>1110</v>
      </c>
    </row>
    <row r="7461" spans="1:5" x14ac:dyDescent="0.55000000000000004">
      <c r="A7461" t="str">
        <f>TEST_DATA!A7461</f>
        <v>27AAAAA7461Z5</v>
      </c>
      <c r="B7461" t="str">
        <f>TEST_DATA!B7461</f>
        <v>Mar-2021</v>
      </c>
      <c r="C7461">
        <f>TEST_DATA!C7461</f>
        <v>44647</v>
      </c>
      <c r="D7461" t="str">
        <f>TEST_DATA!D7461</f>
        <v>NON-NIL</v>
      </c>
      <c r="E7461">
        <f>TEST_DATA!E7461</f>
        <v>2250</v>
      </c>
    </row>
    <row r="7462" spans="1:5" x14ac:dyDescent="0.55000000000000004">
      <c r="A7462" t="str">
        <f>TEST_DATA!A7462</f>
        <v>27AAAAA7462Z5</v>
      </c>
      <c r="B7462" t="str">
        <f>TEST_DATA!B7462</f>
        <v>Jul-2018</v>
      </c>
      <c r="C7462">
        <f>TEST_DATA!C7462</f>
        <v>43902</v>
      </c>
      <c r="D7462" t="str">
        <f>TEST_DATA!D7462</f>
        <v>NIL</v>
      </c>
      <c r="E7462">
        <f>TEST_DATA!E7462</f>
        <v>739</v>
      </c>
    </row>
    <row r="7463" spans="1:5" x14ac:dyDescent="0.55000000000000004">
      <c r="A7463" t="str">
        <f>TEST_DATA!A7463</f>
        <v>27AAAAA7463Z5</v>
      </c>
      <c r="B7463" t="str">
        <f>TEST_DATA!B7463</f>
        <v>Dec-2019</v>
      </c>
      <c r="C7463">
        <f>TEST_DATA!C7463</f>
        <v>45661</v>
      </c>
      <c r="D7463" t="str">
        <f>TEST_DATA!D7463</f>
        <v>NIL</v>
      </c>
      <c r="E7463">
        <f>TEST_DATA!E7463</f>
        <v>2345</v>
      </c>
    </row>
    <row r="7464" spans="1:5" x14ac:dyDescent="0.55000000000000004">
      <c r="A7464" t="str">
        <f>TEST_DATA!A7464</f>
        <v>27AAAAA7464Z5</v>
      </c>
      <c r="B7464" t="str">
        <f>TEST_DATA!B7464</f>
        <v>Jul-2017</v>
      </c>
      <c r="C7464">
        <f>TEST_DATA!C7464</f>
        <v>43532</v>
      </c>
      <c r="D7464" t="str">
        <f>TEST_DATA!D7464</f>
        <v>NON-NIL</v>
      </c>
      <c r="E7464">
        <f>TEST_DATA!E7464</f>
        <v>987</v>
      </c>
    </row>
    <row r="7465" spans="1:5" x14ac:dyDescent="0.55000000000000004">
      <c r="A7465" t="str">
        <f>TEST_DATA!A7465</f>
        <v>27AAAAA7465Z5</v>
      </c>
      <c r="B7465" t="str">
        <f>TEST_DATA!B7465</f>
        <v>Feb-2018</v>
      </c>
      <c r="C7465">
        <f>TEST_DATA!C7465</f>
        <v>43052</v>
      </c>
      <c r="D7465" t="str">
        <f>TEST_DATA!D7465</f>
        <v>NON-NIL</v>
      </c>
      <c r="E7465">
        <f>TEST_DATA!E7465</f>
        <v>1479</v>
      </c>
    </row>
    <row r="7466" spans="1:5" x14ac:dyDescent="0.55000000000000004">
      <c r="A7466" t="str">
        <f>TEST_DATA!A7466</f>
        <v>27AAAAA7466Z5</v>
      </c>
      <c r="B7466" t="str">
        <f>TEST_DATA!B7466</f>
        <v>Mar-2018</v>
      </c>
      <c r="C7466">
        <f>TEST_DATA!C7466</f>
        <v>43691</v>
      </c>
      <c r="D7466" t="str">
        <f>TEST_DATA!D7466</f>
        <v>NIL</v>
      </c>
      <c r="E7466">
        <f>TEST_DATA!E7466</f>
        <v>1531</v>
      </c>
    </row>
    <row r="7467" spans="1:5" x14ac:dyDescent="0.55000000000000004">
      <c r="A7467" t="str">
        <f>TEST_DATA!A7467</f>
        <v>27AAAAA7467Z5</v>
      </c>
      <c r="B7467" t="str">
        <f>TEST_DATA!B7467</f>
        <v>Jun-2020</v>
      </c>
      <c r="C7467">
        <f>TEST_DATA!C7467</f>
        <v>44818</v>
      </c>
      <c r="D7467" t="str">
        <f>TEST_DATA!D7467</f>
        <v>NON-NIL</v>
      </c>
      <c r="E7467">
        <f>TEST_DATA!E7467</f>
        <v>2376</v>
      </c>
    </row>
    <row r="7468" spans="1:5" x14ac:dyDescent="0.55000000000000004">
      <c r="A7468" t="str">
        <f>TEST_DATA!A7468</f>
        <v>27AAAAA7468Z5</v>
      </c>
      <c r="B7468" t="str">
        <f>TEST_DATA!B7468</f>
        <v>Dec-2022</v>
      </c>
      <c r="C7468">
        <f>TEST_DATA!C7468</f>
        <v>44276</v>
      </c>
      <c r="D7468" t="str">
        <f>TEST_DATA!D7468</f>
        <v>NIL</v>
      </c>
      <c r="E7468">
        <f>TEST_DATA!E7468</f>
        <v>1464</v>
      </c>
    </row>
    <row r="7469" spans="1:5" x14ac:dyDescent="0.55000000000000004">
      <c r="A7469" t="str">
        <f>TEST_DATA!A7469</f>
        <v>27AAAAA7469Z5</v>
      </c>
      <c r="B7469" t="str">
        <f>TEST_DATA!B7469</f>
        <v>Sep-2017</v>
      </c>
      <c r="C7469">
        <f>TEST_DATA!C7469</f>
        <v>43151</v>
      </c>
      <c r="D7469" t="str">
        <f>TEST_DATA!D7469</f>
        <v>NON-NIL</v>
      </c>
      <c r="E7469">
        <f>TEST_DATA!E7469</f>
        <v>2853</v>
      </c>
    </row>
    <row r="7470" spans="1:5" x14ac:dyDescent="0.55000000000000004">
      <c r="A7470" t="str">
        <f>TEST_DATA!A7470</f>
        <v>27AAAAA7470Z5</v>
      </c>
      <c r="B7470" t="str">
        <f>TEST_DATA!B7470</f>
        <v>Apr-2021</v>
      </c>
      <c r="C7470">
        <f>TEST_DATA!C7470</f>
        <v>45341</v>
      </c>
      <c r="D7470" t="str">
        <f>TEST_DATA!D7470</f>
        <v>NON-NIL</v>
      </c>
      <c r="E7470">
        <f>TEST_DATA!E7470</f>
        <v>2415</v>
      </c>
    </row>
    <row r="7471" spans="1:5" x14ac:dyDescent="0.55000000000000004">
      <c r="A7471" t="str">
        <f>TEST_DATA!A7471</f>
        <v>27AAAAA7471Z5</v>
      </c>
      <c r="B7471" t="str">
        <f>TEST_DATA!B7471</f>
        <v>Dec-2022</v>
      </c>
      <c r="C7471">
        <f>TEST_DATA!C7471</f>
        <v>44763</v>
      </c>
      <c r="D7471" t="str">
        <f>TEST_DATA!D7471</f>
        <v>NIL</v>
      </c>
      <c r="E7471">
        <f>TEST_DATA!E7471</f>
        <v>260</v>
      </c>
    </row>
    <row r="7472" spans="1:5" x14ac:dyDescent="0.55000000000000004">
      <c r="A7472" t="str">
        <f>TEST_DATA!A7472</f>
        <v>27AAAAA7472Z5</v>
      </c>
      <c r="B7472" t="str">
        <f>TEST_DATA!B7472</f>
        <v>Nov-2017</v>
      </c>
      <c r="C7472">
        <f>TEST_DATA!C7472</f>
        <v>44326</v>
      </c>
      <c r="D7472" t="str">
        <f>TEST_DATA!D7472</f>
        <v>NIL</v>
      </c>
      <c r="E7472">
        <f>TEST_DATA!E7472</f>
        <v>1185</v>
      </c>
    </row>
    <row r="7473" spans="1:5" x14ac:dyDescent="0.55000000000000004">
      <c r="A7473" t="str">
        <f>TEST_DATA!A7473</f>
        <v>27AAAAA7473Z5</v>
      </c>
      <c r="B7473" t="str">
        <f>TEST_DATA!B7473</f>
        <v>Jul-2017</v>
      </c>
      <c r="C7473">
        <f>TEST_DATA!C7473</f>
        <v>44111</v>
      </c>
      <c r="D7473" t="str">
        <f>TEST_DATA!D7473</f>
        <v>NON-NIL</v>
      </c>
      <c r="E7473">
        <f>TEST_DATA!E7473</f>
        <v>1169</v>
      </c>
    </row>
    <row r="7474" spans="1:5" x14ac:dyDescent="0.55000000000000004">
      <c r="A7474" t="str">
        <f>TEST_DATA!A7474</f>
        <v>27AAAAA7474Z5</v>
      </c>
      <c r="B7474" t="str">
        <f>TEST_DATA!B7474</f>
        <v>Feb-2018</v>
      </c>
      <c r="C7474">
        <f>TEST_DATA!C7474</f>
        <v>43819</v>
      </c>
      <c r="D7474" t="str">
        <f>TEST_DATA!D7474</f>
        <v>NON-NIL</v>
      </c>
      <c r="E7474">
        <f>TEST_DATA!E7474</f>
        <v>2664</v>
      </c>
    </row>
    <row r="7475" spans="1:5" x14ac:dyDescent="0.55000000000000004">
      <c r="A7475" t="str">
        <f>TEST_DATA!A7475</f>
        <v>27AAAAA7475Z5</v>
      </c>
      <c r="B7475" t="str">
        <f>TEST_DATA!B7475</f>
        <v>Aug-2018</v>
      </c>
      <c r="C7475">
        <f>TEST_DATA!C7475</f>
        <v>43787</v>
      </c>
      <c r="D7475" t="str">
        <f>TEST_DATA!D7475</f>
        <v>NIL</v>
      </c>
      <c r="E7475">
        <f>TEST_DATA!E7475</f>
        <v>2104</v>
      </c>
    </row>
    <row r="7476" spans="1:5" x14ac:dyDescent="0.55000000000000004">
      <c r="A7476" t="str">
        <f>TEST_DATA!A7476</f>
        <v>27AAAAA7476Z5</v>
      </c>
      <c r="B7476" t="str">
        <f>TEST_DATA!B7476</f>
        <v>Jan-2018</v>
      </c>
      <c r="C7476">
        <f>TEST_DATA!C7476</f>
        <v>43023</v>
      </c>
      <c r="D7476" t="str">
        <f>TEST_DATA!D7476</f>
        <v>NON-NIL</v>
      </c>
      <c r="E7476">
        <f>TEST_DATA!E7476</f>
        <v>2056</v>
      </c>
    </row>
    <row r="7477" spans="1:5" x14ac:dyDescent="0.55000000000000004">
      <c r="A7477" t="str">
        <f>TEST_DATA!A7477</f>
        <v>27AAAAA7477Z5</v>
      </c>
      <c r="B7477" t="str">
        <f>TEST_DATA!B7477</f>
        <v>Aug-2017</v>
      </c>
      <c r="C7477">
        <f>TEST_DATA!C7477</f>
        <v>43039</v>
      </c>
      <c r="D7477" t="str">
        <f>TEST_DATA!D7477</f>
        <v>NIL</v>
      </c>
      <c r="E7477">
        <f>TEST_DATA!E7477</f>
        <v>2961</v>
      </c>
    </row>
    <row r="7478" spans="1:5" x14ac:dyDescent="0.55000000000000004">
      <c r="A7478" t="str">
        <f>TEST_DATA!A7478</f>
        <v>27AAAAA7478Z5</v>
      </c>
      <c r="B7478" t="str">
        <f>TEST_DATA!B7478</f>
        <v>Jul-2020</v>
      </c>
      <c r="C7478">
        <f>TEST_DATA!C7478</f>
        <v>44814</v>
      </c>
      <c r="D7478" t="str">
        <f>TEST_DATA!D7478</f>
        <v>NIL</v>
      </c>
      <c r="E7478">
        <f>TEST_DATA!E7478</f>
        <v>351</v>
      </c>
    </row>
    <row r="7479" spans="1:5" x14ac:dyDescent="0.55000000000000004">
      <c r="A7479" t="str">
        <f>TEST_DATA!A7479</f>
        <v>27AAAAA7479Z5</v>
      </c>
      <c r="B7479" t="str">
        <f>TEST_DATA!B7479</f>
        <v>Apr-2018</v>
      </c>
      <c r="C7479">
        <f>TEST_DATA!C7479</f>
        <v>43339</v>
      </c>
      <c r="D7479" t="str">
        <f>TEST_DATA!D7479</f>
        <v>NIL</v>
      </c>
      <c r="E7479">
        <f>TEST_DATA!E7479</f>
        <v>1329</v>
      </c>
    </row>
    <row r="7480" spans="1:5" x14ac:dyDescent="0.55000000000000004">
      <c r="A7480" t="str">
        <f>TEST_DATA!A7480</f>
        <v>27AAAAA7480Z5</v>
      </c>
      <c r="B7480" t="str">
        <f>TEST_DATA!B7480</f>
        <v>Sep-2017</v>
      </c>
      <c r="C7480">
        <f>TEST_DATA!C7480</f>
        <v>43049</v>
      </c>
      <c r="D7480" t="str">
        <f>TEST_DATA!D7480</f>
        <v>NON-NIL</v>
      </c>
      <c r="E7480">
        <f>TEST_DATA!E7480</f>
        <v>937</v>
      </c>
    </row>
    <row r="7481" spans="1:5" x14ac:dyDescent="0.55000000000000004">
      <c r="A7481" t="str">
        <f>TEST_DATA!A7481</f>
        <v>27AAAAA7481Z5</v>
      </c>
      <c r="B7481" t="str">
        <f>TEST_DATA!B7481</f>
        <v>Aug-2018</v>
      </c>
      <c r="C7481">
        <f>TEST_DATA!C7481</f>
        <v>43902</v>
      </c>
      <c r="D7481" t="str">
        <f>TEST_DATA!D7481</f>
        <v>NON-NIL</v>
      </c>
      <c r="E7481">
        <f>TEST_DATA!E7481</f>
        <v>699</v>
      </c>
    </row>
    <row r="7482" spans="1:5" x14ac:dyDescent="0.55000000000000004">
      <c r="A7482" t="str">
        <f>TEST_DATA!A7482</f>
        <v>27AAAAA7482Z5</v>
      </c>
      <c r="B7482" t="str">
        <f>TEST_DATA!B7482</f>
        <v>May-2020</v>
      </c>
      <c r="C7482">
        <f>TEST_DATA!C7482</f>
        <v>44043</v>
      </c>
      <c r="D7482" t="str">
        <f>TEST_DATA!D7482</f>
        <v>NIL</v>
      </c>
      <c r="E7482">
        <f>TEST_DATA!E7482</f>
        <v>1990</v>
      </c>
    </row>
    <row r="7483" spans="1:5" x14ac:dyDescent="0.55000000000000004">
      <c r="A7483" t="str">
        <f>TEST_DATA!A7483</f>
        <v>27AAAAA7483Z5</v>
      </c>
      <c r="B7483" t="str">
        <f>TEST_DATA!B7483</f>
        <v>Apr-2021</v>
      </c>
      <c r="C7483">
        <f>TEST_DATA!C7483</f>
        <v>45712</v>
      </c>
      <c r="D7483" t="str">
        <f>TEST_DATA!D7483</f>
        <v>NIL</v>
      </c>
      <c r="E7483">
        <f>TEST_DATA!E7483</f>
        <v>2247</v>
      </c>
    </row>
    <row r="7484" spans="1:5" x14ac:dyDescent="0.55000000000000004">
      <c r="A7484" t="str">
        <f>TEST_DATA!A7484</f>
        <v>27AAAAA7484Z5</v>
      </c>
      <c r="B7484" t="str">
        <f>TEST_DATA!B7484</f>
        <v>Sep-2018</v>
      </c>
      <c r="C7484">
        <f>TEST_DATA!C7484</f>
        <v>43116</v>
      </c>
      <c r="D7484" t="str">
        <f>TEST_DATA!D7484</f>
        <v>NIL</v>
      </c>
      <c r="E7484">
        <f>TEST_DATA!E7484</f>
        <v>2519</v>
      </c>
    </row>
    <row r="7485" spans="1:5" x14ac:dyDescent="0.55000000000000004">
      <c r="A7485" t="str">
        <f>TEST_DATA!A7485</f>
        <v>27AAAAA7485Z5</v>
      </c>
      <c r="B7485" t="str">
        <f>TEST_DATA!B7485</f>
        <v>Jun-2020</v>
      </c>
      <c r="C7485">
        <f>TEST_DATA!C7485</f>
        <v>44661</v>
      </c>
      <c r="D7485" t="str">
        <f>TEST_DATA!D7485</f>
        <v>NON-NIL</v>
      </c>
      <c r="E7485">
        <f>TEST_DATA!E7485</f>
        <v>1733</v>
      </c>
    </row>
    <row r="7486" spans="1:5" x14ac:dyDescent="0.55000000000000004">
      <c r="A7486" t="str">
        <f>TEST_DATA!A7486</f>
        <v>27AAAAA7486Z5</v>
      </c>
      <c r="B7486" t="str">
        <f>TEST_DATA!B7486</f>
        <v>Apr-2018</v>
      </c>
      <c r="C7486">
        <f>TEST_DATA!C7486</f>
        <v>43180</v>
      </c>
      <c r="D7486" t="str">
        <f>TEST_DATA!D7486</f>
        <v>NON-NIL</v>
      </c>
      <c r="E7486">
        <f>TEST_DATA!E7486</f>
        <v>1860</v>
      </c>
    </row>
    <row r="7487" spans="1:5" x14ac:dyDescent="0.55000000000000004">
      <c r="A7487" t="str">
        <f>TEST_DATA!A7487</f>
        <v>27AAAAA7487Z5</v>
      </c>
      <c r="B7487" t="str">
        <f>TEST_DATA!B7487</f>
        <v>Dec-2022</v>
      </c>
      <c r="C7487">
        <f>TEST_DATA!C7487</f>
        <v>43682</v>
      </c>
      <c r="D7487" t="str">
        <f>TEST_DATA!D7487</f>
        <v>NON-NIL</v>
      </c>
      <c r="E7487">
        <f>TEST_DATA!E7487</f>
        <v>2630</v>
      </c>
    </row>
    <row r="7488" spans="1:5" x14ac:dyDescent="0.55000000000000004">
      <c r="A7488" t="str">
        <f>TEST_DATA!A7488</f>
        <v>27AAAAA7488Z5</v>
      </c>
      <c r="B7488" t="str">
        <f>TEST_DATA!B7488</f>
        <v>Dec-2019</v>
      </c>
      <c r="C7488">
        <f>TEST_DATA!C7488</f>
        <v>43475</v>
      </c>
      <c r="D7488" t="str">
        <f>TEST_DATA!D7488</f>
        <v>NIL</v>
      </c>
      <c r="E7488">
        <f>TEST_DATA!E7488</f>
        <v>1752</v>
      </c>
    </row>
    <row r="7489" spans="1:5" x14ac:dyDescent="0.55000000000000004">
      <c r="A7489" t="str">
        <f>TEST_DATA!A7489</f>
        <v>27AAAAA7489Z5</v>
      </c>
      <c r="B7489" t="str">
        <f>TEST_DATA!B7489</f>
        <v>Dec-2022</v>
      </c>
      <c r="C7489">
        <f>TEST_DATA!C7489</f>
        <v>45834</v>
      </c>
      <c r="D7489" t="str">
        <f>TEST_DATA!D7489</f>
        <v>NIL</v>
      </c>
      <c r="E7489">
        <f>TEST_DATA!E7489</f>
        <v>1001</v>
      </c>
    </row>
    <row r="7490" spans="1:5" x14ac:dyDescent="0.55000000000000004">
      <c r="A7490" t="str">
        <f>TEST_DATA!A7490</f>
        <v>27AAAAA7490Z5</v>
      </c>
      <c r="B7490" t="str">
        <f>TEST_DATA!B7490</f>
        <v>Apr-2021</v>
      </c>
      <c r="C7490">
        <f>TEST_DATA!C7490</f>
        <v>43761</v>
      </c>
      <c r="D7490" t="str">
        <f>TEST_DATA!D7490</f>
        <v>NON-NIL</v>
      </c>
      <c r="E7490">
        <f>TEST_DATA!E7490</f>
        <v>1078</v>
      </c>
    </row>
    <row r="7491" spans="1:5" x14ac:dyDescent="0.55000000000000004">
      <c r="A7491" t="str">
        <f>TEST_DATA!A7491</f>
        <v>27AAAAA7491Z5</v>
      </c>
      <c r="B7491" t="str">
        <f>TEST_DATA!B7491</f>
        <v>Dec-2017</v>
      </c>
      <c r="C7491">
        <f>TEST_DATA!C7491</f>
        <v>44364</v>
      </c>
      <c r="D7491" t="str">
        <f>TEST_DATA!D7491</f>
        <v>NIL</v>
      </c>
      <c r="E7491">
        <f>TEST_DATA!E7491</f>
        <v>50</v>
      </c>
    </row>
    <row r="7492" spans="1:5" x14ac:dyDescent="0.55000000000000004">
      <c r="A7492" t="str">
        <f>TEST_DATA!A7492</f>
        <v>27AAAAA7492Z5</v>
      </c>
      <c r="B7492" t="str">
        <f>TEST_DATA!B7492</f>
        <v>Jul-2018</v>
      </c>
      <c r="C7492">
        <f>TEST_DATA!C7492</f>
        <v>42985</v>
      </c>
      <c r="D7492" t="str">
        <f>TEST_DATA!D7492</f>
        <v>NIL</v>
      </c>
      <c r="E7492">
        <f>TEST_DATA!E7492</f>
        <v>756</v>
      </c>
    </row>
    <row r="7493" spans="1:5" x14ac:dyDescent="0.55000000000000004">
      <c r="A7493" t="str">
        <f>TEST_DATA!A7493</f>
        <v>27AAAAA7493Z5</v>
      </c>
      <c r="B7493" t="str">
        <f>TEST_DATA!B7493</f>
        <v>Jan-2018</v>
      </c>
      <c r="C7493">
        <f>TEST_DATA!C7493</f>
        <v>43028</v>
      </c>
      <c r="D7493" t="str">
        <f>TEST_DATA!D7493</f>
        <v>NIL</v>
      </c>
      <c r="E7493">
        <f>TEST_DATA!E7493</f>
        <v>2057</v>
      </c>
    </row>
    <row r="7494" spans="1:5" x14ac:dyDescent="0.55000000000000004">
      <c r="A7494" t="str">
        <f>TEST_DATA!A7494</f>
        <v>27AAAAA7494Z5</v>
      </c>
      <c r="B7494" t="str">
        <f>TEST_DATA!B7494</f>
        <v>Aug-2018</v>
      </c>
      <c r="C7494">
        <f>TEST_DATA!C7494</f>
        <v>43603</v>
      </c>
      <c r="D7494" t="str">
        <f>TEST_DATA!D7494</f>
        <v>NON-NIL</v>
      </c>
      <c r="E7494">
        <f>TEST_DATA!E7494</f>
        <v>2848</v>
      </c>
    </row>
    <row r="7495" spans="1:5" x14ac:dyDescent="0.55000000000000004">
      <c r="A7495" t="str">
        <f>TEST_DATA!A7495</f>
        <v>27AAAAA7495Z5</v>
      </c>
      <c r="B7495" t="str">
        <f>TEST_DATA!B7495</f>
        <v>Jul-2017</v>
      </c>
      <c r="C7495">
        <f>TEST_DATA!C7495</f>
        <v>44299</v>
      </c>
      <c r="D7495" t="str">
        <f>TEST_DATA!D7495</f>
        <v>NON-NIL</v>
      </c>
      <c r="E7495">
        <f>TEST_DATA!E7495</f>
        <v>565</v>
      </c>
    </row>
    <row r="7496" spans="1:5" x14ac:dyDescent="0.55000000000000004">
      <c r="A7496" t="str">
        <f>TEST_DATA!A7496</f>
        <v>27AAAAA7496Z5</v>
      </c>
      <c r="B7496" t="str">
        <f>TEST_DATA!B7496</f>
        <v>Dec-2017</v>
      </c>
      <c r="C7496">
        <f>TEST_DATA!C7496</f>
        <v>43507</v>
      </c>
      <c r="D7496" t="str">
        <f>TEST_DATA!D7496</f>
        <v>NIL</v>
      </c>
      <c r="E7496">
        <f>TEST_DATA!E7496</f>
        <v>392</v>
      </c>
    </row>
    <row r="7497" spans="1:5" x14ac:dyDescent="0.55000000000000004">
      <c r="A7497" t="str">
        <f>TEST_DATA!A7497</f>
        <v>27AAAAA7497Z5</v>
      </c>
      <c r="B7497" t="str">
        <f>TEST_DATA!B7497</f>
        <v>Apr-2018</v>
      </c>
      <c r="C7497">
        <f>TEST_DATA!C7497</f>
        <v>44531</v>
      </c>
      <c r="D7497" t="str">
        <f>TEST_DATA!D7497</f>
        <v>NIL</v>
      </c>
      <c r="E7497">
        <f>TEST_DATA!E7497</f>
        <v>111</v>
      </c>
    </row>
    <row r="7498" spans="1:5" x14ac:dyDescent="0.55000000000000004">
      <c r="A7498" t="str">
        <f>TEST_DATA!A7498</f>
        <v>27AAAAA7498Z5</v>
      </c>
      <c r="B7498" t="str">
        <f>TEST_DATA!B7498</f>
        <v>Jul-2018</v>
      </c>
      <c r="C7498">
        <f>TEST_DATA!C7498</f>
        <v>43754</v>
      </c>
      <c r="D7498" t="str">
        <f>TEST_DATA!D7498</f>
        <v>NON-NIL</v>
      </c>
      <c r="E7498">
        <f>TEST_DATA!E7498</f>
        <v>150</v>
      </c>
    </row>
    <row r="7499" spans="1:5" x14ac:dyDescent="0.55000000000000004">
      <c r="A7499" t="str">
        <f>TEST_DATA!A7499</f>
        <v>27AAAAA7499Z5</v>
      </c>
      <c r="B7499" t="str">
        <f>TEST_DATA!B7499</f>
        <v>Oct-2017</v>
      </c>
      <c r="C7499">
        <f>TEST_DATA!C7499</f>
        <v>43562</v>
      </c>
      <c r="D7499" t="str">
        <f>TEST_DATA!D7499</f>
        <v>NIL</v>
      </c>
      <c r="E7499">
        <f>TEST_DATA!E7499</f>
        <v>1048</v>
      </c>
    </row>
    <row r="7500" spans="1:5" x14ac:dyDescent="0.55000000000000004">
      <c r="A7500" t="str">
        <f>TEST_DATA!A7500</f>
        <v>27AAAAA7500Z5</v>
      </c>
      <c r="B7500" t="str">
        <f>TEST_DATA!B7500</f>
        <v>May-2018</v>
      </c>
      <c r="C7500">
        <f>TEST_DATA!C7500</f>
        <v>44429</v>
      </c>
      <c r="D7500" t="str">
        <f>TEST_DATA!D7500</f>
        <v>NIL</v>
      </c>
      <c r="E7500">
        <f>TEST_DATA!E7500</f>
        <v>78</v>
      </c>
    </row>
    <row r="7501" spans="1:5" x14ac:dyDescent="0.55000000000000004">
      <c r="A7501" t="str">
        <f>TEST_DATA!A7501</f>
        <v>27AAAAA7501Z5</v>
      </c>
      <c r="B7501" t="str">
        <f>TEST_DATA!B7501</f>
        <v>Oct-2017</v>
      </c>
      <c r="C7501">
        <f>TEST_DATA!C7501</f>
        <v>43739</v>
      </c>
      <c r="D7501" t="str">
        <f>TEST_DATA!D7501</f>
        <v>NON-NIL</v>
      </c>
      <c r="E7501">
        <f>TEST_DATA!E7501</f>
        <v>1023</v>
      </c>
    </row>
    <row r="7502" spans="1:5" x14ac:dyDescent="0.55000000000000004">
      <c r="A7502" t="str">
        <f>TEST_DATA!A7502</f>
        <v>27AAAAA7502Z5</v>
      </c>
      <c r="B7502" t="str">
        <f>TEST_DATA!B7502</f>
        <v>Jan-2018</v>
      </c>
      <c r="C7502">
        <f>TEST_DATA!C7502</f>
        <v>44432</v>
      </c>
      <c r="D7502" t="str">
        <f>TEST_DATA!D7502</f>
        <v>NIL</v>
      </c>
      <c r="E7502">
        <f>TEST_DATA!E7502</f>
        <v>527</v>
      </c>
    </row>
    <row r="7503" spans="1:5" x14ac:dyDescent="0.55000000000000004">
      <c r="A7503" t="str">
        <f>TEST_DATA!A7503</f>
        <v>27AAAAA7503Z5</v>
      </c>
      <c r="B7503" t="str">
        <f>TEST_DATA!B7503</f>
        <v>Nov-2017</v>
      </c>
      <c r="C7503">
        <f>TEST_DATA!C7503</f>
        <v>43196</v>
      </c>
      <c r="D7503" t="str">
        <f>TEST_DATA!D7503</f>
        <v>NON-NIL</v>
      </c>
      <c r="E7503">
        <f>TEST_DATA!E7503</f>
        <v>153</v>
      </c>
    </row>
    <row r="7504" spans="1:5" x14ac:dyDescent="0.55000000000000004">
      <c r="A7504" t="str">
        <f>TEST_DATA!A7504</f>
        <v>27AAAAA7504Z5</v>
      </c>
      <c r="B7504" t="str">
        <f>TEST_DATA!B7504</f>
        <v>Aug-2017</v>
      </c>
      <c r="C7504">
        <f>TEST_DATA!C7504</f>
        <v>43571</v>
      </c>
      <c r="D7504" t="str">
        <f>TEST_DATA!D7504</f>
        <v>NIL</v>
      </c>
      <c r="E7504">
        <f>TEST_DATA!E7504</f>
        <v>2404</v>
      </c>
    </row>
    <row r="7505" spans="1:5" x14ac:dyDescent="0.55000000000000004">
      <c r="A7505" t="str">
        <f>TEST_DATA!A7505</f>
        <v>27AAAAA7505Z5</v>
      </c>
      <c r="B7505" t="str">
        <f>TEST_DATA!B7505</f>
        <v>Nov-2017</v>
      </c>
      <c r="C7505">
        <f>TEST_DATA!C7505</f>
        <v>43294</v>
      </c>
      <c r="D7505" t="str">
        <f>TEST_DATA!D7505</f>
        <v>NIL</v>
      </c>
      <c r="E7505">
        <f>TEST_DATA!E7505</f>
        <v>193</v>
      </c>
    </row>
    <row r="7506" spans="1:5" x14ac:dyDescent="0.55000000000000004">
      <c r="A7506" t="str">
        <f>TEST_DATA!A7506</f>
        <v>27AAAAA7506Z5</v>
      </c>
      <c r="B7506" t="str">
        <f>TEST_DATA!B7506</f>
        <v>Jun-2018</v>
      </c>
      <c r="C7506">
        <f>TEST_DATA!C7506</f>
        <v>43690</v>
      </c>
      <c r="D7506" t="str">
        <f>TEST_DATA!D7506</f>
        <v>NIL</v>
      </c>
      <c r="E7506">
        <f>TEST_DATA!E7506</f>
        <v>2682</v>
      </c>
    </row>
    <row r="7507" spans="1:5" x14ac:dyDescent="0.55000000000000004">
      <c r="A7507" t="str">
        <f>TEST_DATA!A7507</f>
        <v>27AAAAA7507Z5</v>
      </c>
      <c r="B7507" t="str">
        <f>TEST_DATA!B7507</f>
        <v>Jul-2017</v>
      </c>
      <c r="C7507">
        <f>TEST_DATA!C7507</f>
        <v>43112</v>
      </c>
      <c r="D7507" t="str">
        <f>TEST_DATA!D7507</f>
        <v>NIL</v>
      </c>
      <c r="E7507">
        <f>TEST_DATA!E7507</f>
        <v>309</v>
      </c>
    </row>
    <row r="7508" spans="1:5" x14ac:dyDescent="0.55000000000000004">
      <c r="A7508" t="str">
        <f>TEST_DATA!A7508</f>
        <v>27AAAAA7508Z5</v>
      </c>
      <c r="B7508" t="str">
        <f>TEST_DATA!B7508</f>
        <v>Oct-2017</v>
      </c>
      <c r="C7508">
        <f>TEST_DATA!C7508</f>
        <v>44469</v>
      </c>
      <c r="D7508" t="str">
        <f>TEST_DATA!D7508</f>
        <v>NIL</v>
      </c>
      <c r="E7508">
        <f>TEST_DATA!E7508</f>
        <v>1048</v>
      </c>
    </row>
    <row r="7509" spans="1:5" x14ac:dyDescent="0.55000000000000004">
      <c r="A7509" t="str">
        <f>TEST_DATA!A7509</f>
        <v>27AAAAA7509Z5</v>
      </c>
      <c r="B7509" t="str">
        <f>TEST_DATA!B7509</f>
        <v>Dec-2019</v>
      </c>
      <c r="C7509">
        <f>TEST_DATA!C7509</f>
        <v>44722</v>
      </c>
      <c r="D7509" t="str">
        <f>TEST_DATA!D7509</f>
        <v>NIL</v>
      </c>
      <c r="E7509">
        <f>TEST_DATA!E7509</f>
        <v>915</v>
      </c>
    </row>
    <row r="7510" spans="1:5" x14ac:dyDescent="0.55000000000000004">
      <c r="A7510" t="str">
        <f>TEST_DATA!A7510</f>
        <v>27AAAAA7510Z5</v>
      </c>
      <c r="B7510" t="str">
        <f>TEST_DATA!B7510</f>
        <v>Mar-2020</v>
      </c>
      <c r="C7510">
        <f>TEST_DATA!C7510</f>
        <v>44037</v>
      </c>
      <c r="D7510" t="str">
        <f>TEST_DATA!D7510</f>
        <v>NIL</v>
      </c>
      <c r="E7510">
        <f>TEST_DATA!E7510</f>
        <v>933</v>
      </c>
    </row>
    <row r="7511" spans="1:5" x14ac:dyDescent="0.55000000000000004">
      <c r="A7511" t="str">
        <f>TEST_DATA!A7511</f>
        <v>27AAAAA7511Z5</v>
      </c>
      <c r="B7511" t="str">
        <f>TEST_DATA!B7511</f>
        <v>May-2020</v>
      </c>
      <c r="C7511">
        <f>TEST_DATA!C7511</f>
        <v>44187</v>
      </c>
      <c r="D7511" t="str">
        <f>TEST_DATA!D7511</f>
        <v>NON-NIL</v>
      </c>
      <c r="E7511">
        <f>TEST_DATA!E7511</f>
        <v>743</v>
      </c>
    </row>
    <row r="7512" spans="1:5" x14ac:dyDescent="0.55000000000000004">
      <c r="A7512" t="str">
        <f>TEST_DATA!A7512</f>
        <v>27AAAAA7512Z5</v>
      </c>
      <c r="B7512" t="str">
        <f>TEST_DATA!B7512</f>
        <v>Jun-2019</v>
      </c>
      <c r="C7512">
        <f>TEST_DATA!C7512</f>
        <v>45017</v>
      </c>
      <c r="D7512" t="str">
        <f>TEST_DATA!D7512</f>
        <v>NIL</v>
      </c>
      <c r="E7512">
        <f>TEST_DATA!E7512</f>
        <v>879</v>
      </c>
    </row>
    <row r="7513" spans="1:5" x14ac:dyDescent="0.55000000000000004">
      <c r="A7513" t="str">
        <f>TEST_DATA!A7513</f>
        <v>27AAAAA7513Z5</v>
      </c>
      <c r="B7513" t="str">
        <f>TEST_DATA!B7513</f>
        <v>Dec-2017</v>
      </c>
      <c r="C7513">
        <f>TEST_DATA!C7513</f>
        <v>43415</v>
      </c>
      <c r="D7513" t="str">
        <f>TEST_DATA!D7513</f>
        <v>NON-NIL</v>
      </c>
      <c r="E7513">
        <f>TEST_DATA!E7513</f>
        <v>1374</v>
      </c>
    </row>
    <row r="7514" spans="1:5" x14ac:dyDescent="0.55000000000000004">
      <c r="A7514" t="str">
        <f>TEST_DATA!A7514</f>
        <v>27AAAAA7514Z5</v>
      </c>
      <c r="B7514" t="str">
        <f>TEST_DATA!B7514</f>
        <v>Dec-2022</v>
      </c>
      <c r="C7514">
        <f>TEST_DATA!C7514</f>
        <v>45152</v>
      </c>
      <c r="D7514" t="str">
        <f>TEST_DATA!D7514</f>
        <v>NON-NIL</v>
      </c>
      <c r="E7514">
        <f>TEST_DATA!E7514</f>
        <v>1365</v>
      </c>
    </row>
    <row r="7515" spans="1:5" x14ac:dyDescent="0.55000000000000004">
      <c r="A7515" t="str">
        <f>TEST_DATA!A7515</f>
        <v>27AAAAA7515Z5</v>
      </c>
      <c r="B7515" t="str">
        <f>TEST_DATA!B7515</f>
        <v>Nov-2017</v>
      </c>
      <c r="C7515">
        <f>TEST_DATA!C7515</f>
        <v>43360</v>
      </c>
      <c r="D7515" t="str">
        <f>TEST_DATA!D7515</f>
        <v>NON-NIL</v>
      </c>
      <c r="E7515">
        <f>TEST_DATA!E7515</f>
        <v>760</v>
      </c>
    </row>
    <row r="7516" spans="1:5" x14ac:dyDescent="0.55000000000000004">
      <c r="A7516" t="str">
        <f>TEST_DATA!A7516</f>
        <v>27AAAAA7516Z5</v>
      </c>
      <c r="B7516" t="str">
        <f>TEST_DATA!B7516</f>
        <v>Jun-2019</v>
      </c>
      <c r="C7516">
        <f>TEST_DATA!C7516</f>
        <v>45103</v>
      </c>
      <c r="D7516" t="str">
        <f>TEST_DATA!D7516</f>
        <v>NON-NIL</v>
      </c>
      <c r="E7516">
        <f>TEST_DATA!E7516</f>
        <v>1220</v>
      </c>
    </row>
    <row r="7517" spans="1:5" x14ac:dyDescent="0.55000000000000004">
      <c r="A7517" t="str">
        <f>TEST_DATA!A7517</f>
        <v>27AAAAA7517Z5</v>
      </c>
      <c r="B7517" t="str">
        <f>TEST_DATA!B7517</f>
        <v>Apr-2020</v>
      </c>
      <c r="C7517">
        <f>TEST_DATA!C7517</f>
        <v>44737</v>
      </c>
      <c r="D7517" t="str">
        <f>TEST_DATA!D7517</f>
        <v>NON-NIL</v>
      </c>
      <c r="E7517">
        <f>TEST_DATA!E7517</f>
        <v>20</v>
      </c>
    </row>
    <row r="7518" spans="1:5" x14ac:dyDescent="0.55000000000000004">
      <c r="A7518" t="str">
        <f>TEST_DATA!A7518</f>
        <v>27AAAAA7518Z5</v>
      </c>
      <c r="B7518" t="str">
        <f>TEST_DATA!B7518</f>
        <v>Dec-2017</v>
      </c>
      <c r="C7518">
        <f>TEST_DATA!C7518</f>
        <v>43457</v>
      </c>
      <c r="D7518" t="str">
        <f>TEST_DATA!D7518</f>
        <v>NON-NIL</v>
      </c>
      <c r="E7518">
        <f>TEST_DATA!E7518</f>
        <v>1758</v>
      </c>
    </row>
    <row r="7519" spans="1:5" x14ac:dyDescent="0.55000000000000004">
      <c r="A7519" t="str">
        <f>TEST_DATA!A7519</f>
        <v>27AAAAA7519Z5</v>
      </c>
      <c r="B7519" t="str">
        <f>TEST_DATA!B7519</f>
        <v>Jan-2018</v>
      </c>
      <c r="C7519">
        <f>TEST_DATA!C7519</f>
        <v>43465</v>
      </c>
      <c r="D7519" t="str">
        <f>TEST_DATA!D7519</f>
        <v>NIL</v>
      </c>
      <c r="E7519">
        <f>TEST_DATA!E7519</f>
        <v>223</v>
      </c>
    </row>
    <row r="7520" spans="1:5" x14ac:dyDescent="0.55000000000000004">
      <c r="A7520" t="str">
        <f>TEST_DATA!A7520</f>
        <v>27AAAAA7520Z5</v>
      </c>
      <c r="B7520" t="str">
        <f>TEST_DATA!B7520</f>
        <v>Jan-2021</v>
      </c>
      <c r="C7520">
        <f>TEST_DATA!C7520</f>
        <v>44926</v>
      </c>
      <c r="D7520" t="str">
        <f>TEST_DATA!D7520</f>
        <v>NIL</v>
      </c>
      <c r="E7520">
        <f>TEST_DATA!E7520</f>
        <v>1791</v>
      </c>
    </row>
    <row r="7521" spans="1:5" x14ac:dyDescent="0.55000000000000004">
      <c r="A7521" t="str">
        <f>TEST_DATA!A7521</f>
        <v>27AAAAA7521Z5</v>
      </c>
      <c r="B7521" t="str">
        <f>TEST_DATA!B7521</f>
        <v>Mar-2021</v>
      </c>
      <c r="C7521">
        <f>TEST_DATA!C7521</f>
        <v>45324</v>
      </c>
      <c r="D7521" t="str">
        <f>TEST_DATA!D7521</f>
        <v>NON-NIL</v>
      </c>
      <c r="E7521">
        <f>TEST_DATA!E7521</f>
        <v>2560</v>
      </c>
    </row>
    <row r="7522" spans="1:5" x14ac:dyDescent="0.55000000000000004">
      <c r="A7522" t="str">
        <f>TEST_DATA!A7522</f>
        <v>27AAAAA7522Z5</v>
      </c>
      <c r="B7522" t="str">
        <f>TEST_DATA!B7522</f>
        <v>Dec-2024</v>
      </c>
      <c r="C7522">
        <f>TEST_DATA!C7522</f>
        <v>44459</v>
      </c>
      <c r="D7522" t="str">
        <f>TEST_DATA!D7522</f>
        <v>NON-NIL</v>
      </c>
      <c r="E7522">
        <f>TEST_DATA!E7522</f>
        <v>2711</v>
      </c>
    </row>
    <row r="7523" spans="1:5" x14ac:dyDescent="0.55000000000000004">
      <c r="A7523" t="str">
        <f>TEST_DATA!A7523</f>
        <v>27AAAAA7523Z5</v>
      </c>
      <c r="B7523" t="str">
        <f>TEST_DATA!B7523</f>
        <v>Mar-2020</v>
      </c>
      <c r="C7523">
        <f>TEST_DATA!C7523</f>
        <v>44569</v>
      </c>
      <c r="D7523" t="str">
        <f>TEST_DATA!D7523</f>
        <v>NIL</v>
      </c>
      <c r="E7523">
        <f>TEST_DATA!E7523</f>
        <v>2547</v>
      </c>
    </row>
    <row r="7524" spans="1:5" x14ac:dyDescent="0.55000000000000004">
      <c r="A7524" t="str">
        <f>TEST_DATA!A7524</f>
        <v>27AAAAA7524Z5</v>
      </c>
      <c r="B7524" t="str">
        <f>TEST_DATA!B7524</f>
        <v>Jan-2019</v>
      </c>
      <c r="C7524">
        <f>TEST_DATA!C7524</f>
        <v>44416</v>
      </c>
      <c r="D7524" t="str">
        <f>TEST_DATA!D7524</f>
        <v>NON-NIL</v>
      </c>
      <c r="E7524">
        <f>TEST_DATA!E7524</f>
        <v>1657</v>
      </c>
    </row>
    <row r="7525" spans="1:5" x14ac:dyDescent="0.55000000000000004">
      <c r="A7525" t="str">
        <f>TEST_DATA!A7525</f>
        <v>27AAAAA7525Z5</v>
      </c>
      <c r="B7525" t="str">
        <f>TEST_DATA!B7525</f>
        <v>Dec-2022</v>
      </c>
      <c r="C7525">
        <f>TEST_DATA!C7525</f>
        <v>43843</v>
      </c>
      <c r="D7525" t="str">
        <f>TEST_DATA!D7525</f>
        <v>NON-NIL</v>
      </c>
      <c r="E7525">
        <f>TEST_DATA!E7525</f>
        <v>2819</v>
      </c>
    </row>
    <row r="7526" spans="1:5" x14ac:dyDescent="0.55000000000000004">
      <c r="A7526" t="str">
        <f>TEST_DATA!A7526</f>
        <v>27AAAAA7526Z5</v>
      </c>
      <c r="B7526" t="str">
        <f>TEST_DATA!B7526</f>
        <v>Dec-2017</v>
      </c>
      <c r="C7526">
        <f>TEST_DATA!C7526</f>
        <v>43702</v>
      </c>
      <c r="D7526" t="str">
        <f>TEST_DATA!D7526</f>
        <v>NON-NIL</v>
      </c>
      <c r="E7526">
        <f>TEST_DATA!E7526</f>
        <v>1519</v>
      </c>
    </row>
    <row r="7527" spans="1:5" x14ac:dyDescent="0.55000000000000004">
      <c r="A7527" t="str">
        <f>TEST_DATA!A7527</f>
        <v>27AAAAA7527Z5</v>
      </c>
      <c r="B7527" t="str">
        <f>TEST_DATA!B7527</f>
        <v>Dec-2022</v>
      </c>
      <c r="C7527">
        <f>TEST_DATA!C7527</f>
        <v>44827</v>
      </c>
      <c r="D7527" t="str">
        <f>TEST_DATA!D7527</f>
        <v>NIL</v>
      </c>
      <c r="E7527">
        <f>TEST_DATA!E7527</f>
        <v>1095</v>
      </c>
    </row>
    <row r="7528" spans="1:5" x14ac:dyDescent="0.55000000000000004">
      <c r="A7528" t="str">
        <f>TEST_DATA!A7528</f>
        <v>27AAAAA7528Z5</v>
      </c>
      <c r="B7528" t="str">
        <f>TEST_DATA!B7528</f>
        <v>Jan-2019</v>
      </c>
      <c r="C7528">
        <f>TEST_DATA!C7528</f>
        <v>45063</v>
      </c>
      <c r="D7528" t="str">
        <f>TEST_DATA!D7528</f>
        <v>NIL</v>
      </c>
      <c r="E7528">
        <f>TEST_DATA!E7528</f>
        <v>1514</v>
      </c>
    </row>
    <row r="7529" spans="1:5" x14ac:dyDescent="0.55000000000000004">
      <c r="A7529" t="str">
        <f>TEST_DATA!A7529</f>
        <v>27AAAAA7529Z5</v>
      </c>
      <c r="B7529" t="str">
        <f>TEST_DATA!B7529</f>
        <v>Apr-2021</v>
      </c>
      <c r="C7529">
        <f>TEST_DATA!C7529</f>
        <v>44474</v>
      </c>
      <c r="D7529" t="str">
        <f>TEST_DATA!D7529</f>
        <v>NIL</v>
      </c>
      <c r="E7529">
        <f>TEST_DATA!E7529</f>
        <v>2537</v>
      </c>
    </row>
    <row r="7530" spans="1:5" x14ac:dyDescent="0.55000000000000004">
      <c r="A7530" t="str">
        <f>TEST_DATA!A7530</f>
        <v>27AAAAA7530Z5</v>
      </c>
      <c r="B7530" t="str">
        <f>TEST_DATA!B7530</f>
        <v>Aug-2018</v>
      </c>
      <c r="C7530">
        <f>TEST_DATA!C7530</f>
        <v>43769</v>
      </c>
      <c r="D7530" t="str">
        <f>TEST_DATA!D7530</f>
        <v>NON-NIL</v>
      </c>
      <c r="E7530">
        <f>TEST_DATA!E7530</f>
        <v>431</v>
      </c>
    </row>
    <row r="7531" spans="1:5" x14ac:dyDescent="0.55000000000000004">
      <c r="A7531" t="str">
        <f>TEST_DATA!A7531</f>
        <v>27AAAAA7531Z5</v>
      </c>
      <c r="B7531" t="str">
        <f>TEST_DATA!B7531</f>
        <v>Mar-2018</v>
      </c>
      <c r="C7531">
        <f>TEST_DATA!C7531</f>
        <v>43885</v>
      </c>
      <c r="D7531" t="str">
        <f>TEST_DATA!D7531</f>
        <v>NON-NIL</v>
      </c>
      <c r="E7531">
        <f>TEST_DATA!E7531</f>
        <v>897</v>
      </c>
    </row>
    <row r="7532" spans="1:5" x14ac:dyDescent="0.55000000000000004">
      <c r="A7532" t="str">
        <f>TEST_DATA!A7532</f>
        <v>27AAAAA7532Z5</v>
      </c>
      <c r="B7532" t="str">
        <f>TEST_DATA!B7532</f>
        <v>Feb-2018</v>
      </c>
      <c r="C7532">
        <f>TEST_DATA!C7532</f>
        <v>43745</v>
      </c>
      <c r="D7532" t="str">
        <f>TEST_DATA!D7532</f>
        <v>NON-NIL</v>
      </c>
      <c r="E7532">
        <f>TEST_DATA!E7532</f>
        <v>652</v>
      </c>
    </row>
    <row r="7533" spans="1:5" x14ac:dyDescent="0.55000000000000004">
      <c r="A7533" t="str">
        <f>TEST_DATA!A7533</f>
        <v>27AAAAA7533Z5</v>
      </c>
      <c r="B7533" t="str">
        <f>TEST_DATA!B7533</f>
        <v>Apr-2018</v>
      </c>
      <c r="C7533">
        <f>TEST_DATA!C7533</f>
        <v>43821</v>
      </c>
      <c r="D7533" t="str">
        <f>TEST_DATA!D7533</f>
        <v>NON-NIL</v>
      </c>
      <c r="E7533">
        <f>TEST_DATA!E7533</f>
        <v>1613</v>
      </c>
    </row>
    <row r="7534" spans="1:5" x14ac:dyDescent="0.55000000000000004">
      <c r="A7534" t="str">
        <f>TEST_DATA!A7534</f>
        <v>27AAAAA7534Z5</v>
      </c>
      <c r="B7534" t="str">
        <f>TEST_DATA!B7534</f>
        <v>Aug-2018</v>
      </c>
      <c r="C7534">
        <f>TEST_DATA!C7534</f>
        <v>44390</v>
      </c>
      <c r="D7534" t="str">
        <f>TEST_DATA!D7534</f>
        <v>NON-NIL</v>
      </c>
      <c r="E7534">
        <f>TEST_DATA!E7534</f>
        <v>2731</v>
      </c>
    </row>
    <row r="7535" spans="1:5" x14ac:dyDescent="0.55000000000000004">
      <c r="A7535" t="str">
        <f>TEST_DATA!A7535</f>
        <v>27AAAAA7535Z5</v>
      </c>
      <c r="B7535" t="str">
        <f>TEST_DATA!B7535</f>
        <v>Feb-2018</v>
      </c>
      <c r="C7535">
        <f>TEST_DATA!C7535</f>
        <v>43609</v>
      </c>
      <c r="D7535" t="str">
        <f>TEST_DATA!D7535</f>
        <v>NIL</v>
      </c>
      <c r="E7535">
        <f>TEST_DATA!E7535</f>
        <v>2298</v>
      </c>
    </row>
    <row r="7536" spans="1:5" x14ac:dyDescent="0.55000000000000004">
      <c r="A7536" t="str">
        <f>TEST_DATA!A7536</f>
        <v>27AAAAA7536Z5</v>
      </c>
      <c r="B7536" t="str">
        <f>TEST_DATA!B7536</f>
        <v>Mar-2020</v>
      </c>
      <c r="C7536">
        <f>TEST_DATA!C7536</f>
        <v>44666</v>
      </c>
      <c r="D7536" t="str">
        <f>TEST_DATA!D7536</f>
        <v>NIL</v>
      </c>
      <c r="E7536">
        <f>TEST_DATA!E7536</f>
        <v>2596</v>
      </c>
    </row>
    <row r="7537" spans="1:5" x14ac:dyDescent="0.55000000000000004">
      <c r="A7537" t="str">
        <f>TEST_DATA!A7537</f>
        <v>27AAAAA7537Z5</v>
      </c>
      <c r="B7537" t="str">
        <f>TEST_DATA!B7537</f>
        <v>Dec-2024</v>
      </c>
      <c r="C7537">
        <f>TEST_DATA!C7537</f>
        <v>45827</v>
      </c>
      <c r="D7537" t="str">
        <f>TEST_DATA!D7537</f>
        <v>NON-NIL</v>
      </c>
      <c r="E7537">
        <f>TEST_DATA!E7537</f>
        <v>1023</v>
      </c>
    </row>
    <row r="7538" spans="1:5" x14ac:dyDescent="0.55000000000000004">
      <c r="A7538" t="str">
        <f>TEST_DATA!A7538</f>
        <v>27AAAAA7538Z5</v>
      </c>
      <c r="B7538" t="str">
        <f>TEST_DATA!B7538</f>
        <v>Nov-2017</v>
      </c>
      <c r="C7538">
        <f>TEST_DATA!C7538</f>
        <v>43510</v>
      </c>
      <c r="D7538" t="str">
        <f>TEST_DATA!D7538</f>
        <v>NIL</v>
      </c>
      <c r="E7538">
        <f>TEST_DATA!E7538</f>
        <v>2896</v>
      </c>
    </row>
    <row r="7539" spans="1:5" x14ac:dyDescent="0.55000000000000004">
      <c r="A7539" t="str">
        <f>TEST_DATA!A7539</f>
        <v>27AAAAA7539Z5</v>
      </c>
      <c r="B7539" t="str">
        <f>TEST_DATA!B7539</f>
        <v>Mar-2021</v>
      </c>
      <c r="C7539">
        <f>TEST_DATA!C7539</f>
        <v>45056</v>
      </c>
      <c r="D7539" t="str">
        <f>TEST_DATA!D7539</f>
        <v>NON-NIL</v>
      </c>
      <c r="E7539">
        <f>TEST_DATA!E7539</f>
        <v>2426</v>
      </c>
    </row>
    <row r="7540" spans="1:5" x14ac:dyDescent="0.55000000000000004">
      <c r="A7540" t="str">
        <f>TEST_DATA!A7540</f>
        <v>27AAAAA7540Z5</v>
      </c>
      <c r="B7540" t="str">
        <f>TEST_DATA!B7540</f>
        <v>Nov-2017</v>
      </c>
      <c r="C7540">
        <f>TEST_DATA!C7540</f>
        <v>43526</v>
      </c>
      <c r="D7540" t="str">
        <f>TEST_DATA!D7540</f>
        <v>NIL</v>
      </c>
      <c r="E7540">
        <f>TEST_DATA!E7540</f>
        <v>1387</v>
      </c>
    </row>
    <row r="7541" spans="1:5" x14ac:dyDescent="0.55000000000000004">
      <c r="A7541" t="str">
        <f>TEST_DATA!A7541</f>
        <v>27AAAAA7541Z5</v>
      </c>
      <c r="B7541" t="str">
        <f>TEST_DATA!B7541</f>
        <v>Jan-2019</v>
      </c>
      <c r="C7541">
        <f>TEST_DATA!C7541</f>
        <v>43801</v>
      </c>
      <c r="D7541" t="str">
        <f>TEST_DATA!D7541</f>
        <v>NIL</v>
      </c>
      <c r="E7541">
        <f>TEST_DATA!E7541</f>
        <v>2625</v>
      </c>
    </row>
    <row r="7542" spans="1:5" x14ac:dyDescent="0.55000000000000004">
      <c r="A7542" t="str">
        <f>TEST_DATA!A7542</f>
        <v>27AAAAA7542Z5</v>
      </c>
      <c r="B7542" t="str">
        <f>TEST_DATA!B7542</f>
        <v>Sep-2018</v>
      </c>
      <c r="C7542">
        <f>TEST_DATA!C7542</f>
        <v>44237</v>
      </c>
      <c r="D7542" t="str">
        <f>TEST_DATA!D7542</f>
        <v>NON-NIL</v>
      </c>
      <c r="E7542">
        <f>TEST_DATA!E7542</f>
        <v>804</v>
      </c>
    </row>
    <row r="7543" spans="1:5" x14ac:dyDescent="0.55000000000000004">
      <c r="A7543" t="str">
        <f>TEST_DATA!A7543</f>
        <v>27AAAAA7543Z5</v>
      </c>
      <c r="B7543" t="str">
        <f>TEST_DATA!B7543</f>
        <v>Jan-2021</v>
      </c>
      <c r="C7543">
        <f>TEST_DATA!C7543</f>
        <v>45706</v>
      </c>
      <c r="D7543" t="str">
        <f>TEST_DATA!D7543</f>
        <v>NIL</v>
      </c>
      <c r="E7543">
        <f>TEST_DATA!E7543</f>
        <v>1327</v>
      </c>
    </row>
    <row r="7544" spans="1:5" x14ac:dyDescent="0.55000000000000004">
      <c r="A7544" t="str">
        <f>TEST_DATA!A7544</f>
        <v>27AAAAA7544Z5</v>
      </c>
      <c r="B7544" t="str">
        <f>TEST_DATA!B7544</f>
        <v>Mar-2018</v>
      </c>
      <c r="C7544">
        <f>TEST_DATA!C7544</f>
        <v>43352</v>
      </c>
      <c r="D7544" t="str">
        <f>TEST_DATA!D7544</f>
        <v>NON-NIL</v>
      </c>
      <c r="E7544">
        <f>TEST_DATA!E7544</f>
        <v>1682</v>
      </c>
    </row>
    <row r="7545" spans="1:5" x14ac:dyDescent="0.55000000000000004">
      <c r="A7545" t="str">
        <f>TEST_DATA!A7545</f>
        <v>27AAAAA7545Z5</v>
      </c>
      <c r="B7545" t="str">
        <f>TEST_DATA!B7545</f>
        <v>Dec-2019</v>
      </c>
      <c r="C7545">
        <f>TEST_DATA!C7545</f>
        <v>44811</v>
      </c>
      <c r="D7545" t="str">
        <f>TEST_DATA!D7545</f>
        <v>NON-NIL</v>
      </c>
      <c r="E7545">
        <f>TEST_DATA!E7545</f>
        <v>1009</v>
      </c>
    </row>
    <row r="7546" spans="1:5" x14ac:dyDescent="0.55000000000000004">
      <c r="A7546" t="str">
        <f>TEST_DATA!A7546</f>
        <v>27AAAAA7546Z5</v>
      </c>
      <c r="B7546" t="str">
        <f>TEST_DATA!B7546</f>
        <v>Jun-2020</v>
      </c>
      <c r="C7546">
        <f>TEST_DATA!C7546</f>
        <v>43884</v>
      </c>
      <c r="D7546" t="str">
        <f>TEST_DATA!D7546</f>
        <v>NON-NIL</v>
      </c>
      <c r="E7546">
        <f>TEST_DATA!E7546</f>
        <v>414</v>
      </c>
    </row>
    <row r="7547" spans="1:5" x14ac:dyDescent="0.55000000000000004">
      <c r="A7547" t="str">
        <f>TEST_DATA!A7547</f>
        <v>27AAAAA7547Z5</v>
      </c>
      <c r="B7547" t="str">
        <f>TEST_DATA!B7547</f>
        <v>Jul-2018</v>
      </c>
      <c r="C7547">
        <f>TEST_DATA!C7547</f>
        <v>44413</v>
      </c>
      <c r="D7547" t="str">
        <f>TEST_DATA!D7547</f>
        <v>NIL</v>
      </c>
      <c r="E7547">
        <f>TEST_DATA!E7547</f>
        <v>1212</v>
      </c>
    </row>
    <row r="7548" spans="1:5" x14ac:dyDescent="0.55000000000000004">
      <c r="A7548" t="str">
        <f>TEST_DATA!A7548</f>
        <v>27AAAAA7548Z5</v>
      </c>
      <c r="B7548" t="str">
        <f>TEST_DATA!B7548</f>
        <v>Mar-2020</v>
      </c>
      <c r="C7548">
        <f>TEST_DATA!C7548</f>
        <v>44794</v>
      </c>
      <c r="D7548" t="str">
        <f>TEST_DATA!D7548</f>
        <v>NIL</v>
      </c>
      <c r="E7548">
        <f>TEST_DATA!E7548</f>
        <v>2522</v>
      </c>
    </row>
    <row r="7549" spans="1:5" x14ac:dyDescent="0.55000000000000004">
      <c r="A7549" t="str">
        <f>TEST_DATA!A7549</f>
        <v>27AAAAA7549Z5</v>
      </c>
      <c r="B7549" t="str">
        <f>TEST_DATA!B7549</f>
        <v>Apr-2020</v>
      </c>
      <c r="C7549">
        <f>TEST_DATA!C7549</f>
        <v>43989</v>
      </c>
      <c r="D7549" t="str">
        <f>TEST_DATA!D7549</f>
        <v>NON-NIL</v>
      </c>
      <c r="E7549">
        <f>TEST_DATA!E7549</f>
        <v>393</v>
      </c>
    </row>
    <row r="7550" spans="1:5" x14ac:dyDescent="0.55000000000000004">
      <c r="A7550" t="str">
        <f>TEST_DATA!A7550</f>
        <v>27AAAAA7550Z5</v>
      </c>
      <c r="B7550" t="str">
        <f>TEST_DATA!B7550</f>
        <v>Jun-2018</v>
      </c>
      <c r="C7550">
        <f>TEST_DATA!C7550</f>
        <v>43376</v>
      </c>
      <c r="D7550" t="str">
        <f>TEST_DATA!D7550</f>
        <v>NIL</v>
      </c>
      <c r="E7550">
        <f>TEST_DATA!E7550</f>
        <v>415</v>
      </c>
    </row>
    <row r="7551" spans="1:5" x14ac:dyDescent="0.55000000000000004">
      <c r="A7551" t="str">
        <f>TEST_DATA!A7551</f>
        <v>27AAAAA7551Z5</v>
      </c>
      <c r="B7551" t="str">
        <f>TEST_DATA!B7551</f>
        <v>Jul-2018</v>
      </c>
      <c r="C7551">
        <f>TEST_DATA!C7551</f>
        <v>44517</v>
      </c>
      <c r="D7551" t="str">
        <f>TEST_DATA!D7551</f>
        <v>NIL</v>
      </c>
      <c r="E7551">
        <f>TEST_DATA!E7551</f>
        <v>2845</v>
      </c>
    </row>
    <row r="7552" spans="1:5" x14ac:dyDescent="0.55000000000000004">
      <c r="A7552" t="str">
        <f>TEST_DATA!A7552</f>
        <v>27AAAAA7552Z5</v>
      </c>
      <c r="B7552" t="str">
        <f>TEST_DATA!B7552</f>
        <v>Sep-2018</v>
      </c>
      <c r="C7552">
        <f>TEST_DATA!C7552</f>
        <v>43098</v>
      </c>
      <c r="D7552" t="str">
        <f>TEST_DATA!D7552</f>
        <v>NIL</v>
      </c>
      <c r="E7552">
        <f>TEST_DATA!E7552</f>
        <v>1002</v>
      </c>
    </row>
    <row r="7553" spans="1:5" x14ac:dyDescent="0.55000000000000004">
      <c r="A7553" t="str">
        <f>TEST_DATA!A7553</f>
        <v>27AAAAA7553Z5</v>
      </c>
      <c r="B7553" t="str">
        <f>TEST_DATA!B7553</f>
        <v>Jul-2017</v>
      </c>
      <c r="C7553">
        <f>TEST_DATA!C7553</f>
        <v>43935</v>
      </c>
      <c r="D7553" t="str">
        <f>TEST_DATA!D7553</f>
        <v>NIL</v>
      </c>
      <c r="E7553">
        <f>TEST_DATA!E7553</f>
        <v>1941</v>
      </c>
    </row>
    <row r="7554" spans="1:5" x14ac:dyDescent="0.55000000000000004">
      <c r="A7554" t="str">
        <f>TEST_DATA!A7554</f>
        <v>27AAAAA7554Z5</v>
      </c>
      <c r="B7554" t="str">
        <f>TEST_DATA!B7554</f>
        <v>Nov-2017</v>
      </c>
      <c r="C7554">
        <f>TEST_DATA!C7554</f>
        <v>43694</v>
      </c>
      <c r="D7554" t="str">
        <f>TEST_DATA!D7554</f>
        <v>NIL</v>
      </c>
      <c r="E7554">
        <f>TEST_DATA!E7554</f>
        <v>1931</v>
      </c>
    </row>
    <row r="7555" spans="1:5" x14ac:dyDescent="0.55000000000000004">
      <c r="A7555" t="str">
        <f>TEST_DATA!A7555</f>
        <v>27AAAAA7555Z5</v>
      </c>
      <c r="B7555" t="str">
        <f>TEST_DATA!B7555</f>
        <v>Jul-2020</v>
      </c>
      <c r="C7555">
        <f>TEST_DATA!C7555</f>
        <v>44171</v>
      </c>
      <c r="D7555" t="str">
        <f>TEST_DATA!D7555</f>
        <v>NIL</v>
      </c>
      <c r="E7555">
        <f>TEST_DATA!E7555</f>
        <v>390</v>
      </c>
    </row>
    <row r="7556" spans="1:5" x14ac:dyDescent="0.55000000000000004">
      <c r="A7556" t="str">
        <f>TEST_DATA!A7556</f>
        <v>27AAAAA7556Z5</v>
      </c>
      <c r="B7556" t="str">
        <f>TEST_DATA!B7556</f>
        <v>Mar-2018</v>
      </c>
      <c r="C7556">
        <f>TEST_DATA!C7556</f>
        <v>44015</v>
      </c>
      <c r="D7556" t="str">
        <f>TEST_DATA!D7556</f>
        <v>NON-NIL</v>
      </c>
      <c r="E7556">
        <f>TEST_DATA!E7556</f>
        <v>1974</v>
      </c>
    </row>
    <row r="7557" spans="1:5" x14ac:dyDescent="0.55000000000000004">
      <c r="A7557" t="str">
        <f>TEST_DATA!A7557</f>
        <v>27AAAAA7557Z5</v>
      </c>
      <c r="B7557" t="str">
        <f>TEST_DATA!B7557</f>
        <v>Dec-2019</v>
      </c>
      <c r="C7557">
        <f>TEST_DATA!C7557</f>
        <v>43544</v>
      </c>
      <c r="D7557" t="str">
        <f>TEST_DATA!D7557</f>
        <v>NIL</v>
      </c>
      <c r="E7557">
        <f>TEST_DATA!E7557</f>
        <v>1583</v>
      </c>
    </row>
    <row r="7558" spans="1:5" x14ac:dyDescent="0.55000000000000004">
      <c r="A7558" t="str">
        <f>TEST_DATA!A7558</f>
        <v>27AAAAA7558Z5</v>
      </c>
      <c r="B7558" t="str">
        <f>TEST_DATA!B7558</f>
        <v>Jan-2021</v>
      </c>
      <c r="C7558">
        <f>TEST_DATA!C7558</f>
        <v>44592</v>
      </c>
      <c r="D7558" t="str">
        <f>TEST_DATA!D7558</f>
        <v>NIL</v>
      </c>
      <c r="E7558">
        <f>TEST_DATA!E7558</f>
        <v>482</v>
      </c>
    </row>
    <row r="7559" spans="1:5" x14ac:dyDescent="0.55000000000000004">
      <c r="A7559" t="str">
        <f>TEST_DATA!A7559</f>
        <v>27AAAAA7559Z5</v>
      </c>
      <c r="B7559" t="str">
        <f>TEST_DATA!B7559</f>
        <v>Nov-2017</v>
      </c>
      <c r="C7559">
        <f>TEST_DATA!C7559</f>
        <v>43167</v>
      </c>
      <c r="D7559" t="str">
        <f>TEST_DATA!D7559</f>
        <v>NON-NIL</v>
      </c>
      <c r="E7559">
        <f>TEST_DATA!E7559</f>
        <v>1631</v>
      </c>
    </row>
    <row r="7560" spans="1:5" x14ac:dyDescent="0.55000000000000004">
      <c r="A7560" t="str">
        <f>TEST_DATA!A7560</f>
        <v>27AAAAA7560Z5</v>
      </c>
      <c r="B7560" t="str">
        <f>TEST_DATA!B7560</f>
        <v>Apr-2021</v>
      </c>
      <c r="C7560">
        <f>TEST_DATA!C7560</f>
        <v>44270</v>
      </c>
      <c r="D7560" t="str">
        <f>TEST_DATA!D7560</f>
        <v>NON-NIL</v>
      </c>
      <c r="E7560">
        <f>TEST_DATA!E7560</f>
        <v>1810</v>
      </c>
    </row>
    <row r="7561" spans="1:5" x14ac:dyDescent="0.55000000000000004">
      <c r="A7561" t="str">
        <f>TEST_DATA!A7561</f>
        <v>27AAAAA7561Z5</v>
      </c>
      <c r="B7561" t="str">
        <f>TEST_DATA!B7561</f>
        <v>Jul-2018</v>
      </c>
      <c r="C7561">
        <f>TEST_DATA!C7561</f>
        <v>43293</v>
      </c>
      <c r="D7561" t="str">
        <f>TEST_DATA!D7561</f>
        <v>NON-NIL</v>
      </c>
      <c r="E7561">
        <f>TEST_DATA!E7561</f>
        <v>2631</v>
      </c>
    </row>
    <row r="7562" spans="1:5" x14ac:dyDescent="0.55000000000000004">
      <c r="A7562" t="str">
        <f>TEST_DATA!A7562</f>
        <v>27AAAAA7562Z5</v>
      </c>
      <c r="B7562" t="str">
        <f>TEST_DATA!B7562</f>
        <v>Mar-2018</v>
      </c>
      <c r="C7562">
        <f>TEST_DATA!C7562</f>
        <v>43212</v>
      </c>
      <c r="D7562" t="str">
        <f>TEST_DATA!D7562</f>
        <v>NIL</v>
      </c>
      <c r="E7562">
        <f>TEST_DATA!E7562</f>
        <v>1591</v>
      </c>
    </row>
    <row r="7563" spans="1:5" x14ac:dyDescent="0.55000000000000004">
      <c r="A7563" t="str">
        <f>TEST_DATA!A7563</f>
        <v>27AAAAA7563Z5</v>
      </c>
      <c r="B7563" t="str">
        <f>TEST_DATA!B7563</f>
        <v>Dec-2022</v>
      </c>
      <c r="C7563">
        <f>TEST_DATA!C7563</f>
        <v>44680</v>
      </c>
      <c r="D7563" t="str">
        <f>TEST_DATA!D7563</f>
        <v>NON-NIL</v>
      </c>
      <c r="E7563">
        <f>TEST_DATA!E7563</f>
        <v>1660</v>
      </c>
    </row>
    <row r="7564" spans="1:5" x14ac:dyDescent="0.55000000000000004">
      <c r="A7564" t="str">
        <f>TEST_DATA!A7564</f>
        <v>27AAAAA7564Z5</v>
      </c>
      <c r="B7564" t="str">
        <f>TEST_DATA!B7564</f>
        <v>Jan-2018</v>
      </c>
      <c r="C7564">
        <f>TEST_DATA!C7564</f>
        <v>43308</v>
      </c>
      <c r="D7564" t="str">
        <f>TEST_DATA!D7564</f>
        <v>NIL</v>
      </c>
      <c r="E7564">
        <f>TEST_DATA!E7564</f>
        <v>1884</v>
      </c>
    </row>
    <row r="7565" spans="1:5" x14ac:dyDescent="0.55000000000000004">
      <c r="A7565" t="str">
        <f>TEST_DATA!A7565</f>
        <v>27AAAAA7565Z5</v>
      </c>
      <c r="B7565" t="str">
        <f>TEST_DATA!B7565</f>
        <v>Nov-2017</v>
      </c>
      <c r="C7565">
        <f>TEST_DATA!C7565</f>
        <v>44449</v>
      </c>
      <c r="D7565" t="str">
        <f>TEST_DATA!D7565</f>
        <v>NON-NIL</v>
      </c>
      <c r="E7565">
        <f>TEST_DATA!E7565</f>
        <v>46</v>
      </c>
    </row>
    <row r="7566" spans="1:5" x14ac:dyDescent="0.55000000000000004">
      <c r="A7566" t="str">
        <f>TEST_DATA!A7566</f>
        <v>27AAAAA7566Z5</v>
      </c>
      <c r="B7566" t="str">
        <f>TEST_DATA!B7566</f>
        <v>Jan-2018</v>
      </c>
      <c r="C7566">
        <f>TEST_DATA!C7566</f>
        <v>43726</v>
      </c>
      <c r="D7566" t="str">
        <f>TEST_DATA!D7566</f>
        <v>NON-NIL</v>
      </c>
      <c r="E7566">
        <f>TEST_DATA!E7566</f>
        <v>2071</v>
      </c>
    </row>
    <row r="7567" spans="1:5" x14ac:dyDescent="0.55000000000000004">
      <c r="A7567" t="str">
        <f>TEST_DATA!A7567</f>
        <v>27AAAAA7567Z5</v>
      </c>
      <c r="B7567" t="str">
        <f>TEST_DATA!B7567</f>
        <v>Mar-2023</v>
      </c>
      <c r="C7567">
        <f>TEST_DATA!C7567</f>
        <v>43793</v>
      </c>
      <c r="D7567" t="str">
        <f>TEST_DATA!D7567</f>
        <v>NIL</v>
      </c>
      <c r="E7567">
        <f>TEST_DATA!E7567</f>
        <v>743</v>
      </c>
    </row>
    <row r="7568" spans="1:5" x14ac:dyDescent="0.55000000000000004">
      <c r="A7568" t="str">
        <f>TEST_DATA!A7568</f>
        <v>27AAAAA7568Z5</v>
      </c>
      <c r="B7568" t="str">
        <f>TEST_DATA!B7568</f>
        <v>May-2020</v>
      </c>
      <c r="C7568">
        <f>TEST_DATA!C7568</f>
        <v>44678</v>
      </c>
      <c r="D7568" t="str">
        <f>TEST_DATA!D7568</f>
        <v>NON-NIL</v>
      </c>
      <c r="E7568">
        <f>TEST_DATA!E7568</f>
        <v>2943</v>
      </c>
    </row>
    <row r="7569" spans="1:5" x14ac:dyDescent="0.55000000000000004">
      <c r="A7569" t="str">
        <f>TEST_DATA!A7569</f>
        <v>27AAAAA7569Z5</v>
      </c>
      <c r="B7569" t="str">
        <f>TEST_DATA!B7569</f>
        <v>Apr-2018</v>
      </c>
      <c r="C7569">
        <f>TEST_DATA!C7569</f>
        <v>44078</v>
      </c>
      <c r="D7569" t="str">
        <f>TEST_DATA!D7569</f>
        <v>NON-NIL</v>
      </c>
      <c r="E7569">
        <f>TEST_DATA!E7569</f>
        <v>362</v>
      </c>
    </row>
    <row r="7570" spans="1:5" x14ac:dyDescent="0.55000000000000004">
      <c r="A7570" t="str">
        <f>TEST_DATA!A7570</f>
        <v>27AAAAA7570Z5</v>
      </c>
      <c r="B7570" t="str">
        <f>TEST_DATA!B7570</f>
        <v>Apr-2020</v>
      </c>
      <c r="C7570">
        <f>TEST_DATA!C7570</f>
        <v>44670</v>
      </c>
      <c r="D7570" t="str">
        <f>TEST_DATA!D7570</f>
        <v>NON-NIL</v>
      </c>
      <c r="E7570">
        <f>TEST_DATA!E7570</f>
        <v>2753</v>
      </c>
    </row>
    <row r="7571" spans="1:5" x14ac:dyDescent="0.55000000000000004">
      <c r="A7571" t="str">
        <f>TEST_DATA!A7571</f>
        <v>27AAAAA7571Z5</v>
      </c>
      <c r="B7571" t="str">
        <f>TEST_DATA!B7571</f>
        <v>Jul-2017</v>
      </c>
      <c r="C7571">
        <f>TEST_DATA!C7571</f>
        <v>43760</v>
      </c>
      <c r="D7571" t="str">
        <f>TEST_DATA!D7571</f>
        <v>NIL</v>
      </c>
      <c r="E7571">
        <f>TEST_DATA!E7571</f>
        <v>894</v>
      </c>
    </row>
    <row r="7572" spans="1:5" x14ac:dyDescent="0.55000000000000004">
      <c r="A7572" t="str">
        <f>TEST_DATA!A7572</f>
        <v>27AAAAA7572Z5</v>
      </c>
      <c r="B7572" t="str">
        <f>TEST_DATA!B7572</f>
        <v>May-2018</v>
      </c>
      <c r="C7572">
        <f>TEST_DATA!C7572</f>
        <v>43368</v>
      </c>
      <c r="D7572" t="str">
        <f>TEST_DATA!D7572</f>
        <v>NIL</v>
      </c>
      <c r="E7572">
        <f>TEST_DATA!E7572</f>
        <v>134</v>
      </c>
    </row>
    <row r="7573" spans="1:5" x14ac:dyDescent="0.55000000000000004">
      <c r="A7573" t="str">
        <f>TEST_DATA!A7573</f>
        <v>27AAAAA7573Z5</v>
      </c>
      <c r="B7573" t="str">
        <f>TEST_DATA!B7573</f>
        <v>Oct-2017</v>
      </c>
      <c r="C7573">
        <f>TEST_DATA!C7573</f>
        <v>43714</v>
      </c>
      <c r="D7573" t="str">
        <f>TEST_DATA!D7573</f>
        <v>NIL</v>
      </c>
      <c r="E7573">
        <f>TEST_DATA!E7573</f>
        <v>695</v>
      </c>
    </row>
    <row r="7574" spans="1:5" x14ac:dyDescent="0.55000000000000004">
      <c r="A7574" t="str">
        <f>TEST_DATA!A7574</f>
        <v>27AAAAA7574Z5</v>
      </c>
      <c r="B7574" t="str">
        <f>TEST_DATA!B7574</f>
        <v>Jun-2018</v>
      </c>
      <c r="C7574">
        <f>TEST_DATA!C7574</f>
        <v>44525</v>
      </c>
      <c r="D7574" t="str">
        <f>TEST_DATA!D7574</f>
        <v>NIL</v>
      </c>
      <c r="E7574">
        <f>TEST_DATA!E7574</f>
        <v>465</v>
      </c>
    </row>
    <row r="7575" spans="1:5" x14ac:dyDescent="0.55000000000000004">
      <c r="A7575" t="str">
        <f>TEST_DATA!A7575</f>
        <v>27AAAAA7575Z5</v>
      </c>
      <c r="B7575" t="str">
        <f>TEST_DATA!B7575</f>
        <v>Jul-2018</v>
      </c>
      <c r="C7575">
        <f>TEST_DATA!C7575</f>
        <v>44506</v>
      </c>
      <c r="D7575" t="str">
        <f>TEST_DATA!D7575</f>
        <v>NIL</v>
      </c>
      <c r="E7575">
        <f>TEST_DATA!E7575</f>
        <v>2325</v>
      </c>
    </row>
    <row r="7576" spans="1:5" x14ac:dyDescent="0.55000000000000004">
      <c r="A7576" t="str">
        <f>TEST_DATA!A7576</f>
        <v>27AAAAA7576Z5</v>
      </c>
      <c r="B7576" t="str">
        <f>TEST_DATA!B7576</f>
        <v>Apr-2020</v>
      </c>
      <c r="C7576">
        <f>TEST_DATA!C7576</f>
        <v>44388</v>
      </c>
      <c r="D7576" t="str">
        <f>TEST_DATA!D7576</f>
        <v>NIL</v>
      </c>
      <c r="E7576">
        <f>TEST_DATA!E7576</f>
        <v>333</v>
      </c>
    </row>
    <row r="7577" spans="1:5" x14ac:dyDescent="0.55000000000000004">
      <c r="A7577" t="str">
        <f>TEST_DATA!A7577</f>
        <v>27AAAAA7577Z5</v>
      </c>
      <c r="B7577" t="str">
        <f>TEST_DATA!B7577</f>
        <v>Jan-2018</v>
      </c>
      <c r="C7577">
        <f>TEST_DATA!C7577</f>
        <v>43380</v>
      </c>
      <c r="D7577" t="str">
        <f>TEST_DATA!D7577</f>
        <v>NIL</v>
      </c>
      <c r="E7577">
        <f>TEST_DATA!E7577</f>
        <v>1114</v>
      </c>
    </row>
    <row r="7578" spans="1:5" x14ac:dyDescent="0.55000000000000004">
      <c r="A7578" t="str">
        <f>TEST_DATA!A7578</f>
        <v>27AAAAA7578Z5</v>
      </c>
      <c r="B7578" t="str">
        <f>TEST_DATA!B7578</f>
        <v>Mar-2018</v>
      </c>
      <c r="C7578">
        <f>TEST_DATA!C7578</f>
        <v>43358</v>
      </c>
      <c r="D7578" t="str">
        <f>TEST_DATA!D7578</f>
        <v>NON-NIL</v>
      </c>
      <c r="E7578">
        <f>TEST_DATA!E7578</f>
        <v>2727</v>
      </c>
    </row>
    <row r="7579" spans="1:5" x14ac:dyDescent="0.55000000000000004">
      <c r="A7579" t="str">
        <f>TEST_DATA!A7579</f>
        <v>27AAAAA7579Z5</v>
      </c>
      <c r="B7579" t="str">
        <f>TEST_DATA!B7579</f>
        <v>Aug-2018</v>
      </c>
      <c r="C7579">
        <f>TEST_DATA!C7579</f>
        <v>43904</v>
      </c>
      <c r="D7579" t="str">
        <f>TEST_DATA!D7579</f>
        <v>NIL</v>
      </c>
      <c r="E7579">
        <f>TEST_DATA!E7579</f>
        <v>2808</v>
      </c>
    </row>
    <row r="7580" spans="1:5" x14ac:dyDescent="0.55000000000000004">
      <c r="A7580" t="str">
        <f>TEST_DATA!A7580</f>
        <v>27AAAAA7580Z5</v>
      </c>
      <c r="B7580" t="str">
        <f>TEST_DATA!B7580</f>
        <v>Mar-2018</v>
      </c>
      <c r="C7580">
        <f>TEST_DATA!C7580</f>
        <v>44009</v>
      </c>
      <c r="D7580" t="str">
        <f>TEST_DATA!D7580</f>
        <v>NIL</v>
      </c>
      <c r="E7580">
        <f>TEST_DATA!E7580</f>
        <v>1152</v>
      </c>
    </row>
    <row r="7581" spans="1:5" x14ac:dyDescent="0.55000000000000004">
      <c r="A7581" t="str">
        <f>TEST_DATA!A7581</f>
        <v>27AAAAA7581Z5</v>
      </c>
      <c r="B7581" t="str">
        <f>TEST_DATA!B7581</f>
        <v>Aug-2017</v>
      </c>
      <c r="C7581">
        <f>TEST_DATA!C7581</f>
        <v>44070</v>
      </c>
      <c r="D7581" t="str">
        <f>TEST_DATA!D7581</f>
        <v>NON-NIL</v>
      </c>
      <c r="E7581">
        <f>TEST_DATA!E7581</f>
        <v>362</v>
      </c>
    </row>
    <row r="7582" spans="1:5" x14ac:dyDescent="0.55000000000000004">
      <c r="A7582" t="str">
        <f>TEST_DATA!A7582</f>
        <v>27AAAAA7582Z5</v>
      </c>
      <c r="B7582" t="str">
        <f>TEST_DATA!B7582</f>
        <v>Jan-2021</v>
      </c>
      <c r="C7582">
        <f>TEST_DATA!C7582</f>
        <v>43720</v>
      </c>
      <c r="D7582" t="str">
        <f>TEST_DATA!D7582</f>
        <v>NIL</v>
      </c>
      <c r="E7582">
        <f>TEST_DATA!E7582</f>
        <v>1778</v>
      </c>
    </row>
    <row r="7583" spans="1:5" x14ac:dyDescent="0.55000000000000004">
      <c r="A7583" t="str">
        <f>TEST_DATA!A7583</f>
        <v>27AAAAA7583Z5</v>
      </c>
      <c r="B7583" t="str">
        <f>TEST_DATA!B7583</f>
        <v>Jan-2019</v>
      </c>
      <c r="C7583">
        <f>TEST_DATA!C7583</f>
        <v>44352</v>
      </c>
      <c r="D7583" t="str">
        <f>TEST_DATA!D7583</f>
        <v>NIL</v>
      </c>
      <c r="E7583">
        <f>TEST_DATA!E7583</f>
        <v>302</v>
      </c>
    </row>
    <row r="7584" spans="1:5" x14ac:dyDescent="0.55000000000000004">
      <c r="A7584" t="str">
        <f>TEST_DATA!A7584</f>
        <v>27AAAAA7584Z5</v>
      </c>
      <c r="B7584" t="str">
        <f>TEST_DATA!B7584</f>
        <v>Mar-2018</v>
      </c>
      <c r="C7584">
        <f>TEST_DATA!C7584</f>
        <v>44031</v>
      </c>
      <c r="D7584" t="str">
        <f>TEST_DATA!D7584</f>
        <v>NIL</v>
      </c>
      <c r="E7584">
        <f>TEST_DATA!E7584</f>
        <v>424</v>
      </c>
    </row>
    <row r="7585" spans="1:5" x14ac:dyDescent="0.55000000000000004">
      <c r="A7585" t="str">
        <f>TEST_DATA!A7585</f>
        <v>27AAAAA7585Z5</v>
      </c>
      <c r="B7585" t="str">
        <f>TEST_DATA!B7585</f>
        <v>Jul-2018</v>
      </c>
      <c r="C7585">
        <f>TEST_DATA!C7585</f>
        <v>42938</v>
      </c>
      <c r="D7585" t="str">
        <f>TEST_DATA!D7585</f>
        <v>NON-NIL</v>
      </c>
      <c r="E7585">
        <f>TEST_DATA!E7585</f>
        <v>2368</v>
      </c>
    </row>
    <row r="7586" spans="1:5" x14ac:dyDescent="0.55000000000000004">
      <c r="A7586" t="str">
        <f>TEST_DATA!A7586</f>
        <v>27AAAAA7586Z5</v>
      </c>
      <c r="B7586" t="str">
        <f>TEST_DATA!B7586</f>
        <v>May-2020</v>
      </c>
      <c r="C7586">
        <f>TEST_DATA!C7586</f>
        <v>44001</v>
      </c>
      <c r="D7586" t="str">
        <f>TEST_DATA!D7586</f>
        <v>NIL</v>
      </c>
      <c r="E7586">
        <f>TEST_DATA!E7586</f>
        <v>194</v>
      </c>
    </row>
    <row r="7587" spans="1:5" x14ac:dyDescent="0.55000000000000004">
      <c r="A7587" t="str">
        <f>TEST_DATA!A7587</f>
        <v>27AAAAA7587Z5</v>
      </c>
      <c r="B7587" t="str">
        <f>TEST_DATA!B7587</f>
        <v>Mar-2023</v>
      </c>
      <c r="C7587">
        <f>TEST_DATA!C7587</f>
        <v>44742</v>
      </c>
      <c r="D7587" t="str">
        <f>TEST_DATA!D7587</f>
        <v>NIL</v>
      </c>
      <c r="E7587">
        <f>TEST_DATA!E7587</f>
        <v>158</v>
      </c>
    </row>
    <row r="7588" spans="1:5" x14ac:dyDescent="0.55000000000000004">
      <c r="A7588" t="str">
        <f>TEST_DATA!A7588</f>
        <v>27AAAAA7588Z5</v>
      </c>
      <c r="B7588" t="str">
        <f>TEST_DATA!B7588</f>
        <v>Nov-2017</v>
      </c>
      <c r="C7588">
        <f>TEST_DATA!C7588</f>
        <v>44001</v>
      </c>
      <c r="D7588" t="str">
        <f>TEST_DATA!D7588</f>
        <v>NON-NIL</v>
      </c>
      <c r="E7588">
        <f>TEST_DATA!E7588</f>
        <v>1708</v>
      </c>
    </row>
    <row r="7589" spans="1:5" x14ac:dyDescent="0.55000000000000004">
      <c r="A7589" t="str">
        <f>TEST_DATA!A7589</f>
        <v>27AAAAA7589Z5</v>
      </c>
      <c r="B7589" t="str">
        <f>TEST_DATA!B7589</f>
        <v>Oct-2017</v>
      </c>
      <c r="C7589">
        <f>TEST_DATA!C7589</f>
        <v>43744</v>
      </c>
      <c r="D7589" t="str">
        <f>TEST_DATA!D7589</f>
        <v>NIL</v>
      </c>
      <c r="E7589">
        <f>TEST_DATA!E7589</f>
        <v>296</v>
      </c>
    </row>
    <row r="7590" spans="1:5" x14ac:dyDescent="0.55000000000000004">
      <c r="A7590" t="str">
        <f>TEST_DATA!A7590</f>
        <v>27AAAAA7590Z5</v>
      </c>
      <c r="B7590" t="str">
        <f>TEST_DATA!B7590</f>
        <v>Dec-2024</v>
      </c>
      <c r="C7590">
        <f>TEST_DATA!C7590</f>
        <v>43628</v>
      </c>
      <c r="D7590" t="str">
        <f>TEST_DATA!D7590</f>
        <v>NIL</v>
      </c>
      <c r="E7590">
        <f>TEST_DATA!E7590</f>
        <v>1195</v>
      </c>
    </row>
    <row r="7591" spans="1:5" x14ac:dyDescent="0.55000000000000004">
      <c r="A7591" t="str">
        <f>TEST_DATA!A7591</f>
        <v>27AAAAA7591Z5</v>
      </c>
      <c r="B7591" t="str">
        <f>TEST_DATA!B7591</f>
        <v>Nov-2017</v>
      </c>
      <c r="C7591">
        <f>TEST_DATA!C7591</f>
        <v>43166</v>
      </c>
      <c r="D7591" t="str">
        <f>TEST_DATA!D7591</f>
        <v>NIL</v>
      </c>
      <c r="E7591">
        <f>TEST_DATA!E7591</f>
        <v>1056</v>
      </c>
    </row>
    <row r="7592" spans="1:5" x14ac:dyDescent="0.55000000000000004">
      <c r="A7592" t="str">
        <f>TEST_DATA!A7592</f>
        <v>27AAAAA7592Z5</v>
      </c>
      <c r="B7592" t="str">
        <f>TEST_DATA!B7592</f>
        <v>Jun-2019</v>
      </c>
      <c r="C7592">
        <f>TEST_DATA!C7592</f>
        <v>44814</v>
      </c>
      <c r="D7592" t="str">
        <f>TEST_DATA!D7592</f>
        <v>NON-NIL</v>
      </c>
      <c r="E7592">
        <f>TEST_DATA!E7592</f>
        <v>2267</v>
      </c>
    </row>
    <row r="7593" spans="1:5" x14ac:dyDescent="0.55000000000000004">
      <c r="A7593" t="str">
        <f>TEST_DATA!A7593</f>
        <v>27AAAAA7593Z5</v>
      </c>
      <c r="B7593" t="str">
        <f>TEST_DATA!B7593</f>
        <v>Mar-2018</v>
      </c>
      <c r="C7593">
        <f>TEST_DATA!C7593</f>
        <v>43236</v>
      </c>
      <c r="D7593" t="str">
        <f>TEST_DATA!D7593</f>
        <v>NIL</v>
      </c>
      <c r="E7593">
        <f>TEST_DATA!E7593</f>
        <v>858</v>
      </c>
    </row>
    <row r="7594" spans="1:5" x14ac:dyDescent="0.55000000000000004">
      <c r="A7594" t="str">
        <f>TEST_DATA!A7594</f>
        <v>27AAAAA7594Z5</v>
      </c>
      <c r="B7594" t="str">
        <f>TEST_DATA!B7594</f>
        <v>May-2018</v>
      </c>
      <c r="C7594">
        <f>TEST_DATA!C7594</f>
        <v>43321</v>
      </c>
      <c r="D7594" t="str">
        <f>TEST_DATA!D7594</f>
        <v>NIL</v>
      </c>
      <c r="E7594">
        <f>TEST_DATA!E7594</f>
        <v>1742</v>
      </c>
    </row>
    <row r="7595" spans="1:5" x14ac:dyDescent="0.55000000000000004">
      <c r="A7595" t="str">
        <f>TEST_DATA!A7595</f>
        <v>27AAAAA7595Z5</v>
      </c>
      <c r="B7595" t="str">
        <f>TEST_DATA!B7595</f>
        <v>Aug-2017</v>
      </c>
      <c r="C7595">
        <f>TEST_DATA!C7595</f>
        <v>44341</v>
      </c>
      <c r="D7595" t="str">
        <f>TEST_DATA!D7595</f>
        <v>NON-NIL</v>
      </c>
      <c r="E7595">
        <f>TEST_DATA!E7595</f>
        <v>2316</v>
      </c>
    </row>
    <row r="7596" spans="1:5" x14ac:dyDescent="0.55000000000000004">
      <c r="A7596" t="str">
        <f>TEST_DATA!A7596</f>
        <v>27AAAAA7596Z5</v>
      </c>
      <c r="B7596" t="str">
        <f>TEST_DATA!B7596</f>
        <v>Jun-2020</v>
      </c>
      <c r="C7596">
        <f>TEST_DATA!C7596</f>
        <v>44027</v>
      </c>
      <c r="D7596" t="str">
        <f>TEST_DATA!D7596</f>
        <v>NON-NIL</v>
      </c>
      <c r="E7596">
        <f>TEST_DATA!E7596</f>
        <v>2423</v>
      </c>
    </row>
    <row r="7597" spans="1:5" x14ac:dyDescent="0.55000000000000004">
      <c r="A7597" t="str">
        <f>TEST_DATA!A7597</f>
        <v>27AAAAA7597Z5</v>
      </c>
      <c r="B7597" t="str">
        <f>TEST_DATA!B7597</f>
        <v>Oct-2017</v>
      </c>
      <c r="C7597">
        <f>TEST_DATA!C7597</f>
        <v>43337</v>
      </c>
      <c r="D7597" t="str">
        <f>TEST_DATA!D7597</f>
        <v>NON-NIL</v>
      </c>
      <c r="E7597">
        <f>TEST_DATA!E7597</f>
        <v>240</v>
      </c>
    </row>
    <row r="7598" spans="1:5" x14ac:dyDescent="0.55000000000000004">
      <c r="A7598" t="str">
        <f>TEST_DATA!A7598</f>
        <v>27AAAAA7598Z5</v>
      </c>
      <c r="B7598" t="str">
        <f>TEST_DATA!B7598</f>
        <v>Sep-2017</v>
      </c>
      <c r="C7598">
        <f>TEST_DATA!C7598</f>
        <v>43580</v>
      </c>
      <c r="D7598" t="str">
        <f>TEST_DATA!D7598</f>
        <v>NON-NIL</v>
      </c>
      <c r="E7598">
        <f>TEST_DATA!E7598</f>
        <v>405</v>
      </c>
    </row>
    <row r="7599" spans="1:5" x14ac:dyDescent="0.55000000000000004">
      <c r="A7599" t="str">
        <f>TEST_DATA!A7599</f>
        <v>27AAAAA7599Z5</v>
      </c>
      <c r="B7599" t="str">
        <f>TEST_DATA!B7599</f>
        <v>Mar-2023</v>
      </c>
      <c r="C7599">
        <f>TEST_DATA!C7599</f>
        <v>43819</v>
      </c>
      <c r="D7599" t="str">
        <f>TEST_DATA!D7599</f>
        <v>NON-NIL</v>
      </c>
      <c r="E7599">
        <f>TEST_DATA!E7599</f>
        <v>475</v>
      </c>
    </row>
    <row r="7600" spans="1:5" x14ac:dyDescent="0.55000000000000004">
      <c r="A7600" t="str">
        <f>TEST_DATA!A7600</f>
        <v>27AAAAA7600Z5</v>
      </c>
      <c r="B7600" t="str">
        <f>TEST_DATA!B7600</f>
        <v>Jan-2018</v>
      </c>
      <c r="C7600">
        <f>TEST_DATA!C7600</f>
        <v>43193</v>
      </c>
      <c r="D7600" t="str">
        <f>TEST_DATA!D7600</f>
        <v>NIL</v>
      </c>
      <c r="E7600">
        <f>TEST_DATA!E7600</f>
        <v>2387</v>
      </c>
    </row>
    <row r="7601" spans="1:5" x14ac:dyDescent="0.55000000000000004">
      <c r="A7601" t="str">
        <f>TEST_DATA!A7601</f>
        <v>27AAAAA7601Z5</v>
      </c>
      <c r="B7601" t="str">
        <f>TEST_DATA!B7601</f>
        <v>Jun-2020</v>
      </c>
      <c r="C7601">
        <f>TEST_DATA!C7601</f>
        <v>44464</v>
      </c>
      <c r="D7601" t="str">
        <f>TEST_DATA!D7601</f>
        <v>NIL</v>
      </c>
      <c r="E7601">
        <f>TEST_DATA!E7601</f>
        <v>554</v>
      </c>
    </row>
    <row r="7602" spans="1:5" x14ac:dyDescent="0.55000000000000004">
      <c r="A7602" t="str">
        <f>TEST_DATA!A7602</f>
        <v>27AAAAA7602Z5</v>
      </c>
      <c r="B7602" t="str">
        <f>TEST_DATA!B7602</f>
        <v>Apr-2018</v>
      </c>
      <c r="C7602">
        <f>TEST_DATA!C7602</f>
        <v>43867</v>
      </c>
      <c r="D7602" t="str">
        <f>TEST_DATA!D7602</f>
        <v>NIL</v>
      </c>
      <c r="E7602">
        <f>TEST_DATA!E7602</f>
        <v>661</v>
      </c>
    </row>
    <row r="7603" spans="1:5" x14ac:dyDescent="0.55000000000000004">
      <c r="A7603" t="str">
        <f>TEST_DATA!A7603</f>
        <v>27AAAAA7603Z5</v>
      </c>
      <c r="B7603" t="str">
        <f>TEST_DATA!B7603</f>
        <v>Jun-2019</v>
      </c>
      <c r="C7603">
        <f>TEST_DATA!C7603</f>
        <v>45741</v>
      </c>
      <c r="D7603" t="str">
        <f>TEST_DATA!D7603</f>
        <v>NIL</v>
      </c>
      <c r="E7603">
        <f>TEST_DATA!E7603</f>
        <v>1185</v>
      </c>
    </row>
    <row r="7604" spans="1:5" x14ac:dyDescent="0.55000000000000004">
      <c r="A7604" t="str">
        <f>TEST_DATA!A7604</f>
        <v>27AAAAA7604Z5</v>
      </c>
      <c r="B7604" t="str">
        <f>TEST_DATA!B7604</f>
        <v>Sep-2017</v>
      </c>
      <c r="C7604">
        <f>TEST_DATA!C7604</f>
        <v>43161</v>
      </c>
      <c r="D7604" t="str">
        <f>TEST_DATA!D7604</f>
        <v>NIL</v>
      </c>
      <c r="E7604">
        <f>TEST_DATA!E7604</f>
        <v>2185</v>
      </c>
    </row>
    <row r="7605" spans="1:5" x14ac:dyDescent="0.55000000000000004">
      <c r="A7605" t="str">
        <f>TEST_DATA!A7605</f>
        <v>27AAAAA7605Z5</v>
      </c>
      <c r="B7605" t="str">
        <f>TEST_DATA!B7605</f>
        <v>Sep-2018</v>
      </c>
      <c r="C7605">
        <f>TEST_DATA!C7605</f>
        <v>44211</v>
      </c>
      <c r="D7605" t="str">
        <f>TEST_DATA!D7605</f>
        <v>NON-NIL</v>
      </c>
      <c r="E7605">
        <f>TEST_DATA!E7605</f>
        <v>1298</v>
      </c>
    </row>
    <row r="7606" spans="1:5" x14ac:dyDescent="0.55000000000000004">
      <c r="A7606" t="str">
        <f>TEST_DATA!A7606</f>
        <v>27AAAAA7606Z5</v>
      </c>
      <c r="B7606" t="str">
        <f>TEST_DATA!B7606</f>
        <v>Nov-2017</v>
      </c>
      <c r="C7606">
        <f>TEST_DATA!C7606</f>
        <v>43909</v>
      </c>
      <c r="D7606" t="str">
        <f>TEST_DATA!D7606</f>
        <v>NIL</v>
      </c>
      <c r="E7606">
        <f>TEST_DATA!E7606</f>
        <v>2488</v>
      </c>
    </row>
    <row r="7607" spans="1:5" x14ac:dyDescent="0.55000000000000004">
      <c r="A7607" t="str">
        <f>TEST_DATA!A7607</f>
        <v>27AAAAA7607Z5</v>
      </c>
      <c r="B7607" t="str">
        <f>TEST_DATA!B7607</f>
        <v>Jan-2018</v>
      </c>
      <c r="C7607">
        <f>TEST_DATA!C7607</f>
        <v>43810</v>
      </c>
      <c r="D7607" t="str">
        <f>TEST_DATA!D7607</f>
        <v>NON-NIL</v>
      </c>
      <c r="E7607">
        <f>TEST_DATA!E7607</f>
        <v>2089</v>
      </c>
    </row>
    <row r="7608" spans="1:5" x14ac:dyDescent="0.55000000000000004">
      <c r="A7608" t="str">
        <f>TEST_DATA!A7608</f>
        <v>27AAAAA7608Z5</v>
      </c>
      <c r="B7608" t="str">
        <f>TEST_DATA!B7608</f>
        <v>Jun-2018</v>
      </c>
      <c r="C7608">
        <f>TEST_DATA!C7608</f>
        <v>43922</v>
      </c>
      <c r="D7608" t="str">
        <f>TEST_DATA!D7608</f>
        <v>NON-NIL</v>
      </c>
      <c r="E7608">
        <f>TEST_DATA!E7608</f>
        <v>1206</v>
      </c>
    </row>
    <row r="7609" spans="1:5" x14ac:dyDescent="0.55000000000000004">
      <c r="A7609" t="str">
        <f>TEST_DATA!A7609</f>
        <v>27AAAAA7609Z5</v>
      </c>
      <c r="B7609" t="str">
        <f>TEST_DATA!B7609</f>
        <v>Mar-2023</v>
      </c>
      <c r="C7609">
        <f>TEST_DATA!C7609</f>
        <v>45221</v>
      </c>
      <c r="D7609" t="str">
        <f>TEST_DATA!D7609</f>
        <v>NIL</v>
      </c>
      <c r="E7609">
        <f>TEST_DATA!E7609</f>
        <v>2478</v>
      </c>
    </row>
    <row r="7610" spans="1:5" x14ac:dyDescent="0.55000000000000004">
      <c r="A7610" t="str">
        <f>TEST_DATA!A7610</f>
        <v>27AAAAA7610Z5</v>
      </c>
      <c r="B7610" t="str">
        <f>TEST_DATA!B7610</f>
        <v>Sep-2017</v>
      </c>
      <c r="C7610">
        <f>TEST_DATA!C7610</f>
        <v>43406</v>
      </c>
      <c r="D7610" t="str">
        <f>TEST_DATA!D7610</f>
        <v>NIL</v>
      </c>
      <c r="E7610">
        <f>TEST_DATA!E7610</f>
        <v>153</v>
      </c>
    </row>
    <row r="7611" spans="1:5" x14ac:dyDescent="0.55000000000000004">
      <c r="A7611" t="str">
        <f>TEST_DATA!A7611</f>
        <v>27AAAAA7611Z5</v>
      </c>
      <c r="B7611" t="str">
        <f>TEST_DATA!B7611</f>
        <v>May-2020</v>
      </c>
      <c r="C7611">
        <f>TEST_DATA!C7611</f>
        <v>44853</v>
      </c>
      <c r="D7611" t="str">
        <f>TEST_DATA!D7611</f>
        <v>NON-NIL</v>
      </c>
      <c r="E7611">
        <f>TEST_DATA!E7611</f>
        <v>2517</v>
      </c>
    </row>
    <row r="7612" spans="1:5" x14ac:dyDescent="0.55000000000000004">
      <c r="A7612" t="str">
        <f>TEST_DATA!A7612</f>
        <v>27AAAAA7612Z5</v>
      </c>
      <c r="B7612" t="str">
        <f>TEST_DATA!B7612</f>
        <v>Oct-2017</v>
      </c>
      <c r="C7612">
        <f>TEST_DATA!C7612</f>
        <v>44263</v>
      </c>
      <c r="D7612" t="str">
        <f>TEST_DATA!D7612</f>
        <v>NON-NIL</v>
      </c>
      <c r="E7612">
        <f>TEST_DATA!E7612</f>
        <v>500</v>
      </c>
    </row>
    <row r="7613" spans="1:5" x14ac:dyDescent="0.55000000000000004">
      <c r="A7613" t="str">
        <f>TEST_DATA!A7613</f>
        <v>27AAAAA7613Z5</v>
      </c>
      <c r="B7613" t="str">
        <f>TEST_DATA!B7613</f>
        <v>Apr-2021</v>
      </c>
      <c r="C7613">
        <f>TEST_DATA!C7613</f>
        <v>45831</v>
      </c>
      <c r="D7613" t="str">
        <f>TEST_DATA!D7613</f>
        <v>NON-NIL</v>
      </c>
      <c r="E7613">
        <f>TEST_DATA!E7613</f>
        <v>693</v>
      </c>
    </row>
    <row r="7614" spans="1:5" x14ac:dyDescent="0.55000000000000004">
      <c r="A7614" t="str">
        <f>TEST_DATA!A7614</f>
        <v>27AAAAA7614Z5</v>
      </c>
      <c r="B7614" t="str">
        <f>TEST_DATA!B7614</f>
        <v>Feb-2018</v>
      </c>
      <c r="C7614">
        <f>TEST_DATA!C7614</f>
        <v>44230</v>
      </c>
      <c r="D7614" t="str">
        <f>TEST_DATA!D7614</f>
        <v>NIL</v>
      </c>
      <c r="E7614">
        <f>TEST_DATA!E7614</f>
        <v>487</v>
      </c>
    </row>
    <row r="7615" spans="1:5" x14ac:dyDescent="0.55000000000000004">
      <c r="A7615" t="str">
        <f>TEST_DATA!A7615</f>
        <v>27AAAAA7615Z5</v>
      </c>
      <c r="B7615" t="str">
        <f>TEST_DATA!B7615</f>
        <v>Jun-2018</v>
      </c>
      <c r="C7615">
        <f>TEST_DATA!C7615</f>
        <v>43498</v>
      </c>
      <c r="D7615" t="str">
        <f>TEST_DATA!D7615</f>
        <v>NIL</v>
      </c>
      <c r="E7615">
        <f>TEST_DATA!E7615</f>
        <v>311</v>
      </c>
    </row>
    <row r="7616" spans="1:5" x14ac:dyDescent="0.55000000000000004">
      <c r="A7616" t="str">
        <f>TEST_DATA!A7616</f>
        <v>27AAAAA7616Z5</v>
      </c>
      <c r="B7616" t="str">
        <f>TEST_DATA!B7616</f>
        <v>Jul-2020</v>
      </c>
      <c r="C7616">
        <f>TEST_DATA!C7616</f>
        <v>44317</v>
      </c>
      <c r="D7616" t="str">
        <f>TEST_DATA!D7616</f>
        <v>NIL</v>
      </c>
      <c r="E7616">
        <f>TEST_DATA!E7616</f>
        <v>1374</v>
      </c>
    </row>
    <row r="7617" spans="1:5" x14ac:dyDescent="0.55000000000000004">
      <c r="A7617" t="str">
        <f>TEST_DATA!A7617</f>
        <v>27AAAAA7617Z5</v>
      </c>
      <c r="B7617" t="str">
        <f>TEST_DATA!B7617</f>
        <v>Jan-2018</v>
      </c>
      <c r="C7617">
        <f>TEST_DATA!C7617</f>
        <v>43595</v>
      </c>
      <c r="D7617" t="str">
        <f>TEST_DATA!D7617</f>
        <v>NIL</v>
      </c>
      <c r="E7617">
        <f>TEST_DATA!E7617</f>
        <v>1683</v>
      </c>
    </row>
    <row r="7618" spans="1:5" x14ac:dyDescent="0.55000000000000004">
      <c r="A7618" t="str">
        <f>TEST_DATA!A7618</f>
        <v>27AAAAA7618Z5</v>
      </c>
      <c r="B7618" t="str">
        <f>TEST_DATA!B7618</f>
        <v>Apr-2020</v>
      </c>
      <c r="C7618">
        <f>TEST_DATA!C7618</f>
        <v>44718</v>
      </c>
      <c r="D7618" t="str">
        <f>TEST_DATA!D7618</f>
        <v>NIL</v>
      </c>
      <c r="E7618">
        <f>TEST_DATA!E7618</f>
        <v>1591</v>
      </c>
    </row>
    <row r="7619" spans="1:5" x14ac:dyDescent="0.55000000000000004">
      <c r="A7619" t="str">
        <f>TEST_DATA!A7619</f>
        <v>27AAAAA7619Z5</v>
      </c>
      <c r="B7619" t="str">
        <f>TEST_DATA!B7619</f>
        <v>Sep-2017</v>
      </c>
      <c r="C7619">
        <f>TEST_DATA!C7619</f>
        <v>43749</v>
      </c>
      <c r="D7619" t="str">
        <f>TEST_DATA!D7619</f>
        <v>NON-NIL</v>
      </c>
      <c r="E7619">
        <f>TEST_DATA!E7619</f>
        <v>1410</v>
      </c>
    </row>
    <row r="7620" spans="1:5" x14ac:dyDescent="0.55000000000000004">
      <c r="A7620" t="str">
        <f>TEST_DATA!A7620</f>
        <v>27AAAAA7620Z5</v>
      </c>
      <c r="B7620" t="str">
        <f>TEST_DATA!B7620</f>
        <v>May-2018</v>
      </c>
      <c r="C7620">
        <f>TEST_DATA!C7620</f>
        <v>43259</v>
      </c>
      <c r="D7620" t="str">
        <f>TEST_DATA!D7620</f>
        <v>NON-NIL</v>
      </c>
      <c r="E7620">
        <f>TEST_DATA!E7620</f>
        <v>718</v>
      </c>
    </row>
    <row r="7621" spans="1:5" x14ac:dyDescent="0.55000000000000004">
      <c r="A7621" t="str">
        <f>TEST_DATA!A7621</f>
        <v>27AAAAA7621Z5</v>
      </c>
      <c r="B7621" t="str">
        <f>TEST_DATA!B7621</f>
        <v>Mar-2021</v>
      </c>
      <c r="C7621">
        <f>TEST_DATA!C7621</f>
        <v>45501</v>
      </c>
      <c r="D7621" t="str">
        <f>TEST_DATA!D7621</f>
        <v>NON-NIL</v>
      </c>
      <c r="E7621">
        <f>TEST_DATA!E7621</f>
        <v>307</v>
      </c>
    </row>
    <row r="7622" spans="1:5" x14ac:dyDescent="0.55000000000000004">
      <c r="A7622" t="str">
        <f>TEST_DATA!A7622</f>
        <v>27AAAAA7622Z5</v>
      </c>
      <c r="B7622" t="str">
        <f>TEST_DATA!B7622</f>
        <v>Jul-2017</v>
      </c>
      <c r="C7622">
        <f>TEST_DATA!C7622</f>
        <v>43201</v>
      </c>
      <c r="D7622" t="str">
        <f>TEST_DATA!D7622</f>
        <v>NON-NIL</v>
      </c>
      <c r="E7622">
        <f>TEST_DATA!E7622</f>
        <v>1159</v>
      </c>
    </row>
    <row r="7623" spans="1:5" x14ac:dyDescent="0.55000000000000004">
      <c r="A7623" t="str">
        <f>TEST_DATA!A7623</f>
        <v>27AAAAA7623Z5</v>
      </c>
      <c r="B7623" t="str">
        <f>TEST_DATA!B7623</f>
        <v>Jan-2019</v>
      </c>
      <c r="C7623">
        <f>TEST_DATA!C7623</f>
        <v>43732</v>
      </c>
      <c r="D7623" t="str">
        <f>TEST_DATA!D7623</f>
        <v>NON-NIL</v>
      </c>
      <c r="E7623">
        <f>TEST_DATA!E7623</f>
        <v>2391</v>
      </c>
    </row>
    <row r="7624" spans="1:5" x14ac:dyDescent="0.55000000000000004">
      <c r="A7624" t="str">
        <f>TEST_DATA!A7624</f>
        <v>27AAAAA7624Z5</v>
      </c>
      <c r="B7624" t="str">
        <f>TEST_DATA!B7624</f>
        <v>Dec-2019</v>
      </c>
      <c r="C7624">
        <f>TEST_DATA!C7624</f>
        <v>44596</v>
      </c>
      <c r="D7624" t="str">
        <f>TEST_DATA!D7624</f>
        <v>NON-NIL</v>
      </c>
      <c r="E7624">
        <f>TEST_DATA!E7624</f>
        <v>1744</v>
      </c>
    </row>
    <row r="7625" spans="1:5" x14ac:dyDescent="0.55000000000000004">
      <c r="A7625" t="str">
        <f>TEST_DATA!A7625</f>
        <v>27AAAAA7625Z5</v>
      </c>
      <c r="B7625" t="str">
        <f>TEST_DATA!B7625</f>
        <v>Jul-2018</v>
      </c>
      <c r="C7625">
        <f>TEST_DATA!C7625</f>
        <v>44155</v>
      </c>
      <c r="D7625" t="str">
        <f>TEST_DATA!D7625</f>
        <v>NON-NIL</v>
      </c>
      <c r="E7625">
        <f>TEST_DATA!E7625</f>
        <v>2075</v>
      </c>
    </row>
    <row r="7626" spans="1:5" x14ac:dyDescent="0.55000000000000004">
      <c r="A7626" t="str">
        <f>TEST_DATA!A7626</f>
        <v>27AAAAA7626Z5</v>
      </c>
      <c r="B7626" t="str">
        <f>TEST_DATA!B7626</f>
        <v>Mar-2020</v>
      </c>
      <c r="C7626">
        <f>TEST_DATA!C7626</f>
        <v>44283</v>
      </c>
      <c r="D7626" t="str">
        <f>TEST_DATA!D7626</f>
        <v>NIL</v>
      </c>
      <c r="E7626">
        <f>TEST_DATA!E7626</f>
        <v>125</v>
      </c>
    </row>
    <row r="7627" spans="1:5" x14ac:dyDescent="0.55000000000000004">
      <c r="A7627" t="str">
        <f>TEST_DATA!A7627</f>
        <v>27AAAAA7627Z5</v>
      </c>
      <c r="B7627" t="str">
        <f>TEST_DATA!B7627</f>
        <v>Jun-2018</v>
      </c>
      <c r="C7627">
        <f>TEST_DATA!C7627</f>
        <v>43134</v>
      </c>
      <c r="D7627" t="str">
        <f>TEST_DATA!D7627</f>
        <v>NON-NIL</v>
      </c>
      <c r="E7627">
        <f>TEST_DATA!E7627</f>
        <v>1772</v>
      </c>
    </row>
    <row r="7628" spans="1:5" x14ac:dyDescent="0.55000000000000004">
      <c r="A7628" t="str">
        <f>TEST_DATA!A7628</f>
        <v>27AAAAA7628Z5</v>
      </c>
      <c r="B7628" t="str">
        <f>TEST_DATA!B7628</f>
        <v>Sep-2018</v>
      </c>
      <c r="C7628">
        <f>TEST_DATA!C7628</f>
        <v>43629</v>
      </c>
      <c r="D7628" t="str">
        <f>TEST_DATA!D7628</f>
        <v>NON-NIL</v>
      </c>
      <c r="E7628">
        <f>TEST_DATA!E7628</f>
        <v>852</v>
      </c>
    </row>
    <row r="7629" spans="1:5" x14ac:dyDescent="0.55000000000000004">
      <c r="A7629" t="str">
        <f>TEST_DATA!A7629</f>
        <v>27AAAAA7629Z5</v>
      </c>
      <c r="B7629" t="str">
        <f>TEST_DATA!B7629</f>
        <v>Jun-2018</v>
      </c>
      <c r="C7629">
        <f>TEST_DATA!C7629</f>
        <v>43662</v>
      </c>
      <c r="D7629" t="str">
        <f>TEST_DATA!D7629</f>
        <v>NON-NIL</v>
      </c>
      <c r="E7629">
        <f>TEST_DATA!E7629</f>
        <v>596</v>
      </c>
    </row>
    <row r="7630" spans="1:5" x14ac:dyDescent="0.55000000000000004">
      <c r="A7630" t="str">
        <f>TEST_DATA!A7630</f>
        <v>27AAAAA7630Z5</v>
      </c>
      <c r="B7630" t="str">
        <f>TEST_DATA!B7630</f>
        <v>Mar-2023</v>
      </c>
      <c r="C7630">
        <f>TEST_DATA!C7630</f>
        <v>44220</v>
      </c>
      <c r="D7630" t="str">
        <f>TEST_DATA!D7630</f>
        <v>NON-NIL</v>
      </c>
      <c r="E7630">
        <f>TEST_DATA!E7630</f>
        <v>2613</v>
      </c>
    </row>
    <row r="7631" spans="1:5" x14ac:dyDescent="0.55000000000000004">
      <c r="A7631" t="str">
        <f>TEST_DATA!A7631</f>
        <v>27AAAAA7631Z5</v>
      </c>
      <c r="B7631" t="str">
        <f>TEST_DATA!B7631</f>
        <v>Jan-2021</v>
      </c>
      <c r="C7631">
        <f>TEST_DATA!C7631</f>
        <v>43819</v>
      </c>
      <c r="D7631" t="str">
        <f>TEST_DATA!D7631</f>
        <v>NON-NIL</v>
      </c>
      <c r="E7631">
        <f>TEST_DATA!E7631</f>
        <v>639</v>
      </c>
    </row>
    <row r="7632" spans="1:5" x14ac:dyDescent="0.55000000000000004">
      <c r="A7632" t="str">
        <f>TEST_DATA!A7632</f>
        <v>27AAAAA7632Z5</v>
      </c>
      <c r="B7632" t="str">
        <f>TEST_DATA!B7632</f>
        <v>Jul-2018</v>
      </c>
      <c r="C7632">
        <f>TEST_DATA!C7632</f>
        <v>43744</v>
      </c>
      <c r="D7632" t="str">
        <f>TEST_DATA!D7632</f>
        <v>NIL</v>
      </c>
      <c r="E7632">
        <f>TEST_DATA!E7632</f>
        <v>2676</v>
      </c>
    </row>
    <row r="7633" spans="1:5" x14ac:dyDescent="0.55000000000000004">
      <c r="A7633" t="str">
        <f>TEST_DATA!A7633</f>
        <v>27AAAAA7633Z5</v>
      </c>
      <c r="B7633" t="str">
        <f>TEST_DATA!B7633</f>
        <v>Jun-2018</v>
      </c>
      <c r="C7633">
        <f>TEST_DATA!C7633</f>
        <v>43746</v>
      </c>
      <c r="D7633" t="str">
        <f>TEST_DATA!D7633</f>
        <v>NON-NIL</v>
      </c>
      <c r="E7633">
        <f>TEST_DATA!E7633</f>
        <v>106</v>
      </c>
    </row>
    <row r="7634" spans="1:5" x14ac:dyDescent="0.55000000000000004">
      <c r="A7634" t="str">
        <f>TEST_DATA!A7634</f>
        <v>27AAAAA7634Z5</v>
      </c>
      <c r="B7634" t="str">
        <f>TEST_DATA!B7634</f>
        <v>Mar-2018</v>
      </c>
      <c r="C7634">
        <f>TEST_DATA!C7634</f>
        <v>43700</v>
      </c>
      <c r="D7634" t="str">
        <f>TEST_DATA!D7634</f>
        <v>NIL</v>
      </c>
      <c r="E7634">
        <f>TEST_DATA!E7634</f>
        <v>1951</v>
      </c>
    </row>
    <row r="7635" spans="1:5" x14ac:dyDescent="0.55000000000000004">
      <c r="A7635" t="str">
        <f>TEST_DATA!A7635</f>
        <v>27AAAAA7635Z5</v>
      </c>
      <c r="B7635" t="str">
        <f>TEST_DATA!B7635</f>
        <v>Jul-2017</v>
      </c>
      <c r="C7635">
        <f>TEST_DATA!C7635</f>
        <v>44275</v>
      </c>
      <c r="D7635" t="str">
        <f>TEST_DATA!D7635</f>
        <v>NIL</v>
      </c>
      <c r="E7635">
        <f>TEST_DATA!E7635</f>
        <v>339</v>
      </c>
    </row>
    <row r="7636" spans="1:5" x14ac:dyDescent="0.55000000000000004">
      <c r="A7636" t="str">
        <f>TEST_DATA!A7636</f>
        <v>27AAAAA7636Z5</v>
      </c>
      <c r="B7636" t="str">
        <f>TEST_DATA!B7636</f>
        <v>Apr-2018</v>
      </c>
      <c r="C7636">
        <f>TEST_DATA!C7636</f>
        <v>44256</v>
      </c>
      <c r="D7636" t="str">
        <f>TEST_DATA!D7636</f>
        <v>NON-NIL</v>
      </c>
      <c r="E7636">
        <f>TEST_DATA!E7636</f>
        <v>455</v>
      </c>
    </row>
    <row r="7637" spans="1:5" x14ac:dyDescent="0.55000000000000004">
      <c r="A7637" t="str">
        <f>TEST_DATA!A7637</f>
        <v>27AAAAA7637Z5</v>
      </c>
      <c r="B7637" t="str">
        <f>TEST_DATA!B7637</f>
        <v>Dec-2022</v>
      </c>
      <c r="C7637">
        <f>TEST_DATA!C7637</f>
        <v>44377</v>
      </c>
      <c r="D7637" t="str">
        <f>TEST_DATA!D7637</f>
        <v>NIL</v>
      </c>
      <c r="E7637">
        <f>TEST_DATA!E7637</f>
        <v>1548</v>
      </c>
    </row>
    <row r="7638" spans="1:5" x14ac:dyDescent="0.55000000000000004">
      <c r="A7638" t="str">
        <f>TEST_DATA!A7638</f>
        <v>27AAAAA7638Z5</v>
      </c>
      <c r="B7638" t="str">
        <f>TEST_DATA!B7638</f>
        <v>Jun-2019</v>
      </c>
      <c r="C7638">
        <f>TEST_DATA!C7638</f>
        <v>45190</v>
      </c>
      <c r="D7638" t="str">
        <f>TEST_DATA!D7638</f>
        <v>NIL</v>
      </c>
      <c r="E7638">
        <f>TEST_DATA!E7638</f>
        <v>1067</v>
      </c>
    </row>
    <row r="7639" spans="1:5" x14ac:dyDescent="0.55000000000000004">
      <c r="A7639" t="str">
        <f>TEST_DATA!A7639</f>
        <v>27AAAAA7639Z5</v>
      </c>
      <c r="B7639" t="str">
        <f>TEST_DATA!B7639</f>
        <v>Aug-2017</v>
      </c>
      <c r="C7639">
        <f>TEST_DATA!C7639</f>
        <v>44529</v>
      </c>
      <c r="D7639" t="str">
        <f>TEST_DATA!D7639</f>
        <v>NON-NIL</v>
      </c>
      <c r="E7639">
        <f>TEST_DATA!E7639</f>
        <v>420</v>
      </c>
    </row>
    <row r="7640" spans="1:5" x14ac:dyDescent="0.55000000000000004">
      <c r="A7640" t="str">
        <f>TEST_DATA!A7640</f>
        <v>27AAAAA7640Z5</v>
      </c>
      <c r="B7640" t="str">
        <f>TEST_DATA!B7640</f>
        <v>Dec-2024</v>
      </c>
      <c r="C7640">
        <f>TEST_DATA!C7640</f>
        <v>43487</v>
      </c>
      <c r="D7640" t="str">
        <f>TEST_DATA!D7640</f>
        <v>NIL</v>
      </c>
      <c r="E7640">
        <f>TEST_DATA!E7640</f>
        <v>2613</v>
      </c>
    </row>
    <row r="7641" spans="1:5" x14ac:dyDescent="0.55000000000000004">
      <c r="A7641" t="str">
        <f>TEST_DATA!A7641</f>
        <v>27AAAAA7641Z5</v>
      </c>
      <c r="B7641" t="str">
        <f>TEST_DATA!B7641</f>
        <v>Dec-2022</v>
      </c>
      <c r="C7641">
        <f>TEST_DATA!C7641</f>
        <v>45152</v>
      </c>
      <c r="D7641" t="str">
        <f>TEST_DATA!D7641</f>
        <v>NON-NIL</v>
      </c>
      <c r="E7641">
        <f>TEST_DATA!E7641</f>
        <v>2217</v>
      </c>
    </row>
    <row r="7642" spans="1:5" x14ac:dyDescent="0.55000000000000004">
      <c r="A7642" t="str">
        <f>TEST_DATA!A7642</f>
        <v>27AAAAA7642Z5</v>
      </c>
      <c r="B7642" t="str">
        <f>TEST_DATA!B7642</f>
        <v>Apr-2020</v>
      </c>
      <c r="C7642">
        <f>TEST_DATA!C7642</f>
        <v>43951</v>
      </c>
      <c r="D7642" t="str">
        <f>TEST_DATA!D7642</f>
        <v>NON-NIL</v>
      </c>
      <c r="E7642">
        <f>TEST_DATA!E7642</f>
        <v>410</v>
      </c>
    </row>
    <row r="7643" spans="1:5" x14ac:dyDescent="0.55000000000000004">
      <c r="A7643" t="str">
        <f>TEST_DATA!A7643</f>
        <v>27AAAAA7643Z5</v>
      </c>
      <c r="B7643" t="str">
        <f>TEST_DATA!B7643</f>
        <v>Jan-2019</v>
      </c>
      <c r="C7643">
        <f>TEST_DATA!C7643</f>
        <v>44021</v>
      </c>
      <c r="D7643" t="str">
        <f>TEST_DATA!D7643</f>
        <v>NIL</v>
      </c>
      <c r="E7643">
        <f>TEST_DATA!E7643</f>
        <v>31</v>
      </c>
    </row>
    <row r="7644" spans="1:5" x14ac:dyDescent="0.55000000000000004">
      <c r="A7644" t="str">
        <f>TEST_DATA!A7644</f>
        <v>27AAAAA7644Z5</v>
      </c>
      <c r="B7644" t="str">
        <f>TEST_DATA!B7644</f>
        <v>Jan-2019</v>
      </c>
      <c r="C7644">
        <f>TEST_DATA!C7644</f>
        <v>45135</v>
      </c>
      <c r="D7644" t="str">
        <f>TEST_DATA!D7644</f>
        <v>NIL</v>
      </c>
      <c r="E7644">
        <f>TEST_DATA!E7644</f>
        <v>787</v>
      </c>
    </row>
    <row r="7645" spans="1:5" x14ac:dyDescent="0.55000000000000004">
      <c r="A7645" t="str">
        <f>TEST_DATA!A7645</f>
        <v>27AAAAA7645Z5</v>
      </c>
      <c r="B7645" t="str">
        <f>TEST_DATA!B7645</f>
        <v>Jun-2019</v>
      </c>
      <c r="C7645">
        <f>TEST_DATA!C7645</f>
        <v>43921</v>
      </c>
      <c r="D7645" t="str">
        <f>TEST_DATA!D7645</f>
        <v>NIL</v>
      </c>
      <c r="E7645">
        <f>TEST_DATA!E7645</f>
        <v>1438</v>
      </c>
    </row>
    <row r="7646" spans="1:5" x14ac:dyDescent="0.55000000000000004">
      <c r="A7646" t="str">
        <f>TEST_DATA!A7646</f>
        <v>27AAAAA7646Z5</v>
      </c>
      <c r="B7646" t="str">
        <f>TEST_DATA!B7646</f>
        <v>Mar-2023</v>
      </c>
      <c r="C7646">
        <f>TEST_DATA!C7646</f>
        <v>44126</v>
      </c>
      <c r="D7646" t="str">
        <f>TEST_DATA!D7646</f>
        <v>NIL</v>
      </c>
      <c r="E7646">
        <f>TEST_DATA!E7646</f>
        <v>939</v>
      </c>
    </row>
    <row r="7647" spans="1:5" x14ac:dyDescent="0.55000000000000004">
      <c r="A7647" t="str">
        <f>TEST_DATA!A7647</f>
        <v>27AAAAA7647Z5</v>
      </c>
      <c r="B7647" t="str">
        <f>TEST_DATA!B7647</f>
        <v>Nov-2017</v>
      </c>
      <c r="C7647">
        <f>TEST_DATA!C7647</f>
        <v>44047</v>
      </c>
      <c r="D7647" t="str">
        <f>TEST_DATA!D7647</f>
        <v>NIL</v>
      </c>
      <c r="E7647">
        <f>TEST_DATA!E7647</f>
        <v>741</v>
      </c>
    </row>
    <row r="7648" spans="1:5" x14ac:dyDescent="0.55000000000000004">
      <c r="A7648" t="str">
        <f>TEST_DATA!A7648</f>
        <v>27AAAAA7648Z5</v>
      </c>
      <c r="B7648" t="str">
        <f>TEST_DATA!B7648</f>
        <v>Dec-2017</v>
      </c>
      <c r="C7648">
        <f>TEST_DATA!C7648</f>
        <v>44055</v>
      </c>
      <c r="D7648" t="str">
        <f>TEST_DATA!D7648</f>
        <v>NIL</v>
      </c>
      <c r="E7648">
        <f>TEST_DATA!E7648</f>
        <v>1162</v>
      </c>
    </row>
    <row r="7649" spans="1:5" x14ac:dyDescent="0.55000000000000004">
      <c r="A7649" t="str">
        <f>TEST_DATA!A7649</f>
        <v>27AAAAA7649Z5</v>
      </c>
      <c r="B7649" t="str">
        <f>TEST_DATA!B7649</f>
        <v>Jul-2017</v>
      </c>
      <c r="C7649">
        <f>TEST_DATA!C7649</f>
        <v>44014</v>
      </c>
      <c r="D7649" t="str">
        <f>TEST_DATA!D7649</f>
        <v>NON-NIL</v>
      </c>
      <c r="E7649">
        <f>TEST_DATA!E7649</f>
        <v>1929</v>
      </c>
    </row>
    <row r="7650" spans="1:5" x14ac:dyDescent="0.55000000000000004">
      <c r="A7650" t="str">
        <f>TEST_DATA!A7650</f>
        <v>27AAAAA7650Z5</v>
      </c>
      <c r="B7650" t="str">
        <f>TEST_DATA!B7650</f>
        <v>May-2018</v>
      </c>
      <c r="C7650">
        <f>TEST_DATA!C7650</f>
        <v>43235</v>
      </c>
      <c r="D7650" t="str">
        <f>TEST_DATA!D7650</f>
        <v>NIL</v>
      </c>
      <c r="E7650">
        <f>TEST_DATA!E7650</f>
        <v>1466</v>
      </c>
    </row>
    <row r="7651" spans="1:5" x14ac:dyDescent="0.55000000000000004">
      <c r="A7651" t="str">
        <f>TEST_DATA!A7651</f>
        <v>27AAAAA7651Z5</v>
      </c>
      <c r="B7651" t="str">
        <f>TEST_DATA!B7651</f>
        <v>Apr-2020</v>
      </c>
      <c r="C7651">
        <f>TEST_DATA!C7651</f>
        <v>44439</v>
      </c>
      <c r="D7651" t="str">
        <f>TEST_DATA!D7651</f>
        <v>NIL</v>
      </c>
      <c r="E7651">
        <f>TEST_DATA!E7651</f>
        <v>5</v>
      </c>
    </row>
    <row r="7652" spans="1:5" x14ac:dyDescent="0.55000000000000004">
      <c r="A7652" t="str">
        <f>TEST_DATA!A7652</f>
        <v>27AAAAA7652Z5</v>
      </c>
      <c r="B7652" t="str">
        <f>TEST_DATA!B7652</f>
        <v>Mar-2018</v>
      </c>
      <c r="C7652">
        <f>TEST_DATA!C7652</f>
        <v>43105</v>
      </c>
      <c r="D7652" t="str">
        <f>TEST_DATA!D7652</f>
        <v>NIL</v>
      </c>
      <c r="E7652">
        <f>TEST_DATA!E7652</f>
        <v>2974</v>
      </c>
    </row>
    <row r="7653" spans="1:5" x14ac:dyDescent="0.55000000000000004">
      <c r="A7653" t="str">
        <f>TEST_DATA!A7653</f>
        <v>27AAAAA7653Z5</v>
      </c>
      <c r="B7653" t="str">
        <f>TEST_DATA!B7653</f>
        <v>Mar-2021</v>
      </c>
      <c r="C7653">
        <f>TEST_DATA!C7653</f>
        <v>45736</v>
      </c>
      <c r="D7653" t="str">
        <f>TEST_DATA!D7653</f>
        <v>NON-NIL</v>
      </c>
      <c r="E7653">
        <f>TEST_DATA!E7653</f>
        <v>1852</v>
      </c>
    </row>
    <row r="7654" spans="1:5" x14ac:dyDescent="0.55000000000000004">
      <c r="A7654" t="str">
        <f>TEST_DATA!A7654</f>
        <v>27AAAAA7654Z5</v>
      </c>
      <c r="B7654" t="str">
        <f>TEST_DATA!B7654</f>
        <v>Apr-2020</v>
      </c>
      <c r="C7654">
        <f>TEST_DATA!C7654</f>
        <v>44068</v>
      </c>
      <c r="D7654" t="str">
        <f>TEST_DATA!D7654</f>
        <v>NIL</v>
      </c>
      <c r="E7654">
        <f>TEST_DATA!E7654</f>
        <v>1527</v>
      </c>
    </row>
    <row r="7655" spans="1:5" x14ac:dyDescent="0.55000000000000004">
      <c r="A7655" t="str">
        <f>TEST_DATA!A7655</f>
        <v>27AAAAA7655Z5</v>
      </c>
      <c r="B7655" t="str">
        <f>TEST_DATA!B7655</f>
        <v>Dec-2024</v>
      </c>
      <c r="C7655">
        <f>TEST_DATA!C7655</f>
        <v>43882</v>
      </c>
      <c r="D7655" t="str">
        <f>TEST_DATA!D7655</f>
        <v>NIL</v>
      </c>
      <c r="E7655">
        <f>TEST_DATA!E7655</f>
        <v>1008</v>
      </c>
    </row>
    <row r="7656" spans="1:5" x14ac:dyDescent="0.55000000000000004">
      <c r="A7656" t="str">
        <f>TEST_DATA!A7656</f>
        <v>27AAAAA7656Z5</v>
      </c>
      <c r="B7656" t="str">
        <f>TEST_DATA!B7656</f>
        <v>Jun-2018</v>
      </c>
      <c r="C7656">
        <f>TEST_DATA!C7656</f>
        <v>44283</v>
      </c>
      <c r="D7656" t="str">
        <f>TEST_DATA!D7656</f>
        <v>NIL</v>
      </c>
      <c r="E7656">
        <f>TEST_DATA!E7656</f>
        <v>1287</v>
      </c>
    </row>
    <row r="7657" spans="1:5" x14ac:dyDescent="0.55000000000000004">
      <c r="A7657" t="str">
        <f>TEST_DATA!A7657</f>
        <v>27AAAAA7657Z5</v>
      </c>
      <c r="B7657" t="str">
        <f>TEST_DATA!B7657</f>
        <v>Jan-2018</v>
      </c>
      <c r="C7657">
        <f>TEST_DATA!C7657</f>
        <v>43569</v>
      </c>
      <c r="D7657" t="str">
        <f>TEST_DATA!D7657</f>
        <v>NON-NIL</v>
      </c>
      <c r="E7657">
        <f>TEST_DATA!E7657</f>
        <v>596</v>
      </c>
    </row>
    <row r="7658" spans="1:5" x14ac:dyDescent="0.55000000000000004">
      <c r="A7658" t="str">
        <f>TEST_DATA!A7658</f>
        <v>27AAAAA7658Z5</v>
      </c>
      <c r="B7658" t="str">
        <f>TEST_DATA!B7658</f>
        <v>Dec-2017</v>
      </c>
      <c r="C7658">
        <f>TEST_DATA!C7658</f>
        <v>44486</v>
      </c>
      <c r="D7658" t="str">
        <f>TEST_DATA!D7658</f>
        <v>NIL</v>
      </c>
      <c r="E7658">
        <f>TEST_DATA!E7658</f>
        <v>31</v>
      </c>
    </row>
    <row r="7659" spans="1:5" x14ac:dyDescent="0.55000000000000004">
      <c r="A7659" t="str">
        <f>TEST_DATA!A7659</f>
        <v>27AAAAA7659Z5</v>
      </c>
      <c r="B7659" t="str">
        <f>TEST_DATA!B7659</f>
        <v>Apr-2021</v>
      </c>
      <c r="C7659">
        <f>TEST_DATA!C7659</f>
        <v>45254</v>
      </c>
      <c r="D7659" t="str">
        <f>TEST_DATA!D7659</f>
        <v>NON-NIL</v>
      </c>
      <c r="E7659">
        <f>TEST_DATA!E7659</f>
        <v>481</v>
      </c>
    </row>
    <row r="7660" spans="1:5" x14ac:dyDescent="0.55000000000000004">
      <c r="A7660" t="str">
        <f>TEST_DATA!A7660</f>
        <v>27AAAAA7660Z5</v>
      </c>
      <c r="B7660" t="str">
        <f>TEST_DATA!B7660</f>
        <v>May-2020</v>
      </c>
      <c r="C7660">
        <f>TEST_DATA!C7660</f>
        <v>44567</v>
      </c>
      <c r="D7660" t="str">
        <f>TEST_DATA!D7660</f>
        <v>NON-NIL</v>
      </c>
      <c r="E7660">
        <f>TEST_DATA!E7660</f>
        <v>2279</v>
      </c>
    </row>
    <row r="7661" spans="1:5" x14ac:dyDescent="0.55000000000000004">
      <c r="A7661" t="str">
        <f>TEST_DATA!A7661</f>
        <v>27AAAAA7661Z5</v>
      </c>
      <c r="B7661" t="str">
        <f>TEST_DATA!B7661</f>
        <v>Aug-2017</v>
      </c>
      <c r="C7661">
        <f>TEST_DATA!C7661</f>
        <v>44143</v>
      </c>
      <c r="D7661" t="str">
        <f>TEST_DATA!D7661</f>
        <v>NON-NIL</v>
      </c>
      <c r="E7661">
        <f>TEST_DATA!E7661</f>
        <v>2147</v>
      </c>
    </row>
    <row r="7662" spans="1:5" x14ac:dyDescent="0.55000000000000004">
      <c r="A7662" t="str">
        <f>TEST_DATA!A7662</f>
        <v>27AAAAA7662Z5</v>
      </c>
      <c r="B7662" t="str">
        <f>TEST_DATA!B7662</f>
        <v>Feb-2018</v>
      </c>
      <c r="C7662">
        <f>TEST_DATA!C7662</f>
        <v>42976</v>
      </c>
      <c r="D7662" t="str">
        <f>TEST_DATA!D7662</f>
        <v>NIL</v>
      </c>
      <c r="E7662">
        <f>TEST_DATA!E7662</f>
        <v>2213</v>
      </c>
    </row>
    <row r="7663" spans="1:5" x14ac:dyDescent="0.55000000000000004">
      <c r="A7663" t="str">
        <f>TEST_DATA!A7663</f>
        <v>27AAAAA7663Z5</v>
      </c>
      <c r="B7663" t="str">
        <f>TEST_DATA!B7663</f>
        <v>Jul-2017</v>
      </c>
      <c r="C7663">
        <f>TEST_DATA!C7663</f>
        <v>43066</v>
      </c>
      <c r="D7663" t="str">
        <f>TEST_DATA!D7663</f>
        <v>NIL</v>
      </c>
      <c r="E7663">
        <f>TEST_DATA!E7663</f>
        <v>1229</v>
      </c>
    </row>
    <row r="7664" spans="1:5" x14ac:dyDescent="0.55000000000000004">
      <c r="A7664" t="str">
        <f>TEST_DATA!A7664</f>
        <v>27AAAAA7664Z5</v>
      </c>
      <c r="B7664" t="str">
        <f>TEST_DATA!B7664</f>
        <v>Oct-2017</v>
      </c>
      <c r="C7664">
        <f>TEST_DATA!C7664</f>
        <v>44190</v>
      </c>
      <c r="D7664" t="str">
        <f>TEST_DATA!D7664</f>
        <v>NON-NIL</v>
      </c>
      <c r="E7664">
        <f>TEST_DATA!E7664</f>
        <v>2917</v>
      </c>
    </row>
    <row r="7665" spans="1:5" x14ac:dyDescent="0.55000000000000004">
      <c r="A7665" t="str">
        <f>TEST_DATA!A7665</f>
        <v>27AAAAA7665Z5</v>
      </c>
      <c r="B7665" t="str">
        <f>TEST_DATA!B7665</f>
        <v>May-2018</v>
      </c>
      <c r="C7665">
        <f>TEST_DATA!C7665</f>
        <v>43413</v>
      </c>
      <c r="D7665" t="str">
        <f>TEST_DATA!D7665</f>
        <v>NON-NIL</v>
      </c>
      <c r="E7665">
        <f>TEST_DATA!E7665</f>
        <v>316</v>
      </c>
    </row>
    <row r="7666" spans="1:5" x14ac:dyDescent="0.55000000000000004">
      <c r="A7666" t="str">
        <f>TEST_DATA!A7666</f>
        <v>27AAAAA7666Z5</v>
      </c>
      <c r="B7666" t="str">
        <f>TEST_DATA!B7666</f>
        <v>Apr-2020</v>
      </c>
      <c r="C7666">
        <f>TEST_DATA!C7666</f>
        <v>44512</v>
      </c>
      <c r="D7666" t="str">
        <f>TEST_DATA!D7666</f>
        <v>NIL</v>
      </c>
      <c r="E7666">
        <f>TEST_DATA!E7666</f>
        <v>2091</v>
      </c>
    </row>
    <row r="7667" spans="1:5" x14ac:dyDescent="0.55000000000000004">
      <c r="A7667" t="str">
        <f>TEST_DATA!A7667</f>
        <v>27AAAAA7667Z5</v>
      </c>
      <c r="B7667" t="str">
        <f>TEST_DATA!B7667</f>
        <v>Mar-2021</v>
      </c>
      <c r="C7667">
        <f>TEST_DATA!C7667</f>
        <v>43857</v>
      </c>
      <c r="D7667" t="str">
        <f>TEST_DATA!D7667</f>
        <v>NON-NIL</v>
      </c>
      <c r="E7667">
        <f>TEST_DATA!E7667</f>
        <v>1179</v>
      </c>
    </row>
    <row r="7668" spans="1:5" x14ac:dyDescent="0.55000000000000004">
      <c r="A7668" t="str">
        <f>TEST_DATA!A7668</f>
        <v>27AAAAA7668Z5</v>
      </c>
      <c r="B7668" t="str">
        <f>TEST_DATA!B7668</f>
        <v>Jan-2019</v>
      </c>
      <c r="C7668">
        <f>TEST_DATA!C7668</f>
        <v>45742</v>
      </c>
      <c r="D7668" t="str">
        <f>TEST_DATA!D7668</f>
        <v>NON-NIL</v>
      </c>
      <c r="E7668">
        <f>TEST_DATA!E7668</f>
        <v>1860</v>
      </c>
    </row>
    <row r="7669" spans="1:5" x14ac:dyDescent="0.55000000000000004">
      <c r="A7669" t="str">
        <f>TEST_DATA!A7669</f>
        <v>27AAAAA7669Z5</v>
      </c>
      <c r="B7669" t="str">
        <f>TEST_DATA!B7669</f>
        <v>Apr-2018</v>
      </c>
      <c r="C7669">
        <f>TEST_DATA!C7669</f>
        <v>44417</v>
      </c>
      <c r="D7669" t="str">
        <f>TEST_DATA!D7669</f>
        <v>NIL</v>
      </c>
      <c r="E7669">
        <f>TEST_DATA!E7669</f>
        <v>2255</v>
      </c>
    </row>
    <row r="7670" spans="1:5" x14ac:dyDescent="0.55000000000000004">
      <c r="A7670" t="str">
        <f>TEST_DATA!A7670</f>
        <v>27AAAAA7670Z5</v>
      </c>
      <c r="B7670" t="str">
        <f>TEST_DATA!B7670</f>
        <v>Aug-2017</v>
      </c>
      <c r="C7670">
        <f>TEST_DATA!C7670</f>
        <v>43275</v>
      </c>
      <c r="D7670" t="str">
        <f>TEST_DATA!D7670</f>
        <v>NIL</v>
      </c>
      <c r="E7670">
        <f>TEST_DATA!E7670</f>
        <v>2627</v>
      </c>
    </row>
    <row r="7671" spans="1:5" x14ac:dyDescent="0.55000000000000004">
      <c r="A7671" t="str">
        <f>TEST_DATA!A7671</f>
        <v>27AAAAA7671Z5</v>
      </c>
      <c r="B7671" t="str">
        <f>TEST_DATA!B7671</f>
        <v>Jun-2019</v>
      </c>
      <c r="C7671">
        <f>TEST_DATA!C7671</f>
        <v>45741</v>
      </c>
      <c r="D7671" t="str">
        <f>TEST_DATA!D7671</f>
        <v>NIL</v>
      </c>
      <c r="E7671">
        <f>TEST_DATA!E7671</f>
        <v>92</v>
      </c>
    </row>
    <row r="7672" spans="1:5" x14ac:dyDescent="0.55000000000000004">
      <c r="A7672" t="str">
        <f>TEST_DATA!A7672</f>
        <v>27AAAAA7672Z5</v>
      </c>
      <c r="B7672" t="str">
        <f>TEST_DATA!B7672</f>
        <v>Jul-2018</v>
      </c>
      <c r="C7672">
        <f>TEST_DATA!C7672</f>
        <v>43371</v>
      </c>
      <c r="D7672" t="str">
        <f>TEST_DATA!D7672</f>
        <v>NON-NIL</v>
      </c>
      <c r="E7672">
        <f>TEST_DATA!E7672</f>
        <v>2038</v>
      </c>
    </row>
    <row r="7673" spans="1:5" x14ac:dyDescent="0.55000000000000004">
      <c r="A7673" t="str">
        <f>TEST_DATA!A7673</f>
        <v>27AAAAA7673Z5</v>
      </c>
      <c r="B7673" t="str">
        <f>TEST_DATA!B7673</f>
        <v>Dec-2019</v>
      </c>
      <c r="C7673">
        <f>TEST_DATA!C7673</f>
        <v>43568</v>
      </c>
      <c r="D7673" t="str">
        <f>TEST_DATA!D7673</f>
        <v>NIL</v>
      </c>
      <c r="E7673">
        <f>TEST_DATA!E7673</f>
        <v>1903</v>
      </c>
    </row>
    <row r="7674" spans="1:5" x14ac:dyDescent="0.55000000000000004">
      <c r="A7674" t="str">
        <f>TEST_DATA!A7674</f>
        <v>27AAAAA7674Z5</v>
      </c>
      <c r="B7674" t="str">
        <f>TEST_DATA!B7674</f>
        <v>Dec-2019</v>
      </c>
      <c r="C7674">
        <f>TEST_DATA!C7674</f>
        <v>43938</v>
      </c>
      <c r="D7674" t="str">
        <f>TEST_DATA!D7674</f>
        <v>NIL</v>
      </c>
      <c r="E7674">
        <f>TEST_DATA!E7674</f>
        <v>398</v>
      </c>
    </row>
    <row r="7675" spans="1:5" x14ac:dyDescent="0.55000000000000004">
      <c r="A7675" t="str">
        <f>TEST_DATA!A7675</f>
        <v>27AAAAA7675Z5</v>
      </c>
      <c r="B7675" t="str">
        <f>TEST_DATA!B7675</f>
        <v>Feb-2018</v>
      </c>
      <c r="C7675">
        <f>TEST_DATA!C7675</f>
        <v>44270</v>
      </c>
      <c r="D7675" t="str">
        <f>TEST_DATA!D7675</f>
        <v>NON-NIL</v>
      </c>
      <c r="E7675">
        <f>TEST_DATA!E7675</f>
        <v>1026</v>
      </c>
    </row>
    <row r="7676" spans="1:5" x14ac:dyDescent="0.55000000000000004">
      <c r="A7676" t="str">
        <f>TEST_DATA!A7676</f>
        <v>27AAAAA7676Z5</v>
      </c>
      <c r="B7676" t="str">
        <f>TEST_DATA!B7676</f>
        <v>Dec-2024</v>
      </c>
      <c r="C7676">
        <f>TEST_DATA!C7676</f>
        <v>44447</v>
      </c>
      <c r="D7676" t="str">
        <f>TEST_DATA!D7676</f>
        <v>NON-NIL</v>
      </c>
      <c r="E7676">
        <f>TEST_DATA!E7676</f>
        <v>2442</v>
      </c>
    </row>
    <row r="7677" spans="1:5" x14ac:dyDescent="0.55000000000000004">
      <c r="A7677" t="str">
        <f>TEST_DATA!A7677</f>
        <v>27AAAAA7677Z5</v>
      </c>
      <c r="B7677" t="str">
        <f>TEST_DATA!B7677</f>
        <v>Mar-2020</v>
      </c>
      <c r="C7677">
        <f>TEST_DATA!C7677</f>
        <v>43859</v>
      </c>
      <c r="D7677" t="str">
        <f>TEST_DATA!D7677</f>
        <v>NON-NIL</v>
      </c>
      <c r="E7677">
        <f>TEST_DATA!E7677</f>
        <v>1359</v>
      </c>
    </row>
    <row r="7678" spans="1:5" x14ac:dyDescent="0.55000000000000004">
      <c r="A7678" t="str">
        <f>TEST_DATA!A7678</f>
        <v>27AAAAA7678Z5</v>
      </c>
      <c r="B7678" t="str">
        <f>TEST_DATA!B7678</f>
        <v>Dec-2019</v>
      </c>
      <c r="C7678">
        <f>TEST_DATA!C7678</f>
        <v>44789</v>
      </c>
      <c r="D7678" t="str">
        <f>TEST_DATA!D7678</f>
        <v>NON-NIL</v>
      </c>
      <c r="E7678">
        <f>TEST_DATA!E7678</f>
        <v>2019</v>
      </c>
    </row>
    <row r="7679" spans="1:5" x14ac:dyDescent="0.55000000000000004">
      <c r="A7679" t="str">
        <f>TEST_DATA!A7679</f>
        <v>27AAAAA7679Z5</v>
      </c>
      <c r="B7679" t="str">
        <f>TEST_DATA!B7679</f>
        <v>Apr-2021</v>
      </c>
      <c r="C7679">
        <f>TEST_DATA!C7679</f>
        <v>44990</v>
      </c>
      <c r="D7679" t="str">
        <f>TEST_DATA!D7679</f>
        <v>NON-NIL</v>
      </c>
      <c r="E7679">
        <f>TEST_DATA!E7679</f>
        <v>2858</v>
      </c>
    </row>
    <row r="7680" spans="1:5" x14ac:dyDescent="0.55000000000000004">
      <c r="A7680" t="str">
        <f>TEST_DATA!A7680</f>
        <v>27AAAAA7680Z5</v>
      </c>
      <c r="B7680" t="str">
        <f>TEST_DATA!B7680</f>
        <v>Mar-2021</v>
      </c>
      <c r="C7680">
        <f>TEST_DATA!C7680</f>
        <v>43551</v>
      </c>
      <c r="D7680" t="str">
        <f>TEST_DATA!D7680</f>
        <v>NON-NIL</v>
      </c>
      <c r="E7680">
        <f>TEST_DATA!E7680</f>
        <v>764</v>
      </c>
    </row>
    <row r="7681" spans="1:5" x14ac:dyDescent="0.55000000000000004">
      <c r="A7681" t="str">
        <f>TEST_DATA!A7681</f>
        <v>27AAAAA7681Z5</v>
      </c>
      <c r="B7681" t="str">
        <f>TEST_DATA!B7681</f>
        <v>Mar-2020</v>
      </c>
      <c r="C7681">
        <f>TEST_DATA!C7681</f>
        <v>43832</v>
      </c>
      <c r="D7681" t="str">
        <f>TEST_DATA!D7681</f>
        <v>NON-NIL</v>
      </c>
      <c r="E7681">
        <f>TEST_DATA!E7681</f>
        <v>2468</v>
      </c>
    </row>
    <row r="7682" spans="1:5" x14ac:dyDescent="0.55000000000000004">
      <c r="A7682" t="str">
        <f>TEST_DATA!A7682</f>
        <v>27AAAAA7682Z5</v>
      </c>
      <c r="B7682" t="str">
        <f>TEST_DATA!B7682</f>
        <v>Aug-2018</v>
      </c>
      <c r="C7682">
        <f>TEST_DATA!C7682</f>
        <v>44077</v>
      </c>
      <c r="D7682" t="str">
        <f>TEST_DATA!D7682</f>
        <v>NIL</v>
      </c>
      <c r="E7682">
        <f>TEST_DATA!E7682</f>
        <v>2824</v>
      </c>
    </row>
    <row r="7683" spans="1:5" x14ac:dyDescent="0.55000000000000004">
      <c r="A7683" t="str">
        <f>TEST_DATA!A7683</f>
        <v>27AAAAA7683Z5</v>
      </c>
      <c r="B7683" t="str">
        <f>TEST_DATA!B7683</f>
        <v>Apr-2018</v>
      </c>
      <c r="C7683">
        <f>TEST_DATA!C7683</f>
        <v>43652</v>
      </c>
      <c r="D7683" t="str">
        <f>TEST_DATA!D7683</f>
        <v>NIL</v>
      </c>
      <c r="E7683">
        <f>TEST_DATA!E7683</f>
        <v>2129</v>
      </c>
    </row>
    <row r="7684" spans="1:5" x14ac:dyDescent="0.55000000000000004">
      <c r="A7684" t="str">
        <f>TEST_DATA!A7684</f>
        <v>27AAAAA7684Z5</v>
      </c>
      <c r="B7684" t="str">
        <f>TEST_DATA!B7684</f>
        <v>Apr-2020</v>
      </c>
      <c r="C7684">
        <f>TEST_DATA!C7684</f>
        <v>44709</v>
      </c>
      <c r="D7684" t="str">
        <f>TEST_DATA!D7684</f>
        <v>NIL</v>
      </c>
      <c r="E7684">
        <f>TEST_DATA!E7684</f>
        <v>1545</v>
      </c>
    </row>
    <row r="7685" spans="1:5" x14ac:dyDescent="0.55000000000000004">
      <c r="A7685" t="str">
        <f>TEST_DATA!A7685</f>
        <v>27AAAAA7685Z5</v>
      </c>
      <c r="B7685" t="str">
        <f>TEST_DATA!B7685</f>
        <v>Sep-2017</v>
      </c>
      <c r="C7685">
        <f>TEST_DATA!C7685</f>
        <v>44407</v>
      </c>
      <c r="D7685" t="str">
        <f>TEST_DATA!D7685</f>
        <v>NIL</v>
      </c>
      <c r="E7685">
        <f>TEST_DATA!E7685</f>
        <v>1591</v>
      </c>
    </row>
    <row r="7686" spans="1:5" x14ac:dyDescent="0.55000000000000004">
      <c r="A7686" t="str">
        <f>TEST_DATA!A7686</f>
        <v>27AAAAA7686Z5</v>
      </c>
      <c r="B7686" t="str">
        <f>TEST_DATA!B7686</f>
        <v>May-2018</v>
      </c>
      <c r="C7686">
        <f>TEST_DATA!C7686</f>
        <v>43777</v>
      </c>
      <c r="D7686" t="str">
        <f>TEST_DATA!D7686</f>
        <v>NON-NIL</v>
      </c>
      <c r="E7686">
        <f>TEST_DATA!E7686</f>
        <v>985</v>
      </c>
    </row>
    <row r="7687" spans="1:5" x14ac:dyDescent="0.55000000000000004">
      <c r="A7687" t="str">
        <f>TEST_DATA!A7687</f>
        <v>27AAAAA7687Z5</v>
      </c>
      <c r="B7687" t="str">
        <f>TEST_DATA!B7687</f>
        <v>Feb-2018</v>
      </c>
      <c r="C7687">
        <f>TEST_DATA!C7687</f>
        <v>43843</v>
      </c>
      <c r="D7687" t="str">
        <f>TEST_DATA!D7687</f>
        <v>NON-NIL</v>
      </c>
      <c r="E7687">
        <f>TEST_DATA!E7687</f>
        <v>1520</v>
      </c>
    </row>
    <row r="7688" spans="1:5" x14ac:dyDescent="0.55000000000000004">
      <c r="A7688" t="str">
        <f>TEST_DATA!A7688</f>
        <v>27AAAAA7688Z5</v>
      </c>
      <c r="B7688" t="str">
        <f>TEST_DATA!B7688</f>
        <v>Sep-2018</v>
      </c>
      <c r="C7688">
        <f>TEST_DATA!C7688</f>
        <v>43005</v>
      </c>
      <c r="D7688" t="str">
        <f>TEST_DATA!D7688</f>
        <v>NIL</v>
      </c>
      <c r="E7688">
        <f>TEST_DATA!E7688</f>
        <v>1634</v>
      </c>
    </row>
    <row r="7689" spans="1:5" x14ac:dyDescent="0.55000000000000004">
      <c r="A7689" t="str">
        <f>TEST_DATA!A7689</f>
        <v>27AAAAA7689Z5</v>
      </c>
      <c r="B7689" t="str">
        <f>TEST_DATA!B7689</f>
        <v>May-2018</v>
      </c>
      <c r="C7689">
        <f>TEST_DATA!C7689</f>
        <v>43211</v>
      </c>
      <c r="D7689" t="str">
        <f>TEST_DATA!D7689</f>
        <v>NON-NIL</v>
      </c>
      <c r="E7689">
        <f>TEST_DATA!E7689</f>
        <v>1697</v>
      </c>
    </row>
    <row r="7690" spans="1:5" x14ac:dyDescent="0.55000000000000004">
      <c r="A7690" t="str">
        <f>TEST_DATA!A7690</f>
        <v>27AAAAA7690Z5</v>
      </c>
      <c r="B7690" t="str">
        <f>TEST_DATA!B7690</f>
        <v>Sep-2017</v>
      </c>
      <c r="C7690">
        <f>TEST_DATA!C7690</f>
        <v>43373</v>
      </c>
      <c r="D7690" t="str">
        <f>TEST_DATA!D7690</f>
        <v>NON-NIL</v>
      </c>
      <c r="E7690">
        <f>TEST_DATA!E7690</f>
        <v>2719</v>
      </c>
    </row>
    <row r="7691" spans="1:5" x14ac:dyDescent="0.55000000000000004">
      <c r="A7691" t="str">
        <f>TEST_DATA!A7691</f>
        <v>27AAAAA7691Z5</v>
      </c>
      <c r="B7691" t="str">
        <f>TEST_DATA!B7691</f>
        <v>Dec-2019</v>
      </c>
      <c r="C7691">
        <f>TEST_DATA!C7691</f>
        <v>43749</v>
      </c>
      <c r="D7691" t="str">
        <f>TEST_DATA!D7691</f>
        <v>NON-NIL</v>
      </c>
      <c r="E7691">
        <f>TEST_DATA!E7691</f>
        <v>2407</v>
      </c>
    </row>
    <row r="7692" spans="1:5" x14ac:dyDescent="0.55000000000000004">
      <c r="A7692" t="str">
        <f>TEST_DATA!A7692</f>
        <v>27AAAAA7692Z5</v>
      </c>
      <c r="B7692" t="str">
        <f>TEST_DATA!B7692</f>
        <v>Dec-2024</v>
      </c>
      <c r="C7692">
        <f>TEST_DATA!C7692</f>
        <v>45726</v>
      </c>
      <c r="D7692" t="str">
        <f>TEST_DATA!D7692</f>
        <v>NIL</v>
      </c>
      <c r="E7692">
        <f>TEST_DATA!E7692</f>
        <v>573</v>
      </c>
    </row>
    <row r="7693" spans="1:5" x14ac:dyDescent="0.55000000000000004">
      <c r="A7693" t="str">
        <f>TEST_DATA!A7693</f>
        <v>27AAAAA7693Z5</v>
      </c>
      <c r="B7693" t="str">
        <f>TEST_DATA!B7693</f>
        <v>Jun-2018</v>
      </c>
      <c r="C7693">
        <f>TEST_DATA!C7693</f>
        <v>43367</v>
      </c>
      <c r="D7693" t="str">
        <f>TEST_DATA!D7693</f>
        <v>NIL</v>
      </c>
      <c r="E7693">
        <f>TEST_DATA!E7693</f>
        <v>2097</v>
      </c>
    </row>
    <row r="7694" spans="1:5" x14ac:dyDescent="0.55000000000000004">
      <c r="A7694" t="str">
        <f>TEST_DATA!A7694</f>
        <v>27AAAAA7694Z5</v>
      </c>
      <c r="B7694" t="str">
        <f>TEST_DATA!B7694</f>
        <v>Mar-2018</v>
      </c>
      <c r="C7694">
        <f>TEST_DATA!C7694</f>
        <v>43315</v>
      </c>
      <c r="D7694" t="str">
        <f>TEST_DATA!D7694</f>
        <v>NON-NIL</v>
      </c>
      <c r="E7694">
        <f>TEST_DATA!E7694</f>
        <v>2960</v>
      </c>
    </row>
    <row r="7695" spans="1:5" x14ac:dyDescent="0.55000000000000004">
      <c r="A7695" t="str">
        <f>TEST_DATA!A7695</f>
        <v>27AAAAA7695Z5</v>
      </c>
      <c r="B7695" t="str">
        <f>TEST_DATA!B7695</f>
        <v>Jul-2018</v>
      </c>
      <c r="C7695">
        <f>TEST_DATA!C7695</f>
        <v>44178</v>
      </c>
      <c r="D7695" t="str">
        <f>TEST_DATA!D7695</f>
        <v>NIL</v>
      </c>
      <c r="E7695">
        <f>TEST_DATA!E7695</f>
        <v>2622</v>
      </c>
    </row>
    <row r="7696" spans="1:5" x14ac:dyDescent="0.55000000000000004">
      <c r="A7696" t="str">
        <f>TEST_DATA!A7696</f>
        <v>27AAAAA7696Z5</v>
      </c>
      <c r="B7696" t="str">
        <f>TEST_DATA!B7696</f>
        <v>Apr-2020</v>
      </c>
      <c r="C7696">
        <f>TEST_DATA!C7696</f>
        <v>44645</v>
      </c>
      <c r="D7696" t="str">
        <f>TEST_DATA!D7696</f>
        <v>NON-NIL</v>
      </c>
      <c r="E7696">
        <f>TEST_DATA!E7696</f>
        <v>1103</v>
      </c>
    </row>
    <row r="7697" spans="1:5" x14ac:dyDescent="0.55000000000000004">
      <c r="A7697" t="str">
        <f>TEST_DATA!A7697</f>
        <v>27AAAAA7697Z5</v>
      </c>
      <c r="B7697" t="str">
        <f>TEST_DATA!B7697</f>
        <v>Apr-2018</v>
      </c>
      <c r="C7697">
        <f>TEST_DATA!C7697</f>
        <v>43858</v>
      </c>
      <c r="D7697" t="str">
        <f>TEST_DATA!D7697</f>
        <v>NON-NIL</v>
      </c>
      <c r="E7697">
        <f>TEST_DATA!E7697</f>
        <v>738</v>
      </c>
    </row>
    <row r="7698" spans="1:5" x14ac:dyDescent="0.55000000000000004">
      <c r="A7698" t="str">
        <f>TEST_DATA!A7698</f>
        <v>27AAAAA7698Z5</v>
      </c>
      <c r="B7698" t="str">
        <f>TEST_DATA!B7698</f>
        <v>May-2018</v>
      </c>
      <c r="C7698">
        <f>TEST_DATA!C7698</f>
        <v>44560</v>
      </c>
      <c r="D7698" t="str">
        <f>TEST_DATA!D7698</f>
        <v>NIL</v>
      </c>
      <c r="E7698">
        <f>TEST_DATA!E7698</f>
        <v>2177</v>
      </c>
    </row>
    <row r="7699" spans="1:5" x14ac:dyDescent="0.55000000000000004">
      <c r="A7699" t="str">
        <f>TEST_DATA!A7699</f>
        <v>27AAAAA7699Z5</v>
      </c>
      <c r="B7699" t="str">
        <f>TEST_DATA!B7699</f>
        <v>Apr-2018</v>
      </c>
      <c r="C7699">
        <f>TEST_DATA!C7699</f>
        <v>44300</v>
      </c>
      <c r="D7699" t="str">
        <f>TEST_DATA!D7699</f>
        <v>NIL</v>
      </c>
      <c r="E7699">
        <f>TEST_DATA!E7699</f>
        <v>984</v>
      </c>
    </row>
    <row r="7700" spans="1:5" x14ac:dyDescent="0.55000000000000004">
      <c r="A7700" t="str">
        <f>TEST_DATA!A7700</f>
        <v>27AAAAA7700Z5</v>
      </c>
      <c r="B7700" t="str">
        <f>TEST_DATA!B7700</f>
        <v>Jan-2021</v>
      </c>
      <c r="C7700">
        <f>TEST_DATA!C7700</f>
        <v>44042</v>
      </c>
      <c r="D7700" t="str">
        <f>TEST_DATA!D7700</f>
        <v>NON-NIL</v>
      </c>
      <c r="E7700">
        <f>TEST_DATA!E7700</f>
        <v>713</v>
      </c>
    </row>
    <row r="7701" spans="1:5" x14ac:dyDescent="0.55000000000000004">
      <c r="A7701" t="str">
        <f>TEST_DATA!A7701</f>
        <v>27AAAAA7701Z5</v>
      </c>
      <c r="B7701" t="str">
        <f>TEST_DATA!B7701</f>
        <v>Jan-2018</v>
      </c>
      <c r="C7701">
        <f>TEST_DATA!C7701</f>
        <v>43534</v>
      </c>
      <c r="D7701" t="str">
        <f>TEST_DATA!D7701</f>
        <v>NIL</v>
      </c>
      <c r="E7701">
        <f>TEST_DATA!E7701</f>
        <v>130</v>
      </c>
    </row>
    <row r="7702" spans="1:5" x14ac:dyDescent="0.55000000000000004">
      <c r="A7702" t="str">
        <f>TEST_DATA!A7702</f>
        <v>27AAAAA7702Z5</v>
      </c>
      <c r="B7702" t="str">
        <f>TEST_DATA!B7702</f>
        <v>Mar-2018</v>
      </c>
      <c r="C7702">
        <f>TEST_DATA!C7702</f>
        <v>43080</v>
      </c>
      <c r="D7702" t="str">
        <f>TEST_DATA!D7702</f>
        <v>NON-NIL</v>
      </c>
      <c r="E7702">
        <f>TEST_DATA!E7702</f>
        <v>2905</v>
      </c>
    </row>
    <row r="7703" spans="1:5" x14ac:dyDescent="0.55000000000000004">
      <c r="A7703" t="str">
        <f>TEST_DATA!A7703</f>
        <v>27AAAAA7703Z5</v>
      </c>
      <c r="B7703" t="str">
        <f>TEST_DATA!B7703</f>
        <v>Nov-2017</v>
      </c>
      <c r="C7703">
        <f>TEST_DATA!C7703</f>
        <v>43547</v>
      </c>
      <c r="D7703" t="str">
        <f>TEST_DATA!D7703</f>
        <v>NIL</v>
      </c>
      <c r="E7703">
        <f>TEST_DATA!E7703</f>
        <v>2949</v>
      </c>
    </row>
    <row r="7704" spans="1:5" x14ac:dyDescent="0.55000000000000004">
      <c r="A7704" t="str">
        <f>TEST_DATA!A7704</f>
        <v>27AAAAA7704Z5</v>
      </c>
      <c r="B7704" t="str">
        <f>TEST_DATA!B7704</f>
        <v>May-2018</v>
      </c>
      <c r="C7704">
        <f>TEST_DATA!C7704</f>
        <v>43617</v>
      </c>
      <c r="D7704" t="str">
        <f>TEST_DATA!D7704</f>
        <v>NIL</v>
      </c>
      <c r="E7704">
        <f>TEST_DATA!E7704</f>
        <v>1631</v>
      </c>
    </row>
    <row r="7705" spans="1:5" x14ac:dyDescent="0.55000000000000004">
      <c r="A7705" t="str">
        <f>TEST_DATA!A7705</f>
        <v>27AAAAA7705Z5</v>
      </c>
      <c r="B7705" t="str">
        <f>TEST_DATA!B7705</f>
        <v>Apr-2020</v>
      </c>
      <c r="C7705">
        <f>TEST_DATA!C7705</f>
        <v>44052</v>
      </c>
      <c r="D7705" t="str">
        <f>TEST_DATA!D7705</f>
        <v>NON-NIL</v>
      </c>
      <c r="E7705">
        <f>TEST_DATA!E7705</f>
        <v>2189</v>
      </c>
    </row>
    <row r="7706" spans="1:5" x14ac:dyDescent="0.55000000000000004">
      <c r="A7706" t="str">
        <f>TEST_DATA!A7706</f>
        <v>27AAAAA7706Z5</v>
      </c>
      <c r="B7706" t="str">
        <f>TEST_DATA!B7706</f>
        <v>May-2018</v>
      </c>
      <c r="C7706">
        <f>TEST_DATA!C7706</f>
        <v>43562</v>
      </c>
      <c r="D7706" t="str">
        <f>TEST_DATA!D7706</f>
        <v>NON-NIL</v>
      </c>
      <c r="E7706">
        <f>TEST_DATA!E7706</f>
        <v>1154</v>
      </c>
    </row>
    <row r="7707" spans="1:5" x14ac:dyDescent="0.55000000000000004">
      <c r="A7707" t="str">
        <f>TEST_DATA!A7707</f>
        <v>27AAAAA7707Z5</v>
      </c>
      <c r="B7707" t="str">
        <f>TEST_DATA!B7707</f>
        <v>Mar-2023</v>
      </c>
      <c r="C7707">
        <f>TEST_DATA!C7707</f>
        <v>43583</v>
      </c>
      <c r="D7707" t="str">
        <f>TEST_DATA!D7707</f>
        <v>NON-NIL</v>
      </c>
      <c r="E7707">
        <f>TEST_DATA!E7707</f>
        <v>713</v>
      </c>
    </row>
    <row r="7708" spans="1:5" x14ac:dyDescent="0.55000000000000004">
      <c r="A7708" t="str">
        <f>TEST_DATA!A7708</f>
        <v>27AAAAA7708Z5</v>
      </c>
      <c r="B7708" t="str">
        <f>TEST_DATA!B7708</f>
        <v>Dec-2022</v>
      </c>
      <c r="C7708">
        <f>TEST_DATA!C7708</f>
        <v>45509</v>
      </c>
      <c r="D7708" t="str">
        <f>TEST_DATA!D7708</f>
        <v>NON-NIL</v>
      </c>
      <c r="E7708">
        <f>TEST_DATA!E7708</f>
        <v>61</v>
      </c>
    </row>
    <row r="7709" spans="1:5" x14ac:dyDescent="0.55000000000000004">
      <c r="A7709" t="str">
        <f>TEST_DATA!A7709</f>
        <v>27AAAAA7709Z5</v>
      </c>
      <c r="B7709" t="str">
        <f>TEST_DATA!B7709</f>
        <v>Dec-2017</v>
      </c>
      <c r="C7709">
        <f>TEST_DATA!C7709</f>
        <v>43485</v>
      </c>
      <c r="D7709" t="str">
        <f>TEST_DATA!D7709</f>
        <v>NIL</v>
      </c>
      <c r="E7709">
        <f>TEST_DATA!E7709</f>
        <v>1511</v>
      </c>
    </row>
    <row r="7710" spans="1:5" x14ac:dyDescent="0.55000000000000004">
      <c r="A7710" t="str">
        <f>TEST_DATA!A7710</f>
        <v>27AAAAA7710Z5</v>
      </c>
      <c r="B7710" t="str">
        <f>TEST_DATA!B7710</f>
        <v>Sep-2018</v>
      </c>
      <c r="C7710">
        <f>TEST_DATA!C7710</f>
        <v>43042</v>
      </c>
      <c r="D7710" t="str">
        <f>TEST_DATA!D7710</f>
        <v>NIL</v>
      </c>
      <c r="E7710">
        <f>TEST_DATA!E7710</f>
        <v>872</v>
      </c>
    </row>
    <row r="7711" spans="1:5" x14ac:dyDescent="0.55000000000000004">
      <c r="A7711" t="str">
        <f>TEST_DATA!A7711</f>
        <v>27AAAAA7711Z5</v>
      </c>
      <c r="B7711" t="str">
        <f>TEST_DATA!B7711</f>
        <v>Feb-2018</v>
      </c>
      <c r="C7711">
        <f>TEST_DATA!C7711</f>
        <v>44262</v>
      </c>
      <c r="D7711" t="str">
        <f>TEST_DATA!D7711</f>
        <v>NIL</v>
      </c>
      <c r="E7711">
        <f>TEST_DATA!E7711</f>
        <v>2541</v>
      </c>
    </row>
    <row r="7712" spans="1:5" x14ac:dyDescent="0.55000000000000004">
      <c r="A7712" t="str">
        <f>TEST_DATA!A7712</f>
        <v>27AAAAA7712Z5</v>
      </c>
      <c r="B7712" t="str">
        <f>TEST_DATA!B7712</f>
        <v>Apr-2021</v>
      </c>
      <c r="C7712">
        <f>TEST_DATA!C7712</f>
        <v>44850</v>
      </c>
      <c r="D7712" t="str">
        <f>TEST_DATA!D7712</f>
        <v>NON-NIL</v>
      </c>
      <c r="E7712">
        <f>TEST_DATA!E7712</f>
        <v>1469</v>
      </c>
    </row>
    <row r="7713" spans="1:5" x14ac:dyDescent="0.55000000000000004">
      <c r="A7713" t="str">
        <f>TEST_DATA!A7713</f>
        <v>27AAAAA7713Z5</v>
      </c>
      <c r="B7713" t="str">
        <f>TEST_DATA!B7713</f>
        <v>Dec-2017</v>
      </c>
      <c r="C7713">
        <f>TEST_DATA!C7713</f>
        <v>43372</v>
      </c>
      <c r="D7713" t="str">
        <f>TEST_DATA!D7713</f>
        <v>NIL</v>
      </c>
      <c r="E7713">
        <f>TEST_DATA!E7713</f>
        <v>1319</v>
      </c>
    </row>
    <row r="7714" spans="1:5" x14ac:dyDescent="0.55000000000000004">
      <c r="A7714" t="str">
        <f>TEST_DATA!A7714</f>
        <v>27AAAAA7714Z5</v>
      </c>
      <c r="B7714" t="str">
        <f>TEST_DATA!B7714</f>
        <v>May-2020</v>
      </c>
      <c r="C7714">
        <f>TEST_DATA!C7714</f>
        <v>44116</v>
      </c>
      <c r="D7714" t="str">
        <f>TEST_DATA!D7714</f>
        <v>NON-NIL</v>
      </c>
      <c r="E7714">
        <f>TEST_DATA!E7714</f>
        <v>927</v>
      </c>
    </row>
    <row r="7715" spans="1:5" x14ac:dyDescent="0.55000000000000004">
      <c r="A7715" t="str">
        <f>TEST_DATA!A7715</f>
        <v>27AAAAA7715Z5</v>
      </c>
      <c r="B7715" t="str">
        <f>TEST_DATA!B7715</f>
        <v>Aug-2017</v>
      </c>
      <c r="C7715">
        <f>TEST_DATA!C7715</f>
        <v>43489</v>
      </c>
      <c r="D7715" t="str">
        <f>TEST_DATA!D7715</f>
        <v>NIL</v>
      </c>
      <c r="E7715">
        <f>TEST_DATA!E7715</f>
        <v>572</v>
      </c>
    </row>
    <row r="7716" spans="1:5" x14ac:dyDescent="0.55000000000000004">
      <c r="A7716" t="str">
        <f>TEST_DATA!A7716</f>
        <v>27AAAAA7716Z5</v>
      </c>
      <c r="B7716" t="str">
        <f>TEST_DATA!B7716</f>
        <v>Apr-2020</v>
      </c>
      <c r="C7716">
        <f>TEST_DATA!C7716</f>
        <v>44722</v>
      </c>
      <c r="D7716" t="str">
        <f>TEST_DATA!D7716</f>
        <v>NON-NIL</v>
      </c>
      <c r="E7716">
        <f>TEST_DATA!E7716</f>
        <v>752</v>
      </c>
    </row>
    <row r="7717" spans="1:5" x14ac:dyDescent="0.55000000000000004">
      <c r="A7717" t="str">
        <f>TEST_DATA!A7717</f>
        <v>27AAAAA7717Z5</v>
      </c>
      <c r="B7717" t="str">
        <f>TEST_DATA!B7717</f>
        <v>Dec-2024</v>
      </c>
      <c r="C7717">
        <f>TEST_DATA!C7717</f>
        <v>43837</v>
      </c>
      <c r="D7717" t="str">
        <f>TEST_DATA!D7717</f>
        <v>NON-NIL</v>
      </c>
      <c r="E7717">
        <f>TEST_DATA!E7717</f>
        <v>646</v>
      </c>
    </row>
    <row r="7718" spans="1:5" x14ac:dyDescent="0.55000000000000004">
      <c r="A7718" t="str">
        <f>TEST_DATA!A7718</f>
        <v>27AAAAA7718Z5</v>
      </c>
      <c r="B7718" t="str">
        <f>TEST_DATA!B7718</f>
        <v>Oct-2017</v>
      </c>
      <c r="C7718">
        <f>TEST_DATA!C7718</f>
        <v>43911</v>
      </c>
      <c r="D7718" t="str">
        <f>TEST_DATA!D7718</f>
        <v>NON-NIL</v>
      </c>
      <c r="E7718">
        <f>TEST_DATA!E7718</f>
        <v>642</v>
      </c>
    </row>
    <row r="7719" spans="1:5" x14ac:dyDescent="0.55000000000000004">
      <c r="A7719" t="str">
        <f>TEST_DATA!A7719</f>
        <v>27AAAAA7719Z5</v>
      </c>
      <c r="B7719" t="str">
        <f>TEST_DATA!B7719</f>
        <v>Apr-2020</v>
      </c>
      <c r="C7719">
        <f>TEST_DATA!C7719</f>
        <v>44115</v>
      </c>
      <c r="D7719" t="str">
        <f>TEST_DATA!D7719</f>
        <v>NIL</v>
      </c>
      <c r="E7719">
        <f>TEST_DATA!E7719</f>
        <v>108</v>
      </c>
    </row>
    <row r="7720" spans="1:5" x14ac:dyDescent="0.55000000000000004">
      <c r="A7720" t="str">
        <f>TEST_DATA!A7720</f>
        <v>27AAAAA7720Z5</v>
      </c>
      <c r="B7720" t="str">
        <f>TEST_DATA!B7720</f>
        <v>Apr-2018</v>
      </c>
      <c r="C7720">
        <f>TEST_DATA!C7720</f>
        <v>43095</v>
      </c>
      <c r="D7720" t="str">
        <f>TEST_DATA!D7720</f>
        <v>NON-NIL</v>
      </c>
      <c r="E7720">
        <f>TEST_DATA!E7720</f>
        <v>1900</v>
      </c>
    </row>
    <row r="7721" spans="1:5" x14ac:dyDescent="0.55000000000000004">
      <c r="A7721" t="str">
        <f>TEST_DATA!A7721</f>
        <v>27AAAAA7721Z5</v>
      </c>
      <c r="B7721" t="str">
        <f>TEST_DATA!B7721</f>
        <v>Dec-2019</v>
      </c>
      <c r="C7721">
        <f>TEST_DATA!C7721</f>
        <v>44190</v>
      </c>
      <c r="D7721" t="str">
        <f>TEST_DATA!D7721</f>
        <v>NIL</v>
      </c>
      <c r="E7721">
        <f>TEST_DATA!E7721</f>
        <v>1471</v>
      </c>
    </row>
    <row r="7722" spans="1:5" x14ac:dyDescent="0.55000000000000004">
      <c r="A7722" t="str">
        <f>TEST_DATA!A7722</f>
        <v>27AAAAA7722Z5</v>
      </c>
      <c r="B7722" t="str">
        <f>TEST_DATA!B7722</f>
        <v>Jun-2020</v>
      </c>
      <c r="C7722">
        <f>TEST_DATA!C7722</f>
        <v>44324</v>
      </c>
      <c r="D7722" t="str">
        <f>TEST_DATA!D7722</f>
        <v>NIL</v>
      </c>
      <c r="E7722">
        <f>TEST_DATA!E7722</f>
        <v>1663</v>
      </c>
    </row>
    <row r="7723" spans="1:5" x14ac:dyDescent="0.55000000000000004">
      <c r="A7723" t="str">
        <f>TEST_DATA!A7723</f>
        <v>27AAAAA7723Z5</v>
      </c>
      <c r="B7723" t="str">
        <f>TEST_DATA!B7723</f>
        <v>Jul-2018</v>
      </c>
      <c r="C7723">
        <f>TEST_DATA!C7723</f>
        <v>44154</v>
      </c>
      <c r="D7723" t="str">
        <f>TEST_DATA!D7723</f>
        <v>NIL</v>
      </c>
      <c r="E7723">
        <f>TEST_DATA!E7723</f>
        <v>1944</v>
      </c>
    </row>
    <row r="7724" spans="1:5" x14ac:dyDescent="0.55000000000000004">
      <c r="A7724" t="str">
        <f>TEST_DATA!A7724</f>
        <v>27AAAAA7724Z5</v>
      </c>
      <c r="B7724" t="str">
        <f>TEST_DATA!B7724</f>
        <v>Mar-2023</v>
      </c>
      <c r="C7724">
        <f>TEST_DATA!C7724</f>
        <v>43486</v>
      </c>
      <c r="D7724" t="str">
        <f>TEST_DATA!D7724</f>
        <v>NON-NIL</v>
      </c>
      <c r="E7724">
        <f>TEST_DATA!E7724</f>
        <v>906</v>
      </c>
    </row>
    <row r="7725" spans="1:5" x14ac:dyDescent="0.55000000000000004">
      <c r="A7725" t="str">
        <f>TEST_DATA!A7725</f>
        <v>27AAAAA7725Z5</v>
      </c>
      <c r="B7725" t="str">
        <f>TEST_DATA!B7725</f>
        <v>Nov-2017</v>
      </c>
      <c r="C7725">
        <f>TEST_DATA!C7725</f>
        <v>43643</v>
      </c>
      <c r="D7725" t="str">
        <f>TEST_DATA!D7725</f>
        <v>NIL</v>
      </c>
      <c r="E7725">
        <f>TEST_DATA!E7725</f>
        <v>882</v>
      </c>
    </row>
    <row r="7726" spans="1:5" x14ac:dyDescent="0.55000000000000004">
      <c r="A7726" t="str">
        <f>TEST_DATA!A7726</f>
        <v>27AAAAA7726Z5</v>
      </c>
      <c r="B7726" t="str">
        <f>TEST_DATA!B7726</f>
        <v>Oct-2017</v>
      </c>
      <c r="C7726">
        <f>TEST_DATA!C7726</f>
        <v>43389</v>
      </c>
      <c r="D7726" t="str">
        <f>TEST_DATA!D7726</f>
        <v>NIL</v>
      </c>
      <c r="E7726">
        <f>TEST_DATA!E7726</f>
        <v>2048</v>
      </c>
    </row>
    <row r="7727" spans="1:5" x14ac:dyDescent="0.55000000000000004">
      <c r="A7727" t="str">
        <f>TEST_DATA!A7727</f>
        <v>27AAAAA7727Z5</v>
      </c>
      <c r="B7727" t="str">
        <f>TEST_DATA!B7727</f>
        <v>Aug-2017</v>
      </c>
      <c r="C7727">
        <f>TEST_DATA!C7727</f>
        <v>43535</v>
      </c>
      <c r="D7727" t="str">
        <f>TEST_DATA!D7727</f>
        <v>NON-NIL</v>
      </c>
      <c r="E7727">
        <f>TEST_DATA!E7727</f>
        <v>31</v>
      </c>
    </row>
    <row r="7728" spans="1:5" x14ac:dyDescent="0.55000000000000004">
      <c r="A7728" t="str">
        <f>TEST_DATA!A7728</f>
        <v>27AAAAA7728Z5</v>
      </c>
      <c r="B7728" t="str">
        <f>TEST_DATA!B7728</f>
        <v>Dec-2017</v>
      </c>
      <c r="C7728">
        <f>TEST_DATA!C7728</f>
        <v>43226</v>
      </c>
      <c r="D7728" t="str">
        <f>TEST_DATA!D7728</f>
        <v>NIL</v>
      </c>
      <c r="E7728">
        <f>TEST_DATA!E7728</f>
        <v>1712</v>
      </c>
    </row>
    <row r="7729" spans="1:5" x14ac:dyDescent="0.55000000000000004">
      <c r="A7729" t="str">
        <f>TEST_DATA!A7729</f>
        <v>27AAAAA7729Z5</v>
      </c>
      <c r="B7729" t="str">
        <f>TEST_DATA!B7729</f>
        <v>Oct-2017</v>
      </c>
      <c r="C7729">
        <f>TEST_DATA!C7729</f>
        <v>44292</v>
      </c>
      <c r="D7729" t="str">
        <f>TEST_DATA!D7729</f>
        <v>NIL</v>
      </c>
      <c r="E7729">
        <f>TEST_DATA!E7729</f>
        <v>435</v>
      </c>
    </row>
    <row r="7730" spans="1:5" x14ac:dyDescent="0.55000000000000004">
      <c r="A7730" t="str">
        <f>TEST_DATA!A7730</f>
        <v>27AAAAA7730Z5</v>
      </c>
      <c r="B7730" t="str">
        <f>TEST_DATA!B7730</f>
        <v>Mar-2020</v>
      </c>
      <c r="C7730">
        <f>TEST_DATA!C7730</f>
        <v>44321</v>
      </c>
      <c r="D7730" t="str">
        <f>TEST_DATA!D7730</f>
        <v>NIL</v>
      </c>
      <c r="E7730">
        <f>TEST_DATA!E7730</f>
        <v>866</v>
      </c>
    </row>
    <row r="7731" spans="1:5" x14ac:dyDescent="0.55000000000000004">
      <c r="A7731" t="str">
        <f>TEST_DATA!A7731</f>
        <v>27AAAAA7731Z5</v>
      </c>
      <c r="B7731" t="str">
        <f>TEST_DATA!B7731</f>
        <v>Jun-2018</v>
      </c>
      <c r="C7731">
        <f>TEST_DATA!C7731</f>
        <v>44184</v>
      </c>
      <c r="D7731" t="str">
        <f>TEST_DATA!D7731</f>
        <v>NIL</v>
      </c>
      <c r="E7731">
        <f>TEST_DATA!E7731</f>
        <v>2004</v>
      </c>
    </row>
    <row r="7732" spans="1:5" x14ac:dyDescent="0.55000000000000004">
      <c r="A7732" t="str">
        <f>TEST_DATA!A7732</f>
        <v>27AAAAA7732Z5</v>
      </c>
      <c r="B7732" t="str">
        <f>TEST_DATA!B7732</f>
        <v>Apr-2020</v>
      </c>
      <c r="C7732">
        <f>TEST_DATA!C7732</f>
        <v>44828</v>
      </c>
      <c r="D7732" t="str">
        <f>TEST_DATA!D7732</f>
        <v>NIL</v>
      </c>
      <c r="E7732">
        <f>TEST_DATA!E7732</f>
        <v>2472</v>
      </c>
    </row>
    <row r="7733" spans="1:5" x14ac:dyDescent="0.55000000000000004">
      <c r="A7733" t="str">
        <f>TEST_DATA!A7733</f>
        <v>27AAAAA7733Z5</v>
      </c>
      <c r="B7733" t="str">
        <f>TEST_DATA!B7733</f>
        <v>Aug-2017</v>
      </c>
      <c r="C7733">
        <f>TEST_DATA!C7733</f>
        <v>42921</v>
      </c>
      <c r="D7733" t="str">
        <f>TEST_DATA!D7733</f>
        <v>NIL</v>
      </c>
      <c r="E7733">
        <f>TEST_DATA!E7733</f>
        <v>2646</v>
      </c>
    </row>
    <row r="7734" spans="1:5" x14ac:dyDescent="0.55000000000000004">
      <c r="A7734" t="str">
        <f>TEST_DATA!A7734</f>
        <v>27AAAAA7734Z5</v>
      </c>
      <c r="B7734" t="str">
        <f>TEST_DATA!B7734</f>
        <v>Jul-2017</v>
      </c>
      <c r="C7734">
        <f>TEST_DATA!C7734</f>
        <v>43293</v>
      </c>
      <c r="D7734" t="str">
        <f>TEST_DATA!D7734</f>
        <v>NON-NIL</v>
      </c>
      <c r="E7734">
        <f>TEST_DATA!E7734</f>
        <v>1762</v>
      </c>
    </row>
    <row r="7735" spans="1:5" x14ac:dyDescent="0.55000000000000004">
      <c r="A7735" t="str">
        <f>TEST_DATA!A7735</f>
        <v>27AAAAA7735Z5</v>
      </c>
      <c r="B7735" t="str">
        <f>TEST_DATA!B7735</f>
        <v>Oct-2017</v>
      </c>
      <c r="C7735">
        <f>TEST_DATA!C7735</f>
        <v>43688</v>
      </c>
      <c r="D7735" t="str">
        <f>TEST_DATA!D7735</f>
        <v>NIL</v>
      </c>
      <c r="E7735">
        <f>TEST_DATA!E7735</f>
        <v>754</v>
      </c>
    </row>
    <row r="7736" spans="1:5" x14ac:dyDescent="0.55000000000000004">
      <c r="A7736" t="str">
        <f>TEST_DATA!A7736</f>
        <v>27AAAAA7736Z5</v>
      </c>
      <c r="B7736" t="str">
        <f>TEST_DATA!B7736</f>
        <v>Dec-2022</v>
      </c>
      <c r="C7736">
        <f>TEST_DATA!C7736</f>
        <v>44860</v>
      </c>
      <c r="D7736" t="str">
        <f>TEST_DATA!D7736</f>
        <v>NON-NIL</v>
      </c>
      <c r="E7736">
        <f>TEST_DATA!E7736</f>
        <v>2930</v>
      </c>
    </row>
    <row r="7737" spans="1:5" x14ac:dyDescent="0.55000000000000004">
      <c r="A7737" t="str">
        <f>TEST_DATA!A7737</f>
        <v>27AAAAA7737Z5</v>
      </c>
      <c r="B7737" t="str">
        <f>TEST_DATA!B7737</f>
        <v>Jul-2020</v>
      </c>
      <c r="C7737">
        <f>TEST_DATA!C7737</f>
        <v>44406</v>
      </c>
      <c r="D7737" t="str">
        <f>TEST_DATA!D7737</f>
        <v>NON-NIL</v>
      </c>
      <c r="E7737">
        <f>TEST_DATA!E7737</f>
        <v>262</v>
      </c>
    </row>
    <row r="7738" spans="1:5" x14ac:dyDescent="0.55000000000000004">
      <c r="A7738" t="str">
        <f>TEST_DATA!A7738</f>
        <v>27AAAAA7738Z5</v>
      </c>
      <c r="B7738" t="str">
        <f>TEST_DATA!B7738</f>
        <v>Jun-2019</v>
      </c>
      <c r="C7738">
        <f>TEST_DATA!C7738</f>
        <v>44975</v>
      </c>
      <c r="D7738" t="str">
        <f>TEST_DATA!D7738</f>
        <v>NON-NIL</v>
      </c>
      <c r="E7738">
        <f>TEST_DATA!E7738</f>
        <v>2456</v>
      </c>
    </row>
    <row r="7739" spans="1:5" x14ac:dyDescent="0.55000000000000004">
      <c r="A7739" t="str">
        <f>TEST_DATA!A7739</f>
        <v>27AAAAA7739Z5</v>
      </c>
      <c r="B7739" t="str">
        <f>TEST_DATA!B7739</f>
        <v>Apr-2018</v>
      </c>
      <c r="C7739">
        <f>TEST_DATA!C7739</f>
        <v>42922</v>
      </c>
      <c r="D7739" t="str">
        <f>TEST_DATA!D7739</f>
        <v>NON-NIL</v>
      </c>
      <c r="E7739">
        <f>TEST_DATA!E7739</f>
        <v>2373</v>
      </c>
    </row>
    <row r="7740" spans="1:5" x14ac:dyDescent="0.55000000000000004">
      <c r="A7740" t="str">
        <f>TEST_DATA!A7740</f>
        <v>27AAAAA7740Z5</v>
      </c>
      <c r="B7740" t="str">
        <f>TEST_DATA!B7740</f>
        <v>Apr-2020</v>
      </c>
      <c r="C7740">
        <f>TEST_DATA!C7740</f>
        <v>44123</v>
      </c>
      <c r="D7740" t="str">
        <f>TEST_DATA!D7740</f>
        <v>NIL</v>
      </c>
      <c r="E7740">
        <f>TEST_DATA!E7740</f>
        <v>1</v>
      </c>
    </row>
    <row r="7741" spans="1:5" x14ac:dyDescent="0.55000000000000004">
      <c r="A7741" t="str">
        <f>TEST_DATA!A7741</f>
        <v>27AAAAA7741Z5</v>
      </c>
      <c r="B7741" t="str">
        <f>TEST_DATA!B7741</f>
        <v>Apr-2018</v>
      </c>
      <c r="C7741">
        <f>TEST_DATA!C7741</f>
        <v>44542</v>
      </c>
      <c r="D7741" t="str">
        <f>TEST_DATA!D7741</f>
        <v>NON-NIL</v>
      </c>
      <c r="E7741">
        <f>TEST_DATA!E7741</f>
        <v>2977</v>
      </c>
    </row>
    <row r="7742" spans="1:5" x14ac:dyDescent="0.55000000000000004">
      <c r="A7742" t="str">
        <f>TEST_DATA!A7742</f>
        <v>27AAAAA7742Z5</v>
      </c>
      <c r="B7742" t="str">
        <f>TEST_DATA!B7742</f>
        <v>Apr-2021</v>
      </c>
      <c r="C7742">
        <f>TEST_DATA!C7742</f>
        <v>44355</v>
      </c>
      <c r="D7742" t="str">
        <f>TEST_DATA!D7742</f>
        <v>NIL</v>
      </c>
      <c r="E7742">
        <f>TEST_DATA!E7742</f>
        <v>959</v>
      </c>
    </row>
    <row r="7743" spans="1:5" x14ac:dyDescent="0.55000000000000004">
      <c r="A7743" t="str">
        <f>TEST_DATA!A7743</f>
        <v>27AAAAA7743Z5</v>
      </c>
      <c r="B7743" t="str">
        <f>TEST_DATA!B7743</f>
        <v>Sep-2017</v>
      </c>
      <c r="C7743">
        <f>TEST_DATA!C7743</f>
        <v>43705</v>
      </c>
      <c r="D7743" t="str">
        <f>TEST_DATA!D7743</f>
        <v>NON-NIL</v>
      </c>
      <c r="E7743">
        <f>TEST_DATA!E7743</f>
        <v>1906</v>
      </c>
    </row>
    <row r="7744" spans="1:5" x14ac:dyDescent="0.55000000000000004">
      <c r="A7744" t="str">
        <f>TEST_DATA!A7744</f>
        <v>27AAAAA7744Z5</v>
      </c>
      <c r="B7744" t="str">
        <f>TEST_DATA!B7744</f>
        <v>Apr-2021</v>
      </c>
      <c r="C7744">
        <f>TEST_DATA!C7744</f>
        <v>45655</v>
      </c>
      <c r="D7744" t="str">
        <f>TEST_DATA!D7744</f>
        <v>NIL</v>
      </c>
      <c r="E7744">
        <f>TEST_DATA!E7744</f>
        <v>1166</v>
      </c>
    </row>
    <row r="7745" spans="1:5" x14ac:dyDescent="0.55000000000000004">
      <c r="A7745" t="str">
        <f>TEST_DATA!A7745</f>
        <v>27AAAAA7745Z5</v>
      </c>
      <c r="B7745" t="str">
        <f>TEST_DATA!B7745</f>
        <v>May-2018</v>
      </c>
      <c r="C7745">
        <f>TEST_DATA!C7745</f>
        <v>43688</v>
      </c>
      <c r="D7745" t="str">
        <f>TEST_DATA!D7745</f>
        <v>NON-NIL</v>
      </c>
      <c r="E7745">
        <f>TEST_DATA!E7745</f>
        <v>1806</v>
      </c>
    </row>
    <row r="7746" spans="1:5" x14ac:dyDescent="0.55000000000000004">
      <c r="A7746" t="str">
        <f>TEST_DATA!A7746</f>
        <v>27AAAAA7746Z5</v>
      </c>
      <c r="B7746" t="str">
        <f>TEST_DATA!B7746</f>
        <v>Jan-2021</v>
      </c>
      <c r="C7746">
        <f>TEST_DATA!C7746</f>
        <v>44645</v>
      </c>
      <c r="D7746" t="str">
        <f>TEST_DATA!D7746</f>
        <v>NIL</v>
      </c>
      <c r="E7746">
        <f>TEST_DATA!E7746</f>
        <v>1818</v>
      </c>
    </row>
    <row r="7747" spans="1:5" x14ac:dyDescent="0.55000000000000004">
      <c r="A7747" t="str">
        <f>TEST_DATA!A7747</f>
        <v>27AAAAA7747Z5</v>
      </c>
      <c r="B7747" t="str">
        <f>TEST_DATA!B7747</f>
        <v>Jul-2017</v>
      </c>
      <c r="C7747">
        <f>TEST_DATA!C7747</f>
        <v>44519</v>
      </c>
      <c r="D7747" t="str">
        <f>TEST_DATA!D7747</f>
        <v>NIL</v>
      </c>
      <c r="E7747">
        <f>TEST_DATA!E7747</f>
        <v>2518</v>
      </c>
    </row>
    <row r="7748" spans="1:5" x14ac:dyDescent="0.55000000000000004">
      <c r="A7748" t="str">
        <f>TEST_DATA!A7748</f>
        <v>27AAAAA7748Z5</v>
      </c>
      <c r="B7748" t="str">
        <f>TEST_DATA!B7748</f>
        <v>Apr-2018</v>
      </c>
      <c r="C7748">
        <f>TEST_DATA!C7748</f>
        <v>44467</v>
      </c>
      <c r="D7748" t="str">
        <f>TEST_DATA!D7748</f>
        <v>NON-NIL</v>
      </c>
      <c r="E7748">
        <f>TEST_DATA!E7748</f>
        <v>802</v>
      </c>
    </row>
    <row r="7749" spans="1:5" x14ac:dyDescent="0.55000000000000004">
      <c r="A7749" t="str">
        <f>TEST_DATA!A7749</f>
        <v>27AAAAA7749Z5</v>
      </c>
      <c r="B7749" t="str">
        <f>TEST_DATA!B7749</f>
        <v>Jun-2020</v>
      </c>
      <c r="C7749">
        <f>TEST_DATA!C7749</f>
        <v>44044</v>
      </c>
      <c r="D7749" t="str">
        <f>TEST_DATA!D7749</f>
        <v>NIL</v>
      </c>
      <c r="E7749">
        <f>TEST_DATA!E7749</f>
        <v>2744</v>
      </c>
    </row>
    <row r="7750" spans="1:5" x14ac:dyDescent="0.55000000000000004">
      <c r="A7750" t="str">
        <f>TEST_DATA!A7750</f>
        <v>27AAAAA7750Z5</v>
      </c>
      <c r="B7750" t="str">
        <f>TEST_DATA!B7750</f>
        <v>Sep-2018</v>
      </c>
      <c r="C7750">
        <f>TEST_DATA!C7750</f>
        <v>43938</v>
      </c>
      <c r="D7750" t="str">
        <f>TEST_DATA!D7750</f>
        <v>NON-NIL</v>
      </c>
      <c r="E7750">
        <f>TEST_DATA!E7750</f>
        <v>1723</v>
      </c>
    </row>
    <row r="7751" spans="1:5" x14ac:dyDescent="0.55000000000000004">
      <c r="A7751" t="str">
        <f>TEST_DATA!A7751</f>
        <v>27AAAAA7751Z5</v>
      </c>
      <c r="B7751" t="str">
        <f>TEST_DATA!B7751</f>
        <v>Jul-2020</v>
      </c>
      <c r="C7751">
        <f>TEST_DATA!C7751</f>
        <v>44707</v>
      </c>
      <c r="D7751" t="str">
        <f>TEST_DATA!D7751</f>
        <v>NON-NIL</v>
      </c>
      <c r="E7751">
        <f>TEST_DATA!E7751</f>
        <v>239</v>
      </c>
    </row>
    <row r="7752" spans="1:5" x14ac:dyDescent="0.55000000000000004">
      <c r="A7752" t="str">
        <f>TEST_DATA!A7752</f>
        <v>27AAAAA7752Z5</v>
      </c>
      <c r="B7752" t="str">
        <f>TEST_DATA!B7752</f>
        <v>Jun-2018</v>
      </c>
      <c r="C7752">
        <f>TEST_DATA!C7752</f>
        <v>43279</v>
      </c>
      <c r="D7752" t="str">
        <f>TEST_DATA!D7752</f>
        <v>NON-NIL</v>
      </c>
      <c r="E7752">
        <f>TEST_DATA!E7752</f>
        <v>2654</v>
      </c>
    </row>
    <row r="7753" spans="1:5" x14ac:dyDescent="0.55000000000000004">
      <c r="A7753" t="str">
        <f>TEST_DATA!A7753</f>
        <v>27AAAAA7753Z5</v>
      </c>
      <c r="B7753" t="str">
        <f>TEST_DATA!B7753</f>
        <v>Dec-2024</v>
      </c>
      <c r="C7753">
        <f>TEST_DATA!C7753</f>
        <v>45178</v>
      </c>
      <c r="D7753" t="str">
        <f>TEST_DATA!D7753</f>
        <v>NIL</v>
      </c>
      <c r="E7753">
        <f>TEST_DATA!E7753</f>
        <v>512</v>
      </c>
    </row>
    <row r="7754" spans="1:5" x14ac:dyDescent="0.55000000000000004">
      <c r="A7754" t="str">
        <f>TEST_DATA!A7754</f>
        <v>27AAAAA7754Z5</v>
      </c>
      <c r="B7754" t="str">
        <f>TEST_DATA!B7754</f>
        <v>Jul-2017</v>
      </c>
      <c r="C7754">
        <f>TEST_DATA!C7754</f>
        <v>44522</v>
      </c>
      <c r="D7754" t="str">
        <f>TEST_DATA!D7754</f>
        <v>NIL</v>
      </c>
      <c r="E7754">
        <f>TEST_DATA!E7754</f>
        <v>2268</v>
      </c>
    </row>
    <row r="7755" spans="1:5" x14ac:dyDescent="0.55000000000000004">
      <c r="A7755" t="str">
        <f>TEST_DATA!A7755</f>
        <v>27AAAAA7755Z5</v>
      </c>
      <c r="B7755" t="str">
        <f>TEST_DATA!B7755</f>
        <v>Sep-2017</v>
      </c>
      <c r="C7755">
        <f>TEST_DATA!C7755</f>
        <v>44351</v>
      </c>
      <c r="D7755" t="str">
        <f>TEST_DATA!D7755</f>
        <v>NON-NIL</v>
      </c>
      <c r="E7755">
        <f>TEST_DATA!E7755</f>
        <v>1952</v>
      </c>
    </row>
    <row r="7756" spans="1:5" x14ac:dyDescent="0.55000000000000004">
      <c r="A7756" t="str">
        <f>TEST_DATA!A7756</f>
        <v>27AAAAA7756Z5</v>
      </c>
      <c r="B7756" t="str">
        <f>TEST_DATA!B7756</f>
        <v>Dec-2019</v>
      </c>
      <c r="C7756">
        <f>TEST_DATA!C7756</f>
        <v>43691</v>
      </c>
      <c r="D7756" t="str">
        <f>TEST_DATA!D7756</f>
        <v>NON-NIL</v>
      </c>
      <c r="E7756">
        <f>TEST_DATA!E7756</f>
        <v>2712</v>
      </c>
    </row>
    <row r="7757" spans="1:5" x14ac:dyDescent="0.55000000000000004">
      <c r="A7757" t="str">
        <f>TEST_DATA!A7757</f>
        <v>27AAAAA7757Z5</v>
      </c>
      <c r="B7757" t="str">
        <f>TEST_DATA!B7757</f>
        <v>Sep-2017</v>
      </c>
      <c r="C7757">
        <f>TEST_DATA!C7757</f>
        <v>44549</v>
      </c>
      <c r="D7757" t="str">
        <f>TEST_DATA!D7757</f>
        <v>NIL</v>
      </c>
      <c r="E7757">
        <f>TEST_DATA!E7757</f>
        <v>638</v>
      </c>
    </row>
    <row r="7758" spans="1:5" x14ac:dyDescent="0.55000000000000004">
      <c r="A7758" t="str">
        <f>TEST_DATA!A7758</f>
        <v>27AAAAA7758Z5</v>
      </c>
      <c r="B7758" t="str">
        <f>TEST_DATA!B7758</f>
        <v>Nov-2017</v>
      </c>
      <c r="C7758">
        <f>TEST_DATA!C7758</f>
        <v>43420</v>
      </c>
      <c r="D7758" t="str">
        <f>TEST_DATA!D7758</f>
        <v>NIL</v>
      </c>
      <c r="E7758">
        <f>TEST_DATA!E7758</f>
        <v>2765</v>
      </c>
    </row>
    <row r="7759" spans="1:5" x14ac:dyDescent="0.55000000000000004">
      <c r="A7759" t="str">
        <f>TEST_DATA!A7759</f>
        <v>27AAAAA7759Z5</v>
      </c>
      <c r="B7759" t="str">
        <f>TEST_DATA!B7759</f>
        <v>Oct-2017</v>
      </c>
      <c r="C7759">
        <f>TEST_DATA!C7759</f>
        <v>43717</v>
      </c>
      <c r="D7759" t="str">
        <f>TEST_DATA!D7759</f>
        <v>NON-NIL</v>
      </c>
      <c r="E7759">
        <f>TEST_DATA!E7759</f>
        <v>2564</v>
      </c>
    </row>
    <row r="7760" spans="1:5" x14ac:dyDescent="0.55000000000000004">
      <c r="A7760" t="str">
        <f>TEST_DATA!A7760</f>
        <v>27AAAAA7760Z5</v>
      </c>
      <c r="B7760" t="str">
        <f>TEST_DATA!B7760</f>
        <v>Dec-2019</v>
      </c>
      <c r="C7760">
        <f>TEST_DATA!C7760</f>
        <v>45275</v>
      </c>
      <c r="D7760" t="str">
        <f>TEST_DATA!D7760</f>
        <v>NIL</v>
      </c>
      <c r="E7760">
        <f>TEST_DATA!E7760</f>
        <v>1582</v>
      </c>
    </row>
    <row r="7761" spans="1:5" x14ac:dyDescent="0.55000000000000004">
      <c r="A7761" t="str">
        <f>TEST_DATA!A7761</f>
        <v>27AAAAA7761Z5</v>
      </c>
      <c r="B7761" t="str">
        <f>TEST_DATA!B7761</f>
        <v>May-2020</v>
      </c>
      <c r="C7761">
        <f>TEST_DATA!C7761</f>
        <v>44809</v>
      </c>
      <c r="D7761" t="str">
        <f>TEST_DATA!D7761</f>
        <v>NON-NIL</v>
      </c>
      <c r="E7761">
        <f>TEST_DATA!E7761</f>
        <v>837</v>
      </c>
    </row>
    <row r="7762" spans="1:5" x14ac:dyDescent="0.55000000000000004">
      <c r="A7762" t="str">
        <f>TEST_DATA!A7762</f>
        <v>27AAAAA7762Z5</v>
      </c>
      <c r="B7762" t="str">
        <f>TEST_DATA!B7762</f>
        <v>May-2018</v>
      </c>
      <c r="C7762">
        <f>TEST_DATA!C7762</f>
        <v>43420</v>
      </c>
      <c r="D7762" t="str">
        <f>TEST_DATA!D7762</f>
        <v>NIL</v>
      </c>
      <c r="E7762">
        <f>TEST_DATA!E7762</f>
        <v>619</v>
      </c>
    </row>
    <row r="7763" spans="1:5" x14ac:dyDescent="0.55000000000000004">
      <c r="A7763" t="str">
        <f>TEST_DATA!A7763</f>
        <v>27AAAAA7763Z5</v>
      </c>
      <c r="B7763" t="str">
        <f>TEST_DATA!B7763</f>
        <v>Jan-2018</v>
      </c>
      <c r="C7763">
        <f>TEST_DATA!C7763</f>
        <v>44317</v>
      </c>
      <c r="D7763" t="str">
        <f>TEST_DATA!D7763</f>
        <v>NON-NIL</v>
      </c>
      <c r="E7763">
        <f>TEST_DATA!E7763</f>
        <v>504</v>
      </c>
    </row>
    <row r="7764" spans="1:5" x14ac:dyDescent="0.55000000000000004">
      <c r="A7764" t="str">
        <f>TEST_DATA!A7764</f>
        <v>27AAAAA7764Z5</v>
      </c>
      <c r="B7764" t="str">
        <f>TEST_DATA!B7764</f>
        <v>Dec-2019</v>
      </c>
      <c r="C7764">
        <f>TEST_DATA!C7764</f>
        <v>44923</v>
      </c>
      <c r="D7764" t="str">
        <f>TEST_DATA!D7764</f>
        <v>NIL</v>
      </c>
      <c r="E7764">
        <f>TEST_DATA!E7764</f>
        <v>293</v>
      </c>
    </row>
    <row r="7765" spans="1:5" x14ac:dyDescent="0.55000000000000004">
      <c r="A7765" t="str">
        <f>TEST_DATA!A7765</f>
        <v>27AAAAA7765Z5</v>
      </c>
      <c r="B7765" t="str">
        <f>TEST_DATA!B7765</f>
        <v>Mar-2023</v>
      </c>
      <c r="C7765">
        <f>TEST_DATA!C7765</f>
        <v>44031</v>
      </c>
      <c r="D7765" t="str">
        <f>TEST_DATA!D7765</f>
        <v>NON-NIL</v>
      </c>
      <c r="E7765">
        <f>TEST_DATA!E7765</f>
        <v>2604</v>
      </c>
    </row>
    <row r="7766" spans="1:5" x14ac:dyDescent="0.55000000000000004">
      <c r="A7766" t="str">
        <f>TEST_DATA!A7766</f>
        <v>27AAAAA7766Z5</v>
      </c>
      <c r="B7766" t="str">
        <f>TEST_DATA!B7766</f>
        <v>Jun-2019</v>
      </c>
      <c r="C7766">
        <f>TEST_DATA!C7766</f>
        <v>44631</v>
      </c>
      <c r="D7766" t="str">
        <f>TEST_DATA!D7766</f>
        <v>NON-NIL</v>
      </c>
      <c r="E7766">
        <f>TEST_DATA!E7766</f>
        <v>1696</v>
      </c>
    </row>
    <row r="7767" spans="1:5" x14ac:dyDescent="0.55000000000000004">
      <c r="A7767" t="str">
        <f>TEST_DATA!A7767</f>
        <v>27AAAAA7767Z5</v>
      </c>
      <c r="B7767" t="str">
        <f>TEST_DATA!B7767</f>
        <v>Feb-2018</v>
      </c>
      <c r="C7767">
        <f>TEST_DATA!C7767</f>
        <v>43936</v>
      </c>
      <c r="D7767" t="str">
        <f>TEST_DATA!D7767</f>
        <v>NIL</v>
      </c>
      <c r="E7767">
        <f>TEST_DATA!E7767</f>
        <v>340</v>
      </c>
    </row>
    <row r="7768" spans="1:5" x14ac:dyDescent="0.55000000000000004">
      <c r="A7768" t="str">
        <f>TEST_DATA!A7768</f>
        <v>27AAAAA7768Z5</v>
      </c>
      <c r="B7768" t="str">
        <f>TEST_DATA!B7768</f>
        <v>Apr-2018</v>
      </c>
      <c r="C7768">
        <f>TEST_DATA!C7768</f>
        <v>43228</v>
      </c>
      <c r="D7768" t="str">
        <f>TEST_DATA!D7768</f>
        <v>NON-NIL</v>
      </c>
      <c r="E7768">
        <f>TEST_DATA!E7768</f>
        <v>788</v>
      </c>
    </row>
    <row r="7769" spans="1:5" x14ac:dyDescent="0.55000000000000004">
      <c r="A7769" t="str">
        <f>TEST_DATA!A7769</f>
        <v>27AAAAA7769Z5</v>
      </c>
      <c r="B7769" t="str">
        <f>TEST_DATA!B7769</f>
        <v>Jul-2017</v>
      </c>
      <c r="C7769">
        <f>TEST_DATA!C7769</f>
        <v>42999</v>
      </c>
      <c r="D7769" t="str">
        <f>TEST_DATA!D7769</f>
        <v>NIL</v>
      </c>
      <c r="E7769">
        <f>TEST_DATA!E7769</f>
        <v>1002</v>
      </c>
    </row>
    <row r="7770" spans="1:5" x14ac:dyDescent="0.55000000000000004">
      <c r="A7770" t="str">
        <f>TEST_DATA!A7770</f>
        <v>27AAAAA7770Z5</v>
      </c>
      <c r="B7770" t="str">
        <f>TEST_DATA!B7770</f>
        <v>Sep-2018</v>
      </c>
      <c r="C7770">
        <f>TEST_DATA!C7770</f>
        <v>43606</v>
      </c>
      <c r="D7770" t="str">
        <f>TEST_DATA!D7770</f>
        <v>NIL</v>
      </c>
      <c r="E7770">
        <f>TEST_DATA!E7770</f>
        <v>2333</v>
      </c>
    </row>
    <row r="7771" spans="1:5" x14ac:dyDescent="0.55000000000000004">
      <c r="A7771" t="str">
        <f>TEST_DATA!A7771</f>
        <v>27AAAAA7771Z5</v>
      </c>
      <c r="B7771" t="str">
        <f>TEST_DATA!B7771</f>
        <v>Mar-2021</v>
      </c>
      <c r="C7771">
        <f>TEST_DATA!C7771</f>
        <v>45669</v>
      </c>
      <c r="D7771" t="str">
        <f>TEST_DATA!D7771</f>
        <v>NIL</v>
      </c>
      <c r="E7771">
        <f>TEST_DATA!E7771</f>
        <v>996</v>
      </c>
    </row>
    <row r="7772" spans="1:5" x14ac:dyDescent="0.55000000000000004">
      <c r="A7772" t="str">
        <f>TEST_DATA!A7772</f>
        <v>27AAAAA7772Z5</v>
      </c>
      <c r="B7772" t="str">
        <f>TEST_DATA!B7772</f>
        <v>Jul-2020</v>
      </c>
      <c r="C7772">
        <f>TEST_DATA!C7772</f>
        <v>43980</v>
      </c>
      <c r="D7772" t="str">
        <f>TEST_DATA!D7772</f>
        <v>NIL</v>
      </c>
      <c r="E7772">
        <f>TEST_DATA!E7772</f>
        <v>586</v>
      </c>
    </row>
    <row r="7773" spans="1:5" x14ac:dyDescent="0.55000000000000004">
      <c r="A7773" t="str">
        <f>TEST_DATA!A7773</f>
        <v>27AAAAA7773Z5</v>
      </c>
      <c r="B7773" t="str">
        <f>TEST_DATA!B7773</f>
        <v>Mar-2018</v>
      </c>
      <c r="C7773">
        <f>TEST_DATA!C7773</f>
        <v>43812</v>
      </c>
      <c r="D7773" t="str">
        <f>TEST_DATA!D7773</f>
        <v>NON-NIL</v>
      </c>
      <c r="E7773">
        <f>TEST_DATA!E7773</f>
        <v>2455</v>
      </c>
    </row>
    <row r="7774" spans="1:5" x14ac:dyDescent="0.55000000000000004">
      <c r="A7774" t="str">
        <f>TEST_DATA!A7774</f>
        <v>27AAAAA7774Z5</v>
      </c>
      <c r="B7774" t="str">
        <f>TEST_DATA!B7774</f>
        <v>Jun-2020</v>
      </c>
      <c r="C7774">
        <f>TEST_DATA!C7774</f>
        <v>44859</v>
      </c>
      <c r="D7774" t="str">
        <f>TEST_DATA!D7774</f>
        <v>NON-NIL</v>
      </c>
      <c r="E7774">
        <f>TEST_DATA!E7774</f>
        <v>1556</v>
      </c>
    </row>
    <row r="7775" spans="1:5" x14ac:dyDescent="0.55000000000000004">
      <c r="A7775" t="str">
        <f>TEST_DATA!A7775</f>
        <v>27AAAAA7775Z5</v>
      </c>
      <c r="B7775" t="str">
        <f>TEST_DATA!B7775</f>
        <v>Apr-2020</v>
      </c>
      <c r="C7775">
        <f>TEST_DATA!C7775</f>
        <v>44258</v>
      </c>
      <c r="D7775" t="str">
        <f>TEST_DATA!D7775</f>
        <v>NIL</v>
      </c>
      <c r="E7775">
        <f>TEST_DATA!E7775</f>
        <v>1960</v>
      </c>
    </row>
    <row r="7776" spans="1:5" x14ac:dyDescent="0.55000000000000004">
      <c r="A7776" t="str">
        <f>TEST_DATA!A7776</f>
        <v>27AAAAA7776Z5</v>
      </c>
      <c r="B7776" t="str">
        <f>TEST_DATA!B7776</f>
        <v>Mar-2021</v>
      </c>
      <c r="C7776">
        <f>TEST_DATA!C7776</f>
        <v>45658</v>
      </c>
      <c r="D7776" t="str">
        <f>TEST_DATA!D7776</f>
        <v>NON-NIL</v>
      </c>
      <c r="E7776">
        <f>TEST_DATA!E7776</f>
        <v>423</v>
      </c>
    </row>
    <row r="7777" spans="1:5" x14ac:dyDescent="0.55000000000000004">
      <c r="A7777" t="str">
        <f>TEST_DATA!A7777</f>
        <v>27AAAAA7777Z5</v>
      </c>
      <c r="B7777" t="str">
        <f>TEST_DATA!B7777</f>
        <v>Jan-2019</v>
      </c>
      <c r="C7777">
        <f>TEST_DATA!C7777</f>
        <v>45734</v>
      </c>
      <c r="D7777" t="str">
        <f>TEST_DATA!D7777</f>
        <v>NIL</v>
      </c>
      <c r="E7777">
        <f>TEST_DATA!E7777</f>
        <v>2797</v>
      </c>
    </row>
    <row r="7778" spans="1:5" x14ac:dyDescent="0.55000000000000004">
      <c r="A7778" t="str">
        <f>TEST_DATA!A7778</f>
        <v>27AAAAA7778Z5</v>
      </c>
      <c r="B7778" t="str">
        <f>TEST_DATA!B7778</f>
        <v>Jan-2019</v>
      </c>
      <c r="C7778">
        <f>TEST_DATA!C7778</f>
        <v>45156</v>
      </c>
      <c r="D7778" t="str">
        <f>TEST_DATA!D7778</f>
        <v>NON-NIL</v>
      </c>
      <c r="E7778">
        <f>TEST_DATA!E7778</f>
        <v>2335</v>
      </c>
    </row>
    <row r="7779" spans="1:5" x14ac:dyDescent="0.55000000000000004">
      <c r="A7779" t="str">
        <f>TEST_DATA!A7779</f>
        <v>27AAAAA7779Z5</v>
      </c>
      <c r="B7779" t="str">
        <f>TEST_DATA!B7779</f>
        <v>Sep-2017</v>
      </c>
      <c r="C7779">
        <f>TEST_DATA!C7779</f>
        <v>43615</v>
      </c>
      <c r="D7779" t="str">
        <f>TEST_DATA!D7779</f>
        <v>NIL</v>
      </c>
      <c r="E7779">
        <f>TEST_DATA!E7779</f>
        <v>2145</v>
      </c>
    </row>
    <row r="7780" spans="1:5" x14ac:dyDescent="0.55000000000000004">
      <c r="A7780" t="str">
        <f>TEST_DATA!A7780</f>
        <v>27AAAAA7780Z5</v>
      </c>
      <c r="B7780" t="str">
        <f>TEST_DATA!B7780</f>
        <v>Nov-2017</v>
      </c>
      <c r="C7780">
        <f>TEST_DATA!C7780</f>
        <v>43001</v>
      </c>
      <c r="D7780" t="str">
        <f>TEST_DATA!D7780</f>
        <v>NIL</v>
      </c>
      <c r="E7780">
        <f>TEST_DATA!E7780</f>
        <v>402</v>
      </c>
    </row>
    <row r="7781" spans="1:5" x14ac:dyDescent="0.55000000000000004">
      <c r="A7781" t="str">
        <f>TEST_DATA!A7781</f>
        <v>27AAAAA7781Z5</v>
      </c>
      <c r="B7781" t="str">
        <f>TEST_DATA!B7781</f>
        <v>Mar-2021</v>
      </c>
      <c r="C7781">
        <f>TEST_DATA!C7781</f>
        <v>44591</v>
      </c>
      <c r="D7781" t="str">
        <f>TEST_DATA!D7781</f>
        <v>NIL</v>
      </c>
      <c r="E7781">
        <f>TEST_DATA!E7781</f>
        <v>1588</v>
      </c>
    </row>
    <row r="7782" spans="1:5" x14ac:dyDescent="0.55000000000000004">
      <c r="A7782" t="str">
        <f>TEST_DATA!A7782</f>
        <v>27AAAAA7782Z5</v>
      </c>
      <c r="B7782" t="str">
        <f>TEST_DATA!B7782</f>
        <v>Apr-2021</v>
      </c>
      <c r="C7782">
        <f>TEST_DATA!C7782</f>
        <v>44912</v>
      </c>
      <c r="D7782" t="str">
        <f>TEST_DATA!D7782</f>
        <v>NIL</v>
      </c>
      <c r="E7782">
        <f>TEST_DATA!E7782</f>
        <v>2868</v>
      </c>
    </row>
    <row r="7783" spans="1:5" x14ac:dyDescent="0.55000000000000004">
      <c r="A7783" t="str">
        <f>TEST_DATA!A7783</f>
        <v>27AAAAA7783Z5</v>
      </c>
      <c r="B7783" t="str">
        <f>TEST_DATA!B7783</f>
        <v>Aug-2018</v>
      </c>
      <c r="C7783">
        <f>TEST_DATA!C7783</f>
        <v>43721</v>
      </c>
      <c r="D7783" t="str">
        <f>TEST_DATA!D7783</f>
        <v>NON-NIL</v>
      </c>
      <c r="E7783">
        <f>TEST_DATA!E7783</f>
        <v>753</v>
      </c>
    </row>
    <row r="7784" spans="1:5" x14ac:dyDescent="0.55000000000000004">
      <c r="A7784" t="str">
        <f>TEST_DATA!A7784</f>
        <v>27AAAAA7784Z5</v>
      </c>
      <c r="B7784" t="str">
        <f>TEST_DATA!B7784</f>
        <v>Aug-2018</v>
      </c>
      <c r="C7784">
        <f>TEST_DATA!C7784</f>
        <v>43828</v>
      </c>
      <c r="D7784" t="str">
        <f>TEST_DATA!D7784</f>
        <v>NIL</v>
      </c>
      <c r="E7784">
        <f>TEST_DATA!E7784</f>
        <v>1510</v>
      </c>
    </row>
    <row r="7785" spans="1:5" x14ac:dyDescent="0.55000000000000004">
      <c r="A7785" t="str">
        <f>TEST_DATA!A7785</f>
        <v>27AAAAA7785Z5</v>
      </c>
      <c r="B7785" t="str">
        <f>TEST_DATA!B7785</f>
        <v>Sep-2017</v>
      </c>
      <c r="C7785">
        <f>TEST_DATA!C7785</f>
        <v>43212</v>
      </c>
      <c r="D7785" t="str">
        <f>TEST_DATA!D7785</f>
        <v>NON-NIL</v>
      </c>
      <c r="E7785">
        <f>TEST_DATA!E7785</f>
        <v>749</v>
      </c>
    </row>
    <row r="7786" spans="1:5" x14ac:dyDescent="0.55000000000000004">
      <c r="A7786" t="str">
        <f>TEST_DATA!A7786</f>
        <v>27AAAAA7786Z5</v>
      </c>
      <c r="B7786" t="str">
        <f>TEST_DATA!B7786</f>
        <v>Mar-2018</v>
      </c>
      <c r="C7786">
        <f>TEST_DATA!C7786</f>
        <v>43564</v>
      </c>
      <c r="D7786" t="str">
        <f>TEST_DATA!D7786</f>
        <v>NON-NIL</v>
      </c>
      <c r="E7786">
        <f>TEST_DATA!E7786</f>
        <v>903</v>
      </c>
    </row>
    <row r="7787" spans="1:5" x14ac:dyDescent="0.55000000000000004">
      <c r="A7787" t="str">
        <f>TEST_DATA!A7787</f>
        <v>27AAAAA7787Z5</v>
      </c>
      <c r="B7787" t="str">
        <f>TEST_DATA!B7787</f>
        <v>Apr-2021</v>
      </c>
      <c r="C7787">
        <f>TEST_DATA!C7787</f>
        <v>44485</v>
      </c>
      <c r="D7787" t="str">
        <f>TEST_DATA!D7787</f>
        <v>NON-NIL</v>
      </c>
      <c r="E7787">
        <f>TEST_DATA!E7787</f>
        <v>1496</v>
      </c>
    </row>
    <row r="7788" spans="1:5" x14ac:dyDescent="0.55000000000000004">
      <c r="A7788" t="str">
        <f>TEST_DATA!A7788</f>
        <v>27AAAAA7788Z5</v>
      </c>
      <c r="B7788" t="str">
        <f>TEST_DATA!B7788</f>
        <v>Jun-2020</v>
      </c>
      <c r="C7788">
        <f>TEST_DATA!C7788</f>
        <v>44634</v>
      </c>
      <c r="D7788" t="str">
        <f>TEST_DATA!D7788</f>
        <v>NON-NIL</v>
      </c>
      <c r="E7788">
        <f>TEST_DATA!E7788</f>
        <v>1580</v>
      </c>
    </row>
    <row r="7789" spans="1:5" x14ac:dyDescent="0.55000000000000004">
      <c r="A7789" t="str">
        <f>TEST_DATA!A7789</f>
        <v>27AAAAA7789Z5</v>
      </c>
      <c r="B7789" t="str">
        <f>TEST_DATA!B7789</f>
        <v>Apr-2020</v>
      </c>
      <c r="C7789">
        <f>TEST_DATA!C7789</f>
        <v>44792</v>
      </c>
      <c r="D7789" t="str">
        <f>TEST_DATA!D7789</f>
        <v>NON-NIL</v>
      </c>
      <c r="E7789">
        <f>TEST_DATA!E7789</f>
        <v>1065</v>
      </c>
    </row>
    <row r="7790" spans="1:5" x14ac:dyDescent="0.55000000000000004">
      <c r="A7790" t="str">
        <f>TEST_DATA!A7790</f>
        <v>27AAAAA7790Z5</v>
      </c>
      <c r="B7790" t="str">
        <f>TEST_DATA!B7790</f>
        <v>Jun-2019</v>
      </c>
      <c r="C7790">
        <f>TEST_DATA!C7790</f>
        <v>45273</v>
      </c>
      <c r="D7790" t="str">
        <f>TEST_DATA!D7790</f>
        <v>NON-NIL</v>
      </c>
      <c r="E7790">
        <f>TEST_DATA!E7790</f>
        <v>2411</v>
      </c>
    </row>
    <row r="7791" spans="1:5" x14ac:dyDescent="0.55000000000000004">
      <c r="A7791" t="str">
        <f>TEST_DATA!A7791</f>
        <v>27AAAAA7791Z5</v>
      </c>
      <c r="B7791" t="str">
        <f>TEST_DATA!B7791</f>
        <v>Aug-2018</v>
      </c>
      <c r="C7791">
        <f>TEST_DATA!C7791</f>
        <v>43244</v>
      </c>
      <c r="D7791" t="str">
        <f>TEST_DATA!D7791</f>
        <v>NIL</v>
      </c>
      <c r="E7791">
        <f>TEST_DATA!E7791</f>
        <v>1141</v>
      </c>
    </row>
    <row r="7792" spans="1:5" x14ac:dyDescent="0.55000000000000004">
      <c r="A7792" t="str">
        <f>TEST_DATA!A7792</f>
        <v>27AAAAA7792Z5</v>
      </c>
      <c r="B7792" t="str">
        <f>TEST_DATA!B7792</f>
        <v>Dec-2022</v>
      </c>
      <c r="C7792">
        <f>TEST_DATA!C7792</f>
        <v>45832</v>
      </c>
      <c r="D7792" t="str">
        <f>TEST_DATA!D7792</f>
        <v>NON-NIL</v>
      </c>
      <c r="E7792">
        <f>TEST_DATA!E7792</f>
        <v>2900</v>
      </c>
    </row>
    <row r="7793" spans="1:5" x14ac:dyDescent="0.55000000000000004">
      <c r="A7793" t="str">
        <f>TEST_DATA!A7793</f>
        <v>27AAAAA7793Z5</v>
      </c>
      <c r="B7793" t="str">
        <f>TEST_DATA!B7793</f>
        <v>Jun-2018</v>
      </c>
      <c r="C7793">
        <f>TEST_DATA!C7793</f>
        <v>43163</v>
      </c>
      <c r="D7793" t="str">
        <f>TEST_DATA!D7793</f>
        <v>NIL</v>
      </c>
      <c r="E7793">
        <f>TEST_DATA!E7793</f>
        <v>1256</v>
      </c>
    </row>
    <row r="7794" spans="1:5" x14ac:dyDescent="0.55000000000000004">
      <c r="A7794" t="str">
        <f>TEST_DATA!A7794</f>
        <v>27AAAAA7794Z5</v>
      </c>
      <c r="B7794" t="str">
        <f>TEST_DATA!B7794</f>
        <v>Aug-2018</v>
      </c>
      <c r="C7794">
        <f>TEST_DATA!C7794</f>
        <v>44197</v>
      </c>
      <c r="D7794" t="str">
        <f>TEST_DATA!D7794</f>
        <v>NIL</v>
      </c>
      <c r="E7794">
        <f>TEST_DATA!E7794</f>
        <v>1289</v>
      </c>
    </row>
    <row r="7795" spans="1:5" x14ac:dyDescent="0.55000000000000004">
      <c r="A7795" t="str">
        <f>TEST_DATA!A7795</f>
        <v>27AAAAA7795Z5</v>
      </c>
      <c r="B7795" t="str">
        <f>TEST_DATA!B7795</f>
        <v>Jul-2017</v>
      </c>
      <c r="C7795">
        <f>TEST_DATA!C7795</f>
        <v>43763</v>
      </c>
      <c r="D7795" t="str">
        <f>TEST_DATA!D7795</f>
        <v>NIL</v>
      </c>
      <c r="E7795">
        <f>TEST_DATA!E7795</f>
        <v>2324</v>
      </c>
    </row>
    <row r="7796" spans="1:5" x14ac:dyDescent="0.55000000000000004">
      <c r="A7796" t="str">
        <f>TEST_DATA!A7796</f>
        <v>27AAAAA7796Z5</v>
      </c>
      <c r="B7796" t="str">
        <f>TEST_DATA!B7796</f>
        <v>Aug-2018</v>
      </c>
      <c r="C7796">
        <f>TEST_DATA!C7796</f>
        <v>43586</v>
      </c>
      <c r="D7796" t="str">
        <f>TEST_DATA!D7796</f>
        <v>NON-NIL</v>
      </c>
      <c r="E7796">
        <f>TEST_DATA!E7796</f>
        <v>2186</v>
      </c>
    </row>
    <row r="7797" spans="1:5" x14ac:dyDescent="0.55000000000000004">
      <c r="A7797" t="str">
        <f>TEST_DATA!A7797</f>
        <v>27AAAAA7797Z5</v>
      </c>
      <c r="B7797" t="str">
        <f>TEST_DATA!B7797</f>
        <v>May-2018</v>
      </c>
      <c r="C7797">
        <f>TEST_DATA!C7797</f>
        <v>43141</v>
      </c>
      <c r="D7797" t="str">
        <f>TEST_DATA!D7797</f>
        <v>NIL</v>
      </c>
      <c r="E7797">
        <f>TEST_DATA!E7797</f>
        <v>2753</v>
      </c>
    </row>
    <row r="7798" spans="1:5" x14ac:dyDescent="0.55000000000000004">
      <c r="A7798" t="str">
        <f>TEST_DATA!A7798</f>
        <v>27AAAAA7798Z5</v>
      </c>
      <c r="B7798" t="str">
        <f>TEST_DATA!B7798</f>
        <v>Aug-2017</v>
      </c>
      <c r="C7798">
        <f>TEST_DATA!C7798</f>
        <v>43780</v>
      </c>
      <c r="D7798" t="str">
        <f>TEST_DATA!D7798</f>
        <v>NIL</v>
      </c>
      <c r="E7798">
        <f>TEST_DATA!E7798</f>
        <v>1832</v>
      </c>
    </row>
    <row r="7799" spans="1:5" x14ac:dyDescent="0.55000000000000004">
      <c r="A7799" t="str">
        <f>TEST_DATA!A7799</f>
        <v>27AAAAA7799Z5</v>
      </c>
      <c r="B7799" t="str">
        <f>TEST_DATA!B7799</f>
        <v>Dec-2024</v>
      </c>
      <c r="C7799">
        <f>TEST_DATA!C7799</f>
        <v>45177</v>
      </c>
      <c r="D7799" t="str">
        <f>TEST_DATA!D7799</f>
        <v>NON-NIL</v>
      </c>
      <c r="E7799">
        <f>TEST_DATA!E7799</f>
        <v>734</v>
      </c>
    </row>
    <row r="7800" spans="1:5" x14ac:dyDescent="0.55000000000000004">
      <c r="A7800" t="str">
        <f>TEST_DATA!A7800</f>
        <v>27AAAAA7800Z5</v>
      </c>
      <c r="B7800" t="str">
        <f>TEST_DATA!B7800</f>
        <v>Apr-2020</v>
      </c>
      <c r="C7800">
        <f>TEST_DATA!C7800</f>
        <v>44304</v>
      </c>
      <c r="D7800" t="str">
        <f>TEST_DATA!D7800</f>
        <v>NON-NIL</v>
      </c>
      <c r="E7800">
        <f>TEST_DATA!E7800</f>
        <v>2876</v>
      </c>
    </row>
    <row r="7801" spans="1:5" x14ac:dyDescent="0.55000000000000004">
      <c r="A7801" t="str">
        <f>TEST_DATA!A7801</f>
        <v>27AAAAA7801Z5</v>
      </c>
      <c r="B7801" t="str">
        <f>TEST_DATA!B7801</f>
        <v>Jul-2017</v>
      </c>
      <c r="C7801">
        <f>TEST_DATA!C7801</f>
        <v>44174</v>
      </c>
      <c r="D7801" t="str">
        <f>TEST_DATA!D7801</f>
        <v>NON-NIL</v>
      </c>
      <c r="E7801">
        <f>TEST_DATA!E7801</f>
        <v>2393</v>
      </c>
    </row>
    <row r="7802" spans="1:5" x14ac:dyDescent="0.55000000000000004">
      <c r="A7802" t="str">
        <f>TEST_DATA!A7802</f>
        <v>27AAAAA7802Z5</v>
      </c>
      <c r="B7802" t="str">
        <f>TEST_DATA!B7802</f>
        <v>Mar-2021</v>
      </c>
      <c r="C7802">
        <f>TEST_DATA!C7802</f>
        <v>44348</v>
      </c>
      <c r="D7802" t="str">
        <f>TEST_DATA!D7802</f>
        <v>NON-NIL</v>
      </c>
      <c r="E7802">
        <f>TEST_DATA!E7802</f>
        <v>2805</v>
      </c>
    </row>
    <row r="7803" spans="1:5" x14ac:dyDescent="0.55000000000000004">
      <c r="A7803" t="str">
        <f>TEST_DATA!A7803</f>
        <v>27AAAAA7803Z5</v>
      </c>
      <c r="B7803" t="str">
        <f>TEST_DATA!B7803</f>
        <v>Dec-2024</v>
      </c>
      <c r="C7803">
        <f>TEST_DATA!C7803</f>
        <v>44569</v>
      </c>
      <c r="D7803" t="str">
        <f>TEST_DATA!D7803</f>
        <v>NIL</v>
      </c>
      <c r="E7803">
        <f>TEST_DATA!E7803</f>
        <v>298</v>
      </c>
    </row>
    <row r="7804" spans="1:5" x14ac:dyDescent="0.55000000000000004">
      <c r="A7804" t="str">
        <f>TEST_DATA!A7804</f>
        <v>27AAAAA7804Z5</v>
      </c>
      <c r="B7804" t="str">
        <f>TEST_DATA!B7804</f>
        <v>Nov-2017</v>
      </c>
      <c r="C7804">
        <f>TEST_DATA!C7804</f>
        <v>44095</v>
      </c>
      <c r="D7804" t="str">
        <f>TEST_DATA!D7804</f>
        <v>NIL</v>
      </c>
      <c r="E7804">
        <f>TEST_DATA!E7804</f>
        <v>1233</v>
      </c>
    </row>
    <row r="7805" spans="1:5" x14ac:dyDescent="0.55000000000000004">
      <c r="A7805" t="str">
        <f>TEST_DATA!A7805</f>
        <v>27AAAAA7805Z5</v>
      </c>
      <c r="B7805" t="str">
        <f>TEST_DATA!B7805</f>
        <v>Aug-2018</v>
      </c>
      <c r="C7805">
        <f>TEST_DATA!C7805</f>
        <v>44519</v>
      </c>
      <c r="D7805" t="str">
        <f>TEST_DATA!D7805</f>
        <v>NON-NIL</v>
      </c>
      <c r="E7805">
        <f>TEST_DATA!E7805</f>
        <v>17</v>
      </c>
    </row>
    <row r="7806" spans="1:5" x14ac:dyDescent="0.55000000000000004">
      <c r="A7806" t="str">
        <f>TEST_DATA!A7806</f>
        <v>27AAAAA7806Z5</v>
      </c>
      <c r="B7806" t="str">
        <f>TEST_DATA!B7806</f>
        <v>Dec-2017</v>
      </c>
      <c r="C7806">
        <f>TEST_DATA!C7806</f>
        <v>43218</v>
      </c>
      <c r="D7806" t="str">
        <f>TEST_DATA!D7806</f>
        <v>NIL</v>
      </c>
      <c r="E7806">
        <f>TEST_DATA!E7806</f>
        <v>1198</v>
      </c>
    </row>
    <row r="7807" spans="1:5" x14ac:dyDescent="0.55000000000000004">
      <c r="A7807" t="str">
        <f>TEST_DATA!A7807</f>
        <v>27AAAAA7807Z5</v>
      </c>
      <c r="B7807" t="str">
        <f>TEST_DATA!B7807</f>
        <v>Dec-2024</v>
      </c>
      <c r="C7807">
        <f>TEST_DATA!C7807</f>
        <v>45487</v>
      </c>
      <c r="D7807" t="str">
        <f>TEST_DATA!D7807</f>
        <v>NON-NIL</v>
      </c>
      <c r="E7807">
        <f>TEST_DATA!E7807</f>
        <v>2253</v>
      </c>
    </row>
    <row r="7808" spans="1:5" x14ac:dyDescent="0.55000000000000004">
      <c r="A7808" t="str">
        <f>TEST_DATA!A7808</f>
        <v>27AAAAA7808Z5</v>
      </c>
      <c r="B7808" t="str">
        <f>TEST_DATA!B7808</f>
        <v>Mar-2023</v>
      </c>
      <c r="C7808">
        <f>TEST_DATA!C7808</f>
        <v>43491</v>
      </c>
      <c r="D7808" t="str">
        <f>TEST_DATA!D7808</f>
        <v>NON-NIL</v>
      </c>
      <c r="E7808">
        <f>TEST_DATA!E7808</f>
        <v>1412</v>
      </c>
    </row>
    <row r="7809" spans="1:5" x14ac:dyDescent="0.55000000000000004">
      <c r="A7809" t="str">
        <f>TEST_DATA!A7809</f>
        <v>27AAAAA7809Z5</v>
      </c>
      <c r="B7809" t="str">
        <f>TEST_DATA!B7809</f>
        <v>Jan-2019</v>
      </c>
      <c r="C7809">
        <f>TEST_DATA!C7809</f>
        <v>45789</v>
      </c>
      <c r="D7809" t="str">
        <f>TEST_DATA!D7809</f>
        <v>NON-NIL</v>
      </c>
      <c r="E7809">
        <f>TEST_DATA!E7809</f>
        <v>560</v>
      </c>
    </row>
    <row r="7810" spans="1:5" x14ac:dyDescent="0.55000000000000004">
      <c r="A7810" t="str">
        <f>TEST_DATA!A7810</f>
        <v>27AAAAA7810Z5</v>
      </c>
      <c r="B7810" t="str">
        <f>TEST_DATA!B7810</f>
        <v>Jun-2018</v>
      </c>
      <c r="C7810">
        <f>TEST_DATA!C7810</f>
        <v>43155</v>
      </c>
      <c r="D7810" t="str">
        <f>TEST_DATA!D7810</f>
        <v>NON-NIL</v>
      </c>
      <c r="E7810">
        <f>TEST_DATA!E7810</f>
        <v>2859</v>
      </c>
    </row>
    <row r="7811" spans="1:5" x14ac:dyDescent="0.55000000000000004">
      <c r="A7811" t="str">
        <f>TEST_DATA!A7811</f>
        <v>27AAAAA7811Z5</v>
      </c>
      <c r="B7811" t="str">
        <f>TEST_DATA!B7811</f>
        <v>May-2020</v>
      </c>
      <c r="C7811">
        <f>TEST_DATA!C7811</f>
        <v>43937</v>
      </c>
      <c r="D7811" t="str">
        <f>TEST_DATA!D7811</f>
        <v>NON-NIL</v>
      </c>
      <c r="E7811">
        <f>TEST_DATA!E7811</f>
        <v>99</v>
      </c>
    </row>
    <row r="7812" spans="1:5" x14ac:dyDescent="0.55000000000000004">
      <c r="A7812" t="str">
        <f>TEST_DATA!A7812</f>
        <v>27AAAAA7812Z5</v>
      </c>
      <c r="B7812" t="str">
        <f>TEST_DATA!B7812</f>
        <v>Jan-2018</v>
      </c>
      <c r="C7812">
        <f>TEST_DATA!C7812</f>
        <v>43388</v>
      </c>
      <c r="D7812" t="str">
        <f>TEST_DATA!D7812</f>
        <v>NIL</v>
      </c>
      <c r="E7812">
        <f>TEST_DATA!E7812</f>
        <v>383</v>
      </c>
    </row>
    <row r="7813" spans="1:5" x14ac:dyDescent="0.55000000000000004">
      <c r="A7813" t="str">
        <f>TEST_DATA!A7813</f>
        <v>27AAAAA7813Z5</v>
      </c>
      <c r="B7813" t="str">
        <f>TEST_DATA!B7813</f>
        <v>Apr-2018</v>
      </c>
      <c r="C7813">
        <f>TEST_DATA!C7813</f>
        <v>43844</v>
      </c>
      <c r="D7813" t="str">
        <f>TEST_DATA!D7813</f>
        <v>NIL</v>
      </c>
      <c r="E7813">
        <f>TEST_DATA!E7813</f>
        <v>995</v>
      </c>
    </row>
    <row r="7814" spans="1:5" x14ac:dyDescent="0.55000000000000004">
      <c r="A7814" t="str">
        <f>TEST_DATA!A7814</f>
        <v>27AAAAA7814Z5</v>
      </c>
      <c r="B7814" t="str">
        <f>TEST_DATA!B7814</f>
        <v>Jan-2018</v>
      </c>
      <c r="C7814">
        <f>TEST_DATA!C7814</f>
        <v>43827</v>
      </c>
      <c r="D7814" t="str">
        <f>TEST_DATA!D7814</f>
        <v>NIL</v>
      </c>
      <c r="E7814">
        <f>TEST_DATA!E7814</f>
        <v>2840</v>
      </c>
    </row>
    <row r="7815" spans="1:5" x14ac:dyDescent="0.55000000000000004">
      <c r="A7815" t="str">
        <f>TEST_DATA!A7815</f>
        <v>27AAAAA7815Z5</v>
      </c>
      <c r="B7815" t="str">
        <f>TEST_DATA!B7815</f>
        <v>Aug-2017</v>
      </c>
      <c r="C7815">
        <f>TEST_DATA!C7815</f>
        <v>44079</v>
      </c>
      <c r="D7815" t="str">
        <f>TEST_DATA!D7815</f>
        <v>NON-NIL</v>
      </c>
      <c r="E7815">
        <f>TEST_DATA!E7815</f>
        <v>1297</v>
      </c>
    </row>
    <row r="7816" spans="1:5" x14ac:dyDescent="0.55000000000000004">
      <c r="A7816" t="str">
        <f>TEST_DATA!A7816</f>
        <v>27AAAAA7816Z5</v>
      </c>
      <c r="B7816" t="str">
        <f>TEST_DATA!B7816</f>
        <v>Sep-2017</v>
      </c>
      <c r="C7816">
        <f>TEST_DATA!C7816</f>
        <v>44386</v>
      </c>
      <c r="D7816" t="str">
        <f>TEST_DATA!D7816</f>
        <v>NON-NIL</v>
      </c>
      <c r="E7816">
        <f>TEST_DATA!E7816</f>
        <v>1999</v>
      </c>
    </row>
    <row r="7817" spans="1:5" x14ac:dyDescent="0.55000000000000004">
      <c r="A7817" t="str">
        <f>TEST_DATA!A7817</f>
        <v>27AAAAA7817Z5</v>
      </c>
      <c r="B7817" t="str">
        <f>TEST_DATA!B7817</f>
        <v>Jul-2018</v>
      </c>
      <c r="C7817">
        <f>TEST_DATA!C7817</f>
        <v>44485</v>
      </c>
      <c r="D7817" t="str">
        <f>TEST_DATA!D7817</f>
        <v>NON-NIL</v>
      </c>
      <c r="E7817">
        <f>TEST_DATA!E7817</f>
        <v>48</v>
      </c>
    </row>
    <row r="7818" spans="1:5" x14ac:dyDescent="0.55000000000000004">
      <c r="A7818" t="str">
        <f>TEST_DATA!A7818</f>
        <v>27AAAAA7818Z5</v>
      </c>
      <c r="B7818" t="str">
        <f>TEST_DATA!B7818</f>
        <v>Jul-2018</v>
      </c>
      <c r="C7818">
        <f>TEST_DATA!C7818</f>
        <v>43320</v>
      </c>
      <c r="D7818" t="str">
        <f>TEST_DATA!D7818</f>
        <v>NON-NIL</v>
      </c>
      <c r="E7818">
        <f>TEST_DATA!E7818</f>
        <v>2581</v>
      </c>
    </row>
    <row r="7819" spans="1:5" x14ac:dyDescent="0.55000000000000004">
      <c r="A7819" t="str">
        <f>TEST_DATA!A7819</f>
        <v>27AAAAA7819Z5</v>
      </c>
      <c r="B7819" t="str">
        <f>TEST_DATA!B7819</f>
        <v>Feb-2018</v>
      </c>
      <c r="C7819">
        <f>TEST_DATA!C7819</f>
        <v>44291</v>
      </c>
      <c r="D7819" t="str">
        <f>TEST_DATA!D7819</f>
        <v>NIL</v>
      </c>
      <c r="E7819">
        <f>TEST_DATA!E7819</f>
        <v>2130</v>
      </c>
    </row>
    <row r="7820" spans="1:5" x14ac:dyDescent="0.55000000000000004">
      <c r="A7820" t="str">
        <f>TEST_DATA!A7820</f>
        <v>27AAAAA7820Z5</v>
      </c>
      <c r="B7820" t="str">
        <f>TEST_DATA!B7820</f>
        <v>Aug-2018</v>
      </c>
      <c r="C7820">
        <f>TEST_DATA!C7820</f>
        <v>43327</v>
      </c>
      <c r="D7820" t="str">
        <f>TEST_DATA!D7820</f>
        <v>NIL</v>
      </c>
      <c r="E7820">
        <f>TEST_DATA!E7820</f>
        <v>462</v>
      </c>
    </row>
    <row r="7821" spans="1:5" x14ac:dyDescent="0.55000000000000004">
      <c r="A7821" t="str">
        <f>TEST_DATA!A7821</f>
        <v>27AAAAA7821Z5</v>
      </c>
      <c r="B7821" t="str">
        <f>TEST_DATA!B7821</f>
        <v>Sep-2017</v>
      </c>
      <c r="C7821">
        <f>TEST_DATA!C7821</f>
        <v>43200</v>
      </c>
      <c r="D7821" t="str">
        <f>TEST_DATA!D7821</f>
        <v>NIL</v>
      </c>
      <c r="E7821">
        <f>TEST_DATA!E7821</f>
        <v>110</v>
      </c>
    </row>
    <row r="7822" spans="1:5" x14ac:dyDescent="0.55000000000000004">
      <c r="A7822" t="str">
        <f>TEST_DATA!A7822</f>
        <v>27AAAAA7822Z5</v>
      </c>
      <c r="B7822" t="str">
        <f>TEST_DATA!B7822</f>
        <v>Dec-2022</v>
      </c>
      <c r="C7822">
        <f>TEST_DATA!C7822</f>
        <v>43666</v>
      </c>
      <c r="D7822" t="str">
        <f>TEST_DATA!D7822</f>
        <v>NON-NIL</v>
      </c>
      <c r="E7822">
        <f>TEST_DATA!E7822</f>
        <v>2061</v>
      </c>
    </row>
    <row r="7823" spans="1:5" x14ac:dyDescent="0.55000000000000004">
      <c r="A7823" t="str">
        <f>TEST_DATA!A7823</f>
        <v>27AAAAA7823Z5</v>
      </c>
      <c r="B7823" t="str">
        <f>TEST_DATA!B7823</f>
        <v>Mar-2018</v>
      </c>
      <c r="C7823">
        <f>TEST_DATA!C7823</f>
        <v>43176</v>
      </c>
      <c r="D7823" t="str">
        <f>TEST_DATA!D7823</f>
        <v>NON-NIL</v>
      </c>
      <c r="E7823">
        <f>TEST_DATA!E7823</f>
        <v>1036</v>
      </c>
    </row>
    <row r="7824" spans="1:5" x14ac:dyDescent="0.55000000000000004">
      <c r="A7824" t="str">
        <f>TEST_DATA!A7824</f>
        <v>27AAAAA7824Z5</v>
      </c>
      <c r="B7824" t="str">
        <f>TEST_DATA!B7824</f>
        <v>Mar-2021</v>
      </c>
      <c r="C7824">
        <f>TEST_DATA!C7824</f>
        <v>45690</v>
      </c>
      <c r="D7824" t="str">
        <f>TEST_DATA!D7824</f>
        <v>NIL</v>
      </c>
      <c r="E7824">
        <f>TEST_DATA!E7824</f>
        <v>838</v>
      </c>
    </row>
    <row r="7825" spans="1:5" x14ac:dyDescent="0.55000000000000004">
      <c r="A7825" t="str">
        <f>TEST_DATA!A7825</f>
        <v>27AAAAA7825Z5</v>
      </c>
      <c r="B7825" t="str">
        <f>TEST_DATA!B7825</f>
        <v>Mar-2021</v>
      </c>
      <c r="C7825">
        <f>TEST_DATA!C7825</f>
        <v>44336</v>
      </c>
      <c r="D7825" t="str">
        <f>TEST_DATA!D7825</f>
        <v>NON-NIL</v>
      </c>
      <c r="E7825">
        <f>TEST_DATA!E7825</f>
        <v>1848</v>
      </c>
    </row>
    <row r="7826" spans="1:5" x14ac:dyDescent="0.55000000000000004">
      <c r="A7826" t="str">
        <f>TEST_DATA!A7826</f>
        <v>27AAAAA7826Z5</v>
      </c>
      <c r="B7826" t="str">
        <f>TEST_DATA!B7826</f>
        <v>Jun-2020</v>
      </c>
      <c r="C7826">
        <f>TEST_DATA!C7826</f>
        <v>44611</v>
      </c>
      <c r="D7826" t="str">
        <f>TEST_DATA!D7826</f>
        <v>NIL</v>
      </c>
      <c r="E7826">
        <f>TEST_DATA!E7826</f>
        <v>2086</v>
      </c>
    </row>
    <row r="7827" spans="1:5" x14ac:dyDescent="0.55000000000000004">
      <c r="A7827" t="str">
        <f>TEST_DATA!A7827</f>
        <v>27AAAAA7827Z5</v>
      </c>
      <c r="B7827" t="str">
        <f>TEST_DATA!B7827</f>
        <v>Dec-2017</v>
      </c>
      <c r="C7827">
        <f>TEST_DATA!C7827</f>
        <v>44332</v>
      </c>
      <c r="D7827" t="str">
        <f>TEST_DATA!D7827</f>
        <v>NON-NIL</v>
      </c>
      <c r="E7827">
        <f>TEST_DATA!E7827</f>
        <v>2042</v>
      </c>
    </row>
    <row r="7828" spans="1:5" x14ac:dyDescent="0.55000000000000004">
      <c r="A7828" t="str">
        <f>TEST_DATA!A7828</f>
        <v>27AAAAA7828Z5</v>
      </c>
      <c r="B7828" t="str">
        <f>TEST_DATA!B7828</f>
        <v>Jan-2021</v>
      </c>
      <c r="C7828">
        <f>TEST_DATA!C7828</f>
        <v>43817</v>
      </c>
      <c r="D7828" t="str">
        <f>TEST_DATA!D7828</f>
        <v>NIL</v>
      </c>
      <c r="E7828">
        <f>TEST_DATA!E7828</f>
        <v>1561</v>
      </c>
    </row>
    <row r="7829" spans="1:5" x14ac:dyDescent="0.55000000000000004">
      <c r="A7829" t="str">
        <f>TEST_DATA!A7829</f>
        <v>27AAAAA7829Z5</v>
      </c>
      <c r="B7829" t="str">
        <f>TEST_DATA!B7829</f>
        <v>Jul-2017</v>
      </c>
      <c r="C7829">
        <f>TEST_DATA!C7829</f>
        <v>43604</v>
      </c>
      <c r="D7829" t="str">
        <f>TEST_DATA!D7829</f>
        <v>NON-NIL</v>
      </c>
      <c r="E7829">
        <f>TEST_DATA!E7829</f>
        <v>2484</v>
      </c>
    </row>
    <row r="7830" spans="1:5" x14ac:dyDescent="0.55000000000000004">
      <c r="A7830" t="str">
        <f>TEST_DATA!A7830</f>
        <v>27AAAAA7830Z5</v>
      </c>
      <c r="B7830" t="str">
        <f>TEST_DATA!B7830</f>
        <v>Apr-2018</v>
      </c>
      <c r="C7830">
        <f>TEST_DATA!C7830</f>
        <v>43807</v>
      </c>
      <c r="D7830" t="str">
        <f>TEST_DATA!D7830</f>
        <v>NIL</v>
      </c>
      <c r="E7830">
        <f>TEST_DATA!E7830</f>
        <v>98</v>
      </c>
    </row>
    <row r="7831" spans="1:5" x14ac:dyDescent="0.55000000000000004">
      <c r="A7831" t="str">
        <f>TEST_DATA!A7831</f>
        <v>27AAAAA7831Z5</v>
      </c>
      <c r="B7831" t="str">
        <f>TEST_DATA!B7831</f>
        <v>Dec-2019</v>
      </c>
      <c r="C7831">
        <f>TEST_DATA!C7831</f>
        <v>44983</v>
      </c>
      <c r="D7831" t="str">
        <f>TEST_DATA!D7831</f>
        <v>NON-NIL</v>
      </c>
      <c r="E7831">
        <f>TEST_DATA!E7831</f>
        <v>1146</v>
      </c>
    </row>
    <row r="7832" spans="1:5" x14ac:dyDescent="0.55000000000000004">
      <c r="A7832" t="str">
        <f>TEST_DATA!A7832</f>
        <v>27AAAAA7832Z5</v>
      </c>
      <c r="B7832" t="str">
        <f>TEST_DATA!B7832</f>
        <v>Mar-2020</v>
      </c>
      <c r="C7832">
        <f>TEST_DATA!C7832</f>
        <v>43937</v>
      </c>
      <c r="D7832" t="str">
        <f>TEST_DATA!D7832</f>
        <v>NIL</v>
      </c>
      <c r="E7832">
        <f>TEST_DATA!E7832</f>
        <v>769</v>
      </c>
    </row>
    <row r="7833" spans="1:5" x14ac:dyDescent="0.55000000000000004">
      <c r="A7833" t="str">
        <f>TEST_DATA!A7833</f>
        <v>27AAAAA7833Z5</v>
      </c>
      <c r="B7833" t="str">
        <f>TEST_DATA!B7833</f>
        <v>Nov-2017</v>
      </c>
      <c r="C7833">
        <f>TEST_DATA!C7833</f>
        <v>43452</v>
      </c>
      <c r="D7833" t="str">
        <f>TEST_DATA!D7833</f>
        <v>NON-NIL</v>
      </c>
      <c r="E7833">
        <f>TEST_DATA!E7833</f>
        <v>383</v>
      </c>
    </row>
    <row r="7834" spans="1:5" x14ac:dyDescent="0.55000000000000004">
      <c r="A7834" t="str">
        <f>TEST_DATA!A7834</f>
        <v>27AAAAA7834Z5</v>
      </c>
      <c r="B7834" t="str">
        <f>TEST_DATA!B7834</f>
        <v>Mar-2020</v>
      </c>
      <c r="C7834">
        <f>TEST_DATA!C7834</f>
        <v>44271</v>
      </c>
      <c r="D7834" t="str">
        <f>TEST_DATA!D7834</f>
        <v>NON-NIL</v>
      </c>
      <c r="E7834">
        <f>TEST_DATA!E7834</f>
        <v>204</v>
      </c>
    </row>
    <row r="7835" spans="1:5" x14ac:dyDescent="0.55000000000000004">
      <c r="A7835" t="str">
        <f>TEST_DATA!A7835</f>
        <v>27AAAAA7835Z5</v>
      </c>
      <c r="B7835" t="str">
        <f>TEST_DATA!B7835</f>
        <v>Dec-2022</v>
      </c>
      <c r="C7835">
        <f>TEST_DATA!C7835</f>
        <v>43469</v>
      </c>
      <c r="D7835" t="str">
        <f>TEST_DATA!D7835</f>
        <v>NIL</v>
      </c>
      <c r="E7835">
        <f>TEST_DATA!E7835</f>
        <v>443</v>
      </c>
    </row>
    <row r="7836" spans="1:5" x14ac:dyDescent="0.55000000000000004">
      <c r="A7836" t="str">
        <f>TEST_DATA!A7836</f>
        <v>27AAAAA7836Z5</v>
      </c>
      <c r="B7836" t="str">
        <f>TEST_DATA!B7836</f>
        <v>Dec-2024</v>
      </c>
      <c r="C7836">
        <f>TEST_DATA!C7836</f>
        <v>44825</v>
      </c>
      <c r="D7836" t="str">
        <f>TEST_DATA!D7836</f>
        <v>NON-NIL</v>
      </c>
      <c r="E7836">
        <f>TEST_DATA!E7836</f>
        <v>1603</v>
      </c>
    </row>
    <row r="7837" spans="1:5" x14ac:dyDescent="0.55000000000000004">
      <c r="A7837" t="str">
        <f>TEST_DATA!A7837</f>
        <v>27AAAAA7837Z5</v>
      </c>
      <c r="B7837" t="str">
        <f>TEST_DATA!B7837</f>
        <v>Oct-2017</v>
      </c>
      <c r="C7837">
        <f>TEST_DATA!C7837</f>
        <v>43890</v>
      </c>
      <c r="D7837" t="str">
        <f>TEST_DATA!D7837</f>
        <v>NON-NIL</v>
      </c>
      <c r="E7837">
        <f>TEST_DATA!E7837</f>
        <v>2173</v>
      </c>
    </row>
    <row r="7838" spans="1:5" x14ac:dyDescent="0.55000000000000004">
      <c r="A7838" t="str">
        <f>TEST_DATA!A7838</f>
        <v>27AAAAA7838Z5</v>
      </c>
      <c r="B7838" t="str">
        <f>TEST_DATA!B7838</f>
        <v>Jul-2020</v>
      </c>
      <c r="C7838">
        <f>TEST_DATA!C7838</f>
        <v>43953</v>
      </c>
      <c r="D7838" t="str">
        <f>TEST_DATA!D7838</f>
        <v>NIL</v>
      </c>
      <c r="E7838">
        <f>TEST_DATA!E7838</f>
        <v>887</v>
      </c>
    </row>
    <row r="7839" spans="1:5" x14ac:dyDescent="0.55000000000000004">
      <c r="A7839" t="str">
        <f>TEST_DATA!A7839</f>
        <v>27AAAAA7839Z5</v>
      </c>
      <c r="B7839" t="str">
        <f>TEST_DATA!B7839</f>
        <v>Jun-2019</v>
      </c>
      <c r="C7839">
        <f>TEST_DATA!C7839</f>
        <v>45553</v>
      </c>
      <c r="D7839" t="str">
        <f>TEST_DATA!D7839</f>
        <v>NIL</v>
      </c>
      <c r="E7839">
        <f>TEST_DATA!E7839</f>
        <v>1170</v>
      </c>
    </row>
    <row r="7840" spans="1:5" x14ac:dyDescent="0.55000000000000004">
      <c r="A7840" t="str">
        <f>TEST_DATA!A7840</f>
        <v>27AAAAA7840Z5</v>
      </c>
      <c r="B7840" t="str">
        <f>TEST_DATA!B7840</f>
        <v>Mar-2018</v>
      </c>
      <c r="C7840">
        <f>TEST_DATA!C7840</f>
        <v>44223</v>
      </c>
      <c r="D7840" t="str">
        <f>TEST_DATA!D7840</f>
        <v>NIL</v>
      </c>
      <c r="E7840">
        <f>TEST_DATA!E7840</f>
        <v>250</v>
      </c>
    </row>
    <row r="7841" spans="1:5" x14ac:dyDescent="0.55000000000000004">
      <c r="A7841" t="str">
        <f>TEST_DATA!A7841</f>
        <v>27AAAAA7841Z5</v>
      </c>
      <c r="B7841" t="str">
        <f>TEST_DATA!B7841</f>
        <v>Apr-2018</v>
      </c>
      <c r="C7841">
        <f>TEST_DATA!C7841</f>
        <v>43042</v>
      </c>
      <c r="D7841" t="str">
        <f>TEST_DATA!D7841</f>
        <v>NON-NIL</v>
      </c>
      <c r="E7841">
        <f>TEST_DATA!E7841</f>
        <v>991</v>
      </c>
    </row>
    <row r="7842" spans="1:5" x14ac:dyDescent="0.55000000000000004">
      <c r="A7842" t="str">
        <f>TEST_DATA!A7842</f>
        <v>27AAAAA7842Z5</v>
      </c>
      <c r="B7842" t="str">
        <f>TEST_DATA!B7842</f>
        <v>Sep-2017</v>
      </c>
      <c r="C7842">
        <f>TEST_DATA!C7842</f>
        <v>43630</v>
      </c>
      <c r="D7842" t="str">
        <f>TEST_DATA!D7842</f>
        <v>NON-NIL</v>
      </c>
      <c r="E7842">
        <f>TEST_DATA!E7842</f>
        <v>1576</v>
      </c>
    </row>
    <row r="7843" spans="1:5" x14ac:dyDescent="0.55000000000000004">
      <c r="A7843" t="str">
        <f>TEST_DATA!A7843</f>
        <v>27AAAAA7843Z5</v>
      </c>
      <c r="B7843" t="str">
        <f>TEST_DATA!B7843</f>
        <v>Dec-2024</v>
      </c>
      <c r="C7843">
        <f>TEST_DATA!C7843</f>
        <v>45550</v>
      </c>
      <c r="D7843" t="str">
        <f>TEST_DATA!D7843</f>
        <v>NON-NIL</v>
      </c>
      <c r="E7843">
        <f>TEST_DATA!E7843</f>
        <v>310</v>
      </c>
    </row>
    <row r="7844" spans="1:5" x14ac:dyDescent="0.55000000000000004">
      <c r="A7844" t="str">
        <f>TEST_DATA!A7844</f>
        <v>27AAAAA7844Z5</v>
      </c>
      <c r="B7844" t="str">
        <f>TEST_DATA!B7844</f>
        <v>Jun-2020</v>
      </c>
      <c r="C7844">
        <f>TEST_DATA!C7844</f>
        <v>44268</v>
      </c>
      <c r="D7844" t="str">
        <f>TEST_DATA!D7844</f>
        <v>NON-NIL</v>
      </c>
      <c r="E7844">
        <f>TEST_DATA!E7844</f>
        <v>782</v>
      </c>
    </row>
    <row r="7845" spans="1:5" x14ac:dyDescent="0.55000000000000004">
      <c r="A7845" t="str">
        <f>TEST_DATA!A7845</f>
        <v>27AAAAA7845Z5</v>
      </c>
      <c r="B7845" t="str">
        <f>TEST_DATA!B7845</f>
        <v>Jun-2019</v>
      </c>
      <c r="C7845">
        <f>TEST_DATA!C7845</f>
        <v>43888</v>
      </c>
      <c r="D7845" t="str">
        <f>TEST_DATA!D7845</f>
        <v>NON-NIL</v>
      </c>
      <c r="E7845">
        <f>TEST_DATA!E7845</f>
        <v>2109</v>
      </c>
    </row>
    <row r="7846" spans="1:5" x14ac:dyDescent="0.55000000000000004">
      <c r="A7846" t="str">
        <f>TEST_DATA!A7846</f>
        <v>27AAAAA7846Z5</v>
      </c>
      <c r="B7846" t="str">
        <f>TEST_DATA!B7846</f>
        <v>May-2020</v>
      </c>
      <c r="C7846">
        <f>TEST_DATA!C7846</f>
        <v>44275</v>
      </c>
      <c r="D7846" t="str">
        <f>TEST_DATA!D7846</f>
        <v>NON-NIL</v>
      </c>
      <c r="E7846">
        <f>TEST_DATA!E7846</f>
        <v>1270</v>
      </c>
    </row>
    <row r="7847" spans="1:5" x14ac:dyDescent="0.55000000000000004">
      <c r="A7847" t="str">
        <f>TEST_DATA!A7847</f>
        <v>27AAAAA7847Z5</v>
      </c>
      <c r="B7847" t="str">
        <f>TEST_DATA!B7847</f>
        <v>Sep-2018</v>
      </c>
      <c r="C7847">
        <f>TEST_DATA!C7847</f>
        <v>43571</v>
      </c>
      <c r="D7847" t="str">
        <f>TEST_DATA!D7847</f>
        <v>NON-NIL</v>
      </c>
      <c r="E7847">
        <f>TEST_DATA!E7847</f>
        <v>2071</v>
      </c>
    </row>
    <row r="7848" spans="1:5" x14ac:dyDescent="0.55000000000000004">
      <c r="A7848" t="str">
        <f>TEST_DATA!A7848</f>
        <v>27AAAAA7848Z5</v>
      </c>
      <c r="B7848" t="str">
        <f>TEST_DATA!B7848</f>
        <v>Aug-2017</v>
      </c>
      <c r="C7848">
        <f>TEST_DATA!C7848</f>
        <v>43320</v>
      </c>
      <c r="D7848" t="str">
        <f>TEST_DATA!D7848</f>
        <v>NIL</v>
      </c>
      <c r="E7848">
        <f>TEST_DATA!E7848</f>
        <v>2557</v>
      </c>
    </row>
    <row r="7849" spans="1:5" x14ac:dyDescent="0.55000000000000004">
      <c r="A7849" t="str">
        <f>TEST_DATA!A7849</f>
        <v>27AAAAA7849Z5</v>
      </c>
      <c r="B7849" t="str">
        <f>TEST_DATA!B7849</f>
        <v>May-2020</v>
      </c>
      <c r="C7849">
        <f>TEST_DATA!C7849</f>
        <v>43855</v>
      </c>
      <c r="D7849" t="str">
        <f>TEST_DATA!D7849</f>
        <v>NIL</v>
      </c>
      <c r="E7849">
        <f>TEST_DATA!E7849</f>
        <v>1651</v>
      </c>
    </row>
    <row r="7850" spans="1:5" x14ac:dyDescent="0.55000000000000004">
      <c r="A7850" t="str">
        <f>TEST_DATA!A7850</f>
        <v>27AAAAA7850Z5</v>
      </c>
      <c r="B7850" t="str">
        <f>TEST_DATA!B7850</f>
        <v>Jun-2019</v>
      </c>
      <c r="C7850">
        <f>TEST_DATA!C7850</f>
        <v>44767</v>
      </c>
      <c r="D7850" t="str">
        <f>TEST_DATA!D7850</f>
        <v>NON-NIL</v>
      </c>
      <c r="E7850">
        <f>TEST_DATA!E7850</f>
        <v>1154</v>
      </c>
    </row>
    <row r="7851" spans="1:5" x14ac:dyDescent="0.55000000000000004">
      <c r="A7851" t="str">
        <f>TEST_DATA!A7851</f>
        <v>27AAAAA7851Z5</v>
      </c>
      <c r="B7851" t="str">
        <f>TEST_DATA!B7851</f>
        <v>Sep-2018</v>
      </c>
      <c r="C7851">
        <f>TEST_DATA!C7851</f>
        <v>43142</v>
      </c>
      <c r="D7851" t="str">
        <f>TEST_DATA!D7851</f>
        <v>NON-NIL</v>
      </c>
      <c r="E7851">
        <f>TEST_DATA!E7851</f>
        <v>1846</v>
      </c>
    </row>
    <row r="7852" spans="1:5" x14ac:dyDescent="0.55000000000000004">
      <c r="A7852" t="str">
        <f>TEST_DATA!A7852</f>
        <v>27AAAAA7852Z5</v>
      </c>
      <c r="B7852" t="str">
        <f>TEST_DATA!B7852</f>
        <v>Dec-2019</v>
      </c>
      <c r="C7852">
        <f>TEST_DATA!C7852</f>
        <v>44540</v>
      </c>
      <c r="D7852" t="str">
        <f>TEST_DATA!D7852</f>
        <v>NIL</v>
      </c>
      <c r="E7852">
        <f>TEST_DATA!E7852</f>
        <v>373</v>
      </c>
    </row>
    <row r="7853" spans="1:5" x14ac:dyDescent="0.55000000000000004">
      <c r="A7853" t="str">
        <f>TEST_DATA!A7853</f>
        <v>27AAAAA7853Z5</v>
      </c>
      <c r="B7853" t="str">
        <f>TEST_DATA!B7853</f>
        <v>Apr-2020</v>
      </c>
      <c r="C7853">
        <f>TEST_DATA!C7853</f>
        <v>43907</v>
      </c>
      <c r="D7853" t="str">
        <f>TEST_DATA!D7853</f>
        <v>NIL</v>
      </c>
      <c r="E7853">
        <f>TEST_DATA!E7853</f>
        <v>1894</v>
      </c>
    </row>
    <row r="7854" spans="1:5" x14ac:dyDescent="0.55000000000000004">
      <c r="A7854" t="str">
        <f>TEST_DATA!A7854</f>
        <v>27AAAAA7854Z5</v>
      </c>
      <c r="B7854" t="str">
        <f>TEST_DATA!B7854</f>
        <v>Apr-2021</v>
      </c>
      <c r="C7854">
        <f>TEST_DATA!C7854</f>
        <v>43886</v>
      </c>
      <c r="D7854" t="str">
        <f>TEST_DATA!D7854</f>
        <v>NON-NIL</v>
      </c>
      <c r="E7854">
        <f>TEST_DATA!E7854</f>
        <v>2483</v>
      </c>
    </row>
    <row r="7855" spans="1:5" x14ac:dyDescent="0.55000000000000004">
      <c r="A7855" t="str">
        <f>TEST_DATA!A7855</f>
        <v>27AAAAA7855Z5</v>
      </c>
      <c r="B7855" t="str">
        <f>TEST_DATA!B7855</f>
        <v>Jun-2019</v>
      </c>
      <c r="C7855">
        <f>TEST_DATA!C7855</f>
        <v>45754</v>
      </c>
      <c r="D7855" t="str">
        <f>TEST_DATA!D7855</f>
        <v>NIL</v>
      </c>
      <c r="E7855">
        <f>TEST_DATA!E7855</f>
        <v>1981</v>
      </c>
    </row>
    <row r="7856" spans="1:5" x14ac:dyDescent="0.55000000000000004">
      <c r="A7856" t="str">
        <f>TEST_DATA!A7856</f>
        <v>27AAAAA7856Z5</v>
      </c>
      <c r="B7856" t="str">
        <f>TEST_DATA!B7856</f>
        <v>Jul-2020</v>
      </c>
      <c r="C7856">
        <f>TEST_DATA!C7856</f>
        <v>44041</v>
      </c>
      <c r="D7856" t="str">
        <f>TEST_DATA!D7856</f>
        <v>NON-NIL</v>
      </c>
      <c r="E7856">
        <f>TEST_DATA!E7856</f>
        <v>382</v>
      </c>
    </row>
    <row r="7857" spans="1:5" x14ac:dyDescent="0.55000000000000004">
      <c r="A7857" t="str">
        <f>TEST_DATA!A7857</f>
        <v>27AAAAA7857Z5</v>
      </c>
      <c r="B7857" t="str">
        <f>TEST_DATA!B7857</f>
        <v>Oct-2017</v>
      </c>
      <c r="C7857">
        <f>TEST_DATA!C7857</f>
        <v>43666</v>
      </c>
      <c r="D7857" t="str">
        <f>TEST_DATA!D7857</f>
        <v>NON-NIL</v>
      </c>
      <c r="E7857">
        <f>TEST_DATA!E7857</f>
        <v>1737</v>
      </c>
    </row>
    <row r="7858" spans="1:5" x14ac:dyDescent="0.55000000000000004">
      <c r="A7858" t="str">
        <f>TEST_DATA!A7858</f>
        <v>27AAAAA7858Z5</v>
      </c>
      <c r="B7858" t="str">
        <f>TEST_DATA!B7858</f>
        <v>Apr-2021</v>
      </c>
      <c r="C7858">
        <f>TEST_DATA!C7858</f>
        <v>45585</v>
      </c>
      <c r="D7858" t="str">
        <f>TEST_DATA!D7858</f>
        <v>NON-NIL</v>
      </c>
      <c r="E7858">
        <f>TEST_DATA!E7858</f>
        <v>462</v>
      </c>
    </row>
    <row r="7859" spans="1:5" x14ac:dyDescent="0.55000000000000004">
      <c r="A7859" t="str">
        <f>TEST_DATA!A7859</f>
        <v>27AAAAA7859Z5</v>
      </c>
      <c r="B7859" t="str">
        <f>TEST_DATA!B7859</f>
        <v>Sep-2017</v>
      </c>
      <c r="C7859">
        <f>TEST_DATA!C7859</f>
        <v>44081</v>
      </c>
      <c r="D7859" t="str">
        <f>TEST_DATA!D7859</f>
        <v>NON-NIL</v>
      </c>
      <c r="E7859">
        <f>TEST_DATA!E7859</f>
        <v>1578</v>
      </c>
    </row>
    <row r="7860" spans="1:5" x14ac:dyDescent="0.55000000000000004">
      <c r="A7860" t="str">
        <f>TEST_DATA!A7860</f>
        <v>27AAAAA7860Z5</v>
      </c>
      <c r="B7860" t="str">
        <f>TEST_DATA!B7860</f>
        <v>Sep-2018</v>
      </c>
      <c r="C7860">
        <f>TEST_DATA!C7860</f>
        <v>43646</v>
      </c>
      <c r="D7860" t="str">
        <f>TEST_DATA!D7860</f>
        <v>NIL</v>
      </c>
      <c r="E7860">
        <f>TEST_DATA!E7860</f>
        <v>2719</v>
      </c>
    </row>
    <row r="7861" spans="1:5" x14ac:dyDescent="0.55000000000000004">
      <c r="A7861" t="str">
        <f>TEST_DATA!A7861</f>
        <v>27AAAAA7861Z5</v>
      </c>
      <c r="B7861" t="str">
        <f>TEST_DATA!B7861</f>
        <v>Jan-2018</v>
      </c>
      <c r="C7861">
        <f>TEST_DATA!C7861</f>
        <v>43244</v>
      </c>
      <c r="D7861" t="str">
        <f>TEST_DATA!D7861</f>
        <v>NON-NIL</v>
      </c>
      <c r="E7861">
        <f>TEST_DATA!E7861</f>
        <v>268</v>
      </c>
    </row>
    <row r="7862" spans="1:5" x14ac:dyDescent="0.55000000000000004">
      <c r="A7862" t="str">
        <f>TEST_DATA!A7862</f>
        <v>27AAAAA7862Z5</v>
      </c>
      <c r="B7862" t="str">
        <f>TEST_DATA!B7862</f>
        <v>Jan-2019</v>
      </c>
      <c r="C7862">
        <f>TEST_DATA!C7862</f>
        <v>43636</v>
      </c>
      <c r="D7862" t="str">
        <f>TEST_DATA!D7862</f>
        <v>NON-NIL</v>
      </c>
      <c r="E7862">
        <f>TEST_DATA!E7862</f>
        <v>115</v>
      </c>
    </row>
    <row r="7863" spans="1:5" x14ac:dyDescent="0.55000000000000004">
      <c r="A7863" t="str">
        <f>TEST_DATA!A7863</f>
        <v>27AAAAA7863Z5</v>
      </c>
      <c r="B7863" t="str">
        <f>TEST_DATA!B7863</f>
        <v>May-2018</v>
      </c>
      <c r="C7863">
        <f>TEST_DATA!C7863</f>
        <v>44015</v>
      </c>
      <c r="D7863" t="str">
        <f>TEST_DATA!D7863</f>
        <v>NIL</v>
      </c>
      <c r="E7863">
        <f>TEST_DATA!E7863</f>
        <v>1535</v>
      </c>
    </row>
    <row r="7864" spans="1:5" x14ac:dyDescent="0.55000000000000004">
      <c r="A7864" t="str">
        <f>TEST_DATA!A7864</f>
        <v>27AAAAA7864Z5</v>
      </c>
      <c r="B7864" t="str">
        <f>TEST_DATA!B7864</f>
        <v>Jan-2018</v>
      </c>
      <c r="C7864">
        <f>TEST_DATA!C7864</f>
        <v>43440</v>
      </c>
      <c r="D7864" t="str">
        <f>TEST_DATA!D7864</f>
        <v>NON-NIL</v>
      </c>
      <c r="E7864">
        <f>TEST_DATA!E7864</f>
        <v>2636</v>
      </c>
    </row>
    <row r="7865" spans="1:5" x14ac:dyDescent="0.55000000000000004">
      <c r="A7865" t="str">
        <f>TEST_DATA!A7865</f>
        <v>27AAAAA7865Z5</v>
      </c>
      <c r="B7865" t="str">
        <f>TEST_DATA!B7865</f>
        <v>Dec-2019</v>
      </c>
      <c r="C7865">
        <f>TEST_DATA!C7865</f>
        <v>43740</v>
      </c>
      <c r="D7865" t="str">
        <f>TEST_DATA!D7865</f>
        <v>NON-NIL</v>
      </c>
      <c r="E7865">
        <f>TEST_DATA!E7865</f>
        <v>1728</v>
      </c>
    </row>
    <row r="7866" spans="1:5" x14ac:dyDescent="0.55000000000000004">
      <c r="A7866" t="str">
        <f>TEST_DATA!A7866</f>
        <v>27AAAAA7866Z5</v>
      </c>
      <c r="B7866" t="str">
        <f>TEST_DATA!B7866</f>
        <v>May-2018</v>
      </c>
      <c r="C7866">
        <f>TEST_DATA!C7866</f>
        <v>43817</v>
      </c>
      <c r="D7866" t="str">
        <f>TEST_DATA!D7866</f>
        <v>NIL</v>
      </c>
      <c r="E7866">
        <f>TEST_DATA!E7866</f>
        <v>2234</v>
      </c>
    </row>
    <row r="7867" spans="1:5" x14ac:dyDescent="0.55000000000000004">
      <c r="A7867" t="str">
        <f>TEST_DATA!A7867</f>
        <v>27AAAAA7867Z5</v>
      </c>
      <c r="B7867" t="str">
        <f>TEST_DATA!B7867</f>
        <v>Jun-2018</v>
      </c>
      <c r="C7867">
        <f>TEST_DATA!C7867</f>
        <v>43422</v>
      </c>
      <c r="D7867" t="str">
        <f>TEST_DATA!D7867</f>
        <v>NON-NIL</v>
      </c>
      <c r="E7867">
        <f>TEST_DATA!E7867</f>
        <v>980</v>
      </c>
    </row>
    <row r="7868" spans="1:5" x14ac:dyDescent="0.55000000000000004">
      <c r="A7868" t="str">
        <f>TEST_DATA!A7868</f>
        <v>27AAAAA7868Z5</v>
      </c>
      <c r="B7868" t="str">
        <f>TEST_DATA!B7868</f>
        <v>Feb-2018</v>
      </c>
      <c r="C7868">
        <f>TEST_DATA!C7868</f>
        <v>44101</v>
      </c>
      <c r="D7868" t="str">
        <f>TEST_DATA!D7868</f>
        <v>NIL</v>
      </c>
      <c r="E7868">
        <f>TEST_DATA!E7868</f>
        <v>1156</v>
      </c>
    </row>
    <row r="7869" spans="1:5" x14ac:dyDescent="0.55000000000000004">
      <c r="A7869" t="str">
        <f>TEST_DATA!A7869</f>
        <v>27AAAAA7869Z5</v>
      </c>
      <c r="B7869" t="str">
        <f>TEST_DATA!B7869</f>
        <v>Dec-2017</v>
      </c>
      <c r="C7869">
        <f>TEST_DATA!C7869</f>
        <v>43711</v>
      </c>
      <c r="D7869" t="str">
        <f>TEST_DATA!D7869</f>
        <v>NON-NIL</v>
      </c>
      <c r="E7869">
        <f>TEST_DATA!E7869</f>
        <v>2701</v>
      </c>
    </row>
    <row r="7870" spans="1:5" x14ac:dyDescent="0.55000000000000004">
      <c r="A7870" t="str">
        <f>TEST_DATA!A7870</f>
        <v>27AAAAA7870Z5</v>
      </c>
      <c r="B7870" t="str">
        <f>TEST_DATA!B7870</f>
        <v>Nov-2017</v>
      </c>
      <c r="C7870">
        <f>TEST_DATA!C7870</f>
        <v>43110</v>
      </c>
      <c r="D7870" t="str">
        <f>TEST_DATA!D7870</f>
        <v>NON-NIL</v>
      </c>
      <c r="E7870">
        <f>TEST_DATA!E7870</f>
        <v>2868</v>
      </c>
    </row>
    <row r="7871" spans="1:5" x14ac:dyDescent="0.55000000000000004">
      <c r="A7871" t="str">
        <f>TEST_DATA!A7871</f>
        <v>27AAAAA7871Z5</v>
      </c>
      <c r="B7871" t="str">
        <f>TEST_DATA!B7871</f>
        <v>Jan-2019</v>
      </c>
      <c r="C7871">
        <f>TEST_DATA!C7871</f>
        <v>44838</v>
      </c>
      <c r="D7871" t="str">
        <f>TEST_DATA!D7871</f>
        <v>NIL</v>
      </c>
      <c r="E7871">
        <f>TEST_DATA!E7871</f>
        <v>272</v>
      </c>
    </row>
    <row r="7872" spans="1:5" x14ac:dyDescent="0.55000000000000004">
      <c r="A7872" t="str">
        <f>TEST_DATA!A7872</f>
        <v>27AAAAA7872Z5</v>
      </c>
      <c r="B7872" t="str">
        <f>TEST_DATA!B7872</f>
        <v>Jun-2020</v>
      </c>
      <c r="C7872">
        <f>TEST_DATA!C7872</f>
        <v>44507</v>
      </c>
      <c r="D7872" t="str">
        <f>TEST_DATA!D7872</f>
        <v>NON-NIL</v>
      </c>
      <c r="E7872">
        <f>TEST_DATA!E7872</f>
        <v>1742</v>
      </c>
    </row>
    <row r="7873" spans="1:5" x14ac:dyDescent="0.55000000000000004">
      <c r="A7873" t="str">
        <f>TEST_DATA!A7873</f>
        <v>27AAAAA7873Z5</v>
      </c>
      <c r="B7873" t="str">
        <f>TEST_DATA!B7873</f>
        <v>Aug-2018</v>
      </c>
      <c r="C7873">
        <f>TEST_DATA!C7873</f>
        <v>44039</v>
      </c>
      <c r="D7873" t="str">
        <f>TEST_DATA!D7873</f>
        <v>NON-NIL</v>
      </c>
      <c r="E7873">
        <f>TEST_DATA!E7873</f>
        <v>2477</v>
      </c>
    </row>
    <row r="7874" spans="1:5" x14ac:dyDescent="0.55000000000000004">
      <c r="A7874" t="str">
        <f>TEST_DATA!A7874</f>
        <v>27AAAAA7874Z5</v>
      </c>
      <c r="B7874" t="str">
        <f>TEST_DATA!B7874</f>
        <v>Mar-2023</v>
      </c>
      <c r="C7874">
        <f>TEST_DATA!C7874</f>
        <v>44318</v>
      </c>
      <c r="D7874" t="str">
        <f>TEST_DATA!D7874</f>
        <v>NIL</v>
      </c>
      <c r="E7874">
        <f>TEST_DATA!E7874</f>
        <v>829</v>
      </c>
    </row>
    <row r="7875" spans="1:5" x14ac:dyDescent="0.55000000000000004">
      <c r="A7875" t="str">
        <f>TEST_DATA!A7875</f>
        <v>27AAAAA7875Z5</v>
      </c>
      <c r="B7875" t="str">
        <f>TEST_DATA!B7875</f>
        <v>Jul-2017</v>
      </c>
      <c r="C7875">
        <f>TEST_DATA!C7875</f>
        <v>43227</v>
      </c>
      <c r="D7875" t="str">
        <f>TEST_DATA!D7875</f>
        <v>NON-NIL</v>
      </c>
      <c r="E7875">
        <f>TEST_DATA!E7875</f>
        <v>837</v>
      </c>
    </row>
    <row r="7876" spans="1:5" x14ac:dyDescent="0.55000000000000004">
      <c r="A7876" t="str">
        <f>TEST_DATA!A7876</f>
        <v>27AAAAA7876Z5</v>
      </c>
      <c r="B7876" t="str">
        <f>TEST_DATA!B7876</f>
        <v>Dec-2017</v>
      </c>
      <c r="C7876">
        <f>TEST_DATA!C7876</f>
        <v>43863</v>
      </c>
      <c r="D7876" t="str">
        <f>TEST_DATA!D7876</f>
        <v>NIL</v>
      </c>
      <c r="E7876">
        <f>TEST_DATA!E7876</f>
        <v>1961</v>
      </c>
    </row>
    <row r="7877" spans="1:5" x14ac:dyDescent="0.55000000000000004">
      <c r="A7877" t="str">
        <f>TEST_DATA!A7877</f>
        <v>27AAAAA7877Z5</v>
      </c>
      <c r="B7877" t="str">
        <f>TEST_DATA!B7877</f>
        <v>Mar-2021</v>
      </c>
      <c r="C7877">
        <f>TEST_DATA!C7877</f>
        <v>45039</v>
      </c>
      <c r="D7877" t="str">
        <f>TEST_DATA!D7877</f>
        <v>NON-NIL</v>
      </c>
      <c r="E7877">
        <f>TEST_DATA!E7877</f>
        <v>2426</v>
      </c>
    </row>
    <row r="7878" spans="1:5" x14ac:dyDescent="0.55000000000000004">
      <c r="A7878" t="str">
        <f>TEST_DATA!A7878</f>
        <v>27AAAAA7878Z5</v>
      </c>
      <c r="B7878" t="str">
        <f>TEST_DATA!B7878</f>
        <v>Dec-2019</v>
      </c>
      <c r="C7878">
        <f>TEST_DATA!C7878</f>
        <v>44375</v>
      </c>
      <c r="D7878" t="str">
        <f>TEST_DATA!D7878</f>
        <v>NON-NIL</v>
      </c>
      <c r="E7878">
        <f>TEST_DATA!E7878</f>
        <v>1297</v>
      </c>
    </row>
    <row r="7879" spans="1:5" x14ac:dyDescent="0.55000000000000004">
      <c r="A7879" t="str">
        <f>TEST_DATA!A7879</f>
        <v>27AAAAA7879Z5</v>
      </c>
      <c r="B7879" t="str">
        <f>TEST_DATA!B7879</f>
        <v>Sep-2017</v>
      </c>
      <c r="C7879">
        <f>TEST_DATA!C7879</f>
        <v>44223</v>
      </c>
      <c r="D7879" t="str">
        <f>TEST_DATA!D7879</f>
        <v>NON-NIL</v>
      </c>
      <c r="E7879">
        <f>TEST_DATA!E7879</f>
        <v>2908</v>
      </c>
    </row>
    <row r="7880" spans="1:5" x14ac:dyDescent="0.55000000000000004">
      <c r="A7880" t="str">
        <f>TEST_DATA!A7880</f>
        <v>27AAAAA7880Z5</v>
      </c>
      <c r="B7880" t="str">
        <f>TEST_DATA!B7880</f>
        <v>Aug-2017</v>
      </c>
      <c r="C7880">
        <f>TEST_DATA!C7880</f>
        <v>43254</v>
      </c>
      <c r="D7880" t="str">
        <f>TEST_DATA!D7880</f>
        <v>NON-NIL</v>
      </c>
      <c r="E7880">
        <f>TEST_DATA!E7880</f>
        <v>515</v>
      </c>
    </row>
    <row r="7881" spans="1:5" x14ac:dyDescent="0.55000000000000004">
      <c r="A7881" t="str">
        <f>TEST_DATA!A7881</f>
        <v>27AAAAA7881Z5</v>
      </c>
      <c r="B7881" t="str">
        <f>TEST_DATA!B7881</f>
        <v>Mar-2023</v>
      </c>
      <c r="C7881">
        <f>TEST_DATA!C7881</f>
        <v>45587</v>
      </c>
      <c r="D7881" t="str">
        <f>TEST_DATA!D7881</f>
        <v>NON-NIL</v>
      </c>
      <c r="E7881">
        <f>TEST_DATA!E7881</f>
        <v>1228</v>
      </c>
    </row>
    <row r="7882" spans="1:5" x14ac:dyDescent="0.55000000000000004">
      <c r="A7882" t="str">
        <f>TEST_DATA!A7882</f>
        <v>27AAAAA7882Z5</v>
      </c>
      <c r="B7882" t="str">
        <f>TEST_DATA!B7882</f>
        <v>Aug-2018</v>
      </c>
      <c r="C7882">
        <f>TEST_DATA!C7882</f>
        <v>43135</v>
      </c>
      <c r="D7882" t="str">
        <f>TEST_DATA!D7882</f>
        <v>NIL</v>
      </c>
      <c r="E7882">
        <f>TEST_DATA!E7882</f>
        <v>18</v>
      </c>
    </row>
    <row r="7883" spans="1:5" x14ac:dyDescent="0.55000000000000004">
      <c r="A7883" t="str">
        <f>TEST_DATA!A7883</f>
        <v>27AAAAA7883Z5</v>
      </c>
      <c r="B7883" t="str">
        <f>TEST_DATA!B7883</f>
        <v>Apr-2021</v>
      </c>
      <c r="C7883">
        <f>TEST_DATA!C7883</f>
        <v>45695</v>
      </c>
      <c r="D7883" t="str">
        <f>TEST_DATA!D7883</f>
        <v>NON-NIL</v>
      </c>
      <c r="E7883">
        <f>TEST_DATA!E7883</f>
        <v>780</v>
      </c>
    </row>
    <row r="7884" spans="1:5" x14ac:dyDescent="0.55000000000000004">
      <c r="A7884" t="str">
        <f>TEST_DATA!A7884</f>
        <v>27AAAAA7884Z5</v>
      </c>
      <c r="B7884" t="str">
        <f>TEST_DATA!B7884</f>
        <v>Jul-2017</v>
      </c>
      <c r="C7884">
        <f>TEST_DATA!C7884</f>
        <v>44013</v>
      </c>
      <c r="D7884" t="str">
        <f>TEST_DATA!D7884</f>
        <v>NON-NIL</v>
      </c>
      <c r="E7884">
        <f>TEST_DATA!E7884</f>
        <v>512</v>
      </c>
    </row>
    <row r="7885" spans="1:5" x14ac:dyDescent="0.55000000000000004">
      <c r="A7885" t="str">
        <f>TEST_DATA!A7885</f>
        <v>27AAAAA7885Z5</v>
      </c>
      <c r="B7885" t="str">
        <f>TEST_DATA!B7885</f>
        <v>Dec-2024</v>
      </c>
      <c r="C7885">
        <f>TEST_DATA!C7885</f>
        <v>43498</v>
      </c>
      <c r="D7885" t="str">
        <f>TEST_DATA!D7885</f>
        <v>NON-NIL</v>
      </c>
      <c r="E7885">
        <f>TEST_DATA!E7885</f>
        <v>916</v>
      </c>
    </row>
    <row r="7886" spans="1:5" x14ac:dyDescent="0.55000000000000004">
      <c r="A7886" t="str">
        <f>TEST_DATA!A7886</f>
        <v>27AAAAA7886Z5</v>
      </c>
      <c r="B7886" t="str">
        <f>TEST_DATA!B7886</f>
        <v>Dec-2019</v>
      </c>
      <c r="C7886">
        <f>TEST_DATA!C7886</f>
        <v>44149</v>
      </c>
      <c r="D7886" t="str">
        <f>TEST_DATA!D7886</f>
        <v>NON-NIL</v>
      </c>
      <c r="E7886">
        <f>TEST_DATA!E7886</f>
        <v>1946</v>
      </c>
    </row>
    <row r="7887" spans="1:5" x14ac:dyDescent="0.55000000000000004">
      <c r="A7887" t="str">
        <f>TEST_DATA!A7887</f>
        <v>27AAAAA7887Z5</v>
      </c>
      <c r="B7887" t="str">
        <f>TEST_DATA!B7887</f>
        <v>Jan-2019</v>
      </c>
      <c r="C7887">
        <f>TEST_DATA!C7887</f>
        <v>45333</v>
      </c>
      <c r="D7887" t="str">
        <f>TEST_DATA!D7887</f>
        <v>NIL</v>
      </c>
      <c r="E7887">
        <f>TEST_DATA!E7887</f>
        <v>495</v>
      </c>
    </row>
    <row r="7888" spans="1:5" x14ac:dyDescent="0.55000000000000004">
      <c r="A7888" t="str">
        <f>TEST_DATA!A7888</f>
        <v>27AAAAA7888Z5</v>
      </c>
      <c r="B7888" t="str">
        <f>TEST_DATA!B7888</f>
        <v>Dec-2024</v>
      </c>
      <c r="C7888">
        <f>TEST_DATA!C7888</f>
        <v>45519</v>
      </c>
      <c r="D7888" t="str">
        <f>TEST_DATA!D7888</f>
        <v>NON-NIL</v>
      </c>
      <c r="E7888">
        <f>TEST_DATA!E7888</f>
        <v>574</v>
      </c>
    </row>
    <row r="7889" spans="1:5" x14ac:dyDescent="0.55000000000000004">
      <c r="A7889" t="str">
        <f>TEST_DATA!A7889</f>
        <v>27AAAAA7889Z5</v>
      </c>
      <c r="B7889" t="str">
        <f>TEST_DATA!B7889</f>
        <v>May-2018</v>
      </c>
      <c r="C7889">
        <f>TEST_DATA!C7889</f>
        <v>43179</v>
      </c>
      <c r="D7889" t="str">
        <f>TEST_DATA!D7889</f>
        <v>NON-NIL</v>
      </c>
      <c r="E7889">
        <f>TEST_DATA!E7889</f>
        <v>2672</v>
      </c>
    </row>
    <row r="7890" spans="1:5" x14ac:dyDescent="0.55000000000000004">
      <c r="A7890" t="str">
        <f>TEST_DATA!A7890</f>
        <v>27AAAAA7890Z5</v>
      </c>
      <c r="B7890" t="str">
        <f>TEST_DATA!B7890</f>
        <v>Jun-2019</v>
      </c>
      <c r="C7890">
        <f>TEST_DATA!C7890</f>
        <v>45063</v>
      </c>
      <c r="D7890" t="str">
        <f>TEST_DATA!D7890</f>
        <v>NIL</v>
      </c>
      <c r="E7890">
        <f>TEST_DATA!E7890</f>
        <v>4</v>
      </c>
    </row>
    <row r="7891" spans="1:5" x14ac:dyDescent="0.55000000000000004">
      <c r="A7891" t="str">
        <f>TEST_DATA!A7891</f>
        <v>27AAAAA7891Z5</v>
      </c>
      <c r="B7891" t="str">
        <f>TEST_DATA!B7891</f>
        <v>Mar-2021</v>
      </c>
      <c r="C7891">
        <f>TEST_DATA!C7891</f>
        <v>43717</v>
      </c>
      <c r="D7891" t="str">
        <f>TEST_DATA!D7891</f>
        <v>NIL</v>
      </c>
      <c r="E7891">
        <f>TEST_DATA!E7891</f>
        <v>1812</v>
      </c>
    </row>
    <row r="7892" spans="1:5" x14ac:dyDescent="0.55000000000000004">
      <c r="A7892" t="str">
        <f>TEST_DATA!A7892</f>
        <v>27AAAAA7892Z5</v>
      </c>
      <c r="B7892" t="str">
        <f>TEST_DATA!B7892</f>
        <v>Sep-2017</v>
      </c>
      <c r="C7892">
        <f>TEST_DATA!C7892</f>
        <v>43216</v>
      </c>
      <c r="D7892" t="str">
        <f>TEST_DATA!D7892</f>
        <v>NIL</v>
      </c>
      <c r="E7892">
        <f>TEST_DATA!E7892</f>
        <v>196</v>
      </c>
    </row>
    <row r="7893" spans="1:5" x14ac:dyDescent="0.55000000000000004">
      <c r="A7893" t="str">
        <f>TEST_DATA!A7893</f>
        <v>27AAAAA7893Z5</v>
      </c>
      <c r="B7893" t="str">
        <f>TEST_DATA!B7893</f>
        <v>Dec-2022</v>
      </c>
      <c r="C7893">
        <f>TEST_DATA!C7893</f>
        <v>44045</v>
      </c>
      <c r="D7893" t="str">
        <f>TEST_DATA!D7893</f>
        <v>NON-NIL</v>
      </c>
      <c r="E7893">
        <f>TEST_DATA!E7893</f>
        <v>576</v>
      </c>
    </row>
    <row r="7894" spans="1:5" x14ac:dyDescent="0.55000000000000004">
      <c r="A7894" t="str">
        <f>TEST_DATA!A7894</f>
        <v>27AAAAA7894Z5</v>
      </c>
      <c r="B7894" t="str">
        <f>TEST_DATA!B7894</f>
        <v>Jan-2018</v>
      </c>
      <c r="C7894">
        <f>TEST_DATA!C7894</f>
        <v>43521</v>
      </c>
      <c r="D7894" t="str">
        <f>TEST_DATA!D7894</f>
        <v>NON-NIL</v>
      </c>
      <c r="E7894">
        <f>TEST_DATA!E7894</f>
        <v>2002</v>
      </c>
    </row>
    <row r="7895" spans="1:5" x14ac:dyDescent="0.55000000000000004">
      <c r="A7895" t="str">
        <f>TEST_DATA!A7895</f>
        <v>27AAAAA7895Z5</v>
      </c>
      <c r="B7895" t="str">
        <f>TEST_DATA!B7895</f>
        <v>Jan-2018</v>
      </c>
      <c r="C7895">
        <f>TEST_DATA!C7895</f>
        <v>44305</v>
      </c>
      <c r="D7895" t="str">
        <f>TEST_DATA!D7895</f>
        <v>NIL</v>
      </c>
      <c r="E7895">
        <f>TEST_DATA!E7895</f>
        <v>1428</v>
      </c>
    </row>
    <row r="7896" spans="1:5" x14ac:dyDescent="0.55000000000000004">
      <c r="A7896" t="str">
        <f>TEST_DATA!A7896</f>
        <v>27AAAAA7896Z5</v>
      </c>
      <c r="B7896" t="str">
        <f>TEST_DATA!B7896</f>
        <v>Jan-2021</v>
      </c>
      <c r="C7896">
        <f>TEST_DATA!C7896</f>
        <v>45446</v>
      </c>
      <c r="D7896" t="str">
        <f>TEST_DATA!D7896</f>
        <v>NON-NIL</v>
      </c>
      <c r="E7896">
        <f>TEST_DATA!E7896</f>
        <v>1923</v>
      </c>
    </row>
    <row r="7897" spans="1:5" x14ac:dyDescent="0.55000000000000004">
      <c r="A7897" t="str">
        <f>TEST_DATA!A7897</f>
        <v>27AAAAA7897Z5</v>
      </c>
      <c r="B7897" t="str">
        <f>TEST_DATA!B7897</f>
        <v>Oct-2017</v>
      </c>
      <c r="C7897">
        <f>TEST_DATA!C7897</f>
        <v>44468</v>
      </c>
      <c r="D7897" t="str">
        <f>TEST_DATA!D7897</f>
        <v>NON-NIL</v>
      </c>
      <c r="E7897">
        <f>TEST_DATA!E7897</f>
        <v>492</v>
      </c>
    </row>
    <row r="7898" spans="1:5" x14ac:dyDescent="0.55000000000000004">
      <c r="A7898" t="str">
        <f>TEST_DATA!A7898</f>
        <v>27AAAAA7898Z5</v>
      </c>
      <c r="B7898" t="str">
        <f>TEST_DATA!B7898</f>
        <v>Jun-2020</v>
      </c>
      <c r="C7898">
        <f>TEST_DATA!C7898</f>
        <v>44803</v>
      </c>
      <c r="D7898" t="str">
        <f>TEST_DATA!D7898</f>
        <v>NIL</v>
      </c>
      <c r="E7898">
        <f>TEST_DATA!E7898</f>
        <v>1540</v>
      </c>
    </row>
    <row r="7899" spans="1:5" x14ac:dyDescent="0.55000000000000004">
      <c r="A7899" t="str">
        <f>TEST_DATA!A7899</f>
        <v>27AAAAA7899Z5</v>
      </c>
      <c r="B7899" t="str">
        <f>TEST_DATA!B7899</f>
        <v>Jun-2018</v>
      </c>
      <c r="C7899">
        <f>TEST_DATA!C7899</f>
        <v>44370</v>
      </c>
      <c r="D7899" t="str">
        <f>TEST_DATA!D7899</f>
        <v>NON-NIL</v>
      </c>
      <c r="E7899">
        <f>TEST_DATA!E7899</f>
        <v>1433</v>
      </c>
    </row>
    <row r="7900" spans="1:5" x14ac:dyDescent="0.55000000000000004">
      <c r="A7900" t="str">
        <f>TEST_DATA!A7900</f>
        <v>27AAAAA7900Z5</v>
      </c>
      <c r="B7900" t="str">
        <f>TEST_DATA!B7900</f>
        <v>Mar-2021</v>
      </c>
      <c r="C7900">
        <f>TEST_DATA!C7900</f>
        <v>45099</v>
      </c>
      <c r="D7900" t="str">
        <f>TEST_DATA!D7900</f>
        <v>NON-NIL</v>
      </c>
      <c r="E7900">
        <f>TEST_DATA!E7900</f>
        <v>1864</v>
      </c>
    </row>
    <row r="7901" spans="1:5" x14ac:dyDescent="0.55000000000000004">
      <c r="A7901" t="str">
        <f>TEST_DATA!A7901</f>
        <v>27AAAAA7901Z5</v>
      </c>
      <c r="B7901" t="str">
        <f>TEST_DATA!B7901</f>
        <v>Aug-2018</v>
      </c>
      <c r="C7901">
        <f>TEST_DATA!C7901</f>
        <v>43523</v>
      </c>
      <c r="D7901" t="str">
        <f>TEST_DATA!D7901</f>
        <v>NIL</v>
      </c>
      <c r="E7901">
        <f>TEST_DATA!E7901</f>
        <v>2487</v>
      </c>
    </row>
    <row r="7902" spans="1:5" x14ac:dyDescent="0.55000000000000004">
      <c r="A7902" t="str">
        <f>TEST_DATA!A7902</f>
        <v>27AAAAA7902Z5</v>
      </c>
      <c r="B7902" t="str">
        <f>TEST_DATA!B7902</f>
        <v>Apr-2020</v>
      </c>
      <c r="C7902">
        <f>TEST_DATA!C7902</f>
        <v>44604</v>
      </c>
      <c r="D7902" t="str">
        <f>TEST_DATA!D7902</f>
        <v>NIL</v>
      </c>
      <c r="E7902">
        <f>TEST_DATA!E7902</f>
        <v>797</v>
      </c>
    </row>
    <row r="7903" spans="1:5" x14ac:dyDescent="0.55000000000000004">
      <c r="A7903" t="str">
        <f>TEST_DATA!A7903</f>
        <v>27AAAAA7903Z5</v>
      </c>
      <c r="B7903" t="str">
        <f>TEST_DATA!B7903</f>
        <v>Apr-2018</v>
      </c>
      <c r="C7903">
        <f>TEST_DATA!C7903</f>
        <v>44512</v>
      </c>
      <c r="D7903" t="str">
        <f>TEST_DATA!D7903</f>
        <v>NON-NIL</v>
      </c>
      <c r="E7903">
        <f>TEST_DATA!E7903</f>
        <v>65</v>
      </c>
    </row>
    <row r="7904" spans="1:5" x14ac:dyDescent="0.55000000000000004">
      <c r="A7904" t="str">
        <f>TEST_DATA!A7904</f>
        <v>27AAAAA7904Z5</v>
      </c>
      <c r="B7904" t="str">
        <f>TEST_DATA!B7904</f>
        <v>Jul-2017</v>
      </c>
      <c r="C7904">
        <f>TEST_DATA!C7904</f>
        <v>44176</v>
      </c>
      <c r="D7904" t="str">
        <f>TEST_DATA!D7904</f>
        <v>NON-NIL</v>
      </c>
      <c r="E7904">
        <f>TEST_DATA!E7904</f>
        <v>623</v>
      </c>
    </row>
    <row r="7905" spans="1:5" x14ac:dyDescent="0.55000000000000004">
      <c r="A7905" t="str">
        <f>TEST_DATA!A7905</f>
        <v>27AAAAA7905Z5</v>
      </c>
      <c r="B7905" t="str">
        <f>TEST_DATA!B7905</f>
        <v>Dec-2017</v>
      </c>
      <c r="C7905">
        <f>TEST_DATA!C7905</f>
        <v>43493</v>
      </c>
      <c r="D7905" t="str">
        <f>TEST_DATA!D7905</f>
        <v>NIL</v>
      </c>
      <c r="E7905">
        <f>TEST_DATA!E7905</f>
        <v>2762</v>
      </c>
    </row>
    <row r="7906" spans="1:5" x14ac:dyDescent="0.55000000000000004">
      <c r="A7906" t="str">
        <f>TEST_DATA!A7906</f>
        <v>27AAAAA7906Z5</v>
      </c>
      <c r="B7906" t="str">
        <f>TEST_DATA!B7906</f>
        <v>Jul-2018</v>
      </c>
      <c r="C7906">
        <f>TEST_DATA!C7906</f>
        <v>44314</v>
      </c>
      <c r="D7906" t="str">
        <f>TEST_DATA!D7906</f>
        <v>NON-NIL</v>
      </c>
      <c r="E7906">
        <f>TEST_DATA!E7906</f>
        <v>803</v>
      </c>
    </row>
    <row r="7907" spans="1:5" x14ac:dyDescent="0.55000000000000004">
      <c r="A7907" t="str">
        <f>TEST_DATA!A7907</f>
        <v>27AAAAA7907Z5</v>
      </c>
      <c r="B7907" t="str">
        <f>TEST_DATA!B7907</f>
        <v>Mar-2021</v>
      </c>
      <c r="C7907">
        <f>TEST_DATA!C7907</f>
        <v>45345</v>
      </c>
      <c r="D7907" t="str">
        <f>TEST_DATA!D7907</f>
        <v>NIL</v>
      </c>
      <c r="E7907">
        <f>TEST_DATA!E7907</f>
        <v>2844</v>
      </c>
    </row>
    <row r="7908" spans="1:5" x14ac:dyDescent="0.55000000000000004">
      <c r="A7908" t="str">
        <f>TEST_DATA!A7908</f>
        <v>27AAAAA7908Z5</v>
      </c>
      <c r="B7908" t="str">
        <f>TEST_DATA!B7908</f>
        <v>Dec-2017</v>
      </c>
      <c r="C7908">
        <f>TEST_DATA!C7908</f>
        <v>43177</v>
      </c>
      <c r="D7908" t="str">
        <f>TEST_DATA!D7908</f>
        <v>NIL</v>
      </c>
      <c r="E7908">
        <f>TEST_DATA!E7908</f>
        <v>2373</v>
      </c>
    </row>
    <row r="7909" spans="1:5" x14ac:dyDescent="0.55000000000000004">
      <c r="A7909" t="str">
        <f>TEST_DATA!A7909</f>
        <v>27AAAAA7909Z5</v>
      </c>
      <c r="B7909" t="str">
        <f>TEST_DATA!B7909</f>
        <v>Sep-2017</v>
      </c>
      <c r="C7909">
        <f>TEST_DATA!C7909</f>
        <v>44473</v>
      </c>
      <c r="D7909" t="str">
        <f>TEST_DATA!D7909</f>
        <v>NON-NIL</v>
      </c>
      <c r="E7909">
        <f>TEST_DATA!E7909</f>
        <v>998</v>
      </c>
    </row>
    <row r="7910" spans="1:5" x14ac:dyDescent="0.55000000000000004">
      <c r="A7910" t="str">
        <f>TEST_DATA!A7910</f>
        <v>27AAAAA7910Z5</v>
      </c>
      <c r="B7910" t="str">
        <f>TEST_DATA!B7910</f>
        <v>Apr-2020</v>
      </c>
      <c r="C7910">
        <f>TEST_DATA!C7910</f>
        <v>43858</v>
      </c>
      <c r="D7910" t="str">
        <f>TEST_DATA!D7910</f>
        <v>NON-NIL</v>
      </c>
      <c r="E7910">
        <f>TEST_DATA!E7910</f>
        <v>87</v>
      </c>
    </row>
    <row r="7911" spans="1:5" x14ac:dyDescent="0.55000000000000004">
      <c r="A7911" t="str">
        <f>TEST_DATA!A7911</f>
        <v>27AAAAA7911Z5</v>
      </c>
      <c r="B7911" t="str">
        <f>TEST_DATA!B7911</f>
        <v>Jun-2018</v>
      </c>
      <c r="C7911">
        <f>TEST_DATA!C7911</f>
        <v>44336</v>
      </c>
      <c r="D7911" t="str">
        <f>TEST_DATA!D7911</f>
        <v>NON-NIL</v>
      </c>
      <c r="E7911">
        <f>TEST_DATA!E7911</f>
        <v>1958</v>
      </c>
    </row>
    <row r="7912" spans="1:5" x14ac:dyDescent="0.55000000000000004">
      <c r="A7912" t="str">
        <f>TEST_DATA!A7912</f>
        <v>27AAAAA7912Z5</v>
      </c>
      <c r="B7912" t="str">
        <f>TEST_DATA!B7912</f>
        <v>Jun-2020</v>
      </c>
      <c r="C7912">
        <f>TEST_DATA!C7912</f>
        <v>44329</v>
      </c>
      <c r="D7912" t="str">
        <f>TEST_DATA!D7912</f>
        <v>NON-NIL</v>
      </c>
      <c r="E7912">
        <f>TEST_DATA!E7912</f>
        <v>205</v>
      </c>
    </row>
    <row r="7913" spans="1:5" x14ac:dyDescent="0.55000000000000004">
      <c r="A7913" t="str">
        <f>TEST_DATA!A7913</f>
        <v>27AAAAA7913Z5</v>
      </c>
      <c r="B7913" t="str">
        <f>TEST_DATA!B7913</f>
        <v>Mar-2021</v>
      </c>
      <c r="C7913">
        <f>TEST_DATA!C7913</f>
        <v>43933</v>
      </c>
      <c r="D7913" t="str">
        <f>TEST_DATA!D7913</f>
        <v>NON-NIL</v>
      </c>
      <c r="E7913">
        <f>TEST_DATA!E7913</f>
        <v>2018</v>
      </c>
    </row>
    <row r="7914" spans="1:5" x14ac:dyDescent="0.55000000000000004">
      <c r="A7914" t="str">
        <f>TEST_DATA!A7914</f>
        <v>27AAAAA7914Z5</v>
      </c>
      <c r="B7914" t="str">
        <f>TEST_DATA!B7914</f>
        <v>Apr-2021</v>
      </c>
      <c r="C7914">
        <f>TEST_DATA!C7914</f>
        <v>43934</v>
      </c>
      <c r="D7914" t="str">
        <f>TEST_DATA!D7914</f>
        <v>NIL</v>
      </c>
      <c r="E7914">
        <f>TEST_DATA!E7914</f>
        <v>1346</v>
      </c>
    </row>
    <row r="7915" spans="1:5" x14ac:dyDescent="0.55000000000000004">
      <c r="A7915" t="str">
        <f>TEST_DATA!A7915</f>
        <v>27AAAAA7915Z5</v>
      </c>
      <c r="B7915" t="str">
        <f>TEST_DATA!B7915</f>
        <v>Aug-2017</v>
      </c>
      <c r="C7915">
        <f>TEST_DATA!C7915</f>
        <v>44443</v>
      </c>
      <c r="D7915" t="str">
        <f>TEST_DATA!D7915</f>
        <v>NIL</v>
      </c>
      <c r="E7915">
        <f>TEST_DATA!E7915</f>
        <v>179</v>
      </c>
    </row>
    <row r="7916" spans="1:5" x14ac:dyDescent="0.55000000000000004">
      <c r="A7916" t="str">
        <f>TEST_DATA!A7916</f>
        <v>27AAAAA7916Z5</v>
      </c>
      <c r="B7916" t="str">
        <f>TEST_DATA!B7916</f>
        <v>Sep-2017</v>
      </c>
      <c r="C7916">
        <f>TEST_DATA!C7916</f>
        <v>43729</v>
      </c>
      <c r="D7916" t="str">
        <f>TEST_DATA!D7916</f>
        <v>NIL</v>
      </c>
      <c r="E7916">
        <f>TEST_DATA!E7916</f>
        <v>1716</v>
      </c>
    </row>
    <row r="7917" spans="1:5" x14ac:dyDescent="0.55000000000000004">
      <c r="A7917" t="str">
        <f>TEST_DATA!A7917</f>
        <v>27AAAAA7917Z5</v>
      </c>
      <c r="B7917" t="str">
        <f>TEST_DATA!B7917</f>
        <v>Jul-2017</v>
      </c>
      <c r="C7917">
        <f>TEST_DATA!C7917</f>
        <v>42979</v>
      </c>
      <c r="D7917" t="str">
        <f>TEST_DATA!D7917</f>
        <v>NIL</v>
      </c>
      <c r="E7917">
        <f>TEST_DATA!E7917</f>
        <v>551</v>
      </c>
    </row>
    <row r="7918" spans="1:5" x14ac:dyDescent="0.55000000000000004">
      <c r="A7918" t="str">
        <f>TEST_DATA!A7918</f>
        <v>27AAAAA7918Z5</v>
      </c>
      <c r="B7918" t="str">
        <f>TEST_DATA!B7918</f>
        <v>Jul-2018</v>
      </c>
      <c r="C7918">
        <f>TEST_DATA!C7918</f>
        <v>43631</v>
      </c>
      <c r="D7918" t="str">
        <f>TEST_DATA!D7918</f>
        <v>NIL</v>
      </c>
      <c r="E7918">
        <f>TEST_DATA!E7918</f>
        <v>2741</v>
      </c>
    </row>
    <row r="7919" spans="1:5" x14ac:dyDescent="0.55000000000000004">
      <c r="A7919" t="str">
        <f>TEST_DATA!A7919</f>
        <v>27AAAAA7919Z5</v>
      </c>
      <c r="B7919" t="str">
        <f>TEST_DATA!B7919</f>
        <v>Mar-2018</v>
      </c>
      <c r="C7919">
        <f>TEST_DATA!C7919</f>
        <v>43876</v>
      </c>
      <c r="D7919" t="str">
        <f>TEST_DATA!D7919</f>
        <v>NON-NIL</v>
      </c>
      <c r="E7919">
        <f>TEST_DATA!E7919</f>
        <v>2448</v>
      </c>
    </row>
    <row r="7920" spans="1:5" x14ac:dyDescent="0.55000000000000004">
      <c r="A7920" t="str">
        <f>TEST_DATA!A7920</f>
        <v>27AAAAA7920Z5</v>
      </c>
      <c r="B7920" t="str">
        <f>TEST_DATA!B7920</f>
        <v>Sep-2018</v>
      </c>
      <c r="C7920">
        <f>TEST_DATA!C7920</f>
        <v>44056</v>
      </c>
      <c r="D7920" t="str">
        <f>TEST_DATA!D7920</f>
        <v>NIL</v>
      </c>
      <c r="E7920">
        <f>TEST_DATA!E7920</f>
        <v>903</v>
      </c>
    </row>
    <row r="7921" spans="1:5" x14ac:dyDescent="0.55000000000000004">
      <c r="A7921" t="str">
        <f>TEST_DATA!A7921</f>
        <v>27AAAAA7921Z5</v>
      </c>
      <c r="B7921" t="str">
        <f>TEST_DATA!B7921</f>
        <v>May-2018</v>
      </c>
      <c r="C7921">
        <f>TEST_DATA!C7921</f>
        <v>43508</v>
      </c>
      <c r="D7921" t="str">
        <f>TEST_DATA!D7921</f>
        <v>NIL</v>
      </c>
      <c r="E7921">
        <f>TEST_DATA!E7921</f>
        <v>1467</v>
      </c>
    </row>
    <row r="7922" spans="1:5" x14ac:dyDescent="0.55000000000000004">
      <c r="A7922" t="str">
        <f>TEST_DATA!A7922</f>
        <v>27AAAAA7922Z5</v>
      </c>
      <c r="B7922" t="str">
        <f>TEST_DATA!B7922</f>
        <v>Jan-2019</v>
      </c>
      <c r="C7922">
        <f>TEST_DATA!C7922</f>
        <v>43831</v>
      </c>
      <c r="D7922" t="str">
        <f>TEST_DATA!D7922</f>
        <v>NIL</v>
      </c>
      <c r="E7922">
        <f>TEST_DATA!E7922</f>
        <v>441</v>
      </c>
    </row>
    <row r="7923" spans="1:5" x14ac:dyDescent="0.55000000000000004">
      <c r="A7923" t="str">
        <f>TEST_DATA!A7923</f>
        <v>27AAAAA7923Z5</v>
      </c>
      <c r="B7923" t="str">
        <f>TEST_DATA!B7923</f>
        <v>Apr-2018</v>
      </c>
      <c r="C7923">
        <f>TEST_DATA!C7923</f>
        <v>44085</v>
      </c>
      <c r="D7923" t="str">
        <f>TEST_DATA!D7923</f>
        <v>NON-NIL</v>
      </c>
      <c r="E7923">
        <f>TEST_DATA!E7923</f>
        <v>1933</v>
      </c>
    </row>
    <row r="7924" spans="1:5" x14ac:dyDescent="0.55000000000000004">
      <c r="A7924" t="str">
        <f>TEST_DATA!A7924</f>
        <v>27AAAAA7924Z5</v>
      </c>
      <c r="B7924" t="str">
        <f>TEST_DATA!B7924</f>
        <v>Mar-2020</v>
      </c>
      <c r="C7924">
        <f>TEST_DATA!C7924</f>
        <v>44017</v>
      </c>
      <c r="D7924" t="str">
        <f>TEST_DATA!D7924</f>
        <v>NON-NIL</v>
      </c>
      <c r="E7924">
        <f>TEST_DATA!E7924</f>
        <v>1574</v>
      </c>
    </row>
    <row r="7925" spans="1:5" x14ac:dyDescent="0.55000000000000004">
      <c r="A7925" t="str">
        <f>TEST_DATA!A7925</f>
        <v>27AAAAA7925Z5</v>
      </c>
      <c r="B7925" t="str">
        <f>TEST_DATA!B7925</f>
        <v>Feb-2018</v>
      </c>
      <c r="C7925">
        <f>TEST_DATA!C7925</f>
        <v>44372</v>
      </c>
      <c r="D7925" t="str">
        <f>TEST_DATA!D7925</f>
        <v>NON-NIL</v>
      </c>
      <c r="E7925">
        <f>TEST_DATA!E7925</f>
        <v>2595</v>
      </c>
    </row>
    <row r="7926" spans="1:5" x14ac:dyDescent="0.55000000000000004">
      <c r="A7926" t="str">
        <f>TEST_DATA!A7926</f>
        <v>27AAAAA7926Z5</v>
      </c>
      <c r="B7926" t="str">
        <f>TEST_DATA!B7926</f>
        <v>Jul-2018</v>
      </c>
      <c r="C7926">
        <f>TEST_DATA!C7926</f>
        <v>43497</v>
      </c>
      <c r="D7926" t="str">
        <f>TEST_DATA!D7926</f>
        <v>NIL</v>
      </c>
      <c r="E7926">
        <f>TEST_DATA!E7926</f>
        <v>638</v>
      </c>
    </row>
    <row r="7927" spans="1:5" x14ac:dyDescent="0.55000000000000004">
      <c r="A7927" t="str">
        <f>TEST_DATA!A7927</f>
        <v>27AAAAA7927Z5</v>
      </c>
      <c r="B7927" t="str">
        <f>TEST_DATA!B7927</f>
        <v>Jul-2017</v>
      </c>
      <c r="C7927">
        <f>TEST_DATA!C7927</f>
        <v>43342</v>
      </c>
      <c r="D7927" t="str">
        <f>TEST_DATA!D7927</f>
        <v>NIL</v>
      </c>
      <c r="E7927">
        <f>TEST_DATA!E7927</f>
        <v>2026</v>
      </c>
    </row>
    <row r="7928" spans="1:5" x14ac:dyDescent="0.55000000000000004">
      <c r="A7928" t="str">
        <f>TEST_DATA!A7928</f>
        <v>27AAAAA7928Z5</v>
      </c>
      <c r="B7928" t="str">
        <f>TEST_DATA!B7928</f>
        <v>Jul-2020</v>
      </c>
      <c r="C7928">
        <f>TEST_DATA!C7928</f>
        <v>44115</v>
      </c>
      <c r="D7928" t="str">
        <f>TEST_DATA!D7928</f>
        <v>NON-NIL</v>
      </c>
      <c r="E7928">
        <f>TEST_DATA!E7928</f>
        <v>1733</v>
      </c>
    </row>
    <row r="7929" spans="1:5" x14ac:dyDescent="0.55000000000000004">
      <c r="A7929" t="str">
        <f>TEST_DATA!A7929</f>
        <v>27AAAAA7929Z5</v>
      </c>
      <c r="B7929" t="str">
        <f>TEST_DATA!B7929</f>
        <v>Jun-2018</v>
      </c>
      <c r="C7929">
        <f>TEST_DATA!C7929</f>
        <v>43216</v>
      </c>
      <c r="D7929" t="str">
        <f>TEST_DATA!D7929</f>
        <v>NIL</v>
      </c>
      <c r="E7929">
        <f>TEST_DATA!E7929</f>
        <v>1271</v>
      </c>
    </row>
    <row r="7930" spans="1:5" x14ac:dyDescent="0.55000000000000004">
      <c r="A7930" t="str">
        <f>TEST_DATA!A7930</f>
        <v>27AAAAA7930Z5</v>
      </c>
      <c r="B7930" t="str">
        <f>TEST_DATA!B7930</f>
        <v>Jul-2018</v>
      </c>
      <c r="C7930">
        <f>TEST_DATA!C7930</f>
        <v>44020</v>
      </c>
      <c r="D7930" t="str">
        <f>TEST_DATA!D7930</f>
        <v>NON-NIL</v>
      </c>
      <c r="E7930">
        <f>TEST_DATA!E7930</f>
        <v>1080</v>
      </c>
    </row>
    <row r="7931" spans="1:5" x14ac:dyDescent="0.55000000000000004">
      <c r="A7931" t="str">
        <f>TEST_DATA!A7931</f>
        <v>27AAAAA7931Z5</v>
      </c>
      <c r="B7931" t="str">
        <f>TEST_DATA!B7931</f>
        <v>Mar-2023</v>
      </c>
      <c r="C7931">
        <f>TEST_DATA!C7931</f>
        <v>44147</v>
      </c>
      <c r="D7931" t="str">
        <f>TEST_DATA!D7931</f>
        <v>NON-NIL</v>
      </c>
      <c r="E7931">
        <f>TEST_DATA!E7931</f>
        <v>2743</v>
      </c>
    </row>
    <row r="7932" spans="1:5" x14ac:dyDescent="0.55000000000000004">
      <c r="A7932" t="str">
        <f>TEST_DATA!A7932</f>
        <v>27AAAAA7932Z5</v>
      </c>
      <c r="B7932" t="str">
        <f>TEST_DATA!B7932</f>
        <v>Nov-2017</v>
      </c>
      <c r="C7932">
        <f>TEST_DATA!C7932</f>
        <v>43511</v>
      </c>
      <c r="D7932" t="str">
        <f>TEST_DATA!D7932</f>
        <v>NIL</v>
      </c>
      <c r="E7932">
        <f>TEST_DATA!E7932</f>
        <v>161</v>
      </c>
    </row>
    <row r="7933" spans="1:5" x14ac:dyDescent="0.55000000000000004">
      <c r="A7933" t="str">
        <f>TEST_DATA!A7933</f>
        <v>27AAAAA7933Z5</v>
      </c>
      <c r="B7933" t="str">
        <f>TEST_DATA!B7933</f>
        <v>Apr-2021</v>
      </c>
      <c r="C7933">
        <f>TEST_DATA!C7933</f>
        <v>43606</v>
      </c>
      <c r="D7933" t="str">
        <f>TEST_DATA!D7933</f>
        <v>NIL</v>
      </c>
      <c r="E7933">
        <f>TEST_DATA!E7933</f>
        <v>85</v>
      </c>
    </row>
    <row r="7934" spans="1:5" x14ac:dyDescent="0.55000000000000004">
      <c r="A7934" t="str">
        <f>TEST_DATA!A7934</f>
        <v>27AAAAA7934Z5</v>
      </c>
      <c r="B7934" t="str">
        <f>TEST_DATA!B7934</f>
        <v>Dec-2019</v>
      </c>
      <c r="C7934">
        <f>TEST_DATA!C7934</f>
        <v>45068</v>
      </c>
      <c r="D7934" t="str">
        <f>TEST_DATA!D7934</f>
        <v>NIL</v>
      </c>
      <c r="E7934">
        <f>TEST_DATA!E7934</f>
        <v>353</v>
      </c>
    </row>
    <row r="7935" spans="1:5" x14ac:dyDescent="0.55000000000000004">
      <c r="A7935" t="str">
        <f>TEST_DATA!A7935</f>
        <v>27AAAAA7935Z5</v>
      </c>
      <c r="B7935" t="str">
        <f>TEST_DATA!B7935</f>
        <v>Apr-2018</v>
      </c>
      <c r="C7935">
        <f>TEST_DATA!C7935</f>
        <v>44282</v>
      </c>
      <c r="D7935" t="str">
        <f>TEST_DATA!D7935</f>
        <v>NON-NIL</v>
      </c>
      <c r="E7935">
        <f>TEST_DATA!E7935</f>
        <v>71</v>
      </c>
    </row>
    <row r="7936" spans="1:5" x14ac:dyDescent="0.55000000000000004">
      <c r="A7936" t="str">
        <f>TEST_DATA!A7936</f>
        <v>27AAAAA7936Z5</v>
      </c>
      <c r="B7936" t="str">
        <f>TEST_DATA!B7936</f>
        <v>May-2018</v>
      </c>
      <c r="C7936">
        <f>TEST_DATA!C7936</f>
        <v>43093</v>
      </c>
      <c r="D7936" t="str">
        <f>TEST_DATA!D7936</f>
        <v>NIL</v>
      </c>
      <c r="E7936">
        <f>TEST_DATA!E7936</f>
        <v>2291</v>
      </c>
    </row>
    <row r="7937" spans="1:5" x14ac:dyDescent="0.55000000000000004">
      <c r="A7937" t="str">
        <f>TEST_DATA!A7937</f>
        <v>27AAAAA7937Z5</v>
      </c>
      <c r="B7937" t="str">
        <f>TEST_DATA!B7937</f>
        <v>Mar-2021</v>
      </c>
      <c r="C7937">
        <f>TEST_DATA!C7937</f>
        <v>44850</v>
      </c>
      <c r="D7937" t="str">
        <f>TEST_DATA!D7937</f>
        <v>NON-NIL</v>
      </c>
      <c r="E7937">
        <f>TEST_DATA!E7937</f>
        <v>853</v>
      </c>
    </row>
    <row r="7938" spans="1:5" x14ac:dyDescent="0.55000000000000004">
      <c r="A7938" t="str">
        <f>TEST_DATA!A7938</f>
        <v>27AAAAA7938Z5</v>
      </c>
      <c r="B7938" t="str">
        <f>TEST_DATA!B7938</f>
        <v>Dec-2022</v>
      </c>
      <c r="C7938">
        <f>TEST_DATA!C7938</f>
        <v>44052</v>
      </c>
      <c r="D7938" t="str">
        <f>TEST_DATA!D7938</f>
        <v>NON-NIL</v>
      </c>
      <c r="E7938">
        <f>TEST_DATA!E7938</f>
        <v>469</v>
      </c>
    </row>
    <row r="7939" spans="1:5" x14ac:dyDescent="0.55000000000000004">
      <c r="A7939" t="str">
        <f>TEST_DATA!A7939</f>
        <v>27AAAAA7939Z5</v>
      </c>
      <c r="B7939" t="str">
        <f>TEST_DATA!B7939</f>
        <v>Jul-2018</v>
      </c>
      <c r="C7939">
        <f>TEST_DATA!C7939</f>
        <v>44251</v>
      </c>
      <c r="D7939" t="str">
        <f>TEST_DATA!D7939</f>
        <v>NIL</v>
      </c>
      <c r="E7939">
        <f>TEST_DATA!E7939</f>
        <v>2988</v>
      </c>
    </row>
    <row r="7940" spans="1:5" x14ac:dyDescent="0.55000000000000004">
      <c r="A7940" t="str">
        <f>TEST_DATA!A7940</f>
        <v>27AAAAA7940Z5</v>
      </c>
      <c r="B7940" t="str">
        <f>TEST_DATA!B7940</f>
        <v>Aug-2017</v>
      </c>
      <c r="C7940">
        <f>TEST_DATA!C7940</f>
        <v>44237</v>
      </c>
      <c r="D7940" t="str">
        <f>TEST_DATA!D7940</f>
        <v>NIL</v>
      </c>
      <c r="E7940">
        <f>TEST_DATA!E7940</f>
        <v>960</v>
      </c>
    </row>
    <row r="7941" spans="1:5" x14ac:dyDescent="0.55000000000000004">
      <c r="A7941" t="str">
        <f>TEST_DATA!A7941</f>
        <v>27AAAAA7941Z5</v>
      </c>
      <c r="B7941" t="str">
        <f>TEST_DATA!B7941</f>
        <v>May-2018</v>
      </c>
      <c r="C7941">
        <f>TEST_DATA!C7941</f>
        <v>43778</v>
      </c>
      <c r="D7941" t="str">
        <f>TEST_DATA!D7941</f>
        <v>NIL</v>
      </c>
      <c r="E7941">
        <f>TEST_DATA!E7941</f>
        <v>1562</v>
      </c>
    </row>
    <row r="7942" spans="1:5" x14ac:dyDescent="0.55000000000000004">
      <c r="A7942" t="str">
        <f>TEST_DATA!A7942</f>
        <v>27AAAAA7942Z5</v>
      </c>
      <c r="B7942" t="str">
        <f>TEST_DATA!B7942</f>
        <v>Apr-2020</v>
      </c>
      <c r="C7942">
        <f>TEST_DATA!C7942</f>
        <v>44242</v>
      </c>
      <c r="D7942" t="str">
        <f>TEST_DATA!D7942</f>
        <v>NIL</v>
      </c>
      <c r="E7942">
        <f>TEST_DATA!E7942</f>
        <v>366</v>
      </c>
    </row>
    <row r="7943" spans="1:5" x14ac:dyDescent="0.55000000000000004">
      <c r="A7943" t="str">
        <f>TEST_DATA!A7943</f>
        <v>27AAAAA7943Z5</v>
      </c>
      <c r="B7943" t="str">
        <f>TEST_DATA!B7943</f>
        <v>Aug-2017</v>
      </c>
      <c r="C7943">
        <f>TEST_DATA!C7943</f>
        <v>43033</v>
      </c>
      <c r="D7943" t="str">
        <f>TEST_DATA!D7943</f>
        <v>NIL</v>
      </c>
      <c r="E7943">
        <f>TEST_DATA!E7943</f>
        <v>2413</v>
      </c>
    </row>
    <row r="7944" spans="1:5" x14ac:dyDescent="0.55000000000000004">
      <c r="A7944" t="str">
        <f>TEST_DATA!A7944</f>
        <v>27AAAAA7944Z5</v>
      </c>
      <c r="B7944" t="str">
        <f>TEST_DATA!B7944</f>
        <v>Aug-2017</v>
      </c>
      <c r="C7944">
        <f>TEST_DATA!C7944</f>
        <v>43994</v>
      </c>
      <c r="D7944" t="str">
        <f>TEST_DATA!D7944</f>
        <v>NIL</v>
      </c>
      <c r="E7944">
        <f>TEST_DATA!E7944</f>
        <v>270</v>
      </c>
    </row>
    <row r="7945" spans="1:5" x14ac:dyDescent="0.55000000000000004">
      <c r="A7945" t="str">
        <f>TEST_DATA!A7945</f>
        <v>27AAAAA7945Z5</v>
      </c>
      <c r="B7945" t="str">
        <f>TEST_DATA!B7945</f>
        <v>Dec-2019</v>
      </c>
      <c r="C7945">
        <f>TEST_DATA!C7945</f>
        <v>45282</v>
      </c>
      <c r="D7945" t="str">
        <f>TEST_DATA!D7945</f>
        <v>NIL</v>
      </c>
      <c r="E7945">
        <f>TEST_DATA!E7945</f>
        <v>2978</v>
      </c>
    </row>
    <row r="7946" spans="1:5" x14ac:dyDescent="0.55000000000000004">
      <c r="A7946" t="str">
        <f>TEST_DATA!A7946</f>
        <v>27AAAAA7946Z5</v>
      </c>
      <c r="B7946" t="str">
        <f>TEST_DATA!B7946</f>
        <v>Jul-2017</v>
      </c>
      <c r="C7946">
        <f>TEST_DATA!C7946</f>
        <v>43551</v>
      </c>
      <c r="D7946" t="str">
        <f>TEST_DATA!D7946</f>
        <v>NIL</v>
      </c>
      <c r="E7946">
        <f>TEST_DATA!E7946</f>
        <v>710</v>
      </c>
    </row>
    <row r="7947" spans="1:5" x14ac:dyDescent="0.55000000000000004">
      <c r="A7947" t="str">
        <f>TEST_DATA!A7947</f>
        <v>27AAAAA7947Z5</v>
      </c>
      <c r="B7947" t="str">
        <f>TEST_DATA!B7947</f>
        <v>Jun-2019</v>
      </c>
      <c r="C7947">
        <f>TEST_DATA!C7947</f>
        <v>44410</v>
      </c>
      <c r="D7947" t="str">
        <f>TEST_DATA!D7947</f>
        <v>NON-NIL</v>
      </c>
      <c r="E7947">
        <f>TEST_DATA!E7947</f>
        <v>2863</v>
      </c>
    </row>
    <row r="7948" spans="1:5" x14ac:dyDescent="0.55000000000000004">
      <c r="A7948" t="str">
        <f>TEST_DATA!A7948</f>
        <v>27AAAAA7948Z5</v>
      </c>
      <c r="B7948" t="str">
        <f>TEST_DATA!B7948</f>
        <v>Mar-2018</v>
      </c>
      <c r="C7948">
        <f>TEST_DATA!C7948</f>
        <v>43049</v>
      </c>
      <c r="D7948" t="str">
        <f>TEST_DATA!D7948</f>
        <v>NON-NIL</v>
      </c>
      <c r="E7948">
        <f>TEST_DATA!E7948</f>
        <v>2227</v>
      </c>
    </row>
    <row r="7949" spans="1:5" x14ac:dyDescent="0.55000000000000004">
      <c r="A7949" t="str">
        <f>TEST_DATA!A7949</f>
        <v>27AAAAA7949Z5</v>
      </c>
      <c r="B7949" t="str">
        <f>TEST_DATA!B7949</f>
        <v>Dec-2024</v>
      </c>
      <c r="C7949">
        <f>TEST_DATA!C7949</f>
        <v>44202</v>
      </c>
      <c r="D7949" t="str">
        <f>TEST_DATA!D7949</f>
        <v>NIL</v>
      </c>
      <c r="E7949">
        <f>TEST_DATA!E7949</f>
        <v>2546</v>
      </c>
    </row>
    <row r="7950" spans="1:5" x14ac:dyDescent="0.55000000000000004">
      <c r="A7950" t="str">
        <f>TEST_DATA!A7950</f>
        <v>27AAAAA7950Z5</v>
      </c>
      <c r="B7950" t="str">
        <f>TEST_DATA!B7950</f>
        <v>Jan-2021</v>
      </c>
      <c r="C7950">
        <f>TEST_DATA!C7950</f>
        <v>44408</v>
      </c>
      <c r="D7950" t="str">
        <f>TEST_DATA!D7950</f>
        <v>NIL</v>
      </c>
      <c r="E7950">
        <f>TEST_DATA!E7950</f>
        <v>1075</v>
      </c>
    </row>
    <row r="7951" spans="1:5" x14ac:dyDescent="0.55000000000000004">
      <c r="A7951" t="str">
        <f>TEST_DATA!A7951</f>
        <v>27AAAAA7951Z5</v>
      </c>
      <c r="B7951" t="str">
        <f>TEST_DATA!B7951</f>
        <v>Jul-2020</v>
      </c>
      <c r="C7951">
        <f>TEST_DATA!C7951</f>
        <v>44282</v>
      </c>
      <c r="D7951" t="str">
        <f>TEST_DATA!D7951</f>
        <v>NON-NIL</v>
      </c>
      <c r="E7951">
        <f>TEST_DATA!E7951</f>
        <v>1708</v>
      </c>
    </row>
    <row r="7952" spans="1:5" x14ac:dyDescent="0.55000000000000004">
      <c r="A7952" t="str">
        <f>TEST_DATA!A7952</f>
        <v>27AAAAA7952Z5</v>
      </c>
      <c r="B7952" t="str">
        <f>TEST_DATA!B7952</f>
        <v>Aug-2018</v>
      </c>
      <c r="C7952">
        <f>TEST_DATA!C7952</f>
        <v>43098</v>
      </c>
      <c r="D7952" t="str">
        <f>TEST_DATA!D7952</f>
        <v>NIL</v>
      </c>
      <c r="E7952">
        <f>TEST_DATA!E7952</f>
        <v>1710</v>
      </c>
    </row>
    <row r="7953" spans="1:5" x14ac:dyDescent="0.55000000000000004">
      <c r="A7953" t="str">
        <f>TEST_DATA!A7953</f>
        <v>27AAAAA7953Z5</v>
      </c>
      <c r="B7953" t="str">
        <f>TEST_DATA!B7953</f>
        <v>Jul-2018</v>
      </c>
      <c r="C7953">
        <f>TEST_DATA!C7953</f>
        <v>43265</v>
      </c>
      <c r="D7953" t="str">
        <f>TEST_DATA!D7953</f>
        <v>NIL</v>
      </c>
      <c r="E7953">
        <f>TEST_DATA!E7953</f>
        <v>2096</v>
      </c>
    </row>
    <row r="7954" spans="1:5" x14ac:dyDescent="0.55000000000000004">
      <c r="A7954" t="str">
        <f>TEST_DATA!A7954</f>
        <v>27AAAAA7954Z5</v>
      </c>
      <c r="B7954" t="str">
        <f>TEST_DATA!B7954</f>
        <v>Apr-2021</v>
      </c>
      <c r="C7954">
        <f>TEST_DATA!C7954</f>
        <v>43803</v>
      </c>
      <c r="D7954" t="str">
        <f>TEST_DATA!D7954</f>
        <v>NIL</v>
      </c>
      <c r="E7954">
        <f>TEST_DATA!E7954</f>
        <v>561</v>
      </c>
    </row>
    <row r="7955" spans="1:5" x14ac:dyDescent="0.55000000000000004">
      <c r="A7955" t="str">
        <f>TEST_DATA!A7955</f>
        <v>27AAAAA7955Z5</v>
      </c>
      <c r="B7955" t="str">
        <f>TEST_DATA!B7955</f>
        <v>Jun-2020</v>
      </c>
      <c r="C7955">
        <f>TEST_DATA!C7955</f>
        <v>44709</v>
      </c>
      <c r="D7955" t="str">
        <f>TEST_DATA!D7955</f>
        <v>NIL</v>
      </c>
      <c r="E7955">
        <f>TEST_DATA!E7955</f>
        <v>1428</v>
      </c>
    </row>
    <row r="7956" spans="1:5" x14ac:dyDescent="0.55000000000000004">
      <c r="A7956" t="str">
        <f>TEST_DATA!A7956</f>
        <v>27AAAAA7956Z5</v>
      </c>
      <c r="B7956" t="str">
        <f>TEST_DATA!B7956</f>
        <v>Mar-2023</v>
      </c>
      <c r="C7956">
        <f>TEST_DATA!C7956</f>
        <v>45809</v>
      </c>
      <c r="D7956" t="str">
        <f>TEST_DATA!D7956</f>
        <v>NON-NIL</v>
      </c>
      <c r="E7956">
        <f>TEST_DATA!E7956</f>
        <v>1879</v>
      </c>
    </row>
    <row r="7957" spans="1:5" x14ac:dyDescent="0.55000000000000004">
      <c r="A7957" t="str">
        <f>TEST_DATA!A7957</f>
        <v>27AAAAA7957Z5</v>
      </c>
      <c r="B7957" t="str">
        <f>TEST_DATA!B7957</f>
        <v>Dec-2024</v>
      </c>
      <c r="C7957">
        <f>TEST_DATA!C7957</f>
        <v>44516</v>
      </c>
      <c r="D7957" t="str">
        <f>TEST_DATA!D7957</f>
        <v>NON-NIL</v>
      </c>
      <c r="E7957">
        <f>TEST_DATA!E7957</f>
        <v>15</v>
      </c>
    </row>
    <row r="7958" spans="1:5" x14ac:dyDescent="0.55000000000000004">
      <c r="A7958" t="str">
        <f>TEST_DATA!A7958</f>
        <v>27AAAAA7958Z5</v>
      </c>
      <c r="B7958" t="str">
        <f>TEST_DATA!B7958</f>
        <v>Mar-2023</v>
      </c>
      <c r="C7958">
        <f>TEST_DATA!C7958</f>
        <v>44889</v>
      </c>
      <c r="D7958" t="str">
        <f>TEST_DATA!D7958</f>
        <v>NIL</v>
      </c>
      <c r="E7958">
        <f>TEST_DATA!E7958</f>
        <v>301</v>
      </c>
    </row>
    <row r="7959" spans="1:5" x14ac:dyDescent="0.55000000000000004">
      <c r="A7959" t="str">
        <f>TEST_DATA!A7959</f>
        <v>27AAAAA7959Z5</v>
      </c>
      <c r="B7959" t="str">
        <f>TEST_DATA!B7959</f>
        <v>Dec-2022</v>
      </c>
      <c r="C7959">
        <f>TEST_DATA!C7959</f>
        <v>43827</v>
      </c>
      <c r="D7959" t="str">
        <f>TEST_DATA!D7959</f>
        <v>NIL</v>
      </c>
      <c r="E7959">
        <f>TEST_DATA!E7959</f>
        <v>1428</v>
      </c>
    </row>
    <row r="7960" spans="1:5" x14ac:dyDescent="0.55000000000000004">
      <c r="A7960" t="str">
        <f>TEST_DATA!A7960</f>
        <v>27AAAAA7960Z5</v>
      </c>
      <c r="B7960" t="str">
        <f>TEST_DATA!B7960</f>
        <v>Jun-2020</v>
      </c>
      <c r="C7960">
        <f>TEST_DATA!C7960</f>
        <v>44265</v>
      </c>
      <c r="D7960" t="str">
        <f>TEST_DATA!D7960</f>
        <v>NIL</v>
      </c>
      <c r="E7960">
        <f>TEST_DATA!E7960</f>
        <v>34</v>
      </c>
    </row>
    <row r="7961" spans="1:5" x14ac:dyDescent="0.55000000000000004">
      <c r="A7961" t="str">
        <f>TEST_DATA!A7961</f>
        <v>27AAAAA7961Z5</v>
      </c>
      <c r="B7961" t="str">
        <f>TEST_DATA!B7961</f>
        <v>Mar-2023</v>
      </c>
      <c r="C7961">
        <f>TEST_DATA!C7961</f>
        <v>45238</v>
      </c>
      <c r="D7961" t="str">
        <f>TEST_DATA!D7961</f>
        <v>NON-NIL</v>
      </c>
      <c r="E7961">
        <f>TEST_DATA!E7961</f>
        <v>830</v>
      </c>
    </row>
    <row r="7962" spans="1:5" x14ac:dyDescent="0.55000000000000004">
      <c r="A7962" t="str">
        <f>TEST_DATA!A7962</f>
        <v>27AAAAA7962Z5</v>
      </c>
      <c r="B7962" t="str">
        <f>TEST_DATA!B7962</f>
        <v>Apr-2020</v>
      </c>
      <c r="C7962">
        <f>TEST_DATA!C7962</f>
        <v>44748</v>
      </c>
      <c r="D7962" t="str">
        <f>TEST_DATA!D7962</f>
        <v>NON-NIL</v>
      </c>
      <c r="E7962">
        <f>TEST_DATA!E7962</f>
        <v>571</v>
      </c>
    </row>
    <row r="7963" spans="1:5" x14ac:dyDescent="0.55000000000000004">
      <c r="A7963" t="str">
        <f>TEST_DATA!A7963</f>
        <v>27AAAAA7963Z5</v>
      </c>
      <c r="B7963" t="str">
        <f>TEST_DATA!B7963</f>
        <v>Oct-2017</v>
      </c>
      <c r="C7963">
        <f>TEST_DATA!C7963</f>
        <v>44059</v>
      </c>
      <c r="D7963" t="str">
        <f>TEST_DATA!D7963</f>
        <v>NIL</v>
      </c>
      <c r="E7963">
        <f>TEST_DATA!E7963</f>
        <v>1263</v>
      </c>
    </row>
    <row r="7964" spans="1:5" x14ac:dyDescent="0.55000000000000004">
      <c r="A7964" t="str">
        <f>TEST_DATA!A7964</f>
        <v>27AAAAA7964Z5</v>
      </c>
      <c r="B7964" t="str">
        <f>TEST_DATA!B7964</f>
        <v>Nov-2017</v>
      </c>
      <c r="C7964">
        <f>TEST_DATA!C7964</f>
        <v>44283</v>
      </c>
      <c r="D7964" t="str">
        <f>TEST_DATA!D7964</f>
        <v>NON-NIL</v>
      </c>
      <c r="E7964">
        <f>TEST_DATA!E7964</f>
        <v>2483</v>
      </c>
    </row>
    <row r="7965" spans="1:5" x14ac:dyDescent="0.55000000000000004">
      <c r="A7965" t="str">
        <f>TEST_DATA!A7965</f>
        <v>27AAAAA7965Z5</v>
      </c>
      <c r="B7965" t="str">
        <f>TEST_DATA!B7965</f>
        <v>Feb-2018</v>
      </c>
      <c r="C7965">
        <f>TEST_DATA!C7965</f>
        <v>43888</v>
      </c>
      <c r="D7965" t="str">
        <f>TEST_DATA!D7965</f>
        <v>NON-NIL</v>
      </c>
      <c r="E7965">
        <f>TEST_DATA!E7965</f>
        <v>1458</v>
      </c>
    </row>
    <row r="7966" spans="1:5" x14ac:dyDescent="0.55000000000000004">
      <c r="A7966" t="str">
        <f>TEST_DATA!A7966</f>
        <v>27AAAAA7966Z5</v>
      </c>
      <c r="B7966" t="str">
        <f>TEST_DATA!B7966</f>
        <v>May-2020</v>
      </c>
      <c r="C7966">
        <f>TEST_DATA!C7966</f>
        <v>43889</v>
      </c>
      <c r="D7966" t="str">
        <f>TEST_DATA!D7966</f>
        <v>NIL</v>
      </c>
      <c r="E7966">
        <f>TEST_DATA!E7966</f>
        <v>1661</v>
      </c>
    </row>
    <row r="7967" spans="1:5" x14ac:dyDescent="0.55000000000000004">
      <c r="A7967" t="str">
        <f>TEST_DATA!A7967</f>
        <v>27AAAAA7967Z5</v>
      </c>
      <c r="B7967" t="str">
        <f>TEST_DATA!B7967</f>
        <v>Apr-2021</v>
      </c>
      <c r="C7967">
        <f>TEST_DATA!C7967</f>
        <v>45455</v>
      </c>
      <c r="D7967" t="str">
        <f>TEST_DATA!D7967</f>
        <v>NON-NIL</v>
      </c>
      <c r="E7967">
        <f>TEST_DATA!E7967</f>
        <v>1961</v>
      </c>
    </row>
    <row r="7968" spans="1:5" x14ac:dyDescent="0.55000000000000004">
      <c r="A7968" t="str">
        <f>TEST_DATA!A7968</f>
        <v>27AAAAA7968Z5</v>
      </c>
      <c r="B7968" t="str">
        <f>TEST_DATA!B7968</f>
        <v>Jul-2020</v>
      </c>
      <c r="C7968">
        <f>TEST_DATA!C7968</f>
        <v>44032</v>
      </c>
      <c r="D7968" t="str">
        <f>TEST_DATA!D7968</f>
        <v>NON-NIL</v>
      </c>
      <c r="E7968">
        <f>TEST_DATA!E7968</f>
        <v>1960</v>
      </c>
    </row>
    <row r="7969" spans="1:5" x14ac:dyDescent="0.55000000000000004">
      <c r="A7969" t="str">
        <f>TEST_DATA!A7969</f>
        <v>27AAAAA7969Z5</v>
      </c>
      <c r="B7969" t="str">
        <f>TEST_DATA!B7969</f>
        <v>Jul-2018</v>
      </c>
      <c r="C7969">
        <f>TEST_DATA!C7969</f>
        <v>43173</v>
      </c>
      <c r="D7969" t="str">
        <f>TEST_DATA!D7969</f>
        <v>NIL</v>
      </c>
      <c r="E7969">
        <f>TEST_DATA!E7969</f>
        <v>1675</v>
      </c>
    </row>
    <row r="7970" spans="1:5" x14ac:dyDescent="0.55000000000000004">
      <c r="A7970" t="str">
        <f>TEST_DATA!A7970</f>
        <v>27AAAAA7970Z5</v>
      </c>
      <c r="B7970" t="str">
        <f>TEST_DATA!B7970</f>
        <v>Feb-2018</v>
      </c>
      <c r="C7970">
        <f>TEST_DATA!C7970</f>
        <v>43802</v>
      </c>
      <c r="D7970" t="str">
        <f>TEST_DATA!D7970</f>
        <v>NON-NIL</v>
      </c>
      <c r="E7970">
        <f>TEST_DATA!E7970</f>
        <v>100</v>
      </c>
    </row>
    <row r="7971" spans="1:5" x14ac:dyDescent="0.55000000000000004">
      <c r="A7971" t="str">
        <f>TEST_DATA!A7971</f>
        <v>27AAAAA7971Z5</v>
      </c>
      <c r="B7971" t="str">
        <f>TEST_DATA!B7971</f>
        <v>Sep-2017</v>
      </c>
      <c r="C7971">
        <f>TEST_DATA!C7971</f>
        <v>44409</v>
      </c>
      <c r="D7971" t="str">
        <f>TEST_DATA!D7971</f>
        <v>NON-NIL</v>
      </c>
      <c r="E7971">
        <f>TEST_DATA!E7971</f>
        <v>2620</v>
      </c>
    </row>
    <row r="7972" spans="1:5" x14ac:dyDescent="0.55000000000000004">
      <c r="A7972" t="str">
        <f>TEST_DATA!A7972</f>
        <v>27AAAAA7972Z5</v>
      </c>
      <c r="B7972" t="str">
        <f>TEST_DATA!B7972</f>
        <v>Dec-2017</v>
      </c>
      <c r="C7972">
        <f>TEST_DATA!C7972</f>
        <v>43858</v>
      </c>
      <c r="D7972" t="str">
        <f>TEST_DATA!D7972</f>
        <v>NON-NIL</v>
      </c>
      <c r="E7972">
        <f>TEST_DATA!E7972</f>
        <v>704</v>
      </c>
    </row>
    <row r="7973" spans="1:5" x14ac:dyDescent="0.55000000000000004">
      <c r="A7973" t="str">
        <f>TEST_DATA!A7973</f>
        <v>27AAAAA7973Z5</v>
      </c>
      <c r="B7973" t="str">
        <f>TEST_DATA!B7973</f>
        <v>Mar-2020</v>
      </c>
      <c r="C7973">
        <f>TEST_DATA!C7973</f>
        <v>44156</v>
      </c>
      <c r="D7973" t="str">
        <f>TEST_DATA!D7973</f>
        <v>NIL</v>
      </c>
      <c r="E7973">
        <f>TEST_DATA!E7973</f>
        <v>1741</v>
      </c>
    </row>
    <row r="7974" spans="1:5" x14ac:dyDescent="0.55000000000000004">
      <c r="A7974" t="str">
        <f>TEST_DATA!A7974</f>
        <v>27AAAAA7974Z5</v>
      </c>
      <c r="B7974" t="str">
        <f>TEST_DATA!B7974</f>
        <v>Aug-2018</v>
      </c>
      <c r="C7974">
        <f>TEST_DATA!C7974</f>
        <v>43807</v>
      </c>
      <c r="D7974" t="str">
        <f>TEST_DATA!D7974</f>
        <v>NON-NIL</v>
      </c>
      <c r="E7974">
        <f>TEST_DATA!E7974</f>
        <v>2108</v>
      </c>
    </row>
    <row r="7975" spans="1:5" x14ac:dyDescent="0.55000000000000004">
      <c r="A7975" t="str">
        <f>TEST_DATA!A7975</f>
        <v>27AAAAA7975Z5</v>
      </c>
      <c r="B7975" t="str">
        <f>TEST_DATA!B7975</f>
        <v>Dec-2022</v>
      </c>
      <c r="C7975">
        <f>TEST_DATA!C7975</f>
        <v>45574</v>
      </c>
      <c r="D7975" t="str">
        <f>TEST_DATA!D7975</f>
        <v>NIL</v>
      </c>
      <c r="E7975">
        <f>TEST_DATA!E7975</f>
        <v>2334</v>
      </c>
    </row>
    <row r="7976" spans="1:5" x14ac:dyDescent="0.55000000000000004">
      <c r="A7976" t="str">
        <f>TEST_DATA!A7976</f>
        <v>27AAAAA7976Z5</v>
      </c>
      <c r="B7976" t="str">
        <f>TEST_DATA!B7976</f>
        <v>Jul-2020</v>
      </c>
      <c r="C7976">
        <f>TEST_DATA!C7976</f>
        <v>44229</v>
      </c>
      <c r="D7976" t="str">
        <f>TEST_DATA!D7976</f>
        <v>NON-NIL</v>
      </c>
      <c r="E7976">
        <f>TEST_DATA!E7976</f>
        <v>2636</v>
      </c>
    </row>
    <row r="7977" spans="1:5" x14ac:dyDescent="0.55000000000000004">
      <c r="A7977" t="str">
        <f>TEST_DATA!A7977</f>
        <v>27AAAAA7977Z5</v>
      </c>
      <c r="B7977" t="str">
        <f>TEST_DATA!B7977</f>
        <v>Jul-2018</v>
      </c>
      <c r="C7977">
        <f>TEST_DATA!C7977</f>
        <v>43092</v>
      </c>
      <c r="D7977" t="str">
        <f>TEST_DATA!D7977</f>
        <v>NON-NIL</v>
      </c>
      <c r="E7977">
        <f>TEST_DATA!E7977</f>
        <v>1330</v>
      </c>
    </row>
    <row r="7978" spans="1:5" x14ac:dyDescent="0.55000000000000004">
      <c r="A7978" t="str">
        <f>TEST_DATA!A7978</f>
        <v>27AAAAA7978Z5</v>
      </c>
      <c r="B7978" t="str">
        <f>TEST_DATA!B7978</f>
        <v>Dec-2017</v>
      </c>
      <c r="C7978">
        <f>TEST_DATA!C7978</f>
        <v>43300</v>
      </c>
      <c r="D7978" t="str">
        <f>TEST_DATA!D7978</f>
        <v>NIL</v>
      </c>
      <c r="E7978">
        <f>TEST_DATA!E7978</f>
        <v>1899</v>
      </c>
    </row>
    <row r="7979" spans="1:5" x14ac:dyDescent="0.55000000000000004">
      <c r="A7979" t="str">
        <f>TEST_DATA!A7979</f>
        <v>27AAAAA7979Z5</v>
      </c>
      <c r="B7979" t="str">
        <f>TEST_DATA!B7979</f>
        <v>Apr-2018</v>
      </c>
      <c r="C7979">
        <f>TEST_DATA!C7979</f>
        <v>44106</v>
      </c>
      <c r="D7979" t="str">
        <f>TEST_DATA!D7979</f>
        <v>NIL</v>
      </c>
      <c r="E7979">
        <f>TEST_DATA!E7979</f>
        <v>1302</v>
      </c>
    </row>
    <row r="7980" spans="1:5" x14ac:dyDescent="0.55000000000000004">
      <c r="A7980" t="str">
        <f>TEST_DATA!A7980</f>
        <v>27AAAAA7980Z5</v>
      </c>
      <c r="B7980" t="str">
        <f>TEST_DATA!B7980</f>
        <v>Mar-2020</v>
      </c>
      <c r="C7980">
        <f>TEST_DATA!C7980</f>
        <v>44048</v>
      </c>
      <c r="D7980" t="str">
        <f>TEST_DATA!D7980</f>
        <v>NIL</v>
      </c>
      <c r="E7980">
        <f>TEST_DATA!E7980</f>
        <v>1324</v>
      </c>
    </row>
    <row r="7981" spans="1:5" x14ac:dyDescent="0.55000000000000004">
      <c r="A7981" t="str">
        <f>TEST_DATA!A7981</f>
        <v>27AAAAA7981Z5</v>
      </c>
      <c r="B7981" t="str">
        <f>TEST_DATA!B7981</f>
        <v>May-2018</v>
      </c>
      <c r="C7981">
        <f>TEST_DATA!C7981</f>
        <v>44191</v>
      </c>
      <c r="D7981" t="str">
        <f>TEST_DATA!D7981</f>
        <v>NON-NIL</v>
      </c>
      <c r="E7981">
        <f>TEST_DATA!E7981</f>
        <v>1967</v>
      </c>
    </row>
    <row r="7982" spans="1:5" x14ac:dyDescent="0.55000000000000004">
      <c r="A7982" t="str">
        <f>TEST_DATA!A7982</f>
        <v>27AAAAA7982Z5</v>
      </c>
      <c r="B7982" t="str">
        <f>TEST_DATA!B7982</f>
        <v>Sep-2018</v>
      </c>
      <c r="C7982">
        <f>TEST_DATA!C7982</f>
        <v>43228</v>
      </c>
      <c r="D7982" t="str">
        <f>TEST_DATA!D7982</f>
        <v>NON-NIL</v>
      </c>
      <c r="E7982">
        <f>TEST_DATA!E7982</f>
        <v>1321</v>
      </c>
    </row>
    <row r="7983" spans="1:5" x14ac:dyDescent="0.55000000000000004">
      <c r="A7983" t="str">
        <f>TEST_DATA!A7983</f>
        <v>27AAAAA7983Z5</v>
      </c>
      <c r="B7983" t="str">
        <f>TEST_DATA!B7983</f>
        <v>Apr-2020</v>
      </c>
      <c r="C7983">
        <f>TEST_DATA!C7983</f>
        <v>44846</v>
      </c>
      <c r="D7983" t="str">
        <f>TEST_DATA!D7983</f>
        <v>NON-NIL</v>
      </c>
      <c r="E7983">
        <f>TEST_DATA!E7983</f>
        <v>1213</v>
      </c>
    </row>
    <row r="7984" spans="1:5" x14ac:dyDescent="0.55000000000000004">
      <c r="A7984" t="str">
        <f>TEST_DATA!A7984</f>
        <v>27AAAAA7984Z5</v>
      </c>
      <c r="B7984" t="str">
        <f>TEST_DATA!B7984</f>
        <v>Jul-2017</v>
      </c>
      <c r="C7984">
        <f>TEST_DATA!C7984</f>
        <v>44041</v>
      </c>
      <c r="D7984" t="str">
        <f>TEST_DATA!D7984</f>
        <v>NIL</v>
      </c>
      <c r="E7984">
        <f>TEST_DATA!E7984</f>
        <v>2281</v>
      </c>
    </row>
    <row r="7985" spans="1:5" x14ac:dyDescent="0.55000000000000004">
      <c r="A7985" t="str">
        <f>TEST_DATA!A7985</f>
        <v>27AAAAA7985Z5</v>
      </c>
      <c r="B7985" t="str">
        <f>TEST_DATA!B7985</f>
        <v>Jun-2018</v>
      </c>
      <c r="C7985">
        <f>TEST_DATA!C7985</f>
        <v>44436</v>
      </c>
      <c r="D7985" t="str">
        <f>TEST_DATA!D7985</f>
        <v>NIL</v>
      </c>
      <c r="E7985">
        <f>TEST_DATA!E7985</f>
        <v>1298</v>
      </c>
    </row>
    <row r="7986" spans="1:5" x14ac:dyDescent="0.55000000000000004">
      <c r="A7986" t="str">
        <f>TEST_DATA!A7986</f>
        <v>27AAAAA7986Z5</v>
      </c>
      <c r="B7986" t="str">
        <f>TEST_DATA!B7986</f>
        <v>Jul-2017</v>
      </c>
      <c r="C7986">
        <f>TEST_DATA!C7986</f>
        <v>43065</v>
      </c>
      <c r="D7986" t="str">
        <f>TEST_DATA!D7986</f>
        <v>NON-NIL</v>
      </c>
      <c r="E7986">
        <f>TEST_DATA!E7986</f>
        <v>511</v>
      </c>
    </row>
    <row r="7987" spans="1:5" x14ac:dyDescent="0.55000000000000004">
      <c r="A7987" t="str">
        <f>TEST_DATA!A7987</f>
        <v>27AAAAA7987Z5</v>
      </c>
      <c r="B7987" t="str">
        <f>TEST_DATA!B7987</f>
        <v>Mar-2021</v>
      </c>
      <c r="C7987">
        <f>TEST_DATA!C7987</f>
        <v>45271</v>
      </c>
      <c r="D7987" t="str">
        <f>TEST_DATA!D7987</f>
        <v>NIL</v>
      </c>
      <c r="E7987">
        <f>TEST_DATA!E7987</f>
        <v>1587</v>
      </c>
    </row>
    <row r="7988" spans="1:5" x14ac:dyDescent="0.55000000000000004">
      <c r="A7988" t="str">
        <f>TEST_DATA!A7988</f>
        <v>27AAAAA7988Z5</v>
      </c>
      <c r="B7988" t="str">
        <f>TEST_DATA!B7988</f>
        <v>May-2018</v>
      </c>
      <c r="C7988">
        <f>TEST_DATA!C7988</f>
        <v>43905</v>
      </c>
      <c r="D7988" t="str">
        <f>TEST_DATA!D7988</f>
        <v>NIL</v>
      </c>
      <c r="E7988">
        <f>TEST_DATA!E7988</f>
        <v>2341</v>
      </c>
    </row>
    <row r="7989" spans="1:5" x14ac:dyDescent="0.55000000000000004">
      <c r="A7989" t="str">
        <f>TEST_DATA!A7989</f>
        <v>27AAAAA7989Z5</v>
      </c>
      <c r="B7989" t="str">
        <f>TEST_DATA!B7989</f>
        <v>Sep-2017</v>
      </c>
      <c r="C7989">
        <f>TEST_DATA!C7989</f>
        <v>43201</v>
      </c>
      <c r="D7989" t="str">
        <f>TEST_DATA!D7989</f>
        <v>NON-NIL</v>
      </c>
      <c r="E7989">
        <f>TEST_DATA!E7989</f>
        <v>1623</v>
      </c>
    </row>
    <row r="7990" spans="1:5" x14ac:dyDescent="0.55000000000000004">
      <c r="A7990" t="str">
        <f>TEST_DATA!A7990</f>
        <v>27AAAAA7990Z5</v>
      </c>
      <c r="B7990" t="str">
        <f>TEST_DATA!B7990</f>
        <v>Jun-2018</v>
      </c>
      <c r="C7990">
        <f>TEST_DATA!C7990</f>
        <v>44558</v>
      </c>
      <c r="D7990" t="str">
        <f>TEST_DATA!D7990</f>
        <v>NIL</v>
      </c>
      <c r="E7990">
        <f>TEST_DATA!E7990</f>
        <v>2188</v>
      </c>
    </row>
    <row r="7991" spans="1:5" x14ac:dyDescent="0.55000000000000004">
      <c r="A7991" t="str">
        <f>TEST_DATA!A7991</f>
        <v>27AAAAA7991Z5</v>
      </c>
      <c r="B7991" t="str">
        <f>TEST_DATA!B7991</f>
        <v>Dec-2019</v>
      </c>
      <c r="C7991">
        <f>TEST_DATA!C7991</f>
        <v>45273</v>
      </c>
      <c r="D7991" t="str">
        <f>TEST_DATA!D7991</f>
        <v>NIL</v>
      </c>
      <c r="E7991">
        <f>TEST_DATA!E7991</f>
        <v>2655</v>
      </c>
    </row>
    <row r="7992" spans="1:5" x14ac:dyDescent="0.55000000000000004">
      <c r="A7992" t="str">
        <f>TEST_DATA!A7992</f>
        <v>27AAAAA7992Z5</v>
      </c>
      <c r="B7992" t="str">
        <f>TEST_DATA!B7992</f>
        <v>Oct-2017</v>
      </c>
      <c r="C7992">
        <f>TEST_DATA!C7992</f>
        <v>43548</v>
      </c>
      <c r="D7992" t="str">
        <f>TEST_DATA!D7992</f>
        <v>NON-NIL</v>
      </c>
      <c r="E7992">
        <f>TEST_DATA!E7992</f>
        <v>161</v>
      </c>
    </row>
    <row r="7993" spans="1:5" x14ac:dyDescent="0.55000000000000004">
      <c r="A7993" t="str">
        <f>TEST_DATA!A7993</f>
        <v>27AAAAA7993Z5</v>
      </c>
      <c r="B7993" t="str">
        <f>TEST_DATA!B7993</f>
        <v>Aug-2017</v>
      </c>
      <c r="C7993">
        <f>TEST_DATA!C7993</f>
        <v>44251</v>
      </c>
      <c r="D7993" t="str">
        <f>TEST_DATA!D7993</f>
        <v>NON-NIL</v>
      </c>
      <c r="E7993">
        <f>TEST_DATA!E7993</f>
        <v>178</v>
      </c>
    </row>
    <row r="7994" spans="1:5" x14ac:dyDescent="0.55000000000000004">
      <c r="A7994" t="str">
        <f>TEST_DATA!A7994</f>
        <v>27AAAAA7994Z5</v>
      </c>
      <c r="B7994" t="str">
        <f>TEST_DATA!B7994</f>
        <v>Jul-2017</v>
      </c>
      <c r="C7994">
        <f>TEST_DATA!C7994</f>
        <v>44388</v>
      </c>
      <c r="D7994" t="str">
        <f>TEST_DATA!D7994</f>
        <v>NIL</v>
      </c>
      <c r="E7994">
        <f>TEST_DATA!E7994</f>
        <v>1072</v>
      </c>
    </row>
    <row r="7995" spans="1:5" x14ac:dyDescent="0.55000000000000004">
      <c r="A7995" t="str">
        <f>TEST_DATA!A7995</f>
        <v>27AAAAA7995Z5</v>
      </c>
      <c r="B7995" t="str">
        <f>TEST_DATA!B7995</f>
        <v>Mar-2018</v>
      </c>
      <c r="C7995">
        <f>TEST_DATA!C7995</f>
        <v>44134</v>
      </c>
      <c r="D7995" t="str">
        <f>TEST_DATA!D7995</f>
        <v>NIL</v>
      </c>
      <c r="E7995">
        <f>TEST_DATA!E7995</f>
        <v>2141</v>
      </c>
    </row>
    <row r="7996" spans="1:5" x14ac:dyDescent="0.55000000000000004">
      <c r="A7996" t="str">
        <f>TEST_DATA!A7996</f>
        <v>27AAAAA7996Z5</v>
      </c>
      <c r="B7996" t="str">
        <f>TEST_DATA!B7996</f>
        <v>Sep-2018</v>
      </c>
      <c r="C7996">
        <f>TEST_DATA!C7996</f>
        <v>44066</v>
      </c>
      <c r="D7996" t="str">
        <f>TEST_DATA!D7996</f>
        <v>NON-NIL</v>
      </c>
      <c r="E7996">
        <f>TEST_DATA!E7996</f>
        <v>1431</v>
      </c>
    </row>
    <row r="7997" spans="1:5" x14ac:dyDescent="0.55000000000000004">
      <c r="A7997" t="str">
        <f>TEST_DATA!A7997</f>
        <v>27AAAAA7997Z5</v>
      </c>
      <c r="B7997" t="str">
        <f>TEST_DATA!B7997</f>
        <v>May-2020</v>
      </c>
      <c r="C7997">
        <f>TEST_DATA!C7997</f>
        <v>44779</v>
      </c>
      <c r="D7997" t="str">
        <f>TEST_DATA!D7997</f>
        <v>NIL</v>
      </c>
      <c r="E7997">
        <f>TEST_DATA!E7997</f>
        <v>2565</v>
      </c>
    </row>
    <row r="7998" spans="1:5" x14ac:dyDescent="0.55000000000000004">
      <c r="A7998" t="str">
        <f>TEST_DATA!A7998</f>
        <v>27AAAAA7998Z5</v>
      </c>
      <c r="B7998" t="str">
        <f>TEST_DATA!B7998</f>
        <v>Feb-2018</v>
      </c>
      <c r="C7998">
        <f>TEST_DATA!C7998</f>
        <v>44232</v>
      </c>
      <c r="D7998" t="str">
        <f>TEST_DATA!D7998</f>
        <v>NIL</v>
      </c>
      <c r="E7998">
        <f>TEST_DATA!E7998</f>
        <v>578</v>
      </c>
    </row>
    <row r="7999" spans="1:5" x14ac:dyDescent="0.55000000000000004">
      <c r="A7999" t="str">
        <f>TEST_DATA!A7999</f>
        <v>27AAAAA7999Z5</v>
      </c>
      <c r="B7999" t="str">
        <f>TEST_DATA!B7999</f>
        <v>Mar-2020</v>
      </c>
      <c r="C7999">
        <f>TEST_DATA!C7999</f>
        <v>44232</v>
      </c>
      <c r="D7999" t="str">
        <f>TEST_DATA!D7999</f>
        <v>NIL</v>
      </c>
      <c r="E7999">
        <f>TEST_DATA!E7999</f>
        <v>505</v>
      </c>
    </row>
    <row r="8000" spans="1:5" x14ac:dyDescent="0.55000000000000004">
      <c r="A8000" t="str">
        <f>TEST_DATA!A8000</f>
        <v>27AAAAA8000Z5</v>
      </c>
      <c r="B8000" t="str">
        <f>TEST_DATA!B8000</f>
        <v>Oct-2017</v>
      </c>
      <c r="C8000">
        <f>TEST_DATA!C8000</f>
        <v>44414</v>
      </c>
      <c r="D8000" t="str">
        <f>TEST_DATA!D8000</f>
        <v>NIL</v>
      </c>
      <c r="E8000">
        <f>TEST_DATA!E8000</f>
        <v>1392</v>
      </c>
    </row>
    <row r="8001" spans="1:5" x14ac:dyDescent="0.55000000000000004">
      <c r="A8001" t="str">
        <f>TEST_DATA!A8001</f>
        <v>27AAAAA8001Z5</v>
      </c>
      <c r="B8001" t="str">
        <f>TEST_DATA!B8001</f>
        <v>May-2020</v>
      </c>
      <c r="C8001">
        <f>TEST_DATA!C8001</f>
        <v>43858</v>
      </c>
      <c r="D8001" t="str">
        <f>TEST_DATA!D8001</f>
        <v>NIL</v>
      </c>
      <c r="E8001">
        <f>TEST_DATA!E8001</f>
        <v>2636</v>
      </c>
    </row>
    <row r="8002" spans="1:5" x14ac:dyDescent="0.55000000000000004">
      <c r="A8002" t="str">
        <f>TEST_DATA!A8002</f>
        <v>27AAAAA8002Z5</v>
      </c>
      <c r="B8002" t="str">
        <f>TEST_DATA!B8002</f>
        <v>Jun-2019</v>
      </c>
      <c r="C8002">
        <f>TEST_DATA!C8002</f>
        <v>45069</v>
      </c>
      <c r="D8002" t="str">
        <f>TEST_DATA!D8002</f>
        <v>NIL</v>
      </c>
      <c r="E8002">
        <f>TEST_DATA!E8002</f>
        <v>2020</v>
      </c>
    </row>
    <row r="8003" spans="1:5" x14ac:dyDescent="0.55000000000000004">
      <c r="A8003" t="str">
        <f>TEST_DATA!A8003</f>
        <v>27AAAAA8003Z5</v>
      </c>
      <c r="B8003" t="str">
        <f>TEST_DATA!B8003</f>
        <v>Mar-2018</v>
      </c>
      <c r="C8003">
        <f>TEST_DATA!C8003</f>
        <v>43267</v>
      </c>
      <c r="D8003" t="str">
        <f>TEST_DATA!D8003</f>
        <v>NIL</v>
      </c>
      <c r="E8003">
        <f>TEST_DATA!E8003</f>
        <v>1644</v>
      </c>
    </row>
    <row r="8004" spans="1:5" x14ac:dyDescent="0.55000000000000004">
      <c r="A8004" t="str">
        <f>TEST_DATA!A8004</f>
        <v>27AAAAA8004Z5</v>
      </c>
      <c r="B8004" t="str">
        <f>TEST_DATA!B8004</f>
        <v>Jun-2020</v>
      </c>
      <c r="C8004">
        <f>TEST_DATA!C8004</f>
        <v>44536</v>
      </c>
      <c r="D8004" t="str">
        <f>TEST_DATA!D8004</f>
        <v>NIL</v>
      </c>
      <c r="E8004">
        <f>TEST_DATA!E8004</f>
        <v>742</v>
      </c>
    </row>
    <row r="8005" spans="1:5" x14ac:dyDescent="0.55000000000000004">
      <c r="A8005" t="str">
        <f>TEST_DATA!A8005</f>
        <v>27AAAAA8005Z5</v>
      </c>
      <c r="B8005" t="str">
        <f>TEST_DATA!B8005</f>
        <v>Dec-2017</v>
      </c>
      <c r="C8005">
        <f>TEST_DATA!C8005</f>
        <v>43382</v>
      </c>
      <c r="D8005" t="str">
        <f>TEST_DATA!D8005</f>
        <v>NIL</v>
      </c>
      <c r="E8005">
        <f>TEST_DATA!E8005</f>
        <v>1671</v>
      </c>
    </row>
    <row r="8006" spans="1:5" x14ac:dyDescent="0.55000000000000004">
      <c r="A8006" t="str">
        <f>TEST_DATA!A8006</f>
        <v>27AAAAA8006Z5</v>
      </c>
      <c r="B8006" t="str">
        <f>TEST_DATA!B8006</f>
        <v>Apr-2020</v>
      </c>
      <c r="C8006">
        <f>TEST_DATA!C8006</f>
        <v>44262</v>
      </c>
      <c r="D8006" t="str">
        <f>TEST_DATA!D8006</f>
        <v>NIL</v>
      </c>
      <c r="E8006">
        <f>TEST_DATA!E8006</f>
        <v>2596</v>
      </c>
    </row>
    <row r="8007" spans="1:5" x14ac:dyDescent="0.55000000000000004">
      <c r="A8007" t="str">
        <f>TEST_DATA!A8007</f>
        <v>27AAAAA8007Z5</v>
      </c>
      <c r="B8007" t="str">
        <f>TEST_DATA!B8007</f>
        <v>Dec-2019</v>
      </c>
      <c r="C8007">
        <f>TEST_DATA!C8007</f>
        <v>43530</v>
      </c>
      <c r="D8007" t="str">
        <f>TEST_DATA!D8007</f>
        <v>NON-NIL</v>
      </c>
      <c r="E8007">
        <f>TEST_DATA!E8007</f>
        <v>688</v>
      </c>
    </row>
    <row r="8008" spans="1:5" x14ac:dyDescent="0.55000000000000004">
      <c r="A8008" t="str">
        <f>TEST_DATA!A8008</f>
        <v>27AAAAA8008Z5</v>
      </c>
      <c r="B8008" t="str">
        <f>TEST_DATA!B8008</f>
        <v>Dec-2024</v>
      </c>
      <c r="C8008">
        <f>TEST_DATA!C8008</f>
        <v>43637</v>
      </c>
      <c r="D8008" t="str">
        <f>TEST_DATA!D8008</f>
        <v>NIL</v>
      </c>
      <c r="E8008">
        <f>TEST_DATA!E8008</f>
        <v>2041</v>
      </c>
    </row>
    <row r="8009" spans="1:5" x14ac:dyDescent="0.55000000000000004">
      <c r="A8009" t="str">
        <f>TEST_DATA!A8009</f>
        <v>27AAAAA8009Z5</v>
      </c>
      <c r="B8009" t="str">
        <f>TEST_DATA!B8009</f>
        <v>May-2020</v>
      </c>
      <c r="C8009">
        <f>TEST_DATA!C8009</f>
        <v>44231</v>
      </c>
      <c r="D8009" t="str">
        <f>TEST_DATA!D8009</f>
        <v>NIL</v>
      </c>
      <c r="E8009">
        <f>TEST_DATA!E8009</f>
        <v>557</v>
      </c>
    </row>
    <row r="8010" spans="1:5" x14ac:dyDescent="0.55000000000000004">
      <c r="A8010" t="str">
        <f>TEST_DATA!A8010</f>
        <v>27AAAAA8010Z5</v>
      </c>
      <c r="B8010" t="str">
        <f>TEST_DATA!B8010</f>
        <v>Apr-2021</v>
      </c>
      <c r="C8010">
        <f>TEST_DATA!C8010</f>
        <v>44537</v>
      </c>
      <c r="D8010" t="str">
        <f>TEST_DATA!D8010</f>
        <v>NIL</v>
      </c>
      <c r="E8010">
        <f>TEST_DATA!E8010</f>
        <v>1576</v>
      </c>
    </row>
    <row r="8011" spans="1:5" x14ac:dyDescent="0.55000000000000004">
      <c r="A8011" t="str">
        <f>TEST_DATA!A8011</f>
        <v>27AAAAA8011Z5</v>
      </c>
      <c r="B8011" t="str">
        <f>TEST_DATA!B8011</f>
        <v>May-2020</v>
      </c>
      <c r="C8011">
        <f>TEST_DATA!C8011</f>
        <v>44698</v>
      </c>
      <c r="D8011" t="str">
        <f>TEST_DATA!D8011</f>
        <v>NIL</v>
      </c>
      <c r="E8011">
        <f>TEST_DATA!E8011</f>
        <v>1063</v>
      </c>
    </row>
    <row r="8012" spans="1:5" x14ac:dyDescent="0.55000000000000004">
      <c r="A8012" t="str">
        <f>TEST_DATA!A8012</f>
        <v>27AAAAA8012Z5</v>
      </c>
      <c r="B8012" t="str">
        <f>TEST_DATA!B8012</f>
        <v>Jul-2020</v>
      </c>
      <c r="C8012">
        <f>TEST_DATA!C8012</f>
        <v>44755</v>
      </c>
      <c r="D8012" t="str">
        <f>TEST_DATA!D8012</f>
        <v>NON-NIL</v>
      </c>
      <c r="E8012">
        <f>TEST_DATA!E8012</f>
        <v>979</v>
      </c>
    </row>
    <row r="8013" spans="1:5" x14ac:dyDescent="0.55000000000000004">
      <c r="A8013" t="str">
        <f>TEST_DATA!A8013</f>
        <v>27AAAAA8013Z5</v>
      </c>
      <c r="B8013" t="str">
        <f>TEST_DATA!B8013</f>
        <v>Jan-2019</v>
      </c>
      <c r="C8013">
        <f>TEST_DATA!C8013</f>
        <v>44646</v>
      </c>
      <c r="D8013" t="str">
        <f>TEST_DATA!D8013</f>
        <v>NIL</v>
      </c>
      <c r="E8013">
        <f>TEST_DATA!E8013</f>
        <v>2856</v>
      </c>
    </row>
    <row r="8014" spans="1:5" x14ac:dyDescent="0.55000000000000004">
      <c r="A8014" t="str">
        <f>TEST_DATA!A8014</f>
        <v>27AAAAA8014Z5</v>
      </c>
      <c r="B8014" t="str">
        <f>TEST_DATA!B8014</f>
        <v>Apr-2021</v>
      </c>
      <c r="C8014">
        <f>TEST_DATA!C8014</f>
        <v>44803</v>
      </c>
      <c r="D8014" t="str">
        <f>TEST_DATA!D8014</f>
        <v>NON-NIL</v>
      </c>
      <c r="E8014">
        <f>TEST_DATA!E8014</f>
        <v>2827</v>
      </c>
    </row>
    <row r="8015" spans="1:5" x14ac:dyDescent="0.55000000000000004">
      <c r="A8015" t="str">
        <f>TEST_DATA!A8015</f>
        <v>27AAAAA8015Z5</v>
      </c>
      <c r="B8015" t="str">
        <f>TEST_DATA!B8015</f>
        <v>Sep-2017</v>
      </c>
      <c r="C8015">
        <f>TEST_DATA!C8015</f>
        <v>44231</v>
      </c>
      <c r="D8015" t="str">
        <f>TEST_DATA!D8015</f>
        <v>NON-NIL</v>
      </c>
      <c r="E8015">
        <f>TEST_DATA!E8015</f>
        <v>1249</v>
      </c>
    </row>
    <row r="8016" spans="1:5" x14ac:dyDescent="0.55000000000000004">
      <c r="A8016" t="str">
        <f>TEST_DATA!A8016</f>
        <v>27AAAAA8016Z5</v>
      </c>
      <c r="B8016" t="str">
        <f>TEST_DATA!B8016</f>
        <v>Jul-2018</v>
      </c>
      <c r="C8016">
        <f>TEST_DATA!C8016</f>
        <v>44275</v>
      </c>
      <c r="D8016" t="str">
        <f>TEST_DATA!D8016</f>
        <v>NON-NIL</v>
      </c>
      <c r="E8016">
        <f>TEST_DATA!E8016</f>
        <v>1671</v>
      </c>
    </row>
    <row r="8017" spans="1:5" x14ac:dyDescent="0.55000000000000004">
      <c r="A8017" t="str">
        <f>TEST_DATA!A8017</f>
        <v>27AAAAA8017Z5</v>
      </c>
      <c r="B8017" t="str">
        <f>TEST_DATA!B8017</f>
        <v>Jun-2020</v>
      </c>
      <c r="C8017">
        <f>TEST_DATA!C8017</f>
        <v>44846</v>
      </c>
      <c r="D8017" t="str">
        <f>TEST_DATA!D8017</f>
        <v>NON-NIL</v>
      </c>
      <c r="E8017">
        <f>TEST_DATA!E8017</f>
        <v>203</v>
      </c>
    </row>
    <row r="8018" spans="1:5" x14ac:dyDescent="0.55000000000000004">
      <c r="A8018" t="str">
        <f>TEST_DATA!A8018</f>
        <v>27AAAAA8018Z5</v>
      </c>
      <c r="B8018" t="str">
        <f>TEST_DATA!B8018</f>
        <v>Jan-2021</v>
      </c>
      <c r="C8018">
        <f>TEST_DATA!C8018</f>
        <v>45024</v>
      </c>
      <c r="D8018" t="str">
        <f>TEST_DATA!D8018</f>
        <v>NON-NIL</v>
      </c>
      <c r="E8018">
        <f>TEST_DATA!E8018</f>
        <v>853</v>
      </c>
    </row>
    <row r="8019" spans="1:5" x14ac:dyDescent="0.55000000000000004">
      <c r="A8019" t="str">
        <f>TEST_DATA!A8019</f>
        <v>27AAAAA8019Z5</v>
      </c>
      <c r="B8019" t="str">
        <f>TEST_DATA!B8019</f>
        <v>Jun-2018</v>
      </c>
      <c r="C8019">
        <f>TEST_DATA!C8019</f>
        <v>44239</v>
      </c>
      <c r="D8019" t="str">
        <f>TEST_DATA!D8019</f>
        <v>NON-NIL</v>
      </c>
      <c r="E8019">
        <f>TEST_DATA!E8019</f>
        <v>1036</v>
      </c>
    </row>
    <row r="8020" spans="1:5" x14ac:dyDescent="0.55000000000000004">
      <c r="A8020" t="str">
        <f>TEST_DATA!A8020</f>
        <v>27AAAAA8020Z5</v>
      </c>
      <c r="B8020" t="str">
        <f>TEST_DATA!B8020</f>
        <v>Jun-2018</v>
      </c>
      <c r="C8020">
        <f>TEST_DATA!C8020</f>
        <v>43365</v>
      </c>
      <c r="D8020" t="str">
        <f>TEST_DATA!D8020</f>
        <v>NON-NIL</v>
      </c>
      <c r="E8020">
        <f>TEST_DATA!E8020</f>
        <v>1352</v>
      </c>
    </row>
    <row r="8021" spans="1:5" x14ac:dyDescent="0.55000000000000004">
      <c r="A8021" t="str">
        <f>TEST_DATA!A8021</f>
        <v>27AAAAA8021Z5</v>
      </c>
      <c r="B8021" t="str">
        <f>TEST_DATA!B8021</f>
        <v>Jan-2021</v>
      </c>
      <c r="C8021">
        <f>TEST_DATA!C8021</f>
        <v>43734</v>
      </c>
      <c r="D8021" t="str">
        <f>TEST_DATA!D8021</f>
        <v>NON-NIL</v>
      </c>
      <c r="E8021">
        <f>TEST_DATA!E8021</f>
        <v>1559</v>
      </c>
    </row>
    <row r="8022" spans="1:5" x14ac:dyDescent="0.55000000000000004">
      <c r="A8022" t="str">
        <f>TEST_DATA!A8022</f>
        <v>27AAAAA8022Z5</v>
      </c>
      <c r="B8022" t="str">
        <f>TEST_DATA!B8022</f>
        <v>May-2020</v>
      </c>
      <c r="C8022">
        <f>TEST_DATA!C8022</f>
        <v>44709</v>
      </c>
      <c r="D8022" t="str">
        <f>TEST_DATA!D8022</f>
        <v>NON-NIL</v>
      </c>
      <c r="E8022">
        <f>TEST_DATA!E8022</f>
        <v>1449</v>
      </c>
    </row>
    <row r="8023" spans="1:5" x14ac:dyDescent="0.55000000000000004">
      <c r="A8023" t="str">
        <f>TEST_DATA!A8023</f>
        <v>27AAAAA8023Z5</v>
      </c>
      <c r="B8023" t="str">
        <f>TEST_DATA!B8023</f>
        <v>Mar-2023</v>
      </c>
      <c r="C8023">
        <f>TEST_DATA!C8023</f>
        <v>45571</v>
      </c>
      <c r="D8023" t="str">
        <f>TEST_DATA!D8023</f>
        <v>NIL</v>
      </c>
      <c r="E8023">
        <f>TEST_DATA!E8023</f>
        <v>2728</v>
      </c>
    </row>
    <row r="8024" spans="1:5" x14ac:dyDescent="0.55000000000000004">
      <c r="A8024" t="str">
        <f>TEST_DATA!A8024</f>
        <v>27AAAAA8024Z5</v>
      </c>
      <c r="B8024" t="str">
        <f>TEST_DATA!B8024</f>
        <v>Jan-2021</v>
      </c>
      <c r="C8024">
        <f>TEST_DATA!C8024</f>
        <v>44562</v>
      </c>
      <c r="D8024" t="str">
        <f>TEST_DATA!D8024</f>
        <v>NIL</v>
      </c>
      <c r="E8024">
        <f>TEST_DATA!E8024</f>
        <v>1215</v>
      </c>
    </row>
    <row r="8025" spans="1:5" x14ac:dyDescent="0.55000000000000004">
      <c r="A8025" t="str">
        <f>TEST_DATA!A8025</f>
        <v>27AAAAA8025Z5</v>
      </c>
      <c r="B8025" t="str">
        <f>TEST_DATA!B8025</f>
        <v>Dec-2019</v>
      </c>
      <c r="C8025">
        <f>TEST_DATA!C8025</f>
        <v>44402</v>
      </c>
      <c r="D8025" t="str">
        <f>TEST_DATA!D8025</f>
        <v>NON-NIL</v>
      </c>
      <c r="E8025">
        <f>TEST_DATA!E8025</f>
        <v>2682</v>
      </c>
    </row>
    <row r="8026" spans="1:5" x14ac:dyDescent="0.55000000000000004">
      <c r="A8026" t="str">
        <f>TEST_DATA!A8026</f>
        <v>27AAAAA8026Z5</v>
      </c>
      <c r="B8026" t="str">
        <f>TEST_DATA!B8026</f>
        <v>Dec-2019</v>
      </c>
      <c r="C8026">
        <f>TEST_DATA!C8026</f>
        <v>45223</v>
      </c>
      <c r="D8026" t="str">
        <f>TEST_DATA!D8026</f>
        <v>NIL</v>
      </c>
      <c r="E8026">
        <f>TEST_DATA!E8026</f>
        <v>1705</v>
      </c>
    </row>
    <row r="8027" spans="1:5" x14ac:dyDescent="0.55000000000000004">
      <c r="A8027" t="str">
        <f>TEST_DATA!A8027</f>
        <v>27AAAAA8027Z5</v>
      </c>
      <c r="B8027" t="str">
        <f>TEST_DATA!B8027</f>
        <v>Dec-2022</v>
      </c>
      <c r="C8027">
        <f>TEST_DATA!C8027</f>
        <v>45491</v>
      </c>
      <c r="D8027" t="str">
        <f>TEST_DATA!D8027</f>
        <v>NIL</v>
      </c>
      <c r="E8027">
        <f>TEST_DATA!E8027</f>
        <v>1778</v>
      </c>
    </row>
    <row r="8028" spans="1:5" x14ac:dyDescent="0.55000000000000004">
      <c r="A8028" t="str">
        <f>TEST_DATA!A8028</f>
        <v>27AAAAA8028Z5</v>
      </c>
      <c r="B8028" t="str">
        <f>TEST_DATA!B8028</f>
        <v>Jul-2018</v>
      </c>
      <c r="C8028">
        <f>TEST_DATA!C8028</f>
        <v>43530</v>
      </c>
      <c r="D8028" t="str">
        <f>TEST_DATA!D8028</f>
        <v>NON-NIL</v>
      </c>
      <c r="E8028">
        <f>TEST_DATA!E8028</f>
        <v>984</v>
      </c>
    </row>
    <row r="8029" spans="1:5" x14ac:dyDescent="0.55000000000000004">
      <c r="A8029" t="str">
        <f>TEST_DATA!A8029</f>
        <v>27AAAAA8029Z5</v>
      </c>
      <c r="B8029" t="str">
        <f>TEST_DATA!B8029</f>
        <v>Nov-2017</v>
      </c>
      <c r="C8029">
        <f>TEST_DATA!C8029</f>
        <v>42977</v>
      </c>
      <c r="D8029" t="str">
        <f>TEST_DATA!D8029</f>
        <v>NON-NIL</v>
      </c>
      <c r="E8029">
        <f>TEST_DATA!E8029</f>
        <v>1936</v>
      </c>
    </row>
    <row r="8030" spans="1:5" x14ac:dyDescent="0.55000000000000004">
      <c r="A8030" t="str">
        <f>TEST_DATA!A8030</f>
        <v>27AAAAA8030Z5</v>
      </c>
      <c r="B8030" t="str">
        <f>TEST_DATA!B8030</f>
        <v>Jun-2018</v>
      </c>
      <c r="C8030">
        <f>TEST_DATA!C8030</f>
        <v>43991</v>
      </c>
      <c r="D8030" t="str">
        <f>TEST_DATA!D8030</f>
        <v>NON-NIL</v>
      </c>
      <c r="E8030">
        <f>TEST_DATA!E8030</f>
        <v>18</v>
      </c>
    </row>
    <row r="8031" spans="1:5" x14ac:dyDescent="0.55000000000000004">
      <c r="A8031" t="str">
        <f>TEST_DATA!A8031</f>
        <v>27AAAAA8031Z5</v>
      </c>
      <c r="B8031" t="str">
        <f>TEST_DATA!B8031</f>
        <v>Jun-2019</v>
      </c>
      <c r="C8031">
        <f>TEST_DATA!C8031</f>
        <v>44656</v>
      </c>
      <c r="D8031" t="str">
        <f>TEST_DATA!D8031</f>
        <v>NIL</v>
      </c>
      <c r="E8031">
        <f>TEST_DATA!E8031</f>
        <v>651</v>
      </c>
    </row>
    <row r="8032" spans="1:5" x14ac:dyDescent="0.55000000000000004">
      <c r="A8032" t="str">
        <f>TEST_DATA!A8032</f>
        <v>27AAAAA8032Z5</v>
      </c>
      <c r="B8032" t="str">
        <f>TEST_DATA!B8032</f>
        <v>Mar-2021</v>
      </c>
      <c r="C8032">
        <f>TEST_DATA!C8032</f>
        <v>45139</v>
      </c>
      <c r="D8032" t="str">
        <f>TEST_DATA!D8032</f>
        <v>NIL</v>
      </c>
      <c r="E8032">
        <f>TEST_DATA!E8032</f>
        <v>2690</v>
      </c>
    </row>
    <row r="8033" spans="1:5" x14ac:dyDescent="0.55000000000000004">
      <c r="A8033" t="str">
        <f>TEST_DATA!A8033</f>
        <v>27AAAAA8033Z5</v>
      </c>
      <c r="B8033" t="str">
        <f>TEST_DATA!B8033</f>
        <v>Dec-2022</v>
      </c>
      <c r="C8033">
        <f>TEST_DATA!C8033</f>
        <v>44497</v>
      </c>
      <c r="D8033" t="str">
        <f>TEST_DATA!D8033</f>
        <v>NON-NIL</v>
      </c>
      <c r="E8033">
        <f>TEST_DATA!E8033</f>
        <v>998</v>
      </c>
    </row>
    <row r="8034" spans="1:5" x14ac:dyDescent="0.55000000000000004">
      <c r="A8034" t="str">
        <f>TEST_DATA!A8034</f>
        <v>27AAAAA8034Z5</v>
      </c>
      <c r="B8034" t="str">
        <f>TEST_DATA!B8034</f>
        <v>Mar-2023</v>
      </c>
      <c r="C8034">
        <f>TEST_DATA!C8034</f>
        <v>45229</v>
      </c>
      <c r="D8034" t="str">
        <f>TEST_DATA!D8034</f>
        <v>NON-NIL</v>
      </c>
      <c r="E8034">
        <f>TEST_DATA!E8034</f>
        <v>2193</v>
      </c>
    </row>
    <row r="8035" spans="1:5" x14ac:dyDescent="0.55000000000000004">
      <c r="A8035" t="str">
        <f>TEST_DATA!A8035</f>
        <v>27AAAAA8035Z5</v>
      </c>
      <c r="B8035" t="str">
        <f>TEST_DATA!B8035</f>
        <v>Aug-2017</v>
      </c>
      <c r="C8035">
        <f>TEST_DATA!C8035</f>
        <v>43646</v>
      </c>
      <c r="D8035" t="str">
        <f>TEST_DATA!D8035</f>
        <v>NIL</v>
      </c>
      <c r="E8035">
        <f>TEST_DATA!E8035</f>
        <v>2965</v>
      </c>
    </row>
    <row r="8036" spans="1:5" x14ac:dyDescent="0.55000000000000004">
      <c r="A8036" t="str">
        <f>TEST_DATA!A8036</f>
        <v>27AAAAA8036Z5</v>
      </c>
      <c r="B8036" t="str">
        <f>TEST_DATA!B8036</f>
        <v>Apr-2021</v>
      </c>
      <c r="C8036">
        <f>TEST_DATA!C8036</f>
        <v>44717</v>
      </c>
      <c r="D8036" t="str">
        <f>TEST_DATA!D8036</f>
        <v>NON-NIL</v>
      </c>
      <c r="E8036">
        <f>TEST_DATA!E8036</f>
        <v>244</v>
      </c>
    </row>
    <row r="8037" spans="1:5" x14ac:dyDescent="0.55000000000000004">
      <c r="A8037" t="str">
        <f>TEST_DATA!A8037</f>
        <v>27AAAAA8037Z5</v>
      </c>
      <c r="B8037" t="str">
        <f>TEST_DATA!B8037</f>
        <v>Jun-2018</v>
      </c>
      <c r="C8037">
        <f>TEST_DATA!C8037</f>
        <v>44393</v>
      </c>
      <c r="D8037" t="str">
        <f>TEST_DATA!D8037</f>
        <v>NIL</v>
      </c>
      <c r="E8037">
        <f>TEST_DATA!E8037</f>
        <v>2440</v>
      </c>
    </row>
    <row r="8038" spans="1:5" x14ac:dyDescent="0.55000000000000004">
      <c r="A8038" t="str">
        <f>TEST_DATA!A8038</f>
        <v>27AAAAA8038Z5</v>
      </c>
      <c r="B8038" t="str">
        <f>TEST_DATA!B8038</f>
        <v>Dec-2017</v>
      </c>
      <c r="C8038">
        <f>TEST_DATA!C8038</f>
        <v>44006</v>
      </c>
      <c r="D8038" t="str">
        <f>TEST_DATA!D8038</f>
        <v>NON-NIL</v>
      </c>
      <c r="E8038">
        <f>TEST_DATA!E8038</f>
        <v>1642</v>
      </c>
    </row>
    <row r="8039" spans="1:5" x14ac:dyDescent="0.55000000000000004">
      <c r="A8039" t="str">
        <f>TEST_DATA!A8039</f>
        <v>27AAAAA8039Z5</v>
      </c>
      <c r="B8039" t="str">
        <f>TEST_DATA!B8039</f>
        <v>Sep-2018</v>
      </c>
      <c r="C8039">
        <f>TEST_DATA!C8039</f>
        <v>43255</v>
      </c>
      <c r="D8039" t="str">
        <f>TEST_DATA!D8039</f>
        <v>NIL</v>
      </c>
      <c r="E8039">
        <f>TEST_DATA!E8039</f>
        <v>209</v>
      </c>
    </row>
    <row r="8040" spans="1:5" x14ac:dyDescent="0.55000000000000004">
      <c r="A8040" t="str">
        <f>TEST_DATA!A8040</f>
        <v>27AAAAA8040Z5</v>
      </c>
      <c r="B8040" t="str">
        <f>TEST_DATA!B8040</f>
        <v>Sep-2018</v>
      </c>
      <c r="C8040">
        <f>TEST_DATA!C8040</f>
        <v>43320</v>
      </c>
      <c r="D8040" t="str">
        <f>TEST_DATA!D8040</f>
        <v>NON-NIL</v>
      </c>
      <c r="E8040">
        <f>TEST_DATA!E8040</f>
        <v>705</v>
      </c>
    </row>
    <row r="8041" spans="1:5" x14ac:dyDescent="0.55000000000000004">
      <c r="A8041" t="str">
        <f>TEST_DATA!A8041</f>
        <v>27AAAAA8041Z5</v>
      </c>
      <c r="B8041" t="str">
        <f>TEST_DATA!B8041</f>
        <v>Mar-2021</v>
      </c>
      <c r="C8041">
        <f>TEST_DATA!C8041</f>
        <v>44269</v>
      </c>
      <c r="D8041" t="str">
        <f>TEST_DATA!D8041</f>
        <v>NIL</v>
      </c>
      <c r="E8041">
        <f>TEST_DATA!E8041</f>
        <v>2854</v>
      </c>
    </row>
    <row r="8042" spans="1:5" x14ac:dyDescent="0.55000000000000004">
      <c r="A8042" t="str">
        <f>TEST_DATA!A8042</f>
        <v>27AAAAA8042Z5</v>
      </c>
      <c r="B8042" t="str">
        <f>TEST_DATA!B8042</f>
        <v>Sep-2018</v>
      </c>
      <c r="C8042">
        <f>TEST_DATA!C8042</f>
        <v>43832</v>
      </c>
      <c r="D8042" t="str">
        <f>TEST_DATA!D8042</f>
        <v>NIL</v>
      </c>
      <c r="E8042">
        <f>TEST_DATA!E8042</f>
        <v>2007</v>
      </c>
    </row>
    <row r="8043" spans="1:5" x14ac:dyDescent="0.55000000000000004">
      <c r="A8043" t="str">
        <f>TEST_DATA!A8043</f>
        <v>27AAAAA8043Z5</v>
      </c>
      <c r="B8043" t="str">
        <f>TEST_DATA!B8043</f>
        <v>Nov-2017</v>
      </c>
      <c r="C8043">
        <f>TEST_DATA!C8043</f>
        <v>44125</v>
      </c>
      <c r="D8043" t="str">
        <f>TEST_DATA!D8043</f>
        <v>NON-NIL</v>
      </c>
      <c r="E8043">
        <f>TEST_DATA!E8043</f>
        <v>1104</v>
      </c>
    </row>
    <row r="8044" spans="1:5" x14ac:dyDescent="0.55000000000000004">
      <c r="A8044" t="str">
        <f>TEST_DATA!A8044</f>
        <v>27AAAAA8044Z5</v>
      </c>
      <c r="B8044" t="str">
        <f>TEST_DATA!B8044</f>
        <v>May-2020</v>
      </c>
      <c r="C8044">
        <f>TEST_DATA!C8044</f>
        <v>44538</v>
      </c>
      <c r="D8044" t="str">
        <f>TEST_DATA!D8044</f>
        <v>NIL</v>
      </c>
      <c r="E8044">
        <f>TEST_DATA!E8044</f>
        <v>989</v>
      </c>
    </row>
    <row r="8045" spans="1:5" x14ac:dyDescent="0.55000000000000004">
      <c r="A8045" t="str">
        <f>TEST_DATA!A8045</f>
        <v>27AAAAA8045Z5</v>
      </c>
      <c r="B8045" t="str">
        <f>TEST_DATA!B8045</f>
        <v>Dec-2019</v>
      </c>
      <c r="C8045">
        <f>TEST_DATA!C8045</f>
        <v>43583</v>
      </c>
      <c r="D8045" t="str">
        <f>TEST_DATA!D8045</f>
        <v>NIL</v>
      </c>
      <c r="E8045">
        <f>TEST_DATA!E8045</f>
        <v>1727</v>
      </c>
    </row>
    <row r="8046" spans="1:5" x14ac:dyDescent="0.55000000000000004">
      <c r="A8046" t="str">
        <f>TEST_DATA!A8046</f>
        <v>27AAAAA8046Z5</v>
      </c>
      <c r="B8046" t="str">
        <f>TEST_DATA!B8046</f>
        <v>Nov-2017</v>
      </c>
      <c r="C8046">
        <f>TEST_DATA!C8046</f>
        <v>43603</v>
      </c>
      <c r="D8046" t="str">
        <f>TEST_DATA!D8046</f>
        <v>NON-NIL</v>
      </c>
      <c r="E8046">
        <f>TEST_DATA!E8046</f>
        <v>450</v>
      </c>
    </row>
    <row r="8047" spans="1:5" x14ac:dyDescent="0.55000000000000004">
      <c r="A8047" t="str">
        <f>TEST_DATA!A8047</f>
        <v>27AAAAA8047Z5</v>
      </c>
      <c r="B8047" t="str">
        <f>TEST_DATA!B8047</f>
        <v>Jun-2018</v>
      </c>
      <c r="C8047">
        <f>TEST_DATA!C8047</f>
        <v>42995</v>
      </c>
      <c r="D8047" t="str">
        <f>TEST_DATA!D8047</f>
        <v>NIL</v>
      </c>
      <c r="E8047">
        <f>TEST_DATA!E8047</f>
        <v>2822</v>
      </c>
    </row>
    <row r="8048" spans="1:5" x14ac:dyDescent="0.55000000000000004">
      <c r="A8048" t="str">
        <f>TEST_DATA!A8048</f>
        <v>27AAAAA8048Z5</v>
      </c>
      <c r="B8048" t="str">
        <f>TEST_DATA!B8048</f>
        <v>Jul-2020</v>
      </c>
      <c r="C8048">
        <f>TEST_DATA!C8048</f>
        <v>43840</v>
      </c>
      <c r="D8048" t="str">
        <f>TEST_DATA!D8048</f>
        <v>NON-NIL</v>
      </c>
      <c r="E8048">
        <f>TEST_DATA!E8048</f>
        <v>1406</v>
      </c>
    </row>
    <row r="8049" spans="1:5" x14ac:dyDescent="0.55000000000000004">
      <c r="A8049" t="str">
        <f>TEST_DATA!A8049</f>
        <v>27AAAAA8049Z5</v>
      </c>
      <c r="B8049" t="str">
        <f>TEST_DATA!B8049</f>
        <v>Jul-2017</v>
      </c>
      <c r="C8049">
        <f>TEST_DATA!C8049</f>
        <v>44264</v>
      </c>
      <c r="D8049" t="str">
        <f>TEST_DATA!D8049</f>
        <v>NIL</v>
      </c>
      <c r="E8049">
        <f>TEST_DATA!E8049</f>
        <v>2303</v>
      </c>
    </row>
    <row r="8050" spans="1:5" x14ac:dyDescent="0.55000000000000004">
      <c r="A8050" t="str">
        <f>TEST_DATA!A8050</f>
        <v>27AAAAA8050Z5</v>
      </c>
      <c r="B8050" t="str">
        <f>TEST_DATA!B8050</f>
        <v>Oct-2017</v>
      </c>
      <c r="C8050">
        <f>TEST_DATA!C8050</f>
        <v>43555</v>
      </c>
      <c r="D8050" t="str">
        <f>TEST_DATA!D8050</f>
        <v>NIL</v>
      </c>
      <c r="E8050">
        <f>TEST_DATA!E8050</f>
        <v>1406</v>
      </c>
    </row>
    <row r="8051" spans="1:5" x14ac:dyDescent="0.55000000000000004">
      <c r="A8051" t="str">
        <f>TEST_DATA!A8051</f>
        <v>27AAAAA8051Z5</v>
      </c>
      <c r="B8051" t="str">
        <f>TEST_DATA!B8051</f>
        <v>Feb-2018</v>
      </c>
      <c r="C8051">
        <f>TEST_DATA!C8051</f>
        <v>43049</v>
      </c>
      <c r="D8051" t="str">
        <f>TEST_DATA!D8051</f>
        <v>NIL</v>
      </c>
      <c r="E8051">
        <f>TEST_DATA!E8051</f>
        <v>1900</v>
      </c>
    </row>
    <row r="8052" spans="1:5" x14ac:dyDescent="0.55000000000000004">
      <c r="A8052" t="str">
        <f>TEST_DATA!A8052</f>
        <v>27AAAAA8052Z5</v>
      </c>
      <c r="B8052" t="str">
        <f>TEST_DATA!B8052</f>
        <v>Apr-2020</v>
      </c>
      <c r="C8052">
        <f>TEST_DATA!C8052</f>
        <v>44373</v>
      </c>
      <c r="D8052" t="str">
        <f>TEST_DATA!D8052</f>
        <v>NIL</v>
      </c>
      <c r="E8052">
        <f>TEST_DATA!E8052</f>
        <v>916</v>
      </c>
    </row>
    <row r="8053" spans="1:5" x14ac:dyDescent="0.55000000000000004">
      <c r="A8053" t="str">
        <f>TEST_DATA!A8053</f>
        <v>27AAAAA8053Z5</v>
      </c>
      <c r="B8053" t="str">
        <f>TEST_DATA!B8053</f>
        <v>Mar-2021</v>
      </c>
      <c r="C8053">
        <f>TEST_DATA!C8053</f>
        <v>45479</v>
      </c>
      <c r="D8053" t="str">
        <f>TEST_DATA!D8053</f>
        <v>NON-NIL</v>
      </c>
      <c r="E8053">
        <f>TEST_DATA!E8053</f>
        <v>770</v>
      </c>
    </row>
    <row r="8054" spans="1:5" x14ac:dyDescent="0.55000000000000004">
      <c r="A8054" t="str">
        <f>TEST_DATA!A8054</f>
        <v>27AAAAA8054Z5</v>
      </c>
      <c r="B8054" t="str">
        <f>TEST_DATA!B8054</f>
        <v>Sep-2017</v>
      </c>
      <c r="C8054">
        <f>TEST_DATA!C8054</f>
        <v>44550</v>
      </c>
      <c r="D8054" t="str">
        <f>TEST_DATA!D8054</f>
        <v>NIL</v>
      </c>
      <c r="E8054">
        <f>TEST_DATA!E8054</f>
        <v>457</v>
      </c>
    </row>
    <row r="8055" spans="1:5" x14ac:dyDescent="0.55000000000000004">
      <c r="A8055" t="str">
        <f>TEST_DATA!A8055</f>
        <v>27AAAAA8055Z5</v>
      </c>
      <c r="B8055" t="str">
        <f>TEST_DATA!B8055</f>
        <v>Nov-2017</v>
      </c>
      <c r="C8055">
        <f>TEST_DATA!C8055</f>
        <v>43406</v>
      </c>
      <c r="D8055" t="str">
        <f>TEST_DATA!D8055</f>
        <v>NON-NIL</v>
      </c>
      <c r="E8055">
        <f>TEST_DATA!E8055</f>
        <v>2359</v>
      </c>
    </row>
    <row r="8056" spans="1:5" x14ac:dyDescent="0.55000000000000004">
      <c r="A8056" t="str">
        <f>TEST_DATA!A8056</f>
        <v>27AAAAA8056Z5</v>
      </c>
      <c r="B8056" t="str">
        <f>TEST_DATA!B8056</f>
        <v>Jul-2017</v>
      </c>
      <c r="C8056">
        <f>TEST_DATA!C8056</f>
        <v>43479</v>
      </c>
      <c r="D8056" t="str">
        <f>TEST_DATA!D8056</f>
        <v>NIL</v>
      </c>
      <c r="E8056">
        <f>TEST_DATA!E8056</f>
        <v>1642</v>
      </c>
    </row>
    <row r="8057" spans="1:5" x14ac:dyDescent="0.55000000000000004">
      <c r="A8057" t="str">
        <f>TEST_DATA!A8057</f>
        <v>27AAAAA8057Z5</v>
      </c>
      <c r="B8057" t="str">
        <f>TEST_DATA!B8057</f>
        <v>Jun-2018</v>
      </c>
      <c r="C8057">
        <f>TEST_DATA!C8057</f>
        <v>43295</v>
      </c>
      <c r="D8057" t="str">
        <f>TEST_DATA!D8057</f>
        <v>NON-NIL</v>
      </c>
      <c r="E8057">
        <f>TEST_DATA!E8057</f>
        <v>1082</v>
      </c>
    </row>
    <row r="8058" spans="1:5" x14ac:dyDescent="0.55000000000000004">
      <c r="A8058" t="str">
        <f>TEST_DATA!A8058</f>
        <v>27AAAAA8058Z5</v>
      </c>
      <c r="B8058" t="str">
        <f>TEST_DATA!B8058</f>
        <v>Nov-2017</v>
      </c>
      <c r="C8058">
        <f>TEST_DATA!C8058</f>
        <v>44046</v>
      </c>
      <c r="D8058" t="str">
        <f>TEST_DATA!D8058</f>
        <v>NON-NIL</v>
      </c>
      <c r="E8058">
        <f>TEST_DATA!E8058</f>
        <v>2767</v>
      </c>
    </row>
    <row r="8059" spans="1:5" x14ac:dyDescent="0.55000000000000004">
      <c r="A8059" t="str">
        <f>TEST_DATA!A8059</f>
        <v>27AAAAA8059Z5</v>
      </c>
      <c r="B8059" t="str">
        <f>TEST_DATA!B8059</f>
        <v>Jul-2018</v>
      </c>
      <c r="C8059">
        <f>TEST_DATA!C8059</f>
        <v>43292</v>
      </c>
      <c r="D8059" t="str">
        <f>TEST_DATA!D8059</f>
        <v>NON-NIL</v>
      </c>
      <c r="E8059">
        <f>TEST_DATA!E8059</f>
        <v>454</v>
      </c>
    </row>
    <row r="8060" spans="1:5" x14ac:dyDescent="0.55000000000000004">
      <c r="A8060" t="str">
        <f>TEST_DATA!A8060</f>
        <v>27AAAAA8060Z5</v>
      </c>
      <c r="B8060" t="str">
        <f>TEST_DATA!B8060</f>
        <v>Jul-2020</v>
      </c>
      <c r="C8060">
        <f>TEST_DATA!C8060</f>
        <v>43935</v>
      </c>
      <c r="D8060" t="str">
        <f>TEST_DATA!D8060</f>
        <v>NON-NIL</v>
      </c>
      <c r="E8060">
        <f>TEST_DATA!E8060</f>
        <v>2031</v>
      </c>
    </row>
    <row r="8061" spans="1:5" x14ac:dyDescent="0.55000000000000004">
      <c r="A8061" t="str">
        <f>TEST_DATA!A8061</f>
        <v>27AAAAA8061Z5</v>
      </c>
      <c r="B8061" t="str">
        <f>TEST_DATA!B8061</f>
        <v>Feb-2018</v>
      </c>
      <c r="C8061">
        <f>TEST_DATA!C8061</f>
        <v>43999</v>
      </c>
      <c r="D8061" t="str">
        <f>TEST_DATA!D8061</f>
        <v>NIL</v>
      </c>
      <c r="E8061">
        <f>TEST_DATA!E8061</f>
        <v>2269</v>
      </c>
    </row>
    <row r="8062" spans="1:5" x14ac:dyDescent="0.55000000000000004">
      <c r="A8062" t="str">
        <f>TEST_DATA!A8062</f>
        <v>27AAAAA8062Z5</v>
      </c>
      <c r="B8062" t="str">
        <f>TEST_DATA!B8062</f>
        <v>Jul-2020</v>
      </c>
      <c r="C8062">
        <f>TEST_DATA!C8062</f>
        <v>44547</v>
      </c>
      <c r="D8062" t="str">
        <f>TEST_DATA!D8062</f>
        <v>NON-NIL</v>
      </c>
      <c r="E8062">
        <f>TEST_DATA!E8062</f>
        <v>1198</v>
      </c>
    </row>
    <row r="8063" spans="1:5" x14ac:dyDescent="0.55000000000000004">
      <c r="A8063" t="str">
        <f>TEST_DATA!A8063</f>
        <v>27AAAAA8063Z5</v>
      </c>
      <c r="B8063" t="str">
        <f>TEST_DATA!B8063</f>
        <v>May-2018</v>
      </c>
      <c r="C8063">
        <f>TEST_DATA!C8063</f>
        <v>43081</v>
      </c>
      <c r="D8063" t="str">
        <f>TEST_DATA!D8063</f>
        <v>NON-NIL</v>
      </c>
      <c r="E8063">
        <f>TEST_DATA!E8063</f>
        <v>2588</v>
      </c>
    </row>
    <row r="8064" spans="1:5" x14ac:dyDescent="0.55000000000000004">
      <c r="A8064" t="str">
        <f>TEST_DATA!A8064</f>
        <v>27AAAAA8064Z5</v>
      </c>
      <c r="B8064" t="str">
        <f>TEST_DATA!B8064</f>
        <v>Mar-2021</v>
      </c>
      <c r="C8064">
        <f>TEST_DATA!C8064</f>
        <v>45232</v>
      </c>
      <c r="D8064" t="str">
        <f>TEST_DATA!D8064</f>
        <v>NIL</v>
      </c>
      <c r="E8064">
        <f>TEST_DATA!E8064</f>
        <v>2472</v>
      </c>
    </row>
    <row r="8065" spans="1:5" x14ac:dyDescent="0.55000000000000004">
      <c r="A8065" t="str">
        <f>TEST_DATA!A8065</f>
        <v>27AAAAA8065Z5</v>
      </c>
      <c r="B8065" t="str">
        <f>TEST_DATA!B8065</f>
        <v>Dec-2022</v>
      </c>
      <c r="C8065">
        <f>TEST_DATA!C8065</f>
        <v>43797</v>
      </c>
      <c r="D8065" t="str">
        <f>TEST_DATA!D8065</f>
        <v>NIL</v>
      </c>
      <c r="E8065">
        <f>TEST_DATA!E8065</f>
        <v>1327</v>
      </c>
    </row>
    <row r="8066" spans="1:5" x14ac:dyDescent="0.55000000000000004">
      <c r="A8066" t="str">
        <f>TEST_DATA!A8066</f>
        <v>27AAAAA8066Z5</v>
      </c>
      <c r="B8066" t="str">
        <f>TEST_DATA!B8066</f>
        <v>Oct-2017</v>
      </c>
      <c r="C8066">
        <f>TEST_DATA!C8066</f>
        <v>43077</v>
      </c>
      <c r="D8066" t="str">
        <f>TEST_DATA!D8066</f>
        <v>NON-NIL</v>
      </c>
      <c r="E8066">
        <f>TEST_DATA!E8066</f>
        <v>2726</v>
      </c>
    </row>
    <row r="8067" spans="1:5" x14ac:dyDescent="0.55000000000000004">
      <c r="A8067" t="str">
        <f>TEST_DATA!A8067</f>
        <v>27AAAAA8067Z5</v>
      </c>
      <c r="B8067" t="str">
        <f>TEST_DATA!B8067</f>
        <v>Dec-2024</v>
      </c>
      <c r="C8067">
        <f>TEST_DATA!C8067</f>
        <v>44712</v>
      </c>
      <c r="D8067" t="str">
        <f>TEST_DATA!D8067</f>
        <v>NON-NIL</v>
      </c>
      <c r="E8067">
        <f>TEST_DATA!E8067</f>
        <v>1464</v>
      </c>
    </row>
    <row r="8068" spans="1:5" x14ac:dyDescent="0.55000000000000004">
      <c r="A8068" t="str">
        <f>TEST_DATA!A8068</f>
        <v>27AAAAA8068Z5</v>
      </c>
      <c r="B8068" t="str">
        <f>TEST_DATA!B8068</f>
        <v>May-2018</v>
      </c>
      <c r="C8068">
        <f>TEST_DATA!C8068</f>
        <v>44464</v>
      </c>
      <c r="D8068" t="str">
        <f>TEST_DATA!D8068</f>
        <v>NIL</v>
      </c>
      <c r="E8068">
        <f>TEST_DATA!E8068</f>
        <v>2820</v>
      </c>
    </row>
    <row r="8069" spans="1:5" x14ac:dyDescent="0.55000000000000004">
      <c r="A8069" t="str">
        <f>TEST_DATA!A8069</f>
        <v>27AAAAA8069Z5</v>
      </c>
      <c r="B8069" t="str">
        <f>TEST_DATA!B8069</f>
        <v>Sep-2018</v>
      </c>
      <c r="C8069">
        <f>TEST_DATA!C8069</f>
        <v>44347</v>
      </c>
      <c r="D8069" t="str">
        <f>TEST_DATA!D8069</f>
        <v>NIL</v>
      </c>
      <c r="E8069">
        <f>TEST_DATA!E8069</f>
        <v>1711</v>
      </c>
    </row>
    <row r="8070" spans="1:5" x14ac:dyDescent="0.55000000000000004">
      <c r="A8070" t="str">
        <f>TEST_DATA!A8070</f>
        <v>27AAAAA8070Z5</v>
      </c>
      <c r="B8070" t="str">
        <f>TEST_DATA!B8070</f>
        <v>Nov-2017</v>
      </c>
      <c r="C8070">
        <f>TEST_DATA!C8070</f>
        <v>43887</v>
      </c>
      <c r="D8070" t="str">
        <f>TEST_DATA!D8070</f>
        <v>NIL</v>
      </c>
      <c r="E8070">
        <f>TEST_DATA!E8070</f>
        <v>2227</v>
      </c>
    </row>
    <row r="8071" spans="1:5" x14ac:dyDescent="0.55000000000000004">
      <c r="A8071" t="str">
        <f>TEST_DATA!A8071</f>
        <v>27AAAAA8071Z5</v>
      </c>
      <c r="B8071" t="str">
        <f>TEST_DATA!B8071</f>
        <v>Mar-2023</v>
      </c>
      <c r="C8071">
        <f>TEST_DATA!C8071</f>
        <v>43906</v>
      </c>
      <c r="D8071" t="str">
        <f>TEST_DATA!D8071</f>
        <v>NON-NIL</v>
      </c>
      <c r="E8071">
        <f>TEST_DATA!E8071</f>
        <v>1866</v>
      </c>
    </row>
    <row r="8072" spans="1:5" x14ac:dyDescent="0.55000000000000004">
      <c r="A8072" t="str">
        <f>TEST_DATA!A8072</f>
        <v>27AAAAA8072Z5</v>
      </c>
      <c r="B8072" t="str">
        <f>TEST_DATA!B8072</f>
        <v>Jan-2018</v>
      </c>
      <c r="C8072">
        <f>TEST_DATA!C8072</f>
        <v>43423</v>
      </c>
      <c r="D8072" t="str">
        <f>TEST_DATA!D8072</f>
        <v>NON-NIL</v>
      </c>
      <c r="E8072">
        <f>TEST_DATA!E8072</f>
        <v>1024</v>
      </c>
    </row>
    <row r="8073" spans="1:5" x14ac:dyDescent="0.55000000000000004">
      <c r="A8073" t="str">
        <f>TEST_DATA!A8073</f>
        <v>27AAAAA8073Z5</v>
      </c>
      <c r="B8073" t="str">
        <f>TEST_DATA!B8073</f>
        <v>Jul-2018</v>
      </c>
      <c r="C8073">
        <f>TEST_DATA!C8073</f>
        <v>43112</v>
      </c>
      <c r="D8073" t="str">
        <f>TEST_DATA!D8073</f>
        <v>NIL</v>
      </c>
      <c r="E8073">
        <f>TEST_DATA!E8073</f>
        <v>355</v>
      </c>
    </row>
    <row r="8074" spans="1:5" x14ac:dyDescent="0.55000000000000004">
      <c r="A8074" t="str">
        <f>TEST_DATA!A8074</f>
        <v>27AAAAA8074Z5</v>
      </c>
      <c r="B8074" t="str">
        <f>TEST_DATA!B8074</f>
        <v>Jun-2020</v>
      </c>
      <c r="C8074">
        <f>TEST_DATA!C8074</f>
        <v>44481</v>
      </c>
      <c r="D8074" t="str">
        <f>TEST_DATA!D8074</f>
        <v>NON-NIL</v>
      </c>
      <c r="E8074">
        <f>TEST_DATA!E8074</f>
        <v>1534</v>
      </c>
    </row>
    <row r="8075" spans="1:5" x14ac:dyDescent="0.55000000000000004">
      <c r="A8075" t="str">
        <f>TEST_DATA!A8075</f>
        <v>27AAAAA8075Z5</v>
      </c>
      <c r="B8075" t="str">
        <f>TEST_DATA!B8075</f>
        <v>Aug-2018</v>
      </c>
      <c r="C8075">
        <f>TEST_DATA!C8075</f>
        <v>44389</v>
      </c>
      <c r="D8075" t="str">
        <f>TEST_DATA!D8075</f>
        <v>NIL</v>
      </c>
      <c r="E8075">
        <f>TEST_DATA!E8075</f>
        <v>1742</v>
      </c>
    </row>
    <row r="8076" spans="1:5" x14ac:dyDescent="0.55000000000000004">
      <c r="A8076" t="str">
        <f>TEST_DATA!A8076</f>
        <v>27AAAAA8076Z5</v>
      </c>
      <c r="B8076" t="str">
        <f>TEST_DATA!B8076</f>
        <v>Mar-2018</v>
      </c>
      <c r="C8076">
        <f>TEST_DATA!C8076</f>
        <v>43124</v>
      </c>
      <c r="D8076" t="str">
        <f>TEST_DATA!D8076</f>
        <v>NIL</v>
      </c>
      <c r="E8076">
        <f>TEST_DATA!E8076</f>
        <v>1737</v>
      </c>
    </row>
    <row r="8077" spans="1:5" x14ac:dyDescent="0.55000000000000004">
      <c r="A8077" t="str">
        <f>TEST_DATA!A8077</f>
        <v>27AAAAA8077Z5</v>
      </c>
      <c r="B8077" t="str">
        <f>TEST_DATA!B8077</f>
        <v>Jul-2017</v>
      </c>
      <c r="C8077">
        <f>TEST_DATA!C8077</f>
        <v>43969</v>
      </c>
      <c r="D8077" t="str">
        <f>TEST_DATA!D8077</f>
        <v>NON-NIL</v>
      </c>
      <c r="E8077">
        <f>TEST_DATA!E8077</f>
        <v>2153</v>
      </c>
    </row>
    <row r="8078" spans="1:5" x14ac:dyDescent="0.55000000000000004">
      <c r="A8078" t="str">
        <f>TEST_DATA!A8078</f>
        <v>27AAAAA8078Z5</v>
      </c>
      <c r="B8078" t="str">
        <f>TEST_DATA!B8078</f>
        <v>Oct-2017</v>
      </c>
      <c r="C8078">
        <f>TEST_DATA!C8078</f>
        <v>43963</v>
      </c>
      <c r="D8078" t="str">
        <f>TEST_DATA!D8078</f>
        <v>NON-NIL</v>
      </c>
      <c r="E8078">
        <f>TEST_DATA!E8078</f>
        <v>1606</v>
      </c>
    </row>
    <row r="8079" spans="1:5" x14ac:dyDescent="0.55000000000000004">
      <c r="A8079" t="str">
        <f>TEST_DATA!A8079</f>
        <v>27AAAAA8079Z5</v>
      </c>
      <c r="B8079" t="str">
        <f>TEST_DATA!B8079</f>
        <v>Dec-2017</v>
      </c>
      <c r="C8079">
        <f>TEST_DATA!C8079</f>
        <v>42945</v>
      </c>
      <c r="D8079" t="str">
        <f>TEST_DATA!D8079</f>
        <v>NIL</v>
      </c>
      <c r="E8079">
        <f>TEST_DATA!E8079</f>
        <v>1736</v>
      </c>
    </row>
    <row r="8080" spans="1:5" x14ac:dyDescent="0.55000000000000004">
      <c r="A8080" t="str">
        <f>TEST_DATA!A8080</f>
        <v>27AAAAA8080Z5</v>
      </c>
      <c r="B8080" t="str">
        <f>TEST_DATA!B8080</f>
        <v>Mar-2020</v>
      </c>
      <c r="C8080">
        <f>TEST_DATA!C8080</f>
        <v>44310</v>
      </c>
      <c r="D8080" t="str">
        <f>TEST_DATA!D8080</f>
        <v>NIL</v>
      </c>
      <c r="E8080">
        <f>TEST_DATA!E8080</f>
        <v>2471</v>
      </c>
    </row>
    <row r="8081" spans="1:5" x14ac:dyDescent="0.55000000000000004">
      <c r="A8081" t="str">
        <f>TEST_DATA!A8081</f>
        <v>27AAAAA8081Z5</v>
      </c>
      <c r="B8081" t="str">
        <f>TEST_DATA!B8081</f>
        <v>Dec-2022</v>
      </c>
      <c r="C8081">
        <f>TEST_DATA!C8081</f>
        <v>45233</v>
      </c>
      <c r="D8081" t="str">
        <f>TEST_DATA!D8081</f>
        <v>NIL</v>
      </c>
      <c r="E8081">
        <f>TEST_DATA!E8081</f>
        <v>82</v>
      </c>
    </row>
    <row r="8082" spans="1:5" x14ac:dyDescent="0.55000000000000004">
      <c r="A8082" t="str">
        <f>TEST_DATA!A8082</f>
        <v>27AAAAA8082Z5</v>
      </c>
      <c r="B8082" t="str">
        <f>TEST_DATA!B8082</f>
        <v>Apr-2021</v>
      </c>
      <c r="C8082">
        <f>TEST_DATA!C8082</f>
        <v>44428</v>
      </c>
      <c r="D8082" t="str">
        <f>TEST_DATA!D8082</f>
        <v>NON-NIL</v>
      </c>
      <c r="E8082">
        <f>TEST_DATA!E8082</f>
        <v>302</v>
      </c>
    </row>
    <row r="8083" spans="1:5" x14ac:dyDescent="0.55000000000000004">
      <c r="A8083" t="str">
        <f>TEST_DATA!A8083</f>
        <v>27AAAAA8083Z5</v>
      </c>
      <c r="B8083" t="str">
        <f>TEST_DATA!B8083</f>
        <v>Aug-2018</v>
      </c>
      <c r="C8083">
        <f>TEST_DATA!C8083</f>
        <v>44442</v>
      </c>
      <c r="D8083" t="str">
        <f>TEST_DATA!D8083</f>
        <v>NON-NIL</v>
      </c>
      <c r="E8083">
        <f>TEST_DATA!E8083</f>
        <v>242</v>
      </c>
    </row>
    <row r="8084" spans="1:5" x14ac:dyDescent="0.55000000000000004">
      <c r="A8084" t="str">
        <f>TEST_DATA!A8084</f>
        <v>27AAAAA8084Z5</v>
      </c>
      <c r="B8084" t="str">
        <f>TEST_DATA!B8084</f>
        <v>Apr-2018</v>
      </c>
      <c r="C8084">
        <f>TEST_DATA!C8084</f>
        <v>43604</v>
      </c>
      <c r="D8084" t="str">
        <f>TEST_DATA!D8084</f>
        <v>NIL</v>
      </c>
      <c r="E8084">
        <f>TEST_DATA!E8084</f>
        <v>2917</v>
      </c>
    </row>
    <row r="8085" spans="1:5" x14ac:dyDescent="0.55000000000000004">
      <c r="A8085" t="str">
        <f>TEST_DATA!A8085</f>
        <v>27AAAAA8085Z5</v>
      </c>
      <c r="B8085" t="str">
        <f>TEST_DATA!B8085</f>
        <v>May-2018</v>
      </c>
      <c r="C8085">
        <f>TEST_DATA!C8085</f>
        <v>44393</v>
      </c>
      <c r="D8085" t="str">
        <f>TEST_DATA!D8085</f>
        <v>NIL</v>
      </c>
      <c r="E8085">
        <f>TEST_DATA!E8085</f>
        <v>512</v>
      </c>
    </row>
    <row r="8086" spans="1:5" x14ac:dyDescent="0.55000000000000004">
      <c r="A8086" t="str">
        <f>TEST_DATA!A8086</f>
        <v>27AAAAA8086Z5</v>
      </c>
      <c r="B8086" t="str">
        <f>TEST_DATA!B8086</f>
        <v>Jun-2020</v>
      </c>
      <c r="C8086">
        <f>TEST_DATA!C8086</f>
        <v>44688</v>
      </c>
      <c r="D8086" t="str">
        <f>TEST_DATA!D8086</f>
        <v>NON-NIL</v>
      </c>
      <c r="E8086">
        <f>TEST_DATA!E8086</f>
        <v>932</v>
      </c>
    </row>
    <row r="8087" spans="1:5" x14ac:dyDescent="0.55000000000000004">
      <c r="A8087" t="str">
        <f>TEST_DATA!A8087</f>
        <v>27AAAAA8087Z5</v>
      </c>
      <c r="B8087" t="str">
        <f>TEST_DATA!B8087</f>
        <v>Jun-2020</v>
      </c>
      <c r="C8087">
        <f>TEST_DATA!C8087</f>
        <v>44035</v>
      </c>
      <c r="D8087" t="str">
        <f>TEST_DATA!D8087</f>
        <v>NIL</v>
      </c>
      <c r="E8087">
        <f>TEST_DATA!E8087</f>
        <v>881</v>
      </c>
    </row>
    <row r="8088" spans="1:5" x14ac:dyDescent="0.55000000000000004">
      <c r="A8088" t="str">
        <f>TEST_DATA!A8088</f>
        <v>27AAAAA8088Z5</v>
      </c>
      <c r="B8088" t="str">
        <f>TEST_DATA!B8088</f>
        <v>Mar-2018</v>
      </c>
      <c r="C8088">
        <f>TEST_DATA!C8088</f>
        <v>44517</v>
      </c>
      <c r="D8088" t="str">
        <f>TEST_DATA!D8088</f>
        <v>NIL</v>
      </c>
      <c r="E8088">
        <f>TEST_DATA!E8088</f>
        <v>2175</v>
      </c>
    </row>
    <row r="8089" spans="1:5" x14ac:dyDescent="0.55000000000000004">
      <c r="A8089" t="str">
        <f>TEST_DATA!A8089</f>
        <v>27AAAAA8089Z5</v>
      </c>
      <c r="B8089" t="str">
        <f>TEST_DATA!B8089</f>
        <v>Dec-2019</v>
      </c>
      <c r="C8089">
        <f>TEST_DATA!C8089</f>
        <v>45639</v>
      </c>
      <c r="D8089" t="str">
        <f>TEST_DATA!D8089</f>
        <v>NIL</v>
      </c>
      <c r="E8089">
        <f>TEST_DATA!E8089</f>
        <v>1263</v>
      </c>
    </row>
    <row r="8090" spans="1:5" x14ac:dyDescent="0.55000000000000004">
      <c r="A8090" t="str">
        <f>TEST_DATA!A8090</f>
        <v>27AAAAA8090Z5</v>
      </c>
      <c r="B8090" t="str">
        <f>TEST_DATA!B8090</f>
        <v>Jun-2019</v>
      </c>
      <c r="C8090">
        <f>TEST_DATA!C8090</f>
        <v>44875</v>
      </c>
      <c r="D8090" t="str">
        <f>TEST_DATA!D8090</f>
        <v>NIL</v>
      </c>
      <c r="E8090">
        <f>TEST_DATA!E8090</f>
        <v>2693</v>
      </c>
    </row>
    <row r="8091" spans="1:5" x14ac:dyDescent="0.55000000000000004">
      <c r="A8091" t="str">
        <f>TEST_DATA!A8091</f>
        <v>27AAAAA8091Z5</v>
      </c>
      <c r="B8091" t="str">
        <f>TEST_DATA!B8091</f>
        <v>Apr-2018</v>
      </c>
      <c r="C8091">
        <f>TEST_DATA!C8091</f>
        <v>44248</v>
      </c>
      <c r="D8091" t="str">
        <f>TEST_DATA!D8091</f>
        <v>NIL</v>
      </c>
      <c r="E8091">
        <f>TEST_DATA!E8091</f>
        <v>234</v>
      </c>
    </row>
    <row r="8092" spans="1:5" x14ac:dyDescent="0.55000000000000004">
      <c r="A8092" t="str">
        <f>TEST_DATA!A8092</f>
        <v>27AAAAA8092Z5</v>
      </c>
      <c r="B8092" t="str">
        <f>TEST_DATA!B8092</f>
        <v>Nov-2017</v>
      </c>
      <c r="C8092">
        <f>TEST_DATA!C8092</f>
        <v>43673</v>
      </c>
      <c r="D8092" t="str">
        <f>TEST_DATA!D8092</f>
        <v>NIL</v>
      </c>
      <c r="E8092">
        <f>TEST_DATA!E8092</f>
        <v>1641</v>
      </c>
    </row>
    <row r="8093" spans="1:5" x14ac:dyDescent="0.55000000000000004">
      <c r="A8093" t="str">
        <f>TEST_DATA!A8093</f>
        <v>27AAAAA8093Z5</v>
      </c>
      <c r="B8093" t="str">
        <f>TEST_DATA!B8093</f>
        <v>Apr-2018</v>
      </c>
      <c r="C8093">
        <f>TEST_DATA!C8093</f>
        <v>43667</v>
      </c>
      <c r="D8093" t="str">
        <f>TEST_DATA!D8093</f>
        <v>NIL</v>
      </c>
      <c r="E8093">
        <f>TEST_DATA!E8093</f>
        <v>2783</v>
      </c>
    </row>
    <row r="8094" spans="1:5" x14ac:dyDescent="0.55000000000000004">
      <c r="A8094" t="str">
        <f>TEST_DATA!A8094</f>
        <v>27AAAAA8094Z5</v>
      </c>
      <c r="B8094" t="str">
        <f>TEST_DATA!B8094</f>
        <v>Nov-2017</v>
      </c>
      <c r="C8094">
        <f>TEST_DATA!C8094</f>
        <v>44049</v>
      </c>
      <c r="D8094" t="str">
        <f>TEST_DATA!D8094</f>
        <v>NIL</v>
      </c>
      <c r="E8094">
        <f>TEST_DATA!E8094</f>
        <v>2958</v>
      </c>
    </row>
    <row r="8095" spans="1:5" x14ac:dyDescent="0.55000000000000004">
      <c r="A8095" t="str">
        <f>TEST_DATA!A8095</f>
        <v>27AAAAA8095Z5</v>
      </c>
      <c r="B8095" t="str">
        <f>TEST_DATA!B8095</f>
        <v>Feb-2018</v>
      </c>
      <c r="C8095">
        <f>TEST_DATA!C8095</f>
        <v>43136</v>
      </c>
      <c r="D8095" t="str">
        <f>TEST_DATA!D8095</f>
        <v>NIL</v>
      </c>
      <c r="E8095">
        <f>TEST_DATA!E8095</f>
        <v>1045</v>
      </c>
    </row>
    <row r="8096" spans="1:5" x14ac:dyDescent="0.55000000000000004">
      <c r="A8096" t="str">
        <f>TEST_DATA!A8096</f>
        <v>27AAAAA8096Z5</v>
      </c>
      <c r="B8096" t="str">
        <f>TEST_DATA!B8096</f>
        <v>Nov-2017</v>
      </c>
      <c r="C8096">
        <f>TEST_DATA!C8096</f>
        <v>43882</v>
      </c>
      <c r="D8096" t="str">
        <f>TEST_DATA!D8096</f>
        <v>NON-NIL</v>
      </c>
      <c r="E8096">
        <f>TEST_DATA!E8096</f>
        <v>1519</v>
      </c>
    </row>
    <row r="8097" spans="1:5" x14ac:dyDescent="0.55000000000000004">
      <c r="A8097" t="str">
        <f>TEST_DATA!A8097</f>
        <v>27AAAAA8097Z5</v>
      </c>
      <c r="B8097" t="str">
        <f>TEST_DATA!B8097</f>
        <v>Sep-2018</v>
      </c>
      <c r="C8097">
        <f>TEST_DATA!C8097</f>
        <v>43692</v>
      </c>
      <c r="D8097" t="str">
        <f>TEST_DATA!D8097</f>
        <v>NON-NIL</v>
      </c>
      <c r="E8097">
        <f>TEST_DATA!E8097</f>
        <v>756</v>
      </c>
    </row>
    <row r="8098" spans="1:5" x14ac:dyDescent="0.55000000000000004">
      <c r="A8098" t="str">
        <f>TEST_DATA!A8098</f>
        <v>27AAAAA8098Z5</v>
      </c>
      <c r="B8098" t="str">
        <f>TEST_DATA!B8098</f>
        <v>Apr-2020</v>
      </c>
      <c r="C8098">
        <f>TEST_DATA!C8098</f>
        <v>43961</v>
      </c>
      <c r="D8098" t="str">
        <f>TEST_DATA!D8098</f>
        <v>NIL</v>
      </c>
      <c r="E8098">
        <f>TEST_DATA!E8098</f>
        <v>2942</v>
      </c>
    </row>
    <row r="8099" spans="1:5" x14ac:dyDescent="0.55000000000000004">
      <c r="A8099" t="str">
        <f>TEST_DATA!A8099</f>
        <v>27AAAAA8099Z5</v>
      </c>
      <c r="B8099" t="str">
        <f>TEST_DATA!B8099</f>
        <v>May-2018</v>
      </c>
      <c r="C8099">
        <f>TEST_DATA!C8099</f>
        <v>43516</v>
      </c>
      <c r="D8099" t="str">
        <f>TEST_DATA!D8099</f>
        <v>NIL</v>
      </c>
      <c r="E8099">
        <f>TEST_DATA!E8099</f>
        <v>1168</v>
      </c>
    </row>
    <row r="8100" spans="1:5" x14ac:dyDescent="0.55000000000000004">
      <c r="A8100" t="str">
        <f>TEST_DATA!A8100</f>
        <v>27AAAAA8100Z5</v>
      </c>
      <c r="B8100" t="str">
        <f>TEST_DATA!B8100</f>
        <v>May-2020</v>
      </c>
      <c r="C8100">
        <f>TEST_DATA!C8100</f>
        <v>44360</v>
      </c>
      <c r="D8100" t="str">
        <f>TEST_DATA!D8100</f>
        <v>NIL</v>
      </c>
      <c r="E8100">
        <f>TEST_DATA!E8100</f>
        <v>348</v>
      </c>
    </row>
    <row r="8101" spans="1:5" x14ac:dyDescent="0.55000000000000004">
      <c r="A8101" t="str">
        <f>TEST_DATA!A8101</f>
        <v>27AAAAA8101Z5</v>
      </c>
      <c r="B8101" t="str">
        <f>TEST_DATA!B8101</f>
        <v>Jun-2019</v>
      </c>
      <c r="C8101">
        <f>TEST_DATA!C8101</f>
        <v>44297</v>
      </c>
      <c r="D8101" t="str">
        <f>TEST_DATA!D8101</f>
        <v>NON-NIL</v>
      </c>
      <c r="E8101">
        <f>TEST_DATA!E8101</f>
        <v>1018</v>
      </c>
    </row>
    <row r="8102" spans="1:5" x14ac:dyDescent="0.55000000000000004">
      <c r="A8102" t="str">
        <f>TEST_DATA!A8102</f>
        <v>27AAAAA8102Z5</v>
      </c>
      <c r="B8102" t="str">
        <f>TEST_DATA!B8102</f>
        <v>Aug-2018</v>
      </c>
      <c r="C8102">
        <f>TEST_DATA!C8102</f>
        <v>44176</v>
      </c>
      <c r="D8102" t="str">
        <f>TEST_DATA!D8102</f>
        <v>NON-NIL</v>
      </c>
      <c r="E8102">
        <f>TEST_DATA!E8102</f>
        <v>921</v>
      </c>
    </row>
    <row r="8103" spans="1:5" x14ac:dyDescent="0.55000000000000004">
      <c r="A8103" t="str">
        <f>TEST_DATA!A8103</f>
        <v>27AAAAA8103Z5</v>
      </c>
      <c r="B8103" t="str">
        <f>TEST_DATA!B8103</f>
        <v>Apr-2021</v>
      </c>
      <c r="C8103">
        <f>TEST_DATA!C8103</f>
        <v>43812</v>
      </c>
      <c r="D8103" t="str">
        <f>TEST_DATA!D8103</f>
        <v>NIL</v>
      </c>
      <c r="E8103">
        <f>TEST_DATA!E8103</f>
        <v>2808</v>
      </c>
    </row>
    <row r="8104" spans="1:5" x14ac:dyDescent="0.55000000000000004">
      <c r="A8104" t="str">
        <f>TEST_DATA!A8104</f>
        <v>27AAAAA8104Z5</v>
      </c>
      <c r="B8104" t="str">
        <f>TEST_DATA!B8104</f>
        <v>May-2020</v>
      </c>
      <c r="C8104">
        <f>TEST_DATA!C8104</f>
        <v>44152</v>
      </c>
      <c r="D8104" t="str">
        <f>TEST_DATA!D8104</f>
        <v>NON-NIL</v>
      </c>
      <c r="E8104">
        <f>TEST_DATA!E8104</f>
        <v>1981</v>
      </c>
    </row>
    <row r="8105" spans="1:5" x14ac:dyDescent="0.55000000000000004">
      <c r="A8105" t="str">
        <f>TEST_DATA!A8105</f>
        <v>27AAAAA8105Z5</v>
      </c>
      <c r="B8105" t="str">
        <f>TEST_DATA!B8105</f>
        <v>Oct-2017</v>
      </c>
      <c r="C8105">
        <f>TEST_DATA!C8105</f>
        <v>44305</v>
      </c>
      <c r="D8105" t="str">
        <f>TEST_DATA!D8105</f>
        <v>NIL</v>
      </c>
      <c r="E8105">
        <f>TEST_DATA!E8105</f>
        <v>1313</v>
      </c>
    </row>
    <row r="8106" spans="1:5" x14ac:dyDescent="0.55000000000000004">
      <c r="A8106" t="str">
        <f>TEST_DATA!A8106</f>
        <v>27AAAAA8106Z5</v>
      </c>
      <c r="B8106" t="str">
        <f>TEST_DATA!B8106</f>
        <v>Jul-2017</v>
      </c>
      <c r="C8106">
        <f>TEST_DATA!C8106</f>
        <v>43752</v>
      </c>
      <c r="D8106" t="str">
        <f>TEST_DATA!D8106</f>
        <v>NIL</v>
      </c>
      <c r="E8106">
        <f>TEST_DATA!E8106</f>
        <v>2798</v>
      </c>
    </row>
    <row r="8107" spans="1:5" x14ac:dyDescent="0.55000000000000004">
      <c r="A8107" t="str">
        <f>TEST_DATA!A8107</f>
        <v>27AAAAA8107Z5</v>
      </c>
      <c r="B8107" t="str">
        <f>TEST_DATA!B8107</f>
        <v>Mar-2020</v>
      </c>
      <c r="C8107">
        <f>TEST_DATA!C8107</f>
        <v>44065</v>
      </c>
      <c r="D8107" t="str">
        <f>TEST_DATA!D8107</f>
        <v>NON-NIL</v>
      </c>
      <c r="E8107">
        <f>TEST_DATA!E8107</f>
        <v>2477</v>
      </c>
    </row>
    <row r="8108" spans="1:5" x14ac:dyDescent="0.55000000000000004">
      <c r="A8108" t="str">
        <f>TEST_DATA!A8108</f>
        <v>27AAAAA8108Z5</v>
      </c>
      <c r="B8108" t="str">
        <f>TEST_DATA!B8108</f>
        <v>Nov-2017</v>
      </c>
      <c r="C8108">
        <f>TEST_DATA!C8108</f>
        <v>43715</v>
      </c>
      <c r="D8108" t="str">
        <f>TEST_DATA!D8108</f>
        <v>NON-NIL</v>
      </c>
      <c r="E8108">
        <f>TEST_DATA!E8108</f>
        <v>263</v>
      </c>
    </row>
    <row r="8109" spans="1:5" x14ac:dyDescent="0.55000000000000004">
      <c r="A8109" t="str">
        <f>TEST_DATA!A8109</f>
        <v>27AAAAA8109Z5</v>
      </c>
      <c r="B8109" t="str">
        <f>TEST_DATA!B8109</f>
        <v>Sep-2018</v>
      </c>
      <c r="C8109">
        <f>TEST_DATA!C8109</f>
        <v>43354</v>
      </c>
      <c r="D8109" t="str">
        <f>TEST_DATA!D8109</f>
        <v>NIL</v>
      </c>
      <c r="E8109">
        <f>TEST_DATA!E8109</f>
        <v>2085</v>
      </c>
    </row>
    <row r="8110" spans="1:5" x14ac:dyDescent="0.55000000000000004">
      <c r="A8110" t="str">
        <f>TEST_DATA!A8110</f>
        <v>27AAAAA8110Z5</v>
      </c>
      <c r="B8110" t="str">
        <f>TEST_DATA!B8110</f>
        <v>Oct-2017</v>
      </c>
      <c r="C8110">
        <f>TEST_DATA!C8110</f>
        <v>43792</v>
      </c>
      <c r="D8110" t="str">
        <f>TEST_DATA!D8110</f>
        <v>NIL</v>
      </c>
      <c r="E8110">
        <f>TEST_DATA!E8110</f>
        <v>2807</v>
      </c>
    </row>
    <row r="8111" spans="1:5" x14ac:dyDescent="0.55000000000000004">
      <c r="A8111" t="str">
        <f>TEST_DATA!A8111</f>
        <v>27AAAAA8111Z5</v>
      </c>
      <c r="B8111" t="str">
        <f>TEST_DATA!B8111</f>
        <v>Apr-2020</v>
      </c>
      <c r="C8111">
        <f>TEST_DATA!C8111</f>
        <v>44001</v>
      </c>
      <c r="D8111" t="str">
        <f>TEST_DATA!D8111</f>
        <v>NIL</v>
      </c>
      <c r="E8111">
        <f>TEST_DATA!E8111</f>
        <v>2994</v>
      </c>
    </row>
    <row r="8112" spans="1:5" x14ac:dyDescent="0.55000000000000004">
      <c r="A8112" t="str">
        <f>TEST_DATA!A8112</f>
        <v>27AAAAA8112Z5</v>
      </c>
      <c r="B8112" t="str">
        <f>TEST_DATA!B8112</f>
        <v>Jun-2019</v>
      </c>
      <c r="C8112">
        <f>TEST_DATA!C8112</f>
        <v>45469</v>
      </c>
      <c r="D8112" t="str">
        <f>TEST_DATA!D8112</f>
        <v>NIL</v>
      </c>
      <c r="E8112">
        <f>TEST_DATA!E8112</f>
        <v>2533</v>
      </c>
    </row>
    <row r="8113" spans="1:5" x14ac:dyDescent="0.55000000000000004">
      <c r="A8113" t="str">
        <f>TEST_DATA!A8113</f>
        <v>27AAAAA8113Z5</v>
      </c>
      <c r="B8113" t="str">
        <f>TEST_DATA!B8113</f>
        <v>Nov-2017</v>
      </c>
      <c r="C8113">
        <f>TEST_DATA!C8113</f>
        <v>43237</v>
      </c>
      <c r="D8113" t="str">
        <f>TEST_DATA!D8113</f>
        <v>NIL</v>
      </c>
      <c r="E8113">
        <f>TEST_DATA!E8113</f>
        <v>2431</v>
      </c>
    </row>
    <row r="8114" spans="1:5" x14ac:dyDescent="0.55000000000000004">
      <c r="A8114" t="str">
        <f>TEST_DATA!A8114</f>
        <v>27AAAAA8114Z5</v>
      </c>
      <c r="B8114" t="str">
        <f>TEST_DATA!B8114</f>
        <v>Dec-2019</v>
      </c>
      <c r="C8114">
        <f>TEST_DATA!C8114</f>
        <v>44474</v>
      </c>
      <c r="D8114" t="str">
        <f>TEST_DATA!D8114</f>
        <v>NON-NIL</v>
      </c>
      <c r="E8114">
        <f>TEST_DATA!E8114</f>
        <v>2323</v>
      </c>
    </row>
    <row r="8115" spans="1:5" x14ac:dyDescent="0.55000000000000004">
      <c r="A8115" t="str">
        <f>TEST_DATA!A8115</f>
        <v>27AAAAA8115Z5</v>
      </c>
      <c r="B8115" t="str">
        <f>TEST_DATA!B8115</f>
        <v>Dec-2024</v>
      </c>
      <c r="C8115">
        <f>TEST_DATA!C8115</f>
        <v>43775</v>
      </c>
      <c r="D8115" t="str">
        <f>TEST_DATA!D8115</f>
        <v>NON-NIL</v>
      </c>
      <c r="E8115">
        <f>TEST_DATA!E8115</f>
        <v>1813</v>
      </c>
    </row>
    <row r="8116" spans="1:5" x14ac:dyDescent="0.55000000000000004">
      <c r="A8116" t="str">
        <f>TEST_DATA!A8116</f>
        <v>27AAAAA8116Z5</v>
      </c>
      <c r="B8116" t="str">
        <f>TEST_DATA!B8116</f>
        <v>Jan-2018</v>
      </c>
      <c r="C8116">
        <f>TEST_DATA!C8116</f>
        <v>44308</v>
      </c>
      <c r="D8116" t="str">
        <f>TEST_DATA!D8116</f>
        <v>NON-NIL</v>
      </c>
      <c r="E8116">
        <f>TEST_DATA!E8116</f>
        <v>1782</v>
      </c>
    </row>
    <row r="8117" spans="1:5" x14ac:dyDescent="0.55000000000000004">
      <c r="A8117" t="str">
        <f>TEST_DATA!A8117</f>
        <v>27AAAAA8117Z5</v>
      </c>
      <c r="B8117" t="str">
        <f>TEST_DATA!B8117</f>
        <v>Mar-2021</v>
      </c>
      <c r="C8117">
        <f>TEST_DATA!C8117</f>
        <v>45448</v>
      </c>
      <c r="D8117" t="str">
        <f>TEST_DATA!D8117</f>
        <v>NIL</v>
      </c>
      <c r="E8117">
        <f>TEST_DATA!E8117</f>
        <v>110</v>
      </c>
    </row>
    <row r="8118" spans="1:5" x14ac:dyDescent="0.55000000000000004">
      <c r="A8118" t="str">
        <f>TEST_DATA!A8118</f>
        <v>27AAAAA8118Z5</v>
      </c>
      <c r="B8118" t="str">
        <f>TEST_DATA!B8118</f>
        <v>Jun-2018</v>
      </c>
      <c r="C8118">
        <f>TEST_DATA!C8118</f>
        <v>43197</v>
      </c>
      <c r="D8118" t="str">
        <f>TEST_DATA!D8118</f>
        <v>NON-NIL</v>
      </c>
      <c r="E8118">
        <f>TEST_DATA!E8118</f>
        <v>1996</v>
      </c>
    </row>
    <row r="8119" spans="1:5" x14ac:dyDescent="0.55000000000000004">
      <c r="A8119" t="str">
        <f>TEST_DATA!A8119</f>
        <v>27AAAAA8119Z5</v>
      </c>
      <c r="B8119" t="str">
        <f>TEST_DATA!B8119</f>
        <v>Jul-2017</v>
      </c>
      <c r="C8119">
        <f>TEST_DATA!C8119</f>
        <v>43822</v>
      </c>
      <c r="D8119" t="str">
        <f>TEST_DATA!D8119</f>
        <v>NON-NIL</v>
      </c>
      <c r="E8119">
        <f>TEST_DATA!E8119</f>
        <v>1418</v>
      </c>
    </row>
    <row r="8120" spans="1:5" x14ac:dyDescent="0.55000000000000004">
      <c r="A8120" t="str">
        <f>TEST_DATA!A8120</f>
        <v>27AAAAA8120Z5</v>
      </c>
      <c r="B8120" t="str">
        <f>TEST_DATA!B8120</f>
        <v>Mar-2023</v>
      </c>
      <c r="C8120">
        <f>TEST_DATA!C8120</f>
        <v>43797</v>
      </c>
      <c r="D8120" t="str">
        <f>TEST_DATA!D8120</f>
        <v>NON-NIL</v>
      </c>
      <c r="E8120">
        <f>TEST_DATA!E8120</f>
        <v>804</v>
      </c>
    </row>
    <row r="8121" spans="1:5" x14ac:dyDescent="0.55000000000000004">
      <c r="A8121" t="str">
        <f>TEST_DATA!A8121</f>
        <v>27AAAAA8121Z5</v>
      </c>
      <c r="B8121" t="str">
        <f>TEST_DATA!B8121</f>
        <v>Aug-2017</v>
      </c>
      <c r="C8121">
        <f>TEST_DATA!C8121</f>
        <v>43437</v>
      </c>
      <c r="D8121" t="str">
        <f>TEST_DATA!D8121</f>
        <v>NON-NIL</v>
      </c>
      <c r="E8121">
        <f>TEST_DATA!E8121</f>
        <v>1301</v>
      </c>
    </row>
    <row r="8122" spans="1:5" x14ac:dyDescent="0.55000000000000004">
      <c r="A8122" t="str">
        <f>TEST_DATA!A8122</f>
        <v>27AAAAA8122Z5</v>
      </c>
      <c r="B8122" t="str">
        <f>TEST_DATA!B8122</f>
        <v>Aug-2017</v>
      </c>
      <c r="C8122">
        <f>TEST_DATA!C8122</f>
        <v>42938</v>
      </c>
      <c r="D8122" t="str">
        <f>TEST_DATA!D8122</f>
        <v>NIL</v>
      </c>
      <c r="E8122">
        <f>TEST_DATA!E8122</f>
        <v>24</v>
      </c>
    </row>
    <row r="8123" spans="1:5" x14ac:dyDescent="0.55000000000000004">
      <c r="A8123" t="str">
        <f>TEST_DATA!A8123</f>
        <v>27AAAAA8123Z5</v>
      </c>
      <c r="B8123" t="str">
        <f>TEST_DATA!B8123</f>
        <v>Nov-2017</v>
      </c>
      <c r="C8123">
        <f>TEST_DATA!C8123</f>
        <v>44506</v>
      </c>
      <c r="D8123" t="str">
        <f>TEST_DATA!D8123</f>
        <v>NON-NIL</v>
      </c>
      <c r="E8123">
        <f>TEST_DATA!E8123</f>
        <v>2132</v>
      </c>
    </row>
    <row r="8124" spans="1:5" x14ac:dyDescent="0.55000000000000004">
      <c r="A8124" t="str">
        <f>TEST_DATA!A8124</f>
        <v>27AAAAA8124Z5</v>
      </c>
      <c r="B8124" t="str">
        <f>TEST_DATA!B8124</f>
        <v>Feb-2018</v>
      </c>
      <c r="C8124">
        <f>TEST_DATA!C8124</f>
        <v>44064</v>
      </c>
      <c r="D8124" t="str">
        <f>TEST_DATA!D8124</f>
        <v>NON-NIL</v>
      </c>
      <c r="E8124">
        <f>TEST_DATA!E8124</f>
        <v>2273</v>
      </c>
    </row>
    <row r="8125" spans="1:5" x14ac:dyDescent="0.55000000000000004">
      <c r="A8125" t="str">
        <f>TEST_DATA!A8125</f>
        <v>27AAAAA8125Z5</v>
      </c>
      <c r="B8125" t="str">
        <f>TEST_DATA!B8125</f>
        <v>Apr-2020</v>
      </c>
      <c r="C8125">
        <f>TEST_DATA!C8125</f>
        <v>43901</v>
      </c>
      <c r="D8125" t="str">
        <f>TEST_DATA!D8125</f>
        <v>NIL</v>
      </c>
      <c r="E8125">
        <f>TEST_DATA!E8125</f>
        <v>1268</v>
      </c>
    </row>
    <row r="8126" spans="1:5" x14ac:dyDescent="0.55000000000000004">
      <c r="A8126" t="str">
        <f>TEST_DATA!A8126</f>
        <v>27AAAAA8126Z5</v>
      </c>
      <c r="B8126" t="str">
        <f>TEST_DATA!B8126</f>
        <v>May-2020</v>
      </c>
      <c r="C8126">
        <f>TEST_DATA!C8126</f>
        <v>44540</v>
      </c>
      <c r="D8126" t="str">
        <f>TEST_DATA!D8126</f>
        <v>NIL</v>
      </c>
      <c r="E8126">
        <f>TEST_DATA!E8126</f>
        <v>696</v>
      </c>
    </row>
    <row r="8127" spans="1:5" x14ac:dyDescent="0.55000000000000004">
      <c r="A8127" t="str">
        <f>TEST_DATA!A8127</f>
        <v>27AAAAA8127Z5</v>
      </c>
      <c r="B8127" t="str">
        <f>TEST_DATA!B8127</f>
        <v>Apr-2020</v>
      </c>
      <c r="C8127">
        <f>TEST_DATA!C8127</f>
        <v>44478</v>
      </c>
      <c r="D8127" t="str">
        <f>TEST_DATA!D8127</f>
        <v>NON-NIL</v>
      </c>
      <c r="E8127">
        <f>TEST_DATA!E8127</f>
        <v>1853</v>
      </c>
    </row>
    <row r="8128" spans="1:5" x14ac:dyDescent="0.55000000000000004">
      <c r="A8128" t="str">
        <f>TEST_DATA!A8128</f>
        <v>27AAAAA8128Z5</v>
      </c>
      <c r="B8128" t="str">
        <f>TEST_DATA!B8128</f>
        <v>Mar-2021</v>
      </c>
      <c r="C8128">
        <f>TEST_DATA!C8128</f>
        <v>45090</v>
      </c>
      <c r="D8128" t="str">
        <f>TEST_DATA!D8128</f>
        <v>NIL</v>
      </c>
      <c r="E8128">
        <f>TEST_DATA!E8128</f>
        <v>973</v>
      </c>
    </row>
    <row r="8129" spans="1:5" x14ac:dyDescent="0.55000000000000004">
      <c r="A8129" t="str">
        <f>TEST_DATA!A8129</f>
        <v>27AAAAA8129Z5</v>
      </c>
      <c r="B8129" t="str">
        <f>TEST_DATA!B8129</f>
        <v>May-2020</v>
      </c>
      <c r="C8129">
        <f>TEST_DATA!C8129</f>
        <v>43928</v>
      </c>
      <c r="D8129" t="str">
        <f>TEST_DATA!D8129</f>
        <v>NON-NIL</v>
      </c>
      <c r="E8129">
        <f>TEST_DATA!E8129</f>
        <v>34</v>
      </c>
    </row>
    <row r="8130" spans="1:5" x14ac:dyDescent="0.55000000000000004">
      <c r="A8130" t="str">
        <f>TEST_DATA!A8130</f>
        <v>27AAAAA8130Z5</v>
      </c>
      <c r="B8130" t="str">
        <f>TEST_DATA!B8130</f>
        <v>Apr-2020</v>
      </c>
      <c r="C8130">
        <f>TEST_DATA!C8130</f>
        <v>44252</v>
      </c>
      <c r="D8130" t="str">
        <f>TEST_DATA!D8130</f>
        <v>NON-NIL</v>
      </c>
      <c r="E8130">
        <f>TEST_DATA!E8130</f>
        <v>1671</v>
      </c>
    </row>
    <row r="8131" spans="1:5" x14ac:dyDescent="0.55000000000000004">
      <c r="A8131" t="str">
        <f>TEST_DATA!A8131</f>
        <v>27AAAAA8131Z5</v>
      </c>
      <c r="B8131" t="str">
        <f>TEST_DATA!B8131</f>
        <v>Jun-2020</v>
      </c>
      <c r="C8131">
        <f>TEST_DATA!C8131</f>
        <v>44771</v>
      </c>
      <c r="D8131" t="str">
        <f>TEST_DATA!D8131</f>
        <v>NON-NIL</v>
      </c>
      <c r="E8131">
        <f>TEST_DATA!E8131</f>
        <v>1218</v>
      </c>
    </row>
    <row r="8132" spans="1:5" x14ac:dyDescent="0.55000000000000004">
      <c r="A8132" t="str">
        <f>TEST_DATA!A8132</f>
        <v>27AAAAA8132Z5</v>
      </c>
      <c r="B8132" t="str">
        <f>TEST_DATA!B8132</f>
        <v>May-2020</v>
      </c>
      <c r="C8132">
        <f>TEST_DATA!C8132</f>
        <v>43971</v>
      </c>
      <c r="D8132" t="str">
        <f>TEST_DATA!D8132</f>
        <v>NIL</v>
      </c>
      <c r="E8132">
        <f>TEST_DATA!E8132</f>
        <v>983</v>
      </c>
    </row>
    <row r="8133" spans="1:5" x14ac:dyDescent="0.55000000000000004">
      <c r="A8133" t="str">
        <f>TEST_DATA!A8133</f>
        <v>27AAAAA8133Z5</v>
      </c>
      <c r="B8133" t="str">
        <f>TEST_DATA!B8133</f>
        <v>Apr-2021</v>
      </c>
      <c r="C8133">
        <f>TEST_DATA!C8133</f>
        <v>45202</v>
      </c>
      <c r="D8133" t="str">
        <f>TEST_DATA!D8133</f>
        <v>NIL</v>
      </c>
      <c r="E8133">
        <f>TEST_DATA!E8133</f>
        <v>182</v>
      </c>
    </row>
    <row r="8134" spans="1:5" x14ac:dyDescent="0.55000000000000004">
      <c r="A8134" t="str">
        <f>TEST_DATA!A8134</f>
        <v>27AAAAA8134Z5</v>
      </c>
      <c r="B8134" t="str">
        <f>TEST_DATA!B8134</f>
        <v>Sep-2017</v>
      </c>
      <c r="C8134">
        <f>TEST_DATA!C8134</f>
        <v>43415</v>
      </c>
      <c r="D8134" t="str">
        <f>TEST_DATA!D8134</f>
        <v>NIL</v>
      </c>
      <c r="E8134">
        <f>TEST_DATA!E8134</f>
        <v>1828</v>
      </c>
    </row>
    <row r="8135" spans="1:5" x14ac:dyDescent="0.55000000000000004">
      <c r="A8135" t="str">
        <f>TEST_DATA!A8135</f>
        <v>27AAAAA8135Z5</v>
      </c>
      <c r="B8135" t="str">
        <f>TEST_DATA!B8135</f>
        <v>Dec-2017</v>
      </c>
      <c r="C8135">
        <f>TEST_DATA!C8135</f>
        <v>43063</v>
      </c>
      <c r="D8135" t="str">
        <f>TEST_DATA!D8135</f>
        <v>NIL</v>
      </c>
      <c r="E8135">
        <f>TEST_DATA!E8135</f>
        <v>1284</v>
      </c>
    </row>
    <row r="8136" spans="1:5" x14ac:dyDescent="0.55000000000000004">
      <c r="A8136" t="str">
        <f>TEST_DATA!A8136</f>
        <v>27AAAAA8136Z5</v>
      </c>
      <c r="B8136" t="str">
        <f>TEST_DATA!B8136</f>
        <v>Oct-2017</v>
      </c>
      <c r="C8136">
        <f>TEST_DATA!C8136</f>
        <v>43416</v>
      </c>
      <c r="D8136" t="str">
        <f>TEST_DATA!D8136</f>
        <v>NIL</v>
      </c>
      <c r="E8136">
        <f>TEST_DATA!E8136</f>
        <v>1150</v>
      </c>
    </row>
    <row r="8137" spans="1:5" x14ac:dyDescent="0.55000000000000004">
      <c r="A8137" t="str">
        <f>TEST_DATA!A8137</f>
        <v>27AAAAA8137Z5</v>
      </c>
      <c r="B8137" t="str">
        <f>TEST_DATA!B8137</f>
        <v>Jul-2018</v>
      </c>
      <c r="C8137">
        <f>TEST_DATA!C8137</f>
        <v>43040</v>
      </c>
      <c r="D8137" t="str">
        <f>TEST_DATA!D8137</f>
        <v>NIL</v>
      </c>
      <c r="E8137">
        <f>TEST_DATA!E8137</f>
        <v>2234</v>
      </c>
    </row>
    <row r="8138" spans="1:5" x14ac:dyDescent="0.55000000000000004">
      <c r="A8138" t="str">
        <f>TEST_DATA!A8138</f>
        <v>27AAAAA8138Z5</v>
      </c>
      <c r="B8138" t="str">
        <f>TEST_DATA!B8138</f>
        <v>Apr-2018</v>
      </c>
      <c r="C8138">
        <f>TEST_DATA!C8138</f>
        <v>43244</v>
      </c>
      <c r="D8138" t="str">
        <f>TEST_DATA!D8138</f>
        <v>NIL</v>
      </c>
      <c r="E8138">
        <f>TEST_DATA!E8138</f>
        <v>11</v>
      </c>
    </row>
    <row r="8139" spans="1:5" x14ac:dyDescent="0.55000000000000004">
      <c r="A8139" t="str">
        <f>TEST_DATA!A8139</f>
        <v>27AAAAA8139Z5</v>
      </c>
      <c r="B8139" t="str">
        <f>TEST_DATA!B8139</f>
        <v>Oct-2017</v>
      </c>
      <c r="C8139">
        <f>TEST_DATA!C8139</f>
        <v>43398</v>
      </c>
      <c r="D8139" t="str">
        <f>TEST_DATA!D8139</f>
        <v>NIL</v>
      </c>
      <c r="E8139">
        <f>TEST_DATA!E8139</f>
        <v>1481</v>
      </c>
    </row>
    <row r="8140" spans="1:5" x14ac:dyDescent="0.55000000000000004">
      <c r="A8140" t="str">
        <f>TEST_DATA!A8140</f>
        <v>27AAAAA8140Z5</v>
      </c>
      <c r="B8140" t="str">
        <f>TEST_DATA!B8140</f>
        <v>Apr-2021</v>
      </c>
      <c r="C8140">
        <f>TEST_DATA!C8140</f>
        <v>44432</v>
      </c>
      <c r="D8140" t="str">
        <f>TEST_DATA!D8140</f>
        <v>NIL</v>
      </c>
      <c r="E8140">
        <f>TEST_DATA!E8140</f>
        <v>129</v>
      </c>
    </row>
    <row r="8141" spans="1:5" x14ac:dyDescent="0.55000000000000004">
      <c r="A8141" t="str">
        <f>TEST_DATA!A8141</f>
        <v>27AAAAA8141Z5</v>
      </c>
      <c r="B8141" t="str">
        <f>TEST_DATA!B8141</f>
        <v>Mar-2021</v>
      </c>
      <c r="C8141">
        <f>TEST_DATA!C8141</f>
        <v>45719</v>
      </c>
      <c r="D8141" t="str">
        <f>TEST_DATA!D8141</f>
        <v>NIL</v>
      </c>
      <c r="E8141">
        <f>TEST_DATA!E8141</f>
        <v>2806</v>
      </c>
    </row>
    <row r="8142" spans="1:5" x14ac:dyDescent="0.55000000000000004">
      <c r="A8142" t="str">
        <f>TEST_DATA!A8142</f>
        <v>27AAAAA8142Z5</v>
      </c>
      <c r="B8142" t="str">
        <f>TEST_DATA!B8142</f>
        <v>Jan-2021</v>
      </c>
      <c r="C8142">
        <f>TEST_DATA!C8142</f>
        <v>43780</v>
      </c>
      <c r="D8142" t="str">
        <f>TEST_DATA!D8142</f>
        <v>NON-NIL</v>
      </c>
      <c r="E8142">
        <f>TEST_DATA!E8142</f>
        <v>2142</v>
      </c>
    </row>
    <row r="8143" spans="1:5" x14ac:dyDescent="0.55000000000000004">
      <c r="A8143" t="str">
        <f>TEST_DATA!A8143</f>
        <v>27AAAAA8143Z5</v>
      </c>
      <c r="B8143" t="str">
        <f>TEST_DATA!B8143</f>
        <v>Oct-2017</v>
      </c>
      <c r="C8143">
        <f>TEST_DATA!C8143</f>
        <v>44399</v>
      </c>
      <c r="D8143" t="str">
        <f>TEST_DATA!D8143</f>
        <v>NON-NIL</v>
      </c>
      <c r="E8143">
        <f>TEST_DATA!E8143</f>
        <v>910</v>
      </c>
    </row>
    <row r="8144" spans="1:5" x14ac:dyDescent="0.55000000000000004">
      <c r="A8144" t="str">
        <f>TEST_DATA!A8144</f>
        <v>27AAAAA8144Z5</v>
      </c>
      <c r="B8144" t="str">
        <f>TEST_DATA!B8144</f>
        <v>Aug-2018</v>
      </c>
      <c r="C8144">
        <f>TEST_DATA!C8144</f>
        <v>42935</v>
      </c>
      <c r="D8144" t="str">
        <f>TEST_DATA!D8144</f>
        <v>NIL</v>
      </c>
      <c r="E8144">
        <f>TEST_DATA!E8144</f>
        <v>2201</v>
      </c>
    </row>
    <row r="8145" spans="1:5" x14ac:dyDescent="0.55000000000000004">
      <c r="A8145" t="str">
        <f>TEST_DATA!A8145</f>
        <v>27AAAAA8145Z5</v>
      </c>
      <c r="B8145" t="str">
        <f>TEST_DATA!B8145</f>
        <v>Mar-2020</v>
      </c>
      <c r="C8145">
        <f>TEST_DATA!C8145</f>
        <v>44007</v>
      </c>
      <c r="D8145" t="str">
        <f>TEST_DATA!D8145</f>
        <v>NON-NIL</v>
      </c>
      <c r="E8145">
        <f>TEST_DATA!E8145</f>
        <v>1005</v>
      </c>
    </row>
    <row r="8146" spans="1:5" x14ac:dyDescent="0.55000000000000004">
      <c r="A8146" t="str">
        <f>TEST_DATA!A8146</f>
        <v>27AAAAA8146Z5</v>
      </c>
      <c r="B8146" t="str">
        <f>TEST_DATA!B8146</f>
        <v>Jan-2021</v>
      </c>
      <c r="C8146">
        <f>TEST_DATA!C8146</f>
        <v>45024</v>
      </c>
      <c r="D8146" t="str">
        <f>TEST_DATA!D8146</f>
        <v>NIL</v>
      </c>
      <c r="E8146">
        <f>TEST_DATA!E8146</f>
        <v>1908</v>
      </c>
    </row>
    <row r="8147" spans="1:5" x14ac:dyDescent="0.55000000000000004">
      <c r="A8147" t="str">
        <f>TEST_DATA!A8147</f>
        <v>27AAAAA8147Z5</v>
      </c>
      <c r="B8147" t="str">
        <f>TEST_DATA!B8147</f>
        <v>Jan-2021</v>
      </c>
      <c r="C8147">
        <f>TEST_DATA!C8147</f>
        <v>45556</v>
      </c>
      <c r="D8147" t="str">
        <f>TEST_DATA!D8147</f>
        <v>NON-NIL</v>
      </c>
      <c r="E8147">
        <f>TEST_DATA!E8147</f>
        <v>2654</v>
      </c>
    </row>
    <row r="8148" spans="1:5" x14ac:dyDescent="0.55000000000000004">
      <c r="A8148" t="str">
        <f>TEST_DATA!A8148</f>
        <v>27AAAAA8148Z5</v>
      </c>
      <c r="B8148" t="str">
        <f>TEST_DATA!B8148</f>
        <v>Jan-2019</v>
      </c>
      <c r="C8148">
        <f>TEST_DATA!C8148</f>
        <v>45220</v>
      </c>
      <c r="D8148" t="str">
        <f>TEST_DATA!D8148</f>
        <v>NON-NIL</v>
      </c>
      <c r="E8148">
        <f>TEST_DATA!E8148</f>
        <v>754</v>
      </c>
    </row>
    <row r="8149" spans="1:5" x14ac:dyDescent="0.55000000000000004">
      <c r="A8149" t="str">
        <f>TEST_DATA!A8149</f>
        <v>27AAAAA8149Z5</v>
      </c>
      <c r="B8149" t="str">
        <f>TEST_DATA!B8149</f>
        <v>Aug-2017</v>
      </c>
      <c r="C8149">
        <f>TEST_DATA!C8149</f>
        <v>43004</v>
      </c>
      <c r="D8149" t="str">
        <f>TEST_DATA!D8149</f>
        <v>NIL</v>
      </c>
      <c r="E8149">
        <f>TEST_DATA!E8149</f>
        <v>1448</v>
      </c>
    </row>
    <row r="8150" spans="1:5" x14ac:dyDescent="0.55000000000000004">
      <c r="A8150" t="str">
        <f>TEST_DATA!A8150</f>
        <v>27AAAAA8150Z5</v>
      </c>
      <c r="B8150" t="str">
        <f>TEST_DATA!B8150</f>
        <v>Nov-2017</v>
      </c>
      <c r="C8150">
        <f>TEST_DATA!C8150</f>
        <v>43082</v>
      </c>
      <c r="D8150" t="str">
        <f>TEST_DATA!D8150</f>
        <v>NON-NIL</v>
      </c>
      <c r="E8150">
        <f>TEST_DATA!E8150</f>
        <v>2862</v>
      </c>
    </row>
    <row r="8151" spans="1:5" x14ac:dyDescent="0.55000000000000004">
      <c r="A8151" t="str">
        <f>TEST_DATA!A8151</f>
        <v>27AAAAA8151Z5</v>
      </c>
      <c r="B8151" t="str">
        <f>TEST_DATA!B8151</f>
        <v>Jul-2020</v>
      </c>
      <c r="C8151">
        <f>TEST_DATA!C8151</f>
        <v>44035</v>
      </c>
      <c r="D8151" t="str">
        <f>TEST_DATA!D8151</f>
        <v>NIL</v>
      </c>
      <c r="E8151">
        <f>TEST_DATA!E8151</f>
        <v>1941</v>
      </c>
    </row>
    <row r="8152" spans="1:5" x14ac:dyDescent="0.55000000000000004">
      <c r="A8152" t="str">
        <f>TEST_DATA!A8152</f>
        <v>27AAAAA8152Z5</v>
      </c>
      <c r="B8152" t="str">
        <f>TEST_DATA!B8152</f>
        <v>Jul-2017</v>
      </c>
      <c r="C8152">
        <f>TEST_DATA!C8152</f>
        <v>43852</v>
      </c>
      <c r="D8152" t="str">
        <f>TEST_DATA!D8152</f>
        <v>NIL</v>
      </c>
      <c r="E8152">
        <f>TEST_DATA!E8152</f>
        <v>1776</v>
      </c>
    </row>
    <row r="8153" spans="1:5" x14ac:dyDescent="0.55000000000000004">
      <c r="A8153" t="str">
        <f>TEST_DATA!A8153</f>
        <v>27AAAAA8153Z5</v>
      </c>
      <c r="B8153" t="str">
        <f>TEST_DATA!B8153</f>
        <v>Feb-2018</v>
      </c>
      <c r="C8153">
        <f>TEST_DATA!C8153</f>
        <v>43467</v>
      </c>
      <c r="D8153" t="str">
        <f>TEST_DATA!D8153</f>
        <v>NON-NIL</v>
      </c>
      <c r="E8153">
        <f>TEST_DATA!E8153</f>
        <v>112</v>
      </c>
    </row>
    <row r="8154" spans="1:5" x14ac:dyDescent="0.55000000000000004">
      <c r="A8154" t="str">
        <f>TEST_DATA!A8154</f>
        <v>27AAAAA8154Z5</v>
      </c>
      <c r="B8154" t="str">
        <f>TEST_DATA!B8154</f>
        <v>Apr-2021</v>
      </c>
      <c r="C8154">
        <f>TEST_DATA!C8154</f>
        <v>45649</v>
      </c>
      <c r="D8154" t="str">
        <f>TEST_DATA!D8154</f>
        <v>NON-NIL</v>
      </c>
      <c r="E8154">
        <f>TEST_DATA!E8154</f>
        <v>426</v>
      </c>
    </row>
    <row r="8155" spans="1:5" x14ac:dyDescent="0.55000000000000004">
      <c r="A8155" t="str">
        <f>TEST_DATA!A8155</f>
        <v>27AAAAA8155Z5</v>
      </c>
      <c r="B8155" t="str">
        <f>TEST_DATA!B8155</f>
        <v>Dec-2017</v>
      </c>
      <c r="C8155">
        <f>TEST_DATA!C8155</f>
        <v>43360</v>
      </c>
      <c r="D8155" t="str">
        <f>TEST_DATA!D8155</f>
        <v>NON-NIL</v>
      </c>
      <c r="E8155">
        <f>TEST_DATA!E8155</f>
        <v>26</v>
      </c>
    </row>
    <row r="8156" spans="1:5" x14ac:dyDescent="0.55000000000000004">
      <c r="A8156" t="str">
        <f>TEST_DATA!A8156</f>
        <v>27AAAAA8156Z5</v>
      </c>
      <c r="B8156" t="str">
        <f>TEST_DATA!B8156</f>
        <v>Jun-2019</v>
      </c>
      <c r="C8156">
        <f>TEST_DATA!C8156</f>
        <v>44986</v>
      </c>
      <c r="D8156" t="str">
        <f>TEST_DATA!D8156</f>
        <v>NIL</v>
      </c>
      <c r="E8156">
        <f>TEST_DATA!E8156</f>
        <v>451</v>
      </c>
    </row>
    <row r="8157" spans="1:5" x14ac:dyDescent="0.55000000000000004">
      <c r="A8157" t="str">
        <f>TEST_DATA!A8157</f>
        <v>27AAAAA8157Z5</v>
      </c>
      <c r="B8157" t="str">
        <f>TEST_DATA!B8157</f>
        <v>Dec-2024</v>
      </c>
      <c r="C8157">
        <f>TEST_DATA!C8157</f>
        <v>43795</v>
      </c>
      <c r="D8157" t="str">
        <f>TEST_DATA!D8157</f>
        <v>NON-NIL</v>
      </c>
      <c r="E8157">
        <f>TEST_DATA!E8157</f>
        <v>2632</v>
      </c>
    </row>
    <row r="8158" spans="1:5" x14ac:dyDescent="0.55000000000000004">
      <c r="A8158" t="str">
        <f>TEST_DATA!A8158</f>
        <v>27AAAAA8158Z5</v>
      </c>
      <c r="B8158" t="str">
        <f>TEST_DATA!B8158</f>
        <v>Apr-2018</v>
      </c>
      <c r="C8158">
        <f>TEST_DATA!C8158</f>
        <v>43657</v>
      </c>
      <c r="D8158" t="str">
        <f>TEST_DATA!D8158</f>
        <v>NON-NIL</v>
      </c>
      <c r="E8158">
        <f>TEST_DATA!E8158</f>
        <v>1488</v>
      </c>
    </row>
    <row r="8159" spans="1:5" x14ac:dyDescent="0.55000000000000004">
      <c r="A8159" t="str">
        <f>TEST_DATA!A8159</f>
        <v>27AAAAA8159Z5</v>
      </c>
      <c r="B8159" t="str">
        <f>TEST_DATA!B8159</f>
        <v>Aug-2018</v>
      </c>
      <c r="C8159">
        <f>TEST_DATA!C8159</f>
        <v>44157</v>
      </c>
      <c r="D8159" t="str">
        <f>TEST_DATA!D8159</f>
        <v>NON-NIL</v>
      </c>
      <c r="E8159">
        <f>TEST_DATA!E8159</f>
        <v>580</v>
      </c>
    </row>
    <row r="8160" spans="1:5" x14ac:dyDescent="0.55000000000000004">
      <c r="A8160" t="str">
        <f>TEST_DATA!A8160</f>
        <v>27AAAAA8160Z5</v>
      </c>
      <c r="B8160" t="str">
        <f>TEST_DATA!B8160</f>
        <v>Apr-2020</v>
      </c>
      <c r="C8160">
        <f>TEST_DATA!C8160</f>
        <v>44640</v>
      </c>
      <c r="D8160" t="str">
        <f>TEST_DATA!D8160</f>
        <v>NON-NIL</v>
      </c>
      <c r="E8160">
        <f>TEST_DATA!E8160</f>
        <v>1386</v>
      </c>
    </row>
    <row r="8161" spans="1:5" x14ac:dyDescent="0.55000000000000004">
      <c r="A8161" t="str">
        <f>TEST_DATA!A8161</f>
        <v>27AAAAA8161Z5</v>
      </c>
      <c r="B8161" t="str">
        <f>TEST_DATA!B8161</f>
        <v>Jul-2018</v>
      </c>
      <c r="C8161">
        <f>TEST_DATA!C8161</f>
        <v>43152</v>
      </c>
      <c r="D8161" t="str">
        <f>TEST_DATA!D8161</f>
        <v>NIL</v>
      </c>
      <c r="E8161">
        <f>TEST_DATA!E8161</f>
        <v>1857</v>
      </c>
    </row>
    <row r="8162" spans="1:5" x14ac:dyDescent="0.55000000000000004">
      <c r="A8162" t="str">
        <f>TEST_DATA!A8162</f>
        <v>27AAAAA8162Z5</v>
      </c>
      <c r="B8162" t="str">
        <f>TEST_DATA!B8162</f>
        <v>Aug-2018</v>
      </c>
      <c r="C8162">
        <f>TEST_DATA!C8162</f>
        <v>43937</v>
      </c>
      <c r="D8162" t="str">
        <f>TEST_DATA!D8162</f>
        <v>NIL</v>
      </c>
      <c r="E8162">
        <f>TEST_DATA!E8162</f>
        <v>967</v>
      </c>
    </row>
    <row r="8163" spans="1:5" x14ac:dyDescent="0.55000000000000004">
      <c r="A8163" t="str">
        <f>TEST_DATA!A8163</f>
        <v>27AAAAA8163Z5</v>
      </c>
      <c r="B8163" t="str">
        <f>TEST_DATA!B8163</f>
        <v>Sep-2018</v>
      </c>
      <c r="C8163">
        <f>TEST_DATA!C8163</f>
        <v>43830</v>
      </c>
      <c r="D8163" t="str">
        <f>TEST_DATA!D8163</f>
        <v>NIL</v>
      </c>
      <c r="E8163">
        <f>TEST_DATA!E8163</f>
        <v>2818</v>
      </c>
    </row>
    <row r="8164" spans="1:5" x14ac:dyDescent="0.55000000000000004">
      <c r="A8164" t="str">
        <f>TEST_DATA!A8164</f>
        <v>27AAAAA8164Z5</v>
      </c>
      <c r="B8164" t="str">
        <f>TEST_DATA!B8164</f>
        <v>Mar-2021</v>
      </c>
      <c r="C8164">
        <f>TEST_DATA!C8164</f>
        <v>45518</v>
      </c>
      <c r="D8164" t="str">
        <f>TEST_DATA!D8164</f>
        <v>NON-NIL</v>
      </c>
      <c r="E8164">
        <f>TEST_DATA!E8164</f>
        <v>579</v>
      </c>
    </row>
    <row r="8165" spans="1:5" x14ac:dyDescent="0.55000000000000004">
      <c r="A8165" t="str">
        <f>TEST_DATA!A8165</f>
        <v>27AAAAA8165Z5</v>
      </c>
      <c r="B8165" t="str">
        <f>TEST_DATA!B8165</f>
        <v>Mar-2023</v>
      </c>
      <c r="C8165">
        <f>TEST_DATA!C8165</f>
        <v>45209</v>
      </c>
      <c r="D8165" t="str">
        <f>TEST_DATA!D8165</f>
        <v>NIL</v>
      </c>
      <c r="E8165">
        <f>TEST_DATA!E8165</f>
        <v>2394</v>
      </c>
    </row>
    <row r="8166" spans="1:5" x14ac:dyDescent="0.55000000000000004">
      <c r="A8166" t="str">
        <f>TEST_DATA!A8166</f>
        <v>27AAAAA8166Z5</v>
      </c>
      <c r="B8166" t="str">
        <f>TEST_DATA!B8166</f>
        <v>Jun-2018</v>
      </c>
      <c r="C8166">
        <f>TEST_DATA!C8166</f>
        <v>43737</v>
      </c>
      <c r="D8166" t="str">
        <f>TEST_DATA!D8166</f>
        <v>NIL</v>
      </c>
      <c r="E8166">
        <f>TEST_DATA!E8166</f>
        <v>550</v>
      </c>
    </row>
    <row r="8167" spans="1:5" x14ac:dyDescent="0.55000000000000004">
      <c r="A8167" t="str">
        <f>TEST_DATA!A8167</f>
        <v>27AAAAA8167Z5</v>
      </c>
      <c r="B8167" t="str">
        <f>TEST_DATA!B8167</f>
        <v>Jan-2021</v>
      </c>
      <c r="C8167">
        <f>TEST_DATA!C8167</f>
        <v>45111</v>
      </c>
      <c r="D8167" t="str">
        <f>TEST_DATA!D8167</f>
        <v>NON-NIL</v>
      </c>
      <c r="E8167">
        <f>TEST_DATA!E8167</f>
        <v>1804</v>
      </c>
    </row>
    <row r="8168" spans="1:5" x14ac:dyDescent="0.55000000000000004">
      <c r="A8168" t="str">
        <f>TEST_DATA!A8168</f>
        <v>27AAAAA8168Z5</v>
      </c>
      <c r="B8168" t="str">
        <f>TEST_DATA!B8168</f>
        <v>Dec-2019</v>
      </c>
      <c r="C8168">
        <f>TEST_DATA!C8168</f>
        <v>44362</v>
      </c>
      <c r="D8168" t="str">
        <f>TEST_DATA!D8168</f>
        <v>NIL</v>
      </c>
      <c r="E8168">
        <f>TEST_DATA!E8168</f>
        <v>1524</v>
      </c>
    </row>
    <row r="8169" spans="1:5" x14ac:dyDescent="0.55000000000000004">
      <c r="A8169" t="str">
        <f>TEST_DATA!A8169</f>
        <v>27AAAAA8169Z5</v>
      </c>
      <c r="B8169" t="str">
        <f>TEST_DATA!B8169</f>
        <v>Jun-2018</v>
      </c>
      <c r="C8169">
        <f>TEST_DATA!C8169</f>
        <v>43929</v>
      </c>
      <c r="D8169" t="str">
        <f>TEST_DATA!D8169</f>
        <v>NIL</v>
      </c>
      <c r="E8169">
        <f>TEST_DATA!E8169</f>
        <v>1879</v>
      </c>
    </row>
    <row r="8170" spans="1:5" x14ac:dyDescent="0.55000000000000004">
      <c r="A8170" t="str">
        <f>TEST_DATA!A8170</f>
        <v>27AAAAA8170Z5</v>
      </c>
      <c r="B8170" t="str">
        <f>TEST_DATA!B8170</f>
        <v>Oct-2017</v>
      </c>
      <c r="C8170">
        <f>TEST_DATA!C8170</f>
        <v>43317</v>
      </c>
      <c r="D8170" t="str">
        <f>TEST_DATA!D8170</f>
        <v>NON-NIL</v>
      </c>
      <c r="E8170">
        <f>TEST_DATA!E8170</f>
        <v>1173</v>
      </c>
    </row>
    <row r="8171" spans="1:5" x14ac:dyDescent="0.55000000000000004">
      <c r="A8171" t="str">
        <f>TEST_DATA!A8171</f>
        <v>27AAAAA8171Z5</v>
      </c>
      <c r="B8171" t="str">
        <f>TEST_DATA!B8171</f>
        <v>Dec-2022</v>
      </c>
      <c r="C8171">
        <f>TEST_DATA!C8171</f>
        <v>43656</v>
      </c>
      <c r="D8171" t="str">
        <f>TEST_DATA!D8171</f>
        <v>NIL</v>
      </c>
      <c r="E8171">
        <f>TEST_DATA!E8171</f>
        <v>2987</v>
      </c>
    </row>
    <row r="8172" spans="1:5" x14ac:dyDescent="0.55000000000000004">
      <c r="A8172" t="str">
        <f>TEST_DATA!A8172</f>
        <v>27AAAAA8172Z5</v>
      </c>
      <c r="B8172" t="str">
        <f>TEST_DATA!B8172</f>
        <v>Nov-2017</v>
      </c>
      <c r="C8172">
        <f>TEST_DATA!C8172</f>
        <v>43362</v>
      </c>
      <c r="D8172" t="str">
        <f>TEST_DATA!D8172</f>
        <v>NON-NIL</v>
      </c>
      <c r="E8172">
        <f>TEST_DATA!E8172</f>
        <v>2732</v>
      </c>
    </row>
    <row r="8173" spans="1:5" x14ac:dyDescent="0.55000000000000004">
      <c r="A8173" t="str">
        <f>TEST_DATA!A8173</f>
        <v>27AAAAA8173Z5</v>
      </c>
      <c r="B8173" t="str">
        <f>TEST_DATA!B8173</f>
        <v>Jul-2018</v>
      </c>
      <c r="C8173">
        <f>TEST_DATA!C8173</f>
        <v>43057</v>
      </c>
      <c r="D8173" t="str">
        <f>TEST_DATA!D8173</f>
        <v>NON-NIL</v>
      </c>
      <c r="E8173">
        <f>TEST_DATA!E8173</f>
        <v>1217</v>
      </c>
    </row>
    <row r="8174" spans="1:5" x14ac:dyDescent="0.55000000000000004">
      <c r="A8174" t="str">
        <f>TEST_DATA!A8174</f>
        <v>27AAAAA8174Z5</v>
      </c>
      <c r="B8174" t="str">
        <f>TEST_DATA!B8174</f>
        <v>Apr-2021</v>
      </c>
      <c r="C8174">
        <f>TEST_DATA!C8174</f>
        <v>45067</v>
      </c>
      <c r="D8174" t="str">
        <f>TEST_DATA!D8174</f>
        <v>NON-NIL</v>
      </c>
      <c r="E8174">
        <f>TEST_DATA!E8174</f>
        <v>720</v>
      </c>
    </row>
    <row r="8175" spans="1:5" x14ac:dyDescent="0.55000000000000004">
      <c r="A8175" t="str">
        <f>TEST_DATA!A8175</f>
        <v>27AAAAA8175Z5</v>
      </c>
      <c r="B8175" t="str">
        <f>TEST_DATA!B8175</f>
        <v>Jan-2019</v>
      </c>
      <c r="C8175">
        <f>TEST_DATA!C8175</f>
        <v>45203</v>
      </c>
      <c r="D8175" t="str">
        <f>TEST_DATA!D8175</f>
        <v>NIL</v>
      </c>
      <c r="E8175">
        <f>TEST_DATA!E8175</f>
        <v>2979</v>
      </c>
    </row>
    <row r="8176" spans="1:5" x14ac:dyDescent="0.55000000000000004">
      <c r="A8176" t="str">
        <f>TEST_DATA!A8176</f>
        <v>27AAAAA8176Z5</v>
      </c>
      <c r="B8176" t="str">
        <f>TEST_DATA!B8176</f>
        <v>Jan-2018</v>
      </c>
      <c r="C8176">
        <f>TEST_DATA!C8176</f>
        <v>42918</v>
      </c>
      <c r="D8176" t="str">
        <f>TEST_DATA!D8176</f>
        <v>NON-NIL</v>
      </c>
      <c r="E8176">
        <f>TEST_DATA!E8176</f>
        <v>2785</v>
      </c>
    </row>
    <row r="8177" spans="1:5" x14ac:dyDescent="0.55000000000000004">
      <c r="A8177" t="str">
        <f>TEST_DATA!A8177</f>
        <v>27AAAAA8177Z5</v>
      </c>
      <c r="B8177" t="str">
        <f>TEST_DATA!B8177</f>
        <v>Oct-2017</v>
      </c>
      <c r="C8177">
        <f>TEST_DATA!C8177</f>
        <v>43063</v>
      </c>
      <c r="D8177" t="str">
        <f>TEST_DATA!D8177</f>
        <v>NON-NIL</v>
      </c>
      <c r="E8177">
        <f>TEST_DATA!E8177</f>
        <v>1704</v>
      </c>
    </row>
    <row r="8178" spans="1:5" x14ac:dyDescent="0.55000000000000004">
      <c r="A8178" t="str">
        <f>TEST_DATA!A8178</f>
        <v>27AAAAA8178Z5</v>
      </c>
      <c r="B8178" t="str">
        <f>TEST_DATA!B8178</f>
        <v>Mar-2021</v>
      </c>
      <c r="C8178">
        <f>TEST_DATA!C8178</f>
        <v>43862</v>
      </c>
      <c r="D8178" t="str">
        <f>TEST_DATA!D8178</f>
        <v>NON-NIL</v>
      </c>
      <c r="E8178">
        <f>TEST_DATA!E8178</f>
        <v>713</v>
      </c>
    </row>
    <row r="8179" spans="1:5" x14ac:dyDescent="0.55000000000000004">
      <c r="A8179" t="str">
        <f>TEST_DATA!A8179</f>
        <v>27AAAAA8179Z5</v>
      </c>
      <c r="B8179" t="str">
        <f>TEST_DATA!B8179</f>
        <v>May-2020</v>
      </c>
      <c r="C8179">
        <f>TEST_DATA!C8179</f>
        <v>44040</v>
      </c>
      <c r="D8179" t="str">
        <f>TEST_DATA!D8179</f>
        <v>NON-NIL</v>
      </c>
      <c r="E8179">
        <f>TEST_DATA!E8179</f>
        <v>760</v>
      </c>
    </row>
    <row r="8180" spans="1:5" x14ac:dyDescent="0.55000000000000004">
      <c r="A8180" t="str">
        <f>TEST_DATA!A8180</f>
        <v>27AAAAA8180Z5</v>
      </c>
      <c r="B8180" t="str">
        <f>TEST_DATA!B8180</f>
        <v>Apr-2018</v>
      </c>
      <c r="C8180">
        <f>TEST_DATA!C8180</f>
        <v>43964</v>
      </c>
      <c r="D8180" t="str">
        <f>TEST_DATA!D8180</f>
        <v>NIL</v>
      </c>
      <c r="E8180">
        <f>TEST_DATA!E8180</f>
        <v>461</v>
      </c>
    </row>
    <row r="8181" spans="1:5" x14ac:dyDescent="0.55000000000000004">
      <c r="A8181" t="str">
        <f>TEST_DATA!A8181</f>
        <v>27AAAAA8181Z5</v>
      </c>
      <c r="B8181" t="str">
        <f>TEST_DATA!B8181</f>
        <v>Apr-2020</v>
      </c>
      <c r="C8181">
        <f>TEST_DATA!C8181</f>
        <v>44643</v>
      </c>
      <c r="D8181" t="str">
        <f>TEST_DATA!D8181</f>
        <v>NON-NIL</v>
      </c>
      <c r="E8181">
        <f>TEST_DATA!E8181</f>
        <v>848</v>
      </c>
    </row>
    <row r="8182" spans="1:5" x14ac:dyDescent="0.55000000000000004">
      <c r="A8182" t="str">
        <f>TEST_DATA!A8182</f>
        <v>27AAAAA8182Z5</v>
      </c>
      <c r="B8182" t="str">
        <f>TEST_DATA!B8182</f>
        <v>Dec-2024</v>
      </c>
      <c r="C8182">
        <f>TEST_DATA!C8182</f>
        <v>45168</v>
      </c>
      <c r="D8182" t="str">
        <f>TEST_DATA!D8182</f>
        <v>NON-NIL</v>
      </c>
      <c r="E8182">
        <f>TEST_DATA!E8182</f>
        <v>1962</v>
      </c>
    </row>
    <row r="8183" spans="1:5" x14ac:dyDescent="0.55000000000000004">
      <c r="A8183" t="str">
        <f>TEST_DATA!A8183</f>
        <v>27AAAAA8183Z5</v>
      </c>
      <c r="B8183" t="str">
        <f>TEST_DATA!B8183</f>
        <v>Jul-2017</v>
      </c>
      <c r="C8183">
        <f>TEST_DATA!C8183</f>
        <v>43429</v>
      </c>
      <c r="D8183" t="str">
        <f>TEST_DATA!D8183</f>
        <v>NON-NIL</v>
      </c>
      <c r="E8183">
        <f>TEST_DATA!E8183</f>
        <v>1282</v>
      </c>
    </row>
    <row r="8184" spans="1:5" x14ac:dyDescent="0.55000000000000004">
      <c r="A8184" t="str">
        <f>TEST_DATA!A8184</f>
        <v>27AAAAA8184Z5</v>
      </c>
      <c r="B8184" t="str">
        <f>TEST_DATA!B8184</f>
        <v>Jul-2018</v>
      </c>
      <c r="C8184">
        <f>TEST_DATA!C8184</f>
        <v>44020</v>
      </c>
      <c r="D8184" t="str">
        <f>TEST_DATA!D8184</f>
        <v>NON-NIL</v>
      </c>
      <c r="E8184">
        <f>TEST_DATA!E8184</f>
        <v>2429</v>
      </c>
    </row>
    <row r="8185" spans="1:5" x14ac:dyDescent="0.55000000000000004">
      <c r="A8185" t="str">
        <f>TEST_DATA!A8185</f>
        <v>27AAAAA8185Z5</v>
      </c>
      <c r="B8185" t="str">
        <f>TEST_DATA!B8185</f>
        <v>Jun-2019</v>
      </c>
      <c r="C8185">
        <f>TEST_DATA!C8185</f>
        <v>45444</v>
      </c>
      <c r="D8185" t="str">
        <f>TEST_DATA!D8185</f>
        <v>NIL</v>
      </c>
      <c r="E8185">
        <f>TEST_DATA!E8185</f>
        <v>886</v>
      </c>
    </row>
    <row r="8186" spans="1:5" x14ac:dyDescent="0.55000000000000004">
      <c r="A8186" t="str">
        <f>TEST_DATA!A8186</f>
        <v>27AAAAA8186Z5</v>
      </c>
      <c r="B8186" t="str">
        <f>TEST_DATA!B8186</f>
        <v>Jul-2018</v>
      </c>
      <c r="C8186">
        <f>TEST_DATA!C8186</f>
        <v>44045</v>
      </c>
      <c r="D8186" t="str">
        <f>TEST_DATA!D8186</f>
        <v>NIL</v>
      </c>
      <c r="E8186">
        <f>TEST_DATA!E8186</f>
        <v>12</v>
      </c>
    </row>
    <row r="8187" spans="1:5" x14ac:dyDescent="0.55000000000000004">
      <c r="A8187" t="str">
        <f>TEST_DATA!A8187</f>
        <v>27AAAAA8187Z5</v>
      </c>
      <c r="B8187" t="str">
        <f>TEST_DATA!B8187</f>
        <v>Jul-2017</v>
      </c>
      <c r="C8187">
        <f>TEST_DATA!C8187</f>
        <v>43486</v>
      </c>
      <c r="D8187" t="str">
        <f>TEST_DATA!D8187</f>
        <v>NIL</v>
      </c>
      <c r="E8187">
        <f>TEST_DATA!E8187</f>
        <v>1992</v>
      </c>
    </row>
    <row r="8188" spans="1:5" x14ac:dyDescent="0.55000000000000004">
      <c r="A8188" t="str">
        <f>TEST_DATA!A8188</f>
        <v>27AAAAA8188Z5</v>
      </c>
      <c r="B8188" t="str">
        <f>TEST_DATA!B8188</f>
        <v>Jun-2020</v>
      </c>
      <c r="C8188">
        <f>TEST_DATA!C8188</f>
        <v>44297</v>
      </c>
      <c r="D8188" t="str">
        <f>TEST_DATA!D8188</f>
        <v>NON-NIL</v>
      </c>
      <c r="E8188">
        <f>TEST_DATA!E8188</f>
        <v>2985</v>
      </c>
    </row>
    <row r="8189" spans="1:5" x14ac:dyDescent="0.55000000000000004">
      <c r="A8189" t="str">
        <f>TEST_DATA!A8189</f>
        <v>27AAAAA8189Z5</v>
      </c>
      <c r="B8189" t="str">
        <f>TEST_DATA!B8189</f>
        <v>Feb-2018</v>
      </c>
      <c r="C8189">
        <f>TEST_DATA!C8189</f>
        <v>44330</v>
      </c>
      <c r="D8189" t="str">
        <f>TEST_DATA!D8189</f>
        <v>NIL</v>
      </c>
      <c r="E8189">
        <f>TEST_DATA!E8189</f>
        <v>1411</v>
      </c>
    </row>
    <row r="8190" spans="1:5" x14ac:dyDescent="0.55000000000000004">
      <c r="A8190" t="str">
        <f>TEST_DATA!A8190</f>
        <v>27AAAAA8190Z5</v>
      </c>
      <c r="B8190" t="str">
        <f>TEST_DATA!B8190</f>
        <v>Mar-2020</v>
      </c>
      <c r="C8190">
        <f>TEST_DATA!C8190</f>
        <v>44201</v>
      </c>
      <c r="D8190" t="str">
        <f>TEST_DATA!D8190</f>
        <v>NIL</v>
      </c>
      <c r="E8190">
        <f>TEST_DATA!E8190</f>
        <v>2895</v>
      </c>
    </row>
    <row r="8191" spans="1:5" x14ac:dyDescent="0.55000000000000004">
      <c r="A8191" t="str">
        <f>TEST_DATA!A8191</f>
        <v>27AAAAA8191Z5</v>
      </c>
      <c r="B8191" t="str">
        <f>TEST_DATA!B8191</f>
        <v>Apr-2020</v>
      </c>
      <c r="C8191">
        <f>TEST_DATA!C8191</f>
        <v>44063</v>
      </c>
      <c r="D8191" t="str">
        <f>TEST_DATA!D8191</f>
        <v>NIL</v>
      </c>
      <c r="E8191">
        <f>TEST_DATA!E8191</f>
        <v>1976</v>
      </c>
    </row>
    <row r="8192" spans="1:5" x14ac:dyDescent="0.55000000000000004">
      <c r="A8192" t="str">
        <f>TEST_DATA!A8192</f>
        <v>27AAAAA8192Z5</v>
      </c>
      <c r="B8192" t="str">
        <f>TEST_DATA!B8192</f>
        <v>Aug-2017</v>
      </c>
      <c r="C8192">
        <f>TEST_DATA!C8192</f>
        <v>43702</v>
      </c>
      <c r="D8192" t="str">
        <f>TEST_DATA!D8192</f>
        <v>NON-NIL</v>
      </c>
      <c r="E8192">
        <f>TEST_DATA!E8192</f>
        <v>2450</v>
      </c>
    </row>
    <row r="8193" spans="1:5" x14ac:dyDescent="0.55000000000000004">
      <c r="A8193" t="str">
        <f>TEST_DATA!A8193</f>
        <v>27AAAAA8193Z5</v>
      </c>
      <c r="B8193" t="str">
        <f>TEST_DATA!B8193</f>
        <v>Feb-2018</v>
      </c>
      <c r="C8193">
        <f>TEST_DATA!C8193</f>
        <v>43490</v>
      </c>
      <c r="D8193" t="str">
        <f>TEST_DATA!D8193</f>
        <v>NIL</v>
      </c>
      <c r="E8193">
        <f>TEST_DATA!E8193</f>
        <v>178</v>
      </c>
    </row>
    <row r="8194" spans="1:5" x14ac:dyDescent="0.55000000000000004">
      <c r="A8194" t="str">
        <f>TEST_DATA!A8194</f>
        <v>27AAAAA8194Z5</v>
      </c>
      <c r="B8194" t="str">
        <f>TEST_DATA!B8194</f>
        <v>Mar-2018</v>
      </c>
      <c r="C8194">
        <f>TEST_DATA!C8194</f>
        <v>43019</v>
      </c>
      <c r="D8194" t="str">
        <f>TEST_DATA!D8194</f>
        <v>NON-NIL</v>
      </c>
      <c r="E8194">
        <f>TEST_DATA!E8194</f>
        <v>2808</v>
      </c>
    </row>
    <row r="8195" spans="1:5" x14ac:dyDescent="0.55000000000000004">
      <c r="A8195" t="str">
        <f>TEST_DATA!A8195</f>
        <v>27AAAAA8195Z5</v>
      </c>
      <c r="B8195" t="str">
        <f>TEST_DATA!B8195</f>
        <v>Nov-2017</v>
      </c>
      <c r="C8195">
        <f>TEST_DATA!C8195</f>
        <v>44102</v>
      </c>
      <c r="D8195" t="str">
        <f>TEST_DATA!D8195</f>
        <v>NIL</v>
      </c>
      <c r="E8195">
        <f>TEST_DATA!E8195</f>
        <v>335</v>
      </c>
    </row>
    <row r="8196" spans="1:5" x14ac:dyDescent="0.55000000000000004">
      <c r="A8196" t="str">
        <f>TEST_DATA!A8196</f>
        <v>27AAAAA8196Z5</v>
      </c>
      <c r="B8196" t="str">
        <f>TEST_DATA!B8196</f>
        <v>Dec-2019</v>
      </c>
      <c r="C8196">
        <f>TEST_DATA!C8196</f>
        <v>45316</v>
      </c>
      <c r="D8196" t="str">
        <f>TEST_DATA!D8196</f>
        <v>NIL</v>
      </c>
      <c r="E8196">
        <f>TEST_DATA!E8196</f>
        <v>525</v>
      </c>
    </row>
    <row r="8197" spans="1:5" x14ac:dyDescent="0.55000000000000004">
      <c r="A8197" t="str">
        <f>TEST_DATA!A8197</f>
        <v>27AAAAA8197Z5</v>
      </c>
      <c r="B8197" t="str">
        <f>TEST_DATA!B8197</f>
        <v>Jun-2019</v>
      </c>
      <c r="C8197">
        <f>TEST_DATA!C8197</f>
        <v>44108</v>
      </c>
      <c r="D8197" t="str">
        <f>TEST_DATA!D8197</f>
        <v>NON-NIL</v>
      </c>
      <c r="E8197">
        <f>TEST_DATA!E8197</f>
        <v>1965</v>
      </c>
    </row>
    <row r="8198" spans="1:5" x14ac:dyDescent="0.55000000000000004">
      <c r="A8198" t="str">
        <f>TEST_DATA!A8198</f>
        <v>27AAAAA8198Z5</v>
      </c>
      <c r="B8198" t="str">
        <f>TEST_DATA!B8198</f>
        <v>Oct-2017</v>
      </c>
      <c r="C8198">
        <f>TEST_DATA!C8198</f>
        <v>43979</v>
      </c>
      <c r="D8198" t="str">
        <f>TEST_DATA!D8198</f>
        <v>NIL</v>
      </c>
      <c r="E8198">
        <f>TEST_DATA!E8198</f>
        <v>83</v>
      </c>
    </row>
    <row r="8199" spans="1:5" x14ac:dyDescent="0.55000000000000004">
      <c r="A8199" t="str">
        <f>TEST_DATA!A8199</f>
        <v>27AAAAA8199Z5</v>
      </c>
      <c r="B8199" t="str">
        <f>TEST_DATA!B8199</f>
        <v>Sep-2017</v>
      </c>
      <c r="C8199">
        <f>TEST_DATA!C8199</f>
        <v>44015</v>
      </c>
      <c r="D8199" t="str">
        <f>TEST_DATA!D8199</f>
        <v>NIL</v>
      </c>
      <c r="E8199">
        <f>TEST_DATA!E8199</f>
        <v>1828</v>
      </c>
    </row>
    <row r="8200" spans="1:5" x14ac:dyDescent="0.55000000000000004">
      <c r="A8200" t="str">
        <f>TEST_DATA!A8200</f>
        <v>27AAAAA8200Z5</v>
      </c>
      <c r="B8200" t="str">
        <f>TEST_DATA!B8200</f>
        <v>Jul-2020</v>
      </c>
      <c r="C8200">
        <f>TEST_DATA!C8200</f>
        <v>44651</v>
      </c>
      <c r="D8200" t="str">
        <f>TEST_DATA!D8200</f>
        <v>NIL</v>
      </c>
      <c r="E8200">
        <f>TEST_DATA!E8200</f>
        <v>1967</v>
      </c>
    </row>
    <row r="8201" spans="1:5" x14ac:dyDescent="0.55000000000000004">
      <c r="A8201" t="str">
        <f>TEST_DATA!A8201</f>
        <v>27AAAAA8201Z5</v>
      </c>
      <c r="B8201" t="str">
        <f>TEST_DATA!B8201</f>
        <v>May-2018</v>
      </c>
      <c r="C8201">
        <f>TEST_DATA!C8201</f>
        <v>44303</v>
      </c>
      <c r="D8201" t="str">
        <f>TEST_DATA!D8201</f>
        <v>NON-NIL</v>
      </c>
      <c r="E8201">
        <f>TEST_DATA!E8201</f>
        <v>2153</v>
      </c>
    </row>
    <row r="8202" spans="1:5" x14ac:dyDescent="0.55000000000000004">
      <c r="A8202" t="str">
        <f>TEST_DATA!A8202</f>
        <v>27AAAAA8202Z5</v>
      </c>
      <c r="B8202" t="str">
        <f>TEST_DATA!B8202</f>
        <v>Apr-2020</v>
      </c>
      <c r="C8202">
        <f>TEST_DATA!C8202</f>
        <v>44897</v>
      </c>
      <c r="D8202" t="str">
        <f>TEST_DATA!D8202</f>
        <v>NON-NIL</v>
      </c>
      <c r="E8202">
        <f>TEST_DATA!E8202</f>
        <v>2361</v>
      </c>
    </row>
    <row r="8203" spans="1:5" x14ac:dyDescent="0.55000000000000004">
      <c r="A8203" t="str">
        <f>TEST_DATA!A8203</f>
        <v>27AAAAA8203Z5</v>
      </c>
      <c r="B8203" t="str">
        <f>TEST_DATA!B8203</f>
        <v>Jan-2019</v>
      </c>
      <c r="C8203">
        <f>TEST_DATA!C8203</f>
        <v>44632</v>
      </c>
      <c r="D8203" t="str">
        <f>TEST_DATA!D8203</f>
        <v>NON-NIL</v>
      </c>
      <c r="E8203">
        <f>TEST_DATA!E8203</f>
        <v>2557</v>
      </c>
    </row>
    <row r="8204" spans="1:5" x14ac:dyDescent="0.55000000000000004">
      <c r="A8204" t="str">
        <f>TEST_DATA!A8204</f>
        <v>27AAAAA8204Z5</v>
      </c>
      <c r="B8204" t="str">
        <f>TEST_DATA!B8204</f>
        <v>Apr-2020</v>
      </c>
      <c r="C8204">
        <f>TEST_DATA!C8204</f>
        <v>43947</v>
      </c>
      <c r="D8204" t="str">
        <f>TEST_DATA!D8204</f>
        <v>NON-NIL</v>
      </c>
      <c r="E8204">
        <f>TEST_DATA!E8204</f>
        <v>660</v>
      </c>
    </row>
    <row r="8205" spans="1:5" x14ac:dyDescent="0.55000000000000004">
      <c r="A8205" t="str">
        <f>TEST_DATA!A8205</f>
        <v>27AAAAA8205Z5</v>
      </c>
      <c r="B8205" t="str">
        <f>TEST_DATA!B8205</f>
        <v>Mar-2023</v>
      </c>
      <c r="C8205">
        <f>TEST_DATA!C8205</f>
        <v>44018</v>
      </c>
      <c r="D8205" t="str">
        <f>TEST_DATA!D8205</f>
        <v>NIL</v>
      </c>
      <c r="E8205">
        <f>TEST_DATA!E8205</f>
        <v>2008</v>
      </c>
    </row>
    <row r="8206" spans="1:5" x14ac:dyDescent="0.55000000000000004">
      <c r="A8206" t="str">
        <f>TEST_DATA!A8206</f>
        <v>27AAAAA8206Z5</v>
      </c>
      <c r="B8206" t="str">
        <f>TEST_DATA!B8206</f>
        <v>Oct-2017</v>
      </c>
      <c r="C8206">
        <f>TEST_DATA!C8206</f>
        <v>43143</v>
      </c>
      <c r="D8206" t="str">
        <f>TEST_DATA!D8206</f>
        <v>NON-NIL</v>
      </c>
      <c r="E8206">
        <f>TEST_DATA!E8206</f>
        <v>2237</v>
      </c>
    </row>
    <row r="8207" spans="1:5" x14ac:dyDescent="0.55000000000000004">
      <c r="A8207" t="str">
        <f>TEST_DATA!A8207</f>
        <v>27AAAAA8207Z5</v>
      </c>
      <c r="B8207" t="str">
        <f>TEST_DATA!B8207</f>
        <v>Mar-2023</v>
      </c>
      <c r="C8207">
        <f>TEST_DATA!C8207</f>
        <v>45142</v>
      </c>
      <c r="D8207" t="str">
        <f>TEST_DATA!D8207</f>
        <v>NON-NIL</v>
      </c>
      <c r="E8207">
        <f>TEST_DATA!E8207</f>
        <v>1710</v>
      </c>
    </row>
    <row r="8208" spans="1:5" x14ac:dyDescent="0.55000000000000004">
      <c r="A8208" t="str">
        <f>TEST_DATA!A8208</f>
        <v>27AAAAA8208Z5</v>
      </c>
      <c r="B8208" t="str">
        <f>TEST_DATA!B8208</f>
        <v>Jun-2018</v>
      </c>
      <c r="C8208">
        <f>TEST_DATA!C8208</f>
        <v>43975</v>
      </c>
      <c r="D8208" t="str">
        <f>TEST_DATA!D8208</f>
        <v>NIL</v>
      </c>
      <c r="E8208">
        <f>TEST_DATA!E8208</f>
        <v>2264</v>
      </c>
    </row>
    <row r="8209" spans="1:5" x14ac:dyDescent="0.55000000000000004">
      <c r="A8209" t="str">
        <f>TEST_DATA!A8209</f>
        <v>27AAAAA8209Z5</v>
      </c>
      <c r="B8209" t="str">
        <f>TEST_DATA!B8209</f>
        <v>Apr-2020</v>
      </c>
      <c r="C8209">
        <f>TEST_DATA!C8209</f>
        <v>44925</v>
      </c>
      <c r="D8209" t="str">
        <f>TEST_DATA!D8209</f>
        <v>NIL</v>
      </c>
      <c r="E8209">
        <f>TEST_DATA!E8209</f>
        <v>38</v>
      </c>
    </row>
    <row r="8210" spans="1:5" x14ac:dyDescent="0.55000000000000004">
      <c r="A8210" t="str">
        <f>TEST_DATA!A8210</f>
        <v>27AAAAA8210Z5</v>
      </c>
      <c r="B8210" t="str">
        <f>TEST_DATA!B8210</f>
        <v>Aug-2018</v>
      </c>
      <c r="C8210">
        <f>TEST_DATA!C8210</f>
        <v>43074</v>
      </c>
      <c r="D8210" t="str">
        <f>TEST_DATA!D8210</f>
        <v>NON-NIL</v>
      </c>
      <c r="E8210">
        <f>TEST_DATA!E8210</f>
        <v>865</v>
      </c>
    </row>
    <row r="8211" spans="1:5" x14ac:dyDescent="0.55000000000000004">
      <c r="A8211" t="str">
        <f>TEST_DATA!A8211</f>
        <v>27AAAAA8211Z5</v>
      </c>
      <c r="B8211" t="str">
        <f>TEST_DATA!B8211</f>
        <v>May-2020</v>
      </c>
      <c r="C8211">
        <f>TEST_DATA!C8211</f>
        <v>44472</v>
      </c>
      <c r="D8211" t="str">
        <f>TEST_DATA!D8211</f>
        <v>NON-NIL</v>
      </c>
      <c r="E8211">
        <f>TEST_DATA!E8211</f>
        <v>996</v>
      </c>
    </row>
    <row r="8212" spans="1:5" x14ac:dyDescent="0.55000000000000004">
      <c r="A8212" t="str">
        <f>TEST_DATA!A8212</f>
        <v>27AAAAA8212Z5</v>
      </c>
      <c r="B8212" t="str">
        <f>TEST_DATA!B8212</f>
        <v>Oct-2017</v>
      </c>
      <c r="C8212">
        <f>TEST_DATA!C8212</f>
        <v>43752</v>
      </c>
      <c r="D8212" t="str">
        <f>TEST_DATA!D8212</f>
        <v>NIL</v>
      </c>
      <c r="E8212">
        <f>TEST_DATA!E8212</f>
        <v>385</v>
      </c>
    </row>
    <row r="8213" spans="1:5" x14ac:dyDescent="0.55000000000000004">
      <c r="A8213" t="str">
        <f>TEST_DATA!A8213</f>
        <v>27AAAAA8213Z5</v>
      </c>
      <c r="B8213" t="str">
        <f>TEST_DATA!B8213</f>
        <v>Dec-2017</v>
      </c>
      <c r="C8213">
        <f>TEST_DATA!C8213</f>
        <v>44138</v>
      </c>
      <c r="D8213" t="str">
        <f>TEST_DATA!D8213</f>
        <v>NON-NIL</v>
      </c>
      <c r="E8213">
        <f>TEST_DATA!E8213</f>
        <v>1501</v>
      </c>
    </row>
    <row r="8214" spans="1:5" x14ac:dyDescent="0.55000000000000004">
      <c r="A8214" t="str">
        <f>TEST_DATA!A8214</f>
        <v>27AAAAA8214Z5</v>
      </c>
      <c r="B8214" t="str">
        <f>TEST_DATA!B8214</f>
        <v>Dec-2022</v>
      </c>
      <c r="C8214">
        <f>TEST_DATA!C8214</f>
        <v>44909</v>
      </c>
      <c r="D8214" t="str">
        <f>TEST_DATA!D8214</f>
        <v>NON-NIL</v>
      </c>
      <c r="E8214">
        <f>TEST_DATA!E8214</f>
        <v>729</v>
      </c>
    </row>
    <row r="8215" spans="1:5" x14ac:dyDescent="0.55000000000000004">
      <c r="A8215" t="str">
        <f>TEST_DATA!A8215</f>
        <v>27AAAAA8215Z5</v>
      </c>
      <c r="B8215" t="str">
        <f>TEST_DATA!B8215</f>
        <v>Jan-2021</v>
      </c>
      <c r="C8215">
        <f>TEST_DATA!C8215</f>
        <v>45163</v>
      </c>
      <c r="D8215" t="str">
        <f>TEST_DATA!D8215</f>
        <v>NIL</v>
      </c>
      <c r="E8215">
        <f>TEST_DATA!E8215</f>
        <v>1714</v>
      </c>
    </row>
    <row r="8216" spans="1:5" x14ac:dyDescent="0.55000000000000004">
      <c r="A8216" t="str">
        <f>TEST_DATA!A8216</f>
        <v>27AAAAA8216Z5</v>
      </c>
      <c r="B8216" t="str">
        <f>TEST_DATA!B8216</f>
        <v>Apr-2020</v>
      </c>
      <c r="C8216">
        <f>TEST_DATA!C8216</f>
        <v>44455</v>
      </c>
      <c r="D8216" t="str">
        <f>TEST_DATA!D8216</f>
        <v>NON-NIL</v>
      </c>
      <c r="E8216">
        <f>TEST_DATA!E8216</f>
        <v>892</v>
      </c>
    </row>
    <row r="8217" spans="1:5" x14ac:dyDescent="0.55000000000000004">
      <c r="A8217" t="str">
        <f>TEST_DATA!A8217</f>
        <v>27AAAAA8217Z5</v>
      </c>
      <c r="B8217" t="str">
        <f>TEST_DATA!B8217</f>
        <v>Jan-2019</v>
      </c>
      <c r="C8217">
        <f>TEST_DATA!C8217</f>
        <v>45762</v>
      </c>
      <c r="D8217" t="str">
        <f>TEST_DATA!D8217</f>
        <v>NIL</v>
      </c>
      <c r="E8217">
        <f>TEST_DATA!E8217</f>
        <v>363</v>
      </c>
    </row>
    <row r="8218" spans="1:5" x14ac:dyDescent="0.55000000000000004">
      <c r="A8218" t="str">
        <f>TEST_DATA!A8218</f>
        <v>27AAAAA8218Z5</v>
      </c>
      <c r="B8218" t="str">
        <f>TEST_DATA!B8218</f>
        <v>Mar-2020</v>
      </c>
      <c r="C8218">
        <f>TEST_DATA!C8218</f>
        <v>44263</v>
      </c>
      <c r="D8218" t="str">
        <f>TEST_DATA!D8218</f>
        <v>NIL</v>
      </c>
      <c r="E8218">
        <f>TEST_DATA!E8218</f>
        <v>1605</v>
      </c>
    </row>
    <row r="8219" spans="1:5" x14ac:dyDescent="0.55000000000000004">
      <c r="A8219" t="str">
        <f>TEST_DATA!A8219</f>
        <v>27AAAAA8219Z5</v>
      </c>
      <c r="B8219" t="str">
        <f>TEST_DATA!B8219</f>
        <v>Jun-2019</v>
      </c>
      <c r="C8219">
        <f>TEST_DATA!C8219</f>
        <v>44148</v>
      </c>
      <c r="D8219" t="str">
        <f>TEST_DATA!D8219</f>
        <v>NIL</v>
      </c>
      <c r="E8219">
        <f>TEST_DATA!E8219</f>
        <v>466</v>
      </c>
    </row>
    <row r="8220" spans="1:5" x14ac:dyDescent="0.55000000000000004">
      <c r="A8220" t="str">
        <f>TEST_DATA!A8220</f>
        <v>27AAAAA8220Z5</v>
      </c>
      <c r="B8220" t="str">
        <f>TEST_DATA!B8220</f>
        <v>Mar-2021</v>
      </c>
      <c r="C8220">
        <f>TEST_DATA!C8220</f>
        <v>44314</v>
      </c>
      <c r="D8220" t="str">
        <f>TEST_DATA!D8220</f>
        <v>NIL</v>
      </c>
      <c r="E8220">
        <f>TEST_DATA!E8220</f>
        <v>2046</v>
      </c>
    </row>
    <row r="8221" spans="1:5" x14ac:dyDescent="0.55000000000000004">
      <c r="A8221" t="str">
        <f>TEST_DATA!A8221</f>
        <v>27AAAAA8221Z5</v>
      </c>
      <c r="B8221" t="str">
        <f>TEST_DATA!B8221</f>
        <v>Sep-2017</v>
      </c>
      <c r="C8221">
        <f>TEST_DATA!C8221</f>
        <v>43789</v>
      </c>
      <c r="D8221" t="str">
        <f>TEST_DATA!D8221</f>
        <v>NON-NIL</v>
      </c>
      <c r="E8221">
        <f>TEST_DATA!E8221</f>
        <v>1425</v>
      </c>
    </row>
    <row r="8222" spans="1:5" x14ac:dyDescent="0.55000000000000004">
      <c r="A8222" t="str">
        <f>TEST_DATA!A8222</f>
        <v>27AAAAA8222Z5</v>
      </c>
      <c r="B8222" t="str">
        <f>TEST_DATA!B8222</f>
        <v>Jan-2018</v>
      </c>
      <c r="C8222">
        <f>TEST_DATA!C8222</f>
        <v>44545</v>
      </c>
      <c r="D8222" t="str">
        <f>TEST_DATA!D8222</f>
        <v>NIL</v>
      </c>
      <c r="E8222">
        <f>TEST_DATA!E8222</f>
        <v>470</v>
      </c>
    </row>
    <row r="8223" spans="1:5" x14ac:dyDescent="0.55000000000000004">
      <c r="A8223" t="str">
        <f>TEST_DATA!A8223</f>
        <v>27AAAAA8223Z5</v>
      </c>
      <c r="B8223" t="str">
        <f>TEST_DATA!B8223</f>
        <v>Jul-2018</v>
      </c>
      <c r="C8223">
        <f>TEST_DATA!C8223</f>
        <v>43371</v>
      </c>
      <c r="D8223" t="str">
        <f>TEST_DATA!D8223</f>
        <v>NIL</v>
      </c>
      <c r="E8223">
        <f>TEST_DATA!E8223</f>
        <v>1726</v>
      </c>
    </row>
    <row r="8224" spans="1:5" x14ac:dyDescent="0.55000000000000004">
      <c r="A8224" t="str">
        <f>TEST_DATA!A8224</f>
        <v>27AAAAA8224Z5</v>
      </c>
      <c r="B8224" t="str">
        <f>TEST_DATA!B8224</f>
        <v>Oct-2017</v>
      </c>
      <c r="C8224">
        <f>TEST_DATA!C8224</f>
        <v>44560</v>
      </c>
      <c r="D8224" t="str">
        <f>TEST_DATA!D8224</f>
        <v>NIL</v>
      </c>
      <c r="E8224">
        <f>TEST_DATA!E8224</f>
        <v>314</v>
      </c>
    </row>
    <row r="8225" spans="1:5" x14ac:dyDescent="0.55000000000000004">
      <c r="A8225" t="str">
        <f>TEST_DATA!A8225</f>
        <v>27AAAAA8225Z5</v>
      </c>
      <c r="B8225" t="str">
        <f>TEST_DATA!B8225</f>
        <v>Jan-2019</v>
      </c>
      <c r="C8225">
        <f>TEST_DATA!C8225</f>
        <v>45624</v>
      </c>
      <c r="D8225" t="str">
        <f>TEST_DATA!D8225</f>
        <v>NON-NIL</v>
      </c>
      <c r="E8225">
        <f>TEST_DATA!E8225</f>
        <v>1096</v>
      </c>
    </row>
    <row r="8226" spans="1:5" x14ac:dyDescent="0.55000000000000004">
      <c r="A8226" t="str">
        <f>TEST_DATA!A8226</f>
        <v>27AAAAA8226Z5</v>
      </c>
      <c r="B8226" t="str">
        <f>TEST_DATA!B8226</f>
        <v>Mar-2020</v>
      </c>
      <c r="C8226">
        <f>TEST_DATA!C8226</f>
        <v>43906</v>
      </c>
      <c r="D8226" t="str">
        <f>TEST_DATA!D8226</f>
        <v>NIL</v>
      </c>
      <c r="E8226">
        <f>TEST_DATA!E8226</f>
        <v>1271</v>
      </c>
    </row>
    <row r="8227" spans="1:5" x14ac:dyDescent="0.55000000000000004">
      <c r="A8227" t="str">
        <f>TEST_DATA!A8227</f>
        <v>27AAAAA8227Z5</v>
      </c>
      <c r="B8227" t="str">
        <f>TEST_DATA!B8227</f>
        <v>Jul-2020</v>
      </c>
      <c r="C8227">
        <f>TEST_DATA!C8227</f>
        <v>43946</v>
      </c>
      <c r="D8227" t="str">
        <f>TEST_DATA!D8227</f>
        <v>NIL</v>
      </c>
      <c r="E8227">
        <f>TEST_DATA!E8227</f>
        <v>1950</v>
      </c>
    </row>
    <row r="8228" spans="1:5" x14ac:dyDescent="0.55000000000000004">
      <c r="A8228" t="str">
        <f>TEST_DATA!A8228</f>
        <v>27AAAAA8228Z5</v>
      </c>
      <c r="B8228" t="str">
        <f>TEST_DATA!B8228</f>
        <v>Jun-2020</v>
      </c>
      <c r="C8228">
        <f>TEST_DATA!C8228</f>
        <v>44165</v>
      </c>
      <c r="D8228" t="str">
        <f>TEST_DATA!D8228</f>
        <v>NON-NIL</v>
      </c>
      <c r="E8228">
        <f>TEST_DATA!E8228</f>
        <v>1211</v>
      </c>
    </row>
    <row r="8229" spans="1:5" x14ac:dyDescent="0.55000000000000004">
      <c r="A8229" t="str">
        <f>TEST_DATA!A8229</f>
        <v>27AAAAA8229Z5</v>
      </c>
      <c r="B8229" t="str">
        <f>TEST_DATA!B8229</f>
        <v>Jun-2018</v>
      </c>
      <c r="C8229">
        <f>TEST_DATA!C8229</f>
        <v>43973</v>
      </c>
      <c r="D8229" t="str">
        <f>TEST_DATA!D8229</f>
        <v>NON-NIL</v>
      </c>
      <c r="E8229">
        <f>TEST_DATA!E8229</f>
        <v>2062</v>
      </c>
    </row>
    <row r="8230" spans="1:5" x14ac:dyDescent="0.55000000000000004">
      <c r="A8230" t="str">
        <f>TEST_DATA!A8230</f>
        <v>27AAAAA8230Z5</v>
      </c>
      <c r="B8230" t="str">
        <f>TEST_DATA!B8230</f>
        <v>Feb-2018</v>
      </c>
      <c r="C8230">
        <f>TEST_DATA!C8230</f>
        <v>43616</v>
      </c>
      <c r="D8230" t="str">
        <f>TEST_DATA!D8230</f>
        <v>NON-NIL</v>
      </c>
      <c r="E8230">
        <f>TEST_DATA!E8230</f>
        <v>960</v>
      </c>
    </row>
    <row r="8231" spans="1:5" x14ac:dyDescent="0.55000000000000004">
      <c r="A8231" t="str">
        <f>TEST_DATA!A8231</f>
        <v>27AAAAA8231Z5</v>
      </c>
      <c r="B8231" t="str">
        <f>TEST_DATA!B8231</f>
        <v>Jun-2020</v>
      </c>
      <c r="C8231">
        <f>TEST_DATA!C8231</f>
        <v>44084</v>
      </c>
      <c r="D8231" t="str">
        <f>TEST_DATA!D8231</f>
        <v>NIL</v>
      </c>
      <c r="E8231">
        <f>TEST_DATA!E8231</f>
        <v>1973</v>
      </c>
    </row>
    <row r="8232" spans="1:5" x14ac:dyDescent="0.55000000000000004">
      <c r="A8232" t="str">
        <f>TEST_DATA!A8232</f>
        <v>27AAAAA8232Z5</v>
      </c>
      <c r="B8232" t="str">
        <f>TEST_DATA!B8232</f>
        <v>Mar-2023</v>
      </c>
      <c r="C8232">
        <f>TEST_DATA!C8232</f>
        <v>44606</v>
      </c>
      <c r="D8232" t="str">
        <f>TEST_DATA!D8232</f>
        <v>NIL</v>
      </c>
      <c r="E8232">
        <f>TEST_DATA!E8232</f>
        <v>2472</v>
      </c>
    </row>
    <row r="8233" spans="1:5" x14ac:dyDescent="0.55000000000000004">
      <c r="A8233" t="str">
        <f>TEST_DATA!A8233</f>
        <v>27AAAAA8233Z5</v>
      </c>
      <c r="B8233" t="str">
        <f>TEST_DATA!B8233</f>
        <v>May-2020</v>
      </c>
      <c r="C8233">
        <f>TEST_DATA!C8233</f>
        <v>44146</v>
      </c>
      <c r="D8233" t="str">
        <f>TEST_DATA!D8233</f>
        <v>NIL</v>
      </c>
      <c r="E8233">
        <f>TEST_DATA!E8233</f>
        <v>1319</v>
      </c>
    </row>
    <row r="8234" spans="1:5" x14ac:dyDescent="0.55000000000000004">
      <c r="A8234" t="str">
        <f>TEST_DATA!A8234</f>
        <v>27AAAAA8234Z5</v>
      </c>
      <c r="B8234" t="str">
        <f>TEST_DATA!B8234</f>
        <v>Mar-2021</v>
      </c>
      <c r="C8234">
        <f>TEST_DATA!C8234</f>
        <v>44866</v>
      </c>
      <c r="D8234" t="str">
        <f>TEST_DATA!D8234</f>
        <v>NIL</v>
      </c>
      <c r="E8234">
        <f>TEST_DATA!E8234</f>
        <v>1793</v>
      </c>
    </row>
    <row r="8235" spans="1:5" x14ac:dyDescent="0.55000000000000004">
      <c r="A8235" t="str">
        <f>TEST_DATA!A8235</f>
        <v>27AAAAA8235Z5</v>
      </c>
      <c r="B8235" t="str">
        <f>TEST_DATA!B8235</f>
        <v>Apr-2021</v>
      </c>
      <c r="C8235">
        <f>TEST_DATA!C8235</f>
        <v>44581</v>
      </c>
      <c r="D8235" t="str">
        <f>TEST_DATA!D8235</f>
        <v>NIL</v>
      </c>
      <c r="E8235">
        <f>TEST_DATA!E8235</f>
        <v>2458</v>
      </c>
    </row>
    <row r="8236" spans="1:5" x14ac:dyDescent="0.55000000000000004">
      <c r="A8236" t="str">
        <f>TEST_DATA!A8236</f>
        <v>27AAAAA8236Z5</v>
      </c>
      <c r="B8236" t="str">
        <f>TEST_DATA!B8236</f>
        <v>Jul-2020</v>
      </c>
      <c r="C8236">
        <f>TEST_DATA!C8236</f>
        <v>44208</v>
      </c>
      <c r="D8236" t="str">
        <f>TEST_DATA!D8236</f>
        <v>NON-NIL</v>
      </c>
      <c r="E8236">
        <f>TEST_DATA!E8236</f>
        <v>2284</v>
      </c>
    </row>
    <row r="8237" spans="1:5" x14ac:dyDescent="0.55000000000000004">
      <c r="A8237" t="str">
        <f>TEST_DATA!A8237</f>
        <v>27AAAAA8237Z5</v>
      </c>
      <c r="B8237" t="str">
        <f>TEST_DATA!B8237</f>
        <v>Dec-2024</v>
      </c>
      <c r="C8237">
        <f>TEST_DATA!C8237</f>
        <v>43739</v>
      </c>
      <c r="D8237" t="str">
        <f>TEST_DATA!D8237</f>
        <v>NON-NIL</v>
      </c>
      <c r="E8237">
        <f>TEST_DATA!E8237</f>
        <v>2021</v>
      </c>
    </row>
    <row r="8238" spans="1:5" x14ac:dyDescent="0.55000000000000004">
      <c r="A8238" t="str">
        <f>TEST_DATA!A8238</f>
        <v>27AAAAA8238Z5</v>
      </c>
      <c r="B8238" t="str">
        <f>TEST_DATA!B8238</f>
        <v>Mar-2023</v>
      </c>
      <c r="C8238">
        <f>TEST_DATA!C8238</f>
        <v>45190</v>
      </c>
      <c r="D8238" t="str">
        <f>TEST_DATA!D8238</f>
        <v>NIL</v>
      </c>
      <c r="E8238">
        <f>TEST_DATA!E8238</f>
        <v>435</v>
      </c>
    </row>
    <row r="8239" spans="1:5" x14ac:dyDescent="0.55000000000000004">
      <c r="A8239" t="str">
        <f>TEST_DATA!A8239</f>
        <v>27AAAAA8239Z5</v>
      </c>
      <c r="B8239" t="str">
        <f>TEST_DATA!B8239</f>
        <v>Dec-2022</v>
      </c>
      <c r="C8239">
        <f>TEST_DATA!C8239</f>
        <v>44212</v>
      </c>
      <c r="D8239" t="str">
        <f>TEST_DATA!D8239</f>
        <v>NIL</v>
      </c>
      <c r="E8239">
        <f>TEST_DATA!E8239</f>
        <v>1662</v>
      </c>
    </row>
    <row r="8240" spans="1:5" x14ac:dyDescent="0.55000000000000004">
      <c r="A8240" t="str">
        <f>TEST_DATA!A8240</f>
        <v>27AAAAA8240Z5</v>
      </c>
      <c r="B8240" t="str">
        <f>TEST_DATA!B8240</f>
        <v>Apr-2021</v>
      </c>
      <c r="C8240">
        <f>TEST_DATA!C8240</f>
        <v>43618</v>
      </c>
      <c r="D8240" t="str">
        <f>TEST_DATA!D8240</f>
        <v>NIL</v>
      </c>
      <c r="E8240">
        <f>TEST_DATA!E8240</f>
        <v>2851</v>
      </c>
    </row>
    <row r="8241" spans="1:5" x14ac:dyDescent="0.55000000000000004">
      <c r="A8241" t="str">
        <f>TEST_DATA!A8241</f>
        <v>27AAAAA8241Z5</v>
      </c>
      <c r="B8241" t="str">
        <f>TEST_DATA!B8241</f>
        <v>Dec-2019</v>
      </c>
      <c r="C8241">
        <f>TEST_DATA!C8241</f>
        <v>45084</v>
      </c>
      <c r="D8241" t="str">
        <f>TEST_DATA!D8241</f>
        <v>NIL</v>
      </c>
      <c r="E8241">
        <f>TEST_DATA!E8241</f>
        <v>2340</v>
      </c>
    </row>
    <row r="8242" spans="1:5" x14ac:dyDescent="0.55000000000000004">
      <c r="A8242" t="str">
        <f>TEST_DATA!A8242</f>
        <v>27AAAAA8242Z5</v>
      </c>
      <c r="B8242" t="str">
        <f>TEST_DATA!B8242</f>
        <v>Apr-2020</v>
      </c>
      <c r="C8242">
        <f>TEST_DATA!C8242</f>
        <v>44365</v>
      </c>
      <c r="D8242" t="str">
        <f>TEST_DATA!D8242</f>
        <v>NON-NIL</v>
      </c>
      <c r="E8242">
        <f>TEST_DATA!E8242</f>
        <v>1057</v>
      </c>
    </row>
    <row r="8243" spans="1:5" x14ac:dyDescent="0.55000000000000004">
      <c r="A8243" t="str">
        <f>TEST_DATA!A8243</f>
        <v>27AAAAA8243Z5</v>
      </c>
      <c r="B8243" t="str">
        <f>TEST_DATA!B8243</f>
        <v>Oct-2017</v>
      </c>
      <c r="C8243">
        <f>TEST_DATA!C8243</f>
        <v>43342</v>
      </c>
      <c r="D8243" t="str">
        <f>TEST_DATA!D8243</f>
        <v>NON-NIL</v>
      </c>
      <c r="E8243">
        <f>TEST_DATA!E8243</f>
        <v>1303</v>
      </c>
    </row>
    <row r="8244" spans="1:5" x14ac:dyDescent="0.55000000000000004">
      <c r="A8244" t="str">
        <f>TEST_DATA!A8244</f>
        <v>27AAAAA8244Z5</v>
      </c>
      <c r="B8244" t="str">
        <f>TEST_DATA!B8244</f>
        <v>Feb-2018</v>
      </c>
      <c r="C8244">
        <f>TEST_DATA!C8244</f>
        <v>43109</v>
      </c>
      <c r="D8244" t="str">
        <f>TEST_DATA!D8244</f>
        <v>NON-NIL</v>
      </c>
      <c r="E8244">
        <f>TEST_DATA!E8244</f>
        <v>1595</v>
      </c>
    </row>
    <row r="8245" spans="1:5" x14ac:dyDescent="0.55000000000000004">
      <c r="A8245" t="str">
        <f>TEST_DATA!A8245</f>
        <v>27AAAAA8245Z5</v>
      </c>
      <c r="B8245" t="str">
        <f>TEST_DATA!B8245</f>
        <v>Jan-2018</v>
      </c>
      <c r="C8245">
        <f>TEST_DATA!C8245</f>
        <v>44506</v>
      </c>
      <c r="D8245" t="str">
        <f>TEST_DATA!D8245</f>
        <v>NIL</v>
      </c>
      <c r="E8245">
        <f>TEST_DATA!E8245</f>
        <v>2470</v>
      </c>
    </row>
    <row r="8246" spans="1:5" x14ac:dyDescent="0.55000000000000004">
      <c r="A8246" t="str">
        <f>TEST_DATA!A8246</f>
        <v>27AAAAA8246Z5</v>
      </c>
      <c r="B8246" t="str">
        <f>TEST_DATA!B8246</f>
        <v>Feb-2018</v>
      </c>
      <c r="C8246">
        <f>TEST_DATA!C8246</f>
        <v>42934</v>
      </c>
      <c r="D8246" t="str">
        <f>TEST_DATA!D8246</f>
        <v>NON-NIL</v>
      </c>
      <c r="E8246">
        <f>TEST_DATA!E8246</f>
        <v>2448</v>
      </c>
    </row>
    <row r="8247" spans="1:5" x14ac:dyDescent="0.55000000000000004">
      <c r="A8247" t="str">
        <f>TEST_DATA!A8247</f>
        <v>27AAAAA8247Z5</v>
      </c>
      <c r="B8247" t="str">
        <f>TEST_DATA!B8247</f>
        <v>Jul-2018</v>
      </c>
      <c r="C8247">
        <f>TEST_DATA!C8247</f>
        <v>43984</v>
      </c>
      <c r="D8247" t="str">
        <f>TEST_DATA!D8247</f>
        <v>NON-NIL</v>
      </c>
      <c r="E8247">
        <f>TEST_DATA!E8247</f>
        <v>2546</v>
      </c>
    </row>
    <row r="8248" spans="1:5" x14ac:dyDescent="0.55000000000000004">
      <c r="A8248" t="str">
        <f>TEST_DATA!A8248</f>
        <v>27AAAAA8248Z5</v>
      </c>
      <c r="B8248" t="str">
        <f>TEST_DATA!B8248</f>
        <v>Aug-2017</v>
      </c>
      <c r="C8248">
        <f>TEST_DATA!C8248</f>
        <v>44249</v>
      </c>
      <c r="D8248" t="str">
        <f>TEST_DATA!D8248</f>
        <v>NON-NIL</v>
      </c>
      <c r="E8248">
        <f>TEST_DATA!E8248</f>
        <v>2849</v>
      </c>
    </row>
    <row r="8249" spans="1:5" x14ac:dyDescent="0.55000000000000004">
      <c r="A8249" t="str">
        <f>TEST_DATA!A8249</f>
        <v>27AAAAA8249Z5</v>
      </c>
      <c r="B8249" t="str">
        <f>TEST_DATA!B8249</f>
        <v>Jun-2020</v>
      </c>
      <c r="C8249">
        <f>TEST_DATA!C8249</f>
        <v>44457</v>
      </c>
      <c r="D8249" t="str">
        <f>TEST_DATA!D8249</f>
        <v>NON-NIL</v>
      </c>
      <c r="E8249">
        <f>TEST_DATA!E8249</f>
        <v>2372</v>
      </c>
    </row>
    <row r="8250" spans="1:5" x14ac:dyDescent="0.55000000000000004">
      <c r="A8250" t="str">
        <f>TEST_DATA!A8250</f>
        <v>27AAAAA8250Z5</v>
      </c>
      <c r="B8250" t="str">
        <f>TEST_DATA!B8250</f>
        <v>Dec-2019</v>
      </c>
      <c r="C8250">
        <f>TEST_DATA!C8250</f>
        <v>45369</v>
      </c>
      <c r="D8250" t="str">
        <f>TEST_DATA!D8250</f>
        <v>NIL</v>
      </c>
      <c r="E8250">
        <f>TEST_DATA!E8250</f>
        <v>2578</v>
      </c>
    </row>
    <row r="8251" spans="1:5" x14ac:dyDescent="0.55000000000000004">
      <c r="A8251" t="str">
        <f>TEST_DATA!A8251</f>
        <v>27AAAAA8251Z5</v>
      </c>
      <c r="B8251" t="str">
        <f>TEST_DATA!B8251</f>
        <v>Mar-2018</v>
      </c>
      <c r="C8251">
        <f>TEST_DATA!C8251</f>
        <v>44410</v>
      </c>
      <c r="D8251" t="str">
        <f>TEST_DATA!D8251</f>
        <v>NIL</v>
      </c>
      <c r="E8251">
        <f>TEST_DATA!E8251</f>
        <v>2303</v>
      </c>
    </row>
    <row r="8252" spans="1:5" x14ac:dyDescent="0.55000000000000004">
      <c r="A8252" t="str">
        <f>TEST_DATA!A8252</f>
        <v>27AAAAA8252Z5</v>
      </c>
      <c r="B8252" t="str">
        <f>TEST_DATA!B8252</f>
        <v>Jan-2021</v>
      </c>
      <c r="C8252">
        <f>TEST_DATA!C8252</f>
        <v>44186</v>
      </c>
      <c r="D8252" t="str">
        <f>TEST_DATA!D8252</f>
        <v>NIL</v>
      </c>
      <c r="E8252">
        <f>TEST_DATA!E8252</f>
        <v>1887</v>
      </c>
    </row>
    <row r="8253" spans="1:5" x14ac:dyDescent="0.55000000000000004">
      <c r="A8253" t="str">
        <f>TEST_DATA!A8253</f>
        <v>27AAAAA8253Z5</v>
      </c>
      <c r="B8253" t="str">
        <f>TEST_DATA!B8253</f>
        <v>Jan-2019</v>
      </c>
      <c r="C8253">
        <f>TEST_DATA!C8253</f>
        <v>44236</v>
      </c>
      <c r="D8253" t="str">
        <f>TEST_DATA!D8253</f>
        <v>NON-NIL</v>
      </c>
      <c r="E8253">
        <f>TEST_DATA!E8253</f>
        <v>2665</v>
      </c>
    </row>
    <row r="8254" spans="1:5" x14ac:dyDescent="0.55000000000000004">
      <c r="A8254" t="str">
        <f>TEST_DATA!A8254</f>
        <v>27AAAAA8254Z5</v>
      </c>
      <c r="B8254" t="str">
        <f>TEST_DATA!B8254</f>
        <v>Mar-2021</v>
      </c>
      <c r="C8254">
        <f>TEST_DATA!C8254</f>
        <v>43846</v>
      </c>
      <c r="D8254" t="str">
        <f>TEST_DATA!D8254</f>
        <v>NON-NIL</v>
      </c>
      <c r="E8254">
        <f>TEST_DATA!E8254</f>
        <v>1640</v>
      </c>
    </row>
    <row r="8255" spans="1:5" x14ac:dyDescent="0.55000000000000004">
      <c r="A8255" t="str">
        <f>TEST_DATA!A8255</f>
        <v>27AAAAA8255Z5</v>
      </c>
      <c r="B8255" t="str">
        <f>TEST_DATA!B8255</f>
        <v>Jun-2019</v>
      </c>
      <c r="C8255">
        <f>TEST_DATA!C8255</f>
        <v>43729</v>
      </c>
      <c r="D8255" t="str">
        <f>TEST_DATA!D8255</f>
        <v>NIL</v>
      </c>
      <c r="E8255">
        <f>TEST_DATA!E8255</f>
        <v>844</v>
      </c>
    </row>
    <row r="8256" spans="1:5" x14ac:dyDescent="0.55000000000000004">
      <c r="A8256" t="str">
        <f>TEST_DATA!A8256</f>
        <v>27AAAAA8256Z5</v>
      </c>
      <c r="B8256" t="str">
        <f>TEST_DATA!B8256</f>
        <v>Jan-2018</v>
      </c>
      <c r="C8256">
        <f>TEST_DATA!C8256</f>
        <v>44190</v>
      </c>
      <c r="D8256" t="str">
        <f>TEST_DATA!D8256</f>
        <v>NON-NIL</v>
      </c>
      <c r="E8256">
        <f>TEST_DATA!E8256</f>
        <v>786</v>
      </c>
    </row>
    <row r="8257" spans="1:5" x14ac:dyDescent="0.55000000000000004">
      <c r="A8257" t="str">
        <f>TEST_DATA!A8257</f>
        <v>27AAAAA8257Z5</v>
      </c>
      <c r="B8257" t="str">
        <f>TEST_DATA!B8257</f>
        <v>Aug-2018</v>
      </c>
      <c r="C8257">
        <f>TEST_DATA!C8257</f>
        <v>43844</v>
      </c>
      <c r="D8257" t="str">
        <f>TEST_DATA!D8257</f>
        <v>NIL</v>
      </c>
      <c r="E8257">
        <f>TEST_DATA!E8257</f>
        <v>1958</v>
      </c>
    </row>
    <row r="8258" spans="1:5" x14ac:dyDescent="0.55000000000000004">
      <c r="A8258" t="str">
        <f>TEST_DATA!A8258</f>
        <v>27AAAAA8258Z5</v>
      </c>
      <c r="B8258" t="str">
        <f>TEST_DATA!B8258</f>
        <v>Jul-2020</v>
      </c>
      <c r="C8258">
        <f>TEST_DATA!C8258</f>
        <v>44109</v>
      </c>
      <c r="D8258" t="str">
        <f>TEST_DATA!D8258</f>
        <v>NIL</v>
      </c>
      <c r="E8258">
        <f>TEST_DATA!E8258</f>
        <v>1961</v>
      </c>
    </row>
    <row r="8259" spans="1:5" x14ac:dyDescent="0.55000000000000004">
      <c r="A8259" t="str">
        <f>TEST_DATA!A8259</f>
        <v>27AAAAA8259Z5</v>
      </c>
      <c r="B8259" t="str">
        <f>TEST_DATA!B8259</f>
        <v>Jun-2020</v>
      </c>
      <c r="C8259">
        <f>TEST_DATA!C8259</f>
        <v>44294</v>
      </c>
      <c r="D8259" t="str">
        <f>TEST_DATA!D8259</f>
        <v>NON-NIL</v>
      </c>
      <c r="E8259">
        <f>TEST_DATA!E8259</f>
        <v>45</v>
      </c>
    </row>
    <row r="8260" spans="1:5" x14ac:dyDescent="0.55000000000000004">
      <c r="A8260" t="str">
        <f>TEST_DATA!A8260</f>
        <v>27AAAAA8260Z5</v>
      </c>
      <c r="B8260" t="str">
        <f>TEST_DATA!B8260</f>
        <v>Jul-2020</v>
      </c>
      <c r="C8260">
        <f>TEST_DATA!C8260</f>
        <v>44200</v>
      </c>
      <c r="D8260" t="str">
        <f>TEST_DATA!D8260</f>
        <v>NON-NIL</v>
      </c>
      <c r="E8260">
        <f>TEST_DATA!E8260</f>
        <v>543</v>
      </c>
    </row>
    <row r="8261" spans="1:5" x14ac:dyDescent="0.55000000000000004">
      <c r="A8261" t="str">
        <f>TEST_DATA!A8261</f>
        <v>27AAAAA8261Z5</v>
      </c>
      <c r="B8261" t="str">
        <f>TEST_DATA!B8261</f>
        <v>May-2020</v>
      </c>
      <c r="C8261">
        <f>TEST_DATA!C8261</f>
        <v>44182</v>
      </c>
      <c r="D8261" t="str">
        <f>TEST_DATA!D8261</f>
        <v>NIL</v>
      </c>
      <c r="E8261">
        <f>TEST_DATA!E8261</f>
        <v>1107</v>
      </c>
    </row>
    <row r="8262" spans="1:5" x14ac:dyDescent="0.55000000000000004">
      <c r="A8262" t="str">
        <f>TEST_DATA!A8262</f>
        <v>27AAAAA8262Z5</v>
      </c>
      <c r="B8262" t="str">
        <f>TEST_DATA!B8262</f>
        <v>Oct-2017</v>
      </c>
      <c r="C8262">
        <f>TEST_DATA!C8262</f>
        <v>44326</v>
      </c>
      <c r="D8262" t="str">
        <f>TEST_DATA!D8262</f>
        <v>NIL</v>
      </c>
      <c r="E8262">
        <f>TEST_DATA!E8262</f>
        <v>251</v>
      </c>
    </row>
    <row r="8263" spans="1:5" x14ac:dyDescent="0.55000000000000004">
      <c r="A8263" t="str">
        <f>TEST_DATA!A8263</f>
        <v>27AAAAA8263Z5</v>
      </c>
      <c r="B8263" t="str">
        <f>TEST_DATA!B8263</f>
        <v>Aug-2018</v>
      </c>
      <c r="C8263">
        <f>TEST_DATA!C8263</f>
        <v>44296</v>
      </c>
      <c r="D8263" t="str">
        <f>TEST_DATA!D8263</f>
        <v>NIL</v>
      </c>
      <c r="E8263">
        <f>TEST_DATA!E8263</f>
        <v>757</v>
      </c>
    </row>
    <row r="8264" spans="1:5" x14ac:dyDescent="0.55000000000000004">
      <c r="A8264" t="str">
        <f>TEST_DATA!A8264</f>
        <v>27AAAAA8264Z5</v>
      </c>
      <c r="B8264" t="str">
        <f>TEST_DATA!B8264</f>
        <v>Jan-2021</v>
      </c>
      <c r="C8264">
        <f>TEST_DATA!C8264</f>
        <v>44427</v>
      </c>
      <c r="D8264" t="str">
        <f>TEST_DATA!D8264</f>
        <v>NON-NIL</v>
      </c>
      <c r="E8264">
        <f>TEST_DATA!E8264</f>
        <v>1280</v>
      </c>
    </row>
    <row r="8265" spans="1:5" x14ac:dyDescent="0.55000000000000004">
      <c r="A8265" t="str">
        <f>TEST_DATA!A8265</f>
        <v>27AAAAA8265Z5</v>
      </c>
      <c r="B8265" t="str">
        <f>TEST_DATA!B8265</f>
        <v>Apr-2018</v>
      </c>
      <c r="C8265">
        <f>TEST_DATA!C8265</f>
        <v>42946</v>
      </c>
      <c r="D8265" t="str">
        <f>TEST_DATA!D8265</f>
        <v>NIL</v>
      </c>
      <c r="E8265">
        <f>TEST_DATA!E8265</f>
        <v>2229</v>
      </c>
    </row>
    <row r="8266" spans="1:5" x14ac:dyDescent="0.55000000000000004">
      <c r="A8266" t="str">
        <f>TEST_DATA!A8266</f>
        <v>27AAAAA8266Z5</v>
      </c>
      <c r="B8266" t="str">
        <f>TEST_DATA!B8266</f>
        <v>Oct-2017</v>
      </c>
      <c r="C8266">
        <f>TEST_DATA!C8266</f>
        <v>44245</v>
      </c>
      <c r="D8266" t="str">
        <f>TEST_DATA!D8266</f>
        <v>NON-NIL</v>
      </c>
      <c r="E8266">
        <f>TEST_DATA!E8266</f>
        <v>1188</v>
      </c>
    </row>
    <row r="8267" spans="1:5" x14ac:dyDescent="0.55000000000000004">
      <c r="A8267" t="str">
        <f>TEST_DATA!A8267</f>
        <v>27AAAAA8267Z5</v>
      </c>
      <c r="B8267" t="str">
        <f>TEST_DATA!B8267</f>
        <v>Mar-2018</v>
      </c>
      <c r="C8267">
        <f>TEST_DATA!C8267</f>
        <v>43261</v>
      </c>
      <c r="D8267" t="str">
        <f>TEST_DATA!D8267</f>
        <v>NON-NIL</v>
      </c>
      <c r="E8267">
        <f>TEST_DATA!E8267</f>
        <v>2264</v>
      </c>
    </row>
    <row r="8268" spans="1:5" x14ac:dyDescent="0.55000000000000004">
      <c r="A8268" t="str">
        <f>TEST_DATA!A8268</f>
        <v>27AAAAA8268Z5</v>
      </c>
      <c r="B8268" t="str">
        <f>TEST_DATA!B8268</f>
        <v>Mar-2023</v>
      </c>
      <c r="C8268">
        <f>TEST_DATA!C8268</f>
        <v>44574</v>
      </c>
      <c r="D8268" t="str">
        <f>TEST_DATA!D8268</f>
        <v>NIL</v>
      </c>
      <c r="E8268">
        <f>TEST_DATA!E8268</f>
        <v>2741</v>
      </c>
    </row>
    <row r="8269" spans="1:5" x14ac:dyDescent="0.55000000000000004">
      <c r="A8269" t="str">
        <f>TEST_DATA!A8269</f>
        <v>27AAAAA8269Z5</v>
      </c>
      <c r="B8269" t="str">
        <f>TEST_DATA!B8269</f>
        <v>Jun-2020</v>
      </c>
      <c r="C8269">
        <f>TEST_DATA!C8269</f>
        <v>43894</v>
      </c>
      <c r="D8269" t="str">
        <f>TEST_DATA!D8269</f>
        <v>NIL</v>
      </c>
      <c r="E8269">
        <f>TEST_DATA!E8269</f>
        <v>2839</v>
      </c>
    </row>
    <row r="8270" spans="1:5" x14ac:dyDescent="0.55000000000000004">
      <c r="A8270" t="str">
        <f>TEST_DATA!A8270</f>
        <v>27AAAAA8270Z5</v>
      </c>
      <c r="B8270" t="str">
        <f>TEST_DATA!B8270</f>
        <v>Mar-2018</v>
      </c>
      <c r="C8270">
        <f>TEST_DATA!C8270</f>
        <v>43418</v>
      </c>
      <c r="D8270" t="str">
        <f>TEST_DATA!D8270</f>
        <v>NON-NIL</v>
      </c>
      <c r="E8270">
        <f>TEST_DATA!E8270</f>
        <v>29</v>
      </c>
    </row>
    <row r="8271" spans="1:5" x14ac:dyDescent="0.55000000000000004">
      <c r="A8271" t="str">
        <f>TEST_DATA!A8271</f>
        <v>27AAAAA8271Z5</v>
      </c>
      <c r="B8271" t="str">
        <f>TEST_DATA!B8271</f>
        <v>Jul-2020</v>
      </c>
      <c r="C8271">
        <f>TEST_DATA!C8271</f>
        <v>44461</v>
      </c>
      <c r="D8271" t="str">
        <f>TEST_DATA!D8271</f>
        <v>NON-NIL</v>
      </c>
      <c r="E8271">
        <f>TEST_DATA!E8271</f>
        <v>1684</v>
      </c>
    </row>
    <row r="8272" spans="1:5" x14ac:dyDescent="0.55000000000000004">
      <c r="A8272" t="str">
        <f>TEST_DATA!A8272</f>
        <v>27AAAAA8272Z5</v>
      </c>
      <c r="B8272" t="str">
        <f>TEST_DATA!B8272</f>
        <v>Jun-2018</v>
      </c>
      <c r="C8272">
        <f>TEST_DATA!C8272</f>
        <v>44353</v>
      </c>
      <c r="D8272" t="str">
        <f>TEST_DATA!D8272</f>
        <v>NIL</v>
      </c>
      <c r="E8272">
        <f>TEST_DATA!E8272</f>
        <v>483</v>
      </c>
    </row>
    <row r="8273" spans="1:5" x14ac:dyDescent="0.55000000000000004">
      <c r="A8273" t="str">
        <f>TEST_DATA!A8273</f>
        <v>27AAAAA8273Z5</v>
      </c>
      <c r="B8273" t="str">
        <f>TEST_DATA!B8273</f>
        <v>Jun-2020</v>
      </c>
      <c r="C8273">
        <f>TEST_DATA!C8273</f>
        <v>44885</v>
      </c>
      <c r="D8273" t="str">
        <f>TEST_DATA!D8273</f>
        <v>NON-NIL</v>
      </c>
      <c r="E8273">
        <f>TEST_DATA!E8273</f>
        <v>2692</v>
      </c>
    </row>
    <row r="8274" spans="1:5" x14ac:dyDescent="0.55000000000000004">
      <c r="A8274" t="str">
        <f>TEST_DATA!A8274</f>
        <v>27AAAAA8274Z5</v>
      </c>
      <c r="B8274" t="str">
        <f>TEST_DATA!B8274</f>
        <v>Sep-2017</v>
      </c>
      <c r="C8274">
        <f>TEST_DATA!C8274</f>
        <v>43605</v>
      </c>
      <c r="D8274" t="str">
        <f>TEST_DATA!D8274</f>
        <v>NON-NIL</v>
      </c>
      <c r="E8274">
        <f>TEST_DATA!E8274</f>
        <v>1122</v>
      </c>
    </row>
    <row r="8275" spans="1:5" x14ac:dyDescent="0.55000000000000004">
      <c r="A8275" t="str">
        <f>TEST_DATA!A8275</f>
        <v>27AAAAA8275Z5</v>
      </c>
      <c r="B8275" t="str">
        <f>TEST_DATA!B8275</f>
        <v>Jul-2017</v>
      </c>
      <c r="C8275">
        <f>TEST_DATA!C8275</f>
        <v>44171</v>
      </c>
      <c r="D8275" t="str">
        <f>TEST_DATA!D8275</f>
        <v>NON-NIL</v>
      </c>
      <c r="E8275">
        <f>TEST_DATA!E8275</f>
        <v>422</v>
      </c>
    </row>
    <row r="8276" spans="1:5" x14ac:dyDescent="0.55000000000000004">
      <c r="A8276" t="str">
        <f>TEST_DATA!A8276</f>
        <v>27AAAAA8276Z5</v>
      </c>
      <c r="B8276" t="str">
        <f>TEST_DATA!B8276</f>
        <v>Apr-2018</v>
      </c>
      <c r="C8276">
        <f>TEST_DATA!C8276</f>
        <v>43930</v>
      </c>
      <c r="D8276" t="str">
        <f>TEST_DATA!D8276</f>
        <v>NON-NIL</v>
      </c>
      <c r="E8276">
        <f>TEST_DATA!E8276</f>
        <v>788</v>
      </c>
    </row>
    <row r="8277" spans="1:5" x14ac:dyDescent="0.55000000000000004">
      <c r="A8277" t="str">
        <f>TEST_DATA!A8277</f>
        <v>27AAAAA8277Z5</v>
      </c>
      <c r="B8277" t="str">
        <f>TEST_DATA!B8277</f>
        <v>Apr-2020</v>
      </c>
      <c r="C8277">
        <f>TEST_DATA!C8277</f>
        <v>43964</v>
      </c>
      <c r="D8277" t="str">
        <f>TEST_DATA!D8277</f>
        <v>NIL</v>
      </c>
      <c r="E8277">
        <f>TEST_DATA!E8277</f>
        <v>1914</v>
      </c>
    </row>
    <row r="8278" spans="1:5" x14ac:dyDescent="0.55000000000000004">
      <c r="A8278" t="str">
        <f>TEST_DATA!A8278</f>
        <v>27AAAAA8278Z5</v>
      </c>
      <c r="B8278" t="str">
        <f>TEST_DATA!B8278</f>
        <v>Aug-2017</v>
      </c>
      <c r="C8278">
        <f>TEST_DATA!C8278</f>
        <v>43572</v>
      </c>
      <c r="D8278" t="str">
        <f>TEST_DATA!D8278</f>
        <v>NON-NIL</v>
      </c>
      <c r="E8278">
        <f>TEST_DATA!E8278</f>
        <v>2606</v>
      </c>
    </row>
    <row r="8279" spans="1:5" x14ac:dyDescent="0.55000000000000004">
      <c r="A8279" t="str">
        <f>TEST_DATA!A8279</f>
        <v>27AAAAA8279Z5</v>
      </c>
      <c r="B8279" t="str">
        <f>TEST_DATA!B8279</f>
        <v>Nov-2017</v>
      </c>
      <c r="C8279">
        <f>TEST_DATA!C8279</f>
        <v>43531</v>
      </c>
      <c r="D8279" t="str">
        <f>TEST_DATA!D8279</f>
        <v>NON-NIL</v>
      </c>
      <c r="E8279">
        <f>TEST_DATA!E8279</f>
        <v>382</v>
      </c>
    </row>
    <row r="8280" spans="1:5" x14ac:dyDescent="0.55000000000000004">
      <c r="A8280" t="str">
        <f>TEST_DATA!A8280</f>
        <v>27AAAAA8280Z5</v>
      </c>
      <c r="B8280" t="str">
        <f>TEST_DATA!B8280</f>
        <v>Jun-2020</v>
      </c>
      <c r="C8280">
        <f>TEST_DATA!C8280</f>
        <v>43945</v>
      </c>
      <c r="D8280" t="str">
        <f>TEST_DATA!D8280</f>
        <v>NIL</v>
      </c>
      <c r="E8280">
        <f>TEST_DATA!E8280</f>
        <v>1579</v>
      </c>
    </row>
    <row r="8281" spans="1:5" x14ac:dyDescent="0.55000000000000004">
      <c r="A8281" t="str">
        <f>TEST_DATA!A8281</f>
        <v>27AAAAA8281Z5</v>
      </c>
      <c r="B8281" t="str">
        <f>TEST_DATA!B8281</f>
        <v>Mar-2023</v>
      </c>
      <c r="C8281">
        <f>TEST_DATA!C8281</f>
        <v>43777</v>
      </c>
      <c r="D8281" t="str">
        <f>TEST_DATA!D8281</f>
        <v>NIL</v>
      </c>
      <c r="E8281">
        <f>TEST_DATA!E8281</f>
        <v>111</v>
      </c>
    </row>
    <row r="8282" spans="1:5" x14ac:dyDescent="0.55000000000000004">
      <c r="A8282" t="str">
        <f>TEST_DATA!A8282</f>
        <v>27AAAAA8282Z5</v>
      </c>
      <c r="B8282" t="str">
        <f>TEST_DATA!B8282</f>
        <v>May-2020</v>
      </c>
      <c r="C8282">
        <f>TEST_DATA!C8282</f>
        <v>44239</v>
      </c>
      <c r="D8282" t="str">
        <f>TEST_DATA!D8282</f>
        <v>NON-NIL</v>
      </c>
      <c r="E8282">
        <f>TEST_DATA!E8282</f>
        <v>1570</v>
      </c>
    </row>
    <row r="8283" spans="1:5" x14ac:dyDescent="0.55000000000000004">
      <c r="A8283" t="str">
        <f>TEST_DATA!A8283</f>
        <v>27AAAAA8283Z5</v>
      </c>
      <c r="B8283" t="str">
        <f>TEST_DATA!B8283</f>
        <v>May-2018</v>
      </c>
      <c r="C8283">
        <f>TEST_DATA!C8283</f>
        <v>44179</v>
      </c>
      <c r="D8283" t="str">
        <f>TEST_DATA!D8283</f>
        <v>NON-NIL</v>
      </c>
      <c r="E8283">
        <f>TEST_DATA!E8283</f>
        <v>742</v>
      </c>
    </row>
    <row r="8284" spans="1:5" x14ac:dyDescent="0.55000000000000004">
      <c r="A8284" t="str">
        <f>TEST_DATA!A8284</f>
        <v>27AAAAA8284Z5</v>
      </c>
      <c r="B8284" t="str">
        <f>TEST_DATA!B8284</f>
        <v>Jan-2021</v>
      </c>
      <c r="C8284">
        <f>TEST_DATA!C8284</f>
        <v>45833</v>
      </c>
      <c r="D8284" t="str">
        <f>TEST_DATA!D8284</f>
        <v>NIL</v>
      </c>
      <c r="E8284">
        <f>TEST_DATA!E8284</f>
        <v>144</v>
      </c>
    </row>
    <row r="8285" spans="1:5" x14ac:dyDescent="0.55000000000000004">
      <c r="A8285" t="str">
        <f>TEST_DATA!A8285</f>
        <v>27AAAAA8285Z5</v>
      </c>
      <c r="B8285" t="str">
        <f>TEST_DATA!B8285</f>
        <v>May-2020</v>
      </c>
      <c r="C8285">
        <f>TEST_DATA!C8285</f>
        <v>44188</v>
      </c>
      <c r="D8285" t="str">
        <f>TEST_DATA!D8285</f>
        <v>NIL</v>
      </c>
      <c r="E8285">
        <f>TEST_DATA!E8285</f>
        <v>1967</v>
      </c>
    </row>
    <row r="8286" spans="1:5" x14ac:dyDescent="0.55000000000000004">
      <c r="A8286" t="str">
        <f>TEST_DATA!A8286</f>
        <v>27AAAAA8286Z5</v>
      </c>
      <c r="B8286" t="str">
        <f>TEST_DATA!B8286</f>
        <v>Jul-2018</v>
      </c>
      <c r="C8286">
        <f>TEST_DATA!C8286</f>
        <v>44373</v>
      </c>
      <c r="D8286" t="str">
        <f>TEST_DATA!D8286</f>
        <v>NON-NIL</v>
      </c>
      <c r="E8286">
        <f>TEST_DATA!E8286</f>
        <v>1772</v>
      </c>
    </row>
    <row r="8287" spans="1:5" x14ac:dyDescent="0.55000000000000004">
      <c r="A8287" t="str">
        <f>TEST_DATA!A8287</f>
        <v>27AAAAA8287Z5</v>
      </c>
      <c r="B8287" t="str">
        <f>TEST_DATA!B8287</f>
        <v>Mar-2020</v>
      </c>
      <c r="C8287">
        <f>TEST_DATA!C8287</f>
        <v>44698</v>
      </c>
      <c r="D8287" t="str">
        <f>TEST_DATA!D8287</f>
        <v>NIL</v>
      </c>
      <c r="E8287">
        <f>TEST_DATA!E8287</f>
        <v>687</v>
      </c>
    </row>
    <row r="8288" spans="1:5" x14ac:dyDescent="0.55000000000000004">
      <c r="A8288" t="str">
        <f>TEST_DATA!A8288</f>
        <v>27AAAAA8288Z5</v>
      </c>
      <c r="B8288" t="str">
        <f>TEST_DATA!B8288</f>
        <v>Mar-2020</v>
      </c>
      <c r="C8288">
        <f>TEST_DATA!C8288</f>
        <v>44541</v>
      </c>
      <c r="D8288" t="str">
        <f>TEST_DATA!D8288</f>
        <v>NIL</v>
      </c>
      <c r="E8288">
        <f>TEST_DATA!E8288</f>
        <v>949</v>
      </c>
    </row>
    <row r="8289" spans="1:5" x14ac:dyDescent="0.55000000000000004">
      <c r="A8289" t="str">
        <f>TEST_DATA!A8289</f>
        <v>27AAAAA8289Z5</v>
      </c>
      <c r="B8289" t="str">
        <f>TEST_DATA!B8289</f>
        <v>Dec-2019</v>
      </c>
      <c r="C8289">
        <f>TEST_DATA!C8289</f>
        <v>45037</v>
      </c>
      <c r="D8289" t="str">
        <f>TEST_DATA!D8289</f>
        <v>NIL</v>
      </c>
      <c r="E8289">
        <f>TEST_DATA!E8289</f>
        <v>2329</v>
      </c>
    </row>
    <row r="8290" spans="1:5" x14ac:dyDescent="0.55000000000000004">
      <c r="A8290" t="str">
        <f>TEST_DATA!A8290</f>
        <v>27AAAAA8290Z5</v>
      </c>
      <c r="B8290" t="str">
        <f>TEST_DATA!B8290</f>
        <v>Mar-2018</v>
      </c>
      <c r="C8290">
        <f>TEST_DATA!C8290</f>
        <v>43107</v>
      </c>
      <c r="D8290" t="str">
        <f>TEST_DATA!D8290</f>
        <v>NIL</v>
      </c>
      <c r="E8290">
        <f>TEST_DATA!E8290</f>
        <v>2560</v>
      </c>
    </row>
    <row r="8291" spans="1:5" x14ac:dyDescent="0.55000000000000004">
      <c r="A8291" t="str">
        <f>TEST_DATA!A8291</f>
        <v>27AAAAA8291Z5</v>
      </c>
      <c r="B8291" t="str">
        <f>TEST_DATA!B8291</f>
        <v>Dec-2022</v>
      </c>
      <c r="C8291">
        <f>TEST_DATA!C8291</f>
        <v>45685</v>
      </c>
      <c r="D8291" t="str">
        <f>TEST_DATA!D8291</f>
        <v>NIL</v>
      </c>
      <c r="E8291">
        <f>TEST_DATA!E8291</f>
        <v>2493</v>
      </c>
    </row>
    <row r="8292" spans="1:5" x14ac:dyDescent="0.55000000000000004">
      <c r="A8292" t="str">
        <f>TEST_DATA!A8292</f>
        <v>27AAAAA8292Z5</v>
      </c>
      <c r="B8292" t="str">
        <f>TEST_DATA!B8292</f>
        <v>Jun-2020</v>
      </c>
      <c r="C8292">
        <f>TEST_DATA!C8292</f>
        <v>43864</v>
      </c>
      <c r="D8292" t="str">
        <f>TEST_DATA!D8292</f>
        <v>NIL</v>
      </c>
      <c r="E8292">
        <f>TEST_DATA!E8292</f>
        <v>1251</v>
      </c>
    </row>
    <row r="8293" spans="1:5" x14ac:dyDescent="0.55000000000000004">
      <c r="A8293" t="str">
        <f>TEST_DATA!A8293</f>
        <v>27AAAAA8293Z5</v>
      </c>
      <c r="B8293" t="str">
        <f>TEST_DATA!B8293</f>
        <v>Nov-2017</v>
      </c>
      <c r="C8293">
        <f>TEST_DATA!C8293</f>
        <v>43491</v>
      </c>
      <c r="D8293" t="str">
        <f>TEST_DATA!D8293</f>
        <v>NIL</v>
      </c>
      <c r="E8293">
        <f>TEST_DATA!E8293</f>
        <v>1204</v>
      </c>
    </row>
    <row r="8294" spans="1:5" x14ac:dyDescent="0.55000000000000004">
      <c r="A8294" t="str">
        <f>TEST_DATA!A8294</f>
        <v>27AAAAA8294Z5</v>
      </c>
      <c r="B8294" t="str">
        <f>TEST_DATA!B8294</f>
        <v>Jul-2017</v>
      </c>
      <c r="C8294">
        <f>TEST_DATA!C8294</f>
        <v>43692</v>
      </c>
      <c r="D8294" t="str">
        <f>TEST_DATA!D8294</f>
        <v>NON-NIL</v>
      </c>
      <c r="E8294">
        <f>TEST_DATA!E8294</f>
        <v>2758</v>
      </c>
    </row>
    <row r="8295" spans="1:5" x14ac:dyDescent="0.55000000000000004">
      <c r="A8295" t="str">
        <f>TEST_DATA!A8295</f>
        <v>27AAAAA8295Z5</v>
      </c>
      <c r="B8295" t="str">
        <f>TEST_DATA!B8295</f>
        <v>Dec-2017</v>
      </c>
      <c r="C8295">
        <f>TEST_DATA!C8295</f>
        <v>43966</v>
      </c>
      <c r="D8295" t="str">
        <f>TEST_DATA!D8295</f>
        <v>NIL</v>
      </c>
      <c r="E8295">
        <f>TEST_DATA!E8295</f>
        <v>1106</v>
      </c>
    </row>
    <row r="8296" spans="1:5" x14ac:dyDescent="0.55000000000000004">
      <c r="A8296" t="str">
        <f>TEST_DATA!A8296</f>
        <v>27AAAAA8296Z5</v>
      </c>
      <c r="B8296" t="str">
        <f>TEST_DATA!B8296</f>
        <v>Aug-2018</v>
      </c>
      <c r="C8296">
        <f>TEST_DATA!C8296</f>
        <v>43308</v>
      </c>
      <c r="D8296" t="str">
        <f>TEST_DATA!D8296</f>
        <v>NIL</v>
      </c>
      <c r="E8296">
        <f>TEST_DATA!E8296</f>
        <v>1228</v>
      </c>
    </row>
    <row r="8297" spans="1:5" x14ac:dyDescent="0.55000000000000004">
      <c r="A8297" t="str">
        <f>TEST_DATA!A8297</f>
        <v>27AAAAA8297Z5</v>
      </c>
      <c r="B8297" t="str">
        <f>TEST_DATA!B8297</f>
        <v>Jun-2020</v>
      </c>
      <c r="C8297">
        <f>TEST_DATA!C8297</f>
        <v>44890</v>
      </c>
      <c r="D8297" t="str">
        <f>TEST_DATA!D8297</f>
        <v>NIL</v>
      </c>
      <c r="E8297">
        <f>TEST_DATA!E8297</f>
        <v>975</v>
      </c>
    </row>
    <row r="8298" spans="1:5" x14ac:dyDescent="0.55000000000000004">
      <c r="A8298" t="str">
        <f>TEST_DATA!A8298</f>
        <v>27AAAAA8298Z5</v>
      </c>
      <c r="B8298" t="str">
        <f>TEST_DATA!B8298</f>
        <v>Mar-2018</v>
      </c>
      <c r="C8298">
        <f>TEST_DATA!C8298</f>
        <v>43344</v>
      </c>
      <c r="D8298" t="str">
        <f>TEST_DATA!D8298</f>
        <v>NON-NIL</v>
      </c>
      <c r="E8298">
        <f>TEST_DATA!E8298</f>
        <v>1519</v>
      </c>
    </row>
    <row r="8299" spans="1:5" x14ac:dyDescent="0.55000000000000004">
      <c r="A8299" t="str">
        <f>TEST_DATA!A8299</f>
        <v>27AAAAA8299Z5</v>
      </c>
      <c r="B8299" t="str">
        <f>TEST_DATA!B8299</f>
        <v>Oct-2017</v>
      </c>
      <c r="C8299">
        <f>TEST_DATA!C8299</f>
        <v>44427</v>
      </c>
      <c r="D8299" t="str">
        <f>TEST_DATA!D8299</f>
        <v>NON-NIL</v>
      </c>
      <c r="E8299">
        <f>TEST_DATA!E8299</f>
        <v>1786</v>
      </c>
    </row>
    <row r="8300" spans="1:5" x14ac:dyDescent="0.55000000000000004">
      <c r="A8300" t="str">
        <f>TEST_DATA!A8300</f>
        <v>27AAAAA8300Z5</v>
      </c>
      <c r="B8300" t="str">
        <f>TEST_DATA!B8300</f>
        <v>Dec-2024</v>
      </c>
      <c r="C8300">
        <f>TEST_DATA!C8300</f>
        <v>44508</v>
      </c>
      <c r="D8300" t="str">
        <f>TEST_DATA!D8300</f>
        <v>NIL</v>
      </c>
      <c r="E8300">
        <f>TEST_DATA!E8300</f>
        <v>2079</v>
      </c>
    </row>
    <row r="8301" spans="1:5" x14ac:dyDescent="0.55000000000000004">
      <c r="A8301" t="str">
        <f>TEST_DATA!A8301</f>
        <v>27AAAAA8301Z5</v>
      </c>
      <c r="B8301" t="str">
        <f>TEST_DATA!B8301</f>
        <v>Aug-2018</v>
      </c>
      <c r="C8301">
        <f>TEST_DATA!C8301</f>
        <v>44506</v>
      </c>
      <c r="D8301" t="str">
        <f>TEST_DATA!D8301</f>
        <v>NON-NIL</v>
      </c>
      <c r="E8301">
        <f>TEST_DATA!E8301</f>
        <v>1179</v>
      </c>
    </row>
    <row r="8302" spans="1:5" x14ac:dyDescent="0.55000000000000004">
      <c r="A8302" t="str">
        <f>TEST_DATA!A8302</f>
        <v>27AAAAA8302Z5</v>
      </c>
      <c r="B8302" t="str">
        <f>TEST_DATA!B8302</f>
        <v>Dec-2017</v>
      </c>
      <c r="C8302">
        <f>TEST_DATA!C8302</f>
        <v>43499</v>
      </c>
      <c r="D8302" t="str">
        <f>TEST_DATA!D8302</f>
        <v>NIL</v>
      </c>
      <c r="E8302">
        <f>TEST_DATA!E8302</f>
        <v>2979</v>
      </c>
    </row>
    <row r="8303" spans="1:5" x14ac:dyDescent="0.55000000000000004">
      <c r="A8303" t="str">
        <f>TEST_DATA!A8303</f>
        <v>27AAAAA8303Z5</v>
      </c>
      <c r="B8303" t="str">
        <f>TEST_DATA!B8303</f>
        <v>Dec-2019</v>
      </c>
      <c r="C8303">
        <f>TEST_DATA!C8303</f>
        <v>44189</v>
      </c>
      <c r="D8303" t="str">
        <f>TEST_DATA!D8303</f>
        <v>NON-NIL</v>
      </c>
      <c r="E8303">
        <f>TEST_DATA!E8303</f>
        <v>2540</v>
      </c>
    </row>
    <row r="8304" spans="1:5" x14ac:dyDescent="0.55000000000000004">
      <c r="A8304" t="str">
        <f>TEST_DATA!A8304</f>
        <v>27AAAAA8304Z5</v>
      </c>
      <c r="B8304" t="str">
        <f>TEST_DATA!B8304</f>
        <v>Nov-2017</v>
      </c>
      <c r="C8304">
        <f>TEST_DATA!C8304</f>
        <v>44052</v>
      </c>
      <c r="D8304" t="str">
        <f>TEST_DATA!D8304</f>
        <v>NON-NIL</v>
      </c>
      <c r="E8304">
        <f>TEST_DATA!E8304</f>
        <v>1407</v>
      </c>
    </row>
    <row r="8305" spans="1:5" x14ac:dyDescent="0.55000000000000004">
      <c r="A8305" t="str">
        <f>TEST_DATA!A8305</f>
        <v>27AAAAA8305Z5</v>
      </c>
      <c r="B8305" t="str">
        <f>TEST_DATA!B8305</f>
        <v>Jul-2017</v>
      </c>
      <c r="C8305">
        <f>TEST_DATA!C8305</f>
        <v>43838</v>
      </c>
      <c r="D8305" t="str">
        <f>TEST_DATA!D8305</f>
        <v>NON-NIL</v>
      </c>
      <c r="E8305">
        <f>TEST_DATA!E8305</f>
        <v>836</v>
      </c>
    </row>
    <row r="8306" spans="1:5" x14ac:dyDescent="0.55000000000000004">
      <c r="A8306" t="str">
        <f>TEST_DATA!A8306</f>
        <v>27AAAAA8306Z5</v>
      </c>
      <c r="B8306" t="str">
        <f>TEST_DATA!B8306</f>
        <v>May-2018</v>
      </c>
      <c r="C8306">
        <f>TEST_DATA!C8306</f>
        <v>42961</v>
      </c>
      <c r="D8306" t="str">
        <f>TEST_DATA!D8306</f>
        <v>NON-NIL</v>
      </c>
      <c r="E8306">
        <f>TEST_DATA!E8306</f>
        <v>668</v>
      </c>
    </row>
    <row r="8307" spans="1:5" x14ac:dyDescent="0.55000000000000004">
      <c r="A8307" t="str">
        <f>TEST_DATA!A8307</f>
        <v>27AAAAA8307Z5</v>
      </c>
      <c r="B8307" t="str">
        <f>TEST_DATA!B8307</f>
        <v>Mar-2021</v>
      </c>
      <c r="C8307">
        <f>TEST_DATA!C8307</f>
        <v>45757</v>
      </c>
      <c r="D8307" t="str">
        <f>TEST_DATA!D8307</f>
        <v>NON-NIL</v>
      </c>
      <c r="E8307">
        <f>TEST_DATA!E8307</f>
        <v>2493</v>
      </c>
    </row>
    <row r="8308" spans="1:5" x14ac:dyDescent="0.55000000000000004">
      <c r="A8308" t="str">
        <f>TEST_DATA!A8308</f>
        <v>27AAAAA8308Z5</v>
      </c>
      <c r="B8308" t="str">
        <f>TEST_DATA!B8308</f>
        <v>Mar-2018</v>
      </c>
      <c r="C8308">
        <f>TEST_DATA!C8308</f>
        <v>43899</v>
      </c>
      <c r="D8308" t="str">
        <f>TEST_DATA!D8308</f>
        <v>NIL</v>
      </c>
      <c r="E8308">
        <f>TEST_DATA!E8308</f>
        <v>1018</v>
      </c>
    </row>
    <row r="8309" spans="1:5" x14ac:dyDescent="0.55000000000000004">
      <c r="A8309" t="str">
        <f>TEST_DATA!A8309</f>
        <v>27AAAAA8309Z5</v>
      </c>
      <c r="B8309" t="str">
        <f>TEST_DATA!B8309</f>
        <v>Mar-2020</v>
      </c>
      <c r="C8309">
        <f>TEST_DATA!C8309</f>
        <v>44705</v>
      </c>
      <c r="D8309" t="str">
        <f>TEST_DATA!D8309</f>
        <v>NON-NIL</v>
      </c>
      <c r="E8309">
        <f>TEST_DATA!E8309</f>
        <v>1160</v>
      </c>
    </row>
    <row r="8310" spans="1:5" x14ac:dyDescent="0.55000000000000004">
      <c r="A8310" t="str">
        <f>TEST_DATA!A8310</f>
        <v>27AAAAA8310Z5</v>
      </c>
      <c r="B8310" t="str">
        <f>TEST_DATA!B8310</f>
        <v>May-2018</v>
      </c>
      <c r="C8310">
        <f>TEST_DATA!C8310</f>
        <v>43346</v>
      </c>
      <c r="D8310" t="str">
        <f>TEST_DATA!D8310</f>
        <v>NON-NIL</v>
      </c>
      <c r="E8310">
        <f>TEST_DATA!E8310</f>
        <v>2461</v>
      </c>
    </row>
    <row r="8311" spans="1:5" x14ac:dyDescent="0.55000000000000004">
      <c r="A8311" t="str">
        <f>TEST_DATA!A8311</f>
        <v>27AAAAA8311Z5</v>
      </c>
      <c r="B8311" t="str">
        <f>TEST_DATA!B8311</f>
        <v>Oct-2017</v>
      </c>
      <c r="C8311">
        <f>TEST_DATA!C8311</f>
        <v>43880</v>
      </c>
      <c r="D8311" t="str">
        <f>TEST_DATA!D8311</f>
        <v>NON-NIL</v>
      </c>
      <c r="E8311">
        <f>TEST_DATA!E8311</f>
        <v>1344</v>
      </c>
    </row>
    <row r="8312" spans="1:5" x14ac:dyDescent="0.55000000000000004">
      <c r="A8312" t="str">
        <f>TEST_DATA!A8312</f>
        <v>27AAAAA8312Z5</v>
      </c>
      <c r="B8312" t="str">
        <f>TEST_DATA!B8312</f>
        <v>Aug-2017</v>
      </c>
      <c r="C8312">
        <f>TEST_DATA!C8312</f>
        <v>43446</v>
      </c>
      <c r="D8312" t="str">
        <f>TEST_DATA!D8312</f>
        <v>NON-NIL</v>
      </c>
      <c r="E8312">
        <f>TEST_DATA!E8312</f>
        <v>510</v>
      </c>
    </row>
    <row r="8313" spans="1:5" x14ac:dyDescent="0.55000000000000004">
      <c r="A8313" t="str">
        <f>TEST_DATA!A8313</f>
        <v>27AAAAA8313Z5</v>
      </c>
      <c r="B8313" t="str">
        <f>TEST_DATA!B8313</f>
        <v>Apr-2021</v>
      </c>
      <c r="C8313">
        <f>TEST_DATA!C8313</f>
        <v>45716</v>
      </c>
      <c r="D8313" t="str">
        <f>TEST_DATA!D8313</f>
        <v>NIL</v>
      </c>
      <c r="E8313">
        <f>TEST_DATA!E8313</f>
        <v>18</v>
      </c>
    </row>
    <row r="8314" spans="1:5" x14ac:dyDescent="0.55000000000000004">
      <c r="A8314" t="str">
        <f>TEST_DATA!A8314</f>
        <v>27AAAAA8314Z5</v>
      </c>
      <c r="B8314" t="str">
        <f>TEST_DATA!B8314</f>
        <v>Aug-2017</v>
      </c>
      <c r="C8314">
        <f>TEST_DATA!C8314</f>
        <v>44477</v>
      </c>
      <c r="D8314" t="str">
        <f>TEST_DATA!D8314</f>
        <v>NON-NIL</v>
      </c>
      <c r="E8314">
        <f>TEST_DATA!E8314</f>
        <v>1122</v>
      </c>
    </row>
    <row r="8315" spans="1:5" x14ac:dyDescent="0.55000000000000004">
      <c r="A8315" t="str">
        <f>TEST_DATA!A8315</f>
        <v>27AAAAA8315Z5</v>
      </c>
      <c r="B8315" t="str">
        <f>TEST_DATA!B8315</f>
        <v>Nov-2017</v>
      </c>
      <c r="C8315">
        <f>TEST_DATA!C8315</f>
        <v>44044</v>
      </c>
      <c r="D8315" t="str">
        <f>TEST_DATA!D8315</f>
        <v>NON-NIL</v>
      </c>
      <c r="E8315">
        <f>TEST_DATA!E8315</f>
        <v>869</v>
      </c>
    </row>
    <row r="8316" spans="1:5" x14ac:dyDescent="0.55000000000000004">
      <c r="A8316" t="str">
        <f>TEST_DATA!A8316</f>
        <v>27AAAAA8316Z5</v>
      </c>
      <c r="B8316" t="str">
        <f>TEST_DATA!B8316</f>
        <v>Mar-2018</v>
      </c>
      <c r="C8316">
        <f>TEST_DATA!C8316</f>
        <v>43500</v>
      </c>
      <c r="D8316" t="str">
        <f>TEST_DATA!D8316</f>
        <v>NON-NIL</v>
      </c>
      <c r="E8316">
        <f>TEST_DATA!E8316</f>
        <v>2731</v>
      </c>
    </row>
    <row r="8317" spans="1:5" x14ac:dyDescent="0.55000000000000004">
      <c r="A8317" t="str">
        <f>TEST_DATA!A8317</f>
        <v>27AAAAA8317Z5</v>
      </c>
      <c r="B8317" t="str">
        <f>TEST_DATA!B8317</f>
        <v>Jul-2018</v>
      </c>
      <c r="C8317">
        <f>TEST_DATA!C8317</f>
        <v>43974</v>
      </c>
      <c r="D8317" t="str">
        <f>TEST_DATA!D8317</f>
        <v>NON-NIL</v>
      </c>
      <c r="E8317">
        <f>TEST_DATA!E8317</f>
        <v>1760</v>
      </c>
    </row>
    <row r="8318" spans="1:5" x14ac:dyDescent="0.55000000000000004">
      <c r="A8318" t="str">
        <f>TEST_DATA!A8318</f>
        <v>27AAAAA8318Z5</v>
      </c>
      <c r="B8318" t="str">
        <f>TEST_DATA!B8318</f>
        <v>Sep-2018</v>
      </c>
      <c r="C8318">
        <f>TEST_DATA!C8318</f>
        <v>44123</v>
      </c>
      <c r="D8318" t="str">
        <f>TEST_DATA!D8318</f>
        <v>NON-NIL</v>
      </c>
      <c r="E8318">
        <f>TEST_DATA!E8318</f>
        <v>1871</v>
      </c>
    </row>
    <row r="8319" spans="1:5" x14ac:dyDescent="0.55000000000000004">
      <c r="A8319" t="str">
        <f>TEST_DATA!A8319</f>
        <v>27AAAAA8319Z5</v>
      </c>
      <c r="B8319" t="str">
        <f>TEST_DATA!B8319</f>
        <v>Jul-2017</v>
      </c>
      <c r="C8319">
        <f>TEST_DATA!C8319</f>
        <v>43753</v>
      </c>
      <c r="D8319" t="str">
        <f>TEST_DATA!D8319</f>
        <v>NIL</v>
      </c>
      <c r="E8319">
        <f>TEST_DATA!E8319</f>
        <v>1874</v>
      </c>
    </row>
    <row r="8320" spans="1:5" x14ac:dyDescent="0.55000000000000004">
      <c r="A8320" t="str">
        <f>TEST_DATA!A8320</f>
        <v>27AAAAA8320Z5</v>
      </c>
      <c r="B8320" t="str">
        <f>TEST_DATA!B8320</f>
        <v>Jul-2020</v>
      </c>
      <c r="C8320">
        <f>TEST_DATA!C8320</f>
        <v>43876</v>
      </c>
      <c r="D8320" t="str">
        <f>TEST_DATA!D8320</f>
        <v>NON-NIL</v>
      </c>
      <c r="E8320">
        <f>TEST_DATA!E8320</f>
        <v>2393</v>
      </c>
    </row>
    <row r="8321" spans="1:5" x14ac:dyDescent="0.55000000000000004">
      <c r="A8321" t="str">
        <f>TEST_DATA!A8321</f>
        <v>27AAAAA8321Z5</v>
      </c>
      <c r="B8321" t="str">
        <f>TEST_DATA!B8321</f>
        <v>Aug-2017</v>
      </c>
      <c r="C8321">
        <f>TEST_DATA!C8321</f>
        <v>43091</v>
      </c>
      <c r="D8321" t="str">
        <f>TEST_DATA!D8321</f>
        <v>NON-NIL</v>
      </c>
      <c r="E8321">
        <f>TEST_DATA!E8321</f>
        <v>2544</v>
      </c>
    </row>
    <row r="8322" spans="1:5" x14ac:dyDescent="0.55000000000000004">
      <c r="A8322" t="str">
        <f>TEST_DATA!A8322</f>
        <v>27AAAAA8322Z5</v>
      </c>
      <c r="B8322" t="str">
        <f>TEST_DATA!B8322</f>
        <v>Sep-2018</v>
      </c>
      <c r="C8322">
        <f>TEST_DATA!C8322</f>
        <v>43085</v>
      </c>
      <c r="D8322" t="str">
        <f>TEST_DATA!D8322</f>
        <v>NIL</v>
      </c>
      <c r="E8322">
        <f>TEST_DATA!E8322</f>
        <v>107</v>
      </c>
    </row>
    <row r="8323" spans="1:5" x14ac:dyDescent="0.55000000000000004">
      <c r="A8323" t="str">
        <f>TEST_DATA!A8323</f>
        <v>27AAAAA8323Z5</v>
      </c>
      <c r="B8323" t="str">
        <f>TEST_DATA!B8323</f>
        <v>Mar-2021</v>
      </c>
      <c r="C8323">
        <f>TEST_DATA!C8323</f>
        <v>44346</v>
      </c>
      <c r="D8323" t="str">
        <f>TEST_DATA!D8323</f>
        <v>NON-NIL</v>
      </c>
      <c r="E8323">
        <f>TEST_DATA!E8323</f>
        <v>2932</v>
      </c>
    </row>
    <row r="8324" spans="1:5" x14ac:dyDescent="0.55000000000000004">
      <c r="A8324" t="str">
        <f>TEST_DATA!A8324</f>
        <v>27AAAAA8324Z5</v>
      </c>
      <c r="B8324" t="str">
        <f>TEST_DATA!B8324</f>
        <v>Sep-2018</v>
      </c>
      <c r="C8324">
        <f>TEST_DATA!C8324</f>
        <v>43127</v>
      </c>
      <c r="D8324" t="str">
        <f>TEST_DATA!D8324</f>
        <v>NON-NIL</v>
      </c>
      <c r="E8324">
        <f>TEST_DATA!E8324</f>
        <v>1606</v>
      </c>
    </row>
    <row r="8325" spans="1:5" x14ac:dyDescent="0.55000000000000004">
      <c r="A8325" t="str">
        <f>TEST_DATA!A8325</f>
        <v>27AAAAA8325Z5</v>
      </c>
      <c r="B8325" t="str">
        <f>TEST_DATA!B8325</f>
        <v>Jan-2019</v>
      </c>
      <c r="C8325">
        <f>TEST_DATA!C8325</f>
        <v>44934</v>
      </c>
      <c r="D8325" t="str">
        <f>TEST_DATA!D8325</f>
        <v>NON-NIL</v>
      </c>
      <c r="E8325">
        <f>TEST_DATA!E8325</f>
        <v>1770</v>
      </c>
    </row>
    <row r="8326" spans="1:5" x14ac:dyDescent="0.55000000000000004">
      <c r="A8326" t="str">
        <f>TEST_DATA!A8326</f>
        <v>27AAAAA8326Z5</v>
      </c>
      <c r="B8326" t="str">
        <f>TEST_DATA!B8326</f>
        <v>Jan-2021</v>
      </c>
      <c r="C8326">
        <f>TEST_DATA!C8326</f>
        <v>44800</v>
      </c>
      <c r="D8326" t="str">
        <f>TEST_DATA!D8326</f>
        <v>NIL</v>
      </c>
      <c r="E8326">
        <f>TEST_DATA!E8326</f>
        <v>2673</v>
      </c>
    </row>
    <row r="8327" spans="1:5" x14ac:dyDescent="0.55000000000000004">
      <c r="A8327" t="str">
        <f>TEST_DATA!A8327</f>
        <v>27AAAAA8327Z5</v>
      </c>
      <c r="B8327" t="str">
        <f>TEST_DATA!B8327</f>
        <v>May-2018</v>
      </c>
      <c r="C8327">
        <f>TEST_DATA!C8327</f>
        <v>43073</v>
      </c>
      <c r="D8327" t="str">
        <f>TEST_DATA!D8327</f>
        <v>NON-NIL</v>
      </c>
      <c r="E8327">
        <f>TEST_DATA!E8327</f>
        <v>81</v>
      </c>
    </row>
    <row r="8328" spans="1:5" x14ac:dyDescent="0.55000000000000004">
      <c r="A8328" t="str">
        <f>TEST_DATA!A8328</f>
        <v>27AAAAA8328Z5</v>
      </c>
      <c r="B8328" t="str">
        <f>TEST_DATA!B8328</f>
        <v>Jun-2020</v>
      </c>
      <c r="C8328">
        <f>TEST_DATA!C8328</f>
        <v>44027</v>
      </c>
      <c r="D8328" t="str">
        <f>TEST_DATA!D8328</f>
        <v>NON-NIL</v>
      </c>
      <c r="E8328">
        <f>TEST_DATA!E8328</f>
        <v>2012</v>
      </c>
    </row>
    <row r="8329" spans="1:5" x14ac:dyDescent="0.55000000000000004">
      <c r="A8329" t="str">
        <f>TEST_DATA!A8329</f>
        <v>27AAAAA8329Z5</v>
      </c>
      <c r="B8329" t="str">
        <f>TEST_DATA!B8329</f>
        <v>Jun-2020</v>
      </c>
      <c r="C8329">
        <f>TEST_DATA!C8329</f>
        <v>44430</v>
      </c>
      <c r="D8329" t="str">
        <f>TEST_DATA!D8329</f>
        <v>NON-NIL</v>
      </c>
      <c r="E8329">
        <f>TEST_DATA!E8329</f>
        <v>2305</v>
      </c>
    </row>
    <row r="8330" spans="1:5" x14ac:dyDescent="0.55000000000000004">
      <c r="A8330" t="str">
        <f>TEST_DATA!A8330</f>
        <v>27AAAAA8330Z5</v>
      </c>
      <c r="B8330" t="str">
        <f>TEST_DATA!B8330</f>
        <v>Dec-2024</v>
      </c>
      <c r="C8330">
        <f>TEST_DATA!C8330</f>
        <v>44206</v>
      </c>
      <c r="D8330" t="str">
        <f>TEST_DATA!D8330</f>
        <v>NIL</v>
      </c>
      <c r="E8330">
        <f>TEST_DATA!E8330</f>
        <v>1163</v>
      </c>
    </row>
    <row r="8331" spans="1:5" x14ac:dyDescent="0.55000000000000004">
      <c r="A8331" t="str">
        <f>TEST_DATA!A8331</f>
        <v>27AAAAA8331Z5</v>
      </c>
      <c r="B8331" t="str">
        <f>TEST_DATA!B8331</f>
        <v>Jul-2020</v>
      </c>
      <c r="C8331">
        <f>TEST_DATA!C8331</f>
        <v>44255</v>
      </c>
      <c r="D8331" t="str">
        <f>TEST_DATA!D8331</f>
        <v>NON-NIL</v>
      </c>
      <c r="E8331">
        <f>TEST_DATA!E8331</f>
        <v>2501</v>
      </c>
    </row>
    <row r="8332" spans="1:5" x14ac:dyDescent="0.55000000000000004">
      <c r="A8332" t="str">
        <f>TEST_DATA!A8332</f>
        <v>27AAAAA8332Z5</v>
      </c>
      <c r="B8332" t="str">
        <f>TEST_DATA!B8332</f>
        <v>Dec-2024</v>
      </c>
      <c r="C8332">
        <f>TEST_DATA!C8332</f>
        <v>45247</v>
      </c>
      <c r="D8332" t="str">
        <f>TEST_DATA!D8332</f>
        <v>NON-NIL</v>
      </c>
      <c r="E8332">
        <f>TEST_DATA!E8332</f>
        <v>76</v>
      </c>
    </row>
    <row r="8333" spans="1:5" x14ac:dyDescent="0.55000000000000004">
      <c r="A8333" t="str">
        <f>TEST_DATA!A8333</f>
        <v>27AAAAA8333Z5</v>
      </c>
      <c r="B8333" t="str">
        <f>TEST_DATA!B8333</f>
        <v>Dec-2024</v>
      </c>
      <c r="C8333">
        <f>TEST_DATA!C8333</f>
        <v>44605</v>
      </c>
      <c r="D8333" t="str">
        <f>TEST_DATA!D8333</f>
        <v>NON-NIL</v>
      </c>
      <c r="E8333">
        <f>TEST_DATA!E8333</f>
        <v>68</v>
      </c>
    </row>
    <row r="8334" spans="1:5" x14ac:dyDescent="0.55000000000000004">
      <c r="A8334" t="str">
        <f>TEST_DATA!A8334</f>
        <v>27AAAAA8334Z5</v>
      </c>
      <c r="B8334" t="str">
        <f>TEST_DATA!B8334</f>
        <v>May-2020</v>
      </c>
      <c r="C8334">
        <f>TEST_DATA!C8334</f>
        <v>44517</v>
      </c>
      <c r="D8334" t="str">
        <f>TEST_DATA!D8334</f>
        <v>NON-NIL</v>
      </c>
      <c r="E8334">
        <f>TEST_DATA!E8334</f>
        <v>1673</v>
      </c>
    </row>
    <row r="8335" spans="1:5" x14ac:dyDescent="0.55000000000000004">
      <c r="A8335" t="str">
        <f>TEST_DATA!A8335</f>
        <v>27AAAAA8335Z5</v>
      </c>
      <c r="B8335" t="str">
        <f>TEST_DATA!B8335</f>
        <v>Mar-2023</v>
      </c>
      <c r="C8335">
        <f>TEST_DATA!C8335</f>
        <v>45827</v>
      </c>
      <c r="D8335" t="str">
        <f>TEST_DATA!D8335</f>
        <v>NIL</v>
      </c>
      <c r="E8335">
        <f>TEST_DATA!E8335</f>
        <v>1984</v>
      </c>
    </row>
    <row r="8336" spans="1:5" x14ac:dyDescent="0.55000000000000004">
      <c r="A8336" t="str">
        <f>TEST_DATA!A8336</f>
        <v>27AAAAA8336Z5</v>
      </c>
      <c r="B8336" t="str">
        <f>TEST_DATA!B8336</f>
        <v>May-2018</v>
      </c>
      <c r="C8336">
        <f>TEST_DATA!C8336</f>
        <v>43553</v>
      </c>
      <c r="D8336" t="str">
        <f>TEST_DATA!D8336</f>
        <v>NIL</v>
      </c>
      <c r="E8336">
        <f>TEST_DATA!E8336</f>
        <v>555</v>
      </c>
    </row>
    <row r="8337" spans="1:5" x14ac:dyDescent="0.55000000000000004">
      <c r="A8337" t="str">
        <f>TEST_DATA!A8337</f>
        <v>27AAAAA8337Z5</v>
      </c>
      <c r="B8337" t="str">
        <f>TEST_DATA!B8337</f>
        <v>Dec-2022</v>
      </c>
      <c r="C8337">
        <f>TEST_DATA!C8337</f>
        <v>44548</v>
      </c>
      <c r="D8337" t="str">
        <f>TEST_DATA!D8337</f>
        <v>NIL</v>
      </c>
      <c r="E8337">
        <f>TEST_DATA!E8337</f>
        <v>2297</v>
      </c>
    </row>
    <row r="8338" spans="1:5" x14ac:dyDescent="0.55000000000000004">
      <c r="A8338" t="str">
        <f>TEST_DATA!A8338</f>
        <v>27AAAAA8338Z5</v>
      </c>
      <c r="B8338" t="str">
        <f>TEST_DATA!B8338</f>
        <v>Aug-2018</v>
      </c>
      <c r="C8338">
        <f>TEST_DATA!C8338</f>
        <v>43064</v>
      </c>
      <c r="D8338" t="str">
        <f>TEST_DATA!D8338</f>
        <v>NON-NIL</v>
      </c>
      <c r="E8338">
        <f>TEST_DATA!E8338</f>
        <v>2879</v>
      </c>
    </row>
    <row r="8339" spans="1:5" x14ac:dyDescent="0.55000000000000004">
      <c r="A8339" t="str">
        <f>TEST_DATA!A8339</f>
        <v>27AAAAA8339Z5</v>
      </c>
      <c r="B8339" t="str">
        <f>TEST_DATA!B8339</f>
        <v>Dec-2019</v>
      </c>
      <c r="C8339">
        <f>TEST_DATA!C8339</f>
        <v>44153</v>
      </c>
      <c r="D8339" t="str">
        <f>TEST_DATA!D8339</f>
        <v>NON-NIL</v>
      </c>
      <c r="E8339">
        <f>TEST_DATA!E8339</f>
        <v>1825</v>
      </c>
    </row>
    <row r="8340" spans="1:5" x14ac:dyDescent="0.55000000000000004">
      <c r="A8340" t="str">
        <f>TEST_DATA!A8340</f>
        <v>27AAAAA8340Z5</v>
      </c>
      <c r="B8340" t="str">
        <f>TEST_DATA!B8340</f>
        <v>Oct-2017</v>
      </c>
      <c r="C8340">
        <f>TEST_DATA!C8340</f>
        <v>43532</v>
      </c>
      <c r="D8340" t="str">
        <f>TEST_DATA!D8340</f>
        <v>NIL</v>
      </c>
      <c r="E8340">
        <f>TEST_DATA!E8340</f>
        <v>532</v>
      </c>
    </row>
    <row r="8341" spans="1:5" x14ac:dyDescent="0.55000000000000004">
      <c r="A8341" t="str">
        <f>TEST_DATA!A8341</f>
        <v>27AAAAA8341Z5</v>
      </c>
      <c r="B8341" t="str">
        <f>TEST_DATA!B8341</f>
        <v>May-2018</v>
      </c>
      <c r="C8341">
        <f>TEST_DATA!C8341</f>
        <v>43031</v>
      </c>
      <c r="D8341" t="str">
        <f>TEST_DATA!D8341</f>
        <v>NIL</v>
      </c>
      <c r="E8341">
        <f>TEST_DATA!E8341</f>
        <v>2207</v>
      </c>
    </row>
    <row r="8342" spans="1:5" x14ac:dyDescent="0.55000000000000004">
      <c r="A8342" t="str">
        <f>TEST_DATA!A8342</f>
        <v>27AAAAA8342Z5</v>
      </c>
      <c r="B8342" t="str">
        <f>TEST_DATA!B8342</f>
        <v>May-2018</v>
      </c>
      <c r="C8342">
        <f>TEST_DATA!C8342</f>
        <v>44362</v>
      </c>
      <c r="D8342" t="str">
        <f>TEST_DATA!D8342</f>
        <v>NON-NIL</v>
      </c>
      <c r="E8342">
        <f>TEST_DATA!E8342</f>
        <v>1752</v>
      </c>
    </row>
    <row r="8343" spans="1:5" x14ac:dyDescent="0.55000000000000004">
      <c r="A8343" t="str">
        <f>TEST_DATA!A8343</f>
        <v>27AAAAA8343Z5</v>
      </c>
      <c r="B8343" t="str">
        <f>TEST_DATA!B8343</f>
        <v>Jan-2021</v>
      </c>
      <c r="C8343">
        <f>TEST_DATA!C8343</f>
        <v>44172</v>
      </c>
      <c r="D8343" t="str">
        <f>TEST_DATA!D8343</f>
        <v>NON-NIL</v>
      </c>
      <c r="E8343">
        <f>TEST_DATA!E8343</f>
        <v>1232</v>
      </c>
    </row>
    <row r="8344" spans="1:5" x14ac:dyDescent="0.55000000000000004">
      <c r="A8344" t="str">
        <f>TEST_DATA!A8344</f>
        <v>27AAAAA8344Z5</v>
      </c>
      <c r="B8344" t="str">
        <f>TEST_DATA!B8344</f>
        <v>Jun-2019</v>
      </c>
      <c r="C8344">
        <f>TEST_DATA!C8344</f>
        <v>43758</v>
      </c>
      <c r="D8344" t="str">
        <f>TEST_DATA!D8344</f>
        <v>NON-NIL</v>
      </c>
      <c r="E8344">
        <f>TEST_DATA!E8344</f>
        <v>1021</v>
      </c>
    </row>
    <row r="8345" spans="1:5" x14ac:dyDescent="0.55000000000000004">
      <c r="A8345" t="str">
        <f>TEST_DATA!A8345</f>
        <v>27AAAAA8345Z5</v>
      </c>
      <c r="B8345" t="str">
        <f>TEST_DATA!B8345</f>
        <v>Jun-2019</v>
      </c>
      <c r="C8345">
        <f>TEST_DATA!C8345</f>
        <v>44643</v>
      </c>
      <c r="D8345" t="str">
        <f>TEST_DATA!D8345</f>
        <v>NIL</v>
      </c>
      <c r="E8345">
        <f>TEST_DATA!E8345</f>
        <v>1667</v>
      </c>
    </row>
    <row r="8346" spans="1:5" x14ac:dyDescent="0.55000000000000004">
      <c r="A8346" t="str">
        <f>TEST_DATA!A8346</f>
        <v>27AAAAA8346Z5</v>
      </c>
      <c r="B8346" t="str">
        <f>TEST_DATA!B8346</f>
        <v>Mar-2023</v>
      </c>
      <c r="C8346">
        <f>TEST_DATA!C8346</f>
        <v>45756</v>
      </c>
      <c r="D8346" t="str">
        <f>TEST_DATA!D8346</f>
        <v>NIL</v>
      </c>
      <c r="E8346">
        <f>TEST_DATA!E8346</f>
        <v>2749</v>
      </c>
    </row>
    <row r="8347" spans="1:5" x14ac:dyDescent="0.55000000000000004">
      <c r="A8347" t="str">
        <f>TEST_DATA!A8347</f>
        <v>27AAAAA8347Z5</v>
      </c>
      <c r="B8347" t="str">
        <f>TEST_DATA!B8347</f>
        <v>Jul-2018</v>
      </c>
      <c r="C8347">
        <f>TEST_DATA!C8347</f>
        <v>43318</v>
      </c>
      <c r="D8347" t="str">
        <f>TEST_DATA!D8347</f>
        <v>NON-NIL</v>
      </c>
      <c r="E8347">
        <f>TEST_DATA!E8347</f>
        <v>2097</v>
      </c>
    </row>
    <row r="8348" spans="1:5" x14ac:dyDescent="0.55000000000000004">
      <c r="A8348" t="str">
        <f>TEST_DATA!A8348</f>
        <v>27AAAAA8348Z5</v>
      </c>
      <c r="B8348" t="str">
        <f>TEST_DATA!B8348</f>
        <v>Jun-2018</v>
      </c>
      <c r="C8348">
        <f>TEST_DATA!C8348</f>
        <v>43369</v>
      </c>
      <c r="D8348" t="str">
        <f>TEST_DATA!D8348</f>
        <v>NIL</v>
      </c>
      <c r="E8348">
        <f>TEST_DATA!E8348</f>
        <v>2949</v>
      </c>
    </row>
    <row r="8349" spans="1:5" x14ac:dyDescent="0.55000000000000004">
      <c r="A8349" t="str">
        <f>TEST_DATA!A8349</f>
        <v>27AAAAA8349Z5</v>
      </c>
      <c r="B8349" t="str">
        <f>TEST_DATA!B8349</f>
        <v>Dec-2022</v>
      </c>
      <c r="C8349">
        <f>TEST_DATA!C8349</f>
        <v>43812</v>
      </c>
      <c r="D8349" t="str">
        <f>TEST_DATA!D8349</f>
        <v>NIL</v>
      </c>
      <c r="E8349">
        <f>TEST_DATA!E8349</f>
        <v>325</v>
      </c>
    </row>
    <row r="8350" spans="1:5" x14ac:dyDescent="0.55000000000000004">
      <c r="A8350" t="str">
        <f>TEST_DATA!A8350</f>
        <v>27AAAAA8350Z5</v>
      </c>
      <c r="B8350" t="str">
        <f>TEST_DATA!B8350</f>
        <v>Mar-2023</v>
      </c>
      <c r="C8350">
        <f>TEST_DATA!C8350</f>
        <v>44044</v>
      </c>
      <c r="D8350" t="str">
        <f>TEST_DATA!D8350</f>
        <v>NON-NIL</v>
      </c>
      <c r="E8350">
        <f>TEST_DATA!E8350</f>
        <v>2249</v>
      </c>
    </row>
    <row r="8351" spans="1:5" x14ac:dyDescent="0.55000000000000004">
      <c r="A8351" t="str">
        <f>TEST_DATA!A8351</f>
        <v>27AAAAA8351Z5</v>
      </c>
      <c r="B8351" t="str">
        <f>TEST_DATA!B8351</f>
        <v>Mar-2020</v>
      </c>
      <c r="C8351">
        <f>TEST_DATA!C8351</f>
        <v>44603</v>
      </c>
      <c r="D8351" t="str">
        <f>TEST_DATA!D8351</f>
        <v>NON-NIL</v>
      </c>
      <c r="E8351">
        <f>TEST_DATA!E8351</f>
        <v>344</v>
      </c>
    </row>
    <row r="8352" spans="1:5" x14ac:dyDescent="0.55000000000000004">
      <c r="A8352" t="str">
        <f>TEST_DATA!A8352</f>
        <v>27AAAAA8352Z5</v>
      </c>
      <c r="B8352" t="str">
        <f>TEST_DATA!B8352</f>
        <v>Apr-2021</v>
      </c>
      <c r="C8352">
        <f>TEST_DATA!C8352</f>
        <v>44319</v>
      </c>
      <c r="D8352" t="str">
        <f>TEST_DATA!D8352</f>
        <v>NIL</v>
      </c>
      <c r="E8352">
        <f>TEST_DATA!E8352</f>
        <v>1204</v>
      </c>
    </row>
    <row r="8353" spans="1:5" x14ac:dyDescent="0.55000000000000004">
      <c r="A8353" t="str">
        <f>TEST_DATA!A8353</f>
        <v>27AAAAA8353Z5</v>
      </c>
      <c r="B8353" t="str">
        <f>TEST_DATA!B8353</f>
        <v>May-2020</v>
      </c>
      <c r="C8353">
        <f>TEST_DATA!C8353</f>
        <v>44862</v>
      </c>
      <c r="D8353" t="str">
        <f>TEST_DATA!D8353</f>
        <v>NON-NIL</v>
      </c>
      <c r="E8353">
        <f>TEST_DATA!E8353</f>
        <v>603</v>
      </c>
    </row>
    <row r="8354" spans="1:5" x14ac:dyDescent="0.55000000000000004">
      <c r="A8354" t="str">
        <f>TEST_DATA!A8354</f>
        <v>27AAAAA8354Z5</v>
      </c>
      <c r="B8354" t="str">
        <f>TEST_DATA!B8354</f>
        <v>Mar-2023</v>
      </c>
      <c r="C8354">
        <f>TEST_DATA!C8354</f>
        <v>45471</v>
      </c>
      <c r="D8354" t="str">
        <f>TEST_DATA!D8354</f>
        <v>NON-NIL</v>
      </c>
      <c r="E8354">
        <f>TEST_DATA!E8354</f>
        <v>1434</v>
      </c>
    </row>
    <row r="8355" spans="1:5" x14ac:dyDescent="0.55000000000000004">
      <c r="A8355" t="str">
        <f>TEST_DATA!A8355</f>
        <v>27AAAAA8355Z5</v>
      </c>
      <c r="B8355" t="str">
        <f>TEST_DATA!B8355</f>
        <v>Jun-2019</v>
      </c>
      <c r="C8355">
        <f>TEST_DATA!C8355</f>
        <v>45006</v>
      </c>
      <c r="D8355" t="str">
        <f>TEST_DATA!D8355</f>
        <v>NON-NIL</v>
      </c>
      <c r="E8355">
        <f>TEST_DATA!E8355</f>
        <v>199</v>
      </c>
    </row>
    <row r="8356" spans="1:5" x14ac:dyDescent="0.55000000000000004">
      <c r="A8356" t="str">
        <f>TEST_DATA!A8356</f>
        <v>27AAAAA8356Z5</v>
      </c>
      <c r="B8356" t="str">
        <f>TEST_DATA!B8356</f>
        <v>Dec-2024</v>
      </c>
      <c r="C8356">
        <f>TEST_DATA!C8356</f>
        <v>44351</v>
      </c>
      <c r="D8356" t="str">
        <f>TEST_DATA!D8356</f>
        <v>NON-NIL</v>
      </c>
      <c r="E8356">
        <f>TEST_DATA!E8356</f>
        <v>1341</v>
      </c>
    </row>
    <row r="8357" spans="1:5" x14ac:dyDescent="0.55000000000000004">
      <c r="A8357" t="str">
        <f>TEST_DATA!A8357</f>
        <v>27AAAAA8357Z5</v>
      </c>
      <c r="B8357" t="str">
        <f>TEST_DATA!B8357</f>
        <v>Aug-2018</v>
      </c>
      <c r="C8357">
        <f>TEST_DATA!C8357</f>
        <v>43217</v>
      </c>
      <c r="D8357" t="str">
        <f>TEST_DATA!D8357</f>
        <v>NIL</v>
      </c>
      <c r="E8357">
        <f>TEST_DATA!E8357</f>
        <v>795</v>
      </c>
    </row>
    <row r="8358" spans="1:5" x14ac:dyDescent="0.55000000000000004">
      <c r="A8358" t="str">
        <f>TEST_DATA!A8358</f>
        <v>27AAAAA8358Z5</v>
      </c>
      <c r="B8358" t="str">
        <f>TEST_DATA!B8358</f>
        <v>Jan-2021</v>
      </c>
      <c r="C8358">
        <f>TEST_DATA!C8358</f>
        <v>45196</v>
      </c>
      <c r="D8358" t="str">
        <f>TEST_DATA!D8358</f>
        <v>NIL</v>
      </c>
      <c r="E8358">
        <f>TEST_DATA!E8358</f>
        <v>1039</v>
      </c>
    </row>
    <row r="8359" spans="1:5" x14ac:dyDescent="0.55000000000000004">
      <c r="A8359" t="str">
        <f>TEST_DATA!A8359</f>
        <v>27AAAAA8359Z5</v>
      </c>
      <c r="B8359" t="str">
        <f>TEST_DATA!B8359</f>
        <v>Apr-2018</v>
      </c>
      <c r="C8359">
        <f>TEST_DATA!C8359</f>
        <v>44309</v>
      </c>
      <c r="D8359" t="str">
        <f>TEST_DATA!D8359</f>
        <v>NON-NIL</v>
      </c>
      <c r="E8359">
        <f>TEST_DATA!E8359</f>
        <v>865</v>
      </c>
    </row>
    <row r="8360" spans="1:5" x14ac:dyDescent="0.55000000000000004">
      <c r="A8360" t="str">
        <f>TEST_DATA!A8360</f>
        <v>27AAAAA8360Z5</v>
      </c>
      <c r="B8360" t="str">
        <f>TEST_DATA!B8360</f>
        <v>May-2020</v>
      </c>
      <c r="C8360">
        <f>TEST_DATA!C8360</f>
        <v>44359</v>
      </c>
      <c r="D8360" t="str">
        <f>TEST_DATA!D8360</f>
        <v>NON-NIL</v>
      </c>
      <c r="E8360">
        <f>TEST_DATA!E8360</f>
        <v>2083</v>
      </c>
    </row>
    <row r="8361" spans="1:5" x14ac:dyDescent="0.55000000000000004">
      <c r="A8361" t="str">
        <f>TEST_DATA!A8361</f>
        <v>27AAAAA8361Z5</v>
      </c>
      <c r="B8361" t="str">
        <f>TEST_DATA!B8361</f>
        <v>Mar-2021</v>
      </c>
      <c r="C8361">
        <f>TEST_DATA!C8361</f>
        <v>45012</v>
      </c>
      <c r="D8361" t="str">
        <f>TEST_DATA!D8361</f>
        <v>NIL</v>
      </c>
      <c r="E8361">
        <f>TEST_DATA!E8361</f>
        <v>952</v>
      </c>
    </row>
    <row r="8362" spans="1:5" x14ac:dyDescent="0.55000000000000004">
      <c r="A8362" t="str">
        <f>TEST_DATA!A8362</f>
        <v>27AAAAA8362Z5</v>
      </c>
      <c r="B8362" t="str">
        <f>TEST_DATA!B8362</f>
        <v>Oct-2017</v>
      </c>
      <c r="C8362">
        <f>TEST_DATA!C8362</f>
        <v>44017</v>
      </c>
      <c r="D8362" t="str">
        <f>TEST_DATA!D8362</f>
        <v>NIL</v>
      </c>
      <c r="E8362">
        <f>TEST_DATA!E8362</f>
        <v>2761</v>
      </c>
    </row>
    <row r="8363" spans="1:5" x14ac:dyDescent="0.55000000000000004">
      <c r="A8363" t="str">
        <f>TEST_DATA!A8363</f>
        <v>27AAAAA8363Z5</v>
      </c>
      <c r="B8363" t="str">
        <f>TEST_DATA!B8363</f>
        <v>Nov-2017</v>
      </c>
      <c r="C8363">
        <f>TEST_DATA!C8363</f>
        <v>43318</v>
      </c>
      <c r="D8363" t="str">
        <f>TEST_DATA!D8363</f>
        <v>NIL</v>
      </c>
      <c r="E8363">
        <f>TEST_DATA!E8363</f>
        <v>1518</v>
      </c>
    </row>
    <row r="8364" spans="1:5" x14ac:dyDescent="0.55000000000000004">
      <c r="A8364" t="str">
        <f>TEST_DATA!A8364</f>
        <v>27AAAAA8364Z5</v>
      </c>
      <c r="B8364" t="str">
        <f>TEST_DATA!B8364</f>
        <v>Sep-2018</v>
      </c>
      <c r="C8364">
        <f>TEST_DATA!C8364</f>
        <v>44308</v>
      </c>
      <c r="D8364" t="str">
        <f>TEST_DATA!D8364</f>
        <v>NON-NIL</v>
      </c>
      <c r="E8364">
        <f>TEST_DATA!E8364</f>
        <v>363</v>
      </c>
    </row>
    <row r="8365" spans="1:5" x14ac:dyDescent="0.55000000000000004">
      <c r="A8365" t="str">
        <f>TEST_DATA!A8365</f>
        <v>27AAAAA8365Z5</v>
      </c>
      <c r="B8365" t="str">
        <f>TEST_DATA!B8365</f>
        <v>Jan-2019</v>
      </c>
      <c r="C8365">
        <f>TEST_DATA!C8365</f>
        <v>43661</v>
      </c>
      <c r="D8365" t="str">
        <f>TEST_DATA!D8365</f>
        <v>NON-NIL</v>
      </c>
      <c r="E8365">
        <f>TEST_DATA!E8365</f>
        <v>900</v>
      </c>
    </row>
    <row r="8366" spans="1:5" x14ac:dyDescent="0.55000000000000004">
      <c r="A8366" t="str">
        <f>TEST_DATA!A8366</f>
        <v>27AAAAA8366Z5</v>
      </c>
      <c r="B8366" t="str">
        <f>TEST_DATA!B8366</f>
        <v>Dec-2022</v>
      </c>
      <c r="C8366">
        <f>TEST_DATA!C8366</f>
        <v>43974</v>
      </c>
      <c r="D8366" t="str">
        <f>TEST_DATA!D8366</f>
        <v>NON-NIL</v>
      </c>
      <c r="E8366">
        <f>TEST_DATA!E8366</f>
        <v>1234</v>
      </c>
    </row>
    <row r="8367" spans="1:5" x14ac:dyDescent="0.55000000000000004">
      <c r="A8367" t="str">
        <f>TEST_DATA!A8367</f>
        <v>27AAAAA8367Z5</v>
      </c>
      <c r="B8367" t="str">
        <f>TEST_DATA!B8367</f>
        <v>Mar-2018</v>
      </c>
      <c r="C8367">
        <f>TEST_DATA!C8367</f>
        <v>43648</v>
      </c>
      <c r="D8367" t="str">
        <f>TEST_DATA!D8367</f>
        <v>NON-NIL</v>
      </c>
      <c r="E8367">
        <f>TEST_DATA!E8367</f>
        <v>1890</v>
      </c>
    </row>
    <row r="8368" spans="1:5" x14ac:dyDescent="0.55000000000000004">
      <c r="A8368" t="str">
        <f>TEST_DATA!A8368</f>
        <v>27AAAAA8368Z5</v>
      </c>
      <c r="B8368" t="str">
        <f>TEST_DATA!B8368</f>
        <v>Dec-2024</v>
      </c>
      <c r="C8368">
        <f>TEST_DATA!C8368</f>
        <v>45219</v>
      </c>
      <c r="D8368" t="str">
        <f>TEST_DATA!D8368</f>
        <v>NIL</v>
      </c>
      <c r="E8368">
        <f>TEST_DATA!E8368</f>
        <v>2765</v>
      </c>
    </row>
    <row r="8369" spans="1:5" x14ac:dyDescent="0.55000000000000004">
      <c r="A8369" t="str">
        <f>TEST_DATA!A8369</f>
        <v>27AAAAA8369Z5</v>
      </c>
      <c r="B8369" t="str">
        <f>TEST_DATA!B8369</f>
        <v>Aug-2018</v>
      </c>
      <c r="C8369">
        <f>TEST_DATA!C8369</f>
        <v>43195</v>
      </c>
      <c r="D8369" t="str">
        <f>TEST_DATA!D8369</f>
        <v>NON-NIL</v>
      </c>
      <c r="E8369">
        <f>TEST_DATA!E8369</f>
        <v>1003</v>
      </c>
    </row>
    <row r="8370" spans="1:5" x14ac:dyDescent="0.55000000000000004">
      <c r="A8370" t="str">
        <f>TEST_DATA!A8370</f>
        <v>27AAAAA8370Z5</v>
      </c>
      <c r="B8370" t="str">
        <f>TEST_DATA!B8370</f>
        <v>Jul-2018</v>
      </c>
      <c r="C8370">
        <f>TEST_DATA!C8370</f>
        <v>43827</v>
      </c>
      <c r="D8370" t="str">
        <f>TEST_DATA!D8370</f>
        <v>NON-NIL</v>
      </c>
      <c r="E8370">
        <f>TEST_DATA!E8370</f>
        <v>2853</v>
      </c>
    </row>
    <row r="8371" spans="1:5" x14ac:dyDescent="0.55000000000000004">
      <c r="A8371" t="str">
        <f>TEST_DATA!A8371</f>
        <v>27AAAAA8371Z5</v>
      </c>
      <c r="B8371" t="str">
        <f>TEST_DATA!B8371</f>
        <v>Aug-2017</v>
      </c>
      <c r="C8371">
        <f>TEST_DATA!C8371</f>
        <v>43960</v>
      </c>
      <c r="D8371" t="str">
        <f>TEST_DATA!D8371</f>
        <v>NON-NIL</v>
      </c>
      <c r="E8371">
        <f>TEST_DATA!E8371</f>
        <v>2031</v>
      </c>
    </row>
    <row r="8372" spans="1:5" x14ac:dyDescent="0.55000000000000004">
      <c r="A8372" t="str">
        <f>TEST_DATA!A8372</f>
        <v>27AAAAA8372Z5</v>
      </c>
      <c r="B8372" t="str">
        <f>TEST_DATA!B8372</f>
        <v>Mar-2018</v>
      </c>
      <c r="C8372">
        <f>TEST_DATA!C8372</f>
        <v>44521</v>
      </c>
      <c r="D8372" t="str">
        <f>TEST_DATA!D8372</f>
        <v>NON-NIL</v>
      </c>
      <c r="E8372">
        <f>TEST_DATA!E8372</f>
        <v>1533</v>
      </c>
    </row>
    <row r="8373" spans="1:5" x14ac:dyDescent="0.55000000000000004">
      <c r="A8373" t="str">
        <f>TEST_DATA!A8373</f>
        <v>27AAAAA8373Z5</v>
      </c>
      <c r="B8373" t="str">
        <f>TEST_DATA!B8373</f>
        <v>Apr-2020</v>
      </c>
      <c r="C8373">
        <f>TEST_DATA!C8373</f>
        <v>44389</v>
      </c>
      <c r="D8373" t="str">
        <f>TEST_DATA!D8373</f>
        <v>NON-NIL</v>
      </c>
      <c r="E8373">
        <f>TEST_DATA!E8373</f>
        <v>2662</v>
      </c>
    </row>
    <row r="8374" spans="1:5" x14ac:dyDescent="0.55000000000000004">
      <c r="A8374" t="str">
        <f>TEST_DATA!A8374</f>
        <v>27AAAAA8374Z5</v>
      </c>
      <c r="B8374" t="str">
        <f>TEST_DATA!B8374</f>
        <v>Feb-2018</v>
      </c>
      <c r="C8374">
        <f>TEST_DATA!C8374</f>
        <v>43501</v>
      </c>
      <c r="D8374" t="str">
        <f>TEST_DATA!D8374</f>
        <v>NON-NIL</v>
      </c>
      <c r="E8374">
        <f>TEST_DATA!E8374</f>
        <v>566</v>
      </c>
    </row>
    <row r="8375" spans="1:5" x14ac:dyDescent="0.55000000000000004">
      <c r="A8375" t="str">
        <f>TEST_DATA!A8375</f>
        <v>27AAAAA8375Z5</v>
      </c>
      <c r="B8375" t="str">
        <f>TEST_DATA!B8375</f>
        <v>Mar-2020</v>
      </c>
      <c r="C8375">
        <f>TEST_DATA!C8375</f>
        <v>44556</v>
      </c>
      <c r="D8375" t="str">
        <f>TEST_DATA!D8375</f>
        <v>NIL</v>
      </c>
      <c r="E8375">
        <f>TEST_DATA!E8375</f>
        <v>1827</v>
      </c>
    </row>
    <row r="8376" spans="1:5" x14ac:dyDescent="0.55000000000000004">
      <c r="A8376" t="str">
        <f>TEST_DATA!A8376</f>
        <v>27AAAAA8376Z5</v>
      </c>
      <c r="B8376" t="str">
        <f>TEST_DATA!B8376</f>
        <v>Jan-2021</v>
      </c>
      <c r="C8376">
        <f>TEST_DATA!C8376</f>
        <v>45348</v>
      </c>
      <c r="D8376" t="str">
        <f>TEST_DATA!D8376</f>
        <v>NON-NIL</v>
      </c>
      <c r="E8376">
        <f>TEST_DATA!E8376</f>
        <v>112</v>
      </c>
    </row>
    <row r="8377" spans="1:5" x14ac:dyDescent="0.55000000000000004">
      <c r="A8377" t="str">
        <f>TEST_DATA!A8377</f>
        <v>27AAAAA8377Z5</v>
      </c>
      <c r="B8377" t="str">
        <f>TEST_DATA!B8377</f>
        <v>Mar-2021</v>
      </c>
      <c r="C8377">
        <f>TEST_DATA!C8377</f>
        <v>44449</v>
      </c>
      <c r="D8377" t="str">
        <f>TEST_DATA!D8377</f>
        <v>NON-NIL</v>
      </c>
      <c r="E8377">
        <f>TEST_DATA!E8377</f>
        <v>1594</v>
      </c>
    </row>
    <row r="8378" spans="1:5" x14ac:dyDescent="0.55000000000000004">
      <c r="A8378" t="str">
        <f>TEST_DATA!A8378</f>
        <v>27AAAAA8378Z5</v>
      </c>
      <c r="B8378" t="str">
        <f>TEST_DATA!B8378</f>
        <v>Sep-2018</v>
      </c>
      <c r="C8378">
        <f>TEST_DATA!C8378</f>
        <v>43776</v>
      </c>
      <c r="D8378" t="str">
        <f>TEST_DATA!D8378</f>
        <v>NON-NIL</v>
      </c>
      <c r="E8378">
        <f>TEST_DATA!E8378</f>
        <v>1152</v>
      </c>
    </row>
    <row r="8379" spans="1:5" x14ac:dyDescent="0.55000000000000004">
      <c r="A8379" t="str">
        <f>TEST_DATA!A8379</f>
        <v>27AAAAA8379Z5</v>
      </c>
      <c r="B8379" t="str">
        <f>TEST_DATA!B8379</f>
        <v>Jul-2017</v>
      </c>
      <c r="C8379">
        <f>TEST_DATA!C8379</f>
        <v>43460</v>
      </c>
      <c r="D8379" t="str">
        <f>TEST_DATA!D8379</f>
        <v>NIL</v>
      </c>
      <c r="E8379">
        <f>TEST_DATA!E8379</f>
        <v>92</v>
      </c>
    </row>
    <row r="8380" spans="1:5" x14ac:dyDescent="0.55000000000000004">
      <c r="A8380" t="str">
        <f>TEST_DATA!A8380</f>
        <v>27AAAAA8380Z5</v>
      </c>
      <c r="B8380" t="str">
        <f>TEST_DATA!B8380</f>
        <v>Mar-2023</v>
      </c>
      <c r="C8380">
        <f>TEST_DATA!C8380</f>
        <v>45432</v>
      </c>
      <c r="D8380" t="str">
        <f>TEST_DATA!D8380</f>
        <v>NON-NIL</v>
      </c>
      <c r="E8380">
        <f>TEST_DATA!E8380</f>
        <v>1913</v>
      </c>
    </row>
    <row r="8381" spans="1:5" x14ac:dyDescent="0.55000000000000004">
      <c r="A8381" t="str">
        <f>TEST_DATA!A8381</f>
        <v>27AAAAA8381Z5</v>
      </c>
      <c r="B8381" t="str">
        <f>TEST_DATA!B8381</f>
        <v>Jun-2018</v>
      </c>
      <c r="C8381">
        <f>TEST_DATA!C8381</f>
        <v>43081</v>
      </c>
      <c r="D8381" t="str">
        <f>TEST_DATA!D8381</f>
        <v>NON-NIL</v>
      </c>
      <c r="E8381">
        <f>TEST_DATA!E8381</f>
        <v>2444</v>
      </c>
    </row>
    <row r="8382" spans="1:5" x14ac:dyDescent="0.55000000000000004">
      <c r="A8382" t="str">
        <f>TEST_DATA!A8382</f>
        <v>27AAAAA8382Z5</v>
      </c>
      <c r="B8382" t="str">
        <f>TEST_DATA!B8382</f>
        <v>Sep-2018</v>
      </c>
      <c r="C8382">
        <f>TEST_DATA!C8382</f>
        <v>43635</v>
      </c>
      <c r="D8382" t="str">
        <f>TEST_DATA!D8382</f>
        <v>NIL</v>
      </c>
      <c r="E8382">
        <f>TEST_DATA!E8382</f>
        <v>1220</v>
      </c>
    </row>
    <row r="8383" spans="1:5" x14ac:dyDescent="0.55000000000000004">
      <c r="A8383" t="str">
        <f>TEST_DATA!A8383</f>
        <v>27AAAAA8383Z5</v>
      </c>
      <c r="B8383" t="str">
        <f>TEST_DATA!B8383</f>
        <v>Sep-2017</v>
      </c>
      <c r="C8383">
        <f>TEST_DATA!C8383</f>
        <v>43072</v>
      </c>
      <c r="D8383" t="str">
        <f>TEST_DATA!D8383</f>
        <v>NON-NIL</v>
      </c>
      <c r="E8383">
        <f>TEST_DATA!E8383</f>
        <v>1929</v>
      </c>
    </row>
    <row r="8384" spans="1:5" x14ac:dyDescent="0.55000000000000004">
      <c r="A8384" t="str">
        <f>TEST_DATA!A8384</f>
        <v>27AAAAA8384Z5</v>
      </c>
      <c r="B8384" t="str">
        <f>TEST_DATA!B8384</f>
        <v>Mar-2021</v>
      </c>
      <c r="C8384">
        <f>TEST_DATA!C8384</f>
        <v>44316</v>
      </c>
      <c r="D8384" t="str">
        <f>TEST_DATA!D8384</f>
        <v>NIL</v>
      </c>
      <c r="E8384">
        <f>TEST_DATA!E8384</f>
        <v>243</v>
      </c>
    </row>
    <row r="8385" spans="1:5" x14ac:dyDescent="0.55000000000000004">
      <c r="A8385" t="str">
        <f>TEST_DATA!A8385</f>
        <v>27AAAAA8385Z5</v>
      </c>
      <c r="B8385" t="str">
        <f>TEST_DATA!B8385</f>
        <v>Apr-2020</v>
      </c>
      <c r="C8385">
        <f>TEST_DATA!C8385</f>
        <v>43950</v>
      </c>
      <c r="D8385" t="str">
        <f>TEST_DATA!D8385</f>
        <v>NIL</v>
      </c>
      <c r="E8385">
        <f>TEST_DATA!E8385</f>
        <v>2635</v>
      </c>
    </row>
    <row r="8386" spans="1:5" x14ac:dyDescent="0.55000000000000004">
      <c r="A8386" t="str">
        <f>TEST_DATA!A8386</f>
        <v>27AAAAA8386Z5</v>
      </c>
      <c r="B8386" t="str">
        <f>TEST_DATA!B8386</f>
        <v>Jul-2020</v>
      </c>
      <c r="C8386">
        <f>TEST_DATA!C8386</f>
        <v>43926</v>
      </c>
      <c r="D8386" t="str">
        <f>TEST_DATA!D8386</f>
        <v>NON-NIL</v>
      </c>
      <c r="E8386">
        <f>TEST_DATA!E8386</f>
        <v>137</v>
      </c>
    </row>
    <row r="8387" spans="1:5" x14ac:dyDescent="0.55000000000000004">
      <c r="A8387" t="str">
        <f>TEST_DATA!A8387</f>
        <v>27AAAAA8387Z5</v>
      </c>
      <c r="B8387" t="str">
        <f>TEST_DATA!B8387</f>
        <v>Apr-2021</v>
      </c>
      <c r="C8387">
        <f>TEST_DATA!C8387</f>
        <v>45141</v>
      </c>
      <c r="D8387" t="str">
        <f>TEST_DATA!D8387</f>
        <v>NON-NIL</v>
      </c>
      <c r="E8387">
        <f>TEST_DATA!E8387</f>
        <v>1631</v>
      </c>
    </row>
    <row r="8388" spans="1:5" x14ac:dyDescent="0.55000000000000004">
      <c r="A8388" t="str">
        <f>TEST_DATA!A8388</f>
        <v>27AAAAA8388Z5</v>
      </c>
      <c r="B8388" t="str">
        <f>TEST_DATA!B8388</f>
        <v>Jun-2018</v>
      </c>
      <c r="C8388">
        <f>TEST_DATA!C8388</f>
        <v>44403</v>
      </c>
      <c r="D8388" t="str">
        <f>TEST_DATA!D8388</f>
        <v>NIL</v>
      </c>
      <c r="E8388">
        <f>TEST_DATA!E8388</f>
        <v>991</v>
      </c>
    </row>
    <row r="8389" spans="1:5" x14ac:dyDescent="0.55000000000000004">
      <c r="A8389" t="str">
        <f>TEST_DATA!A8389</f>
        <v>27AAAAA8389Z5</v>
      </c>
      <c r="B8389" t="str">
        <f>TEST_DATA!B8389</f>
        <v>Jan-2021</v>
      </c>
      <c r="C8389">
        <f>TEST_DATA!C8389</f>
        <v>44655</v>
      </c>
      <c r="D8389" t="str">
        <f>TEST_DATA!D8389</f>
        <v>NON-NIL</v>
      </c>
      <c r="E8389">
        <f>TEST_DATA!E8389</f>
        <v>1406</v>
      </c>
    </row>
    <row r="8390" spans="1:5" x14ac:dyDescent="0.55000000000000004">
      <c r="A8390" t="str">
        <f>TEST_DATA!A8390</f>
        <v>27AAAAA8390Z5</v>
      </c>
      <c r="B8390" t="str">
        <f>TEST_DATA!B8390</f>
        <v>Feb-2018</v>
      </c>
      <c r="C8390">
        <f>TEST_DATA!C8390</f>
        <v>43992</v>
      </c>
      <c r="D8390" t="str">
        <f>TEST_DATA!D8390</f>
        <v>NON-NIL</v>
      </c>
      <c r="E8390">
        <f>TEST_DATA!E8390</f>
        <v>2681</v>
      </c>
    </row>
    <row r="8391" spans="1:5" x14ac:dyDescent="0.55000000000000004">
      <c r="A8391" t="str">
        <f>TEST_DATA!A8391</f>
        <v>27AAAAA8391Z5</v>
      </c>
      <c r="B8391" t="str">
        <f>TEST_DATA!B8391</f>
        <v>Jun-2020</v>
      </c>
      <c r="C8391">
        <f>TEST_DATA!C8391</f>
        <v>44696</v>
      </c>
      <c r="D8391" t="str">
        <f>TEST_DATA!D8391</f>
        <v>NON-NIL</v>
      </c>
      <c r="E8391">
        <f>TEST_DATA!E8391</f>
        <v>1007</v>
      </c>
    </row>
    <row r="8392" spans="1:5" x14ac:dyDescent="0.55000000000000004">
      <c r="A8392" t="str">
        <f>TEST_DATA!A8392</f>
        <v>27AAAAA8392Z5</v>
      </c>
      <c r="B8392" t="str">
        <f>TEST_DATA!B8392</f>
        <v>May-2018</v>
      </c>
      <c r="C8392">
        <f>TEST_DATA!C8392</f>
        <v>43286</v>
      </c>
      <c r="D8392" t="str">
        <f>TEST_DATA!D8392</f>
        <v>NIL</v>
      </c>
      <c r="E8392">
        <f>TEST_DATA!E8392</f>
        <v>2772</v>
      </c>
    </row>
    <row r="8393" spans="1:5" x14ac:dyDescent="0.55000000000000004">
      <c r="A8393" t="str">
        <f>TEST_DATA!A8393</f>
        <v>27AAAAA8393Z5</v>
      </c>
      <c r="B8393" t="str">
        <f>TEST_DATA!B8393</f>
        <v>Nov-2017</v>
      </c>
      <c r="C8393">
        <f>TEST_DATA!C8393</f>
        <v>43759</v>
      </c>
      <c r="D8393" t="str">
        <f>TEST_DATA!D8393</f>
        <v>NON-NIL</v>
      </c>
      <c r="E8393">
        <f>TEST_DATA!E8393</f>
        <v>130</v>
      </c>
    </row>
    <row r="8394" spans="1:5" x14ac:dyDescent="0.55000000000000004">
      <c r="A8394" t="str">
        <f>TEST_DATA!A8394</f>
        <v>27AAAAA8394Z5</v>
      </c>
      <c r="B8394" t="str">
        <f>TEST_DATA!B8394</f>
        <v>May-2020</v>
      </c>
      <c r="C8394">
        <f>TEST_DATA!C8394</f>
        <v>43858</v>
      </c>
      <c r="D8394" t="str">
        <f>TEST_DATA!D8394</f>
        <v>NIL</v>
      </c>
      <c r="E8394">
        <f>TEST_DATA!E8394</f>
        <v>1065</v>
      </c>
    </row>
    <row r="8395" spans="1:5" x14ac:dyDescent="0.55000000000000004">
      <c r="A8395" t="str">
        <f>TEST_DATA!A8395</f>
        <v>27AAAAA8395Z5</v>
      </c>
      <c r="B8395" t="str">
        <f>TEST_DATA!B8395</f>
        <v>Sep-2018</v>
      </c>
      <c r="C8395">
        <f>TEST_DATA!C8395</f>
        <v>42976</v>
      </c>
      <c r="D8395" t="str">
        <f>TEST_DATA!D8395</f>
        <v>NIL</v>
      </c>
      <c r="E8395">
        <f>TEST_DATA!E8395</f>
        <v>287</v>
      </c>
    </row>
    <row r="8396" spans="1:5" x14ac:dyDescent="0.55000000000000004">
      <c r="A8396" t="str">
        <f>TEST_DATA!A8396</f>
        <v>27AAAAA8396Z5</v>
      </c>
      <c r="B8396" t="str">
        <f>TEST_DATA!B8396</f>
        <v>Aug-2017</v>
      </c>
      <c r="C8396">
        <f>TEST_DATA!C8396</f>
        <v>44423</v>
      </c>
      <c r="D8396" t="str">
        <f>TEST_DATA!D8396</f>
        <v>NIL</v>
      </c>
      <c r="E8396">
        <f>TEST_DATA!E8396</f>
        <v>1260</v>
      </c>
    </row>
    <row r="8397" spans="1:5" x14ac:dyDescent="0.55000000000000004">
      <c r="A8397" t="str">
        <f>TEST_DATA!A8397</f>
        <v>27AAAAA8397Z5</v>
      </c>
      <c r="B8397" t="str">
        <f>TEST_DATA!B8397</f>
        <v>Mar-2020</v>
      </c>
      <c r="C8397">
        <f>TEST_DATA!C8397</f>
        <v>44571</v>
      </c>
      <c r="D8397" t="str">
        <f>TEST_DATA!D8397</f>
        <v>NON-NIL</v>
      </c>
      <c r="E8397">
        <f>TEST_DATA!E8397</f>
        <v>318</v>
      </c>
    </row>
    <row r="8398" spans="1:5" x14ac:dyDescent="0.55000000000000004">
      <c r="A8398" t="str">
        <f>TEST_DATA!A8398</f>
        <v>27AAAAA8398Z5</v>
      </c>
      <c r="B8398" t="str">
        <f>TEST_DATA!B8398</f>
        <v>Sep-2017</v>
      </c>
      <c r="C8398">
        <f>TEST_DATA!C8398</f>
        <v>44145</v>
      </c>
      <c r="D8398" t="str">
        <f>TEST_DATA!D8398</f>
        <v>NON-NIL</v>
      </c>
      <c r="E8398">
        <f>TEST_DATA!E8398</f>
        <v>1287</v>
      </c>
    </row>
    <row r="8399" spans="1:5" x14ac:dyDescent="0.55000000000000004">
      <c r="A8399" t="str">
        <f>TEST_DATA!A8399</f>
        <v>27AAAAA8399Z5</v>
      </c>
      <c r="B8399" t="str">
        <f>TEST_DATA!B8399</f>
        <v>Sep-2017</v>
      </c>
      <c r="C8399">
        <f>TEST_DATA!C8399</f>
        <v>43094</v>
      </c>
      <c r="D8399" t="str">
        <f>TEST_DATA!D8399</f>
        <v>NIL</v>
      </c>
      <c r="E8399">
        <f>TEST_DATA!E8399</f>
        <v>2796</v>
      </c>
    </row>
    <row r="8400" spans="1:5" x14ac:dyDescent="0.55000000000000004">
      <c r="A8400" t="str">
        <f>TEST_DATA!A8400</f>
        <v>27AAAAA8400Z5</v>
      </c>
      <c r="B8400" t="str">
        <f>TEST_DATA!B8400</f>
        <v>Dec-2024</v>
      </c>
      <c r="C8400">
        <f>TEST_DATA!C8400</f>
        <v>44769</v>
      </c>
      <c r="D8400" t="str">
        <f>TEST_DATA!D8400</f>
        <v>NIL</v>
      </c>
      <c r="E8400">
        <f>TEST_DATA!E8400</f>
        <v>1834</v>
      </c>
    </row>
    <row r="8401" spans="1:5" x14ac:dyDescent="0.55000000000000004">
      <c r="A8401" t="str">
        <f>TEST_DATA!A8401</f>
        <v>27AAAAA8401Z5</v>
      </c>
      <c r="B8401" t="str">
        <f>TEST_DATA!B8401</f>
        <v>Apr-2021</v>
      </c>
      <c r="C8401">
        <f>TEST_DATA!C8401</f>
        <v>44599</v>
      </c>
      <c r="D8401" t="str">
        <f>TEST_DATA!D8401</f>
        <v>NON-NIL</v>
      </c>
      <c r="E8401">
        <f>TEST_DATA!E8401</f>
        <v>1746</v>
      </c>
    </row>
    <row r="8402" spans="1:5" x14ac:dyDescent="0.55000000000000004">
      <c r="A8402" t="str">
        <f>TEST_DATA!A8402</f>
        <v>27AAAAA8402Z5</v>
      </c>
      <c r="B8402" t="str">
        <f>TEST_DATA!B8402</f>
        <v>Sep-2017</v>
      </c>
      <c r="C8402">
        <f>TEST_DATA!C8402</f>
        <v>43555</v>
      </c>
      <c r="D8402" t="str">
        <f>TEST_DATA!D8402</f>
        <v>NON-NIL</v>
      </c>
      <c r="E8402">
        <f>TEST_DATA!E8402</f>
        <v>1926</v>
      </c>
    </row>
    <row r="8403" spans="1:5" x14ac:dyDescent="0.55000000000000004">
      <c r="A8403" t="str">
        <f>TEST_DATA!A8403</f>
        <v>27AAAAA8403Z5</v>
      </c>
      <c r="B8403" t="str">
        <f>TEST_DATA!B8403</f>
        <v>Sep-2018</v>
      </c>
      <c r="C8403">
        <f>TEST_DATA!C8403</f>
        <v>43787</v>
      </c>
      <c r="D8403" t="str">
        <f>TEST_DATA!D8403</f>
        <v>NIL</v>
      </c>
      <c r="E8403">
        <f>TEST_DATA!E8403</f>
        <v>2091</v>
      </c>
    </row>
    <row r="8404" spans="1:5" x14ac:dyDescent="0.55000000000000004">
      <c r="A8404" t="str">
        <f>TEST_DATA!A8404</f>
        <v>27AAAAA8404Z5</v>
      </c>
      <c r="B8404" t="str">
        <f>TEST_DATA!B8404</f>
        <v>May-2020</v>
      </c>
      <c r="C8404">
        <f>TEST_DATA!C8404</f>
        <v>44667</v>
      </c>
      <c r="D8404" t="str">
        <f>TEST_DATA!D8404</f>
        <v>NON-NIL</v>
      </c>
      <c r="E8404">
        <f>TEST_DATA!E8404</f>
        <v>2739</v>
      </c>
    </row>
    <row r="8405" spans="1:5" x14ac:dyDescent="0.55000000000000004">
      <c r="A8405" t="str">
        <f>TEST_DATA!A8405</f>
        <v>27AAAAA8405Z5</v>
      </c>
      <c r="B8405" t="str">
        <f>TEST_DATA!B8405</f>
        <v>Jul-2017</v>
      </c>
      <c r="C8405">
        <f>TEST_DATA!C8405</f>
        <v>43491</v>
      </c>
      <c r="D8405" t="str">
        <f>TEST_DATA!D8405</f>
        <v>NON-NIL</v>
      </c>
      <c r="E8405">
        <f>TEST_DATA!E8405</f>
        <v>2390</v>
      </c>
    </row>
    <row r="8406" spans="1:5" x14ac:dyDescent="0.55000000000000004">
      <c r="A8406" t="str">
        <f>TEST_DATA!A8406</f>
        <v>27AAAAA8406Z5</v>
      </c>
      <c r="B8406" t="str">
        <f>TEST_DATA!B8406</f>
        <v>Aug-2018</v>
      </c>
      <c r="C8406">
        <f>TEST_DATA!C8406</f>
        <v>43735</v>
      </c>
      <c r="D8406" t="str">
        <f>TEST_DATA!D8406</f>
        <v>NON-NIL</v>
      </c>
      <c r="E8406">
        <f>TEST_DATA!E8406</f>
        <v>2242</v>
      </c>
    </row>
    <row r="8407" spans="1:5" x14ac:dyDescent="0.55000000000000004">
      <c r="A8407" t="str">
        <f>TEST_DATA!A8407</f>
        <v>27AAAAA8407Z5</v>
      </c>
      <c r="B8407" t="str">
        <f>TEST_DATA!B8407</f>
        <v>Dec-2024</v>
      </c>
      <c r="C8407">
        <f>TEST_DATA!C8407</f>
        <v>44069</v>
      </c>
      <c r="D8407" t="str">
        <f>TEST_DATA!D8407</f>
        <v>NIL</v>
      </c>
      <c r="E8407">
        <f>TEST_DATA!E8407</f>
        <v>1527</v>
      </c>
    </row>
    <row r="8408" spans="1:5" x14ac:dyDescent="0.55000000000000004">
      <c r="A8408" t="str">
        <f>TEST_DATA!A8408</f>
        <v>27AAAAA8408Z5</v>
      </c>
      <c r="B8408" t="str">
        <f>TEST_DATA!B8408</f>
        <v>Jul-2020</v>
      </c>
      <c r="C8408">
        <f>TEST_DATA!C8408</f>
        <v>44103</v>
      </c>
      <c r="D8408" t="str">
        <f>TEST_DATA!D8408</f>
        <v>NON-NIL</v>
      </c>
      <c r="E8408">
        <f>TEST_DATA!E8408</f>
        <v>1655</v>
      </c>
    </row>
    <row r="8409" spans="1:5" x14ac:dyDescent="0.55000000000000004">
      <c r="A8409" t="str">
        <f>TEST_DATA!A8409</f>
        <v>27AAAAA8409Z5</v>
      </c>
      <c r="B8409" t="str">
        <f>TEST_DATA!B8409</f>
        <v>May-2018</v>
      </c>
      <c r="C8409">
        <f>TEST_DATA!C8409</f>
        <v>44146</v>
      </c>
      <c r="D8409" t="str">
        <f>TEST_DATA!D8409</f>
        <v>NON-NIL</v>
      </c>
      <c r="E8409">
        <f>TEST_DATA!E8409</f>
        <v>68</v>
      </c>
    </row>
    <row r="8410" spans="1:5" x14ac:dyDescent="0.55000000000000004">
      <c r="A8410" t="str">
        <f>TEST_DATA!A8410</f>
        <v>27AAAAA8410Z5</v>
      </c>
      <c r="B8410" t="str">
        <f>TEST_DATA!B8410</f>
        <v>Jun-2019</v>
      </c>
      <c r="C8410">
        <f>TEST_DATA!C8410</f>
        <v>43743</v>
      </c>
      <c r="D8410" t="str">
        <f>TEST_DATA!D8410</f>
        <v>NON-NIL</v>
      </c>
      <c r="E8410">
        <f>TEST_DATA!E8410</f>
        <v>2942</v>
      </c>
    </row>
    <row r="8411" spans="1:5" x14ac:dyDescent="0.55000000000000004">
      <c r="A8411" t="str">
        <f>TEST_DATA!A8411</f>
        <v>27AAAAA8411Z5</v>
      </c>
      <c r="B8411" t="str">
        <f>TEST_DATA!B8411</f>
        <v>Dec-2017</v>
      </c>
      <c r="C8411">
        <f>TEST_DATA!C8411</f>
        <v>44353</v>
      </c>
      <c r="D8411" t="str">
        <f>TEST_DATA!D8411</f>
        <v>NIL</v>
      </c>
      <c r="E8411">
        <f>TEST_DATA!E8411</f>
        <v>2833</v>
      </c>
    </row>
    <row r="8412" spans="1:5" x14ac:dyDescent="0.55000000000000004">
      <c r="A8412" t="str">
        <f>TEST_DATA!A8412</f>
        <v>27AAAAA8412Z5</v>
      </c>
      <c r="B8412" t="str">
        <f>TEST_DATA!B8412</f>
        <v>Feb-2018</v>
      </c>
      <c r="C8412">
        <f>TEST_DATA!C8412</f>
        <v>42924</v>
      </c>
      <c r="D8412" t="str">
        <f>TEST_DATA!D8412</f>
        <v>NIL</v>
      </c>
      <c r="E8412">
        <f>TEST_DATA!E8412</f>
        <v>2352</v>
      </c>
    </row>
    <row r="8413" spans="1:5" x14ac:dyDescent="0.55000000000000004">
      <c r="A8413" t="str">
        <f>TEST_DATA!A8413</f>
        <v>27AAAAA8413Z5</v>
      </c>
      <c r="B8413" t="str">
        <f>TEST_DATA!B8413</f>
        <v>Jul-2020</v>
      </c>
      <c r="C8413">
        <f>TEST_DATA!C8413</f>
        <v>44211</v>
      </c>
      <c r="D8413" t="str">
        <f>TEST_DATA!D8413</f>
        <v>NON-NIL</v>
      </c>
      <c r="E8413">
        <f>TEST_DATA!E8413</f>
        <v>1731</v>
      </c>
    </row>
    <row r="8414" spans="1:5" x14ac:dyDescent="0.55000000000000004">
      <c r="A8414" t="str">
        <f>TEST_DATA!A8414</f>
        <v>27AAAAA8414Z5</v>
      </c>
      <c r="B8414" t="str">
        <f>TEST_DATA!B8414</f>
        <v>Apr-2018</v>
      </c>
      <c r="C8414">
        <f>TEST_DATA!C8414</f>
        <v>42952</v>
      </c>
      <c r="D8414" t="str">
        <f>TEST_DATA!D8414</f>
        <v>NON-NIL</v>
      </c>
      <c r="E8414">
        <f>TEST_DATA!E8414</f>
        <v>1139</v>
      </c>
    </row>
    <row r="8415" spans="1:5" x14ac:dyDescent="0.55000000000000004">
      <c r="A8415" t="str">
        <f>TEST_DATA!A8415</f>
        <v>27AAAAA8415Z5</v>
      </c>
      <c r="B8415" t="str">
        <f>TEST_DATA!B8415</f>
        <v>Dec-2022</v>
      </c>
      <c r="C8415">
        <f>TEST_DATA!C8415</f>
        <v>45436</v>
      </c>
      <c r="D8415" t="str">
        <f>TEST_DATA!D8415</f>
        <v>NIL</v>
      </c>
      <c r="E8415">
        <f>TEST_DATA!E8415</f>
        <v>2552</v>
      </c>
    </row>
    <row r="8416" spans="1:5" x14ac:dyDescent="0.55000000000000004">
      <c r="A8416" t="str">
        <f>TEST_DATA!A8416</f>
        <v>27AAAAA8416Z5</v>
      </c>
      <c r="B8416" t="str">
        <f>TEST_DATA!B8416</f>
        <v>Dec-2019</v>
      </c>
      <c r="C8416">
        <f>TEST_DATA!C8416</f>
        <v>45195</v>
      </c>
      <c r="D8416" t="str">
        <f>TEST_DATA!D8416</f>
        <v>NIL</v>
      </c>
      <c r="E8416">
        <f>TEST_DATA!E8416</f>
        <v>637</v>
      </c>
    </row>
    <row r="8417" spans="1:5" x14ac:dyDescent="0.55000000000000004">
      <c r="A8417" t="str">
        <f>TEST_DATA!A8417</f>
        <v>27AAAAA8417Z5</v>
      </c>
      <c r="B8417" t="str">
        <f>TEST_DATA!B8417</f>
        <v>Sep-2017</v>
      </c>
      <c r="C8417">
        <f>TEST_DATA!C8417</f>
        <v>43435</v>
      </c>
      <c r="D8417" t="str">
        <f>TEST_DATA!D8417</f>
        <v>NIL</v>
      </c>
      <c r="E8417">
        <f>TEST_DATA!E8417</f>
        <v>1452</v>
      </c>
    </row>
    <row r="8418" spans="1:5" x14ac:dyDescent="0.55000000000000004">
      <c r="A8418" t="str">
        <f>TEST_DATA!A8418</f>
        <v>27AAAAA8418Z5</v>
      </c>
      <c r="B8418" t="str">
        <f>TEST_DATA!B8418</f>
        <v>Sep-2017</v>
      </c>
      <c r="C8418">
        <f>TEST_DATA!C8418</f>
        <v>43359</v>
      </c>
      <c r="D8418" t="str">
        <f>TEST_DATA!D8418</f>
        <v>NIL</v>
      </c>
      <c r="E8418">
        <f>TEST_DATA!E8418</f>
        <v>2178</v>
      </c>
    </row>
    <row r="8419" spans="1:5" x14ac:dyDescent="0.55000000000000004">
      <c r="A8419" t="str">
        <f>TEST_DATA!A8419</f>
        <v>27AAAAA8419Z5</v>
      </c>
      <c r="B8419" t="str">
        <f>TEST_DATA!B8419</f>
        <v>Jul-2018</v>
      </c>
      <c r="C8419">
        <f>TEST_DATA!C8419</f>
        <v>43687</v>
      </c>
      <c r="D8419" t="str">
        <f>TEST_DATA!D8419</f>
        <v>NIL</v>
      </c>
      <c r="E8419">
        <f>TEST_DATA!E8419</f>
        <v>1262</v>
      </c>
    </row>
    <row r="8420" spans="1:5" x14ac:dyDescent="0.55000000000000004">
      <c r="A8420" t="str">
        <f>TEST_DATA!A8420</f>
        <v>27AAAAA8420Z5</v>
      </c>
      <c r="B8420" t="str">
        <f>TEST_DATA!B8420</f>
        <v>Jan-2019</v>
      </c>
      <c r="C8420">
        <f>TEST_DATA!C8420</f>
        <v>44725</v>
      </c>
      <c r="D8420" t="str">
        <f>TEST_DATA!D8420</f>
        <v>NON-NIL</v>
      </c>
      <c r="E8420">
        <f>TEST_DATA!E8420</f>
        <v>997</v>
      </c>
    </row>
    <row r="8421" spans="1:5" x14ac:dyDescent="0.55000000000000004">
      <c r="A8421" t="str">
        <f>TEST_DATA!A8421</f>
        <v>27AAAAA8421Z5</v>
      </c>
      <c r="B8421" t="str">
        <f>TEST_DATA!B8421</f>
        <v>Jan-2018</v>
      </c>
      <c r="C8421">
        <f>TEST_DATA!C8421</f>
        <v>44047</v>
      </c>
      <c r="D8421" t="str">
        <f>TEST_DATA!D8421</f>
        <v>NIL</v>
      </c>
      <c r="E8421">
        <f>TEST_DATA!E8421</f>
        <v>1037</v>
      </c>
    </row>
    <row r="8422" spans="1:5" x14ac:dyDescent="0.55000000000000004">
      <c r="A8422" t="str">
        <f>TEST_DATA!A8422</f>
        <v>27AAAAA8422Z5</v>
      </c>
      <c r="B8422" t="str">
        <f>TEST_DATA!B8422</f>
        <v>Sep-2018</v>
      </c>
      <c r="C8422">
        <f>TEST_DATA!C8422</f>
        <v>44418</v>
      </c>
      <c r="D8422" t="str">
        <f>TEST_DATA!D8422</f>
        <v>NON-NIL</v>
      </c>
      <c r="E8422">
        <f>TEST_DATA!E8422</f>
        <v>686</v>
      </c>
    </row>
    <row r="8423" spans="1:5" x14ac:dyDescent="0.55000000000000004">
      <c r="A8423" t="str">
        <f>TEST_DATA!A8423</f>
        <v>27AAAAA8423Z5</v>
      </c>
      <c r="B8423" t="str">
        <f>TEST_DATA!B8423</f>
        <v>Mar-2018</v>
      </c>
      <c r="C8423">
        <f>TEST_DATA!C8423</f>
        <v>43849</v>
      </c>
      <c r="D8423" t="str">
        <f>TEST_DATA!D8423</f>
        <v>NON-NIL</v>
      </c>
      <c r="E8423">
        <f>TEST_DATA!E8423</f>
        <v>1238</v>
      </c>
    </row>
    <row r="8424" spans="1:5" x14ac:dyDescent="0.55000000000000004">
      <c r="A8424" t="str">
        <f>TEST_DATA!A8424</f>
        <v>27AAAAA8424Z5</v>
      </c>
      <c r="B8424" t="str">
        <f>TEST_DATA!B8424</f>
        <v>Dec-2022</v>
      </c>
      <c r="C8424">
        <f>TEST_DATA!C8424</f>
        <v>43991</v>
      </c>
      <c r="D8424" t="str">
        <f>TEST_DATA!D8424</f>
        <v>NIL</v>
      </c>
      <c r="E8424">
        <f>TEST_DATA!E8424</f>
        <v>769</v>
      </c>
    </row>
    <row r="8425" spans="1:5" x14ac:dyDescent="0.55000000000000004">
      <c r="A8425" t="str">
        <f>TEST_DATA!A8425</f>
        <v>27AAAAA8425Z5</v>
      </c>
      <c r="B8425" t="str">
        <f>TEST_DATA!B8425</f>
        <v>May-2018</v>
      </c>
      <c r="C8425">
        <f>TEST_DATA!C8425</f>
        <v>44157</v>
      </c>
      <c r="D8425" t="str">
        <f>TEST_DATA!D8425</f>
        <v>NON-NIL</v>
      </c>
      <c r="E8425">
        <f>TEST_DATA!E8425</f>
        <v>1155</v>
      </c>
    </row>
    <row r="8426" spans="1:5" x14ac:dyDescent="0.55000000000000004">
      <c r="A8426" t="str">
        <f>TEST_DATA!A8426</f>
        <v>27AAAAA8426Z5</v>
      </c>
      <c r="B8426" t="str">
        <f>TEST_DATA!B8426</f>
        <v>Oct-2017</v>
      </c>
      <c r="C8426">
        <f>TEST_DATA!C8426</f>
        <v>42951</v>
      </c>
      <c r="D8426" t="str">
        <f>TEST_DATA!D8426</f>
        <v>NIL</v>
      </c>
      <c r="E8426">
        <f>TEST_DATA!E8426</f>
        <v>2957</v>
      </c>
    </row>
    <row r="8427" spans="1:5" x14ac:dyDescent="0.55000000000000004">
      <c r="A8427" t="str">
        <f>TEST_DATA!A8427</f>
        <v>27AAAAA8427Z5</v>
      </c>
      <c r="B8427" t="str">
        <f>TEST_DATA!B8427</f>
        <v>Feb-2018</v>
      </c>
      <c r="C8427">
        <f>TEST_DATA!C8427</f>
        <v>44520</v>
      </c>
      <c r="D8427" t="str">
        <f>TEST_DATA!D8427</f>
        <v>NON-NIL</v>
      </c>
      <c r="E8427">
        <f>TEST_DATA!E8427</f>
        <v>2642</v>
      </c>
    </row>
    <row r="8428" spans="1:5" x14ac:dyDescent="0.55000000000000004">
      <c r="A8428" t="str">
        <f>TEST_DATA!A8428</f>
        <v>27AAAAA8428Z5</v>
      </c>
      <c r="B8428" t="str">
        <f>TEST_DATA!B8428</f>
        <v>Feb-2018</v>
      </c>
      <c r="C8428">
        <f>TEST_DATA!C8428</f>
        <v>43648</v>
      </c>
      <c r="D8428" t="str">
        <f>TEST_DATA!D8428</f>
        <v>NIL</v>
      </c>
      <c r="E8428">
        <f>TEST_DATA!E8428</f>
        <v>2200</v>
      </c>
    </row>
    <row r="8429" spans="1:5" x14ac:dyDescent="0.55000000000000004">
      <c r="A8429" t="str">
        <f>TEST_DATA!A8429</f>
        <v>27AAAAA8429Z5</v>
      </c>
      <c r="B8429" t="str">
        <f>TEST_DATA!B8429</f>
        <v>Jan-2021</v>
      </c>
      <c r="C8429">
        <f>TEST_DATA!C8429</f>
        <v>45130</v>
      </c>
      <c r="D8429" t="str">
        <f>TEST_DATA!D8429</f>
        <v>NON-NIL</v>
      </c>
      <c r="E8429">
        <f>TEST_DATA!E8429</f>
        <v>1270</v>
      </c>
    </row>
    <row r="8430" spans="1:5" x14ac:dyDescent="0.55000000000000004">
      <c r="A8430" t="str">
        <f>TEST_DATA!A8430</f>
        <v>27AAAAA8430Z5</v>
      </c>
      <c r="B8430" t="str">
        <f>TEST_DATA!B8430</f>
        <v>Mar-2023</v>
      </c>
      <c r="C8430">
        <f>TEST_DATA!C8430</f>
        <v>45501</v>
      </c>
      <c r="D8430" t="str">
        <f>TEST_DATA!D8430</f>
        <v>NON-NIL</v>
      </c>
      <c r="E8430">
        <f>TEST_DATA!E8430</f>
        <v>1238</v>
      </c>
    </row>
    <row r="8431" spans="1:5" x14ac:dyDescent="0.55000000000000004">
      <c r="A8431" t="str">
        <f>TEST_DATA!A8431</f>
        <v>27AAAAA8431Z5</v>
      </c>
      <c r="B8431" t="str">
        <f>TEST_DATA!B8431</f>
        <v>Oct-2017</v>
      </c>
      <c r="C8431">
        <f>TEST_DATA!C8431</f>
        <v>43334</v>
      </c>
      <c r="D8431" t="str">
        <f>TEST_DATA!D8431</f>
        <v>NIL</v>
      </c>
      <c r="E8431">
        <f>TEST_DATA!E8431</f>
        <v>833</v>
      </c>
    </row>
    <row r="8432" spans="1:5" x14ac:dyDescent="0.55000000000000004">
      <c r="A8432" t="str">
        <f>TEST_DATA!A8432</f>
        <v>27AAAAA8432Z5</v>
      </c>
      <c r="B8432" t="str">
        <f>TEST_DATA!B8432</f>
        <v>Jun-2018</v>
      </c>
      <c r="C8432">
        <f>TEST_DATA!C8432</f>
        <v>43073</v>
      </c>
      <c r="D8432" t="str">
        <f>TEST_DATA!D8432</f>
        <v>NIL</v>
      </c>
      <c r="E8432">
        <f>TEST_DATA!E8432</f>
        <v>35</v>
      </c>
    </row>
    <row r="8433" spans="1:5" x14ac:dyDescent="0.55000000000000004">
      <c r="A8433" t="str">
        <f>TEST_DATA!A8433</f>
        <v>27AAAAA8433Z5</v>
      </c>
      <c r="B8433" t="str">
        <f>TEST_DATA!B8433</f>
        <v>Nov-2017</v>
      </c>
      <c r="C8433">
        <f>TEST_DATA!C8433</f>
        <v>43644</v>
      </c>
      <c r="D8433" t="str">
        <f>TEST_DATA!D8433</f>
        <v>NON-NIL</v>
      </c>
      <c r="E8433">
        <f>TEST_DATA!E8433</f>
        <v>801</v>
      </c>
    </row>
    <row r="8434" spans="1:5" x14ac:dyDescent="0.55000000000000004">
      <c r="A8434" t="str">
        <f>TEST_DATA!A8434</f>
        <v>27AAAAA8434Z5</v>
      </c>
      <c r="B8434" t="str">
        <f>TEST_DATA!B8434</f>
        <v>Mar-2018</v>
      </c>
      <c r="C8434">
        <f>TEST_DATA!C8434</f>
        <v>43773</v>
      </c>
      <c r="D8434" t="str">
        <f>TEST_DATA!D8434</f>
        <v>NON-NIL</v>
      </c>
      <c r="E8434">
        <f>TEST_DATA!E8434</f>
        <v>2189</v>
      </c>
    </row>
    <row r="8435" spans="1:5" x14ac:dyDescent="0.55000000000000004">
      <c r="A8435" t="str">
        <f>TEST_DATA!A8435</f>
        <v>27AAAAA8435Z5</v>
      </c>
      <c r="B8435" t="str">
        <f>TEST_DATA!B8435</f>
        <v>Dec-2022</v>
      </c>
      <c r="C8435">
        <f>TEST_DATA!C8435</f>
        <v>43787</v>
      </c>
      <c r="D8435" t="str">
        <f>TEST_DATA!D8435</f>
        <v>NON-NIL</v>
      </c>
      <c r="E8435">
        <f>TEST_DATA!E8435</f>
        <v>860</v>
      </c>
    </row>
    <row r="8436" spans="1:5" x14ac:dyDescent="0.55000000000000004">
      <c r="A8436" t="str">
        <f>TEST_DATA!A8436</f>
        <v>27AAAAA8436Z5</v>
      </c>
      <c r="B8436" t="str">
        <f>TEST_DATA!B8436</f>
        <v>Apr-2020</v>
      </c>
      <c r="C8436">
        <f>TEST_DATA!C8436</f>
        <v>44910</v>
      </c>
      <c r="D8436" t="str">
        <f>TEST_DATA!D8436</f>
        <v>NON-NIL</v>
      </c>
      <c r="E8436">
        <f>TEST_DATA!E8436</f>
        <v>2612</v>
      </c>
    </row>
    <row r="8437" spans="1:5" x14ac:dyDescent="0.55000000000000004">
      <c r="A8437" t="str">
        <f>TEST_DATA!A8437</f>
        <v>27AAAAA8437Z5</v>
      </c>
      <c r="B8437" t="str">
        <f>TEST_DATA!B8437</f>
        <v>Dec-2017</v>
      </c>
      <c r="C8437">
        <f>TEST_DATA!C8437</f>
        <v>44337</v>
      </c>
      <c r="D8437" t="str">
        <f>TEST_DATA!D8437</f>
        <v>NIL</v>
      </c>
      <c r="E8437">
        <f>TEST_DATA!E8437</f>
        <v>2002</v>
      </c>
    </row>
    <row r="8438" spans="1:5" x14ac:dyDescent="0.55000000000000004">
      <c r="A8438" t="str">
        <f>TEST_DATA!A8438</f>
        <v>27AAAAA8438Z5</v>
      </c>
      <c r="B8438" t="str">
        <f>TEST_DATA!B8438</f>
        <v>Dec-2019</v>
      </c>
      <c r="C8438">
        <f>TEST_DATA!C8438</f>
        <v>44808</v>
      </c>
      <c r="D8438" t="str">
        <f>TEST_DATA!D8438</f>
        <v>NON-NIL</v>
      </c>
      <c r="E8438">
        <f>TEST_DATA!E8438</f>
        <v>2550</v>
      </c>
    </row>
    <row r="8439" spans="1:5" x14ac:dyDescent="0.55000000000000004">
      <c r="A8439" t="str">
        <f>TEST_DATA!A8439</f>
        <v>27AAAAA8439Z5</v>
      </c>
      <c r="B8439" t="str">
        <f>TEST_DATA!B8439</f>
        <v>Apr-2021</v>
      </c>
      <c r="C8439">
        <f>TEST_DATA!C8439</f>
        <v>43703</v>
      </c>
      <c r="D8439" t="str">
        <f>TEST_DATA!D8439</f>
        <v>NON-NIL</v>
      </c>
      <c r="E8439">
        <f>TEST_DATA!E8439</f>
        <v>2891</v>
      </c>
    </row>
    <row r="8440" spans="1:5" x14ac:dyDescent="0.55000000000000004">
      <c r="A8440" t="str">
        <f>TEST_DATA!A8440</f>
        <v>27AAAAA8440Z5</v>
      </c>
      <c r="B8440" t="str">
        <f>TEST_DATA!B8440</f>
        <v>Dec-2024</v>
      </c>
      <c r="C8440">
        <f>TEST_DATA!C8440</f>
        <v>43777</v>
      </c>
      <c r="D8440" t="str">
        <f>TEST_DATA!D8440</f>
        <v>NIL</v>
      </c>
      <c r="E8440">
        <f>TEST_DATA!E8440</f>
        <v>2269</v>
      </c>
    </row>
    <row r="8441" spans="1:5" x14ac:dyDescent="0.55000000000000004">
      <c r="A8441" t="str">
        <f>TEST_DATA!A8441</f>
        <v>27AAAAA8441Z5</v>
      </c>
      <c r="B8441" t="str">
        <f>TEST_DATA!B8441</f>
        <v>Jul-2018</v>
      </c>
      <c r="C8441">
        <f>TEST_DATA!C8441</f>
        <v>43593</v>
      </c>
      <c r="D8441" t="str">
        <f>TEST_DATA!D8441</f>
        <v>NON-NIL</v>
      </c>
      <c r="E8441">
        <f>TEST_DATA!E8441</f>
        <v>2125</v>
      </c>
    </row>
    <row r="8442" spans="1:5" x14ac:dyDescent="0.55000000000000004">
      <c r="A8442" t="str">
        <f>TEST_DATA!A8442</f>
        <v>27AAAAA8442Z5</v>
      </c>
      <c r="B8442" t="str">
        <f>TEST_DATA!B8442</f>
        <v>Dec-2022</v>
      </c>
      <c r="C8442">
        <f>TEST_DATA!C8442</f>
        <v>43919</v>
      </c>
      <c r="D8442" t="str">
        <f>TEST_DATA!D8442</f>
        <v>NON-NIL</v>
      </c>
      <c r="E8442">
        <f>TEST_DATA!E8442</f>
        <v>1887</v>
      </c>
    </row>
    <row r="8443" spans="1:5" x14ac:dyDescent="0.55000000000000004">
      <c r="A8443" t="str">
        <f>TEST_DATA!A8443</f>
        <v>27AAAAA8443Z5</v>
      </c>
      <c r="B8443" t="str">
        <f>TEST_DATA!B8443</f>
        <v>Jun-2018</v>
      </c>
      <c r="C8443">
        <f>TEST_DATA!C8443</f>
        <v>44469</v>
      </c>
      <c r="D8443" t="str">
        <f>TEST_DATA!D8443</f>
        <v>NIL</v>
      </c>
      <c r="E8443">
        <f>TEST_DATA!E8443</f>
        <v>881</v>
      </c>
    </row>
    <row r="8444" spans="1:5" x14ac:dyDescent="0.55000000000000004">
      <c r="A8444" t="str">
        <f>TEST_DATA!A8444</f>
        <v>27AAAAA8444Z5</v>
      </c>
      <c r="B8444" t="str">
        <f>TEST_DATA!B8444</f>
        <v>Dec-2019</v>
      </c>
      <c r="C8444">
        <f>TEST_DATA!C8444</f>
        <v>44307</v>
      </c>
      <c r="D8444" t="str">
        <f>TEST_DATA!D8444</f>
        <v>NIL</v>
      </c>
      <c r="E8444">
        <f>TEST_DATA!E8444</f>
        <v>2406</v>
      </c>
    </row>
    <row r="8445" spans="1:5" x14ac:dyDescent="0.55000000000000004">
      <c r="A8445" t="str">
        <f>TEST_DATA!A8445</f>
        <v>27AAAAA8445Z5</v>
      </c>
      <c r="B8445" t="str">
        <f>TEST_DATA!B8445</f>
        <v>Feb-2018</v>
      </c>
      <c r="C8445">
        <f>TEST_DATA!C8445</f>
        <v>43554</v>
      </c>
      <c r="D8445" t="str">
        <f>TEST_DATA!D8445</f>
        <v>NIL</v>
      </c>
      <c r="E8445">
        <f>TEST_DATA!E8445</f>
        <v>2243</v>
      </c>
    </row>
    <row r="8446" spans="1:5" x14ac:dyDescent="0.55000000000000004">
      <c r="A8446" t="str">
        <f>TEST_DATA!A8446</f>
        <v>27AAAAA8446Z5</v>
      </c>
      <c r="B8446" t="str">
        <f>TEST_DATA!B8446</f>
        <v>Dec-2024</v>
      </c>
      <c r="C8446">
        <f>TEST_DATA!C8446</f>
        <v>43634</v>
      </c>
      <c r="D8446" t="str">
        <f>TEST_DATA!D8446</f>
        <v>NIL</v>
      </c>
      <c r="E8446">
        <f>TEST_DATA!E8446</f>
        <v>803</v>
      </c>
    </row>
    <row r="8447" spans="1:5" x14ac:dyDescent="0.55000000000000004">
      <c r="A8447" t="str">
        <f>TEST_DATA!A8447</f>
        <v>27AAAAA8447Z5</v>
      </c>
      <c r="B8447" t="str">
        <f>TEST_DATA!B8447</f>
        <v>Dec-2019</v>
      </c>
      <c r="C8447">
        <f>TEST_DATA!C8447</f>
        <v>43732</v>
      </c>
      <c r="D8447" t="str">
        <f>TEST_DATA!D8447</f>
        <v>NON-NIL</v>
      </c>
      <c r="E8447">
        <f>TEST_DATA!E8447</f>
        <v>1577</v>
      </c>
    </row>
    <row r="8448" spans="1:5" x14ac:dyDescent="0.55000000000000004">
      <c r="A8448" t="str">
        <f>TEST_DATA!A8448</f>
        <v>27AAAAA8448Z5</v>
      </c>
      <c r="B8448" t="str">
        <f>TEST_DATA!B8448</f>
        <v>Jan-2018</v>
      </c>
      <c r="C8448">
        <f>TEST_DATA!C8448</f>
        <v>43447</v>
      </c>
      <c r="D8448" t="str">
        <f>TEST_DATA!D8448</f>
        <v>NIL</v>
      </c>
      <c r="E8448">
        <f>TEST_DATA!E8448</f>
        <v>2881</v>
      </c>
    </row>
    <row r="8449" spans="1:5" x14ac:dyDescent="0.55000000000000004">
      <c r="A8449" t="str">
        <f>TEST_DATA!A8449</f>
        <v>27AAAAA8449Z5</v>
      </c>
      <c r="B8449" t="str">
        <f>TEST_DATA!B8449</f>
        <v>Apr-2020</v>
      </c>
      <c r="C8449">
        <f>TEST_DATA!C8449</f>
        <v>44185</v>
      </c>
      <c r="D8449" t="str">
        <f>TEST_DATA!D8449</f>
        <v>NON-NIL</v>
      </c>
      <c r="E8449">
        <f>TEST_DATA!E8449</f>
        <v>643</v>
      </c>
    </row>
    <row r="8450" spans="1:5" x14ac:dyDescent="0.55000000000000004">
      <c r="A8450" t="str">
        <f>TEST_DATA!A8450</f>
        <v>27AAAAA8450Z5</v>
      </c>
      <c r="B8450" t="str">
        <f>TEST_DATA!B8450</f>
        <v>Oct-2017</v>
      </c>
      <c r="C8450">
        <f>TEST_DATA!C8450</f>
        <v>44328</v>
      </c>
      <c r="D8450" t="str">
        <f>TEST_DATA!D8450</f>
        <v>NON-NIL</v>
      </c>
      <c r="E8450">
        <f>TEST_DATA!E8450</f>
        <v>2352</v>
      </c>
    </row>
    <row r="8451" spans="1:5" x14ac:dyDescent="0.55000000000000004">
      <c r="A8451" t="str">
        <f>TEST_DATA!A8451</f>
        <v>27AAAAA8451Z5</v>
      </c>
      <c r="B8451" t="str">
        <f>TEST_DATA!B8451</f>
        <v>Sep-2018</v>
      </c>
      <c r="C8451">
        <f>TEST_DATA!C8451</f>
        <v>44441</v>
      </c>
      <c r="D8451" t="str">
        <f>TEST_DATA!D8451</f>
        <v>NIL</v>
      </c>
      <c r="E8451">
        <f>TEST_DATA!E8451</f>
        <v>213</v>
      </c>
    </row>
    <row r="8452" spans="1:5" x14ac:dyDescent="0.55000000000000004">
      <c r="A8452" t="str">
        <f>TEST_DATA!A8452</f>
        <v>27AAAAA8452Z5</v>
      </c>
      <c r="B8452" t="str">
        <f>TEST_DATA!B8452</f>
        <v>Dec-2022</v>
      </c>
      <c r="C8452">
        <f>TEST_DATA!C8452</f>
        <v>43882</v>
      </c>
      <c r="D8452" t="str">
        <f>TEST_DATA!D8452</f>
        <v>NIL</v>
      </c>
      <c r="E8452">
        <f>TEST_DATA!E8452</f>
        <v>259</v>
      </c>
    </row>
    <row r="8453" spans="1:5" x14ac:dyDescent="0.55000000000000004">
      <c r="A8453" t="str">
        <f>TEST_DATA!A8453</f>
        <v>27AAAAA8453Z5</v>
      </c>
      <c r="B8453" t="str">
        <f>TEST_DATA!B8453</f>
        <v>Jun-2019</v>
      </c>
      <c r="C8453">
        <f>TEST_DATA!C8453</f>
        <v>44753</v>
      </c>
      <c r="D8453" t="str">
        <f>TEST_DATA!D8453</f>
        <v>NIL</v>
      </c>
      <c r="E8453">
        <f>TEST_DATA!E8453</f>
        <v>1934</v>
      </c>
    </row>
    <row r="8454" spans="1:5" x14ac:dyDescent="0.55000000000000004">
      <c r="A8454" t="str">
        <f>TEST_DATA!A8454</f>
        <v>27AAAAA8454Z5</v>
      </c>
      <c r="B8454" t="str">
        <f>TEST_DATA!B8454</f>
        <v>Dec-2024</v>
      </c>
      <c r="C8454">
        <f>TEST_DATA!C8454</f>
        <v>44257</v>
      </c>
      <c r="D8454" t="str">
        <f>TEST_DATA!D8454</f>
        <v>NON-NIL</v>
      </c>
      <c r="E8454">
        <f>TEST_DATA!E8454</f>
        <v>371</v>
      </c>
    </row>
    <row r="8455" spans="1:5" x14ac:dyDescent="0.55000000000000004">
      <c r="A8455" t="str">
        <f>TEST_DATA!A8455</f>
        <v>27AAAAA8455Z5</v>
      </c>
      <c r="B8455" t="str">
        <f>TEST_DATA!B8455</f>
        <v>Sep-2017</v>
      </c>
      <c r="C8455">
        <f>TEST_DATA!C8455</f>
        <v>43522</v>
      </c>
      <c r="D8455" t="str">
        <f>TEST_DATA!D8455</f>
        <v>NON-NIL</v>
      </c>
      <c r="E8455">
        <f>TEST_DATA!E8455</f>
        <v>360</v>
      </c>
    </row>
    <row r="8456" spans="1:5" x14ac:dyDescent="0.55000000000000004">
      <c r="A8456" t="str">
        <f>TEST_DATA!A8456</f>
        <v>27AAAAA8456Z5</v>
      </c>
      <c r="B8456" t="str">
        <f>TEST_DATA!B8456</f>
        <v>Jan-2018</v>
      </c>
      <c r="C8456">
        <f>TEST_DATA!C8456</f>
        <v>43427</v>
      </c>
      <c r="D8456" t="str">
        <f>TEST_DATA!D8456</f>
        <v>NIL</v>
      </c>
      <c r="E8456">
        <f>TEST_DATA!E8456</f>
        <v>1361</v>
      </c>
    </row>
    <row r="8457" spans="1:5" x14ac:dyDescent="0.55000000000000004">
      <c r="A8457" t="str">
        <f>TEST_DATA!A8457</f>
        <v>27AAAAA8457Z5</v>
      </c>
      <c r="B8457" t="str">
        <f>TEST_DATA!B8457</f>
        <v>Dec-2024</v>
      </c>
      <c r="C8457">
        <f>TEST_DATA!C8457</f>
        <v>44925</v>
      </c>
      <c r="D8457" t="str">
        <f>TEST_DATA!D8457</f>
        <v>NON-NIL</v>
      </c>
      <c r="E8457">
        <f>TEST_DATA!E8457</f>
        <v>801</v>
      </c>
    </row>
    <row r="8458" spans="1:5" x14ac:dyDescent="0.55000000000000004">
      <c r="A8458" t="str">
        <f>TEST_DATA!A8458</f>
        <v>27AAAAA8458Z5</v>
      </c>
      <c r="B8458" t="str">
        <f>TEST_DATA!B8458</f>
        <v>Mar-2023</v>
      </c>
      <c r="C8458">
        <f>TEST_DATA!C8458</f>
        <v>43687</v>
      </c>
      <c r="D8458" t="str">
        <f>TEST_DATA!D8458</f>
        <v>NIL</v>
      </c>
      <c r="E8458">
        <f>TEST_DATA!E8458</f>
        <v>1313</v>
      </c>
    </row>
    <row r="8459" spans="1:5" x14ac:dyDescent="0.55000000000000004">
      <c r="A8459" t="str">
        <f>TEST_DATA!A8459</f>
        <v>27AAAAA8459Z5</v>
      </c>
      <c r="B8459" t="str">
        <f>TEST_DATA!B8459</f>
        <v>Feb-2018</v>
      </c>
      <c r="C8459">
        <f>TEST_DATA!C8459</f>
        <v>42996</v>
      </c>
      <c r="D8459" t="str">
        <f>TEST_DATA!D8459</f>
        <v>NIL</v>
      </c>
      <c r="E8459">
        <f>TEST_DATA!E8459</f>
        <v>241</v>
      </c>
    </row>
    <row r="8460" spans="1:5" x14ac:dyDescent="0.55000000000000004">
      <c r="A8460" t="str">
        <f>TEST_DATA!A8460</f>
        <v>27AAAAA8460Z5</v>
      </c>
      <c r="B8460" t="str">
        <f>TEST_DATA!B8460</f>
        <v>Apr-2021</v>
      </c>
      <c r="C8460">
        <f>TEST_DATA!C8460</f>
        <v>44724</v>
      </c>
      <c r="D8460" t="str">
        <f>TEST_DATA!D8460</f>
        <v>NON-NIL</v>
      </c>
      <c r="E8460">
        <f>TEST_DATA!E8460</f>
        <v>42</v>
      </c>
    </row>
    <row r="8461" spans="1:5" x14ac:dyDescent="0.55000000000000004">
      <c r="A8461" t="str">
        <f>TEST_DATA!A8461</f>
        <v>27AAAAA8461Z5</v>
      </c>
      <c r="B8461" t="str">
        <f>TEST_DATA!B8461</f>
        <v>Sep-2018</v>
      </c>
      <c r="C8461">
        <f>TEST_DATA!C8461</f>
        <v>43820</v>
      </c>
      <c r="D8461" t="str">
        <f>TEST_DATA!D8461</f>
        <v>NIL</v>
      </c>
      <c r="E8461">
        <f>TEST_DATA!E8461</f>
        <v>2751</v>
      </c>
    </row>
    <row r="8462" spans="1:5" x14ac:dyDescent="0.55000000000000004">
      <c r="A8462" t="str">
        <f>TEST_DATA!A8462</f>
        <v>27AAAAA8462Z5</v>
      </c>
      <c r="B8462" t="str">
        <f>TEST_DATA!B8462</f>
        <v>Jul-2020</v>
      </c>
      <c r="C8462">
        <f>TEST_DATA!C8462</f>
        <v>44035</v>
      </c>
      <c r="D8462" t="str">
        <f>TEST_DATA!D8462</f>
        <v>NIL</v>
      </c>
      <c r="E8462">
        <f>TEST_DATA!E8462</f>
        <v>2525</v>
      </c>
    </row>
    <row r="8463" spans="1:5" x14ac:dyDescent="0.55000000000000004">
      <c r="A8463" t="str">
        <f>TEST_DATA!A8463</f>
        <v>27AAAAA8463Z5</v>
      </c>
      <c r="B8463" t="str">
        <f>TEST_DATA!B8463</f>
        <v>Dec-2024</v>
      </c>
      <c r="C8463">
        <f>TEST_DATA!C8463</f>
        <v>45134</v>
      </c>
      <c r="D8463" t="str">
        <f>TEST_DATA!D8463</f>
        <v>NON-NIL</v>
      </c>
      <c r="E8463">
        <f>TEST_DATA!E8463</f>
        <v>2514</v>
      </c>
    </row>
    <row r="8464" spans="1:5" x14ac:dyDescent="0.55000000000000004">
      <c r="A8464" t="str">
        <f>TEST_DATA!A8464</f>
        <v>27AAAAA8464Z5</v>
      </c>
      <c r="B8464" t="str">
        <f>TEST_DATA!B8464</f>
        <v>Dec-2019</v>
      </c>
      <c r="C8464">
        <f>TEST_DATA!C8464</f>
        <v>44707</v>
      </c>
      <c r="D8464" t="str">
        <f>TEST_DATA!D8464</f>
        <v>NON-NIL</v>
      </c>
      <c r="E8464">
        <f>TEST_DATA!E8464</f>
        <v>1309</v>
      </c>
    </row>
    <row r="8465" spans="1:5" x14ac:dyDescent="0.55000000000000004">
      <c r="A8465" t="str">
        <f>TEST_DATA!A8465</f>
        <v>27AAAAA8465Z5</v>
      </c>
      <c r="B8465" t="str">
        <f>TEST_DATA!B8465</f>
        <v>Sep-2018</v>
      </c>
      <c r="C8465">
        <f>TEST_DATA!C8465</f>
        <v>43750</v>
      </c>
      <c r="D8465" t="str">
        <f>TEST_DATA!D8465</f>
        <v>NON-NIL</v>
      </c>
      <c r="E8465">
        <f>TEST_DATA!E8465</f>
        <v>972</v>
      </c>
    </row>
    <row r="8466" spans="1:5" x14ac:dyDescent="0.55000000000000004">
      <c r="A8466" t="str">
        <f>TEST_DATA!A8466</f>
        <v>27AAAAA8466Z5</v>
      </c>
      <c r="B8466" t="str">
        <f>TEST_DATA!B8466</f>
        <v>Jan-2021</v>
      </c>
      <c r="C8466">
        <f>TEST_DATA!C8466</f>
        <v>44717</v>
      </c>
      <c r="D8466" t="str">
        <f>TEST_DATA!D8466</f>
        <v>NON-NIL</v>
      </c>
      <c r="E8466">
        <f>TEST_DATA!E8466</f>
        <v>1243</v>
      </c>
    </row>
    <row r="8467" spans="1:5" x14ac:dyDescent="0.55000000000000004">
      <c r="A8467" t="str">
        <f>TEST_DATA!A8467</f>
        <v>27AAAAA8467Z5</v>
      </c>
      <c r="B8467" t="str">
        <f>TEST_DATA!B8467</f>
        <v>Oct-2017</v>
      </c>
      <c r="C8467">
        <f>TEST_DATA!C8467</f>
        <v>44520</v>
      </c>
      <c r="D8467" t="str">
        <f>TEST_DATA!D8467</f>
        <v>NIL</v>
      </c>
      <c r="E8467">
        <f>TEST_DATA!E8467</f>
        <v>2447</v>
      </c>
    </row>
    <row r="8468" spans="1:5" x14ac:dyDescent="0.55000000000000004">
      <c r="A8468" t="str">
        <f>TEST_DATA!A8468</f>
        <v>27AAAAA8468Z5</v>
      </c>
      <c r="B8468" t="str">
        <f>TEST_DATA!B8468</f>
        <v>Mar-2020</v>
      </c>
      <c r="C8468">
        <f>TEST_DATA!C8468</f>
        <v>44032</v>
      </c>
      <c r="D8468" t="str">
        <f>TEST_DATA!D8468</f>
        <v>NIL</v>
      </c>
      <c r="E8468">
        <f>TEST_DATA!E8468</f>
        <v>1665</v>
      </c>
    </row>
    <row r="8469" spans="1:5" x14ac:dyDescent="0.55000000000000004">
      <c r="A8469" t="str">
        <f>TEST_DATA!A8469</f>
        <v>27AAAAA8469Z5</v>
      </c>
      <c r="B8469" t="str">
        <f>TEST_DATA!B8469</f>
        <v>Apr-2020</v>
      </c>
      <c r="C8469">
        <f>TEST_DATA!C8469</f>
        <v>44377</v>
      </c>
      <c r="D8469" t="str">
        <f>TEST_DATA!D8469</f>
        <v>NON-NIL</v>
      </c>
      <c r="E8469">
        <f>TEST_DATA!E8469</f>
        <v>625</v>
      </c>
    </row>
    <row r="8470" spans="1:5" x14ac:dyDescent="0.55000000000000004">
      <c r="A8470" t="str">
        <f>TEST_DATA!A8470</f>
        <v>27AAAAA8470Z5</v>
      </c>
      <c r="B8470" t="str">
        <f>TEST_DATA!B8470</f>
        <v>Aug-2017</v>
      </c>
      <c r="C8470">
        <f>TEST_DATA!C8470</f>
        <v>43770</v>
      </c>
      <c r="D8470" t="str">
        <f>TEST_DATA!D8470</f>
        <v>NON-NIL</v>
      </c>
      <c r="E8470">
        <f>TEST_DATA!E8470</f>
        <v>2803</v>
      </c>
    </row>
    <row r="8471" spans="1:5" x14ac:dyDescent="0.55000000000000004">
      <c r="A8471" t="str">
        <f>TEST_DATA!A8471</f>
        <v>27AAAAA8471Z5</v>
      </c>
      <c r="B8471" t="str">
        <f>TEST_DATA!B8471</f>
        <v>Sep-2017</v>
      </c>
      <c r="C8471">
        <f>TEST_DATA!C8471</f>
        <v>44182</v>
      </c>
      <c r="D8471" t="str">
        <f>TEST_DATA!D8471</f>
        <v>NIL</v>
      </c>
      <c r="E8471">
        <f>TEST_DATA!E8471</f>
        <v>93</v>
      </c>
    </row>
    <row r="8472" spans="1:5" x14ac:dyDescent="0.55000000000000004">
      <c r="A8472" t="str">
        <f>TEST_DATA!A8472</f>
        <v>27AAAAA8472Z5</v>
      </c>
      <c r="B8472" t="str">
        <f>TEST_DATA!B8472</f>
        <v>Aug-2018</v>
      </c>
      <c r="C8472">
        <f>TEST_DATA!C8472</f>
        <v>43131</v>
      </c>
      <c r="D8472" t="str">
        <f>TEST_DATA!D8472</f>
        <v>NON-NIL</v>
      </c>
      <c r="E8472">
        <f>TEST_DATA!E8472</f>
        <v>2624</v>
      </c>
    </row>
    <row r="8473" spans="1:5" x14ac:dyDescent="0.55000000000000004">
      <c r="A8473" t="str">
        <f>TEST_DATA!A8473</f>
        <v>27AAAAA8473Z5</v>
      </c>
      <c r="B8473" t="str">
        <f>TEST_DATA!B8473</f>
        <v>Jul-2018</v>
      </c>
      <c r="C8473">
        <f>TEST_DATA!C8473</f>
        <v>44330</v>
      </c>
      <c r="D8473" t="str">
        <f>TEST_DATA!D8473</f>
        <v>NIL</v>
      </c>
      <c r="E8473">
        <f>TEST_DATA!E8473</f>
        <v>70</v>
      </c>
    </row>
    <row r="8474" spans="1:5" x14ac:dyDescent="0.55000000000000004">
      <c r="A8474" t="str">
        <f>TEST_DATA!A8474</f>
        <v>27AAAAA8474Z5</v>
      </c>
      <c r="B8474" t="str">
        <f>TEST_DATA!B8474</f>
        <v>Aug-2017</v>
      </c>
      <c r="C8474">
        <f>TEST_DATA!C8474</f>
        <v>44460</v>
      </c>
      <c r="D8474" t="str">
        <f>TEST_DATA!D8474</f>
        <v>NIL</v>
      </c>
      <c r="E8474">
        <f>TEST_DATA!E8474</f>
        <v>655</v>
      </c>
    </row>
    <row r="8475" spans="1:5" x14ac:dyDescent="0.55000000000000004">
      <c r="A8475" t="str">
        <f>TEST_DATA!A8475</f>
        <v>27AAAAA8475Z5</v>
      </c>
      <c r="B8475" t="str">
        <f>TEST_DATA!B8475</f>
        <v>Jun-2020</v>
      </c>
      <c r="C8475">
        <f>TEST_DATA!C8475</f>
        <v>44343</v>
      </c>
      <c r="D8475" t="str">
        <f>TEST_DATA!D8475</f>
        <v>NIL</v>
      </c>
      <c r="E8475">
        <f>TEST_DATA!E8475</f>
        <v>505</v>
      </c>
    </row>
    <row r="8476" spans="1:5" x14ac:dyDescent="0.55000000000000004">
      <c r="A8476" t="str">
        <f>TEST_DATA!A8476</f>
        <v>27AAAAA8476Z5</v>
      </c>
      <c r="B8476" t="str">
        <f>TEST_DATA!B8476</f>
        <v>Jul-2018</v>
      </c>
      <c r="C8476">
        <f>TEST_DATA!C8476</f>
        <v>44013</v>
      </c>
      <c r="D8476" t="str">
        <f>TEST_DATA!D8476</f>
        <v>NIL</v>
      </c>
      <c r="E8476">
        <f>TEST_DATA!E8476</f>
        <v>1709</v>
      </c>
    </row>
    <row r="8477" spans="1:5" x14ac:dyDescent="0.55000000000000004">
      <c r="A8477" t="str">
        <f>TEST_DATA!A8477</f>
        <v>27AAAAA8477Z5</v>
      </c>
      <c r="B8477" t="str">
        <f>TEST_DATA!B8477</f>
        <v>Dec-2022</v>
      </c>
      <c r="C8477">
        <f>TEST_DATA!C8477</f>
        <v>45528</v>
      </c>
      <c r="D8477" t="str">
        <f>TEST_DATA!D8477</f>
        <v>NIL</v>
      </c>
      <c r="E8477">
        <f>TEST_DATA!E8477</f>
        <v>622</v>
      </c>
    </row>
    <row r="8478" spans="1:5" x14ac:dyDescent="0.55000000000000004">
      <c r="A8478" t="str">
        <f>TEST_DATA!A8478</f>
        <v>27AAAAA8478Z5</v>
      </c>
      <c r="B8478" t="str">
        <f>TEST_DATA!B8478</f>
        <v>Jun-2020</v>
      </c>
      <c r="C8478">
        <f>TEST_DATA!C8478</f>
        <v>44002</v>
      </c>
      <c r="D8478" t="str">
        <f>TEST_DATA!D8478</f>
        <v>NON-NIL</v>
      </c>
      <c r="E8478">
        <f>TEST_DATA!E8478</f>
        <v>1457</v>
      </c>
    </row>
    <row r="8479" spans="1:5" x14ac:dyDescent="0.55000000000000004">
      <c r="A8479" t="str">
        <f>TEST_DATA!A8479</f>
        <v>27AAAAA8479Z5</v>
      </c>
      <c r="B8479" t="str">
        <f>TEST_DATA!B8479</f>
        <v>May-2020</v>
      </c>
      <c r="C8479">
        <f>TEST_DATA!C8479</f>
        <v>44654</v>
      </c>
      <c r="D8479" t="str">
        <f>TEST_DATA!D8479</f>
        <v>NIL</v>
      </c>
      <c r="E8479">
        <f>TEST_DATA!E8479</f>
        <v>2663</v>
      </c>
    </row>
    <row r="8480" spans="1:5" x14ac:dyDescent="0.55000000000000004">
      <c r="A8480" t="str">
        <f>TEST_DATA!A8480</f>
        <v>27AAAAA8480Z5</v>
      </c>
      <c r="B8480" t="str">
        <f>TEST_DATA!B8480</f>
        <v>Apr-2021</v>
      </c>
      <c r="C8480">
        <f>TEST_DATA!C8480</f>
        <v>45026</v>
      </c>
      <c r="D8480" t="str">
        <f>TEST_DATA!D8480</f>
        <v>NON-NIL</v>
      </c>
      <c r="E8480">
        <f>TEST_DATA!E8480</f>
        <v>598</v>
      </c>
    </row>
    <row r="8481" spans="1:5" x14ac:dyDescent="0.55000000000000004">
      <c r="A8481" t="str">
        <f>TEST_DATA!A8481</f>
        <v>27AAAAA8481Z5</v>
      </c>
      <c r="B8481" t="str">
        <f>TEST_DATA!B8481</f>
        <v>Jul-2017</v>
      </c>
      <c r="C8481">
        <f>TEST_DATA!C8481</f>
        <v>44000</v>
      </c>
      <c r="D8481" t="str">
        <f>TEST_DATA!D8481</f>
        <v>NIL</v>
      </c>
      <c r="E8481">
        <f>TEST_DATA!E8481</f>
        <v>2586</v>
      </c>
    </row>
    <row r="8482" spans="1:5" x14ac:dyDescent="0.55000000000000004">
      <c r="A8482" t="str">
        <f>TEST_DATA!A8482</f>
        <v>27AAAAA8482Z5</v>
      </c>
      <c r="B8482" t="str">
        <f>TEST_DATA!B8482</f>
        <v>Mar-2018</v>
      </c>
      <c r="C8482">
        <f>TEST_DATA!C8482</f>
        <v>43933</v>
      </c>
      <c r="D8482" t="str">
        <f>TEST_DATA!D8482</f>
        <v>NIL</v>
      </c>
      <c r="E8482">
        <f>TEST_DATA!E8482</f>
        <v>15</v>
      </c>
    </row>
    <row r="8483" spans="1:5" x14ac:dyDescent="0.55000000000000004">
      <c r="A8483" t="str">
        <f>TEST_DATA!A8483</f>
        <v>27AAAAA8483Z5</v>
      </c>
      <c r="B8483" t="str">
        <f>TEST_DATA!B8483</f>
        <v>Jul-2017</v>
      </c>
      <c r="C8483">
        <f>TEST_DATA!C8483</f>
        <v>43624</v>
      </c>
      <c r="D8483" t="str">
        <f>TEST_DATA!D8483</f>
        <v>NIL</v>
      </c>
      <c r="E8483">
        <f>TEST_DATA!E8483</f>
        <v>569</v>
      </c>
    </row>
    <row r="8484" spans="1:5" x14ac:dyDescent="0.55000000000000004">
      <c r="A8484" t="str">
        <f>TEST_DATA!A8484</f>
        <v>27AAAAA8484Z5</v>
      </c>
      <c r="B8484" t="str">
        <f>TEST_DATA!B8484</f>
        <v>Jun-2020</v>
      </c>
      <c r="C8484">
        <f>TEST_DATA!C8484</f>
        <v>44551</v>
      </c>
      <c r="D8484" t="str">
        <f>TEST_DATA!D8484</f>
        <v>NON-NIL</v>
      </c>
      <c r="E8484">
        <f>TEST_DATA!E8484</f>
        <v>530</v>
      </c>
    </row>
    <row r="8485" spans="1:5" x14ac:dyDescent="0.55000000000000004">
      <c r="A8485" t="str">
        <f>TEST_DATA!A8485</f>
        <v>27AAAAA8485Z5</v>
      </c>
      <c r="B8485" t="str">
        <f>TEST_DATA!B8485</f>
        <v>Mar-2021</v>
      </c>
      <c r="C8485">
        <f>TEST_DATA!C8485</f>
        <v>44009</v>
      </c>
      <c r="D8485" t="str">
        <f>TEST_DATA!D8485</f>
        <v>NON-NIL</v>
      </c>
      <c r="E8485">
        <f>TEST_DATA!E8485</f>
        <v>201</v>
      </c>
    </row>
    <row r="8486" spans="1:5" x14ac:dyDescent="0.55000000000000004">
      <c r="A8486" t="str">
        <f>TEST_DATA!A8486</f>
        <v>27AAAAA8486Z5</v>
      </c>
      <c r="B8486" t="str">
        <f>TEST_DATA!B8486</f>
        <v>Jul-2020</v>
      </c>
      <c r="C8486">
        <f>TEST_DATA!C8486</f>
        <v>44243</v>
      </c>
      <c r="D8486" t="str">
        <f>TEST_DATA!D8486</f>
        <v>NIL</v>
      </c>
      <c r="E8486">
        <f>TEST_DATA!E8486</f>
        <v>597</v>
      </c>
    </row>
    <row r="8487" spans="1:5" x14ac:dyDescent="0.55000000000000004">
      <c r="A8487" t="str">
        <f>TEST_DATA!A8487</f>
        <v>27AAAAA8487Z5</v>
      </c>
      <c r="B8487" t="str">
        <f>TEST_DATA!B8487</f>
        <v>Jul-2017</v>
      </c>
      <c r="C8487">
        <f>TEST_DATA!C8487</f>
        <v>43012</v>
      </c>
      <c r="D8487" t="str">
        <f>TEST_DATA!D8487</f>
        <v>NON-NIL</v>
      </c>
      <c r="E8487">
        <f>TEST_DATA!E8487</f>
        <v>1094</v>
      </c>
    </row>
    <row r="8488" spans="1:5" x14ac:dyDescent="0.55000000000000004">
      <c r="A8488" t="str">
        <f>TEST_DATA!A8488</f>
        <v>27AAAAA8488Z5</v>
      </c>
      <c r="B8488" t="str">
        <f>TEST_DATA!B8488</f>
        <v>Dec-2019</v>
      </c>
      <c r="C8488">
        <f>TEST_DATA!C8488</f>
        <v>44857</v>
      </c>
      <c r="D8488" t="str">
        <f>TEST_DATA!D8488</f>
        <v>NON-NIL</v>
      </c>
      <c r="E8488">
        <f>TEST_DATA!E8488</f>
        <v>527</v>
      </c>
    </row>
    <row r="8489" spans="1:5" x14ac:dyDescent="0.55000000000000004">
      <c r="A8489" t="str">
        <f>TEST_DATA!A8489</f>
        <v>27AAAAA8489Z5</v>
      </c>
      <c r="B8489" t="str">
        <f>TEST_DATA!B8489</f>
        <v>Mar-2018</v>
      </c>
      <c r="C8489">
        <f>TEST_DATA!C8489</f>
        <v>43308</v>
      </c>
      <c r="D8489" t="str">
        <f>TEST_DATA!D8489</f>
        <v>NON-NIL</v>
      </c>
      <c r="E8489">
        <f>TEST_DATA!E8489</f>
        <v>500</v>
      </c>
    </row>
    <row r="8490" spans="1:5" x14ac:dyDescent="0.55000000000000004">
      <c r="A8490" t="str">
        <f>TEST_DATA!A8490</f>
        <v>27AAAAA8490Z5</v>
      </c>
      <c r="B8490" t="str">
        <f>TEST_DATA!B8490</f>
        <v>Nov-2017</v>
      </c>
      <c r="C8490">
        <f>TEST_DATA!C8490</f>
        <v>44166</v>
      </c>
      <c r="D8490" t="str">
        <f>TEST_DATA!D8490</f>
        <v>NON-NIL</v>
      </c>
      <c r="E8490">
        <f>TEST_DATA!E8490</f>
        <v>361</v>
      </c>
    </row>
    <row r="8491" spans="1:5" x14ac:dyDescent="0.55000000000000004">
      <c r="A8491" t="str">
        <f>TEST_DATA!A8491</f>
        <v>27AAAAA8491Z5</v>
      </c>
      <c r="B8491" t="str">
        <f>TEST_DATA!B8491</f>
        <v>Apr-2018</v>
      </c>
      <c r="C8491">
        <f>TEST_DATA!C8491</f>
        <v>43602</v>
      </c>
      <c r="D8491" t="str">
        <f>TEST_DATA!D8491</f>
        <v>NIL</v>
      </c>
      <c r="E8491">
        <f>TEST_DATA!E8491</f>
        <v>2937</v>
      </c>
    </row>
    <row r="8492" spans="1:5" x14ac:dyDescent="0.55000000000000004">
      <c r="A8492" t="str">
        <f>TEST_DATA!A8492</f>
        <v>27AAAAA8492Z5</v>
      </c>
      <c r="B8492" t="str">
        <f>TEST_DATA!B8492</f>
        <v>Apr-2021</v>
      </c>
      <c r="C8492">
        <f>TEST_DATA!C8492</f>
        <v>43649</v>
      </c>
      <c r="D8492" t="str">
        <f>TEST_DATA!D8492</f>
        <v>NON-NIL</v>
      </c>
      <c r="E8492">
        <f>TEST_DATA!E8492</f>
        <v>2772</v>
      </c>
    </row>
    <row r="8493" spans="1:5" x14ac:dyDescent="0.55000000000000004">
      <c r="A8493" t="str">
        <f>TEST_DATA!A8493</f>
        <v>27AAAAA8493Z5</v>
      </c>
      <c r="B8493" t="str">
        <f>TEST_DATA!B8493</f>
        <v>Jun-2019</v>
      </c>
      <c r="C8493">
        <f>TEST_DATA!C8493</f>
        <v>43560</v>
      </c>
      <c r="D8493" t="str">
        <f>TEST_DATA!D8493</f>
        <v>NIL</v>
      </c>
      <c r="E8493">
        <f>TEST_DATA!E8493</f>
        <v>2587</v>
      </c>
    </row>
    <row r="8494" spans="1:5" x14ac:dyDescent="0.55000000000000004">
      <c r="A8494" t="str">
        <f>TEST_DATA!A8494</f>
        <v>27AAAAA8494Z5</v>
      </c>
      <c r="B8494" t="str">
        <f>TEST_DATA!B8494</f>
        <v>Jun-2019</v>
      </c>
      <c r="C8494">
        <f>TEST_DATA!C8494</f>
        <v>45102</v>
      </c>
      <c r="D8494" t="str">
        <f>TEST_DATA!D8494</f>
        <v>NIL</v>
      </c>
      <c r="E8494">
        <f>TEST_DATA!E8494</f>
        <v>1556</v>
      </c>
    </row>
    <row r="8495" spans="1:5" x14ac:dyDescent="0.55000000000000004">
      <c r="A8495" t="str">
        <f>TEST_DATA!A8495</f>
        <v>27AAAAA8495Z5</v>
      </c>
      <c r="B8495" t="str">
        <f>TEST_DATA!B8495</f>
        <v>Aug-2017</v>
      </c>
      <c r="C8495">
        <f>TEST_DATA!C8495</f>
        <v>43506</v>
      </c>
      <c r="D8495" t="str">
        <f>TEST_DATA!D8495</f>
        <v>NIL</v>
      </c>
      <c r="E8495">
        <f>TEST_DATA!E8495</f>
        <v>710</v>
      </c>
    </row>
    <row r="8496" spans="1:5" x14ac:dyDescent="0.55000000000000004">
      <c r="A8496" t="str">
        <f>TEST_DATA!A8496</f>
        <v>27AAAAA8496Z5</v>
      </c>
      <c r="B8496" t="str">
        <f>TEST_DATA!B8496</f>
        <v>Apr-2021</v>
      </c>
      <c r="C8496">
        <f>TEST_DATA!C8496</f>
        <v>44211</v>
      </c>
      <c r="D8496" t="str">
        <f>TEST_DATA!D8496</f>
        <v>NON-NIL</v>
      </c>
      <c r="E8496">
        <f>TEST_DATA!E8496</f>
        <v>52</v>
      </c>
    </row>
    <row r="8497" spans="1:5" x14ac:dyDescent="0.55000000000000004">
      <c r="A8497" t="str">
        <f>TEST_DATA!A8497</f>
        <v>27AAAAA8497Z5</v>
      </c>
      <c r="B8497" t="str">
        <f>TEST_DATA!B8497</f>
        <v>Aug-2018</v>
      </c>
      <c r="C8497">
        <f>TEST_DATA!C8497</f>
        <v>44520</v>
      </c>
      <c r="D8497" t="str">
        <f>TEST_DATA!D8497</f>
        <v>NON-NIL</v>
      </c>
      <c r="E8497">
        <f>TEST_DATA!E8497</f>
        <v>1230</v>
      </c>
    </row>
    <row r="8498" spans="1:5" x14ac:dyDescent="0.55000000000000004">
      <c r="A8498" t="str">
        <f>TEST_DATA!A8498</f>
        <v>27AAAAA8498Z5</v>
      </c>
      <c r="B8498" t="str">
        <f>TEST_DATA!B8498</f>
        <v>Dec-2024</v>
      </c>
      <c r="C8498">
        <f>TEST_DATA!C8498</f>
        <v>45420</v>
      </c>
      <c r="D8498" t="str">
        <f>TEST_DATA!D8498</f>
        <v>NON-NIL</v>
      </c>
      <c r="E8498">
        <f>TEST_DATA!E8498</f>
        <v>1847</v>
      </c>
    </row>
    <row r="8499" spans="1:5" x14ac:dyDescent="0.55000000000000004">
      <c r="A8499" t="str">
        <f>TEST_DATA!A8499</f>
        <v>27AAAAA8499Z5</v>
      </c>
      <c r="B8499" t="str">
        <f>TEST_DATA!B8499</f>
        <v>Apr-2021</v>
      </c>
      <c r="C8499">
        <f>TEST_DATA!C8499</f>
        <v>45100</v>
      </c>
      <c r="D8499" t="str">
        <f>TEST_DATA!D8499</f>
        <v>NON-NIL</v>
      </c>
      <c r="E8499">
        <f>TEST_DATA!E8499</f>
        <v>170</v>
      </c>
    </row>
    <row r="8500" spans="1:5" x14ac:dyDescent="0.55000000000000004">
      <c r="A8500" t="str">
        <f>TEST_DATA!A8500</f>
        <v>27AAAAA8500Z5</v>
      </c>
      <c r="B8500" t="str">
        <f>TEST_DATA!B8500</f>
        <v>Jul-2020</v>
      </c>
      <c r="C8500">
        <f>TEST_DATA!C8500</f>
        <v>43878</v>
      </c>
      <c r="D8500" t="str">
        <f>TEST_DATA!D8500</f>
        <v>NON-NIL</v>
      </c>
      <c r="E8500">
        <f>TEST_DATA!E8500</f>
        <v>341</v>
      </c>
    </row>
    <row r="8501" spans="1:5" x14ac:dyDescent="0.55000000000000004">
      <c r="A8501" t="str">
        <f>TEST_DATA!A8501</f>
        <v>27AAAAA8501Z5</v>
      </c>
      <c r="B8501" t="str">
        <f>TEST_DATA!B8501</f>
        <v>May-2020</v>
      </c>
      <c r="C8501">
        <f>TEST_DATA!C8501</f>
        <v>44860</v>
      </c>
      <c r="D8501" t="str">
        <f>TEST_DATA!D8501</f>
        <v>NON-NIL</v>
      </c>
      <c r="E8501">
        <f>TEST_DATA!E8501</f>
        <v>1784</v>
      </c>
    </row>
    <row r="8502" spans="1:5" x14ac:dyDescent="0.55000000000000004">
      <c r="A8502" t="str">
        <f>TEST_DATA!A8502</f>
        <v>27AAAAA8502Z5</v>
      </c>
      <c r="B8502" t="str">
        <f>TEST_DATA!B8502</f>
        <v>Jul-2018</v>
      </c>
      <c r="C8502">
        <f>TEST_DATA!C8502</f>
        <v>44325</v>
      </c>
      <c r="D8502" t="str">
        <f>TEST_DATA!D8502</f>
        <v>NON-NIL</v>
      </c>
      <c r="E8502">
        <f>TEST_DATA!E8502</f>
        <v>836</v>
      </c>
    </row>
    <row r="8503" spans="1:5" x14ac:dyDescent="0.55000000000000004">
      <c r="A8503" t="str">
        <f>TEST_DATA!A8503</f>
        <v>27AAAAA8503Z5</v>
      </c>
      <c r="B8503" t="str">
        <f>TEST_DATA!B8503</f>
        <v>Aug-2017</v>
      </c>
      <c r="C8503">
        <f>TEST_DATA!C8503</f>
        <v>43109</v>
      </c>
      <c r="D8503" t="str">
        <f>TEST_DATA!D8503</f>
        <v>NON-NIL</v>
      </c>
      <c r="E8503">
        <f>TEST_DATA!E8503</f>
        <v>1348</v>
      </c>
    </row>
    <row r="8504" spans="1:5" x14ac:dyDescent="0.55000000000000004">
      <c r="A8504" t="str">
        <f>TEST_DATA!A8504</f>
        <v>27AAAAA8504Z5</v>
      </c>
      <c r="B8504" t="str">
        <f>TEST_DATA!B8504</f>
        <v>May-2020</v>
      </c>
      <c r="C8504">
        <f>TEST_DATA!C8504</f>
        <v>44556</v>
      </c>
      <c r="D8504" t="str">
        <f>TEST_DATA!D8504</f>
        <v>NON-NIL</v>
      </c>
      <c r="E8504">
        <f>TEST_DATA!E8504</f>
        <v>551</v>
      </c>
    </row>
    <row r="8505" spans="1:5" x14ac:dyDescent="0.55000000000000004">
      <c r="A8505" t="str">
        <f>TEST_DATA!A8505</f>
        <v>27AAAAA8505Z5</v>
      </c>
      <c r="B8505" t="str">
        <f>TEST_DATA!B8505</f>
        <v>Feb-2018</v>
      </c>
      <c r="C8505">
        <f>TEST_DATA!C8505</f>
        <v>43971</v>
      </c>
      <c r="D8505" t="str">
        <f>TEST_DATA!D8505</f>
        <v>NON-NIL</v>
      </c>
      <c r="E8505">
        <f>TEST_DATA!E8505</f>
        <v>2174</v>
      </c>
    </row>
    <row r="8506" spans="1:5" x14ac:dyDescent="0.55000000000000004">
      <c r="A8506" t="str">
        <f>TEST_DATA!A8506</f>
        <v>27AAAAA8506Z5</v>
      </c>
      <c r="B8506" t="str">
        <f>TEST_DATA!B8506</f>
        <v>Jun-2019</v>
      </c>
      <c r="C8506">
        <f>TEST_DATA!C8506</f>
        <v>45556</v>
      </c>
      <c r="D8506" t="str">
        <f>TEST_DATA!D8506</f>
        <v>NON-NIL</v>
      </c>
      <c r="E8506">
        <f>TEST_DATA!E8506</f>
        <v>2981</v>
      </c>
    </row>
    <row r="8507" spans="1:5" x14ac:dyDescent="0.55000000000000004">
      <c r="A8507" t="str">
        <f>TEST_DATA!A8507</f>
        <v>27AAAAA8507Z5</v>
      </c>
      <c r="B8507" t="str">
        <f>TEST_DATA!B8507</f>
        <v>Dec-2024</v>
      </c>
      <c r="C8507">
        <f>TEST_DATA!C8507</f>
        <v>45026</v>
      </c>
      <c r="D8507" t="str">
        <f>TEST_DATA!D8507</f>
        <v>NON-NIL</v>
      </c>
      <c r="E8507">
        <f>TEST_DATA!E8507</f>
        <v>1743</v>
      </c>
    </row>
    <row r="8508" spans="1:5" x14ac:dyDescent="0.55000000000000004">
      <c r="A8508" t="str">
        <f>TEST_DATA!A8508</f>
        <v>27AAAAA8508Z5</v>
      </c>
      <c r="B8508" t="str">
        <f>TEST_DATA!B8508</f>
        <v>Jul-2020</v>
      </c>
      <c r="C8508">
        <f>TEST_DATA!C8508</f>
        <v>44317</v>
      </c>
      <c r="D8508" t="str">
        <f>TEST_DATA!D8508</f>
        <v>NIL</v>
      </c>
      <c r="E8508">
        <f>TEST_DATA!E8508</f>
        <v>843</v>
      </c>
    </row>
    <row r="8509" spans="1:5" x14ac:dyDescent="0.55000000000000004">
      <c r="A8509" t="str">
        <f>TEST_DATA!A8509</f>
        <v>27AAAAA8509Z5</v>
      </c>
      <c r="B8509" t="str">
        <f>TEST_DATA!B8509</f>
        <v>Jul-2018</v>
      </c>
      <c r="C8509">
        <f>TEST_DATA!C8509</f>
        <v>44266</v>
      </c>
      <c r="D8509" t="str">
        <f>TEST_DATA!D8509</f>
        <v>NIL</v>
      </c>
      <c r="E8509">
        <f>TEST_DATA!E8509</f>
        <v>1706</v>
      </c>
    </row>
    <row r="8510" spans="1:5" x14ac:dyDescent="0.55000000000000004">
      <c r="A8510" t="str">
        <f>TEST_DATA!A8510</f>
        <v>27AAAAA8510Z5</v>
      </c>
      <c r="B8510" t="str">
        <f>TEST_DATA!B8510</f>
        <v>May-2020</v>
      </c>
      <c r="C8510">
        <f>TEST_DATA!C8510</f>
        <v>44093</v>
      </c>
      <c r="D8510" t="str">
        <f>TEST_DATA!D8510</f>
        <v>NIL</v>
      </c>
      <c r="E8510">
        <f>TEST_DATA!E8510</f>
        <v>2423</v>
      </c>
    </row>
    <row r="8511" spans="1:5" x14ac:dyDescent="0.55000000000000004">
      <c r="A8511" t="str">
        <f>TEST_DATA!A8511</f>
        <v>27AAAAA8511Z5</v>
      </c>
      <c r="B8511" t="str">
        <f>TEST_DATA!B8511</f>
        <v>Jul-2017</v>
      </c>
      <c r="C8511">
        <f>TEST_DATA!C8511</f>
        <v>43097</v>
      </c>
      <c r="D8511" t="str">
        <f>TEST_DATA!D8511</f>
        <v>NIL</v>
      </c>
      <c r="E8511">
        <f>TEST_DATA!E8511</f>
        <v>2977</v>
      </c>
    </row>
    <row r="8512" spans="1:5" x14ac:dyDescent="0.55000000000000004">
      <c r="A8512" t="str">
        <f>TEST_DATA!A8512</f>
        <v>27AAAAA8512Z5</v>
      </c>
      <c r="B8512" t="str">
        <f>TEST_DATA!B8512</f>
        <v>Mar-2023</v>
      </c>
      <c r="C8512">
        <f>TEST_DATA!C8512</f>
        <v>44258</v>
      </c>
      <c r="D8512" t="str">
        <f>TEST_DATA!D8512</f>
        <v>NON-NIL</v>
      </c>
      <c r="E8512">
        <f>TEST_DATA!E8512</f>
        <v>37</v>
      </c>
    </row>
    <row r="8513" spans="1:5" x14ac:dyDescent="0.55000000000000004">
      <c r="A8513" t="str">
        <f>TEST_DATA!A8513</f>
        <v>27AAAAA8513Z5</v>
      </c>
      <c r="B8513" t="str">
        <f>TEST_DATA!B8513</f>
        <v>Mar-2018</v>
      </c>
      <c r="C8513">
        <f>TEST_DATA!C8513</f>
        <v>43904</v>
      </c>
      <c r="D8513" t="str">
        <f>TEST_DATA!D8513</f>
        <v>NON-NIL</v>
      </c>
      <c r="E8513">
        <f>TEST_DATA!E8513</f>
        <v>2725</v>
      </c>
    </row>
    <row r="8514" spans="1:5" x14ac:dyDescent="0.55000000000000004">
      <c r="A8514" t="str">
        <f>TEST_DATA!A8514</f>
        <v>27AAAAA8514Z5</v>
      </c>
      <c r="B8514" t="str">
        <f>TEST_DATA!B8514</f>
        <v>Mar-2021</v>
      </c>
      <c r="C8514">
        <f>TEST_DATA!C8514</f>
        <v>45297</v>
      </c>
      <c r="D8514" t="str">
        <f>TEST_DATA!D8514</f>
        <v>NIL</v>
      </c>
      <c r="E8514">
        <f>TEST_DATA!E8514</f>
        <v>2365</v>
      </c>
    </row>
    <row r="8515" spans="1:5" x14ac:dyDescent="0.55000000000000004">
      <c r="A8515" t="str">
        <f>TEST_DATA!A8515</f>
        <v>27AAAAA8515Z5</v>
      </c>
      <c r="B8515" t="str">
        <f>TEST_DATA!B8515</f>
        <v>Apr-2020</v>
      </c>
      <c r="C8515">
        <f>TEST_DATA!C8515</f>
        <v>43862</v>
      </c>
      <c r="D8515" t="str">
        <f>TEST_DATA!D8515</f>
        <v>NIL</v>
      </c>
      <c r="E8515">
        <f>TEST_DATA!E8515</f>
        <v>2084</v>
      </c>
    </row>
    <row r="8516" spans="1:5" x14ac:dyDescent="0.55000000000000004">
      <c r="A8516" t="str">
        <f>TEST_DATA!A8516</f>
        <v>27AAAAA8516Z5</v>
      </c>
      <c r="B8516" t="str">
        <f>TEST_DATA!B8516</f>
        <v>Jul-2017</v>
      </c>
      <c r="C8516">
        <f>TEST_DATA!C8516</f>
        <v>43341</v>
      </c>
      <c r="D8516" t="str">
        <f>TEST_DATA!D8516</f>
        <v>NON-NIL</v>
      </c>
      <c r="E8516">
        <f>TEST_DATA!E8516</f>
        <v>496</v>
      </c>
    </row>
    <row r="8517" spans="1:5" x14ac:dyDescent="0.55000000000000004">
      <c r="A8517" t="str">
        <f>TEST_DATA!A8517</f>
        <v>27AAAAA8517Z5</v>
      </c>
      <c r="B8517" t="str">
        <f>TEST_DATA!B8517</f>
        <v>Mar-2021</v>
      </c>
      <c r="C8517">
        <f>TEST_DATA!C8517</f>
        <v>44516</v>
      </c>
      <c r="D8517" t="str">
        <f>TEST_DATA!D8517</f>
        <v>NON-NIL</v>
      </c>
      <c r="E8517">
        <f>TEST_DATA!E8517</f>
        <v>2989</v>
      </c>
    </row>
    <row r="8518" spans="1:5" x14ac:dyDescent="0.55000000000000004">
      <c r="A8518" t="str">
        <f>TEST_DATA!A8518</f>
        <v>27AAAAA8518Z5</v>
      </c>
      <c r="B8518" t="str">
        <f>TEST_DATA!B8518</f>
        <v>Feb-2018</v>
      </c>
      <c r="C8518">
        <f>TEST_DATA!C8518</f>
        <v>44064</v>
      </c>
      <c r="D8518" t="str">
        <f>TEST_DATA!D8518</f>
        <v>NIL</v>
      </c>
      <c r="E8518">
        <f>TEST_DATA!E8518</f>
        <v>2941</v>
      </c>
    </row>
    <row r="8519" spans="1:5" x14ac:dyDescent="0.55000000000000004">
      <c r="A8519" t="str">
        <f>TEST_DATA!A8519</f>
        <v>27AAAAA8519Z5</v>
      </c>
      <c r="B8519" t="str">
        <f>TEST_DATA!B8519</f>
        <v>Mar-2020</v>
      </c>
      <c r="C8519">
        <f>TEST_DATA!C8519</f>
        <v>44424</v>
      </c>
      <c r="D8519" t="str">
        <f>TEST_DATA!D8519</f>
        <v>NON-NIL</v>
      </c>
      <c r="E8519">
        <f>TEST_DATA!E8519</f>
        <v>300</v>
      </c>
    </row>
    <row r="8520" spans="1:5" x14ac:dyDescent="0.55000000000000004">
      <c r="A8520" t="str">
        <f>TEST_DATA!A8520</f>
        <v>27AAAAA8520Z5</v>
      </c>
      <c r="B8520" t="str">
        <f>TEST_DATA!B8520</f>
        <v>Mar-2020</v>
      </c>
      <c r="C8520">
        <f>TEST_DATA!C8520</f>
        <v>44080</v>
      </c>
      <c r="D8520" t="str">
        <f>TEST_DATA!D8520</f>
        <v>NON-NIL</v>
      </c>
      <c r="E8520">
        <f>TEST_DATA!E8520</f>
        <v>1882</v>
      </c>
    </row>
    <row r="8521" spans="1:5" x14ac:dyDescent="0.55000000000000004">
      <c r="A8521" t="str">
        <f>TEST_DATA!A8521</f>
        <v>27AAAAA8521Z5</v>
      </c>
      <c r="B8521" t="str">
        <f>TEST_DATA!B8521</f>
        <v>Apr-2021</v>
      </c>
      <c r="C8521">
        <f>TEST_DATA!C8521</f>
        <v>45773</v>
      </c>
      <c r="D8521" t="str">
        <f>TEST_DATA!D8521</f>
        <v>NIL</v>
      </c>
      <c r="E8521">
        <f>TEST_DATA!E8521</f>
        <v>1481</v>
      </c>
    </row>
    <row r="8522" spans="1:5" x14ac:dyDescent="0.55000000000000004">
      <c r="A8522" t="str">
        <f>TEST_DATA!A8522</f>
        <v>27AAAAA8522Z5</v>
      </c>
      <c r="B8522" t="str">
        <f>TEST_DATA!B8522</f>
        <v>Feb-2018</v>
      </c>
      <c r="C8522">
        <f>TEST_DATA!C8522</f>
        <v>43547</v>
      </c>
      <c r="D8522" t="str">
        <f>TEST_DATA!D8522</f>
        <v>NON-NIL</v>
      </c>
      <c r="E8522">
        <f>TEST_DATA!E8522</f>
        <v>524</v>
      </c>
    </row>
    <row r="8523" spans="1:5" x14ac:dyDescent="0.55000000000000004">
      <c r="A8523" t="str">
        <f>TEST_DATA!A8523</f>
        <v>27AAAAA8523Z5</v>
      </c>
      <c r="B8523" t="str">
        <f>TEST_DATA!B8523</f>
        <v>Dec-2019</v>
      </c>
      <c r="C8523">
        <f>TEST_DATA!C8523</f>
        <v>44446</v>
      </c>
      <c r="D8523" t="str">
        <f>TEST_DATA!D8523</f>
        <v>NON-NIL</v>
      </c>
      <c r="E8523">
        <f>TEST_DATA!E8523</f>
        <v>380</v>
      </c>
    </row>
    <row r="8524" spans="1:5" x14ac:dyDescent="0.55000000000000004">
      <c r="A8524" t="str">
        <f>TEST_DATA!A8524</f>
        <v>27AAAAA8524Z5</v>
      </c>
      <c r="B8524" t="str">
        <f>TEST_DATA!B8524</f>
        <v>Jan-2021</v>
      </c>
      <c r="C8524">
        <f>TEST_DATA!C8524</f>
        <v>45140</v>
      </c>
      <c r="D8524" t="str">
        <f>TEST_DATA!D8524</f>
        <v>NON-NIL</v>
      </c>
      <c r="E8524">
        <f>TEST_DATA!E8524</f>
        <v>880</v>
      </c>
    </row>
    <row r="8525" spans="1:5" x14ac:dyDescent="0.55000000000000004">
      <c r="A8525" t="str">
        <f>TEST_DATA!A8525</f>
        <v>27AAAAA8525Z5</v>
      </c>
      <c r="B8525" t="str">
        <f>TEST_DATA!B8525</f>
        <v>May-2020</v>
      </c>
      <c r="C8525">
        <f>TEST_DATA!C8525</f>
        <v>43946</v>
      </c>
      <c r="D8525" t="str">
        <f>TEST_DATA!D8525</f>
        <v>NON-NIL</v>
      </c>
      <c r="E8525">
        <f>TEST_DATA!E8525</f>
        <v>2984</v>
      </c>
    </row>
    <row r="8526" spans="1:5" x14ac:dyDescent="0.55000000000000004">
      <c r="A8526" t="str">
        <f>TEST_DATA!A8526</f>
        <v>27AAAAA8526Z5</v>
      </c>
      <c r="B8526" t="str">
        <f>TEST_DATA!B8526</f>
        <v>Feb-2018</v>
      </c>
      <c r="C8526">
        <f>TEST_DATA!C8526</f>
        <v>43175</v>
      </c>
      <c r="D8526" t="str">
        <f>TEST_DATA!D8526</f>
        <v>NON-NIL</v>
      </c>
      <c r="E8526">
        <f>TEST_DATA!E8526</f>
        <v>2021</v>
      </c>
    </row>
    <row r="8527" spans="1:5" x14ac:dyDescent="0.55000000000000004">
      <c r="A8527" t="str">
        <f>TEST_DATA!A8527</f>
        <v>27AAAAA8527Z5</v>
      </c>
      <c r="B8527" t="str">
        <f>TEST_DATA!B8527</f>
        <v>Jul-2017</v>
      </c>
      <c r="C8527">
        <f>TEST_DATA!C8527</f>
        <v>44056</v>
      </c>
      <c r="D8527" t="str">
        <f>TEST_DATA!D8527</f>
        <v>NON-NIL</v>
      </c>
      <c r="E8527">
        <f>TEST_DATA!E8527</f>
        <v>2091</v>
      </c>
    </row>
    <row r="8528" spans="1:5" x14ac:dyDescent="0.55000000000000004">
      <c r="A8528" t="str">
        <f>TEST_DATA!A8528</f>
        <v>27AAAAA8528Z5</v>
      </c>
      <c r="B8528" t="str">
        <f>TEST_DATA!B8528</f>
        <v>Mar-2021</v>
      </c>
      <c r="C8528">
        <f>TEST_DATA!C8528</f>
        <v>45583</v>
      </c>
      <c r="D8528" t="str">
        <f>TEST_DATA!D8528</f>
        <v>NON-NIL</v>
      </c>
      <c r="E8528">
        <f>TEST_DATA!E8528</f>
        <v>2567</v>
      </c>
    </row>
    <row r="8529" spans="1:5" x14ac:dyDescent="0.55000000000000004">
      <c r="A8529" t="str">
        <f>TEST_DATA!A8529</f>
        <v>27AAAAA8529Z5</v>
      </c>
      <c r="B8529" t="str">
        <f>TEST_DATA!B8529</f>
        <v>Jun-2019</v>
      </c>
      <c r="C8529">
        <f>TEST_DATA!C8529</f>
        <v>45161</v>
      </c>
      <c r="D8529" t="str">
        <f>TEST_DATA!D8529</f>
        <v>NON-NIL</v>
      </c>
      <c r="E8529">
        <f>TEST_DATA!E8529</f>
        <v>1556</v>
      </c>
    </row>
    <row r="8530" spans="1:5" x14ac:dyDescent="0.55000000000000004">
      <c r="A8530" t="str">
        <f>TEST_DATA!A8530</f>
        <v>27AAAAA8530Z5</v>
      </c>
      <c r="B8530" t="str">
        <f>TEST_DATA!B8530</f>
        <v>Jul-2020</v>
      </c>
      <c r="C8530">
        <f>TEST_DATA!C8530</f>
        <v>44136</v>
      </c>
      <c r="D8530" t="str">
        <f>TEST_DATA!D8530</f>
        <v>NIL</v>
      </c>
      <c r="E8530">
        <f>TEST_DATA!E8530</f>
        <v>1505</v>
      </c>
    </row>
    <row r="8531" spans="1:5" x14ac:dyDescent="0.55000000000000004">
      <c r="A8531" t="str">
        <f>TEST_DATA!A8531</f>
        <v>27AAAAA8531Z5</v>
      </c>
      <c r="B8531" t="str">
        <f>TEST_DATA!B8531</f>
        <v>Mar-2021</v>
      </c>
      <c r="C8531">
        <f>TEST_DATA!C8531</f>
        <v>45656</v>
      </c>
      <c r="D8531" t="str">
        <f>TEST_DATA!D8531</f>
        <v>NIL</v>
      </c>
      <c r="E8531">
        <f>TEST_DATA!E8531</f>
        <v>650</v>
      </c>
    </row>
    <row r="8532" spans="1:5" x14ac:dyDescent="0.55000000000000004">
      <c r="A8532" t="str">
        <f>TEST_DATA!A8532</f>
        <v>27AAAAA8532Z5</v>
      </c>
      <c r="B8532" t="str">
        <f>TEST_DATA!B8532</f>
        <v>Jun-2019</v>
      </c>
      <c r="C8532">
        <f>TEST_DATA!C8532</f>
        <v>44140</v>
      </c>
      <c r="D8532" t="str">
        <f>TEST_DATA!D8532</f>
        <v>NIL</v>
      </c>
      <c r="E8532">
        <f>TEST_DATA!E8532</f>
        <v>453</v>
      </c>
    </row>
    <row r="8533" spans="1:5" x14ac:dyDescent="0.55000000000000004">
      <c r="A8533" t="str">
        <f>TEST_DATA!A8533</f>
        <v>27AAAAA8533Z5</v>
      </c>
      <c r="B8533" t="str">
        <f>TEST_DATA!B8533</f>
        <v>Jun-2019</v>
      </c>
      <c r="C8533">
        <f>TEST_DATA!C8533</f>
        <v>44360</v>
      </c>
      <c r="D8533" t="str">
        <f>TEST_DATA!D8533</f>
        <v>NIL</v>
      </c>
      <c r="E8533">
        <f>TEST_DATA!E8533</f>
        <v>1005</v>
      </c>
    </row>
    <row r="8534" spans="1:5" x14ac:dyDescent="0.55000000000000004">
      <c r="A8534" t="str">
        <f>TEST_DATA!A8534</f>
        <v>27AAAAA8534Z5</v>
      </c>
      <c r="B8534" t="str">
        <f>TEST_DATA!B8534</f>
        <v>Jun-2018</v>
      </c>
      <c r="C8534">
        <f>TEST_DATA!C8534</f>
        <v>43346</v>
      </c>
      <c r="D8534" t="str">
        <f>TEST_DATA!D8534</f>
        <v>NIL</v>
      </c>
      <c r="E8534">
        <f>TEST_DATA!E8534</f>
        <v>1789</v>
      </c>
    </row>
    <row r="8535" spans="1:5" x14ac:dyDescent="0.55000000000000004">
      <c r="A8535" t="str">
        <f>TEST_DATA!A8535</f>
        <v>27AAAAA8535Z5</v>
      </c>
      <c r="B8535" t="str">
        <f>TEST_DATA!B8535</f>
        <v>Dec-2024</v>
      </c>
      <c r="C8535">
        <f>TEST_DATA!C8535</f>
        <v>45554</v>
      </c>
      <c r="D8535" t="str">
        <f>TEST_DATA!D8535</f>
        <v>NON-NIL</v>
      </c>
      <c r="E8535">
        <f>TEST_DATA!E8535</f>
        <v>1749</v>
      </c>
    </row>
    <row r="8536" spans="1:5" x14ac:dyDescent="0.55000000000000004">
      <c r="A8536" t="str">
        <f>TEST_DATA!A8536</f>
        <v>27AAAAA8536Z5</v>
      </c>
      <c r="B8536" t="str">
        <f>TEST_DATA!B8536</f>
        <v>Dec-2019</v>
      </c>
      <c r="C8536">
        <f>TEST_DATA!C8536</f>
        <v>44686</v>
      </c>
      <c r="D8536" t="str">
        <f>TEST_DATA!D8536</f>
        <v>NON-NIL</v>
      </c>
      <c r="E8536">
        <f>TEST_DATA!E8536</f>
        <v>1986</v>
      </c>
    </row>
    <row r="8537" spans="1:5" x14ac:dyDescent="0.55000000000000004">
      <c r="A8537" t="str">
        <f>TEST_DATA!A8537</f>
        <v>27AAAAA8537Z5</v>
      </c>
      <c r="B8537" t="str">
        <f>TEST_DATA!B8537</f>
        <v>Aug-2018</v>
      </c>
      <c r="C8537">
        <f>TEST_DATA!C8537</f>
        <v>44225</v>
      </c>
      <c r="D8537" t="str">
        <f>TEST_DATA!D8537</f>
        <v>NON-NIL</v>
      </c>
      <c r="E8537">
        <f>TEST_DATA!E8537</f>
        <v>2057</v>
      </c>
    </row>
    <row r="8538" spans="1:5" x14ac:dyDescent="0.55000000000000004">
      <c r="A8538" t="str">
        <f>TEST_DATA!A8538</f>
        <v>27AAAAA8538Z5</v>
      </c>
      <c r="B8538" t="str">
        <f>TEST_DATA!B8538</f>
        <v>Jul-2017</v>
      </c>
      <c r="C8538">
        <f>TEST_DATA!C8538</f>
        <v>44167</v>
      </c>
      <c r="D8538" t="str">
        <f>TEST_DATA!D8538</f>
        <v>NON-NIL</v>
      </c>
      <c r="E8538">
        <f>TEST_DATA!E8538</f>
        <v>1140</v>
      </c>
    </row>
    <row r="8539" spans="1:5" x14ac:dyDescent="0.55000000000000004">
      <c r="A8539" t="str">
        <f>TEST_DATA!A8539</f>
        <v>27AAAAA8539Z5</v>
      </c>
      <c r="B8539" t="str">
        <f>TEST_DATA!B8539</f>
        <v>May-2018</v>
      </c>
      <c r="C8539">
        <f>TEST_DATA!C8539</f>
        <v>44558</v>
      </c>
      <c r="D8539" t="str">
        <f>TEST_DATA!D8539</f>
        <v>NIL</v>
      </c>
      <c r="E8539">
        <f>TEST_DATA!E8539</f>
        <v>1964</v>
      </c>
    </row>
    <row r="8540" spans="1:5" x14ac:dyDescent="0.55000000000000004">
      <c r="A8540" t="str">
        <f>TEST_DATA!A8540</f>
        <v>27AAAAA8540Z5</v>
      </c>
      <c r="B8540" t="str">
        <f>TEST_DATA!B8540</f>
        <v>Mar-2018</v>
      </c>
      <c r="C8540">
        <f>TEST_DATA!C8540</f>
        <v>44420</v>
      </c>
      <c r="D8540" t="str">
        <f>TEST_DATA!D8540</f>
        <v>NON-NIL</v>
      </c>
      <c r="E8540">
        <f>TEST_DATA!E8540</f>
        <v>2353</v>
      </c>
    </row>
    <row r="8541" spans="1:5" x14ac:dyDescent="0.55000000000000004">
      <c r="A8541" t="str">
        <f>TEST_DATA!A8541</f>
        <v>27AAAAA8541Z5</v>
      </c>
      <c r="B8541" t="str">
        <f>TEST_DATA!B8541</f>
        <v>May-2018</v>
      </c>
      <c r="C8541">
        <f>TEST_DATA!C8541</f>
        <v>44094</v>
      </c>
      <c r="D8541" t="str">
        <f>TEST_DATA!D8541</f>
        <v>NON-NIL</v>
      </c>
      <c r="E8541">
        <f>TEST_DATA!E8541</f>
        <v>1371</v>
      </c>
    </row>
    <row r="8542" spans="1:5" x14ac:dyDescent="0.55000000000000004">
      <c r="A8542" t="str">
        <f>TEST_DATA!A8542</f>
        <v>27AAAAA8542Z5</v>
      </c>
      <c r="B8542" t="str">
        <f>TEST_DATA!B8542</f>
        <v>Nov-2017</v>
      </c>
      <c r="C8542">
        <f>TEST_DATA!C8542</f>
        <v>43079</v>
      </c>
      <c r="D8542" t="str">
        <f>TEST_DATA!D8542</f>
        <v>NIL</v>
      </c>
      <c r="E8542">
        <f>TEST_DATA!E8542</f>
        <v>1463</v>
      </c>
    </row>
    <row r="8543" spans="1:5" x14ac:dyDescent="0.55000000000000004">
      <c r="A8543" t="str">
        <f>TEST_DATA!A8543</f>
        <v>27AAAAA8543Z5</v>
      </c>
      <c r="B8543" t="str">
        <f>TEST_DATA!B8543</f>
        <v>May-2020</v>
      </c>
      <c r="C8543">
        <f>TEST_DATA!C8543</f>
        <v>44241</v>
      </c>
      <c r="D8543" t="str">
        <f>TEST_DATA!D8543</f>
        <v>NIL</v>
      </c>
      <c r="E8543">
        <f>TEST_DATA!E8543</f>
        <v>1956</v>
      </c>
    </row>
    <row r="8544" spans="1:5" x14ac:dyDescent="0.55000000000000004">
      <c r="A8544" t="str">
        <f>TEST_DATA!A8544</f>
        <v>27AAAAA8544Z5</v>
      </c>
      <c r="B8544" t="str">
        <f>TEST_DATA!B8544</f>
        <v>May-2018</v>
      </c>
      <c r="C8544">
        <f>TEST_DATA!C8544</f>
        <v>43622</v>
      </c>
      <c r="D8544" t="str">
        <f>TEST_DATA!D8544</f>
        <v>NON-NIL</v>
      </c>
      <c r="E8544">
        <f>TEST_DATA!E8544</f>
        <v>2456</v>
      </c>
    </row>
    <row r="8545" spans="1:5" x14ac:dyDescent="0.55000000000000004">
      <c r="A8545" t="str">
        <f>TEST_DATA!A8545</f>
        <v>27AAAAA8545Z5</v>
      </c>
      <c r="B8545" t="str">
        <f>TEST_DATA!B8545</f>
        <v>May-2020</v>
      </c>
      <c r="C8545">
        <f>TEST_DATA!C8545</f>
        <v>44155</v>
      </c>
      <c r="D8545" t="str">
        <f>TEST_DATA!D8545</f>
        <v>NON-NIL</v>
      </c>
      <c r="E8545">
        <f>TEST_DATA!E8545</f>
        <v>1124</v>
      </c>
    </row>
    <row r="8546" spans="1:5" x14ac:dyDescent="0.55000000000000004">
      <c r="A8546" t="str">
        <f>TEST_DATA!A8546</f>
        <v>27AAAAA8546Z5</v>
      </c>
      <c r="B8546" t="str">
        <f>TEST_DATA!B8546</f>
        <v>Dec-2019</v>
      </c>
      <c r="C8546">
        <f>TEST_DATA!C8546</f>
        <v>45339</v>
      </c>
      <c r="D8546" t="str">
        <f>TEST_DATA!D8546</f>
        <v>NON-NIL</v>
      </c>
      <c r="E8546">
        <f>TEST_DATA!E8546</f>
        <v>356</v>
      </c>
    </row>
    <row r="8547" spans="1:5" x14ac:dyDescent="0.55000000000000004">
      <c r="A8547" t="str">
        <f>TEST_DATA!A8547</f>
        <v>27AAAAA8547Z5</v>
      </c>
      <c r="B8547" t="str">
        <f>TEST_DATA!B8547</f>
        <v>Jun-2020</v>
      </c>
      <c r="C8547">
        <f>TEST_DATA!C8547</f>
        <v>43962</v>
      </c>
      <c r="D8547" t="str">
        <f>TEST_DATA!D8547</f>
        <v>NON-NIL</v>
      </c>
      <c r="E8547">
        <f>TEST_DATA!E8547</f>
        <v>2156</v>
      </c>
    </row>
    <row r="8548" spans="1:5" x14ac:dyDescent="0.55000000000000004">
      <c r="A8548" t="str">
        <f>TEST_DATA!A8548</f>
        <v>27AAAAA8548Z5</v>
      </c>
      <c r="B8548" t="str">
        <f>TEST_DATA!B8548</f>
        <v>Jul-2018</v>
      </c>
      <c r="C8548">
        <f>TEST_DATA!C8548</f>
        <v>44317</v>
      </c>
      <c r="D8548" t="str">
        <f>TEST_DATA!D8548</f>
        <v>NIL</v>
      </c>
      <c r="E8548">
        <f>TEST_DATA!E8548</f>
        <v>1755</v>
      </c>
    </row>
    <row r="8549" spans="1:5" x14ac:dyDescent="0.55000000000000004">
      <c r="A8549" t="str">
        <f>TEST_DATA!A8549</f>
        <v>27AAAAA8549Z5</v>
      </c>
      <c r="B8549" t="str">
        <f>TEST_DATA!B8549</f>
        <v>Sep-2018</v>
      </c>
      <c r="C8549">
        <f>TEST_DATA!C8549</f>
        <v>43578</v>
      </c>
      <c r="D8549" t="str">
        <f>TEST_DATA!D8549</f>
        <v>NIL</v>
      </c>
      <c r="E8549">
        <f>TEST_DATA!E8549</f>
        <v>2670</v>
      </c>
    </row>
    <row r="8550" spans="1:5" x14ac:dyDescent="0.55000000000000004">
      <c r="A8550" t="str">
        <f>TEST_DATA!A8550</f>
        <v>27AAAAA8550Z5</v>
      </c>
      <c r="B8550" t="str">
        <f>TEST_DATA!B8550</f>
        <v>Oct-2017</v>
      </c>
      <c r="C8550">
        <f>TEST_DATA!C8550</f>
        <v>44534</v>
      </c>
      <c r="D8550" t="str">
        <f>TEST_DATA!D8550</f>
        <v>NON-NIL</v>
      </c>
      <c r="E8550">
        <f>TEST_DATA!E8550</f>
        <v>1738</v>
      </c>
    </row>
    <row r="8551" spans="1:5" x14ac:dyDescent="0.55000000000000004">
      <c r="A8551" t="str">
        <f>TEST_DATA!A8551</f>
        <v>27AAAAA8551Z5</v>
      </c>
      <c r="B8551" t="str">
        <f>TEST_DATA!B8551</f>
        <v>Mar-2018</v>
      </c>
      <c r="C8551">
        <f>TEST_DATA!C8551</f>
        <v>43602</v>
      </c>
      <c r="D8551" t="str">
        <f>TEST_DATA!D8551</f>
        <v>NIL</v>
      </c>
      <c r="E8551">
        <f>TEST_DATA!E8551</f>
        <v>1098</v>
      </c>
    </row>
    <row r="8552" spans="1:5" x14ac:dyDescent="0.55000000000000004">
      <c r="A8552" t="str">
        <f>TEST_DATA!A8552</f>
        <v>27AAAAA8552Z5</v>
      </c>
      <c r="B8552" t="str">
        <f>TEST_DATA!B8552</f>
        <v>Apr-2020</v>
      </c>
      <c r="C8552">
        <f>TEST_DATA!C8552</f>
        <v>44663</v>
      </c>
      <c r="D8552" t="str">
        <f>TEST_DATA!D8552</f>
        <v>NON-NIL</v>
      </c>
      <c r="E8552">
        <f>TEST_DATA!E8552</f>
        <v>1303</v>
      </c>
    </row>
    <row r="8553" spans="1:5" x14ac:dyDescent="0.55000000000000004">
      <c r="A8553" t="str">
        <f>TEST_DATA!A8553</f>
        <v>27AAAAA8553Z5</v>
      </c>
      <c r="B8553" t="str">
        <f>TEST_DATA!B8553</f>
        <v>Sep-2017</v>
      </c>
      <c r="C8553">
        <f>TEST_DATA!C8553</f>
        <v>44488</v>
      </c>
      <c r="D8553" t="str">
        <f>TEST_DATA!D8553</f>
        <v>NON-NIL</v>
      </c>
      <c r="E8553">
        <f>TEST_DATA!E8553</f>
        <v>2626</v>
      </c>
    </row>
    <row r="8554" spans="1:5" x14ac:dyDescent="0.55000000000000004">
      <c r="A8554" t="str">
        <f>TEST_DATA!A8554</f>
        <v>27AAAAA8554Z5</v>
      </c>
      <c r="B8554" t="str">
        <f>TEST_DATA!B8554</f>
        <v>Aug-2018</v>
      </c>
      <c r="C8554">
        <f>TEST_DATA!C8554</f>
        <v>43553</v>
      </c>
      <c r="D8554" t="str">
        <f>TEST_DATA!D8554</f>
        <v>NIL</v>
      </c>
      <c r="E8554">
        <f>TEST_DATA!E8554</f>
        <v>2504</v>
      </c>
    </row>
    <row r="8555" spans="1:5" x14ac:dyDescent="0.55000000000000004">
      <c r="A8555" t="str">
        <f>TEST_DATA!A8555</f>
        <v>27AAAAA8555Z5</v>
      </c>
      <c r="B8555" t="str">
        <f>TEST_DATA!B8555</f>
        <v>Jul-2018</v>
      </c>
      <c r="C8555">
        <f>TEST_DATA!C8555</f>
        <v>43819</v>
      </c>
      <c r="D8555" t="str">
        <f>TEST_DATA!D8555</f>
        <v>NON-NIL</v>
      </c>
      <c r="E8555">
        <f>TEST_DATA!E8555</f>
        <v>973</v>
      </c>
    </row>
    <row r="8556" spans="1:5" x14ac:dyDescent="0.55000000000000004">
      <c r="A8556" t="str">
        <f>TEST_DATA!A8556</f>
        <v>27AAAAA8556Z5</v>
      </c>
      <c r="B8556" t="str">
        <f>TEST_DATA!B8556</f>
        <v>Jan-2021</v>
      </c>
      <c r="C8556">
        <f>TEST_DATA!C8556</f>
        <v>43498</v>
      </c>
      <c r="D8556" t="str">
        <f>TEST_DATA!D8556</f>
        <v>NIL</v>
      </c>
      <c r="E8556">
        <f>TEST_DATA!E8556</f>
        <v>2317</v>
      </c>
    </row>
    <row r="8557" spans="1:5" x14ac:dyDescent="0.55000000000000004">
      <c r="A8557" t="str">
        <f>TEST_DATA!A8557</f>
        <v>27AAAAA8557Z5</v>
      </c>
      <c r="B8557" t="str">
        <f>TEST_DATA!B8557</f>
        <v>Jan-2018</v>
      </c>
      <c r="C8557">
        <f>TEST_DATA!C8557</f>
        <v>43635</v>
      </c>
      <c r="D8557" t="str">
        <f>TEST_DATA!D8557</f>
        <v>NIL</v>
      </c>
      <c r="E8557">
        <f>TEST_DATA!E8557</f>
        <v>249</v>
      </c>
    </row>
    <row r="8558" spans="1:5" x14ac:dyDescent="0.55000000000000004">
      <c r="A8558" t="str">
        <f>TEST_DATA!A8558</f>
        <v>27AAAAA8558Z5</v>
      </c>
      <c r="B8558" t="str">
        <f>TEST_DATA!B8558</f>
        <v>Dec-2022</v>
      </c>
      <c r="C8558">
        <f>TEST_DATA!C8558</f>
        <v>43917</v>
      </c>
      <c r="D8558" t="str">
        <f>TEST_DATA!D8558</f>
        <v>NON-NIL</v>
      </c>
      <c r="E8558">
        <f>TEST_DATA!E8558</f>
        <v>785</v>
      </c>
    </row>
    <row r="8559" spans="1:5" x14ac:dyDescent="0.55000000000000004">
      <c r="A8559" t="str">
        <f>TEST_DATA!A8559</f>
        <v>27AAAAA8559Z5</v>
      </c>
      <c r="B8559" t="str">
        <f>TEST_DATA!B8559</f>
        <v>Dec-2022</v>
      </c>
      <c r="C8559">
        <f>TEST_DATA!C8559</f>
        <v>43620</v>
      </c>
      <c r="D8559" t="str">
        <f>TEST_DATA!D8559</f>
        <v>NIL</v>
      </c>
      <c r="E8559">
        <f>TEST_DATA!E8559</f>
        <v>1340</v>
      </c>
    </row>
    <row r="8560" spans="1:5" x14ac:dyDescent="0.55000000000000004">
      <c r="A8560" t="str">
        <f>TEST_DATA!A8560</f>
        <v>27AAAAA8560Z5</v>
      </c>
      <c r="B8560" t="str">
        <f>TEST_DATA!B8560</f>
        <v>Mar-2020</v>
      </c>
      <c r="C8560">
        <f>TEST_DATA!C8560</f>
        <v>44804</v>
      </c>
      <c r="D8560" t="str">
        <f>TEST_DATA!D8560</f>
        <v>NIL</v>
      </c>
      <c r="E8560">
        <f>TEST_DATA!E8560</f>
        <v>706</v>
      </c>
    </row>
    <row r="8561" spans="1:5" x14ac:dyDescent="0.55000000000000004">
      <c r="A8561" t="str">
        <f>TEST_DATA!A8561</f>
        <v>27AAAAA8561Z5</v>
      </c>
      <c r="B8561" t="str">
        <f>TEST_DATA!B8561</f>
        <v>Mar-2018</v>
      </c>
      <c r="C8561">
        <f>TEST_DATA!C8561</f>
        <v>43213</v>
      </c>
      <c r="D8561" t="str">
        <f>TEST_DATA!D8561</f>
        <v>NIL</v>
      </c>
      <c r="E8561">
        <f>TEST_DATA!E8561</f>
        <v>2147</v>
      </c>
    </row>
    <row r="8562" spans="1:5" x14ac:dyDescent="0.55000000000000004">
      <c r="A8562" t="str">
        <f>TEST_DATA!A8562</f>
        <v>27AAAAA8562Z5</v>
      </c>
      <c r="B8562" t="str">
        <f>TEST_DATA!B8562</f>
        <v>Mar-2018</v>
      </c>
      <c r="C8562">
        <f>TEST_DATA!C8562</f>
        <v>44472</v>
      </c>
      <c r="D8562" t="str">
        <f>TEST_DATA!D8562</f>
        <v>NIL</v>
      </c>
      <c r="E8562">
        <f>TEST_DATA!E8562</f>
        <v>1250</v>
      </c>
    </row>
    <row r="8563" spans="1:5" x14ac:dyDescent="0.55000000000000004">
      <c r="A8563" t="str">
        <f>TEST_DATA!A8563</f>
        <v>27AAAAA8563Z5</v>
      </c>
      <c r="B8563" t="str">
        <f>TEST_DATA!B8563</f>
        <v>Mar-2021</v>
      </c>
      <c r="C8563">
        <f>TEST_DATA!C8563</f>
        <v>44151</v>
      </c>
      <c r="D8563" t="str">
        <f>TEST_DATA!D8563</f>
        <v>NON-NIL</v>
      </c>
      <c r="E8563">
        <f>TEST_DATA!E8563</f>
        <v>1562</v>
      </c>
    </row>
    <row r="8564" spans="1:5" x14ac:dyDescent="0.55000000000000004">
      <c r="A8564" t="str">
        <f>TEST_DATA!A8564</f>
        <v>27AAAAA8564Z5</v>
      </c>
      <c r="B8564" t="str">
        <f>TEST_DATA!B8564</f>
        <v>Aug-2018</v>
      </c>
      <c r="C8564">
        <f>TEST_DATA!C8564</f>
        <v>44050</v>
      </c>
      <c r="D8564" t="str">
        <f>TEST_DATA!D8564</f>
        <v>NIL</v>
      </c>
      <c r="E8564">
        <f>TEST_DATA!E8564</f>
        <v>2325</v>
      </c>
    </row>
    <row r="8565" spans="1:5" x14ac:dyDescent="0.55000000000000004">
      <c r="A8565" t="str">
        <f>TEST_DATA!A8565</f>
        <v>27AAAAA8565Z5</v>
      </c>
      <c r="B8565" t="str">
        <f>TEST_DATA!B8565</f>
        <v>May-2020</v>
      </c>
      <c r="C8565">
        <f>TEST_DATA!C8565</f>
        <v>44895</v>
      </c>
      <c r="D8565" t="str">
        <f>TEST_DATA!D8565</f>
        <v>NON-NIL</v>
      </c>
      <c r="E8565">
        <f>TEST_DATA!E8565</f>
        <v>1785</v>
      </c>
    </row>
    <row r="8566" spans="1:5" x14ac:dyDescent="0.55000000000000004">
      <c r="A8566" t="str">
        <f>TEST_DATA!A8566</f>
        <v>27AAAAA8566Z5</v>
      </c>
      <c r="B8566" t="str">
        <f>TEST_DATA!B8566</f>
        <v>May-2020</v>
      </c>
      <c r="C8566">
        <f>TEST_DATA!C8566</f>
        <v>43931</v>
      </c>
      <c r="D8566" t="str">
        <f>TEST_DATA!D8566</f>
        <v>NIL</v>
      </c>
      <c r="E8566">
        <f>TEST_DATA!E8566</f>
        <v>2595</v>
      </c>
    </row>
    <row r="8567" spans="1:5" x14ac:dyDescent="0.55000000000000004">
      <c r="A8567" t="str">
        <f>TEST_DATA!A8567</f>
        <v>27AAAAA8567Z5</v>
      </c>
      <c r="B8567" t="str">
        <f>TEST_DATA!B8567</f>
        <v>Mar-2023</v>
      </c>
      <c r="C8567">
        <f>TEST_DATA!C8567</f>
        <v>45539</v>
      </c>
      <c r="D8567" t="str">
        <f>TEST_DATA!D8567</f>
        <v>NIL</v>
      </c>
      <c r="E8567">
        <f>TEST_DATA!E8567</f>
        <v>1124</v>
      </c>
    </row>
    <row r="8568" spans="1:5" x14ac:dyDescent="0.55000000000000004">
      <c r="A8568" t="str">
        <f>TEST_DATA!A8568</f>
        <v>27AAAAA8568Z5</v>
      </c>
      <c r="B8568" t="str">
        <f>TEST_DATA!B8568</f>
        <v>Jul-2017</v>
      </c>
      <c r="C8568">
        <f>TEST_DATA!C8568</f>
        <v>44542</v>
      </c>
      <c r="D8568" t="str">
        <f>TEST_DATA!D8568</f>
        <v>NIL</v>
      </c>
      <c r="E8568">
        <f>TEST_DATA!E8568</f>
        <v>805</v>
      </c>
    </row>
    <row r="8569" spans="1:5" x14ac:dyDescent="0.55000000000000004">
      <c r="A8569" t="str">
        <f>TEST_DATA!A8569</f>
        <v>27AAAAA8569Z5</v>
      </c>
      <c r="B8569" t="str">
        <f>TEST_DATA!B8569</f>
        <v>Apr-2018</v>
      </c>
      <c r="C8569">
        <f>TEST_DATA!C8569</f>
        <v>44050</v>
      </c>
      <c r="D8569" t="str">
        <f>TEST_DATA!D8569</f>
        <v>NIL</v>
      </c>
      <c r="E8569">
        <f>TEST_DATA!E8569</f>
        <v>294</v>
      </c>
    </row>
    <row r="8570" spans="1:5" x14ac:dyDescent="0.55000000000000004">
      <c r="A8570" t="str">
        <f>TEST_DATA!A8570</f>
        <v>27AAAAA8570Z5</v>
      </c>
      <c r="B8570" t="str">
        <f>TEST_DATA!B8570</f>
        <v>Dec-2022</v>
      </c>
      <c r="C8570">
        <f>TEST_DATA!C8570</f>
        <v>44832</v>
      </c>
      <c r="D8570" t="str">
        <f>TEST_DATA!D8570</f>
        <v>NIL</v>
      </c>
      <c r="E8570">
        <f>TEST_DATA!E8570</f>
        <v>1796</v>
      </c>
    </row>
    <row r="8571" spans="1:5" x14ac:dyDescent="0.55000000000000004">
      <c r="A8571" t="str">
        <f>TEST_DATA!A8571</f>
        <v>27AAAAA8571Z5</v>
      </c>
      <c r="B8571" t="str">
        <f>TEST_DATA!B8571</f>
        <v>Jan-2021</v>
      </c>
      <c r="C8571">
        <f>TEST_DATA!C8571</f>
        <v>44457</v>
      </c>
      <c r="D8571" t="str">
        <f>TEST_DATA!D8571</f>
        <v>NON-NIL</v>
      </c>
      <c r="E8571">
        <f>TEST_DATA!E8571</f>
        <v>2158</v>
      </c>
    </row>
    <row r="8572" spans="1:5" x14ac:dyDescent="0.55000000000000004">
      <c r="A8572" t="str">
        <f>TEST_DATA!A8572</f>
        <v>27AAAAA8572Z5</v>
      </c>
      <c r="B8572" t="str">
        <f>TEST_DATA!B8572</f>
        <v>Jul-2018</v>
      </c>
      <c r="C8572">
        <f>TEST_DATA!C8572</f>
        <v>43736</v>
      </c>
      <c r="D8572" t="str">
        <f>TEST_DATA!D8572</f>
        <v>NON-NIL</v>
      </c>
      <c r="E8572">
        <f>TEST_DATA!E8572</f>
        <v>427</v>
      </c>
    </row>
    <row r="8573" spans="1:5" x14ac:dyDescent="0.55000000000000004">
      <c r="A8573" t="str">
        <f>TEST_DATA!A8573</f>
        <v>27AAAAA8573Z5</v>
      </c>
      <c r="B8573" t="str">
        <f>TEST_DATA!B8573</f>
        <v>Jun-2018</v>
      </c>
      <c r="C8573">
        <f>TEST_DATA!C8573</f>
        <v>43585</v>
      </c>
      <c r="D8573" t="str">
        <f>TEST_DATA!D8573</f>
        <v>NON-NIL</v>
      </c>
      <c r="E8573">
        <f>TEST_DATA!E8573</f>
        <v>1116</v>
      </c>
    </row>
    <row r="8574" spans="1:5" x14ac:dyDescent="0.55000000000000004">
      <c r="A8574" t="str">
        <f>TEST_DATA!A8574</f>
        <v>27AAAAA8574Z5</v>
      </c>
      <c r="B8574" t="str">
        <f>TEST_DATA!B8574</f>
        <v>Aug-2018</v>
      </c>
      <c r="C8574">
        <f>TEST_DATA!C8574</f>
        <v>42949</v>
      </c>
      <c r="D8574" t="str">
        <f>TEST_DATA!D8574</f>
        <v>NON-NIL</v>
      </c>
      <c r="E8574">
        <f>TEST_DATA!E8574</f>
        <v>1003</v>
      </c>
    </row>
    <row r="8575" spans="1:5" x14ac:dyDescent="0.55000000000000004">
      <c r="A8575" t="str">
        <f>TEST_DATA!A8575</f>
        <v>27AAAAA8575Z5</v>
      </c>
      <c r="B8575" t="str">
        <f>TEST_DATA!B8575</f>
        <v>Mar-2020</v>
      </c>
      <c r="C8575">
        <f>TEST_DATA!C8575</f>
        <v>44146</v>
      </c>
      <c r="D8575" t="str">
        <f>TEST_DATA!D8575</f>
        <v>NON-NIL</v>
      </c>
      <c r="E8575">
        <f>TEST_DATA!E8575</f>
        <v>167</v>
      </c>
    </row>
    <row r="8576" spans="1:5" x14ac:dyDescent="0.55000000000000004">
      <c r="A8576" t="str">
        <f>TEST_DATA!A8576</f>
        <v>27AAAAA8576Z5</v>
      </c>
      <c r="B8576" t="str">
        <f>TEST_DATA!B8576</f>
        <v>Apr-2020</v>
      </c>
      <c r="C8576">
        <f>TEST_DATA!C8576</f>
        <v>44726</v>
      </c>
      <c r="D8576" t="str">
        <f>TEST_DATA!D8576</f>
        <v>NON-NIL</v>
      </c>
      <c r="E8576">
        <f>TEST_DATA!E8576</f>
        <v>1094</v>
      </c>
    </row>
    <row r="8577" spans="1:5" x14ac:dyDescent="0.55000000000000004">
      <c r="A8577" t="str">
        <f>TEST_DATA!A8577</f>
        <v>27AAAAA8577Z5</v>
      </c>
      <c r="B8577" t="str">
        <f>TEST_DATA!B8577</f>
        <v>Jan-2021</v>
      </c>
      <c r="C8577">
        <f>TEST_DATA!C8577</f>
        <v>45116</v>
      </c>
      <c r="D8577" t="str">
        <f>TEST_DATA!D8577</f>
        <v>NIL</v>
      </c>
      <c r="E8577">
        <f>TEST_DATA!E8577</f>
        <v>2030</v>
      </c>
    </row>
    <row r="8578" spans="1:5" x14ac:dyDescent="0.55000000000000004">
      <c r="A8578" t="str">
        <f>TEST_DATA!A8578</f>
        <v>27AAAAA8578Z5</v>
      </c>
      <c r="B8578" t="str">
        <f>TEST_DATA!B8578</f>
        <v>Nov-2017</v>
      </c>
      <c r="C8578">
        <f>TEST_DATA!C8578</f>
        <v>43015</v>
      </c>
      <c r="D8578" t="str">
        <f>TEST_DATA!D8578</f>
        <v>NON-NIL</v>
      </c>
      <c r="E8578">
        <f>TEST_DATA!E8578</f>
        <v>844</v>
      </c>
    </row>
    <row r="8579" spans="1:5" x14ac:dyDescent="0.55000000000000004">
      <c r="A8579" t="str">
        <f>TEST_DATA!A8579</f>
        <v>27AAAAA8579Z5</v>
      </c>
      <c r="B8579" t="str">
        <f>TEST_DATA!B8579</f>
        <v>Jul-2018</v>
      </c>
      <c r="C8579">
        <f>TEST_DATA!C8579</f>
        <v>44343</v>
      </c>
      <c r="D8579" t="str">
        <f>TEST_DATA!D8579</f>
        <v>NON-NIL</v>
      </c>
      <c r="E8579">
        <f>TEST_DATA!E8579</f>
        <v>2556</v>
      </c>
    </row>
    <row r="8580" spans="1:5" x14ac:dyDescent="0.55000000000000004">
      <c r="A8580" t="str">
        <f>TEST_DATA!A8580</f>
        <v>27AAAAA8580Z5</v>
      </c>
      <c r="B8580" t="str">
        <f>TEST_DATA!B8580</f>
        <v>Mar-2020</v>
      </c>
      <c r="C8580">
        <f>TEST_DATA!C8580</f>
        <v>43959</v>
      </c>
      <c r="D8580" t="str">
        <f>TEST_DATA!D8580</f>
        <v>NIL</v>
      </c>
      <c r="E8580">
        <f>TEST_DATA!E8580</f>
        <v>2454</v>
      </c>
    </row>
    <row r="8581" spans="1:5" x14ac:dyDescent="0.55000000000000004">
      <c r="A8581" t="str">
        <f>TEST_DATA!A8581</f>
        <v>27AAAAA8581Z5</v>
      </c>
      <c r="B8581" t="str">
        <f>TEST_DATA!B8581</f>
        <v>Jul-2020</v>
      </c>
      <c r="C8581">
        <f>TEST_DATA!C8581</f>
        <v>44144</v>
      </c>
      <c r="D8581" t="str">
        <f>TEST_DATA!D8581</f>
        <v>NON-NIL</v>
      </c>
      <c r="E8581">
        <f>TEST_DATA!E8581</f>
        <v>1674</v>
      </c>
    </row>
    <row r="8582" spans="1:5" x14ac:dyDescent="0.55000000000000004">
      <c r="A8582" t="str">
        <f>TEST_DATA!A8582</f>
        <v>27AAAAA8582Z5</v>
      </c>
      <c r="B8582" t="str">
        <f>TEST_DATA!B8582</f>
        <v>Sep-2018</v>
      </c>
      <c r="C8582">
        <f>TEST_DATA!C8582</f>
        <v>44430</v>
      </c>
      <c r="D8582" t="str">
        <f>TEST_DATA!D8582</f>
        <v>NIL</v>
      </c>
      <c r="E8582">
        <f>TEST_DATA!E8582</f>
        <v>2053</v>
      </c>
    </row>
    <row r="8583" spans="1:5" x14ac:dyDescent="0.55000000000000004">
      <c r="A8583" t="str">
        <f>TEST_DATA!A8583</f>
        <v>27AAAAA8583Z5</v>
      </c>
      <c r="B8583" t="str">
        <f>TEST_DATA!B8583</f>
        <v>Jun-2018</v>
      </c>
      <c r="C8583">
        <f>TEST_DATA!C8583</f>
        <v>44428</v>
      </c>
      <c r="D8583" t="str">
        <f>TEST_DATA!D8583</f>
        <v>NIL</v>
      </c>
      <c r="E8583">
        <f>TEST_DATA!E8583</f>
        <v>699</v>
      </c>
    </row>
    <row r="8584" spans="1:5" x14ac:dyDescent="0.55000000000000004">
      <c r="A8584" t="str">
        <f>TEST_DATA!A8584</f>
        <v>27AAAAA8584Z5</v>
      </c>
      <c r="B8584" t="str">
        <f>TEST_DATA!B8584</f>
        <v>Sep-2017</v>
      </c>
      <c r="C8584">
        <f>TEST_DATA!C8584</f>
        <v>43648</v>
      </c>
      <c r="D8584" t="str">
        <f>TEST_DATA!D8584</f>
        <v>NON-NIL</v>
      </c>
      <c r="E8584">
        <f>TEST_DATA!E8584</f>
        <v>2959</v>
      </c>
    </row>
    <row r="8585" spans="1:5" x14ac:dyDescent="0.55000000000000004">
      <c r="A8585" t="str">
        <f>TEST_DATA!A8585</f>
        <v>27AAAAA8585Z5</v>
      </c>
      <c r="B8585" t="str">
        <f>TEST_DATA!B8585</f>
        <v>Dec-2024</v>
      </c>
      <c r="C8585">
        <f>TEST_DATA!C8585</f>
        <v>44356</v>
      </c>
      <c r="D8585" t="str">
        <f>TEST_DATA!D8585</f>
        <v>NIL</v>
      </c>
      <c r="E8585">
        <f>TEST_DATA!E8585</f>
        <v>80</v>
      </c>
    </row>
    <row r="8586" spans="1:5" x14ac:dyDescent="0.55000000000000004">
      <c r="A8586" t="str">
        <f>TEST_DATA!A8586</f>
        <v>27AAAAA8586Z5</v>
      </c>
      <c r="B8586" t="str">
        <f>TEST_DATA!B8586</f>
        <v>Jun-2020</v>
      </c>
      <c r="C8586">
        <f>TEST_DATA!C8586</f>
        <v>44849</v>
      </c>
      <c r="D8586" t="str">
        <f>TEST_DATA!D8586</f>
        <v>NON-NIL</v>
      </c>
      <c r="E8586">
        <f>TEST_DATA!E8586</f>
        <v>1393</v>
      </c>
    </row>
    <row r="8587" spans="1:5" x14ac:dyDescent="0.55000000000000004">
      <c r="A8587" t="str">
        <f>TEST_DATA!A8587</f>
        <v>27AAAAA8587Z5</v>
      </c>
      <c r="B8587" t="str">
        <f>TEST_DATA!B8587</f>
        <v>Mar-2023</v>
      </c>
      <c r="C8587">
        <f>TEST_DATA!C8587</f>
        <v>44776</v>
      </c>
      <c r="D8587" t="str">
        <f>TEST_DATA!D8587</f>
        <v>NIL</v>
      </c>
      <c r="E8587">
        <f>TEST_DATA!E8587</f>
        <v>365</v>
      </c>
    </row>
    <row r="8588" spans="1:5" x14ac:dyDescent="0.55000000000000004">
      <c r="A8588" t="str">
        <f>TEST_DATA!A8588</f>
        <v>27AAAAA8588Z5</v>
      </c>
      <c r="B8588" t="str">
        <f>TEST_DATA!B8588</f>
        <v>Dec-2017</v>
      </c>
      <c r="C8588">
        <f>TEST_DATA!C8588</f>
        <v>43708</v>
      </c>
      <c r="D8588" t="str">
        <f>TEST_DATA!D8588</f>
        <v>NIL</v>
      </c>
      <c r="E8588">
        <f>TEST_DATA!E8588</f>
        <v>1707</v>
      </c>
    </row>
    <row r="8589" spans="1:5" x14ac:dyDescent="0.55000000000000004">
      <c r="A8589" t="str">
        <f>TEST_DATA!A8589</f>
        <v>27AAAAA8589Z5</v>
      </c>
      <c r="B8589" t="str">
        <f>TEST_DATA!B8589</f>
        <v>Mar-2018</v>
      </c>
      <c r="C8589">
        <f>TEST_DATA!C8589</f>
        <v>43362</v>
      </c>
      <c r="D8589" t="str">
        <f>TEST_DATA!D8589</f>
        <v>NON-NIL</v>
      </c>
      <c r="E8589">
        <f>TEST_DATA!E8589</f>
        <v>1628</v>
      </c>
    </row>
    <row r="8590" spans="1:5" x14ac:dyDescent="0.55000000000000004">
      <c r="A8590" t="str">
        <f>TEST_DATA!A8590</f>
        <v>27AAAAA8590Z5</v>
      </c>
      <c r="B8590" t="str">
        <f>TEST_DATA!B8590</f>
        <v>Jan-2019</v>
      </c>
      <c r="C8590">
        <f>TEST_DATA!C8590</f>
        <v>45563</v>
      </c>
      <c r="D8590" t="str">
        <f>TEST_DATA!D8590</f>
        <v>NON-NIL</v>
      </c>
      <c r="E8590">
        <f>TEST_DATA!E8590</f>
        <v>1181</v>
      </c>
    </row>
    <row r="8591" spans="1:5" x14ac:dyDescent="0.55000000000000004">
      <c r="A8591" t="str">
        <f>TEST_DATA!A8591</f>
        <v>27AAAAA8591Z5</v>
      </c>
      <c r="B8591" t="str">
        <f>TEST_DATA!B8591</f>
        <v>Jan-2021</v>
      </c>
      <c r="C8591">
        <f>TEST_DATA!C8591</f>
        <v>45085</v>
      </c>
      <c r="D8591" t="str">
        <f>TEST_DATA!D8591</f>
        <v>NIL</v>
      </c>
      <c r="E8591">
        <f>TEST_DATA!E8591</f>
        <v>1826</v>
      </c>
    </row>
    <row r="8592" spans="1:5" x14ac:dyDescent="0.55000000000000004">
      <c r="A8592" t="str">
        <f>TEST_DATA!A8592</f>
        <v>27AAAAA8592Z5</v>
      </c>
      <c r="B8592" t="str">
        <f>TEST_DATA!B8592</f>
        <v>Dec-2019</v>
      </c>
      <c r="C8592">
        <f>TEST_DATA!C8592</f>
        <v>43557</v>
      </c>
      <c r="D8592" t="str">
        <f>TEST_DATA!D8592</f>
        <v>NON-NIL</v>
      </c>
      <c r="E8592">
        <f>TEST_DATA!E8592</f>
        <v>1406</v>
      </c>
    </row>
    <row r="8593" spans="1:5" x14ac:dyDescent="0.55000000000000004">
      <c r="A8593" t="str">
        <f>TEST_DATA!A8593</f>
        <v>27AAAAA8593Z5</v>
      </c>
      <c r="B8593" t="str">
        <f>TEST_DATA!B8593</f>
        <v>Sep-2017</v>
      </c>
      <c r="C8593">
        <f>TEST_DATA!C8593</f>
        <v>44281</v>
      </c>
      <c r="D8593" t="str">
        <f>TEST_DATA!D8593</f>
        <v>NIL</v>
      </c>
      <c r="E8593">
        <f>TEST_DATA!E8593</f>
        <v>2486</v>
      </c>
    </row>
    <row r="8594" spans="1:5" x14ac:dyDescent="0.55000000000000004">
      <c r="A8594" t="str">
        <f>TEST_DATA!A8594</f>
        <v>27AAAAA8594Z5</v>
      </c>
      <c r="B8594" t="str">
        <f>TEST_DATA!B8594</f>
        <v>Jun-2019</v>
      </c>
      <c r="C8594">
        <f>TEST_DATA!C8594</f>
        <v>43730</v>
      </c>
      <c r="D8594" t="str">
        <f>TEST_DATA!D8594</f>
        <v>NON-NIL</v>
      </c>
      <c r="E8594">
        <f>TEST_DATA!E8594</f>
        <v>1979</v>
      </c>
    </row>
    <row r="8595" spans="1:5" x14ac:dyDescent="0.55000000000000004">
      <c r="A8595" t="str">
        <f>TEST_DATA!A8595</f>
        <v>27AAAAA8595Z5</v>
      </c>
      <c r="B8595" t="str">
        <f>TEST_DATA!B8595</f>
        <v>Jun-2018</v>
      </c>
      <c r="C8595">
        <f>TEST_DATA!C8595</f>
        <v>43675</v>
      </c>
      <c r="D8595" t="str">
        <f>TEST_DATA!D8595</f>
        <v>NIL</v>
      </c>
      <c r="E8595">
        <f>TEST_DATA!E8595</f>
        <v>627</v>
      </c>
    </row>
    <row r="8596" spans="1:5" x14ac:dyDescent="0.55000000000000004">
      <c r="A8596" t="str">
        <f>TEST_DATA!A8596</f>
        <v>27AAAAA8596Z5</v>
      </c>
      <c r="B8596" t="str">
        <f>TEST_DATA!B8596</f>
        <v>Mar-2020</v>
      </c>
      <c r="C8596">
        <f>TEST_DATA!C8596</f>
        <v>44398</v>
      </c>
      <c r="D8596" t="str">
        <f>TEST_DATA!D8596</f>
        <v>NON-NIL</v>
      </c>
      <c r="E8596">
        <f>TEST_DATA!E8596</f>
        <v>393</v>
      </c>
    </row>
    <row r="8597" spans="1:5" x14ac:dyDescent="0.55000000000000004">
      <c r="A8597" t="str">
        <f>TEST_DATA!A8597</f>
        <v>27AAAAA8597Z5</v>
      </c>
      <c r="B8597" t="str">
        <f>TEST_DATA!B8597</f>
        <v>Apr-2021</v>
      </c>
      <c r="C8597">
        <f>TEST_DATA!C8597</f>
        <v>44722</v>
      </c>
      <c r="D8597" t="str">
        <f>TEST_DATA!D8597</f>
        <v>NIL</v>
      </c>
      <c r="E8597">
        <f>TEST_DATA!E8597</f>
        <v>1388</v>
      </c>
    </row>
    <row r="8598" spans="1:5" x14ac:dyDescent="0.55000000000000004">
      <c r="A8598" t="str">
        <f>TEST_DATA!A8598</f>
        <v>27AAAAA8598Z5</v>
      </c>
      <c r="B8598" t="str">
        <f>TEST_DATA!B8598</f>
        <v>Jan-2018</v>
      </c>
      <c r="C8598">
        <f>TEST_DATA!C8598</f>
        <v>44293</v>
      </c>
      <c r="D8598" t="str">
        <f>TEST_DATA!D8598</f>
        <v>NIL</v>
      </c>
      <c r="E8598">
        <f>TEST_DATA!E8598</f>
        <v>1759</v>
      </c>
    </row>
    <row r="8599" spans="1:5" x14ac:dyDescent="0.55000000000000004">
      <c r="A8599" t="str">
        <f>TEST_DATA!A8599</f>
        <v>27AAAAA8599Z5</v>
      </c>
      <c r="B8599" t="str">
        <f>TEST_DATA!B8599</f>
        <v>Mar-2018</v>
      </c>
      <c r="C8599">
        <f>TEST_DATA!C8599</f>
        <v>44186</v>
      </c>
      <c r="D8599" t="str">
        <f>TEST_DATA!D8599</f>
        <v>NIL</v>
      </c>
      <c r="E8599">
        <f>TEST_DATA!E8599</f>
        <v>2129</v>
      </c>
    </row>
    <row r="8600" spans="1:5" x14ac:dyDescent="0.55000000000000004">
      <c r="A8600" t="str">
        <f>TEST_DATA!A8600</f>
        <v>27AAAAA8600Z5</v>
      </c>
      <c r="B8600" t="str">
        <f>TEST_DATA!B8600</f>
        <v>Mar-2021</v>
      </c>
      <c r="C8600">
        <f>TEST_DATA!C8600</f>
        <v>44467</v>
      </c>
      <c r="D8600" t="str">
        <f>TEST_DATA!D8600</f>
        <v>NON-NIL</v>
      </c>
      <c r="E8600">
        <f>TEST_DATA!E8600</f>
        <v>2715</v>
      </c>
    </row>
    <row r="8601" spans="1:5" x14ac:dyDescent="0.55000000000000004">
      <c r="A8601" t="str">
        <f>TEST_DATA!A8601</f>
        <v>27AAAAA8601Z5</v>
      </c>
      <c r="B8601" t="str">
        <f>TEST_DATA!B8601</f>
        <v>Mar-2020</v>
      </c>
      <c r="C8601">
        <f>TEST_DATA!C8601</f>
        <v>44805</v>
      </c>
      <c r="D8601" t="str">
        <f>TEST_DATA!D8601</f>
        <v>NON-NIL</v>
      </c>
      <c r="E8601">
        <f>TEST_DATA!E8601</f>
        <v>1802</v>
      </c>
    </row>
    <row r="8602" spans="1:5" x14ac:dyDescent="0.55000000000000004">
      <c r="A8602" t="str">
        <f>TEST_DATA!A8602</f>
        <v>27AAAAA8602Z5</v>
      </c>
      <c r="B8602" t="str">
        <f>TEST_DATA!B8602</f>
        <v>Sep-2018</v>
      </c>
      <c r="C8602">
        <f>TEST_DATA!C8602</f>
        <v>43806</v>
      </c>
      <c r="D8602" t="str">
        <f>TEST_DATA!D8602</f>
        <v>NON-NIL</v>
      </c>
      <c r="E8602">
        <f>TEST_DATA!E8602</f>
        <v>1553</v>
      </c>
    </row>
    <row r="8603" spans="1:5" x14ac:dyDescent="0.55000000000000004">
      <c r="A8603" t="str">
        <f>TEST_DATA!A8603</f>
        <v>27AAAAA8603Z5</v>
      </c>
      <c r="B8603" t="str">
        <f>TEST_DATA!B8603</f>
        <v>Mar-2021</v>
      </c>
      <c r="C8603">
        <f>TEST_DATA!C8603</f>
        <v>44773</v>
      </c>
      <c r="D8603" t="str">
        <f>TEST_DATA!D8603</f>
        <v>NIL</v>
      </c>
      <c r="E8603">
        <f>TEST_DATA!E8603</f>
        <v>1971</v>
      </c>
    </row>
    <row r="8604" spans="1:5" x14ac:dyDescent="0.55000000000000004">
      <c r="A8604" t="str">
        <f>TEST_DATA!A8604</f>
        <v>27AAAAA8604Z5</v>
      </c>
      <c r="B8604" t="str">
        <f>TEST_DATA!B8604</f>
        <v>Jul-2017</v>
      </c>
      <c r="C8604">
        <f>TEST_DATA!C8604</f>
        <v>43657</v>
      </c>
      <c r="D8604" t="str">
        <f>TEST_DATA!D8604</f>
        <v>NON-NIL</v>
      </c>
      <c r="E8604">
        <f>TEST_DATA!E8604</f>
        <v>1241</v>
      </c>
    </row>
    <row r="8605" spans="1:5" x14ac:dyDescent="0.55000000000000004">
      <c r="A8605" t="str">
        <f>TEST_DATA!A8605</f>
        <v>27AAAAA8605Z5</v>
      </c>
      <c r="B8605" t="str">
        <f>TEST_DATA!B8605</f>
        <v>Jan-2021</v>
      </c>
      <c r="C8605">
        <f>TEST_DATA!C8605</f>
        <v>44544</v>
      </c>
      <c r="D8605" t="str">
        <f>TEST_DATA!D8605</f>
        <v>NIL</v>
      </c>
      <c r="E8605">
        <f>TEST_DATA!E8605</f>
        <v>2615</v>
      </c>
    </row>
    <row r="8606" spans="1:5" x14ac:dyDescent="0.55000000000000004">
      <c r="A8606" t="str">
        <f>TEST_DATA!A8606</f>
        <v>27AAAAA8606Z5</v>
      </c>
      <c r="B8606" t="str">
        <f>TEST_DATA!B8606</f>
        <v>Dec-2022</v>
      </c>
      <c r="C8606">
        <f>TEST_DATA!C8606</f>
        <v>44719</v>
      </c>
      <c r="D8606" t="str">
        <f>TEST_DATA!D8606</f>
        <v>NIL</v>
      </c>
      <c r="E8606">
        <f>TEST_DATA!E8606</f>
        <v>1769</v>
      </c>
    </row>
    <row r="8607" spans="1:5" x14ac:dyDescent="0.55000000000000004">
      <c r="A8607" t="str">
        <f>TEST_DATA!A8607</f>
        <v>27AAAAA8607Z5</v>
      </c>
      <c r="B8607" t="str">
        <f>TEST_DATA!B8607</f>
        <v>Dec-2019</v>
      </c>
      <c r="C8607">
        <f>TEST_DATA!C8607</f>
        <v>45394</v>
      </c>
      <c r="D8607" t="str">
        <f>TEST_DATA!D8607</f>
        <v>NON-NIL</v>
      </c>
      <c r="E8607">
        <f>TEST_DATA!E8607</f>
        <v>417</v>
      </c>
    </row>
    <row r="8608" spans="1:5" x14ac:dyDescent="0.55000000000000004">
      <c r="A8608" t="str">
        <f>TEST_DATA!A8608</f>
        <v>27AAAAA8608Z5</v>
      </c>
      <c r="B8608" t="str">
        <f>TEST_DATA!B8608</f>
        <v>May-2018</v>
      </c>
      <c r="C8608">
        <f>TEST_DATA!C8608</f>
        <v>43757</v>
      </c>
      <c r="D8608" t="str">
        <f>TEST_DATA!D8608</f>
        <v>NIL</v>
      </c>
      <c r="E8608">
        <f>TEST_DATA!E8608</f>
        <v>576</v>
      </c>
    </row>
    <row r="8609" spans="1:5" x14ac:dyDescent="0.55000000000000004">
      <c r="A8609" t="str">
        <f>TEST_DATA!A8609</f>
        <v>27AAAAA8609Z5</v>
      </c>
      <c r="B8609" t="str">
        <f>TEST_DATA!B8609</f>
        <v>Jan-2021</v>
      </c>
      <c r="C8609">
        <f>TEST_DATA!C8609</f>
        <v>43476</v>
      </c>
      <c r="D8609" t="str">
        <f>TEST_DATA!D8609</f>
        <v>NON-NIL</v>
      </c>
      <c r="E8609">
        <f>TEST_DATA!E8609</f>
        <v>2508</v>
      </c>
    </row>
    <row r="8610" spans="1:5" x14ac:dyDescent="0.55000000000000004">
      <c r="A8610" t="str">
        <f>TEST_DATA!A8610</f>
        <v>27AAAAA8610Z5</v>
      </c>
      <c r="B8610" t="str">
        <f>TEST_DATA!B8610</f>
        <v>Mar-2023</v>
      </c>
      <c r="C8610">
        <f>TEST_DATA!C8610</f>
        <v>43686</v>
      </c>
      <c r="D8610" t="str">
        <f>TEST_DATA!D8610</f>
        <v>NON-NIL</v>
      </c>
      <c r="E8610">
        <f>TEST_DATA!E8610</f>
        <v>1658</v>
      </c>
    </row>
    <row r="8611" spans="1:5" x14ac:dyDescent="0.55000000000000004">
      <c r="A8611" t="str">
        <f>TEST_DATA!A8611</f>
        <v>27AAAAA8611Z5</v>
      </c>
      <c r="B8611" t="str">
        <f>TEST_DATA!B8611</f>
        <v>Jul-2020</v>
      </c>
      <c r="C8611">
        <f>TEST_DATA!C8611</f>
        <v>44324</v>
      </c>
      <c r="D8611" t="str">
        <f>TEST_DATA!D8611</f>
        <v>NON-NIL</v>
      </c>
      <c r="E8611">
        <f>TEST_DATA!E8611</f>
        <v>461</v>
      </c>
    </row>
    <row r="8612" spans="1:5" x14ac:dyDescent="0.55000000000000004">
      <c r="A8612" t="str">
        <f>TEST_DATA!A8612</f>
        <v>27AAAAA8612Z5</v>
      </c>
      <c r="B8612" t="str">
        <f>TEST_DATA!B8612</f>
        <v>Jun-2018</v>
      </c>
      <c r="C8612">
        <f>TEST_DATA!C8612</f>
        <v>43348</v>
      </c>
      <c r="D8612" t="str">
        <f>TEST_DATA!D8612</f>
        <v>NON-NIL</v>
      </c>
      <c r="E8612">
        <f>TEST_DATA!E8612</f>
        <v>2431</v>
      </c>
    </row>
    <row r="8613" spans="1:5" x14ac:dyDescent="0.55000000000000004">
      <c r="A8613" t="str">
        <f>TEST_DATA!A8613</f>
        <v>27AAAAA8613Z5</v>
      </c>
      <c r="B8613" t="str">
        <f>TEST_DATA!B8613</f>
        <v>Sep-2018</v>
      </c>
      <c r="C8613">
        <f>TEST_DATA!C8613</f>
        <v>43872</v>
      </c>
      <c r="D8613" t="str">
        <f>TEST_DATA!D8613</f>
        <v>NIL</v>
      </c>
      <c r="E8613">
        <f>TEST_DATA!E8613</f>
        <v>208</v>
      </c>
    </row>
    <row r="8614" spans="1:5" x14ac:dyDescent="0.55000000000000004">
      <c r="A8614" t="str">
        <f>TEST_DATA!A8614</f>
        <v>27AAAAA8614Z5</v>
      </c>
      <c r="B8614" t="str">
        <f>TEST_DATA!B8614</f>
        <v>Jun-2020</v>
      </c>
      <c r="C8614">
        <f>TEST_DATA!C8614</f>
        <v>43928</v>
      </c>
      <c r="D8614" t="str">
        <f>TEST_DATA!D8614</f>
        <v>NIL</v>
      </c>
      <c r="E8614">
        <f>TEST_DATA!E8614</f>
        <v>504</v>
      </c>
    </row>
    <row r="8615" spans="1:5" x14ac:dyDescent="0.55000000000000004">
      <c r="A8615" t="str">
        <f>TEST_DATA!A8615</f>
        <v>27AAAAA8615Z5</v>
      </c>
      <c r="B8615" t="str">
        <f>TEST_DATA!B8615</f>
        <v>May-2018</v>
      </c>
      <c r="C8615">
        <f>TEST_DATA!C8615</f>
        <v>44234</v>
      </c>
      <c r="D8615" t="str">
        <f>TEST_DATA!D8615</f>
        <v>NON-NIL</v>
      </c>
      <c r="E8615">
        <f>TEST_DATA!E8615</f>
        <v>1893</v>
      </c>
    </row>
    <row r="8616" spans="1:5" x14ac:dyDescent="0.55000000000000004">
      <c r="A8616" t="str">
        <f>TEST_DATA!A8616</f>
        <v>27AAAAA8616Z5</v>
      </c>
      <c r="B8616" t="str">
        <f>TEST_DATA!B8616</f>
        <v>Sep-2018</v>
      </c>
      <c r="C8616">
        <f>TEST_DATA!C8616</f>
        <v>43385</v>
      </c>
      <c r="D8616" t="str">
        <f>TEST_DATA!D8616</f>
        <v>NON-NIL</v>
      </c>
      <c r="E8616">
        <f>TEST_DATA!E8616</f>
        <v>2517</v>
      </c>
    </row>
    <row r="8617" spans="1:5" x14ac:dyDescent="0.55000000000000004">
      <c r="A8617" t="str">
        <f>TEST_DATA!A8617</f>
        <v>27AAAAA8617Z5</v>
      </c>
      <c r="B8617" t="str">
        <f>TEST_DATA!B8617</f>
        <v>Mar-2018</v>
      </c>
      <c r="C8617">
        <f>TEST_DATA!C8617</f>
        <v>43409</v>
      </c>
      <c r="D8617" t="str">
        <f>TEST_DATA!D8617</f>
        <v>NIL</v>
      </c>
      <c r="E8617">
        <f>TEST_DATA!E8617</f>
        <v>2700</v>
      </c>
    </row>
    <row r="8618" spans="1:5" x14ac:dyDescent="0.55000000000000004">
      <c r="A8618" t="str">
        <f>TEST_DATA!A8618</f>
        <v>27AAAAA8618Z5</v>
      </c>
      <c r="B8618" t="str">
        <f>TEST_DATA!B8618</f>
        <v>Mar-2018</v>
      </c>
      <c r="C8618">
        <f>TEST_DATA!C8618</f>
        <v>44338</v>
      </c>
      <c r="D8618" t="str">
        <f>TEST_DATA!D8618</f>
        <v>NON-NIL</v>
      </c>
      <c r="E8618">
        <f>TEST_DATA!E8618</f>
        <v>546</v>
      </c>
    </row>
    <row r="8619" spans="1:5" x14ac:dyDescent="0.55000000000000004">
      <c r="A8619" t="str">
        <f>TEST_DATA!A8619</f>
        <v>27AAAAA8619Z5</v>
      </c>
      <c r="B8619" t="str">
        <f>TEST_DATA!B8619</f>
        <v>Dec-2017</v>
      </c>
      <c r="C8619">
        <f>TEST_DATA!C8619</f>
        <v>43638</v>
      </c>
      <c r="D8619" t="str">
        <f>TEST_DATA!D8619</f>
        <v>NON-NIL</v>
      </c>
      <c r="E8619">
        <f>TEST_DATA!E8619</f>
        <v>1918</v>
      </c>
    </row>
    <row r="8620" spans="1:5" x14ac:dyDescent="0.55000000000000004">
      <c r="A8620" t="str">
        <f>TEST_DATA!A8620</f>
        <v>27AAAAA8620Z5</v>
      </c>
      <c r="B8620" t="str">
        <f>TEST_DATA!B8620</f>
        <v>Jun-2019</v>
      </c>
      <c r="C8620">
        <f>TEST_DATA!C8620</f>
        <v>44845</v>
      </c>
      <c r="D8620" t="str">
        <f>TEST_DATA!D8620</f>
        <v>NON-NIL</v>
      </c>
      <c r="E8620">
        <f>TEST_DATA!E8620</f>
        <v>1042</v>
      </c>
    </row>
    <row r="8621" spans="1:5" x14ac:dyDescent="0.55000000000000004">
      <c r="A8621" t="str">
        <f>TEST_DATA!A8621</f>
        <v>27AAAAA8621Z5</v>
      </c>
      <c r="B8621" t="str">
        <f>TEST_DATA!B8621</f>
        <v>Oct-2017</v>
      </c>
      <c r="C8621">
        <f>TEST_DATA!C8621</f>
        <v>43374</v>
      </c>
      <c r="D8621" t="str">
        <f>TEST_DATA!D8621</f>
        <v>NON-NIL</v>
      </c>
      <c r="E8621">
        <f>TEST_DATA!E8621</f>
        <v>1107</v>
      </c>
    </row>
    <row r="8622" spans="1:5" x14ac:dyDescent="0.55000000000000004">
      <c r="A8622" t="str">
        <f>TEST_DATA!A8622</f>
        <v>27AAAAA8622Z5</v>
      </c>
      <c r="B8622" t="str">
        <f>TEST_DATA!B8622</f>
        <v>May-2020</v>
      </c>
      <c r="C8622">
        <f>TEST_DATA!C8622</f>
        <v>44830</v>
      </c>
      <c r="D8622" t="str">
        <f>TEST_DATA!D8622</f>
        <v>NON-NIL</v>
      </c>
      <c r="E8622">
        <f>TEST_DATA!E8622</f>
        <v>390</v>
      </c>
    </row>
    <row r="8623" spans="1:5" x14ac:dyDescent="0.55000000000000004">
      <c r="A8623" t="str">
        <f>TEST_DATA!A8623</f>
        <v>27AAAAA8623Z5</v>
      </c>
      <c r="B8623" t="str">
        <f>TEST_DATA!B8623</f>
        <v>Jul-2018</v>
      </c>
      <c r="C8623">
        <f>TEST_DATA!C8623</f>
        <v>44010</v>
      </c>
      <c r="D8623" t="str">
        <f>TEST_DATA!D8623</f>
        <v>NON-NIL</v>
      </c>
      <c r="E8623">
        <f>TEST_DATA!E8623</f>
        <v>2657</v>
      </c>
    </row>
    <row r="8624" spans="1:5" x14ac:dyDescent="0.55000000000000004">
      <c r="A8624" t="str">
        <f>TEST_DATA!A8624</f>
        <v>27AAAAA8624Z5</v>
      </c>
      <c r="B8624" t="str">
        <f>TEST_DATA!B8624</f>
        <v>Jun-2018</v>
      </c>
      <c r="C8624">
        <f>TEST_DATA!C8624</f>
        <v>43874</v>
      </c>
      <c r="D8624" t="str">
        <f>TEST_DATA!D8624</f>
        <v>NIL</v>
      </c>
      <c r="E8624">
        <f>TEST_DATA!E8624</f>
        <v>2537</v>
      </c>
    </row>
    <row r="8625" spans="1:5" x14ac:dyDescent="0.55000000000000004">
      <c r="A8625" t="str">
        <f>TEST_DATA!A8625</f>
        <v>27AAAAA8625Z5</v>
      </c>
      <c r="B8625" t="str">
        <f>TEST_DATA!B8625</f>
        <v>Jun-2020</v>
      </c>
      <c r="C8625">
        <f>TEST_DATA!C8625</f>
        <v>44474</v>
      </c>
      <c r="D8625" t="str">
        <f>TEST_DATA!D8625</f>
        <v>NIL</v>
      </c>
      <c r="E8625">
        <f>TEST_DATA!E8625</f>
        <v>973</v>
      </c>
    </row>
    <row r="8626" spans="1:5" x14ac:dyDescent="0.55000000000000004">
      <c r="A8626" t="str">
        <f>TEST_DATA!A8626</f>
        <v>27AAAAA8626Z5</v>
      </c>
      <c r="B8626" t="str">
        <f>TEST_DATA!B8626</f>
        <v>Mar-2023</v>
      </c>
      <c r="C8626">
        <f>TEST_DATA!C8626</f>
        <v>44058</v>
      </c>
      <c r="D8626" t="str">
        <f>TEST_DATA!D8626</f>
        <v>NON-NIL</v>
      </c>
      <c r="E8626">
        <f>TEST_DATA!E8626</f>
        <v>1527</v>
      </c>
    </row>
    <row r="8627" spans="1:5" x14ac:dyDescent="0.55000000000000004">
      <c r="A8627" t="str">
        <f>TEST_DATA!A8627</f>
        <v>27AAAAA8627Z5</v>
      </c>
      <c r="B8627" t="str">
        <f>TEST_DATA!B8627</f>
        <v>Jun-2018</v>
      </c>
      <c r="C8627">
        <f>TEST_DATA!C8627</f>
        <v>44048</v>
      </c>
      <c r="D8627" t="str">
        <f>TEST_DATA!D8627</f>
        <v>NIL</v>
      </c>
      <c r="E8627">
        <f>TEST_DATA!E8627</f>
        <v>2761</v>
      </c>
    </row>
    <row r="8628" spans="1:5" x14ac:dyDescent="0.55000000000000004">
      <c r="A8628" t="str">
        <f>TEST_DATA!A8628</f>
        <v>27AAAAA8628Z5</v>
      </c>
      <c r="B8628" t="str">
        <f>TEST_DATA!B8628</f>
        <v>Jan-2021</v>
      </c>
      <c r="C8628">
        <f>TEST_DATA!C8628</f>
        <v>44875</v>
      </c>
      <c r="D8628" t="str">
        <f>TEST_DATA!D8628</f>
        <v>NON-NIL</v>
      </c>
      <c r="E8628">
        <f>TEST_DATA!E8628</f>
        <v>2448</v>
      </c>
    </row>
    <row r="8629" spans="1:5" x14ac:dyDescent="0.55000000000000004">
      <c r="A8629" t="str">
        <f>TEST_DATA!A8629</f>
        <v>27AAAAA8629Z5</v>
      </c>
      <c r="B8629" t="str">
        <f>TEST_DATA!B8629</f>
        <v>Apr-2018</v>
      </c>
      <c r="C8629">
        <f>TEST_DATA!C8629</f>
        <v>43916</v>
      </c>
      <c r="D8629" t="str">
        <f>TEST_DATA!D8629</f>
        <v>NON-NIL</v>
      </c>
      <c r="E8629">
        <f>TEST_DATA!E8629</f>
        <v>2054</v>
      </c>
    </row>
    <row r="8630" spans="1:5" x14ac:dyDescent="0.55000000000000004">
      <c r="A8630" t="str">
        <f>TEST_DATA!A8630</f>
        <v>27AAAAA8630Z5</v>
      </c>
      <c r="B8630" t="str">
        <f>TEST_DATA!B8630</f>
        <v>Oct-2017</v>
      </c>
      <c r="C8630">
        <f>TEST_DATA!C8630</f>
        <v>44255</v>
      </c>
      <c r="D8630" t="str">
        <f>TEST_DATA!D8630</f>
        <v>NON-NIL</v>
      </c>
      <c r="E8630">
        <f>TEST_DATA!E8630</f>
        <v>1648</v>
      </c>
    </row>
    <row r="8631" spans="1:5" x14ac:dyDescent="0.55000000000000004">
      <c r="A8631" t="str">
        <f>TEST_DATA!A8631</f>
        <v>27AAAAA8631Z5</v>
      </c>
      <c r="B8631" t="str">
        <f>TEST_DATA!B8631</f>
        <v>Aug-2017</v>
      </c>
      <c r="C8631">
        <f>TEST_DATA!C8631</f>
        <v>43235</v>
      </c>
      <c r="D8631" t="str">
        <f>TEST_DATA!D8631</f>
        <v>NON-NIL</v>
      </c>
      <c r="E8631">
        <f>TEST_DATA!E8631</f>
        <v>2572</v>
      </c>
    </row>
    <row r="8632" spans="1:5" x14ac:dyDescent="0.55000000000000004">
      <c r="A8632" t="str">
        <f>TEST_DATA!A8632</f>
        <v>27AAAAA8632Z5</v>
      </c>
      <c r="B8632" t="str">
        <f>TEST_DATA!B8632</f>
        <v>May-2020</v>
      </c>
      <c r="C8632">
        <f>TEST_DATA!C8632</f>
        <v>44071</v>
      </c>
      <c r="D8632" t="str">
        <f>TEST_DATA!D8632</f>
        <v>NIL</v>
      </c>
      <c r="E8632">
        <f>TEST_DATA!E8632</f>
        <v>1681</v>
      </c>
    </row>
    <row r="8633" spans="1:5" x14ac:dyDescent="0.55000000000000004">
      <c r="A8633" t="str">
        <f>TEST_DATA!A8633</f>
        <v>27AAAAA8633Z5</v>
      </c>
      <c r="B8633" t="str">
        <f>TEST_DATA!B8633</f>
        <v>Dec-2017</v>
      </c>
      <c r="C8633">
        <f>TEST_DATA!C8633</f>
        <v>43405</v>
      </c>
      <c r="D8633" t="str">
        <f>TEST_DATA!D8633</f>
        <v>NIL</v>
      </c>
      <c r="E8633">
        <f>TEST_DATA!E8633</f>
        <v>2683</v>
      </c>
    </row>
    <row r="8634" spans="1:5" x14ac:dyDescent="0.55000000000000004">
      <c r="A8634" t="str">
        <f>TEST_DATA!A8634</f>
        <v>27AAAAA8634Z5</v>
      </c>
      <c r="B8634" t="str">
        <f>TEST_DATA!B8634</f>
        <v>Apr-2021</v>
      </c>
      <c r="C8634">
        <f>TEST_DATA!C8634</f>
        <v>44702</v>
      </c>
      <c r="D8634" t="str">
        <f>TEST_DATA!D8634</f>
        <v>NON-NIL</v>
      </c>
      <c r="E8634">
        <f>TEST_DATA!E8634</f>
        <v>7</v>
      </c>
    </row>
    <row r="8635" spans="1:5" x14ac:dyDescent="0.55000000000000004">
      <c r="A8635" t="str">
        <f>TEST_DATA!A8635</f>
        <v>27AAAAA8635Z5</v>
      </c>
      <c r="B8635" t="str">
        <f>TEST_DATA!B8635</f>
        <v>Apr-2018</v>
      </c>
      <c r="C8635">
        <f>TEST_DATA!C8635</f>
        <v>42954</v>
      </c>
      <c r="D8635" t="str">
        <f>TEST_DATA!D8635</f>
        <v>NON-NIL</v>
      </c>
      <c r="E8635">
        <f>TEST_DATA!E8635</f>
        <v>416</v>
      </c>
    </row>
    <row r="8636" spans="1:5" x14ac:dyDescent="0.55000000000000004">
      <c r="A8636" t="str">
        <f>TEST_DATA!A8636</f>
        <v>27AAAAA8636Z5</v>
      </c>
      <c r="B8636" t="str">
        <f>TEST_DATA!B8636</f>
        <v>Mar-2018</v>
      </c>
      <c r="C8636">
        <f>TEST_DATA!C8636</f>
        <v>43737</v>
      </c>
      <c r="D8636" t="str">
        <f>TEST_DATA!D8636</f>
        <v>NON-NIL</v>
      </c>
      <c r="E8636">
        <f>TEST_DATA!E8636</f>
        <v>2595</v>
      </c>
    </row>
    <row r="8637" spans="1:5" x14ac:dyDescent="0.55000000000000004">
      <c r="A8637" t="str">
        <f>TEST_DATA!A8637</f>
        <v>27AAAAA8637Z5</v>
      </c>
      <c r="B8637" t="str">
        <f>TEST_DATA!B8637</f>
        <v>Jul-2020</v>
      </c>
      <c r="C8637">
        <f>TEST_DATA!C8637</f>
        <v>44027</v>
      </c>
      <c r="D8637" t="str">
        <f>TEST_DATA!D8637</f>
        <v>NON-NIL</v>
      </c>
      <c r="E8637">
        <f>TEST_DATA!E8637</f>
        <v>2988</v>
      </c>
    </row>
    <row r="8638" spans="1:5" x14ac:dyDescent="0.55000000000000004">
      <c r="A8638" t="str">
        <f>TEST_DATA!A8638</f>
        <v>27AAAAA8638Z5</v>
      </c>
      <c r="B8638" t="str">
        <f>TEST_DATA!B8638</f>
        <v>Jan-2019</v>
      </c>
      <c r="C8638">
        <f>TEST_DATA!C8638</f>
        <v>45469</v>
      </c>
      <c r="D8638" t="str">
        <f>TEST_DATA!D8638</f>
        <v>NIL</v>
      </c>
      <c r="E8638">
        <f>TEST_DATA!E8638</f>
        <v>1191</v>
      </c>
    </row>
    <row r="8639" spans="1:5" x14ac:dyDescent="0.55000000000000004">
      <c r="A8639" t="str">
        <f>TEST_DATA!A8639</f>
        <v>27AAAAA8639Z5</v>
      </c>
      <c r="B8639" t="str">
        <f>TEST_DATA!B8639</f>
        <v>Oct-2017</v>
      </c>
      <c r="C8639">
        <f>TEST_DATA!C8639</f>
        <v>44055</v>
      </c>
      <c r="D8639" t="str">
        <f>TEST_DATA!D8639</f>
        <v>NON-NIL</v>
      </c>
      <c r="E8639">
        <f>TEST_DATA!E8639</f>
        <v>2923</v>
      </c>
    </row>
    <row r="8640" spans="1:5" x14ac:dyDescent="0.55000000000000004">
      <c r="A8640" t="str">
        <f>TEST_DATA!A8640</f>
        <v>27AAAAA8640Z5</v>
      </c>
      <c r="B8640" t="str">
        <f>TEST_DATA!B8640</f>
        <v>May-2018</v>
      </c>
      <c r="C8640">
        <f>TEST_DATA!C8640</f>
        <v>44088</v>
      </c>
      <c r="D8640" t="str">
        <f>TEST_DATA!D8640</f>
        <v>NON-NIL</v>
      </c>
      <c r="E8640">
        <f>TEST_DATA!E8640</f>
        <v>170</v>
      </c>
    </row>
    <row r="8641" spans="1:5" x14ac:dyDescent="0.55000000000000004">
      <c r="A8641" t="str">
        <f>TEST_DATA!A8641</f>
        <v>27AAAAA8641Z5</v>
      </c>
      <c r="B8641" t="str">
        <f>TEST_DATA!B8641</f>
        <v>Jun-2019</v>
      </c>
      <c r="C8641">
        <f>TEST_DATA!C8641</f>
        <v>44353</v>
      </c>
      <c r="D8641" t="str">
        <f>TEST_DATA!D8641</f>
        <v>NON-NIL</v>
      </c>
      <c r="E8641">
        <f>TEST_DATA!E8641</f>
        <v>1160</v>
      </c>
    </row>
    <row r="8642" spans="1:5" x14ac:dyDescent="0.55000000000000004">
      <c r="A8642" t="str">
        <f>TEST_DATA!A8642</f>
        <v>27AAAAA8642Z5</v>
      </c>
      <c r="B8642" t="str">
        <f>TEST_DATA!B8642</f>
        <v>Jun-2018</v>
      </c>
      <c r="C8642">
        <f>TEST_DATA!C8642</f>
        <v>44379</v>
      </c>
      <c r="D8642" t="str">
        <f>TEST_DATA!D8642</f>
        <v>NON-NIL</v>
      </c>
      <c r="E8642">
        <f>TEST_DATA!E8642</f>
        <v>151</v>
      </c>
    </row>
    <row r="8643" spans="1:5" x14ac:dyDescent="0.55000000000000004">
      <c r="A8643" t="str">
        <f>TEST_DATA!A8643</f>
        <v>27AAAAA8643Z5</v>
      </c>
      <c r="B8643" t="str">
        <f>TEST_DATA!B8643</f>
        <v>Oct-2017</v>
      </c>
      <c r="C8643">
        <f>TEST_DATA!C8643</f>
        <v>43862</v>
      </c>
      <c r="D8643" t="str">
        <f>TEST_DATA!D8643</f>
        <v>NIL</v>
      </c>
      <c r="E8643">
        <f>TEST_DATA!E8643</f>
        <v>782</v>
      </c>
    </row>
    <row r="8644" spans="1:5" x14ac:dyDescent="0.55000000000000004">
      <c r="A8644" t="str">
        <f>TEST_DATA!A8644</f>
        <v>27AAAAA8644Z5</v>
      </c>
      <c r="B8644" t="str">
        <f>TEST_DATA!B8644</f>
        <v>Apr-2020</v>
      </c>
      <c r="C8644">
        <f>TEST_DATA!C8644</f>
        <v>44626</v>
      </c>
      <c r="D8644" t="str">
        <f>TEST_DATA!D8644</f>
        <v>NIL</v>
      </c>
      <c r="E8644">
        <f>TEST_DATA!E8644</f>
        <v>79</v>
      </c>
    </row>
    <row r="8645" spans="1:5" x14ac:dyDescent="0.55000000000000004">
      <c r="A8645" t="str">
        <f>TEST_DATA!A8645</f>
        <v>27AAAAA8645Z5</v>
      </c>
      <c r="B8645" t="str">
        <f>TEST_DATA!B8645</f>
        <v>Sep-2017</v>
      </c>
      <c r="C8645">
        <f>TEST_DATA!C8645</f>
        <v>43859</v>
      </c>
      <c r="D8645" t="str">
        <f>TEST_DATA!D8645</f>
        <v>NON-NIL</v>
      </c>
      <c r="E8645">
        <f>TEST_DATA!E8645</f>
        <v>2522</v>
      </c>
    </row>
    <row r="8646" spans="1:5" x14ac:dyDescent="0.55000000000000004">
      <c r="A8646" t="str">
        <f>TEST_DATA!A8646</f>
        <v>27AAAAA8646Z5</v>
      </c>
      <c r="B8646" t="str">
        <f>TEST_DATA!B8646</f>
        <v>Jun-2020</v>
      </c>
      <c r="C8646">
        <f>TEST_DATA!C8646</f>
        <v>43894</v>
      </c>
      <c r="D8646" t="str">
        <f>TEST_DATA!D8646</f>
        <v>NIL</v>
      </c>
      <c r="E8646">
        <f>TEST_DATA!E8646</f>
        <v>429</v>
      </c>
    </row>
    <row r="8647" spans="1:5" x14ac:dyDescent="0.55000000000000004">
      <c r="A8647" t="str">
        <f>TEST_DATA!A8647</f>
        <v>27AAAAA8647Z5</v>
      </c>
      <c r="B8647" t="str">
        <f>TEST_DATA!B8647</f>
        <v>Sep-2018</v>
      </c>
      <c r="C8647">
        <f>TEST_DATA!C8647</f>
        <v>44452</v>
      </c>
      <c r="D8647" t="str">
        <f>TEST_DATA!D8647</f>
        <v>NIL</v>
      </c>
      <c r="E8647">
        <f>TEST_DATA!E8647</f>
        <v>1569</v>
      </c>
    </row>
    <row r="8648" spans="1:5" x14ac:dyDescent="0.55000000000000004">
      <c r="A8648" t="str">
        <f>TEST_DATA!A8648</f>
        <v>27AAAAA8648Z5</v>
      </c>
      <c r="B8648" t="str">
        <f>TEST_DATA!B8648</f>
        <v>Sep-2018</v>
      </c>
      <c r="C8648">
        <f>TEST_DATA!C8648</f>
        <v>44090</v>
      </c>
      <c r="D8648" t="str">
        <f>TEST_DATA!D8648</f>
        <v>NON-NIL</v>
      </c>
      <c r="E8648">
        <f>TEST_DATA!E8648</f>
        <v>2353</v>
      </c>
    </row>
    <row r="8649" spans="1:5" x14ac:dyDescent="0.55000000000000004">
      <c r="A8649" t="str">
        <f>TEST_DATA!A8649</f>
        <v>27AAAAA8649Z5</v>
      </c>
      <c r="B8649" t="str">
        <f>TEST_DATA!B8649</f>
        <v>Aug-2017</v>
      </c>
      <c r="C8649">
        <f>TEST_DATA!C8649</f>
        <v>43918</v>
      </c>
      <c r="D8649" t="str">
        <f>TEST_DATA!D8649</f>
        <v>NON-NIL</v>
      </c>
      <c r="E8649">
        <f>TEST_DATA!E8649</f>
        <v>2870</v>
      </c>
    </row>
    <row r="8650" spans="1:5" x14ac:dyDescent="0.55000000000000004">
      <c r="A8650" t="str">
        <f>TEST_DATA!A8650</f>
        <v>27AAAAA8650Z5</v>
      </c>
      <c r="B8650" t="str">
        <f>TEST_DATA!B8650</f>
        <v>Apr-2020</v>
      </c>
      <c r="C8650">
        <f>TEST_DATA!C8650</f>
        <v>44195</v>
      </c>
      <c r="D8650" t="str">
        <f>TEST_DATA!D8650</f>
        <v>NON-NIL</v>
      </c>
      <c r="E8650">
        <f>TEST_DATA!E8650</f>
        <v>1285</v>
      </c>
    </row>
    <row r="8651" spans="1:5" x14ac:dyDescent="0.55000000000000004">
      <c r="A8651" t="str">
        <f>TEST_DATA!A8651</f>
        <v>27AAAAA8651Z5</v>
      </c>
      <c r="B8651" t="str">
        <f>TEST_DATA!B8651</f>
        <v>Jun-2020</v>
      </c>
      <c r="C8651">
        <f>TEST_DATA!C8651</f>
        <v>44031</v>
      </c>
      <c r="D8651" t="str">
        <f>TEST_DATA!D8651</f>
        <v>NON-NIL</v>
      </c>
      <c r="E8651">
        <f>TEST_DATA!E8651</f>
        <v>2882</v>
      </c>
    </row>
    <row r="8652" spans="1:5" x14ac:dyDescent="0.55000000000000004">
      <c r="A8652" t="str">
        <f>TEST_DATA!A8652</f>
        <v>27AAAAA8652Z5</v>
      </c>
      <c r="B8652" t="str">
        <f>TEST_DATA!B8652</f>
        <v>Nov-2017</v>
      </c>
      <c r="C8652">
        <f>TEST_DATA!C8652</f>
        <v>43141</v>
      </c>
      <c r="D8652" t="str">
        <f>TEST_DATA!D8652</f>
        <v>NON-NIL</v>
      </c>
      <c r="E8652">
        <f>TEST_DATA!E8652</f>
        <v>2368</v>
      </c>
    </row>
    <row r="8653" spans="1:5" x14ac:dyDescent="0.55000000000000004">
      <c r="A8653" t="str">
        <f>TEST_DATA!A8653</f>
        <v>27AAAAA8653Z5</v>
      </c>
      <c r="B8653" t="str">
        <f>TEST_DATA!B8653</f>
        <v>Apr-2021</v>
      </c>
      <c r="C8653">
        <f>TEST_DATA!C8653</f>
        <v>44434</v>
      </c>
      <c r="D8653" t="str">
        <f>TEST_DATA!D8653</f>
        <v>NON-NIL</v>
      </c>
      <c r="E8653">
        <f>TEST_DATA!E8653</f>
        <v>1823</v>
      </c>
    </row>
    <row r="8654" spans="1:5" x14ac:dyDescent="0.55000000000000004">
      <c r="A8654" t="str">
        <f>TEST_DATA!A8654</f>
        <v>27AAAAA8654Z5</v>
      </c>
      <c r="B8654" t="str">
        <f>TEST_DATA!B8654</f>
        <v>Jul-2018</v>
      </c>
      <c r="C8654">
        <f>TEST_DATA!C8654</f>
        <v>44303</v>
      </c>
      <c r="D8654" t="str">
        <f>TEST_DATA!D8654</f>
        <v>NIL</v>
      </c>
      <c r="E8654">
        <f>TEST_DATA!E8654</f>
        <v>1445</v>
      </c>
    </row>
    <row r="8655" spans="1:5" x14ac:dyDescent="0.55000000000000004">
      <c r="A8655" t="str">
        <f>TEST_DATA!A8655</f>
        <v>27AAAAA8655Z5</v>
      </c>
      <c r="B8655" t="str">
        <f>TEST_DATA!B8655</f>
        <v>Jan-2018</v>
      </c>
      <c r="C8655">
        <f>TEST_DATA!C8655</f>
        <v>44536</v>
      </c>
      <c r="D8655" t="str">
        <f>TEST_DATA!D8655</f>
        <v>NON-NIL</v>
      </c>
      <c r="E8655">
        <f>TEST_DATA!E8655</f>
        <v>1993</v>
      </c>
    </row>
    <row r="8656" spans="1:5" x14ac:dyDescent="0.55000000000000004">
      <c r="A8656" t="str">
        <f>TEST_DATA!A8656</f>
        <v>27AAAAA8656Z5</v>
      </c>
      <c r="B8656" t="str">
        <f>TEST_DATA!B8656</f>
        <v>Feb-2018</v>
      </c>
      <c r="C8656">
        <f>TEST_DATA!C8656</f>
        <v>43670</v>
      </c>
      <c r="D8656" t="str">
        <f>TEST_DATA!D8656</f>
        <v>NON-NIL</v>
      </c>
      <c r="E8656">
        <f>TEST_DATA!E8656</f>
        <v>2880</v>
      </c>
    </row>
    <row r="8657" spans="1:5" x14ac:dyDescent="0.55000000000000004">
      <c r="A8657" t="str">
        <f>TEST_DATA!A8657</f>
        <v>27AAAAA8657Z5</v>
      </c>
      <c r="B8657" t="str">
        <f>TEST_DATA!B8657</f>
        <v>Jun-2019</v>
      </c>
      <c r="C8657">
        <f>TEST_DATA!C8657</f>
        <v>45135</v>
      </c>
      <c r="D8657" t="str">
        <f>TEST_DATA!D8657</f>
        <v>NIL</v>
      </c>
      <c r="E8657">
        <f>TEST_DATA!E8657</f>
        <v>2003</v>
      </c>
    </row>
    <row r="8658" spans="1:5" x14ac:dyDescent="0.55000000000000004">
      <c r="A8658" t="str">
        <f>TEST_DATA!A8658</f>
        <v>27AAAAA8658Z5</v>
      </c>
      <c r="B8658" t="str">
        <f>TEST_DATA!B8658</f>
        <v>Aug-2017</v>
      </c>
      <c r="C8658">
        <f>TEST_DATA!C8658</f>
        <v>43847</v>
      </c>
      <c r="D8658" t="str">
        <f>TEST_DATA!D8658</f>
        <v>NIL</v>
      </c>
      <c r="E8658">
        <f>TEST_DATA!E8658</f>
        <v>544</v>
      </c>
    </row>
    <row r="8659" spans="1:5" x14ac:dyDescent="0.55000000000000004">
      <c r="A8659" t="str">
        <f>TEST_DATA!A8659</f>
        <v>27AAAAA8659Z5</v>
      </c>
      <c r="B8659" t="str">
        <f>TEST_DATA!B8659</f>
        <v>Dec-2019</v>
      </c>
      <c r="C8659">
        <f>TEST_DATA!C8659</f>
        <v>45671</v>
      </c>
      <c r="D8659" t="str">
        <f>TEST_DATA!D8659</f>
        <v>NIL</v>
      </c>
      <c r="E8659">
        <f>TEST_DATA!E8659</f>
        <v>1106</v>
      </c>
    </row>
    <row r="8660" spans="1:5" x14ac:dyDescent="0.55000000000000004">
      <c r="A8660" t="str">
        <f>TEST_DATA!A8660</f>
        <v>27AAAAA8660Z5</v>
      </c>
      <c r="B8660" t="str">
        <f>TEST_DATA!B8660</f>
        <v>Mar-2021</v>
      </c>
      <c r="C8660">
        <f>TEST_DATA!C8660</f>
        <v>43815</v>
      </c>
      <c r="D8660" t="str">
        <f>TEST_DATA!D8660</f>
        <v>NIL</v>
      </c>
      <c r="E8660">
        <f>TEST_DATA!E8660</f>
        <v>944</v>
      </c>
    </row>
    <row r="8661" spans="1:5" x14ac:dyDescent="0.55000000000000004">
      <c r="A8661" t="str">
        <f>TEST_DATA!A8661</f>
        <v>27AAAAA8661Z5</v>
      </c>
      <c r="B8661" t="str">
        <f>TEST_DATA!B8661</f>
        <v>Apr-2021</v>
      </c>
      <c r="C8661">
        <f>TEST_DATA!C8661</f>
        <v>44880</v>
      </c>
      <c r="D8661" t="str">
        <f>TEST_DATA!D8661</f>
        <v>NIL</v>
      </c>
      <c r="E8661">
        <f>TEST_DATA!E8661</f>
        <v>794</v>
      </c>
    </row>
    <row r="8662" spans="1:5" x14ac:dyDescent="0.55000000000000004">
      <c r="A8662" t="str">
        <f>TEST_DATA!A8662</f>
        <v>27AAAAA8662Z5</v>
      </c>
      <c r="B8662" t="str">
        <f>TEST_DATA!B8662</f>
        <v>Apr-2020</v>
      </c>
      <c r="C8662">
        <f>TEST_DATA!C8662</f>
        <v>43845</v>
      </c>
      <c r="D8662" t="str">
        <f>TEST_DATA!D8662</f>
        <v>NIL</v>
      </c>
      <c r="E8662">
        <f>TEST_DATA!E8662</f>
        <v>1114</v>
      </c>
    </row>
    <row r="8663" spans="1:5" x14ac:dyDescent="0.55000000000000004">
      <c r="A8663" t="str">
        <f>TEST_DATA!A8663</f>
        <v>27AAAAA8663Z5</v>
      </c>
      <c r="B8663" t="str">
        <f>TEST_DATA!B8663</f>
        <v>Jan-2018</v>
      </c>
      <c r="C8663">
        <f>TEST_DATA!C8663</f>
        <v>43013</v>
      </c>
      <c r="D8663" t="str">
        <f>TEST_DATA!D8663</f>
        <v>NON-NIL</v>
      </c>
      <c r="E8663">
        <f>TEST_DATA!E8663</f>
        <v>1269</v>
      </c>
    </row>
    <row r="8664" spans="1:5" x14ac:dyDescent="0.55000000000000004">
      <c r="A8664" t="str">
        <f>TEST_DATA!A8664</f>
        <v>27AAAAA8664Z5</v>
      </c>
      <c r="B8664" t="str">
        <f>TEST_DATA!B8664</f>
        <v>Dec-2017</v>
      </c>
      <c r="C8664">
        <f>TEST_DATA!C8664</f>
        <v>43925</v>
      </c>
      <c r="D8664" t="str">
        <f>TEST_DATA!D8664</f>
        <v>NON-NIL</v>
      </c>
      <c r="E8664">
        <f>TEST_DATA!E8664</f>
        <v>2516</v>
      </c>
    </row>
    <row r="8665" spans="1:5" x14ac:dyDescent="0.55000000000000004">
      <c r="A8665" t="str">
        <f>TEST_DATA!A8665</f>
        <v>27AAAAA8665Z5</v>
      </c>
      <c r="B8665" t="str">
        <f>TEST_DATA!B8665</f>
        <v>Feb-2018</v>
      </c>
      <c r="C8665">
        <f>TEST_DATA!C8665</f>
        <v>43802</v>
      </c>
      <c r="D8665" t="str">
        <f>TEST_DATA!D8665</f>
        <v>NON-NIL</v>
      </c>
      <c r="E8665">
        <f>TEST_DATA!E8665</f>
        <v>2754</v>
      </c>
    </row>
    <row r="8666" spans="1:5" x14ac:dyDescent="0.55000000000000004">
      <c r="A8666" t="str">
        <f>TEST_DATA!A8666</f>
        <v>27AAAAA8666Z5</v>
      </c>
      <c r="B8666" t="str">
        <f>TEST_DATA!B8666</f>
        <v>Feb-2018</v>
      </c>
      <c r="C8666">
        <f>TEST_DATA!C8666</f>
        <v>43559</v>
      </c>
      <c r="D8666" t="str">
        <f>TEST_DATA!D8666</f>
        <v>NON-NIL</v>
      </c>
      <c r="E8666">
        <f>TEST_DATA!E8666</f>
        <v>2917</v>
      </c>
    </row>
    <row r="8667" spans="1:5" x14ac:dyDescent="0.55000000000000004">
      <c r="A8667" t="str">
        <f>TEST_DATA!A8667</f>
        <v>27AAAAA8667Z5</v>
      </c>
      <c r="B8667" t="str">
        <f>TEST_DATA!B8667</f>
        <v>Mar-2021</v>
      </c>
      <c r="C8667">
        <f>TEST_DATA!C8667</f>
        <v>45791</v>
      </c>
      <c r="D8667" t="str">
        <f>TEST_DATA!D8667</f>
        <v>NON-NIL</v>
      </c>
      <c r="E8667">
        <f>TEST_DATA!E8667</f>
        <v>1808</v>
      </c>
    </row>
    <row r="8668" spans="1:5" x14ac:dyDescent="0.55000000000000004">
      <c r="A8668" t="str">
        <f>TEST_DATA!A8668</f>
        <v>27AAAAA8668Z5</v>
      </c>
      <c r="B8668" t="str">
        <f>TEST_DATA!B8668</f>
        <v>Mar-2021</v>
      </c>
      <c r="C8668">
        <f>TEST_DATA!C8668</f>
        <v>43722</v>
      </c>
      <c r="D8668" t="str">
        <f>TEST_DATA!D8668</f>
        <v>NON-NIL</v>
      </c>
      <c r="E8668">
        <f>TEST_DATA!E8668</f>
        <v>2130</v>
      </c>
    </row>
    <row r="8669" spans="1:5" x14ac:dyDescent="0.55000000000000004">
      <c r="A8669" t="str">
        <f>TEST_DATA!A8669</f>
        <v>27AAAAA8669Z5</v>
      </c>
      <c r="B8669" t="str">
        <f>TEST_DATA!B8669</f>
        <v>Jul-2017</v>
      </c>
      <c r="C8669">
        <f>TEST_DATA!C8669</f>
        <v>43318</v>
      </c>
      <c r="D8669" t="str">
        <f>TEST_DATA!D8669</f>
        <v>NIL</v>
      </c>
      <c r="E8669">
        <f>TEST_DATA!E8669</f>
        <v>2720</v>
      </c>
    </row>
    <row r="8670" spans="1:5" x14ac:dyDescent="0.55000000000000004">
      <c r="A8670" t="str">
        <f>TEST_DATA!A8670</f>
        <v>27AAAAA8670Z5</v>
      </c>
      <c r="B8670" t="str">
        <f>TEST_DATA!B8670</f>
        <v>Aug-2017</v>
      </c>
      <c r="C8670">
        <f>TEST_DATA!C8670</f>
        <v>43851</v>
      </c>
      <c r="D8670" t="str">
        <f>TEST_DATA!D8670</f>
        <v>NIL</v>
      </c>
      <c r="E8670">
        <f>TEST_DATA!E8670</f>
        <v>1491</v>
      </c>
    </row>
    <row r="8671" spans="1:5" x14ac:dyDescent="0.55000000000000004">
      <c r="A8671" t="str">
        <f>TEST_DATA!A8671</f>
        <v>27AAAAA8671Z5</v>
      </c>
      <c r="B8671" t="str">
        <f>TEST_DATA!B8671</f>
        <v>Mar-2021</v>
      </c>
      <c r="C8671">
        <f>TEST_DATA!C8671</f>
        <v>45255</v>
      </c>
      <c r="D8671" t="str">
        <f>TEST_DATA!D8671</f>
        <v>NON-NIL</v>
      </c>
      <c r="E8671">
        <f>TEST_DATA!E8671</f>
        <v>2296</v>
      </c>
    </row>
    <row r="8672" spans="1:5" x14ac:dyDescent="0.55000000000000004">
      <c r="A8672" t="str">
        <f>TEST_DATA!A8672</f>
        <v>27AAAAA8672Z5</v>
      </c>
      <c r="B8672" t="str">
        <f>TEST_DATA!B8672</f>
        <v>Dec-2022</v>
      </c>
      <c r="C8672">
        <f>TEST_DATA!C8672</f>
        <v>44094</v>
      </c>
      <c r="D8672" t="str">
        <f>TEST_DATA!D8672</f>
        <v>NON-NIL</v>
      </c>
      <c r="E8672">
        <f>TEST_DATA!E8672</f>
        <v>103</v>
      </c>
    </row>
    <row r="8673" spans="1:5" x14ac:dyDescent="0.55000000000000004">
      <c r="A8673" t="str">
        <f>TEST_DATA!A8673</f>
        <v>27AAAAA8673Z5</v>
      </c>
      <c r="B8673" t="str">
        <f>TEST_DATA!B8673</f>
        <v>Jun-2019</v>
      </c>
      <c r="C8673">
        <f>TEST_DATA!C8673</f>
        <v>44179</v>
      </c>
      <c r="D8673" t="str">
        <f>TEST_DATA!D8673</f>
        <v>NON-NIL</v>
      </c>
      <c r="E8673">
        <f>TEST_DATA!E8673</f>
        <v>743</v>
      </c>
    </row>
    <row r="8674" spans="1:5" x14ac:dyDescent="0.55000000000000004">
      <c r="A8674" t="str">
        <f>TEST_DATA!A8674</f>
        <v>27AAAAA8674Z5</v>
      </c>
      <c r="B8674" t="str">
        <f>TEST_DATA!B8674</f>
        <v>Jun-2020</v>
      </c>
      <c r="C8674">
        <f>TEST_DATA!C8674</f>
        <v>44681</v>
      </c>
      <c r="D8674" t="str">
        <f>TEST_DATA!D8674</f>
        <v>NIL</v>
      </c>
      <c r="E8674">
        <f>TEST_DATA!E8674</f>
        <v>2987</v>
      </c>
    </row>
    <row r="8675" spans="1:5" x14ac:dyDescent="0.55000000000000004">
      <c r="A8675" t="str">
        <f>TEST_DATA!A8675</f>
        <v>27AAAAA8675Z5</v>
      </c>
      <c r="B8675" t="str">
        <f>TEST_DATA!B8675</f>
        <v>Jan-2019</v>
      </c>
      <c r="C8675">
        <f>TEST_DATA!C8675</f>
        <v>44549</v>
      </c>
      <c r="D8675" t="str">
        <f>TEST_DATA!D8675</f>
        <v>NIL</v>
      </c>
      <c r="E8675">
        <f>TEST_DATA!E8675</f>
        <v>579</v>
      </c>
    </row>
    <row r="8676" spans="1:5" x14ac:dyDescent="0.55000000000000004">
      <c r="A8676" t="str">
        <f>TEST_DATA!A8676</f>
        <v>27AAAAA8676Z5</v>
      </c>
      <c r="B8676" t="str">
        <f>TEST_DATA!B8676</f>
        <v>Dec-2024</v>
      </c>
      <c r="C8676">
        <f>TEST_DATA!C8676</f>
        <v>45540</v>
      </c>
      <c r="D8676" t="str">
        <f>TEST_DATA!D8676</f>
        <v>NON-NIL</v>
      </c>
      <c r="E8676">
        <f>TEST_DATA!E8676</f>
        <v>1757</v>
      </c>
    </row>
    <row r="8677" spans="1:5" x14ac:dyDescent="0.55000000000000004">
      <c r="A8677" t="str">
        <f>TEST_DATA!A8677</f>
        <v>27AAAAA8677Z5</v>
      </c>
      <c r="B8677" t="str">
        <f>TEST_DATA!B8677</f>
        <v>Mar-2020</v>
      </c>
      <c r="C8677">
        <f>TEST_DATA!C8677</f>
        <v>44043</v>
      </c>
      <c r="D8677" t="str">
        <f>TEST_DATA!D8677</f>
        <v>NIL</v>
      </c>
      <c r="E8677">
        <f>TEST_DATA!E8677</f>
        <v>517</v>
      </c>
    </row>
    <row r="8678" spans="1:5" x14ac:dyDescent="0.55000000000000004">
      <c r="A8678" t="str">
        <f>TEST_DATA!A8678</f>
        <v>27AAAAA8678Z5</v>
      </c>
      <c r="B8678" t="str">
        <f>TEST_DATA!B8678</f>
        <v>Jun-2020</v>
      </c>
      <c r="C8678">
        <f>TEST_DATA!C8678</f>
        <v>44094</v>
      </c>
      <c r="D8678" t="str">
        <f>TEST_DATA!D8678</f>
        <v>NIL</v>
      </c>
      <c r="E8678">
        <f>TEST_DATA!E8678</f>
        <v>680</v>
      </c>
    </row>
    <row r="8679" spans="1:5" x14ac:dyDescent="0.55000000000000004">
      <c r="A8679" t="str">
        <f>TEST_DATA!A8679</f>
        <v>27AAAAA8679Z5</v>
      </c>
      <c r="B8679" t="str">
        <f>TEST_DATA!B8679</f>
        <v>Sep-2017</v>
      </c>
      <c r="C8679">
        <f>TEST_DATA!C8679</f>
        <v>43457</v>
      </c>
      <c r="D8679" t="str">
        <f>TEST_DATA!D8679</f>
        <v>NIL</v>
      </c>
      <c r="E8679">
        <f>TEST_DATA!E8679</f>
        <v>1320</v>
      </c>
    </row>
    <row r="8680" spans="1:5" x14ac:dyDescent="0.55000000000000004">
      <c r="A8680" t="str">
        <f>TEST_DATA!A8680</f>
        <v>27AAAAA8680Z5</v>
      </c>
      <c r="B8680" t="str">
        <f>TEST_DATA!B8680</f>
        <v>Mar-2023</v>
      </c>
      <c r="C8680">
        <f>TEST_DATA!C8680</f>
        <v>44117</v>
      </c>
      <c r="D8680" t="str">
        <f>TEST_DATA!D8680</f>
        <v>NON-NIL</v>
      </c>
      <c r="E8680">
        <f>TEST_DATA!E8680</f>
        <v>338</v>
      </c>
    </row>
    <row r="8681" spans="1:5" x14ac:dyDescent="0.55000000000000004">
      <c r="A8681" t="str">
        <f>TEST_DATA!A8681</f>
        <v>27AAAAA8681Z5</v>
      </c>
      <c r="B8681" t="str">
        <f>TEST_DATA!B8681</f>
        <v>Oct-2017</v>
      </c>
      <c r="C8681">
        <f>TEST_DATA!C8681</f>
        <v>44116</v>
      </c>
      <c r="D8681" t="str">
        <f>TEST_DATA!D8681</f>
        <v>NON-NIL</v>
      </c>
      <c r="E8681">
        <f>TEST_DATA!E8681</f>
        <v>2629</v>
      </c>
    </row>
    <row r="8682" spans="1:5" x14ac:dyDescent="0.55000000000000004">
      <c r="A8682" t="str">
        <f>TEST_DATA!A8682</f>
        <v>27AAAAA8682Z5</v>
      </c>
      <c r="B8682" t="str">
        <f>TEST_DATA!B8682</f>
        <v>Dec-2019</v>
      </c>
      <c r="C8682">
        <f>TEST_DATA!C8682</f>
        <v>45790</v>
      </c>
      <c r="D8682" t="str">
        <f>TEST_DATA!D8682</f>
        <v>NIL</v>
      </c>
      <c r="E8682">
        <f>TEST_DATA!E8682</f>
        <v>1364</v>
      </c>
    </row>
    <row r="8683" spans="1:5" x14ac:dyDescent="0.55000000000000004">
      <c r="A8683" t="str">
        <f>TEST_DATA!A8683</f>
        <v>27AAAAA8683Z5</v>
      </c>
      <c r="B8683" t="str">
        <f>TEST_DATA!B8683</f>
        <v>Apr-2021</v>
      </c>
      <c r="C8683">
        <f>TEST_DATA!C8683</f>
        <v>44719</v>
      </c>
      <c r="D8683" t="str">
        <f>TEST_DATA!D8683</f>
        <v>NON-NIL</v>
      </c>
      <c r="E8683">
        <f>TEST_DATA!E8683</f>
        <v>1304</v>
      </c>
    </row>
    <row r="8684" spans="1:5" x14ac:dyDescent="0.55000000000000004">
      <c r="A8684" t="str">
        <f>TEST_DATA!A8684</f>
        <v>27AAAAA8684Z5</v>
      </c>
      <c r="B8684" t="str">
        <f>TEST_DATA!B8684</f>
        <v>Sep-2018</v>
      </c>
      <c r="C8684">
        <f>TEST_DATA!C8684</f>
        <v>43457</v>
      </c>
      <c r="D8684" t="str">
        <f>TEST_DATA!D8684</f>
        <v>NON-NIL</v>
      </c>
      <c r="E8684">
        <f>TEST_DATA!E8684</f>
        <v>1546</v>
      </c>
    </row>
    <row r="8685" spans="1:5" x14ac:dyDescent="0.55000000000000004">
      <c r="A8685" t="str">
        <f>TEST_DATA!A8685</f>
        <v>27AAAAA8685Z5</v>
      </c>
      <c r="B8685" t="str">
        <f>TEST_DATA!B8685</f>
        <v>Jun-2018</v>
      </c>
      <c r="C8685">
        <f>TEST_DATA!C8685</f>
        <v>44350</v>
      </c>
      <c r="D8685" t="str">
        <f>TEST_DATA!D8685</f>
        <v>NIL</v>
      </c>
      <c r="E8685">
        <f>TEST_DATA!E8685</f>
        <v>740</v>
      </c>
    </row>
    <row r="8686" spans="1:5" x14ac:dyDescent="0.55000000000000004">
      <c r="A8686" t="str">
        <f>TEST_DATA!A8686</f>
        <v>27AAAAA8686Z5</v>
      </c>
      <c r="B8686" t="str">
        <f>TEST_DATA!B8686</f>
        <v>Jun-2018</v>
      </c>
      <c r="C8686">
        <f>TEST_DATA!C8686</f>
        <v>44322</v>
      </c>
      <c r="D8686" t="str">
        <f>TEST_DATA!D8686</f>
        <v>NON-NIL</v>
      </c>
      <c r="E8686">
        <f>TEST_DATA!E8686</f>
        <v>1147</v>
      </c>
    </row>
    <row r="8687" spans="1:5" x14ac:dyDescent="0.55000000000000004">
      <c r="A8687" t="str">
        <f>TEST_DATA!A8687</f>
        <v>27AAAAA8687Z5</v>
      </c>
      <c r="B8687" t="str">
        <f>TEST_DATA!B8687</f>
        <v>Apr-2018</v>
      </c>
      <c r="C8687">
        <f>TEST_DATA!C8687</f>
        <v>43073</v>
      </c>
      <c r="D8687" t="str">
        <f>TEST_DATA!D8687</f>
        <v>NIL</v>
      </c>
      <c r="E8687">
        <f>TEST_DATA!E8687</f>
        <v>2133</v>
      </c>
    </row>
    <row r="8688" spans="1:5" x14ac:dyDescent="0.55000000000000004">
      <c r="A8688" t="str">
        <f>TEST_DATA!A8688</f>
        <v>27AAAAA8688Z5</v>
      </c>
      <c r="B8688" t="str">
        <f>TEST_DATA!B8688</f>
        <v>Oct-2017</v>
      </c>
      <c r="C8688">
        <f>TEST_DATA!C8688</f>
        <v>44549</v>
      </c>
      <c r="D8688" t="str">
        <f>TEST_DATA!D8688</f>
        <v>NON-NIL</v>
      </c>
      <c r="E8688">
        <f>TEST_DATA!E8688</f>
        <v>349</v>
      </c>
    </row>
    <row r="8689" spans="1:5" x14ac:dyDescent="0.55000000000000004">
      <c r="A8689" t="str">
        <f>TEST_DATA!A8689</f>
        <v>27AAAAA8689Z5</v>
      </c>
      <c r="B8689" t="str">
        <f>TEST_DATA!B8689</f>
        <v>Jan-2018</v>
      </c>
      <c r="C8689">
        <f>TEST_DATA!C8689</f>
        <v>43699</v>
      </c>
      <c r="D8689" t="str">
        <f>TEST_DATA!D8689</f>
        <v>NON-NIL</v>
      </c>
      <c r="E8689">
        <f>TEST_DATA!E8689</f>
        <v>768</v>
      </c>
    </row>
    <row r="8690" spans="1:5" x14ac:dyDescent="0.55000000000000004">
      <c r="A8690" t="str">
        <f>TEST_DATA!A8690</f>
        <v>27AAAAA8690Z5</v>
      </c>
      <c r="B8690" t="str">
        <f>TEST_DATA!B8690</f>
        <v>Jun-2019</v>
      </c>
      <c r="C8690">
        <f>TEST_DATA!C8690</f>
        <v>43540</v>
      </c>
      <c r="D8690" t="str">
        <f>TEST_DATA!D8690</f>
        <v>NON-NIL</v>
      </c>
      <c r="E8690">
        <f>TEST_DATA!E8690</f>
        <v>591</v>
      </c>
    </row>
    <row r="8691" spans="1:5" x14ac:dyDescent="0.55000000000000004">
      <c r="A8691" t="str">
        <f>TEST_DATA!A8691</f>
        <v>27AAAAA8691Z5</v>
      </c>
      <c r="B8691" t="str">
        <f>TEST_DATA!B8691</f>
        <v>Aug-2017</v>
      </c>
      <c r="C8691">
        <f>TEST_DATA!C8691</f>
        <v>43339</v>
      </c>
      <c r="D8691" t="str">
        <f>TEST_DATA!D8691</f>
        <v>NIL</v>
      </c>
      <c r="E8691">
        <f>TEST_DATA!E8691</f>
        <v>2826</v>
      </c>
    </row>
    <row r="8692" spans="1:5" x14ac:dyDescent="0.55000000000000004">
      <c r="A8692" t="str">
        <f>TEST_DATA!A8692</f>
        <v>27AAAAA8692Z5</v>
      </c>
      <c r="B8692" t="str">
        <f>TEST_DATA!B8692</f>
        <v>Mar-2020</v>
      </c>
      <c r="C8692">
        <f>TEST_DATA!C8692</f>
        <v>44274</v>
      </c>
      <c r="D8692" t="str">
        <f>TEST_DATA!D8692</f>
        <v>NON-NIL</v>
      </c>
      <c r="E8692">
        <f>TEST_DATA!E8692</f>
        <v>2958</v>
      </c>
    </row>
    <row r="8693" spans="1:5" x14ac:dyDescent="0.55000000000000004">
      <c r="A8693" t="str">
        <f>TEST_DATA!A8693</f>
        <v>27AAAAA8693Z5</v>
      </c>
      <c r="B8693" t="str">
        <f>TEST_DATA!B8693</f>
        <v>Aug-2018</v>
      </c>
      <c r="C8693">
        <f>TEST_DATA!C8693</f>
        <v>43967</v>
      </c>
      <c r="D8693" t="str">
        <f>TEST_DATA!D8693</f>
        <v>NON-NIL</v>
      </c>
      <c r="E8693">
        <f>TEST_DATA!E8693</f>
        <v>408</v>
      </c>
    </row>
    <row r="8694" spans="1:5" x14ac:dyDescent="0.55000000000000004">
      <c r="A8694" t="str">
        <f>TEST_DATA!A8694</f>
        <v>27AAAAA8694Z5</v>
      </c>
      <c r="B8694" t="str">
        <f>TEST_DATA!B8694</f>
        <v>Dec-2019</v>
      </c>
      <c r="C8694">
        <f>TEST_DATA!C8694</f>
        <v>44610</v>
      </c>
      <c r="D8694" t="str">
        <f>TEST_DATA!D8694</f>
        <v>NON-NIL</v>
      </c>
      <c r="E8694">
        <f>TEST_DATA!E8694</f>
        <v>328</v>
      </c>
    </row>
    <row r="8695" spans="1:5" x14ac:dyDescent="0.55000000000000004">
      <c r="A8695" t="str">
        <f>TEST_DATA!A8695</f>
        <v>27AAAAA8695Z5</v>
      </c>
      <c r="B8695" t="str">
        <f>TEST_DATA!B8695</f>
        <v>Mar-2018</v>
      </c>
      <c r="C8695">
        <f>TEST_DATA!C8695</f>
        <v>43699</v>
      </c>
      <c r="D8695" t="str">
        <f>TEST_DATA!D8695</f>
        <v>NIL</v>
      </c>
      <c r="E8695">
        <f>TEST_DATA!E8695</f>
        <v>679</v>
      </c>
    </row>
    <row r="8696" spans="1:5" x14ac:dyDescent="0.55000000000000004">
      <c r="A8696" t="str">
        <f>TEST_DATA!A8696</f>
        <v>27AAAAA8696Z5</v>
      </c>
      <c r="B8696" t="str">
        <f>TEST_DATA!B8696</f>
        <v>Jul-2017</v>
      </c>
      <c r="C8696">
        <f>TEST_DATA!C8696</f>
        <v>43069</v>
      </c>
      <c r="D8696" t="str">
        <f>TEST_DATA!D8696</f>
        <v>NON-NIL</v>
      </c>
      <c r="E8696">
        <f>TEST_DATA!E8696</f>
        <v>2711</v>
      </c>
    </row>
    <row r="8697" spans="1:5" x14ac:dyDescent="0.55000000000000004">
      <c r="A8697" t="str">
        <f>TEST_DATA!A8697</f>
        <v>27AAAAA8697Z5</v>
      </c>
      <c r="B8697" t="str">
        <f>TEST_DATA!B8697</f>
        <v>Jun-2019</v>
      </c>
      <c r="C8697">
        <f>TEST_DATA!C8697</f>
        <v>44464</v>
      </c>
      <c r="D8697" t="str">
        <f>TEST_DATA!D8697</f>
        <v>NIL</v>
      </c>
      <c r="E8697">
        <f>TEST_DATA!E8697</f>
        <v>995</v>
      </c>
    </row>
    <row r="8698" spans="1:5" x14ac:dyDescent="0.55000000000000004">
      <c r="A8698" t="str">
        <f>TEST_DATA!A8698</f>
        <v>27AAAAA8698Z5</v>
      </c>
      <c r="B8698" t="str">
        <f>TEST_DATA!B8698</f>
        <v>May-2018</v>
      </c>
      <c r="C8698">
        <f>TEST_DATA!C8698</f>
        <v>43463</v>
      </c>
      <c r="D8698" t="str">
        <f>TEST_DATA!D8698</f>
        <v>NIL</v>
      </c>
      <c r="E8698">
        <f>TEST_DATA!E8698</f>
        <v>399</v>
      </c>
    </row>
    <row r="8699" spans="1:5" x14ac:dyDescent="0.55000000000000004">
      <c r="A8699" t="str">
        <f>TEST_DATA!A8699</f>
        <v>27AAAAA8699Z5</v>
      </c>
      <c r="B8699" t="str">
        <f>TEST_DATA!B8699</f>
        <v>Oct-2017</v>
      </c>
      <c r="C8699">
        <f>TEST_DATA!C8699</f>
        <v>43295</v>
      </c>
      <c r="D8699" t="str">
        <f>TEST_DATA!D8699</f>
        <v>NON-NIL</v>
      </c>
      <c r="E8699">
        <f>TEST_DATA!E8699</f>
        <v>692</v>
      </c>
    </row>
    <row r="8700" spans="1:5" x14ac:dyDescent="0.55000000000000004">
      <c r="A8700" t="str">
        <f>TEST_DATA!A8700</f>
        <v>27AAAAA8700Z5</v>
      </c>
      <c r="B8700" t="str">
        <f>TEST_DATA!B8700</f>
        <v>Dec-2019</v>
      </c>
      <c r="C8700">
        <f>TEST_DATA!C8700</f>
        <v>44314</v>
      </c>
      <c r="D8700" t="str">
        <f>TEST_DATA!D8700</f>
        <v>NON-NIL</v>
      </c>
      <c r="E8700">
        <f>TEST_DATA!E8700</f>
        <v>46</v>
      </c>
    </row>
    <row r="8701" spans="1:5" x14ac:dyDescent="0.55000000000000004">
      <c r="A8701" t="str">
        <f>TEST_DATA!A8701</f>
        <v>27AAAAA8701Z5</v>
      </c>
      <c r="B8701" t="str">
        <f>TEST_DATA!B8701</f>
        <v>Jan-2018</v>
      </c>
      <c r="C8701">
        <f>TEST_DATA!C8701</f>
        <v>42920</v>
      </c>
      <c r="D8701" t="str">
        <f>TEST_DATA!D8701</f>
        <v>NON-NIL</v>
      </c>
      <c r="E8701">
        <f>TEST_DATA!E8701</f>
        <v>1617</v>
      </c>
    </row>
    <row r="8702" spans="1:5" x14ac:dyDescent="0.55000000000000004">
      <c r="A8702" t="str">
        <f>TEST_DATA!A8702</f>
        <v>27AAAAA8702Z5</v>
      </c>
      <c r="B8702" t="str">
        <f>TEST_DATA!B8702</f>
        <v>Apr-2018</v>
      </c>
      <c r="C8702">
        <f>TEST_DATA!C8702</f>
        <v>43876</v>
      </c>
      <c r="D8702" t="str">
        <f>TEST_DATA!D8702</f>
        <v>NON-NIL</v>
      </c>
      <c r="E8702">
        <f>TEST_DATA!E8702</f>
        <v>189</v>
      </c>
    </row>
    <row r="8703" spans="1:5" x14ac:dyDescent="0.55000000000000004">
      <c r="A8703" t="str">
        <f>TEST_DATA!A8703</f>
        <v>27AAAAA8703Z5</v>
      </c>
      <c r="B8703" t="str">
        <f>TEST_DATA!B8703</f>
        <v>Jan-2021</v>
      </c>
      <c r="C8703">
        <f>TEST_DATA!C8703</f>
        <v>45813</v>
      </c>
      <c r="D8703" t="str">
        <f>TEST_DATA!D8703</f>
        <v>NIL</v>
      </c>
      <c r="E8703">
        <f>TEST_DATA!E8703</f>
        <v>1727</v>
      </c>
    </row>
    <row r="8704" spans="1:5" x14ac:dyDescent="0.55000000000000004">
      <c r="A8704" t="str">
        <f>TEST_DATA!A8704</f>
        <v>27AAAAA8704Z5</v>
      </c>
      <c r="B8704" t="str">
        <f>TEST_DATA!B8704</f>
        <v>Jun-2020</v>
      </c>
      <c r="C8704">
        <f>TEST_DATA!C8704</f>
        <v>44820</v>
      </c>
      <c r="D8704" t="str">
        <f>TEST_DATA!D8704</f>
        <v>NON-NIL</v>
      </c>
      <c r="E8704">
        <f>TEST_DATA!E8704</f>
        <v>444</v>
      </c>
    </row>
    <row r="8705" spans="1:5" x14ac:dyDescent="0.55000000000000004">
      <c r="A8705" t="str">
        <f>TEST_DATA!A8705</f>
        <v>27AAAAA8705Z5</v>
      </c>
      <c r="B8705" t="str">
        <f>TEST_DATA!B8705</f>
        <v>Dec-2019</v>
      </c>
      <c r="C8705">
        <f>TEST_DATA!C8705</f>
        <v>44437</v>
      </c>
      <c r="D8705" t="str">
        <f>TEST_DATA!D8705</f>
        <v>NON-NIL</v>
      </c>
      <c r="E8705">
        <f>TEST_DATA!E8705</f>
        <v>1545</v>
      </c>
    </row>
    <row r="8706" spans="1:5" x14ac:dyDescent="0.55000000000000004">
      <c r="A8706" t="str">
        <f>TEST_DATA!A8706</f>
        <v>27AAAAA8706Z5</v>
      </c>
      <c r="B8706" t="str">
        <f>TEST_DATA!B8706</f>
        <v>Nov-2017</v>
      </c>
      <c r="C8706">
        <f>TEST_DATA!C8706</f>
        <v>44433</v>
      </c>
      <c r="D8706" t="str">
        <f>TEST_DATA!D8706</f>
        <v>NON-NIL</v>
      </c>
      <c r="E8706">
        <f>TEST_DATA!E8706</f>
        <v>10</v>
      </c>
    </row>
    <row r="8707" spans="1:5" x14ac:dyDescent="0.55000000000000004">
      <c r="A8707" t="str">
        <f>TEST_DATA!A8707</f>
        <v>27AAAAA8707Z5</v>
      </c>
      <c r="B8707" t="str">
        <f>TEST_DATA!B8707</f>
        <v>Jan-2019</v>
      </c>
      <c r="C8707">
        <f>TEST_DATA!C8707</f>
        <v>45190</v>
      </c>
      <c r="D8707" t="str">
        <f>TEST_DATA!D8707</f>
        <v>NON-NIL</v>
      </c>
      <c r="E8707">
        <f>TEST_DATA!E8707</f>
        <v>2822</v>
      </c>
    </row>
    <row r="8708" spans="1:5" x14ac:dyDescent="0.55000000000000004">
      <c r="A8708" t="str">
        <f>TEST_DATA!A8708</f>
        <v>27AAAAA8708Z5</v>
      </c>
      <c r="B8708" t="str">
        <f>TEST_DATA!B8708</f>
        <v>Dec-2022</v>
      </c>
      <c r="C8708">
        <f>TEST_DATA!C8708</f>
        <v>43735</v>
      </c>
      <c r="D8708" t="str">
        <f>TEST_DATA!D8708</f>
        <v>NON-NIL</v>
      </c>
      <c r="E8708">
        <f>TEST_DATA!E8708</f>
        <v>759</v>
      </c>
    </row>
    <row r="8709" spans="1:5" x14ac:dyDescent="0.55000000000000004">
      <c r="A8709" t="str">
        <f>TEST_DATA!A8709</f>
        <v>27AAAAA8709Z5</v>
      </c>
      <c r="B8709" t="str">
        <f>TEST_DATA!B8709</f>
        <v>Oct-2017</v>
      </c>
      <c r="C8709">
        <f>TEST_DATA!C8709</f>
        <v>43938</v>
      </c>
      <c r="D8709" t="str">
        <f>TEST_DATA!D8709</f>
        <v>NIL</v>
      </c>
      <c r="E8709">
        <f>TEST_DATA!E8709</f>
        <v>171</v>
      </c>
    </row>
    <row r="8710" spans="1:5" x14ac:dyDescent="0.55000000000000004">
      <c r="A8710" t="str">
        <f>TEST_DATA!A8710</f>
        <v>27AAAAA8710Z5</v>
      </c>
      <c r="B8710" t="str">
        <f>TEST_DATA!B8710</f>
        <v>Apr-2018</v>
      </c>
      <c r="C8710">
        <f>TEST_DATA!C8710</f>
        <v>44034</v>
      </c>
      <c r="D8710" t="str">
        <f>TEST_DATA!D8710</f>
        <v>NON-NIL</v>
      </c>
      <c r="E8710">
        <f>TEST_DATA!E8710</f>
        <v>2297</v>
      </c>
    </row>
    <row r="8711" spans="1:5" x14ac:dyDescent="0.55000000000000004">
      <c r="A8711" t="str">
        <f>TEST_DATA!A8711</f>
        <v>27AAAAA8711Z5</v>
      </c>
      <c r="B8711" t="str">
        <f>TEST_DATA!B8711</f>
        <v>Aug-2017</v>
      </c>
      <c r="C8711">
        <f>TEST_DATA!C8711</f>
        <v>44262</v>
      </c>
      <c r="D8711" t="str">
        <f>TEST_DATA!D8711</f>
        <v>NON-NIL</v>
      </c>
      <c r="E8711">
        <f>TEST_DATA!E8711</f>
        <v>421</v>
      </c>
    </row>
    <row r="8712" spans="1:5" x14ac:dyDescent="0.55000000000000004">
      <c r="A8712" t="str">
        <f>TEST_DATA!A8712</f>
        <v>27AAAAA8712Z5</v>
      </c>
      <c r="B8712" t="str">
        <f>TEST_DATA!B8712</f>
        <v>Jun-2019</v>
      </c>
      <c r="C8712">
        <f>TEST_DATA!C8712</f>
        <v>45063</v>
      </c>
      <c r="D8712" t="str">
        <f>TEST_DATA!D8712</f>
        <v>NIL</v>
      </c>
      <c r="E8712">
        <f>TEST_DATA!E8712</f>
        <v>183</v>
      </c>
    </row>
    <row r="8713" spans="1:5" x14ac:dyDescent="0.55000000000000004">
      <c r="A8713" t="str">
        <f>TEST_DATA!A8713</f>
        <v>27AAAAA8713Z5</v>
      </c>
      <c r="B8713" t="str">
        <f>TEST_DATA!B8713</f>
        <v>Feb-2018</v>
      </c>
      <c r="C8713">
        <f>TEST_DATA!C8713</f>
        <v>44291</v>
      </c>
      <c r="D8713" t="str">
        <f>TEST_DATA!D8713</f>
        <v>NIL</v>
      </c>
      <c r="E8713">
        <f>TEST_DATA!E8713</f>
        <v>1585</v>
      </c>
    </row>
    <row r="8714" spans="1:5" x14ac:dyDescent="0.55000000000000004">
      <c r="A8714" t="str">
        <f>TEST_DATA!A8714</f>
        <v>27AAAAA8714Z5</v>
      </c>
      <c r="B8714" t="str">
        <f>TEST_DATA!B8714</f>
        <v>Mar-2023</v>
      </c>
      <c r="C8714">
        <f>TEST_DATA!C8714</f>
        <v>44684</v>
      </c>
      <c r="D8714" t="str">
        <f>TEST_DATA!D8714</f>
        <v>NON-NIL</v>
      </c>
      <c r="E8714">
        <f>TEST_DATA!E8714</f>
        <v>1640</v>
      </c>
    </row>
    <row r="8715" spans="1:5" x14ac:dyDescent="0.55000000000000004">
      <c r="A8715" t="str">
        <f>TEST_DATA!A8715</f>
        <v>27AAAAA8715Z5</v>
      </c>
      <c r="B8715" t="str">
        <f>TEST_DATA!B8715</f>
        <v>Mar-2018</v>
      </c>
      <c r="C8715">
        <f>TEST_DATA!C8715</f>
        <v>44176</v>
      </c>
      <c r="D8715" t="str">
        <f>TEST_DATA!D8715</f>
        <v>NON-NIL</v>
      </c>
      <c r="E8715">
        <f>TEST_DATA!E8715</f>
        <v>1913</v>
      </c>
    </row>
    <row r="8716" spans="1:5" x14ac:dyDescent="0.55000000000000004">
      <c r="A8716" t="str">
        <f>TEST_DATA!A8716</f>
        <v>27AAAAA8716Z5</v>
      </c>
      <c r="B8716" t="str">
        <f>TEST_DATA!B8716</f>
        <v>Apr-2018</v>
      </c>
      <c r="C8716">
        <f>TEST_DATA!C8716</f>
        <v>43140</v>
      </c>
      <c r="D8716" t="str">
        <f>TEST_DATA!D8716</f>
        <v>NIL</v>
      </c>
      <c r="E8716">
        <f>TEST_DATA!E8716</f>
        <v>1643</v>
      </c>
    </row>
    <row r="8717" spans="1:5" x14ac:dyDescent="0.55000000000000004">
      <c r="A8717" t="str">
        <f>TEST_DATA!A8717</f>
        <v>27AAAAA8717Z5</v>
      </c>
      <c r="B8717" t="str">
        <f>TEST_DATA!B8717</f>
        <v>Aug-2017</v>
      </c>
      <c r="C8717">
        <f>TEST_DATA!C8717</f>
        <v>43578</v>
      </c>
      <c r="D8717" t="str">
        <f>TEST_DATA!D8717</f>
        <v>NIL</v>
      </c>
      <c r="E8717">
        <f>TEST_DATA!E8717</f>
        <v>2495</v>
      </c>
    </row>
    <row r="8718" spans="1:5" x14ac:dyDescent="0.55000000000000004">
      <c r="A8718" t="str">
        <f>TEST_DATA!A8718</f>
        <v>27AAAAA8718Z5</v>
      </c>
      <c r="B8718" t="str">
        <f>TEST_DATA!B8718</f>
        <v>Jun-2020</v>
      </c>
      <c r="C8718">
        <f>TEST_DATA!C8718</f>
        <v>43872</v>
      </c>
      <c r="D8718" t="str">
        <f>TEST_DATA!D8718</f>
        <v>NON-NIL</v>
      </c>
      <c r="E8718">
        <f>TEST_DATA!E8718</f>
        <v>1024</v>
      </c>
    </row>
    <row r="8719" spans="1:5" x14ac:dyDescent="0.55000000000000004">
      <c r="A8719" t="str">
        <f>TEST_DATA!A8719</f>
        <v>27AAAAA8719Z5</v>
      </c>
      <c r="B8719" t="str">
        <f>TEST_DATA!B8719</f>
        <v>Apr-2021</v>
      </c>
      <c r="C8719">
        <f>TEST_DATA!C8719</f>
        <v>45797</v>
      </c>
      <c r="D8719" t="str">
        <f>TEST_DATA!D8719</f>
        <v>NIL</v>
      </c>
      <c r="E8719">
        <f>TEST_DATA!E8719</f>
        <v>2312</v>
      </c>
    </row>
    <row r="8720" spans="1:5" x14ac:dyDescent="0.55000000000000004">
      <c r="A8720" t="str">
        <f>TEST_DATA!A8720</f>
        <v>27AAAAA8720Z5</v>
      </c>
      <c r="B8720" t="str">
        <f>TEST_DATA!B8720</f>
        <v>Jan-2021</v>
      </c>
      <c r="C8720">
        <f>TEST_DATA!C8720</f>
        <v>45458</v>
      </c>
      <c r="D8720" t="str">
        <f>TEST_DATA!D8720</f>
        <v>NIL</v>
      </c>
      <c r="E8720">
        <f>TEST_DATA!E8720</f>
        <v>939</v>
      </c>
    </row>
    <row r="8721" spans="1:5" x14ac:dyDescent="0.55000000000000004">
      <c r="A8721" t="str">
        <f>TEST_DATA!A8721</f>
        <v>27AAAAA8721Z5</v>
      </c>
      <c r="B8721" t="str">
        <f>TEST_DATA!B8721</f>
        <v>Apr-2018</v>
      </c>
      <c r="C8721">
        <f>TEST_DATA!C8721</f>
        <v>43184</v>
      </c>
      <c r="D8721" t="str">
        <f>TEST_DATA!D8721</f>
        <v>NON-NIL</v>
      </c>
      <c r="E8721">
        <f>TEST_DATA!E8721</f>
        <v>2711</v>
      </c>
    </row>
    <row r="8722" spans="1:5" x14ac:dyDescent="0.55000000000000004">
      <c r="A8722" t="str">
        <f>TEST_DATA!A8722</f>
        <v>27AAAAA8722Z5</v>
      </c>
      <c r="B8722" t="str">
        <f>TEST_DATA!B8722</f>
        <v>Oct-2017</v>
      </c>
      <c r="C8722">
        <f>TEST_DATA!C8722</f>
        <v>44361</v>
      </c>
      <c r="D8722" t="str">
        <f>TEST_DATA!D8722</f>
        <v>NON-NIL</v>
      </c>
      <c r="E8722">
        <f>TEST_DATA!E8722</f>
        <v>2796</v>
      </c>
    </row>
    <row r="8723" spans="1:5" x14ac:dyDescent="0.55000000000000004">
      <c r="A8723" t="str">
        <f>TEST_DATA!A8723</f>
        <v>27AAAAA8723Z5</v>
      </c>
      <c r="B8723" t="str">
        <f>TEST_DATA!B8723</f>
        <v>Aug-2017</v>
      </c>
      <c r="C8723">
        <f>TEST_DATA!C8723</f>
        <v>43169</v>
      </c>
      <c r="D8723" t="str">
        <f>TEST_DATA!D8723</f>
        <v>NIL</v>
      </c>
      <c r="E8723">
        <f>TEST_DATA!E8723</f>
        <v>1530</v>
      </c>
    </row>
    <row r="8724" spans="1:5" x14ac:dyDescent="0.55000000000000004">
      <c r="A8724" t="str">
        <f>TEST_DATA!A8724</f>
        <v>27AAAAA8724Z5</v>
      </c>
      <c r="B8724" t="str">
        <f>TEST_DATA!B8724</f>
        <v>Dec-2019</v>
      </c>
      <c r="C8724">
        <f>TEST_DATA!C8724</f>
        <v>45816</v>
      </c>
      <c r="D8724" t="str">
        <f>TEST_DATA!D8724</f>
        <v>NIL</v>
      </c>
      <c r="E8724">
        <f>TEST_DATA!E8724</f>
        <v>769</v>
      </c>
    </row>
    <row r="8725" spans="1:5" x14ac:dyDescent="0.55000000000000004">
      <c r="A8725" t="str">
        <f>TEST_DATA!A8725</f>
        <v>27AAAAA8725Z5</v>
      </c>
      <c r="B8725" t="str">
        <f>TEST_DATA!B8725</f>
        <v>Jul-2018</v>
      </c>
      <c r="C8725">
        <f>TEST_DATA!C8725</f>
        <v>44032</v>
      </c>
      <c r="D8725" t="str">
        <f>TEST_DATA!D8725</f>
        <v>NIL</v>
      </c>
      <c r="E8725">
        <f>TEST_DATA!E8725</f>
        <v>2373</v>
      </c>
    </row>
    <row r="8726" spans="1:5" x14ac:dyDescent="0.55000000000000004">
      <c r="A8726" t="str">
        <f>TEST_DATA!A8726</f>
        <v>27AAAAA8726Z5</v>
      </c>
      <c r="B8726" t="str">
        <f>TEST_DATA!B8726</f>
        <v>Jul-2018</v>
      </c>
      <c r="C8726">
        <f>TEST_DATA!C8726</f>
        <v>43868</v>
      </c>
      <c r="D8726" t="str">
        <f>TEST_DATA!D8726</f>
        <v>NIL</v>
      </c>
      <c r="E8726">
        <f>TEST_DATA!E8726</f>
        <v>1893</v>
      </c>
    </row>
    <row r="8727" spans="1:5" x14ac:dyDescent="0.55000000000000004">
      <c r="A8727" t="str">
        <f>TEST_DATA!A8727</f>
        <v>27AAAAA8727Z5</v>
      </c>
      <c r="B8727" t="str">
        <f>TEST_DATA!B8727</f>
        <v>Mar-2018</v>
      </c>
      <c r="C8727">
        <f>TEST_DATA!C8727</f>
        <v>43275</v>
      </c>
      <c r="D8727" t="str">
        <f>TEST_DATA!D8727</f>
        <v>NIL</v>
      </c>
      <c r="E8727">
        <f>TEST_DATA!E8727</f>
        <v>1360</v>
      </c>
    </row>
    <row r="8728" spans="1:5" x14ac:dyDescent="0.55000000000000004">
      <c r="A8728" t="str">
        <f>TEST_DATA!A8728</f>
        <v>27AAAAA8728Z5</v>
      </c>
      <c r="B8728" t="str">
        <f>TEST_DATA!B8728</f>
        <v>Feb-2018</v>
      </c>
      <c r="C8728">
        <f>TEST_DATA!C8728</f>
        <v>43054</v>
      </c>
      <c r="D8728" t="str">
        <f>TEST_DATA!D8728</f>
        <v>NIL</v>
      </c>
      <c r="E8728">
        <f>TEST_DATA!E8728</f>
        <v>2611</v>
      </c>
    </row>
    <row r="8729" spans="1:5" x14ac:dyDescent="0.55000000000000004">
      <c r="A8729" t="str">
        <f>TEST_DATA!A8729</f>
        <v>27AAAAA8729Z5</v>
      </c>
      <c r="B8729" t="str">
        <f>TEST_DATA!B8729</f>
        <v>Dec-2024</v>
      </c>
      <c r="C8729">
        <f>TEST_DATA!C8729</f>
        <v>45096</v>
      </c>
      <c r="D8729" t="str">
        <f>TEST_DATA!D8729</f>
        <v>NIL</v>
      </c>
      <c r="E8729">
        <f>TEST_DATA!E8729</f>
        <v>1396</v>
      </c>
    </row>
    <row r="8730" spans="1:5" x14ac:dyDescent="0.55000000000000004">
      <c r="A8730" t="str">
        <f>TEST_DATA!A8730</f>
        <v>27AAAAA8730Z5</v>
      </c>
      <c r="B8730" t="str">
        <f>TEST_DATA!B8730</f>
        <v>Dec-2017</v>
      </c>
      <c r="C8730">
        <f>TEST_DATA!C8730</f>
        <v>43739</v>
      </c>
      <c r="D8730" t="str">
        <f>TEST_DATA!D8730</f>
        <v>NIL</v>
      </c>
      <c r="E8730">
        <f>TEST_DATA!E8730</f>
        <v>575</v>
      </c>
    </row>
    <row r="8731" spans="1:5" x14ac:dyDescent="0.55000000000000004">
      <c r="A8731" t="str">
        <f>TEST_DATA!A8731</f>
        <v>27AAAAA8731Z5</v>
      </c>
      <c r="B8731" t="str">
        <f>TEST_DATA!B8731</f>
        <v>Dec-2017</v>
      </c>
      <c r="C8731">
        <f>TEST_DATA!C8731</f>
        <v>43148</v>
      </c>
      <c r="D8731" t="str">
        <f>TEST_DATA!D8731</f>
        <v>NON-NIL</v>
      </c>
      <c r="E8731">
        <f>TEST_DATA!E8731</f>
        <v>2340</v>
      </c>
    </row>
    <row r="8732" spans="1:5" x14ac:dyDescent="0.55000000000000004">
      <c r="A8732" t="str">
        <f>TEST_DATA!A8732</f>
        <v>27AAAAA8732Z5</v>
      </c>
      <c r="B8732" t="str">
        <f>TEST_DATA!B8732</f>
        <v>Jan-2021</v>
      </c>
      <c r="C8732">
        <f>TEST_DATA!C8732</f>
        <v>43568</v>
      </c>
      <c r="D8732" t="str">
        <f>TEST_DATA!D8732</f>
        <v>NON-NIL</v>
      </c>
      <c r="E8732">
        <f>TEST_DATA!E8732</f>
        <v>1502</v>
      </c>
    </row>
    <row r="8733" spans="1:5" x14ac:dyDescent="0.55000000000000004">
      <c r="A8733" t="str">
        <f>TEST_DATA!A8733</f>
        <v>27AAAAA8733Z5</v>
      </c>
      <c r="B8733" t="str">
        <f>TEST_DATA!B8733</f>
        <v>Apr-2021</v>
      </c>
      <c r="C8733">
        <f>TEST_DATA!C8733</f>
        <v>44597</v>
      </c>
      <c r="D8733" t="str">
        <f>TEST_DATA!D8733</f>
        <v>NIL</v>
      </c>
      <c r="E8733">
        <f>TEST_DATA!E8733</f>
        <v>579</v>
      </c>
    </row>
    <row r="8734" spans="1:5" x14ac:dyDescent="0.55000000000000004">
      <c r="A8734" t="str">
        <f>TEST_DATA!A8734</f>
        <v>27AAAAA8734Z5</v>
      </c>
      <c r="B8734" t="str">
        <f>TEST_DATA!B8734</f>
        <v>Mar-2023</v>
      </c>
      <c r="C8734">
        <f>TEST_DATA!C8734</f>
        <v>44415</v>
      </c>
      <c r="D8734" t="str">
        <f>TEST_DATA!D8734</f>
        <v>NIL</v>
      </c>
      <c r="E8734">
        <f>TEST_DATA!E8734</f>
        <v>1507</v>
      </c>
    </row>
    <row r="8735" spans="1:5" x14ac:dyDescent="0.55000000000000004">
      <c r="A8735" t="str">
        <f>TEST_DATA!A8735</f>
        <v>27AAAAA8735Z5</v>
      </c>
      <c r="B8735" t="str">
        <f>TEST_DATA!B8735</f>
        <v>Dec-2019</v>
      </c>
      <c r="C8735">
        <f>TEST_DATA!C8735</f>
        <v>44411</v>
      </c>
      <c r="D8735" t="str">
        <f>TEST_DATA!D8735</f>
        <v>NON-NIL</v>
      </c>
      <c r="E8735">
        <f>TEST_DATA!E8735</f>
        <v>786</v>
      </c>
    </row>
    <row r="8736" spans="1:5" x14ac:dyDescent="0.55000000000000004">
      <c r="A8736" t="str">
        <f>TEST_DATA!A8736</f>
        <v>27AAAAA8736Z5</v>
      </c>
      <c r="B8736" t="str">
        <f>TEST_DATA!B8736</f>
        <v>Jun-2020</v>
      </c>
      <c r="C8736">
        <f>TEST_DATA!C8736</f>
        <v>44000</v>
      </c>
      <c r="D8736" t="str">
        <f>TEST_DATA!D8736</f>
        <v>NIL</v>
      </c>
      <c r="E8736">
        <f>TEST_DATA!E8736</f>
        <v>1672</v>
      </c>
    </row>
    <row r="8737" spans="1:5" x14ac:dyDescent="0.55000000000000004">
      <c r="A8737" t="str">
        <f>TEST_DATA!A8737</f>
        <v>27AAAAA8737Z5</v>
      </c>
      <c r="B8737" t="str">
        <f>TEST_DATA!B8737</f>
        <v>Jun-2018</v>
      </c>
      <c r="C8737">
        <f>TEST_DATA!C8737</f>
        <v>43835</v>
      </c>
      <c r="D8737" t="str">
        <f>TEST_DATA!D8737</f>
        <v>NIL</v>
      </c>
      <c r="E8737">
        <f>TEST_DATA!E8737</f>
        <v>1336</v>
      </c>
    </row>
    <row r="8738" spans="1:5" x14ac:dyDescent="0.55000000000000004">
      <c r="A8738" t="str">
        <f>TEST_DATA!A8738</f>
        <v>27AAAAA8738Z5</v>
      </c>
      <c r="B8738" t="str">
        <f>TEST_DATA!B8738</f>
        <v>Mar-2023</v>
      </c>
      <c r="C8738">
        <f>TEST_DATA!C8738</f>
        <v>43811</v>
      </c>
      <c r="D8738" t="str">
        <f>TEST_DATA!D8738</f>
        <v>NON-NIL</v>
      </c>
      <c r="E8738">
        <f>TEST_DATA!E8738</f>
        <v>1275</v>
      </c>
    </row>
    <row r="8739" spans="1:5" x14ac:dyDescent="0.55000000000000004">
      <c r="A8739" t="str">
        <f>TEST_DATA!A8739</f>
        <v>27AAAAA8739Z5</v>
      </c>
      <c r="B8739" t="str">
        <f>TEST_DATA!B8739</f>
        <v>May-2018</v>
      </c>
      <c r="C8739">
        <f>TEST_DATA!C8739</f>
        <v>43436</v>
      </c>
      <c r="D8739" t="str">
        <f>TEST_DATA!D8739</f>
        <v>NON-NIL</v>
      </c>
      <c r="E8739">
        <f>TEST_DATA!E8739</f>
        <v>2350</v>
      </c>
    </row>
    <row r="8740" spans="1:5" x14ac:dyDescent="0.55000000000000004">
      <c r="A8740" t="str">
        <f>TEST_DATA!A8740</f>
        <v>27AAAAA8740Z5</v>
      </c>
      <c r="B8740" t="str">
        <f>TEST_DATA!B8740</f>
        <v>Jan-2018</v>
      </c>
      <c r="C8740">
        <f>TEST_DATA!C8740</f>
        <v>44497</v>
      </c>
      <c r="D8740" t="str">
        <f>TEST_DATA!D8740</f>
        <v>NON-NIL</v>
      </c>
      <c r="E8740">
        <f>TEST_DATA!E8740</f>
        <v>500</v>
      </c>
    </row>
    <row r="8741" spans="1:5" x14ac:dyDescent="0.55000000000000004">
      <c r="A8741" t="str">
        <f>TEST_DATA!A8741</f>
        <v>27AAAAA8741Z5</v>
      </c>
      <c r="B8741" t="str">
        <f>TEST_DATA!B8741</f>
        <v>Jul-2017</v>
      </c>
      <c r="C8741">
        <f>TEST_DATA!C8741</f>
        <v>43250</v>
      </c>
      <c r="D8741" t="str">
        <f>TEST_DATA!D8741</f>
        <v>NIL</v>
      </c>
      <c r="E8741">
        <f>TEST_DATA!E8741</f>
        <v>1246</v>
      </c>
    </row>
    <row r="8742" spans="1:5" x14ac:dyDescent="0.55000000000000004">
      <c r="A8742" t="str">
        <f>TEST_DATA!A8742</f>
        <v>27AAAAA8742Z5</v>
      </c>
      <c r="B8742" t="str">
        <f>TEST_DATA!B8742</f>
        <v>Aug-2017</v>
      </c>
      <c r="C8742">
        <f>TEST_DATA!C8742</f>
        <v>44484</v>
      </c>
      <c r="D8742" t="str">
        <f>TEST_DATA!D8742</f>
        <v>NIL</v>
      </c>
      <c r="E8742">
        <f>TEST_DATA!E8742</f>
        <v>616</v>
      </c>
    </row>
    <row r="8743" spans="1:5" x14ac:dyDescent="0.55000000000000004">
      <c r="A8743" t="str">
        <f>TEST_DATA!A8743</f>
        <v>27AAAAA8743Z5</v>
      </c>
      <c r="B8743" t="str">
        <f>TEST_DATA!B8743</f>
        <v>Dec-2019</v>
      </c>
      <c r="C8743">
        <f>TEST_DATA!C8743</f>
        <v>44467</v>
      </c>
      <c r="D8743" t="str">
        <f>TEST_DATA!D8743</f>
        <v>NIL</v>
      </c>
      <c r="E8743">
        <f>TEST_DATA!E8743</f>
        <v>355</v>
      </c>
    </row>
    <row r="8744" spans="1:5" x14ac:dyDescent="0.55000000000000004">
      <c r="A8744" t="str">
        <f>TEST_DATA!A8744</f>
        <v>27AAAAA8744Z5</v>
      </c>
      <c r="B8744" t="str">
        <f>TEST_DATA!B8744</f>
        <v>Mar-2020</v>
      </c>
      <c r="C8744">
        <f>TEST_DATA!C8744</f>
        <v>44507</v>
      </c>
      <c r="D8744" t="str">
        <f>TEST_DATA!D8744</f>
        <v>NON-NIL</v>
      </c>
      <c r="E8744">
        <f>TEST_DATA!E8744</f>
        <v>2102</v>
      </c>
    </row>
    <row r="8745" spans="1:5" x14ac:dyDescent="0.55000000000000004">
      <c r="A8745" t="str">
        <f>TEST_DATA!A8745</f>
        <v>27AAAAA8745Z5</v>
      </c>
      <c r="B8745" t="str">
        <f>TEST_DATA!B8745</f>
        <v>May-2020</v>
      </c>
      <c r="C8745">
        <f>TEST_DATA!C8745</f>
        <v>44818</v>
      </c>
      <c r="D8745" t="str">
        <f>TEST_DATA!D8745</f>
        <v>NIL</v>
      </c>
      <c r="E8745">
        <f>TEST_DATA!E8745</f>
        <v>903</v>
      </c>
    </row>
    <row r="8746" spans="1:5" x14ac:dyDescent="0.55000000000000004">
      <c r="A8746" t="str">
        <f>TEST_DATA!A8746</f>
        <v>27AAAAA8746Z5</v>
      </c>
      <c r="B8746" t="str">
        <f>TEST_DATA!B8746</f>
        <v>May-2018</v>
      </c>
      <c r="C8746">
        <f>TEST_DATA!C8746</f>
        <v>44470</v>
      </c>
      <c r="D8746" t="str">
        <f>TEST_DATA!D8746</f>
        <v>NON-NIL</v>
      </c>
      <c r="E8746">
        <f>TEST_DATA!E8746</f>
        <v>409</v>
      </c>
    </row>
    <row r="8747" spans="1:5" x14ac:dyDescent="0.55000000000000004">
      <c r="A8747" t="str">
        <f>TEST_DATA!A8747</f>
        <v>27AAAAA8747Z5</v>
      </c>
      <c r="B8747" t="str">
        <f>TEST_DATA!B8747</f>
        <v>Jan-2019</v>
      </c>
      <c r="C8747">
        <f>TEST_DATA!C8747</f>
        <v>45485</v>
      </c>
      <c r="D8747" t="str">
        <f>TEST_DATA!D8747</f>
        <v>NIL</v>
      </c>
      <c r="E8747">
        <f>TEST_DATA!E8747</f>
        <v>1990</v>
      </c>
    </row>
    <row r="8748" spans="1:5" x14ac:dyDescent="0.55000000000000004">
      <c r="A8748" t="str">
        <f>TEST_DATA!A8748</f>
        <v>27AAAAA8748Z5</v>
      </c>
      <c r="B8748" t="str">
        <f>TEST_DATA!B8748</f>
        <v>Jul-2020</v>
      </c>
      <c r="C8748">
        <f>TEST_DATA!C8748</f>
        <v>43885</v>
      </c>
      <c r="D8748" t="str">
        <f>TEST_DATA!D8748</f>
        <v>NIL</v>
      </c>
      <c r="E8748">
        <f>TEST_DATA!E8748</f>
        <v>133</v>
      </c>
    </row>
    <row r="8749" spans="1:5" x14ac:dyDescent="0.55000000000000004">
      <c r="A8749" t="str">
        <f>TEST_DATA!A8749</f>
        <v>27AAAAA8749Z5</v>
      </c>
      <c r="B8749" t="str">
        <f>TEST_DATA!B8749</f>
        <v>Jun-2018</v>
      </c>
      <c r="C8749">
        <f>TEST_DATA!C8749</f>
        <v>43758</v>
      </c>
      <c r="D8749" t="str">
        <f>TEST_DATA!D8749</f>
        <v>NON-NIL</v>
      </c>
      <c r="E8749">
        <f>TEST_DATA!E8749</f>
        <v>233</v>
      </c>
    </row>
    <row r="8750" spans="1:5" x14ac:dyDescent="0.55000000000000004">
      <c r="A8750" t="str">
        <f>TEST_DATA!A8750</f>
        <v>27AAAAA8750Z5</v>
      </c>
      <c r="B8750" t="str">
        <f>TEST_DATA!B8750</f>
        <v>Dec-2024</v>
      </c>
      <c r="C8750">
        <f>TEST_DATA!C8750</f>
        <v>45813</v>
      </c>
      <c r="D8750" t="str">
        <f>TEST_DATA!D8750</f>
        <v>NON-NIL</v>
      </c>
      <c r="E8750">
        <f>TEST_DATA!E8750</f>
        <v>301</v>
      </c>
    </row>
    <row r="8751" spans="1:5" x14ac:dyDescent="0.55000000000000004">
      <c r="A8751" t="str">
        <f>TEST_DATA!A8751</f>
        <v>27AAAAA8751Z5</v>
      </c>
      <c r="B8751" t="str">
        <f>TEST_DATA!B8751</f>
        <v>Nov-2017</v>
      </c>
      <c r="C8751">
        <f>TEST_DATA!C8751</f>
        <v>43436</v>
      </c>
      <c r="D8751" t="str">
        <f>TEST_DATA!D8751</f>
        <v>NON-NIL</v>
      </c>
      <c r="E8751">
        <f>TEST_DATA!E8751</f>
        <v>19</v>
      </c>
    </row>
    <row r="8752" spans="1:5" x14ac:dyDescent="0.55000000000000004">
      <c r="A8752" t="str">
        <f>TEST_DATA!A8752</f>
        <v>27AAAAA8752Z5</v>
      </c>
      <c r="B8752" t="str">
        <f>TEST_DATA!B8752</f>
        <v>May-2018</v>
      </c>
      <c r="C8752">
        <f>TEST_DATA!C8752</f>
        <v>43107</v>
      </c>
      <c r="D8752" t="str">
        <f>TEST_DATA!D8752</f>
        <v>NON-NIL</v>
      </c>
      <c r="E8752">
        <f>TEST_DATA!E8752</f>
        <v>1037</v>
      </c>
    </row>
    <row r="8753" spans="1:5" x14ac:dyDescent="0.55000000000000004">
      <c r="A8753" t="str">
        <f>TEST_DATA!A8753</f>
        <v>27AAAAA8753Z5</v>
      </c>
      <c r="B8753" t="str">
        <f>TEST_DATA!B8753</f>
        <v>Dec-2019</v>
      </c>
      <c r="C8753">
        <f>TEST_DATA!C8753</f>
        <v>44415</v>
      </c>
      <c r="D8753" t="str">
        <f>TEST_DATA!D8753</f>
        <v>NON-NIL</v>
      </c>
      <c r="E8753">
        <f>TEST_DATA!E8753</f>
        <v>855</v>
      </c>
    </row>
    <row r="8754" spans="1:5" x14ac:dyDescent="0.55000000000000004">
      <c r="A8754" t="str">
        <f>TEST_DATA!A8754</f>
        <v>27AAAAA8754Z5</v>
      </c>
      <c r="B8754" t="str">
        <f>TEST_DATA!B8754</f>
        <v>Feb-2018</v>
      </c>
      <c r="C8754">
        <f>TEST_DATA!C8754</f>
        <v>43834</v>
      </c>
      <c r="D8754" t="str">
        <f>TEST_DATA!D8754</f>
        <v>NON-NIL</v>
      </c>
      <c r="E8754">
        <f>TEST_DATA!E8754</f>
        <v>2288</v>
      </c>
    </row>
    <row r="8755" spans="1:5" x14ac:dyDescent="0.55000000000000004">
      <c r="A8755" t="str">
        <f>TEST_DATA!A8755</f>
        <v>27AAAAA8755Z5</v>
      </c>
      <c r="B8755" t="str">
        <f>TEST_DATA!B8755</f>
        <v>Mar-2018</v>
      </c>
      <c r="C8755">
        <f>TEST_DATA!C8755</f>
        <v>43153</v>
      </c>
      <c r="D8755" t="str">
        <f>TEST_DATA!D8755</f>
        <v>NON-NIL</v>
      </c>
      <c r="E8755">
        <f>TEST_DATA!E8755</f>
        <v>1653</v>
      </c>
    </row>
    <row r="8756" spans="1:5" x14ac:dyDescent="0.55000000000000004">
      <c r="A8756" t="str">
        <f>TEST_DATA!A8756</f>
        <v>27AAAAA8756Z5</v>
      </c>
      <c r="B8756" t="str">
        <f>TEST_DATA!B8756</f>
        <v>Sep-2018</v>
      </c>
      <c r="C8756">
        <f>TEST_DATA!C8756</f>
        <v>43868</v>
      </c>
      <c r="D8756" t="str">
        <f>TEST_DATA!D8756</f>
        <v>NON-NIL</v>
      </c>
      <c r="E8756">
        <f>TEST_DATA!E8756</f>
        <v>248</v>
      </c>
    </row>
    <row r="8757" spans="1:5" x14ac:dyDescent="0.55000000000000004">
      <c r="A8757" t="str">
        <f>TEST_DATA!A8757</f>
        <v>27AAAAA8757Z5</v>
      </c>
      <c r="B8757" t="str">
        <f>TEST_DATA!B8757</f>
        <v>Jul-2017</v>
      </c>
      <c r="C8757">
        <f>TEST_DATA!C8757</f>
        <v>43711</v>
      </c>
      <c r="D8757" t="str">
        <f>TEST_DATA!D8757</f>
        <v>NON-NIL</v>
      </c>
      <c r="E8757">
        <f>TEST_DATA!E8757</f>
        <v>919</v>
      </c>
    </row>
    <row r="8758" spans="1:5" x14ac:dyDescent="0.55000000000000004">
      <c r="A8758" t="str">
        <f>TEST_DATA!A8758</f>
        <v>27AAAAA8758Z5</v>
      </c>
      <c r="B8758" t="str">
        <f>TEST_DATA!B8758</f>
        <v>Apr-2018</v>
      </c>
      <c r="C8758">
        <f>TEST_DATA!C8758</f>
        <v>43581</v>
      </c>
      <c r="D8758" t="str">
        <f>TEST_DATA!D8758</f>
        <v>NON-NIL</v>
      </c>
      <c r="E8758">
        <f>TEST_DATA!E8758</f>
        <v>2770</v>
      </c>
    </row>
    <row r="8759" spans="1:5" x14ac:dyDescent="0.55000000000000004">
      <c r="A8759" t="str">
        <f>TEST_DATA!A8759</f>
        <v>27AAAAA8759Z5</v>
      </c>
      <c r="B8759" t="str">
        <f>TEST_DATA!B8759</f>
        <v>May-2020</v>
      </c>
      <c r="C8759">
        <f>TEST_DATA!C8759</f>
        <v>44308</v>
      </c>
      <c r="D8759" t="str">
        <f>TEST_DATA!D8759</f>
        <v>NIL</v>
      </c>
      <c r="E8759">
        <f>TEST_DATA!E8759</f>
        <v>2617</v>
      </c>
    </row>
    <row r="8760" spans="1:5" x14ac:dyDescent="0.55000000000000004">
      <c r="A8760" t="str">
        <f>TEST_DATA!A8760</f>
        <v>27AAAAA8760Z5</v>
      </c>
      <c r="B8760" t="str">
        <f>TEST_DATA!B8760</f>
        <v>Mar-2021</v>
      </c>
      <c r="C8760">
        <f>TEST_DATA!C8760</f>
        <v>45401</v>
      </c>
      <c r="D8760" t="str">
        <f>TEST_DATA!D8760</f>
        <v>NIL</v>
      </c>
      <c r="E8760">
        <f>TEST_DATA!E8760</f>
        <v>182</v>
      </c>
    </row>
    <row r="8761" spans="1:5" x14ac:dyDescent="0.55000000000000004">
      <c r="A8761" t="str">
        <f>TEST_DATA!A8761</f>
        <v>27AAAAA8761Z5</v>
      </c>
      <c r="B8761" t="str">
        <f>TEST_DATA!B8761</f>
        <v>Feb-2018</v>
      </c>
      <c r="C8761">
        <f>TEST_DATA!C8761</f>
        <v>43379</v>
      </c>
      <c r="D8761" t="str">
        <f>TEST_DATA!D8761</f>
        <v>NIL</v>
      </c>
      <c r="E8761">
        <f>TEST_DATA!E8761</f>
        <v>1082</v>
      </c>
    </row>
    <row r="8762" spans="1:5" x14ac:dyDescent="0.55000000000000004">
      <c r="A8762" t="str">
        <f>TEST_DATA!A8762</f>
        <v>27AAAAA8762Z5</v>
      </c>
      <c r="B8762" t="str">
        <f>TEST_DATA!B8762</f>
        <v>Mar-2020</v>
      </c>
      <c r="C8762">
        <f>TEST_DATA!C8762</f>
        <v>44691</v>
      </c>
      <c r="D8762" t="str">
        <f>TEST_DATA!D8762</f>
        <v>NON-NIL</v>
      </c>
      <c r="E8762">
        <f>TEST_DATA!E8762</f>
        <v>1365</v>
      </c>
    </row>
    <row r="8763" spans="1:5" x14ac:dyDescent="0.55000000000000004">
      <c r="A8763" t="str">
        <f>TEST_DATA!A8763</f>
        <v>27AAAAA8763Z5</v>
      </c>
      <c r="B8763" t="str">
        <f>TEST_DATA!B8763</f>
        <v>Mar-2021</v>
      </c>
      <c r="C8763">
        <f>TEST_DATA!C8763</f>
        <v>45513</v>
      </c>
      <c r="D8763" t="str">
        <f>TEST_DATA!D8763</f>
        <v>NON-NIL</v>
      </c>
      <c r="E8763">
        <f>TEST_DATA!E8763</f>
        <v>1393</v>
      </c>
    </row>
    <row r="8764" spans="1:5" x14ac:dyDescent="0.55000000000000004">
      <c r="A8764" t="str">
        <f>TEST_DATA!A8764</f>
        <v>27AAAAA8764Z5</v>
      </c>
      <c r="B8764" t="str">
        <f>TEST_DATA!B8764</f>
        <v>Oct-2017</v>
      </c>
      <c r="C8764">
        <f>TEST_DATA!C8764</f>
        <v>44513</v>
      </c>
      <c r="D8764" t="str">
        <f>TEST_DATA!D8764</f>
        <v>NIL</v>
      </c>
      <c r="E8764">
        <f>TEST_DATA!E8764</f>
        <v>1237</v>
      </c>
    </row>
    <row r="8765" spans="1:5" x14ac:dyDescent="0.55000000000000004">
      <c r="A8765" t="str">
        <f>TEST_DATA!A8765</f>
        <v>27AAAAA8765Z5</v>
      </c>
      <c r="B8765" t="str">
        <f>TEST_DATA!B8765</f>
        <v>Dec-2019</v>
      </c>
      <c r="C8765">
        <f>TEST_DATA!C8765</f>
        <v>44616</v>
      </c>
      <c r="D8765" t="str">
        <f>TEST_DATA!D8765</f>
        <v>NIL</v>
      </c>
      <c r="E8765">
        <f>TEST_DATA!E8765</f>
        <v>2402</v>
      </c>
    </row>
    <row r="8766" spans="1:5" x14ac:dyDescent="0.55000000000000004">
      <c r="A8766" t="str">
        <f>TEST_DATA!A8766</f>
        <v>27AAAAA8766Z5</v>
      </c>
      <c r="B8766" t="str">
        <f>TEST_DATA!B8766</f>
        <v>Apr-2018</v>
      </c>
      <c r="C8766">
        <f>TEST_DATA!C8766</f>
        <v>44352</v>
      </c>
      <c r="D8766" t="str">
        <f>TEST_DATA!D8766</f>
        <v>NON-NIL</v>
      </c>
      <c r="E8766">
        <f>TEST_DATA!E8766</f>
        <v>2971</v>
      </c>
    </row>
    <row r="8767" spans="1:5" x14ac:dyDescent="0.55000000000000004">
      <c r="A8767" t="str">
        <f>TEST_DATA!A8767</f>
        <v>27AAAAA8767Z5</v>
      </c>
      <c r="B8767" t="str">
        <f>TEST_DATA!B8767</f>
        <v>Apr-2021</v>
      </c>
      <c r="C8767">
        <f>TEST_DATA!C8767</f>
        <v>44355</v>
      </c>
      <c r="D8767" t="str">
        <f>TEST_DATA!D8767</f>
        <v>NIL</v>
      </c>
      <c r="E8767">
        <f>TEST_DATA!E8767</f>
        <v>2217</v>
      </c>
    </row>
    <row r="8768" spans="1:5" x14ac:dyDescent="0.55000000000000004">
      <c r="A8768" t="str">
        <f>TEST_DATA!A8768</f>
        <v>27AAAAA8768Z5</v>
      </c>
      <c r="B8768" t="str">
        <f>TEST_DATA!B8768</f>
        <v>Sep-2017</v>
      </c>
      <c r="C8768">
        <f>TEST_DATA!C8768</f>
        <v>43622</v>
      </c>
      <c r="D8768" t="str">
        <f>TEST_DATA!D8768</f>
        <v>NON-NIL</v>
      </c>
      <c r="E8768">
        <f>TEST_DATA!E8768</f>
        <v>80</v>
      </c>
    </row>
    <row r="8769" spans="1:5" x14ac:dyDescent="0.55000000000000004">
      <c r="A8769" t="str">
        <f>TEST_DATA!A8769</f>
        <v>27AAAAA8769Z5</v>
      </c>
      <c r="B8769" t="str">
        <f>TEST_DATA!B8769</f>
        <v>Mar-2023</v>
      </c>
      <c r="C8769">
        <f>TEST_DATA!C8769</f>
        <v>44862</v>
      </c>
      <c r="D8769" t="str">
        <f>TEST_DATA!D8769</f>
        <v>NON-NIL</v>
      </c>
      <c r="E8769">
        <f>TEST_DATA!E8769</f>
        <v>664</v>
      </c>
    </row>
    <row r="8770" spans="1:5" x14ac:dyDescent="0.55000000000000004">
      <c r="A8770" t="str">
        <f>TEST_DATA!A8770</f>
        <v>27AAAAA8770Z5</v>
      </c>
      <c r="B8770" t="str">
        <f>TEST_DATA!B8770</f>
        <v>Jan-2019</v>
      </c>
      <c r="C8770">
        <f>TEST_DATA!C8770</f>
        <v>43676</v>
      </c>
      <c r="D8770" t="str">
        <f>TEST_DATA!D8770</f>
        <v>NON-NIL</v>
      </c>
      <c r="E8770">
        <f>TEST_DATA!E8770</f>
        <v>2434</v>
      </c>
    </row>
    <row r="8771" spans="1:5" x14ac:dyDescent="0.55000000000000004">
      <c r="A8771" t="str">
        <f>TEST_DATA!A8771</f>
        <v>27AAAAA8771Z5</v>
      </c>
      <c r="B8771" t="str">
        <f>TEST_DATA!B8771</f>
        <v>Mar-2021</v>
      </c>
      <c r="C8771">
        <f>TEST_DATA!C8771</f>
        <v>44940</v>
      </c>
      <c r="D8771" t="str">
        <f>TEST_DATA!D8771</f>
        <v>NON-NIL</v>
      </c>
      <c r="E8771">
        <f>TEST_DATA!E8771</f>
        <v>1955</v>
      </c>
    </row>
    <row r="8772" spans="1:5" x14ac:dyDescent="0.55000000000000004">
      <c r="A8772" t="str">
        <f>TEST_DATA!A8772</f>
        <v>27AAAAA8772Z5</v>
      </c>
      <c r="B8772" t="str">
        <f>TEST_DATA!B8772</f>
        <v>Aug-2018</v>
      </c>
      <c r="C8772">
        <f>TEST_DATA!C8772</f>
        <v>43157</v>
      </c>
      <c r="D8772" t="str">
        <f>TEST_DATA!D8772</f>
        <v>NIL</v>
      </c>
      <c r="E8772">
        <f>TEST_DATA!E8772</f>
        <v>440</v>
      </c>
    </row>
    <row r="8773" spans="1:5" x14ac:dyDescent="0.55000000000000004">
      <c r="A8773" t="str">
        <f>TEST_DATA!A8773</f>
        <v>27AAAAA8773Z5</v>
      </c>
      <c r="B8773" t="str">
        <f>TEST_DATA!B8773</f>
        <v>Aug-2017</v>
      </c>
      <c r="C8773">
        <f>TEST_DATA!C8773</f>
        <v>43908</v>
      </c>
      <c r="D8773" t="str">
        <f>TEST_DATA!D8773</f>
        <v>NON-NIL</v>
      </c>
      <c r="E8773">
        <f>TEST_DATA!E8773</f>
        <v>1606</v>
      </c>
    </row>
    <row r="8774" spans="1:5" x14ac:dyDescent="0.55000000000000004">
      <c r="A8774" t="str">
        <f>TEST_DATA!A8774</f>
        <v>27AAAAA8774Z5</v>
      </c>
      <c r="B8774" t="str">
        <f>TEST_DATA!B8774</f>
        <v>Apr-2018</v>
      </c>
      <c r="C8774">
        <f>TEST_DATA!C8774</f>
        <v>43837</v>
      </c>
      <c r="D8774" t="str">
        <f>TEST_DATA!D8774</f>
        <v>NON-NIL</v>
      </c>
      <c r="E8774">
        <f>TEST_DATA!E8774</f>
        <v>1187</v>
      </c>
    </row>
    <row r="8775" spans="1:5" x14ac:dyDescent="0.55000000000000004">
      <c r="A8775" t="str">
        <f>TEST_DATA!A8775</f>
        <v>27AAAAA8775Z5</v>
      </c>
      <c r="B8775" t="str">
        <f>TEST_DATA!B8775</f>
        <v>Jun-2020</v>
      </c>
      <c r="C8775">
        <f>TEST_DATA!C8775</f>
        <v>44550</v>
      </c>
      <c r="D8775" t="str">
        <f>TEST_DATA!D8775</f>
        <v>NON-NIL</v>
      </c>
      <c r="E8775">
        <f>TEST_DATA!E8775</f>
        <v>1398</v>
      </c>
    </row>
    <row r="8776" spans="1:5" x14ac:dyDescent="0.55000000000000004">
      <c r="A8776" t="str">
        <f>TEST_DATA!A8776</f>
        <v>27AAAAA8776Z5</v>
      </c>
      <c r="B8776" t="str">
        <f>TEST_DATA!B8776</f>
        <v>Sep-2018</v>
      </c>
      <c r="C8776">
        <f>TEST_DATA!C8776</f>
        <v>43223</v>
      </c>
      <c r="D8776" t="str">
        <f>TEST_DATA!D8776</f>
        <v>NON-NIL</v>
      </c>
      <c r="E8776">
        <f>TEST_DATA!E8776</f>
        <v>621</v>
      </c>
    </row>
    <row r="8777" spans="1:5" x14ac:dyDescent="0.55000000000000004">
      <c r="A8777" t="str">
        <f>TEST_DATA!A8777</f>
        <v>27AAAAA8777Z5</v>
      </c>
      <c r="B8777" t="str">
        <f>TEST_DATA!B8777</f>
        <v>Dec-2017</v>
      </c>
      <c r="C8777">
        <f>TEST_DATA!C8777</f>
        <v>43710</v>
      </c>
      <c r="D8777" t="str">
        <f>TEST_DATA!D8777</f>
        <v>NIL</v>
      </c>
      <c r="E8777">
        <f>TEST_DATA!E8777</f>
        <v>1212</v>
      </c>
    </row>
    <row r="8778" spans="1:5" x14ac:dyDescent="0.55000000000000004">
      <c r="A8778" t="str">
        <f>TEST_DATA!A8778</f>
        <v>27AAAAA8778Z5</v>
      </c>
      <c r="B8778" t="str">
        <f>TEST_DATA!B8778</f>
        <v>Jun-2019</v>
      </c>
      <c r="C8778">
        <f>TEST_DATA!C8778</f>
        <v>44849</v>
      </c>
      <c r="D8778" t="str">
        <f>TEST_DATA!D8778</f>
        <v>NON-NIL</v>
      </c>
      <c r="E8778">
        <f>TEST_DATA!E8778</f>
        <v>2786</v>
      </c>
    </row>
    <row r="8779" spans="1:5" x14ac:dyDescent="0.55000000000000004">
      <c r="A8779" t="str">
        <f>TEST_DATA!A8779</f>
        <v>27AAAAA8779Z5</v>
      </c>
      <c r="B8779" t="str">
        <f>TEST_DATA!B8779</f>
        <v>Jul-2017</v>
      </c>
      <c r="C8779">
        <f>TEST_DATA!C8779</f>
        <v>44469</v>
      </c>
      <c r="D8779" t="str">
        <f>TEST_DATA!D8779</f>
        <v>NIL</v>
      </c>
      <c r="E8779">
        <f>TEST_DATA!E8779</f>
        <v>2375</v>
      </c>
    </row>
    <row r="8780" spans="1:5" x14ac:dyDescent="0.55000000000000004">
      <c r="A8780" t="str">
        <f>TEST_DATA!A8780</f>
        <v>27AAAAA8780Z5</v>
      </c>
      <c r="B8780" t="str">
        <f>TEST_DATA!B8780</f>
        <v>Jul-2017</v>
      </c>
      <c r="C8780">
        <f>TEST_DATA!C8780</f>
        <v>44163</v>
      </c>
      <c r="D8780" t="str">
        <f>TEST_DATA!D8780</f>
        <v>NON-NIL</v>
      </c>
      <c r="E8780">
        <f>TEST_DATA!E8780</f>
        <v>2806</v>
      </c>
    </row>
    <row r="8781" spans="1:5" x14ac:dyDescent="0.55000000000000004">
      <c r="A8781" t="str">
        <f>TEST_DATA!A8781</f>
        <v>27AAAAA8781Z5</v>
      </c>
      <c r="B8781" t="str">
        <f>TEST_DATA!B8781</f>
        <v>Jul-2018</v>
      </c>
      <c r="C8781">
        <f>TEST_DATA!C8781</f>
        <v>43999</v>
      </c>
      <c r="D8781" t="str">
        <f>TEST_DATA!D8781</f>
        <v>NON-NIL</v>
      </c>
      <c r="E8781">
        <f>TEST_DATA!E8781</f>
        <v>1707</v>
      </c>
    </row>
    <row r="8782" spans="1:5" x14ac:dyDescent="0.55000000000000004">
      <c r="A8782" t="str">
        <f>TEST_DATA!A8782</f>
        <v>27AAAAA8782Z5</v>
      </c>
      <c r="B8782" t="str">
        <f>TEST_DATA!B8782</f>
        <v>Jul-2017</v>
      </c>
      <c r="C8782">
        <f>TEST_DATA!C8782</f>
        <v>43805</v>
      </c>
      <c r="D8782" t="str">
        <f>TEST_DATA!D8782</f>
        <v>NON-NIL</v>
      </c>
      <c r="E8782">
        <f>TEST_DATA!E8782</f>
        <v>2963</v>
      </c>
    </row>
    <row r="8783" spans="1:5" x14ac:dyDescent="0.55000000000000004">
      <c r="A8783" t="str">
        <f>TEST_DATA!A8783</f>
        <v>27AAAAA8783Z5</v>
      </c>
      <c r="B8783" t="str">
        <f>TEST_DATA!B8783</f>
        <v>Mar-2020</v>
      </c>
      <c r="C8783">
        <f>TEST_DATA!C8783</f>
        <v>44203</v>
      </c>
      <c r="D8783" t="str">
        <f>TEST_DATA!D8783</f>
        <v>NON-NIL</v>
      </c>
      <c r="E8783">
        <f>TEST_DATA!E8783</f>
        <v>277</v>
      </c>
    </row>
    <row r="8784" spans="1:5" x14ac:dyDescent="0.55000000000000004">
      <c r="A8784" t="str">
        <f>TEST_DATA!A8784</f>
        <v>27AAAAA8784Z5</v>
      </c>
      <c r="B8784" t="str">
        <f>TEST_DATA!B8784</f>
        <v>Jan-2018</v>
      </c>
      <c r="C8784">
        <f>TEST_DATA!C8784</f>
        <v>43980</v>
      </c>
      <c r="D8784" t="str">
        <f>TEST_DATA!D8784</f>
        <v>NIL</v>
      </c>
      <c r="E8784">
        <f>TEST_DATA!E8784</f>
        <v>1678</v>
      </c>
    </row>
    <row r="8785" spans="1:5" x14ac:dyDescent="0.55000000000000004">
      <c r="A8785" t="str">
        <f>TEST_DATA!A8785</f>
        <v>27AAAAA8785Z5</v>
      </c>
      <c r="B8785" t="str">
        <f>TEST_DATA!B8785</f>
        <v>Apr-2021</v>
      </c>
      <c r="C8785">
        <f>TEST_DATA!C8785</f>
        <v>45710</v>
      </c>
      <c r="D8785" t="str">
        <f>TEST_DATA!D8785</f>
        <v>NON-NIL</v>
      </c>
      <c r="E8785">
        <f>TEST_DATA!E8785</f>
        <v>138</v>
      </c>
    </row>
    <row r="8786" spans="1:5" x14ac:dyDescent="0.55000000000000004">
      <c r="A8786" t="str">
        <f>TEST_DATA!A8786</f>
        <v>27AAAAA8786Z5</v>
      </c>
      <c r="B8786" t="str">
        <f>TEST_DATA!B8786</f>
        <v>Apr-2020</v>
      </c>
      <c r="C8786">
        <f>TEST_DATA!C8786</f>
        <v>44737</v>
      </c>
      <c r="D8786" t="str">
        <f>TEST_DATA!D8786</f>
        <v>NON-NIL</v>
      </c>
      <c r="E8786">
        <f>TEST_DATA!E8786</f>
        <v>1868</v>
      </c>
    </row>
    <row r="8787" spans="1:5" x14ac:dyDescent="0.55000000000000004">
      <c r="A8787" t="str">
        <f>TEST_DATA!A8787</f>
        <v>27AAAAA8787Z5</v>
      </c>
      <c r="B8787" t="str">
        <f>TEST_DATA!B8787</f>
        <v>Sep-2018</v>
      </c>
      <c r="C8787">
        <f>TEST_DATA!C8787</f>
        <v>44137</v>
      </c>
      <c r="D8787" t="str">
        <f>TEST_DATA!D8787</f>
        <v>NON-NIL</v>
      </c>
      <c r="E8787">
        <f>TEST_DATA!E8787</f>
        <v>1918</v>
      </c>
    </row>
    <row r="8788" spans="1:5" x14ac:dyDescent="0.55000000000000004">
      <c r="A8788" t="str">
        <f>TEST_DATA!A8788</f>
        <v>27AAAAA8788Z5</v>
      </c>
      <c r="B8788" t="str">
        <f>TEST_DATA!B8788</f>
        <v>Aug-2017</v>
      </c>
      <c r="C8788">
        <f>TEST_DATA!C8788</f>
        <v>44467</v>
      </c>
      <c r="D8788" t="str">
        <f>TEST_DATA!D8788</f>
        <v>NIL</v>
      </c>
      <c r="E8788">
        <f>TEST_DATA!E8788</f>
        <v>2332</v>
      </c>
    </row>
    <row r="8789" spans="1:5" x14ac:dyDescent="0.55000000000000004">
      <c r="A8789" t="str">
        <f>TEST_DATA!A8789</f>
        <v>27AAAAA8789Z5</v>
      </c>
      <c r="B8789" t="str">
        <f>TEST_DATA!B8789</f>
        <v>Mar-2020</v>
      </c>
      <c r="C8789">
        <f>TEST_DATA!C8789</f>
        <v>44663</v>
      </c>
      <c r="D8789" t="str">
        <f>TEST_DATA!D8789</f>
        <v>NIL</v>
      </c>
      <c r="E8789">
        <f>TEST_DATA!E8789</f>
        <v>1541</v>
      </c>
    </row>
    <row r="8790" spans="1:5" x14ac:dyDescent="0.55000000000000004">
      <c r="A8790" t="str">
        <f>TEST_DATA!A8790</f>
        <v>27AAAAA8790Z5</v>
      </c>
      <c r="B8790" t="str">
        <f>TEST_DATA!B8790</f>
        <v>Feb-2018</v>
      </c>
      <c r="C8790">
        <f>TEST_DATA!C8790</f>
        <v>43934</v>
      </c>
      <c r="D8790" t="str">
        <f>TEST_DATA!D8790</f>
        <v>NON-NIL</v>
      </c>
      <c r="E8790">
        <f>TEST_DATA!E8790</f>
        <v>2413</v>
      </c>
    </row>
    <row r="8791" spans="1:5" x14ac:dyDescent="0.55000000000000004">
      <c r="A8791" t="str">
        <f>TEST_DATA!A8791</f>
        <v>27AAAAA8791Z5</v>
      </c>
      <c r="B8791" t="str">
        <f>TEST_DATA!B8791</f>
        <v>Dec-2017</v>
      </c>
      <c r="C8791">
        <f>TEST_DATA!C8791</f>
        <v>44443</v>
      </c>
      <c r="D8791" t="str">
        <f>TEST_DATA!D8791</f>
        <v>NON-NIL</v>
      </c>
      <c r="E8791">
        <f>TEST_DATA!E8791</f>
        <v>285</v>
      </c>
    </row>
    <row r="8792" spans="1:5" x14ac:dyDescent="0.55000000000000004">
      <c r="A8792" t="str">
        <f>TEST_DATA!A8792</f>
        <v>27AAAAA8792Z5</v>
      </c>
      <c r="B8792" t="str">
        <f>TEST_DATA!B8792</f>
        <v>Jun-2020</v>
      </c>
      <c r="C8792">
        <f>TEST_DATA!C8792</f>
        <v>44005</v>
      </c>
      <c r="D8792" t="str">
        <f>TEST_DATA!D8792</f>
        <v>NIL</v>
      </c>
      <c r="E8792">
        <f>TEST_DATA!E8792</f>
        <v>1793</v>
      </c>
    </row>
    <row r="8793" spans="1:5" x14ac:dyDescent="0.55000000000000004">
      <c r="A8793" t="str">
        <f>TEST_DATA!A8793</f>
        <v>27AAAAA8793Z5</v>
      </c>
      <c r="B8793" t="str">
        <f>TEST_DATA!B8793</f>
        <v>Mar-2021</v>
      </c>
      <c r="C8793">
        <f>TEST_DATA!C8793</f>
        <v>44442</v>
      </c>
      <c r="D8793" t="str">
        <f>TEST_DATA!D8793</f>
        <v>NON-NIL</v>
      </c>
      <c r="E8793">
        <f>TEST_DATA!E8793</f>
        <v>504</v>
      </c>
    </row>
    <row r="8794" spans="1:5" x14ac:dyDescent="0.55000000000000004">
      <c r="A8794" t="str">
        <f>TEST_DATA!A8794</f>
        <v>27AAAAA8794Z5</v>
      </c>
      <c r="B8794" t="str">
        <f>TEST_DATA!B8794</f>
        <v>Nov-2017</v>
      </c>
      <c r="C8794">
        <f>TEST_DATA!C8794</f>
        <v>44051</v>
      </c>
      <c r="D8794" t="str">
        <f>TEST_DATA!D8794</f>
        <v>NON-NIL</v>
      </c>
      <c r="E8794">
        <f>TEST_DATA!E8794</f>
        <v>706</v>
      </c>
    </row>
    <row r="8795" spans="1:5" x14ac:dyDescent="0.55000000000000004">
      <c r="A8795" t="str">
        <f>TEST_DATA!A8795</f>
        <v>27AAAAA8795Z5</v>
      </c>
      <c r="B8795" t="str">
        <f>TEST_DATA!B8795</f>
        <v>Dec-2017</v>
      </c>
      <c r="C8795">
        <f>TEST_DATA!C8795</f>
        <v>44270</v>
      </c>
      <c r="D8795" t="str">
        <f>TEST_DATA!D8795</f>
        <v>NIL</v>
      </c>
      <c r="E8795">
        <f>TEST_DATA!E8795</f>
        <v>1666</v>
      </c>
    </row>
    <row r="8796" spans="1:5" x14ac:dyDescent="0.55000000000000004">
      <c r="A8796" t="str">
        <f>TEST_DATA!A8796</f>
        <v>27AAAAA8796Z5</v>
      </c>
      <c r="B8796" t="str">
        <f>TEST_DATA!B8796</f>
        <v>Dec-2019</v>
      </c>
      <c r="C8796">
        <f>TEST_DATA!C8796</f>
        <v>44153</v>
      </c>
      <c r="D8796" t="str">
        <f>TEST_DATA!D8796</f>
        <v>NON-NIL</v>
      </c>
      <c r="E8796">
        <f>TEST_DATA!E8796</f>
        <v>826</v>
      </c>
    </row>
    <row r="8797" spans="1:5" x14ac:dyDescent="0.55000000000000004">
      <c r="A8797" t="str">
        <f>TEST_DATA!A8797</f>
        <v>27AAAAA8797Z5</v>
      </c>
      <c r="B8797" t="str">
        <f>TEST_DATA!B8797</f>
        <v>Dec-2017</v>
      </c>
      <c r="C8797">
        <f>TEST_DATA!C8797</f>
        <v>43391</v>
      </c>
      <c r="D8797" t="str">
        <f>TEST_DATA!D8797</f>
        <v>NIL</v>
      </c>
      <c r="E8797">
        <f>TEST_DATA!E8797</f>
        <v>2803</v>
      </c>
    </row>
    <row r="8798" spans="1:5" x14ac:dyDescent="0.55000000000000004">
      <c r="A8798" t="str">
        <f>TEST_DATA!A8798</f>
        <v>27AAAAA8798Z5</v>
      </c>
      <c r="B8798" t="str">
        <f>TEST_DATA!B8798</f>
        <v>Mar-2021</v>
      </c>
      <c r="C8798">
        <f>TEST_DATA!C8798</f>
        <v>44456</v>
      </c>
      <c r="D8798" t="str">
        <f>TEST_DATA!D8798</f>
        <v>NIL</v>
      </c>
      <c r="E8798">
        <f>TEST_DATA!E8798</f>
        <v>586</v>
      </c>
    </row>
    <row r="8799" spans="1:5" x14ac:dyDescent="0.55000000000000004">
      <c r="A8799" t="str">
        <f>TEST_DATA!A8799</f>
        <v>27AAAAA8799Z5</v>
      </c>
      <c r="B8799" t="str">
        <f>TEST_DATA!B8799</f>
        <v>Jan-2018</v>
      </c>
      <c r="C8799">
        <f>TEST_DATA!C8799</f>
        <v>44180</v>
      </c>
      <c r="D8799" t="str">
        <f>TEST_DATA!D8799</f>
        <v>NIL</v>
      </c>
      <c r="E8799">
        <f>TEST_DATA!E8799</f>
        <v>1033</v>
      </c>
    </row>
    <row r="8800" spans="1:5" x14ac:dyDescent="0.55000000000000004">
      <c r="A8800" t="str">
        <f>TEST_DATA!A8800</f>
        <v>27AAAAA8800Z5</v>
      </c>
      <c r="B8800" t="str">
        <f>TEST_DATA!B8800</f>
        <v>Mar-2018</v>
      </c>
      <c r="C8800">
        <f>TEST_DATA!C8800</f>
        <v>43693</v>
      </c>
      <c r="D8800" t="str">
        <f>TEST_DATA!D8800</f>
        <v>NIL</v>
      </c>
      <c r="E8800">
        <f>TEST_DATA!E8800</f>
        <v>1643</v>
      </c>
    </row>
    <row r="8801" spans="1:5" x14ac:dyDescent="0.55000000000000004">
      <c r="A8801" t="str">
        <f>TEST_DATA!A8801</f>
        <v>27AAAAA8801Z5</v>
      </c>
      <c r="B8801" t="str">
        <f>TEST_DATA!B8801</f>
        <v>Dec-2022</v>
      </c>
      <c r="C8801">
        <f>TEST_DATA!C8801</f>
        <v>43578</v>
      </c>
      <c r="D8801" t="str">
        <f>TEST_DATA!D8801</f>
        <v>NON-NIL</v>
      </c>
      <c r="E8801">
        <f>TEST_DATA!E8801</f>
        <v>2318</v>
      </c>
    </row>
    <row r="8802" spans="1:5" x14ac:dyDescent="0.55000000000000004">
      <c r="A8802" t="str">
        <f>TEST_DATA!A8802</f>
        <v>27AAAAA8802Z5</v>
      </c>
      <c r="B8802" t="str">
        <f>TEST_DATA!B8802</f>
        <v>Mar-2018</v>
      </c>
      <c r="C8802">
        <f>TEST_DATA!C8802</f>
        <v>44366</v>
      </c>
      <c r="D8802" t="str">
        <f>TEST_DATA!D8802</f>
        <v>NIL</v>
      </c>
      <c r="E8802">
        <f>TEST_DATA!E8802</f>
        <v>2785</v>
      </c>
    </row>
    <row r="8803" spans="1:5" x14ac:dyDescent="0.55000000000000004">
      <c r="A8803" t="str">
        <f>TEST_DATA!A8803</f>
        <v>27AAAAA8803Z5</v>
      </c>
      <c r="B8803" t="str">
        <f>TEST_DATA!B8803</f>
        <v>Jul-2017</v>
      </c>
      <c r="C8803">
        <f>TEST_DATA!C8803</f>
        <v>43733</v>
      </c>
      <c r="D8803" t="str">
        <f>TEST_DATA!D8803</f>
        <v>NON-NIL</v>
      </c>
      <c r="E8803">
        <f>TEST_DATA!E8803</f>
        <v>2680</v>
      </c>
    </row>
    <row r="8804" spans="1:5" x14ac:dyDescent="0.55000000000000004">
      <c r="A8804" t="str">
        <f>TEST_DATA!A8804</f>
        <v>27AAAAA8804Z5</v>
      </c>
      <c r="B8804" t="str">
        <f>TEST_DATA!B8804</f>
        <v>Nov-2017</v>
      </c>
      <c r="C8804">
        <f>TEST_DATA!C8804</f>
        <v>43307</v>
      </c>
      <c r="D8804" t="str">
        <f>TEST_DATA!D8804</f>
        <v>NON-NIL</v>
      </c>
      <c r="E8804">
        <f>TEST_DATA!E8804</f>
        <v>1792</v>
      </c>
    </row>
    <row r="8805" spans="1:5" x14ac:dyDescent="0.55000000000000004">
      <c r="A8805" t="str">
        <f>TEST_DATA!A8805</f>
        <v>27AAAAA8805Z5</v>
      </c>
      <c r="B8805" t="str">
        <f>TEST_DATA!B8805</f>
        <v>Dec-2019</v>
      </c>
      <c r="C8805">
        <f>TEST_DATA!C8805</f>
        <v>45070</v>
      </c>
      <c r="D8805" t="str">
        <f>TEST_DATA!D8805</f>
        <v>NON-NIL</v>
      </c>
      <c r="E8805">
        <f>TEST_DATA!E8805</f>
        <v>575</v>
      </c>
    </row>
    <row r="8806" spans="1:5" x14ac:dyDescent="0.55000000000000004">
      <c r="A8806" t="str">
        <f>TEST_DATA!A8806</f>
        <v>27AAAAA8806Z5</v>
      </c>
      <c r="B8806" t="str">
        <f>TEST_DATA!B8806</f>
        <v>Apr-2020</v>
      </c>
      <c r="C8806">
        <f>TEST_DATA!C8806</f>
        <v>44456</v>
      </c>
      <c r="D8806" t="str">
        <f>TEST_DATA!D8806</f>
        <v>NIL</v>
      </c>
      <c r="E8806">
        <f>TEST_DATA!E8806</f>
        <v>559</v>
      </c>
    </row>
    <row r="8807" spans="1:5" x14ac:dyDescent="0.55000000000000004">
      <c r="A8807" t="str">
        <f>TEST_DATA!A8807</f>
        <v>27AAAAA8807Z5</v>
      </c>
      <c r="B8807" t="str">
        <f>TEST_DATA!B8807</f>
        <v>Jun-2019</v>
      </c>
      <c r="C8807">
        <f>TEST_DATA!C8807</f>
        <v>44873</v>
      </c>
      <c r="D8807" t="str">
        <f>TEST_DATA!D8807</f>
        <v>NIL</v>
      </c>
      <c r="E8807">
        <f>TEST_DATA!E8807</f>
        <v>1975</v>
      </c>
    </row>
    <row r="8808" spans="1:5" x14ac:dyDescent="0.55000000000000004">
      <c r="A8808" t="str">
        <f>TEST_DATA!A8808</f>
        <v>27AAAAA8808Z5</v>
      </c>
      <c r="B8808" t="str">
        <f>TEST_DATA!B8808</f>
        <v>Jul-2020</v>
      </c>
      <c r="C8808">
        <f>TEST_DATA!C8808</f>
        <v>43930</v>
      </c>
      <c r="D8808" t="str">
        <f>TEST_DATA!D8808</f>
        <v>NIL</v>
      </c>
      <c r="E8808">
        <f>TEST_DATA!E8808</f>
        <v>1566</v>
      </c>
    </row>
    <row r="8809" spans="1:5" x14ac:dyDescent="0.55000000000000004">
      <c r="A8809" t="str">
        <f>TEST_DATA!A8809</f>
        <v>27AAAAA8809Z5</v>
      </c>
      <c r="B8809" t="str">
        <f>TEST_DATA!B8809</f>
        <v>Mar-2023</v>
      </c>
      <c r="C8809">
        <f>TEST_DATA!C8809</f>
        <v>44551</v>
      </c>
      <c r="D8809" t="str">
        <f>TEST_DATA!D8809</f>
        <v>NON-NIL</v>
      </c>
      <c r="E8809">
        <f>TEST_DATA!E8809</f>
        <v>2175</v>
      </c>
    </row>
    <row r="8810" spans="1:5" x14ac:dyDescent="0.55000000000000004">
      <c r="A8810" t="str">
        <f>TEST_DATA!A8810</f>
        <v>27AAAAA8810Z5</v>
      </c>
      <c r="B8810" t="str">
        <f>TEST_DATA!B8810</f>
        <v>Dec-2024</v>
      </c>
      <c r="C8810">
        <f>TEST_DATA!C8810</f>
        <v>45742</v>
      </c>
      <c r="D8810" t="str">
        <f>TEST_DATA!D8810</f>
        <v>NON-NIL</v>
      </c>
      <c r="E8810">
        <f>TEST_DATA!E8810</f>
        <v>1176</v>
      </c>
    </row>
    <row r="8811" spans="1:5" x14ac:dyDescent="0.55000000000000004">
      <c r="A8811" t="str">
        <f>TEST_DATA!A8811</f>
        <v>27AAAAA8811Z5</v>
      </c>
      <c r="B8811" t="str">
        <f>TEST_DATA!B8811</f>
        <v>Dec-2019</v>
      </c>
      <c r="C8811">
        <f>TEST_DATA!C8811</f>
        <v>45427</v>
      </c>
      <c r="D8811" t="str">
        <f>TEST_DATA!D8811</f>
        <v>NON-NIL</v>
      </c>
      <c r="E8811">
        <f>TEST_DATA!E8811</f>
        <v>1005</v>
      </c>
    </row>
    <row r="8812" spans="1:5" x14ac:dyDescent="0.55000000000000004">
      <c r="A8812" t="str">
        <f>TEST_DATA!A8812</f>
        <v>27AAAAA8812Z5</v>
      </c>
      <c r="B8812" t="str">
        <f>TEST_DATA!B8812</f>
        <v>Oct-2017</v>
      </c>
      <c r="C8812">
        <f>TEST_DATA!C8812</f>
        <v>43155</v>
      </c>
      <c r="D8812" t="str">
        <f>TEST_DATA!D8812</f>
        <v>NIL</v>
      </c>
      <c r="E8812">
        <f>TEST_DATA!E8812</f>
        <v>1048</v>
      </c>
    </row>
    <row r="8813" spans="1:5" x14ac:dyDescent="0.55000000000000004">
      <c r="A8813" t="str">
        <f>TEST_DATA!A8813</f>
        <v>27AAAAA8813Z5</v>
      </c>
      <c r="B8813" t="str">
        <f>TEST_DATA!B8813</f>
        <v>Dec-2017</v>
      </c>
      <c r="C8813">
        <f>TEST_DATA!C8813</f>
        <v>43658</v>
      </c>
      <c r="D8813" t="str">
        <f>TEST_DATA!D8813</f>
        <v>NON-NIL</v>
      </c>
      <c r="E8813">
        <f>TEST_DATA!E8813</f>
        <v>1273</v>
      </c>
    </row>
    <row r="8814" spans="1:5" x14ac:dyDescent="0.55000000000000004">
      <c r="A8814" t="str">
        <f>TEST_DATA!A8814</f>
        <v>27AAAAA8814Z5</v>
      </c>
      <c r="B8814" t="str">
        <f>TEST_DATA!B8814</f>
        <v>Dec-2024</v>
      </c>
      <c r="C8814">
        <f>TEST_DATA!C8814</f>
        <v>44052</v>
      </c>
      <c r="D8814" t="str">
        <f>TEST_DATA!D8814</f>
        <v>NIL</v>
      </c>
      <c r="E8814">
        <f>TEST_DATA!E8814</f>
        <v>1327</v>
      </c>
    </row>
    <row r="8815" spans="1:5" x14ac:dyDescent="0.55000000000000004">
      <c r="A8815" t="str">
        <f>TEST_DATA!A8815</f>
        <v>27AAAAA8815Z5</v>
      </c>
      <c r="B8815" t="str">
        <f>TEST_DATA!B8815</f>
        <v>Feb-2018</v>
      </c>
      <c r="C8815">
        <f>TEST_DATA!C8815</f>
        <v>43826</v>
      </c>
      <c r="D8815" t="str">
        <f>TEST_DATA!D8815</f>
        <v>NON-NIL</v>
      </c>
      <c r="E8815">
        <f>TEST_DATA!E8815</f>
        <v>1239</v>
      </c>
    </row>
    <row r="8816" spans="1:5" x14ac:dyDescent="0.55000000000000004">
      <c r="A8816" t="str">
        <f>TEST_DATA!A8816</f>
        <v>27AAAAA8816Z5</v>
      </c>
      <c r="B8816" t="str">
        <f>TEST_DATA!B8816</f>
        <v>Nov-2017</v>
      </c>
      <c r="C8816">
        <f>TEST_DATA!C8816</f>
        <v>43664</v>
      </c>
      <c r="D8816" t="str">
        <f>TEST_DATA!D8816</f>
        <v>NON-NIL</v>
      </c>
      <c r="E8816">
        <f>TEST_DATA!E8816</f>
        <v>122</v>
      </c>
    </row>
    <row r="8817" spans="1:5" x14ac:dyDescent="0.55000000000000004">
      <c r="A8817" t="str">
        <f>TEST_DATA!A8817</f>
        <v>27AAAAA8817Z5</v>
      </c>
      <c r="B8817" t="str">
        <f>TEST_DATA!B8817</f>
        <v>Jan-2019</v>
      </c>
      <c r="C8817">
        <f>TEST_DATA!C8817</f>
        <v>45748</v>
      </c>
      <c r="D8817" t="str">
        <f>TEST_DATA!D8817</f>
        <v>NON-NIL</v>
      </c>
      <c r="E8817">
        <f>TEST_DATA!E8817</f>
        <v>2255</v>
      </c>
    </row>
    <row r="8818" spans="1:5" x14ac:dyDescent="0.55000000000000004">
      <c r="A8818" t="str">
        <f>TEST_DATA!A8818</f>
        <v>27AAAAA8818Z5</v>
      </c>
      <c r="B8818" t="str">
        <f>TEST_DATA!B8818</f>
        <v>Jun-2019</v>
      </c>
      <c r="C8818">
        <f>TEST_DATA!C8818</f>
        <v>45295</v>
      </c>
      <c r="D8818" t="str">
        <f>TEST_DATA!D8818</f>
        <v>NON-NIL</v>
      </c>
      <c r="E8818">
        <f>TEST_DATA!E8818</f>
        <v>112</v>
      </c>
    </row>
    <row r="8819" spans="1:5" x14ac:dyDescent="0.55000000000000004">
      <c r="A8819" t="str">
        <f>TEST_DATA!A8819</f>
        <v>27AAAAA8819Z5</v>
      </c>
      <c r="B8819" t="str">
        <f>TEST_DATA!B8819</f>
        <v>Jun-2020</v>
      </c>
      <c r="C8819">
        <f>TEST_DATA!C8819</f>
        <v>44200</v>
      </c>
      <c r="D8819" t="str">
        <f>TEST_DATA!D8819</f>
        <v>NIL</v>
      </c>
      <c r="E8819">
        <f>TEST_DATA!E8819</f>
        <v>936</v>
      </c>
    </row>
    <row r="8820" spans="1:5" x14ac:dyDescent="0.55000000000000004">
      <c r="A8820" t="str">
        <f>TEST_DATA!A8820</f>
        <v>27AAAAA8820Z5</v>
      </c>
      <c r="B8820" t="str">
        <f>TEST_DATA!B8820</f>
        <v>Jan-2021</v>
      </c>
      <c r="C8820">
        <f>TEST_DATA!C8820</f>
        <v>43998</v>
      </c>
      <c r="D8820" t="str">
        <f>TEST_DATA!D8820</f>
        <v>NIL</v>
      </c>
      <c r="E8820">
        <f>TEST_DATA!E8820</f>
        <v>501</v>
      </c>
    </row>
    <row r="8821" spans="1:5" x14ac:dyDescent="0.55000000000000004">
      <c r="A8821" t="str">
        <f>TEST_DATA!A8821</f>
        <v>27AAAAA8821Z5</v>
      </c>
      <c r="B8821" t="str">
        <f>TEST_DATA!B8821</f>
        <v>Feb-2018</v>
      </c>
      <c r="C8821">
        <f>TEST_DATA!C8821</f>
        <v>43070</v>
      </c>
      <c r="D8821" t="str">
        <f>TEST_DATA!D8821</f>
        <v>NON-NIL</v>
      </c>
      <c r="E8821">
        <f>TEST_DATA!E8821</f>
        <v>140</v>
      </c>
    </row>
    <row r="8822" spans="1:5" x14ac:dyDescent="0.55000000000000004">
      <c r="A8822" t="str">
        <f>TEST_DATA!A8822</f>
        <v>27AAAAA8822Z5</v>
      </c>
      <c r="B8822" t="str">
        <f>TEST_DATA!B8822</f>
        <v>Dec-2024</v>
      </c>
      <c r="C8822">
        <f>TEST_DATA!C8822</f>
        <v>43847</v>
      </c>
      <c r="D8822" t="str">
        <f>TEST_DATA!D8822</f>
        <v>NON-NIL</v>
      </c>
      <c r="E8822">
        <f>TEST_DATA!E8822</f>
        <v>2294</v>
      </c>
    </row>
    <row r="8823" spans="1:5" x14ac:dyDescent="0.55000000000000004">
      <c r="A8823" t="str">
        <f>TEST_DATA!A8823</f>
        <v>27AAAAA8823Z5</v>
      </c>
      <c r="B8823" t="str">
        <f>TEST_DATA!B8823</f>
        <v>Jul-2018</v>
      </c>
      <c r="C8823">
        <f>TEST_DATA!C8823</f>
        <v>43766</v>
      </c>
      <c r="D8823" t="str">
        <f>TEST_DATA!D8823</f>
        <v>NIL</v>
      </c>
      <c r="E8823">
        <f>TEST_DATA!E8823</f>
        <v>2424</v>
      </c>
    </row>
    <row r="8824" spans="1:5" x14ac:dyDescent="0.55000000000000004">
      <c r="A8824" t="str">
        <f>TEST_DATA!A8824</f>
        <v>27AAAAA8824Z5</v>
      </c>
      <c r="B8824" t="str">
        <f>TEST_DATA!B8824</f>
        <v>Mar-2021</v>
      </c>
      <c r="C8824">
        <f>TEST_DATA!C8824</f>
        <v>45828</v>
      </c>
      <c r="D8824" t="str">
        <f>TEST_DATA!D8824</f>
        <v>NIL</v>
      </c>
      <c r="E8824">
        <f>TEST_DATA!E8824</f>
        <v>2211</v>
      </c>
    </row>
    <row r="8825" spans="1:5" x14ac:dyDescent="0.55000000000000004">
      <c r="A8825" t="str">
        <f>TEST_DATA!A8825</f>
        <v>27AAAAA8825Z5</v>
      </c>
      <c r="B8825" t="str">
        <f>TEST_DATA!B8825</f>
        <v>Apr-2021</v>
      </c>
      <c r="C8825">
        <f>TEST_DATA!C8825</f>
        <v>45399</v>
      </c>
      <c r="D8825" t="str">
        <f>TEST_DATA!D8825</f>
        <v>NON-NIL</v>
      </c>
      <c r="E8825">
        <f>TEST_DATA!E8825</f>
        <v>653</v>
      </c>
    </row>
    <row r="8826" spans="1:5" x14ac:dyDescent="0.55000000000000004">
      <c r="A8826" t="str">
        <f>TEST_DATA!A8826</f>
        <v>27AAAAA8826Z5</v>
      </c>
      <c r="B8826" t="str">
        <f>TEST_DATA!B8826</f>
        <v>Dec-2024</v>
      </c>
      <c r="C8826">
        <f>TEST_DATA!C8826</f>
        <v>45593</v>
      </c>
      <c r="D8826" t="str">
        <f>TEST_DATA!D8826</f>
        <v>NON-NIL</v>
      </c>
      <c r="E8826">
        <f>TEST_DATA!E8826</f>
        <v>831</v>
      </c>
    </row>
    <row r="8827" spans="1:5" x14ac:dyDescent="0.55000000000000004">
      <c r="A8827" t="str">
        <f>TEST_DATA!A8827</f>
        <v>27AAAAA8827Z5</v>
      </c>
      <c r="B8827" t="str">
        <f>TEST_DATA!B8827</f>
        <v>Dec-2022</v>
      </c>
      <c r="C8827">
        <f>TEST_DATA!C8827</f>
        <v>43778</v>
      </c>
      <c r="D8827" t="str">
        <f>TEST_DATA!D8827</f>
        <v>NON-NIL</v>
      </c>
      <c r="E8827">
        <f>TEST_DATA!E8827</f>
        <v>645</v>
      </c>
    </row>
    <row r="8828" spans="1:5" x14ac:dyDescent="0.55000000000000004">
      <c r="A8828" t="str">
        <f>TEST_DATA!A8828</f>
        <v>27AAAAA8828Z5</v>
      </c>
      <c r="B8828" t="str">
        <f>TEST_DATA!B8828</f>
        <v>Apr-2021</v>
      </c>
      <c r="C8828">
        <f>TEST_DATA!C8828</f>
        <v>44734</v>
      </c>
      <c r="D8828" t="str">
        <f>TEST_DATA!D8828</f>
        <v>NON-NIL</v>
      </c>
      <c r="E8828">
        <f>TEST_DATA!E8828</f>
        <v>1674</v>
      </c>
    </row>
    <row r="8829" spans="1:5" x14ac:dyDescent="0.55000000000000004">
      <c r="A8829" t="str">
        <f>TEST_DATA!A8829</f>
        <v>27AAAAA8829Z5</v>
      </c>
      <c r="B8829" t="str">
        <f>TEST_DATA!B8829</f>
        <v>Dec-2017</v>
      </c>
      <c r="C8829">
        <f>TEST_DATA!C8829</f>
        <v>44097</v>
      </c>
      <c r="D8829" t="str">
        <f>TEST_DATA!D8829</f>
        <v>NIL</v>
      </c>
      <c r="E8829">
        <f>TEST_DATA!E8829</f>
        <v>1941</v>
      </c>
    </row>
    <row r="8830" spans="1:5" x14ac:dyDescent="0.55000000000000004">
      <c r="A8830" t="str">
        <f>TEST_DATA!A8830</f>
        <v>27AAAAA8830Z5</v>
      </c>
      <c r="B8830" t="str">
        <f>TEST_DATA!B8830</f>
        <v>Jun-2020</v>
      </c>
      <c r="C8830">
        <f>TEST_DATA!C8830</f>
        <v>44634</v>
      </c>
      <c r="D8830" t="str">
        <f>TEST_DATA!D8830</f>
        <v>NON-NIL</v>
      </c>
      <c r="E8830">
        <f>TEST_DATA!E8830</f>
        <v>1230</v>
      </c>
    </row>
    <row r="8831" spans="1:5" x14ac:dyDescent="0.55000000000000004">
      <c r="A8831" t="str">
        <f>TEST_DATA!A8831</f>
        <v>27AAAAA8831Z5</v>
      </c>
      <c r="B8831" t="str">
        <f>TEST_DATA!B8831</f>
        <v>Oct-2017</v>
      </c>
      <c r="C8831">
        <f>TEST_DATA!C8831</f>
        <v>43791</v>
      </c>
      <c r="D8831" t="str">
        <f>TEST_DATA!D8831</f>
        <v>NIL</v>
      </c>
      <c r="E8831">
        <f>TEST_DATA!E8831</f>
        <v>960</v>
      </c>
    </row>
    <row r="8832" spans="1:5" x14ac:dyDescent="0.55000000000000004">
      <c r="A8832" t="str">
        <f>TEST_DATA!A8832</f>
        <v>27AAAAA8832Z5</v>
      </c>
      <c r="B8832" t="str">
        <f>TEST_DATA!B8832</f>
        <v>Jan-2018</v>
      </c>
      <c r="C8832">
        <f>TEST_DATA!C8832</f>
        <v>44473</v>
      </c>
      <c r="D8832" t="str">
        <f>TEST_DATA!D8832</f>
        <v>NIL</v>
      </c>
      <c r="E8832">
        <f>TEST_DATA!E8832</f>
        <v>2219</v>
      </c>
    </row>
    <row r="8833" spans="1:5" x14ac:dyDescent="0.55000000000000004">
      <c r="A8833" t="str">
        <f>TEST_DATA!A8833</f>
        <v>27AAAAA8833Z5</v>
      </c>
      <c r="B8833" t="str">
        <f>TEST_DATA!B8833</f>
        <v>Dec-2019</v>
      </c>
      <c r="C8833">
        <f>TEST_DATA!C8833</f>
        <v>45540</v>
      </c>
      <c r="D8833" t="str">
        <f>TEST_DATA!D8833</f>
        <v>NIL</v>
      </c>
      <c r="E8833">
        <f>TEST_DATA!E8833</f>
        <v>1929</v>
      </c>
    </row>
    <row r="8834" spans="1:5" x14ac:dyDescent="0.55000000000000004">
      <c r="A8834" t="str">
        <f>TEST_DATA!A8834</f>
        <v>27AAAAA8834Z5</v>
      </c>
      <c r="B8834" t="str">
        <f>TEST_DATA!B8834</f>
        <v>Jul-2017</v>
      </c>
      <c r="C8834">
        <f>TEST_DATA!C8834</f>
        <v>42956</v>
      </c>
      <c r="D8834" t="str">
        <f>TEST_DATA!D8834</f>
        <v>NON-NIL</v>
      </c>
      <c r="E8834">
        <f>TEST_DATA!E8834</f>
        <v>321</v>
      </c>
    </row>
    <row r="8835" spans="1:5" x14ac:dyDescent="0.55000000000000004">
      <c r="A8835" t="str">
        <f>TEST_DATA!A8835</f>
        <v>27AAAAA8835Z5</v>
      </c>
      <c r="B8835" t="str">
        <f>TEST_DATA!B8835</f>
        <v>Jul-2020</v>
      </c>
      <c r="C8835">
        <f>TEST_DATA!C8835</f>
        <v>43915</v>
      </c>
      <c r="D8835" t="str">
        <f>TEST_DATA!D8835</f>
        <v>NIL</v>
      </c>
      <c r="E8835">
        <f>TEST_DATA!E8835</f>
        <v>2158</v>
      </c>
    </row>
    <row r="8836" spans="1:5" x14ac:dyDescent="0.55000000000000004">
      <c r="A8836" t="str">
        <f>TEST_DATA!A8836</f>
        <v>27AAAAA8836Z5</v>
      </c>
      <c r="B8836" t="str">
        <f>TEST_DATA!B8836</f>
        <v>Jan-2019</v>
      </c>
      <c r="C8836">
        <f>TEST_DATA!C8836</f>
        <v>44744</v>
      </c>
      <c r="D8836" t="str">
        <f>TEST_DATA!D8836</f>
        <v>NON-NIL</v>
      </c>
      <c r="E8836">
        <f>TEST_DATA!E8836</f>
        <v>2804</v>
      </c>
    </row>
    <row r="8837" spans="1:5" x14ac:dyDescent="0.55000000000000004">
      <c r="A8837" t="str">
        <f>TEST_DATA!A8837</f>
        <v>27AAAAA8837Z5</v>
      </c>
      <c r="B8837" t="str">
        <f>TEST_DATA!B8837</f>
        <v>Sep-2017</v>
      </c>
      <c r="C8837">
        <f>TEST_DATA!C8837</f>
        <v>43224</v>
      </c>
      <c r="D8837" t="str">
        <f>TEST_DATA!D8837</f>
        <v>NIL</v>
      </c>
      <c r="E8837">
        <f>TEST_DATA!E8837</f>
        <v>602</v>
      </c>
    </row>
    <row r="8838" spans="1:5" x14ac:dyDescent="0.55000000000000004">
      <c r="A8838" t="str">
        <f>TEST_DATA!A8838</f>
        <v>27AAAAA8838Z5</v>
      </c>
      <c r="B8838" t="str">
        <f>TEST_DATA!B8838</f>
        <v>Jun-2020</v>
      </c>
      <c r="C8838">
        <f>TEST_DATA!C8838</f>
        <v>44157</v>
      </c>
      <c r="D8838" t="str">
        <f>TEST_DATA!D8838</f>
        <v>NIL</v>
      </c>
      <c r="E8838">
        <f>TEST_DATA!E8838</f>
        <v>336</v>
      </c>
    </row>
    <row r="8839" spans="1:5" x14ac:dyDescent="0.55000000000000004">
      <c r="A8839" t="str">
        <f>TEST_DATA!A8839</f>
        <v>27AAAAA8839Z5</v>
      </c>
      <c r="B8839" t="str">
        <f>TEST_DATA!B8839</f>
        <v>Jan-2021</v>
      </c>
      <c r="C8839">
        <f>TEST_DATA!C8839</f>
        <v>45469</v>
      </c>
      <c r="D8839" t="str">
        <f>TEST_DATA!D8839</f>
        <v>NON-NIL</v>
      </c>
      <c r="E8839">
        <f>TEST_DATA!E8839</f>
        <v>1218</v>
      </c>
    </row>
    <row r="8840" spans="1:5" x14ac:dyDescent="0.55000000000000004">
      <c r="A8840" t="str">
        <f>TEST_DATA!A8840</f>
        <v>27AAAAA8840Z5</v>
      </c>
      <c r="B8840" t="str">
        <f>TEST_DATA!B8840</f>
        <v>Jun-2018</v>
      </c>
      <c r="C8840">
        <f>TEST_DATA!C8840</f>
        <v>43473</v>
      </c>
      <c r="D8840" t="str">
        <f>TEST_DATA!D8840</f>
        <v>NIL</v>
      </c>
      <c r="E8840">
        <f>TEST_DATA!E8840</f>
        <v>1631</v>
      </c>
    </row>
    <row r="8841" spans="1:5" x14ac:dyDescent="0.55000000000000004">
      <c r="A8841" t="str">
        <f>TEST_DATA!A8841</f>
        <v>27AAAAA8841Z5</v>
      </c>
      <c r="B8841" t="str">
        <f>TEST_DATA!B8841</f>
        <v>Mar-2018</v>
      </c>
      <c r="C8841">
        <f>TEST_DATA!C8841</f>
        <v>44002</v>
      </c>
      <c r="D8841" t="str">
        <f>TEST_DATA!D8841</f>
        <v>NON-NIL</v>
      </c>
      <c r="E8841">
        <f>TEST_DATA!E8841</f>
        <v>2537</v>
      </c>
    </row>
    <row r="8842" spans="1:5" x14ac:dyDescent="0.55000000000000004">
      <c r="A8842" t="str">
        <f>TEST_DATA!A8842</f>
        <v>27AAAAA8842Z5</v>
      </c>
      <c r="B8842" t="str">
        <f>TEST_DATA!B8842</f>
        <v>Nov-2017</v>
      </c>
      <c r="C8842">
        <f>TEST_DATA!C8842</f>
        <v>44265</v>
      </c>
      <c r="D8842" t="str">
        <f>TEST_DATA!D8842</f>
        <v>NIL</v>
      </c>
      <c r="E8842">
        <f>TEST_DATA!E8842</f>
        <v>227</v>
      </c>
    </row>
    <row r="8843" spans="1:5" x14ac:dyDescent="0.55000000000000004">
      <c r="A8843" t="str">
        <f>TEST_DATA!A8843</f>
        <v>27AAAAA8843Z5</v>
      </c>
      <c r="B8843" t="str">
        <f>TEST_DATA!B8843</f>
        <v>Mar-2023</v>
      </c>
      <c r="C8843">
        <f>TEST_DATA!C8843</f>
        <v>44568</v>
      </c>
      <c r="D8843" t="str">
        <f>TEST_DATA!D8843</f>
        <v>NON-NIL</v>
      </c>
      <c r="E8843">
        <f>TEST_DATA!E8843</f>
        <v>1700</v>
      </c>
    </row>
    <row r="8844" spans="1:5" x14ac:dyDescent="0.55000000000000004">
      <c r="A8844" t="str">
        <f>TEST_DATA!A8844</f>
        <v>27AAAAA8844Z5</v>
      </c>
      <c r="B8844" t="str">
        <f>TEST_DATA!B8844</f>
        <v>Nov-2017</v>
      </c>
      <c r="C8844">
        <f>TEST_DATA!C8844</f>
        <v>43872</v>
      </c>
      <c r="D8844" t="str">
        <f>TEST_DATA!D8844</f>
        <v>NON-NIL</v>
      </c>
      <c r="E8844">
        <f>TEST_DATA!E8844</f>
        <v>2663</v>
      </c>
    </row>
    <row r="8845" spans="1:5" x14ac:dyDescent="0.55000000000000004">
      <c r="A8845" t="str">
        <f>TEST_DATA!A8845</f>
        <v>27AAAAA8845Z5</v>
      </c>
      <c r="B8845" t="str">
        <f>TEST_DATA!B8845</f>
        <v>Jan-2021</v>
      </c>
      <c r="C8845">
        <f>TEST_DATA!C8845</f>
        <v>43539</v>
      </c>
      <c r="D8845" t="str">
        <f>TEST_DATA!D8845</f>
        <v>NIL</v>
      </c>
      <c r="E8845">
        <f>TEST_DATA!E8845</f>
        <v>1456</v>
      </c>
    </row>
    <row r="8846" spans="1:5" x14ac:dyDescent="0.55000000000000004">
      <c r="A8846" t="str">
        <f>TEST_DATA!A8846</f>
        <v>27AAAAA8846Z5</v>
      </c>
      <c r="B8846" t="str">
        <f>TEST_DATA!B8846</f>
        <v>Dec-2017</v>
      </c>
      <c r="C8846">
        <f>TEST_DATA!C8846</f>
        <v>43747</v>
      </c>
      <c r="D8846" t="str">
        <f>TEST_DATA!D8846</f>
        <v>NON-NIL</v>
      </c>
      <c r="E8846">
        <f>TEST_DATA!E8846</f>
        <v>1035</v>
      </c>
    </row>
    <row r="8847" spans="1:5" x14ac:dyDescent="0.55000000000000004">
      <c r="A8847" t="str">
        <f>TEST_DATA!A8847</f>
        <v>27AAAAA8847Z5</v>
      </c>
      <c r="B8847" t="str">
        <f>TEST_DATA!B8847</f>
        <v>Mar-2018</v>
      </c>
      <c r="C8847">
        <f>TEST_DATA!C8847</f>
        <v>43266</v>
      </c>
      <c r="D8847" t="str">
        <f>TEST_DATA!D8847</f>
        <v>NIL</v>
      </c>
      <c r="E8847">
        <f>TEST_DATA!E8847</f>
        <v>941</v>
      </c>
    </row>
    <row r="8848" spans="1:5" x14ac:dyDescent="0.55000000000000004">
      <c r="A8848" t="str">
        <f>TEST_DATA!A8848</f>
        <v>27AAAAA8848Z5</v>
      </c>
      <c r="B8848" t="str">
        <f>TEST_DATA!B8848</f>
        <v>Mar-2023</v>
      </c>
      <c r="C8848">
        <f>TEST_DATA!C8848</f>
        <v>45097</v>
      </c>
      <c r="D8848" t="str">
        <f>TEST_DATA!D8848</f>
        <v>NIL</v>
      </c>
      <c r="E8848">
        <f>TEST_DATA!E8848</f>
        <v>1971</v>
      </c>
    </row>
    <row r="8849" spans="1:5" x14ac:dyDescent="0.55000000000000004">
      <c r="A8849" t="str">
        <f>TEST_DATA!A8849</f>
        <v>27AAAAA8849Z5</v>
      </c>
      <c r="B8849" t="str">
        <f>TEST_DATA!B8849</f>
        <v>Dec-2019</v>
      </c>
      <c r="C8849">
        <f>TEST_DATA!C8849</f>
        <v>44865</v>
      </c>
      <c r="D8849" t="str">
        <f>TEST_DATA!D8849</f>
        <v>NON-NIL</v>
      </c>
      <c r="E8849">
        <f>TEST_DATA!E8849</f>
        <v>2223</v>
      </c>
    </row>
    <row r="8850" spans="1:5" x14ac:dyDescent="0.55000000000000004">
      <c r="A8850" t="str">
        <f>TEST_DATA!A8850</f>
        <v>27AAAAA8850Z5</v>
      </c>
      <c r="B8850" t="str">
        <f>TEST_DATA!B8850</f>
        <v>Apr-2021</v>
      </c>
      <c r="C8850">
        <f>TEST_DATA!C8850</f>
        <v>44238</v>
      </c>
      <c r="D8850" t="str">
        <f>TEST_DATA!D8850</f>
        <v>NIL</v>
      </c>
      <c r="E8850">
        <f>TEST_DATA!E8850</f>
        <v>54</v>
      </c>
    </row>
    <row r="8851" spans="1:5" x14ac:dyDescent="0.55000000000000004">
      <c r="A8851" t="str">
        <f>TEST_DATA!A8851</f>
        <v>27AAAAA8851Z5</v>
      </c>
      <c r="B8851" t="str">
        <f>TEST_DATA!B8851</f>
        <v>Mar-2020</v>
      </c>
      <c r="C8851">
        <f>TEST_DATA!C8851</f>
        <v>44593</v>
      </c>
      <c r="D8851" t="str">
        <f>TEST_DATA!D8851</f>
        <v>NON-NIL</v>
      </c>
      <c r="E8851">
        <f>TEST_DATA!E8851</f>
        <v>580</v>
      </c>
    </row>
    <row r="8852" spans="1:5" x14ac:dyDescent="0.55000000000000004">
      <c r="A8852" t="str">
        <f>TEST_DATA!A8852</f>
        <v>27AAAAA8852Z5</v>
      </c>
      <c r="B8852" t="str">
        <f>TEST_DATA!B8852</f>
        <v>Dec-2024</v>
      </c>
      <c r="C8852">
        <f>TEST_DATA!C8852</f>
        <v>44440</v>
      </c>
      <c r="D8852" t="str">
        <f>TEST_DATA!D8852</f>
        <v>NIL</v>
      </c>
      <c r="E8852">
        <f>TEST_DATA!E8852</f>
        <v>1629</v>
      </c>
    </row>
    <row r="8853" spans="1:5" x14ac:dyDescent="0.55000000000000004">
      <c r="A8853" t="str">
        <f>TEST_DATA!A8853</f>
        <v>27AAAAA8853Z5</v>
      </c>
      <c r="B8853" t="str">
        <f>TEST_DATA!B8853</f>
        <v>Dec-2019</v>
      </c>
      <c r="C8853">
        <f>TEST_DATA!C8853</f>
        <v>43508</v>
      </c>
      <c r="D8853" t="str">
        <f>TEST_DATA!D8853</f>
        <v>NON-NIL</v>
      </c>
      <c r="E8853">
        <f>TEST_DATA!E8853</f>
        <v>200</v>
      </c>
    </row>
    <row r="8854" spans="1:5" x14ac:dyDescent="0.55000000000000004">
      <c r="A8854" t="str">
        <f>TEST_DATA!A8854</f>
        <v>27AAAAA8854Z5</v>
      </c>
      <c r="B8854" t="str">
        <f>TEST_DATA!B8854</f>
        <v>Apr-2021</v>
      </c>
      <c r="C8854">
        <f>TEST_DATA!C8854</f>
        <v>43826</v>
      </c>
      <c r="D8854" t="str">
        <f>TEST_DATA!D8854</f>
        <v>NON-NIL</v>
      </c>
      <c r="E8854">
        <f>TEST_DATA!E8854</f>
        <v>1374</v>
      </c>
    </row>
    <row r="8855" spans="1:5" x14ac:dyDescent="0.55000000000000004">
      <c r="A8855" t="str">
        <f>TEST_DATA!A8855</f>
        <v>27AAAAA8855Z5</v>
      </c>
      <c r="B8855" t="str">
        <f>TEST_DATA!B8855</f>
        <v>Sep-2018</v>
      </c>
      <c r="C8855">
        <f>TEST_DATA!C8855</f>
        <v>44134</v>
      </c>
      <c r="D8855" t="str">
        <f>TEST_DATA!D8855</f>
        <v>NIL</v>
      </c>
      <c r="E8855">
        <f>TEST_DATA!E8855</f>
        <v>938</v>
      </c>
    </row>
    <row r="8856" spans="1:5" x14ac:dyDescent="0.55000000000000004">
      <c r="A8856" t="str">
        <f>TEST_DATA!A8856</f>
        <v>27AAAAA8856Z5</v>
      </c>
      <c r="B8856" t="str">
        <f>TEST_DATA!B8856</f>
        <v>Nov-2017</v>
      </c>
      <c r="C8856">
        <f>TEST_DATA!C8856</f>
        <v>43738</v>
      </c>
      <c r="D8856" t="str">
        <f>TEST_DATA!D8856</f>
        <v>NON-NIL</v>
      </c>
      <c r="E8856">
        <f>TEST_DATA!E8856</f>
        <v>309</v>
      </c>
    </row>
    <row r="8857" spans="1:5" x14ac:dyDescent="0.55000000000000004">
      <c r="A8857" t="str">
        <f>TEST_DATA!A8857</f>
        <v>27AAAAA8857Z5</v>
      </c>
      <c r="B8857" t="str">
        <f>TEST_DATA!B8857</f>
        <v>Mar-2018</v>
      </c>
      <c r="C8857">
        <f>TEST_DATA!C8857</f>
        <v>44435</v>
      </c>
      <c r="D8857" t="str">
        <f>TEST_DATA!D8857</f>
        <v>NON-NIL</v>
      </c>
      <c r="E8857">
        <f>TEST_DATA!E8857</f>
        <v>2048</v>
      </c>
    </row>
    <row r="8858" spans="1:5" x14ac:dyDescent="0.55000000000000004">
      <c r="A8858" t="str">
        <f>TEST_DATA!A8858</f>
        <v>27AAAAA8858Z5</v>
      </c>
      <c r="B8858" t="str">
        <f>TEST_DATA!B8858</f>
        <v>Jul-2020</v>
      </c>
      <c r="C8858">
        <f>TEST_DATA!C8858</f>
        <v>44035</v>
      </c>
      <c r="D8858" t="str">
        <f>TEST_DATA!D8858</f>
        <v>NON-NIL</v>
      </c>
      <c r="E8858">
        <f>TEST_DATA!E8858</f>
        <v>28</v>
      </c>
    </row>
    <row r="8859" spans="1:5" x14ac:dyDescent="0.55000000000000004">
      <c r="A8859" t="str">
        <f>TEST_DATA!A8859</f>
        <v>27AAAAA8859Z5</v>
      </c>
      <c r="B8859" t="str">
        <f>TEST_DATA!B8859</f>
        <v>Oct-2017</v>
      </c>
      <c r="C8859">
        <f>TEST_DATA!C8859</f>
        <v>43664</v>
      </c>
      <c r="D8859" t="str">
        <f>TEST_DATA!D8859</f>
        <v>NIL</v>
      </c>
      <c r="E8859">
        <f>TEST_DATA!E8859</f>
        <v>2958</v>
      </c>
    </row>
    <row r="8860" spans="1:5" x14ac:dyDescent="0.55000000000000004">
      <c r="A8860" t="str">
        <f>TEST_DATA!A8860</f>
        <v>27AAAAA8860Z5</v>
      </c>
      <c r="B8860" t="str">
        <f>TEST_DATA!B8860</f>
        <v>Oct-2017</v>
      </c>
      <c r="C8860">
        <f>TEST_DATA!C8860</f>
        <v>44075</v>
      </c>
      <c r="D8860" t="str">
        <f>TEST_DATA!D8860</f>
        <v>NON-NIL</v>
      </c>
      <c r="E8860">
        <f>TEST_DATA!E8860</f>
        <v>2033</v>
      </c>
    </row>
    <row r="8861" spans="1:5" x14ac:dyDescent="0.55000000000000004">
      <c r="A8861" t="str">
        <f>TEST_DATA!A8861</f>
        <v>27AAAAA8861Z5</v>
      </c>
      <c r="B8861" t="str">
        <f>TEST_DATA!B8861</f>
        <v>Apr-2020</v>
      </c>
      <c r="C8861">
        <f>TEST_DATA!C8861</f>
        <v>44820</v>
      </c>
      <c r="D8861" t="str">
        <f>TEST_DATA!D8861</f>
        <v>NIL</v>
      </c>
      <c r="E8861">
        <f>TEST_DATA!E8861</f>
        <v>113</v>
      </c>
    </row>
    <row r="8862" spans="1:5" x14ac:dyDescent="0.55000000000000004">
      <c r="A8862" t="str">
        <f>TEST_DATA!A8862</f>
        <v>27AAAAA8862Z5</v>
      </c>
      <c r="B8862" t="str">
        <f>TEST_DATA!B8862</f>
        <v>Apr-2020</v>
      </c>
      <c r="C8862">
        <f>TEST_DATA!C8862</f>
        <v>44095</v>
      </c>
      <c r="D8862" t="str">
        <f>TEST_DATA!D8862</f>
        <v>NON-NIL</v>
      </c>
      <c r="E8862">
        <f>TEST_DATA!E8862</f>
        <v>301</v>
      </c>
    </row>
    <row r="8863" spans="1:5" x14ac:dyDescent="0.55000000000000004">
      <c r="A8863" t="str">
        <f>TEST_DATA!A8863</f>
        <v>27AAAAA8863Z5</v>
      </c>
      <c r="B8863" t="str">
        <f>TEST_DATA!B8863</f>
        <v>Mar-2020</v>
      </c>
      <c r="C8863">
        <f>TEST_DATA!C8863</f>
        <v>44098</v>
      </c>
      <c r="D8863" t="str">
        <f>TEST_DATA!D8863</f>
        <v>NIL</v>
      </c>
      <c r="E8863">
        <f>TEST_DATA!E8863</f>
        <v>488</v>
      </c>
    </row>
    <row r="8864" spans="1:5" x14ac:dyDescent="0.55000000000000004">
      <c r="A8864" t="str">
        <f>TEST_DATA!A8864</f>
        <v>27AAAAA8864Z5</v>
      </c>
      <c r="B8864" t="str">
        <f>TEST_DATA!B8864</f>
        <v>Mar-2023</v>
      </c>
      <c r="C8864">
        <f>TEST_DATA!C8864</f>
        <v>45769</v>
      </c>
      <c r="D8864" t="str">
        <f>TEST_DATA!D8864</f>
        <v>NIL</v>
      </c>
      <c r="E8864">
        <f>TEST_DATA!E8864</f>
        <v>2251</v>
      </c>
    </row>
    <row r="8865" spans="1:5" x14ac:dyDescent="0.55000000000000004">
      <c r="A8865" t="str">
        <f>TEST_DATA!A8865</f>
        <v>27AAAAA8865Z5</v>
      </c>
      <c r="B8865" t="str">
        <f>TEST_DATA!B8865</f>
        <v>Jan-2021</v>
      </c>
      <c r="C8865">
        <f>TEST_DATA!C8865</f>
        <v>44911</v>
      </c>
      <c r="D8865" t="str">
        <f>TEST_DATA!D8865</f>
        <v>NIL</v>
      </c>
      <c r="E8865">
        <f>TEST_DATA!E8865</f>
        <v>975</v>
      </c>
    </row>
    <row r="8866" spans="1:5" x14ac:dyDescent="0.55000000000000004">
      <c r="A8866" t="str">
        <f>TEST_DATA!A8866</f>
        <v>27AAAAA8866Z5</v>
      </c>
      <c r="B8866" t="str">
        <f>TEST_DATA!B8866</f>
        <v>Feb-2018</v>
      </c>
      <c r="C8866">
        <f>TEST_DATA!C8866</f>
        <v>44360</v>
      </c>
      <c r="D8866" t="str">
        <f>TEST_DATA!D8866</f>
        <v>NIL</v>
      </c>
      <c r="E8866">
        <f>TEST_DATA!E8866</f>
        <v>2314</v>
      </c>
    </row>
    <row r="8867" spans="1:5" x14ac:dyDescent="0.55000000000000004">
      <c r="A8867" t="str">
        <f>TEST_DATA!A8867</f>
        <v>27AAAAA8867Z5</v>
      </c>
      <c r="B8867" t="str">
        <f>TEST_DATA!B8867</f>
        <v>Sep-2018</v>
      </c>
      <c r="C8867">
        <f>TEST_DATA!C8867</f>
        <v>42924</v>
      </c>
      <c r="D8867" t="str">
        <f>TEST_DATA!D8867</f>
        <v>NON-NIL</v>
      </c>
      <c r="E8867">
        <f>TEST_DATA!E8867</f>
        <v>2356</v>
      </c>
    </row>
    <row r="8868" spans="1:5" x14ac:dyDescent="0.55000000000000004">
      <c r="A8868" t="str">
        <f>TEST_DATA!A8868</f>
        <v>27AAAAA8868Z5</v>
      </c>
      <c r="B8868" t="str">
        <f>TEST_DATA!B8868</f>
        <v>May-2020</v>
      </c>
      <c r="C8868">
        <f>TEST_DATA!C8868</f>
        <v>44235</v>
      </c>
      <c r="D8868" t="str">
        <f>TEST_DATA!D8868</f>
        <v>NON-NIL</v>
      </c>
      <c r="E8868">
        <f>TEST_DATA!E8868</f>
        <v>2398</v>
      </c>
    </row>
    <row r="8869" spans="1:5" x14ac:dyDescent="0.55000000000000004">
      <c r="A8869" t="str">
        <f>TEST_DATA!A8869</f>
        <v>27AAAAA8869Z5</v>
      </c>
      <c r="B8869" t="str">
        <f>TEST_DATA!B8869</f>
        <v>May-2018</v>
      </c>
      <c r="C8869">
        <f>TEST_DATA!C8869</f>
        <v>43952</v>
      </c>
      <c r="D8869" t="str">
        <f>TEST_DATA!D8869</f>
        <v>NIL</v>
      </c>
      <c r="E8869">
        <f>TEST_DATA!E8869</f>
        <v>2430</v>
      </c>
    </row>
    <row r="8870" spans="1:5" x14ac:dyDescent="0.55000000000000004">
      <c r="A8870" t="str">
        <f>TEST_DATA!A8870</f>
        <v>27AAAAA8870Z5</v>
      </c>
      <c r="B8870" t="str">
        <f>TEST_DATA!B8870</f>
        <v>Oct-2017</v>
      </c>
      <c r="C8870">
        <f>TEST_DATA!C8870</f>
        <v>43620</v>
      </c>
      <c r="D8870" t="str">
        <f>TEST_DATA!D8870</f>
        <v>NON-NIL</v>
      </c>
      <c r="E8870">
        <f>TEST_DATA!E8870</f>
        <v>1321</v>
      </c>
    </row>
    <row r="8871" spans="1:5" x14ac:dyDescent="0.55000000000000004">
      <c r="A8871" t="str">
        <f>TEST_DATA!A8871</f>
        <v>27AAAAA8871Z5</v>
      </c>
      <c r="B8871" t="str">
        <f>TEST_DATA!B8871</f>
        <v>Apr-2021</v>
      </c>
      <c r="C8871">
        <f>TEST_DATA!C8871</f>
        <v>43977</v>
      </c>
      <c r="D8871" t="str">
        <f>TEST_DATA!D8871</f>
        <v>NIL</v>
      </c>
      <c r="E8871">
        <f>TEST_DATA!E8871</f>
        <v>1758</v>
      </c>
    </row>
    <row r="8872" spans="1:5" x14ac:dyDescent="0.55000000000000004">
      <c r="A8872" t="str">
        <f>TEST_DATA!A8872</f>
        <v>27AAAAA8872Z5</v>
      </c>
      <c r="B8872" t="str">
        <f>TEST_DATA!B8872</f>
        <v>Dec-2022</v>
      </c>
      <c r="C8872">
        <f>TEST_DATA!C8872</f>
        <v>44330</v>
      </c>
      <c r="D8872" t="str">
        <f>TEST_DATA!D8872</f>
        <v>NON-NIL</v>
      </c>
      <c r="E8872">
        <f>TEST_DATA!E8872</f>
        <v>341</v>
      </c>
    </row>
    <row r="8873" spans="1:5" x14ac:dyDescent="0.55000000000000004">
      <c r="A8873" t="str">
        <f>TEST_DATA!A8873</f>
        <v>27AAAAA8873Z5</v>
      </c>
      <c r="B8873" t="str">
        <f>TEST_DATA!B8873</f>
        <v>Apr-2018</v>
      </c>
      <c r="C8873">
        <f>TEST_DATA!C8873</f>
        <v>44148</v>
      </c>
      <c r="D8873" t="str">
        <f>TEST_DATA!D8873</f>
        <v>NIL</v>
      </c>
      <c r="E8873">
        <f>TEST_DATA!E8873</f>
        <v>79</v>
      </c>
    </row>
    <row r="8874" spans="1:5" x14ac:dyDescent="0.55000000000000004">
      <c r="A8874" t="str">
        <f>TEST_DATA!A8874</f>
        <v>27AAAAA8874Z5</v>
      </c>
      <c r="B8874" t="str">
        <f>TEST_DATA!B8874</f>
        <v>Dec-2024</v>
      </c>
      <c r="C8874">
        <f>TEST_DATA!C8874</f>
        <v>45377</v>
      </c>
      <c r="D8874" t="str">
        <f>TEST_DATA!D8874</f>
        <v>NON-NIL</v>
      </c>
      <c r="E8874">
        <f>TEST_DATA!E8874</f>
        <v>1882</v>
      </c>
    </row>
    <row r="8875" spans="1:5" x14ac:dyDescent="0.55000000000000004">
      <c r="A8875" t="str">
        <f>TEST_DATA!A8875</f>
        <v>27AAAAA8875Z5</v>
      </c>
      <c r="B8875" t="str">
        <f>TEST_DATA!B8875</f>
        <v>Apr-2018</v>
      </c>
      <c r="C8875">
        <f>TEST_DATA!C8875</f>
        <v>44342</v>
      </c>
      <c r="D8875" t="str">
        <f>TEST_DATA!D8875</f>
        <v>NIL</v>
      </c>
      <c r="E8875">
        <f>TEST_DATA!E8875</f>
        <v>1268</v>
      </c>
    </row>
    <row r="8876" spans="1:5" x14ac:dyDescent="0.55000000000000004">
      <c r="A8876" t="str">
        <f>TEST_DATA!A8876</f>
        <v>27AAAAA8876Z5</v>
      </c>
      <c r="B8876" t="str">
        <f>TEST_DATA!B8876</f>
        <v>Dec-2017</v>
      </c>
      <c r="C8876">
        <f>TEST_DATA!C8876</f>
        <v>43529</v>
      </c>
      <c r="D8876" t="str">
        <f>TEST_DATA!D8876</f>
        <v>NON-NIL</v>
      </c>
      <c r="E8876">
        <f>TEST_DATA!E8876</f>
        <v>975</v>
      </c>
    </row>
    <row r="8877" spans="1:5" x14ac:dyDescent="0.55000000000000004">
      <c r="A8877" t="str">
        <f>TEST_DATA!A8877</f>
        <v>27AAAAA8877Z5</v>
      </c>
      <c r="B8877" t="str">
        <f>TEST_DATA!B8877</f>
        <v>Mar-2020</v>
      </c>
      <c r="C8877">
        <f>TEST_DATA!C8877</f>
        <v>44674</v>
      </c>
      <c r="D8877" t="str">
        <f>TEST_DATA!D8877</f>
        <v>NIL</v>
      </c>
      <c r="E8877">
        <f>TEST_DATA!E8877</f>
        <v>1578</v>
      </c>
    </row>
    <row r="8878" spans="1:5" x14ac:dyDescent="0.55000000000000004">
      <c r="A8878" t="str">
        <f>TEST_DATA!A8878</f>
        <v>27AAAAA8878Z5</v>
      </c>
      <c r="B8878" t="str">
        <f>TEST_DATA!B8878</f>
        <v>Nov-2017</v>
      </c>
      <c r="C8878">
        <f>TEST_DATA!C8878</f>
        <v>43625</v>
      </c>
      <c r="D8878" t="str">
        <f>TEST_DATA!D8878</f>
        <v>NIL</v>
      </c>
      <c r="E8878">
        <f>TEST_DATA!E8878</f>
        <v>2118</v>
      </c>
    </row>
    <row r="8879" spans="1:5" x14ac:dyDescent="0.55000000000000004">
      <c r="A8879" t="str">
        <f>TEST_DATA!A8879</f>
        <v>27AAAAA8879Z5</v>
      </c>
      <c r="B8879" t="str">
        <f>TEST_DATA!B8879</f>
        <v>Dec-2019</v>
      </c>
      <c r="C8879">
        <f>TEST_DATA!C8879</f>
        <v>44439</v>
      </c>
      <c r="D8879" t="str">
        <f>TEST_DATA!D8879</f>
        <v>NIL</v>
      </c>
      <c r="E8879">
        <f>TEST_DATA!E8879</f>
        <v>728</v>
      </c>
    </row>
    <row r="8880" spans="1:5" x14ac:dyDescent="0.55000000000000004">
      <c r="A8880" t="str">
        <f>TEST_DATA!A8880</f>
        <v>27AAAAA8880Z5</v>
      </c>
      <c r="B8880" t="str">
        <f>TEST_DATA!B8880</f>
        <v>Apr-2018</v>
      </c>
      <c r="C8880">
        <f>TEST_DATA!C8880</f>
        <v>44254</v>
      </c>
      <c r="D8880" t="str">
        <f>TEST_DATA!D8880</f>
        <v>NON-NIL</v>
      </c>
      <c r="E8880">
        <f>TEST_DATA!E8880</f>
        <v>2980</v>
      </c>
    </row>
    <row r="8881" spans="1:5" x14ac:dyDescent="0.55000000000000004">
      <c r="A8881" t="str">
        <f>TEST_DATA!A8881</f>
        <v>27AAAAA8881Z5</v>
      </c>
      <c r="B8881" t="str">
        <f>TEST_DATA!B8881</f>
        <v>Sep-2018</v>
      </c>
      <c r="C8881">
        <f>TEST_DATA!C8881</f>
        <v>43399</v>
      </c>
      <c r="D8881" t="str">
        <f>TEST_DATA!D8881</f>
        <v>NON-NIL</v>
      </c>
      <c r="E8881">
        <f>TEST_DATA!E8881</f>
        <v>2901</v>
      </c>
    </row>
    <row r="8882" spans="1:5" x14ac:dyDescent="0.55000000000000004">
      <c r="A8882" t="str">
        <f>TEST_DATA!A8882</f>
        <v>27AAAAA8882Z5</v>
      </c>
      <c r="B8882" t="str">
        <f>TEST_DATA!B8882</f>
        <v>Apr-2021</v>
      </c>
      <c r="C8882">
        <f>TEST_DATA!C8882</f>
        <v>45354</v>
      </c>
      <c r="D8882" t="str">
        <f>TEST_DATA!D8882</f>
        <v>NON-NIL</v>
      </c>
      <c r="E8882">
        <f>TEST_DATA!E8882</f>
        <v>703</v>
      </c>
    </row>
    <row r="8883" spans="1:5" x14ac:dyDescent="0.55000000000000004">
      <c r="A8883" t="str">
        <f>TEST_DATA!A8883</f>
        <v>27AAAAA8883Z5</v>
      </c>
      <c r="B8883" t="str">
        <f>TEST_DATA!B8883</f>
        <v>Dec-2024</v>
      </c>
      <c r="C8883">
        <f>TEST_DATA!C8883</f>
        <v>44522</v>
      </c>
      <c r="D8883" t="str">
        <f>TEST_DATA!D8883</f>
        <v>NON-NIL</v>
      </c>
      <c r="E8883">
        <f>TEST_DATA!E8883</f>
        <v>783</v>
      </c>
    </row>
    <row r="8884" spans="1:5" x14ac:dyDescent="0.55000000000000004">
      <c r="A8884" t="str">
        <f>TEST_DATA!A8884</f>
        <v>27AAAAA8884Z5</v>
      </c>
      <c r="B8884" t="str">
        <f>TEST_DATA!B8884</f>
        <v>May-2020</v>
      </c>
      <c r="C8884">
        <f>TEST_DATA!C8884</f>
        <v>44457</v>
      </c>
      <c r="D8884" t="str">
        <f>TEST_DATA!D8884</f>
        <v>NIL</v>
      </c>
      <c r="E8884">
        <f>TEST_DATA!E8884</f>
        <v>2579</v>
      </c>
    </row>
    <row r="8885" spans="1:5" x14ac:dyDescent="0.55000000000000004">
      <c r="A8885" t="str">
        <f>TEST_DATA!A8885</f>
        <v>27AAAAA8885Z5</v>
      </c>
      <c r="B8885" t="str">
        <f>TEST_DATA!B8885</f>
        <v>Dec-2024</v>
      </c>
      <c r="C8885">
        <f>TEST_DATA!C8885</f>
        <v>44869</v>
      </c>
      <c r="D8885" t="str">
        <f>TEST_DATA!D8885</f>
        <v>NON-NIL</v>
      </c>
      <c r="E8885">
        <f>TEST_DATA!E8885</f>
        <v>2550</v>
      </c>
    </row>
    <row r="8886" spans="1:5" x14ac:dyDescent="0.55000000000000004">
      <c r="A8886" t="str">
        <f>TEST_DATA!A8886</f>
        <v>27AAAAA8886Z5</v>
      </c>
      <c r="B8886" t="str">
        <f>TEST_DATA!B8886</f>
        <v>Dec-2024</v>
      </c>
      <c r="C8886">
        <f>TEST_DATA!C8886</f>
        <v>45360</v>
      </c>
      <c r="D8886" t="str">
        <f>TEST_DATA!D8886</f>
        <v>NON-NIL</v>
      </c>
      <c r="E8886">
        <f>TEST_DATA!E8886</f>
        <v>674</v>
      </c>
    </row>
    <row r="8887" spans="1:5" x14ac:dyDescent="0.55000000000000004">
      <c r="A8887" t="str">
        <f>TEST_DATA!A8887</f>
        <v>27AAAAA8887Z5</v>
      </c>
      <c r="B8887" t="str">
        <f>TEST_DATA!B8887</f>
        <v>Apr-2020</v>
      </c>
      <c r="C8887">
        <f>TEST_DATA!C8887</f>
        <v>44601</v>
      </c>
      <c r="D8887" t="str">
        <f>TEST_DATA!D8887</f>
        <v>NON-NIL</v>
      </c>
      <c r="E8887">
        <f>TEST_DATA!E8887</f>
        <v>1951</v>
      </c>
    </row>
    <row r="8888" spans="1:5" x14ac:dyDescent="0.55000000000000004">
      <c r="A8888" t="str">
        <f>TEST_DATA!A8888</f>
        <v>27AAAAA8888Z5</v>
      </c>
      <c r="B8888" t="str">
        <f>TEST_DATA!B8888</f>
        <v>Oct-2017</v>
      </c>
      <c r="C8888">
        <f>TEST_DATA!C8888</f>
        <v>43608</v>
      </c>
      <c r="D8888" t="str">
        <f>TEST_DATA!D8888</f>
        <v>NON-NIL</v>
      </c>
      <c r="E8888">
        <f>TEST_DATA!E8888</f>
        <v>2912</v>
      </c>
    </row>
    <row r="8889" spans="1:5" x14ac:dyDescent="0.55000000000000004">
      <c r="A8889" t="str">
        <f>TEST_DATA!A8889</f>
        <v>27AAAAA8889Z5</v>
      </c>
      <c r="B8889" t="str">
        <f>TEST_DATA!B8889</f>
        <v>Mar-2023</v>
      </c>
      <c r="C8889">
        <f>TEST_DATA!C8889</f>
        <v>44725</v>
      </c>
      <c r="D8889" t="str">
        <f>TEST_DATA!D8889</f>
        <v>NIL</v>
      </c>
      <c r="E8889">
        <f>TEST_DATA!E8889</f>
        <v>2123</v>
      </c>
    </row>
    <row r="8890" spans="1:5" x14ac:dyDescent="0.55000000000000004">
      <c r="A8890" t="str">
        <f>TEST_DATA!A8890</f>
        <v>27AAAAA8890Z5</v>
      </c>
      <c r="B8890" t="str">
        <f>TEST_DATA!B8890</f>
        <v>Mar-2023</v>
      </c>
      <c r="C8890">
        <f>TEST_DATA!C8890</f>
        <v>43642</v>
      </c>
      <c r="D8890" t="str">
        <f>TEST_DATA!D8890</f>
        <v>NIL</v>
      </c>
      <c r="E8890">
        <f>TEST_DATA!E8890</f>
        <v>2512</v>
      </c>
    </row>
    <row r="8891" spans="1:5" x14ac:dyDescent="0.55000000000000004">
      <c r="A8891" t="str">
        <f>TEST_DATA!A8891</f>
        <v>27AAAAA8891Z5</v>
      </c>
      <c r="B8891" t="str">
        <f>TEST_DATA!B8891</f>
        <v>Mar-2020</v>
      </c>
      <c r="C8891">
        <f>TEST_DATA!C8891</f>
        <v>43927</v>
      </c>
      <c r="D8891" t="str">
        <f>TEST_DATA!D8891</f>
        <v>NIL</v>
      </c>
      <c r="E8891">
        <f>TEST_DATA!E8891</f>
        <v>1106</v>
      </c>
    </row>
    <row r="8892" spans="1:5" x14ac:dyDescent="0.55000000000000004">
      <c r="A8892" t="str">
        <f>TEST_DATA!A8892</f>
        <v>27AAAAA8892Z5</v>
      </c>
      <c r="B8892" t="str">
        <f>TEST_DATA!B8892</f>
        <v>Dec-2019</v>
      </c>
      <c r="C8892">
        <f>TEST_DATA!C8892</f>
        <v>43542</v>
      </c>
      <c r="D8892" t="str">
        <f>TEST_DATA!D8892</f>
        <v>NON-NIL</v>
      </c>
      <c r="E8892">
        <f>TEST_DATA!E8892</f>
        <v>513</v>
      </c>
    </row>
    <row r="8893" spans="1:5" x14ac:dyDescent="0.55000000000000004">
      <c r="A8893" t="str">
        <f>TEST_DATA!A8893</f>
        <v>27AAAAA8893Z5</v>
      </c>
      <c r="B8893" t="str">
        <f>TEST_DATA!B8893</f>
        <v>Apr-2018</v>
      </c>
      <c r="C8893">
        <f>TEST_DATA!C8893</f>
        <v>43881</v>
      </c>
      <c r="D8893" t="str">
        <f>TEST_DATA!D8893</f>
        <v>NON-NIL</v>
      </c>
      <c r="E8893">
        <f>TEST_DATA!E8893</f>
        <v>207</v>
      </c>
    </row>
    <row r="8894" spans="1:5" x14ac:dyDescent="0.55000000000000004">
      <c r="A8894" t="str">
        <f>TEST_DATA!A8894</f>
        <v>27AAAAA8894Z5</v>
      </c>
      <c r="B8894" t="str">
        <f>TEST_DATA!B8894</f>
        <v>May-2020</v>
      </c>
      <c r="C8894">
        <f>TEST_DATA!C8894</f>
        <v>43893</v>
      </c>
      <c r="D8894" t="str">
        <f>TEST_DATA!D8894</f>
        <v>NIL</v>
      </c>
      <c r="E8894">
        <f>TEST_DATA!E8894</f>
        <v>2324</v>
      </c>
    </row>
    <row r="8895" spans="1:5" x14ac:dyDescent="0.55000000000000004">
      <c r="A8895" t="str">
        <f>TEST_DATA!A8895</f>
        <v>27AAAAA8895Z5</v>
      </c>
      <c r="B8895" t="str">
        <f>TEST_DATA!B8895</f>
        <v>Apr-2018</v>
      </c>
      <c r="C8895">
        <f>TEST_DATA!C8895</f>
        <v>42936</v>
      </c>
      <c r="D8895" t="str">
        <f>TEST_DATA!D8895</f>
        <v>NIL</v>
      </c>
      <c r="E8895">
        <f>TEST_DATA!E8895</f>
        <v>1716</v>
      </c>
    </row>
    <row r="8896" spans="1:5" x14ac:dyDescent="0.55000000000000004">
      <c r="A8896" t="str">
        <f>TEST_DATA!A8896</f>
        <v>27AAAAA8896Z5</v>
      </c>
      <c r="B8896" t="str">
        <f>TEST_DATA!B8896</f>
        <v>Jul-2020</v>
      </c>
      <c r="C8896">
        <f>TEST_DATA!C8896</f>
        <v>44556</v>
      </c>
      <c r="D8896" t="str">
        <f>TEST_DATA!D8896</f>
        <v>NON-NIL</v>
      </c>
      <c r="E8896">
        <f>TEST_DATA!E8896</f>
        <v>934</v>
      </c>
    </row>
    <row r="8897" spans="1:5" x14ac:dyDescent="0.55000000000000004">
      <c r="A8897" t="str">
        <f>TEST_DATA!A8897</f>
        <v>27AAAAA8897Z5</v>
      </c>
      <c r="B8897" t="str">
        <f>TEST_DATA!B8897</f>
        <v>Jan-2019</v>
      </c>
      <c r="C8897">
        <f>TEST_DATA!C8897</f>
        <v>45166</v>
      </c>
      <c r="D8897" t="str">
        <f>TEST_DATA!D8897</f>
        <v>NIL</v>
      </c>
      <c r="E8897">
        <f>TEST_DATA!E8897</f>
        <v>1179</v>
      </c>
    </row>
    <row r="8898" spans="1:5" x14ac:dyDescent="0.55000000000000004">
      <c r="A8898" t="str">
        <f>TEST_DATA!A8898</f>
        <v>27AAAAA8898Z5</v>
      </c>
      <c r="B8898" t="str">
        <f>TEST_DATA!B8898</f>
        <v>Dec-2024</v>
      </c>
      <c r="C8898">
        <f>TEST_DATA!C8898</f>
        <v>44153</v>
      </c>
      <c r="D8898" t="str">
        <f>TEST_DATA!D8898</f>
        <v>NON-NIL</v>
      </c>
      <c r="E8898">
        <f>TEST_DATA!E8898</f>
        <v>1564</v>
      </c>
    </row>
    <row r="8899" spans="1:5" x14ac:dyDescent="0.55000000000000004">
      <c r="A8899" t="str">
        <f>TEST_DATA!A8899</f>
        <v>27AAAAA8899Z5</v>
      </c>
      <c r="B8899" t="str">
        <f>TEST_DATA!B8899</f>
        <v>Jul-2020</v>
      </c>
      <c r="C8899">
        <f>TEST_DATA!C8899</f>
        <v>44114</v>
      </c>
      <c r="D8899" t="str">
        <f>TEST_DATA!D8899</f>
        <v>NIL</v>
      </c>
      <c r="E8899">
        <f>TEST_DATA!E8899</f>
        <v>1499</v>
      </c>
    </row>
    <row r="8900" spans="1:5" x14ac:dyDescent="0.55000000000000004">
      <c r="A8900" t="str">
        <f>TEST_DATA!A8900</f>
        <v>27AAAAA8900Z5</v>
      </c>
      <c r="B8900" t="str">
        <f>TEST_DATA!B8900</f>
        <v>Mar-2018</v>
      </c>
      <c r="C8900">
        <f>TEST_DATA!C8900</f>
        <v>44133</v>
      </c>
      <c r="D8900" t="str">
        <f>TEST_DATA!D8900</f>
        <v>NIL</v>
      </c>
      <c r="E8900">
        <f>TEST_DATA!E8900</f>
        <v>135</v>
      </c>
    </row>
    <row r="8901" spans="1:5" x14ac:dyDescent="0.55000000000000004">
      <c r="A8901" t="str">
        <f>TEST_DATA!A8901</f>
        <v>27AAAAA8901Z5</v>
      </c>
      <c r="B8901" t="str">
        <f>TEST_DATA!B8901</f>
        <v>Feb-2018</v>
      </c>
      <c r="C8901">
        <f>TEST_DATA!C8901</f>
        <v>43761</v>
      </c>
      <c r="D8901" t="str">
        <f>TEST_DATA!D8901</f>
        <v>NIL</v>
      </c>
      <c r="E8901">
        <f>TEST_DATA!E8901</f>
        <v>217</v>
      </c>
    </row>
    <row r="8902" spans="1:5" x14ac:dyDescent="0.55000000000000004">
      <c r="A8902" t="str">
        <f>TEST_DATA!A8902</f>
        <v>27AAAAA8902Z5</v>
      </c>
      <c r="B8902" t="str">
        <f>TEST_DATA!B8902</f>
        <v>Apr-2020</v>
      </c>
      <c r="C8902">
        <f>TEST_DATA!C8902</f>
        <v>44004</v>
      </c>
      <c r="D8902" t="str">
        <f>TEST_DATA!D8902</f>
        <v>NON-NIL</v>
      </c>
      <c r="E8902">
        <f>TEST_DATA!E8902</f>
        <v>2578</v>
      </c>
    </row>
    <row r="8903" spans="1:5" x14ac:dyDescent="0.55000000000000004">
      <c r="A8903" t="str">
        <f>TEST_DATA!A8903</f>
        <v>27AAAAA8903Z5</v>
      </c>
      <c r="B8903" t="str">
        <f>TEST_DATA!B8903</f>
        <v>Aug-2017</v>
      </c>
      <c r="C8903">
        <f>TEST_DATA!C8903</f>
        <v>43122</v>
      </c>
      <c r="D8903" t="str">
        <f>TEST_DATA!D8903</f>
        <v>NON-NIL</v>
      </c>
      <c r="E8903">
        <f>TEST_DATA!E8903</f>
        <v>607</v>
      </c>
    </row>
    <row r="8904" spans="1:5" x14ac:dyDescent="0.55000000000000004">
      <c r="A8904" t="str">
        <f>TEST_DATA!A8904</f>
        <v>27AAAAA8904Z5</v>
      </c>
      <c r="B8904" t="str">
        <f>TEST_DATA!B8904</f>
        <v>Sep-2018</v>
      </c>
      <c r="C8904">
        <f>TEST_DATA!C8904</f>
        <v>43412</v>
      </c>
      <c r="D8904" t="str">
        <f>TEST_DATA!D8904</f>
        <v>NIL</v>
      </c>
      <c r="E8904">
        <f>TEST_DATA!E8904</f>
        <v>2911</v>
      </c>
    </row>
    <row r="8905" spans="1:5" x14ac:dyDescent="0.55000000000000004">
      <c r="A8905" t="str">
        <f>TEST_DATA!A8905</f>
        <v>27AAAAA8905Z5</v>
      </c>
      <c r="B8905" t="str">
        <f>TEST_DATA!B8905</f>
        <v>Oct-2017</v>
      </c>
      <c r="C8905">
        <f>TEST_DATA!C8905</f>
        <v>44457</v>
      </c>
      <c r="D8905" t="str">
        <f>TEST_DATA!D8905</f>
        <v>NON-NIL</v>
      </c>
      <c r="E8905">
        <f>TEST_DATA!E8905</f>
        <v>755</v>
      </c>
    </row>
    <row r="8906" spans="1:5" x14ac:dyDescent="0.55000000000000004">
      <c r="A8906" t="str">
        <f>TEST_DATA!A8906</f>
        <v>27AAAAA8906Z5</v>
      </c>
      <c r="B8906" t="str">
        <f>TEST_DATA!B8906</f>
        <v>Dec-2022</v>
      </c>
      <c r="C8906">
        <f>TEST_DATA!C8906</f>
        <v>44212</v>
      </c>
      <c r="D8906" t="str">
        <f>TEST_DATA!D8906</f>
        <v>NON-NIL</v>
      </c>
      <c r="E8906">
        <f>TEST_DATA!E8906</f>
        <v>1272</v>
      </c>
    </row>
    <row r="8907" spans="1:5" x14ac:dyDescent="0.55000000000000004">
      <c r="A8907" t="str">
        <f>TEST_DATA!A8907</f>
        <v>27AAAAA8907Z5</v>
      </c>
      <c r="B8907" t="str">
        <f>TEST_DATA!B8907</f>
        <v>Sep-2017</v>
      </c>
      <c r="C8907">
        <f>TEST_DATA!C8907</f>
        <v>43446</v>
      </c>
      <c r="D8907" t="str">
        <f>TEST_DATA!D8907</f>
        <v>NON-NIL</v>
      </c>
      <c r="E8907">
        <f>TEST_DATA!E8907</f>
        <v>1344</v>
      </c>
    </row>
    <row r="8908" spans="1:5" x14ac:dyDescent="0.55000000000000004">
      <c r="A8908" t="str">
        <f>TEST_DATA!A8908</f>
        <v>27AAAAA8908Z5</v>
      </c>
      <c r="B8908" t="str">
        <f>TEST_DATA!B8908</f>
        <v>Aug-2018</v>
      </c>
      <c r="C8908">
        <f>TEST_DATA!C8908</f>
        <v>44087</v>
      </c>
      <c r="D8908" t="str">
        <f>TEST_DATA!D8908</f>
        <v>NIL</v>
      </c>
      <c r="E8908">
        <f>TEST_DATA!E8908</f>
        <v>47</v>
      </c>
    </row>
    <row r="8909" spans="1:5" x14ac:dyDescent="0.55000000000000004">
      <c r="A8909" t="str">
        <f>TEST_DATA!A8909</f>
        <v>27AAAAA8909Z5</v>
      </c>
      <c r="B8909" t="str">
        <f>TEST_DATA!B8909</f>
        <v>May-2020</v>
      </c>
      <c r="C8909">
        <f>TEST_DATA!C8909</f>
        <v>43965</v>
      </c>
      <c r="D8909" t="str">
        <f>TEST_DATA!D8909</f>
        <v>NON-NIL</v>
      </c>
      <c r="E8909">
        <f>TEST_DATA!E8909</f>
        <v>515</v>
      </c>
    </row>
    <row r="8910" spans="1:5" x14ac:dyDescent="0.55000000000000004">
      <c r="A8910" t="str">
        <f>TEST_DATA!A8910</f>
        <v>27AAAAA8910Z5</v>
      </c>
      <c r="B8910" t="str">
        <f>TEST_DATA!B8910</f>
        <v>Apr-2020</v>
      </c>
      <c r="C8910">
        <f>TEST_DATA!C8910</f>
        <v>44287</v>
      </c>
      <c r="D8910" t="str">
        <f>TEST_DATA!D8910</f>
        <v>NIL</v>
      </c>
      <c r="E8910">
        <f>TEST_DATA!E8910</f>
        <v>1351</v>
      </c>
    </row>
    <row r="8911" spans="1:5" x14ac:dyDescent="0.55000000000000004">
      <c r="A8911" t="str">
        <f>TEST_DATA!A8911</f>
        <v>27AAAAA8911Z5</v>
      </c>
      <c r="B8911" t="str">
        <f>TEST_DATA!B8911</f>
        <v>Apr-2020</v>
      </c>
      <c r="C8911">
        <f>TEST_DATA!C8911</f>
        <v>44911</v>
      </c>
      <c r="D8911" t="str">
        <f>TEST_DATA!D8911</f>
        <v>NON-NIL</v>
      </c>
      <c r="E8911">
        <f>TEST_DATA!E8911</f>
        <v>1836</v>
      </c>
    </row>
    <row r="8912" spans="1:5" x14ac:dyDescent="0.55000000000000004">
      <c r="A8912" t="str">
        <f>TEST_DATA!A8912</f>
        <v>27AAAAA8912Z5</v>
      </c>
      <c r="B8912" t="str">
        <f>TEST_DATA!B8912</f>
        <v>Apr-2021</v>
      </c>
      <c r="C8912">
        <f>TEST_DATA!C8912</f>
        <v>44720</v>
      </c>
      <c r="D8912" t="str">
        <f>TEST_DATA!D8912</f>
        <v>NIL</v>
      </c>
      <c r="E8912">
        <f>TEST_DATA!E8912</f>
        <v>646</v>
      </c>
    </row>
    <row r="8913" spans="1:5" x14ac:dyDescent="0.55000000000000004">
      <c r="A8913" t="str">
        <f>TEST_DATA!A8913</f>
        <v>27AAAAA8913Z5</v>
      </c>
      <c r="B8913" t="str">
        <f>TEST_DATA!B8913</f>
        <v>Mar-2020</v>
      </c>
      <c r="C8913">
        <f>TEST_DATA!C8913</f>
        <v>44327</v>
      </c>
      <c r="D8913" t="str">
        <f>TEST_DATA!D8913</f>
        <v>NON-NIL</v>
      </c>
      <c r="E8913">
        <f>TEST_DATA!E8913</f>
        <v>2525</v>
      </c>
    </row>
    <row r="8914" spans="1:5" x14ac:dyDescent="0.55000000000000004">
      <c r="A8914" t="str">
        <f>TEST_DATA!A8914</f>
        <v>27AAAAA8914Z5</v>
      </c>
      <c r="B8914" t="str">
        <f>TEST_DATA!B8914</f>
        <v>Aug-2018</v>
      </c>
      <c r="C8914">
        <f>TEST_DATA!C8914</f>
        <v>44318</v>
      </c>
      <c r="D8914" t="str">
        <f>TEST_DATA!D8914</f>
        <v>NON-NIL</v>
      </c>
      <c r="E8914">
        <f>TEST_DATA!E8914</f>
        <v>2840</v>
      </c>
    </row>
    <row r="8915" spans="1:5" x14ac:dyDescent="0.55000000000000004">
      <c r="A8915" t="str">
        <f>TEST_DATA!A8915</f>
        <v>27AAAAA8915Z5</v>
      </c>
      <c r="B8915" t="str">
        <f>TEST_DATA!B8915</f>
        <v>Jan-2019</v>
      </c>
      <c r="C8915">
        <f>TEST_DATA!C8915</f>
        <v>45418</v>
      </c>
      <c r="D8915" t="str">
        <f>TEST_DATA!D8915</f>
        <v>NIL</v>
      </c>
      <c r="E8915">
        <f>TEST_DATA!E8915</f>
        <v>1445</v>
      </c>
    </row>
    <row r="8916" spans="1:5" x14ac:dyDescent="0.55000000000000004">
      <c r="A8916" t="str">
        <f>TEST_DATA!A8916</f>
        <v>27AAAAA8916Z5</v>
      </c>
      <c r="B8916" t="str">
        <f>TEST_DATA!B8916</f>
        <v>Feb-2018</v>
      </c>
      <c r="C8916">
        <f>TEST_DATA!C8916</f>
        <v>44135</v>
      </c>
      <c r="D8916" t="str">
        <f>TEST_DATA!D8916</f>
        <v>NIL</v>
      </c>
      <c r="E8916">
        <f>TEST_DATA!E8916</f>
        <v>691</v>
      </c>
    </row>
    <row r="8917" spans="1:5" x14ac:dyDescent="0.55000000000000004">
      <c r="A8917" t="str">
        <f>TEST_DATA!A8917</f>
        <v>27AAAAA8917Z5</v>
      </c>
      <c r="B8917" t="str">
        <f>TEST_DATA!B8917</f>
        <v>Dec-2017</v>
      </c>
      <c r="C8917">
        <f>TEST_DATA!C8917</f>
        <v>43800</v>
      </c>
      <c r="D8917" t="str">
        <f>TEST_DATA!D8917</f>
        <v>NIL</v>
      </c>
      <c r="E8917">
        <f>TEST_DATA!E8917</f>
        <v>1233</v>
      </c>
    </row>
    <row r="8918" spans="1:5" x14ac:dyDescent="0.55000000000000004">
      <c r="A8918" t="str">
        <f>TEST_DATA!A8918</f>
        <v>27AAAAA8918Z5</v>
      </c>
      <c r="B8918" t="str">
        <f>TEST_DATA!B8918</f>
        <v>Sep-2018</v>
      </c>
      <c r="C8918">
        <f>TEST_DATA!C8918</f>
        <v>44409</v>
      </c>
      <c r="D8918" t="str">
        <f>TEST_DATA!D8918</f>
        <v>NIL</v>
      </c>
      <c r="E8918">
        <f>TEST_DATA!E8918</f>
        <v>1649</v>
      </c>
    </row>
    <row r="8919" spans="1:5" x14ac:dyDescent="0.55000000000000004">
      <c r="A8919" t="str">
        <f>TEST_DATA!A8919</f>
        <v>27AAAAA8919Z5</v>
      </c>
      <c r="B8919" t="str">
        <f>TEST_DATA!B8919</f>
        <v>May-2018</v>
      </c>
      <c r="C8919">
        <f>TEST_DATA!C8919</f>
        <v>42938</v>
      </c>
      <c r="D8919" t="str">
        <f>TEST_DATA!D8919</f>
        <v>NIL</v>
      </c>
      <c r="E8919">
        <f>TEST_DATA!E8919</f>
        <v>2947</v>
      </c>
    </row>
    <row r="8920" spans="1:5" x14ac:dyDescent="0.55000000000000004">
      <c r="A8920" t="str">
        <f>TEST_DATA!A8920</f>
        <v>27AAAAA8920Z5</v>
      </c>
      <c r="B8920" t="str">
        <f>TEST_DATA!B8920</f>
        <v>Jan-2018</v>
      </c>
      <c r="C8920">
        <f>TEST_DATA!C8920</f>
        <v>43210</v>
      </c>
      <c r="D8920" t="str">
        <f>TEST_DATA!D8920</f>
        <v>NIL</v>
      </c>
      <c r="E8920">
        <f>TEST_DATA!E8920</f>
        <v>2353</v>
      </c>
    </row>
    <row r="8921" spans="1:5" x14ac:dyDescent="0.55000000000000004">
      <c r="A8921" t="str">
        <f>TEST_DATA!A8921</f>
        <v>27AAAAA8921Z5</v>
      </c>
      <c r="B8921" t="str">
        <f>TEST_DATA!B8921</f>
        <v>Aug-2017</v>
      </c>
      <c r="C8921">
        <f>TEST_DATA!C8921</f>
        <v>44357</v>
      </c>
      <c r="D8921" t="str">
        <f>TEST_DATA!D8921</f>
        <v>NIL</v>
      </c>
      <c r="E8921">
        <f>TEST_DATA!E8921</f>
        <v>1770</v>
      </c>
    </row>
    <row r="8922" spans="1:5" x14ac:dyDescent="0.55000000000000004">
      <c r="A8922" t="str">
        <f>TEST_DATA!A8922</f>
        <v>27AAAAA8922Z5</v>
      </c>
      <c r="B8922" t="str">
        <f>TEST_DATA!B8922</f>
        <v>Apr-2018</v>
      </c>
      <c r="C8922">
        <f>TEST_DATA!C8922</f>
        <v>43845</v>
      </c>
      <c r="D8922" t="str">
        <f>TEST_DATA!D8922</f>
        <v>NON-NIL</v>
      </c>
      <c r="E8922">
        <f>TEST_DATA!E8922</f>
        <v>276</v>
      </c>
    </row>
    <row r="8923" spans="1:5" x14ac:dyDescent="0.55000000000000004">
      <c r="A8923" t="str">
        <f>TEST_DATA!A8923</f>
        <v>27AAAAA8923Z5</v>
      </c>
      <c r="B8923" t="str">
        <f>TEST_DATA!B8923</f>
        <v>Mar-2023</v>
      </c>
      <c r="C8923">
        <f>TEST_DATA!C8923</f>
        <v>44742</v>
      </c>
      <c r="D8923" t="str">
        <f>TEST_DATA!D8923</f>
        <v>NON-NIL</v>
      </c>
      <c r="E8923">
        <f>TEST_DATA!E8923</f>
        <v>596</v>
      </c>
    </row>
    <row r="8924" spans="1:5" x14ac:dyDescent="0.55000000000000004">
      <c r="A8924" t="str">
        <f>TEST_DATA!A8924</f>
        <v>27AAAAA8924Z5</v>
      </c>
      <c r="B8924" t="str">
        <f>TEST_DATA!B8924</f>
        <v>Sep-2018</v>
      </c>
      <c r="C8924">
        <f>TEST_DATA!C8924</f>
        <v>43947</v>
      </c>
      <c r="D8924" t="str">
        <f>TEST_DATA!D8924</f>
        <v>NON-NIL</v>
      </c>
      <c r="E8924">
        <f>TEST_DATA!E8924</f>
        <v>1021</v>
      </c>
    </row>
    <row r="8925" spans="1:5" x14ac:dyDescent="0.55000000000000004">
      <c r="A8925" t="str">
        <f>TEST_DATA!A8925</f>
        <v>27AAAAA8925Z5</v>
      </c>
      <c r="B8925" t="str">
        <f>TEST_DATA!B8925</f>
        <v>Dec-2022</v>
      </c>
      <c r="C8925">
        <f>TEST_DATA!C8925</f>
        <v>44796</v>
      </c>
      <c r="D8925" t="str">
        <f>TEST_DATA!D8925</f>
        <v>NON-NIL</v>
      </c>
      <c r="E8925">
        <f>TEST_DATA!E8925</f>
        <v>1064</v>
      </c>
    </row>
    <row r="8926" spans="1:5" x14ac:dyDescent="0.55000000000000004">
      <c r="A8926" t="str">
        <f>TEST_DATA!A8926</f>
        <v>27AAAAA8926Z5</v>
      </c>
      <c r="B8926" t="str">
        <f>TEST_DATA!B8926</f>
        <v>Jun-2020</v>
      </c>
      <c r="C8926">
        <f>TEST_DATA!C8926</f>
        <v>43938</v>
      </c>
      <c r="D8926" t="str">
        <f>TEST_DATA!D8926</f>
        <v>NON-NIL</v>
      </c>
      <c r="E8926">
        <f>TEST_DATA!E8926</f>
        <v>721</v>
      </c>
    </row>
    <row r="8927" spans="1:5" x14ac:dyDescent="0.55000000000000004">
      <c r="A8927" t="str">
        <f>TEST_DATA!A8927</f>
        <v>27AAAAA8927Z5</v>
      </c>
      <c r="B8927" t="str">
        <f>TEST_DATA!B8927</f>
        <v>May-2020</v>
      </c>
      <c r="C8927">
        <f>TEST_DATA!C8927</f>
        <v>44340</v>
      </c>
      <c r="D8927" t="str">
        <f>TEST_DATA!D8927</f>
        <v>NIL</v>
      </c>
      <c r="E8927">
        <f>TEST_DATA!E8927</f>
        <v>1640</v>
      </c>
    </row>
    <row r="8928" spans="1:5" x14ac:dyDescent="0.55000000000000004">
      <c r="A8928" t="str">
        <f>TEST_DATA!A8928</f>
        <v>27AAAAA8928Z5</v>
      </c>
      <c r="B8928" t="str">
        <f>TEST_DATA!B8928</f>
        <v>Apr-2020</v>
      </c>
      <c r="C8928">
        <f>TEST_DATA!C8928</f>
        <v>44840</v>
      </c>
      <c r="D8928" t="str">
        <f>TEST_DATA!D8928</f>
        <v>NIL</v>
      </c>
      <c r="E8928">
        <f>TEST_DATA!E8928</f>
        <v>2965</v>
      </c>
    </row>
    <row r="8929" spans="1:5" x14ac:dyDescent="0.55000000000000004">
      <c r="A8929" t="str">
        <f>TEST_DATA!A8929</f>
        <v>27AAAAA8929Z5</v>
      </c>
      <c r="B8929" t="str">
        <f>TEST_DATA!B8929</f>
        <v>Jul-2020</v>
      </c>
      <c r="C8929">
        <f>TEST_DATA!C8929</f>
        <v>43956</v>
      </c>
      <c r="D8929" t="str">
        <f>TEST_DATA!D8929</f>
        <v>NON-NIL</v>
      </c>
      <c r="E8929">
        <f>TEST_DATA!E8929</f>
        <v>1814</v>
      </c>
    </row>
    <row r="8930" spans="1:5" x14ac:dyDescent="0.55000000000000004">
      <c r="A8930" t="str">
        <f>TEST_DATA!A8930</f>
        <v>27AAAAA8930Z5</v>
      </c>
      <c r="B8930" t="str">
        <f>TEST_DATA!B8930</f>
        <v>Jun-2018</v>
      </c>
      <c r="C8930">
        <f>TEST_DATA!C8930</f>
        <v>43465</v>
      </c>
      <c r="D8930" t="str">
        <f>TEST_DATA!D8930</f>
        <v>NIL</v>
      </c>
      <c r="E8930">
        <f>TEST_DATA!E8930</f>
        <v>2547</v>
      </c>
    </row>
    <row r="8931" spans="1:5" x14ac:dyDescent="0.55000000000000004">
      <c r="A8931" t="str">
        <f>TEST_DATA!A8931</f>
        <v>27AAAAA8931Z5</v>
      </c>
      <c r="B8931" t="str">
        <f>TEST_DATA!B8931</f>
        <v>Jan-2018</v>
      </c>
      <c r="C8931">
        <f>TEST_DATA!C8931</f>
        <v>43543</v>
      </c>
      <c r="D8931" t="str">
        <f>TEST_DATA!D8931</f>
        <v>NIL</v>
      </c>
      <c r="E8931">
        <f>TEST_DATA!E8931</f>
        <v>2801</v>
      </c>
    </row>
    <row r="8932" spans="1:5" x14ac:dyDescent="0.55000000000000004">
      <c r="A8932" t="str">
        <f>TEST_DATA!A8932</f>
        <v>27AAAAA8932Z5</v>
      </c>
      <c r="B8932" t="str">
        <f>TEST_DATA!B8932</f>
        <v>Mar-2020</v>
      </c>
      <c r="C8932">
        <f>TEST_DATA!C8932</f>
        <v>44650</v>
      </c>
      <c r="D8932" t="str">
        <f>TEST_DATA!D8932</f>
        <v>NIL</v>
      </c>
      <c r="E8932">
        <f>TEST_DATA!E8932</f>
        <v>1135</v>
      </c>
    </row>
    <row r="8933" spans="1:5" x14ac:dyDescent="0.55000000000000004">
      <c r="A8933" t="str">
        <f>TEST_DATA!A8933</f>
        <v>27AAAAA8933Z5</v>
      </c>
      <c r="B8933" t="str">
        <f>TEST_DATA!B8933</f>
        <v>May-2018</v>
      </c>
      <c r="C8933">
        <f>TEST_DATA!C8933</f>
        <v>43351</v>
      </c>
      <c r="D8933" t="str">
        <f>TEST_DATA!D8933</f>
        <v>NIL</v>
      </c>
      <c r="E8933">
        <f>TEST_DATA!E8933</f>
        <v>2821</v>
      </c>
    </row>
    <row r="8934" spans="1:5" x14ac:dyDescent="0.55000000000000004">
      <c r="A8934" t="str">
        <f>TEST_DATA!A8934</f>
        <v>27AAAAA8934Z5</v>
      </c>
      <c r="B8934" t="str">
        <f>TEST_DATA!B8934</f>
        <v>Jun-2018</v>
      </c>
      <c r="C8934">
        <f>TEST_DATA!C8934</f>
        <v>43274</v>
      </c>
      <c r="D8934" t="str">
        <f>TEST_DATA!D8934</f>
        <v>NON-NIL</v>
      </c>
      <c r="E8934">
        <f>TEST_DATA!E8934</f>
        <v>2285</v>
      </c>
    </row>
    <row r="8935" spans="1:5" x14ac:dyDescent="0.55000000000000004">
      <c r="A8935" t="str">
        <f>TEST_DATA!A8935</f>
        <v>27AAAAA8935Z5</v>
      </c>
      <c r="B8935" t="str">
        <f>TEST_DATA!B8935</f>
        <v>Jul-2020</v>
      </c>
      <c r="C8935">
        <f>TEST_DATA!C8935</f>
        <v>44286</v>
      </c>
      <c r="D8935" t="str">
        <f>TEST_DATA!D8935</f>
        <v>NON-NIL</v>
      </c>
      <c r="E8935">
        <f>TEST_DATA!E8935</f>
        <v>1870</v>
      </c>
    </row>
    <row r="8936" spans="1:5" x14ac:dyDescent="0.55000000000000004">
      <c r="A8936" t="str">
        <f>TEST_DATA!A8936</f>
        <v>27AAAAA8936Z5</v>
      </c>
      <c r="B8936" t="str">
        <f>TEST_DATA!B8936</f>
        <v>Jan-2018</v>
      </c>
      <c r="C8936">
        <f>TEST_DATA!C8936</f>
        <v>43425</v>
      </c>
      <c r="D8936" t="str">
        <f>TEST_DATA!D8936</f>
        <v>NIL</v>
      </c>
      <c r="E8936">
        <f>TEST_DATA!E8936</f>
        <v>906</v>
      </c>
    </row>
    <row r="8937" spans="1:5" x14ac:dyDescent="0.55000000000000004">
      <c r="A8937" t="str">
        <f>TEST_DATA!A8937</f>
        <v>27AAAAA8937Z5</v>
      </c>
      <c r="B8937" t="str">
        <f>TEST_DATA!B8937</f>
        <v>Feb-2018</v>
      </c>
      <c r="C8937">
        <f>TEST_DATA!C8937</f>
        <v>42957</v>
      </c>
      <c r="D8937" t="str">
        <f>TEST_DATA!D8937</f>
        <v>NON-NIL</v>
      </c>
      <c r="E8937">
        <f>TEST_DATA!E8937</f>
        <v>952</v>
      </c>
    </row>
    <row r="8938" spans="1:5" x14ac:dyDescent="0.55000000000000004">
      <c r="A8938" t="str">
        <f>TEST_DATA!A8938</f>
        <v>27AAAAA8938Z5</v>
      </c>
      <c r="B8938" t="str">
        <f>TEST_DATA!B8938</f>
        <v>Mar-2018</v>
      </c>
      <c r="C8938">
        <f>TEST_DATA!C8938</f>
        <v>43614</v>
      </c>
      <c r="D8938" t="str">
        <f>TEST_DATA!D8938</f>
        <v>NIL</v>
      </c>
      <c r="E8938">
        <f>TEST_DATA!E8938</f>
        <v>2576</v>
      </c>
    </row>
    <row r="8939" spans="1:5" x14ac:dyDescent="0.55000000000000004">
      <c r="A8939" t="str">
        <f>TEST_DATA!A8939</f>
        <v>27AAAAA8939Z5</v>
      </c>
      <c r="B8939" t="str">
        <f>TEST_DATA!B8939</f>
        <v>Dec-2024</v>
      </c>
      <c r="C8939">
        <f>TEST_DATA!C8939</f>
        <v>44318</v>
      </c>
      <c r="D8939" t="str">
        <f>TEST_DATA!D8939</f>
        <v>NIL</v>
      </c>
      <c r="E8939">
        <f>TEST_DATA!E8939</f>
        <v>740</v>
      </c>
    </row>
    <row r="8940" spans="1:5" x14ac:dyDescent="0.55000000000000004">
      <c r="A8940" t="str">
        <f>TEST_DATA!A8940</f>
        <v>27AAAAA8940Z5</v>
      </c>
      <c r="B8940" t="str">
        <f>TEST_DATA!B8940</f>
        <v>Feb-2018</v>
      </c>
      <c r="C8940">
        <f>TEST_DATA!C8940</f>
        <v>43783</v>
      </c>
      <c r="D8940" t="str">
        <f>TEST_DATA!D8940</f>
        <v>NON-NIL</v>
      </c>
      <c r="E8940">
        <f>TEST_DATA!E8940</f>
        <v>415</v>
      </c>
    </row>
    <row r="8941" spans="1:5" x14ac:dyDescent="0.55000000000000004">
      <c r="A8941" t="str">
        <f>TEST_DATA!A8941</f>
        <v>27AAAAA8941Z5</v>
      </c>
      <c r="B8941" t="str">
        <f>TEST_DATA!B8941</f>
        <v>Mar-2023</v>
      </c>
      <c r="C8941">
        <f>TEST_DATA!C8941</f>
        <v>44198</v>
      </c>
      <c r="D8941" t="str">
        <f>TEST_DATA!D8941</f>
        <v>NIL</v>
      </c>
      <c r="E8941">
        <f>TEST_DATA!E8941</f>
        <v>1200</v>
      </c>
    </row>
    <row r="8942" spans="1:5" x14ac:dyDescent="0.55000000000000004">
      <c r="A8942" t="str">
        <f>TEST_DATA!A8942</f>
        <v>27AAAAA8942Z5</v>
      </c>
      <c r="B8942" t="str">
        <f>TEST_DATA!B8942</f>
        <v>Mar-2021</v>
      </c>
      <c r="C8942">
        <f>TEST_DATA!C8942</f>
        <v>45414</v>
      </c>
      <c r="D8942" t="str">
        <f>TEST_DATA!D8942</f>
        <v>NON-NIL</v>
      </c>
      <c r="E8942">
        <f>TEST_DATA!E8942</f>
        <v>88</v>
      </c>
    </row>
    <row r="8943" spans="1:5" x14ac:dyDescent="0.55000000000000004">
      <c r="A8943" t="str">
        <f>TEST_DATA!A8943</f>
        <v>27AAAAA8943Z5</v>
      </c>
      <c r="B8943" t="str">
        <f>TEST_DATA!B8943</f>
        <v>May-2020</v>
      </c>
      <c r="C8943">
        <f>TEST_DATA!C8943</f>
        <v>44597</v>
      </c>
      <c r="D8943" t="str">
        <f>TEST_DATA!D8943</f>
        <v>NIL</v>
      </c>
      <c r="E8943">
        <f>TEST_DATA!E8943</f>
        <v>2926</v>
      </c>
    </row>
    <row r="8944" spans="1:5" x14ac:dyDescent="0.55000000000000004">
      <c r="A8944" t="str">
        <f>TEST_DATA!A8944</f>
        <v>27AAAAA8944Z5</v>
      </c>
      <c r="B8944" t="str">
        <f>TEST_DATA!B8944</f>
        <v>Dec-2022</v>
      </c>
      <c r="C8944">
        <f>TEST_DATA!C8944</f>
        <v>45344</v>
      </c>
      <c r="D8944" t="str">
        <f>TEST_DATA!D8944</f>
        <v>NIL</v>
      </c>
      <c r="E8944">
        <f>TEST_DATA!E8944</f>
        <v>225</v>
      </c>
    </row>
    <row r="8945" spans="1:5" x14ac:dyDescent="0.55000000000000004">
      <c r="A8945" t="str">
        <f>TEST_DATA!A8945</f>
        <v>27AAAAA8945Z5</v>
      </c>
      <c r="B8945" t="str">
        <f>TEST_DATA!B8945</f>
        <v>Feb-2018</v>
      </c>
      <c r="C8945">
        <f>TEST_DATA!C8945</f>
        <v>43388</v>
      </c>
      <c r="D8945" t="str">
        <f>TEST_DATA!D8945</f>
        <v>NON-NIL</v>
      </c>
      <c r="E8945">
        <f>TEST_DATA!E8945</f>
        <v>183</v>
      </c>
    </row>
    <row r="8946" spans="1:5" x14ac:dyDescent="0.55000000000000004">
      <c r="A8946" t="str">
        <f>TEST_DATA!A8946</f>
        <v>27AAAAA8946Z5</v>
      </c>
      <c r="B8946" t="str">
        <f>TEST_DATA!B8946</f>
        <v>May-2018</v>
      </c>
      <c r="C8946">
        <f>TEST_DATA!C8946</f>
        <v>43065</v>
      </c>
      <c r="D8946" t="str">
        <f>TEST_DATA!D8946</f>
        <v>NON-NIL</v>
      </c>
      <c r="E8946">
        <f>TEST_DATA!E8946</f>
        <v>197</v>
      </c>
    </row>
    <row r="8947" spans="1:5" x14ac:dyDescent="0.55000000000000004">
      <c r="A8947" t="str">
        <f>TEST_DATA!A8947</f>
        <v>27AAAAA8947Z5</v>
      </c>
      <c r="B8947" t="str">
        <f>TEST_DATA!B8947</f>
        <v>Nov-2017</v>
      </c>
      <c r="C8947">
        <f>TEST_DATA!C8947</f>
        <v>43426</v>
      </c>
      <c r="D8947" t="str">
        <f>TEST_DATA!D8947</f>
        <v>NIL</v>
      </c>
      <c r="E8947">
        <f>TEST_DATA!E8947</f>
        <v>1337</v>
      </c>
    </row>
    <row r="8948" spans="1:5" x14ac:dyDescent="0.55000000000000004">
      <c r="A8948" t="str">
        <f>TEST_DATA!A8948</f>
        <v>27AAAAA8948Z5</v>
      </c>
      <c r="B8948" t="str">
        <f>TEST_DATA!B8948</f>
        <v>Oct-2017</v>
      </c>
      <c r="C8948">
        <f>TEST_DATA!C8948</f>
        <v>42975</v>
      </c>
      <c r="D8948" t="str">
        <f>TEST_DATA!D8948</f>
        <v>NON-NIL</v>
      </c>
      <c r="E8948">
        <f>TEST_DATA!E8948</f>
        <v>2902</v>
      </c>
    </row>
    <row r="8949" spans="1:5" x14ac:dyDescent="0.55000000000000004">
      <c r="A8949" t="str">
        <f>TEST_DATA!A8949</f>
        <v>27AAAAA8949Z5</v>
      </c>
      <c r="B8949" t="str">
        <f>TEST_DATA!B8949</f>
        <v>Sep-2017</v>
      </c>
      <c r="C8949">
        <f>TEST_DATA!C8949</f>
        <v>43665</v>
      </c>
      <c r="D8949" t="str">
        <f>TEST_DATA!D8949</f>
        <v>NON-NIL</v>
      </c>
      <c r="E8949">
        <f>TEST_DATA!E8949</f>
        <v>1328</v>
      </c>
    </row>
    <row r="8950" spans="1:5" x14ac:dyDescent="0.55000000000000004">
      <c r="A8950" t="str">
        <f>TEST_DATA!A8950</f>
        <v>27AAAAA8950Z5</v>
      </c>
      <c r="B8950" t="str">
        <f>TEST_DATA!B8950</f>
        <v>Dec-2019</v>
      </c>
      <c r="C8950">
        <f>TEST_DATA!C8950</f>
        <v>45508</v>
      </c>
      <c r="D8950" t="str">
        <f>TEST_DATA!D8950</f>
        <v>NIL</v>
      </c>
      <c r="E8950">
        <f>TEST_DATA!E8950</f>
        <v>2407</v>
      </c>
    </row>
    <row r="8951" spans="1:5" x14ac:dyDescent="0.55000000000000004">
      <c r="A8951" t="str">
        <f>TEST_DATA!A8951</f>
        <v>27AAAAA8951Z5</v>
      </c>
      <c r="B8951" t="str">
        <f>TEST_DATA!B8951</f>
        <v>Mar-2018</v>
      </c>
      <c r="C8951">
        <f>TEST_DATA!C8951</f>
        <v>44215</v>
      </c>
      <c r="D8951" t="str">
        <f>TEST_DATA!D8951</f>
        <v>NIL</v>
      </c>
      <c r="E8951">
        <f>TEST_DATA!E8951</f>
        <v>1119</v>
      </c>
    </row>
    <row r="8952" spans="1:5" x14ac:dyDescent="0.55000000000000004">
      <c r="A8952" t="str">
        <f>TEST_DATA!A8952</f>
        <v>27AAAAA8952Z5</v>
      </c>
      <c r="B8952" t="str">
        <f>TEST_DATA!B8952</f>
        <v>Nov-2017</v>
      </c>
      <c r="C8952">
        <f>TEST_DATA!C8952</f>
        <v>43228</v>
      </c>
      <c r="D8952" t="str">
        <f>TEST_DATA!D8952</f>
        <v>NON-NIL</v>
      </c>
      <c r="E8952">
        <f>TEST_DATA!E8952</f>
        <v>1396</v>
      </c>
    </row>
    <row r="8953" spans="1:5" x14ac:dyDescent="0.55000000000000004">
      <c r="A8953" t="str">
        <f>TEST_DATA!A8953</f>
        <v>27AAAAA8953Z5</v>
      </c>
      <c r="B8953" t="str">
        <f>TEST_DATA!B8953</f>
        <v>Jul-2018</v>
      </c>
      <c r="C8953">
        <f>TEST_DATA!C8953</f>
        <v>43542</v>
      </c>
      <c r="D8953" t="str">
        <f>TEST_DATA!D8953</f>
        <v>NIL</v>
      </c>
      <c r="E8953">
        <f>TEST_DATA!E8953</f>
        <v>322</v>
      </c>
    </row>
    <row r="8954" spans="1:5" x14ac:dyDescent="0.55000000000000004">
      <c r="A8954" t="str">
        <f>TEST_DATA!A8954</f>
        <v>27AAAAA8954Z5</v>
      </c>
      <c r="B8954" t="str">
        <f>TEST_DATA!B8954</f>
        <v>Mar-2020</v>
      </c>
      <c r="C8954">
        <f>TEST_DATA!C8954</f>
        <v>44151</v>
      </c>
      <c r="D8954" t="str">
        <f>TEST_DATA!D8954</f>
        <v>NON-NIL</v>
      </c>
      <c r="E8954">
        <f>TEST_DATA!E8954</f>
        <v>1524</v>
      </c>
    </row>
    <row r="8955" spans="1:5" x14ac:dyDescent="0.55000000000000004">
      <c r="A8955" t="str">
        <f>TEST_DATA!A8955</f>
        <v>27AAAAA8955Z5</v>
      </c>
      <c r="B8955" t="str">
        <f>TEST_DATA!B8955</f>
        <v>Mar-2023</v>
      </c>
      <c r="C8955">
        <f>TEST_DATA!C8955</f>
        <v>43824</v>
      </c>
      <c r="D8955" t="str">
        <f>TEST_DATA!D8955</f>
        <v>NIL</v>
      </c>
      <c r="E8955">
        <f>TEST_DATA!E8955</f>
        <v>1313</v>
      </c>
    </row>
    <row r="8956" spans="1:5" x14ac:dyDescent="0.55000000000000004">
      <c r="A8956" t="str">
        <f>TEST_DATA!A8956</f>
        <v>27AAAAA8956Z5</v>
      </c>
      <c r="B8956" t="str">
        <f>TEST_DATA!B8956</f>
        <v>Feb-2018</v>
      </c>
      <c r="C8956">
        <f>TEST_DATA!C8956</f>
        <v>43962</v>
      </c>
      <c r="D8956" t="str">
        <f>TEST_DATA!D8956</f>
        <v>NIL</v>
      </c>
      <c r="E8956">
        <f>TEST_DATA!E8956</f>
        <v>1991</v>
      </c>
    </row>
    <row r="8957" spans="1:5" x14ac:dyDescent="0.55000000000000004">
      <c r="A8957" t="str">
        <f>TEST_DATA!A8957</f>
        <v>27AAAAA8957Z5</v>
      </c>
      <c r="B8957" t="str">
        <f>TEST_DATA!B8957</f>
        <v>Mar-2021</v>
      </c>
      <c r="C8957">
        <f>TEST_DATA!C8957</f>
        <v>45583</v>
      </c>
      <c r="D8957" t="str">
        <f>TEST_DATA!D8957</f>
        <v>NIL</v>
      </c>
      <c r="E8957">
        <f>TEST_DATA!E8957</f>
        <v>2401</v>
      </c>
    </row>
    <row r="8958" spans="1:5" x14ac:dyDescent="0.55000000000000004">
      <c r="A8958" t="str">
        <f>TEST_DATA!A8958</f>
        <v>27AAAAA8958Z5</v>
      </c>
      <c r="B8958" t="str">
        <f>TEST_DATA!B8958</f>
        <v>Sep-2017</v>
      </c>
      <c r="C8958">
        <f>TEST_DATA!C8958</f>
        <v>43427</v>
      </c>
      <c r="D8958" t="str">
        <f>TEST_DATA!D8958</f>
        <v>NON-NIL</v>
      </c>
      <c r="E8958">
        <f>TEST_DATA!E8958</f>
        <v>87</v>
      </c>
    </row>
    <row r="8959" spans="1:5" x14ac:dyDescent="0.55000000000000004">
      <c r="A8959" t="str">
        <f>TEST_DATA!A8959</f>
        <v>27AAAAA8959Z5</v>
      </c>
      <c r="B8959" t="str">
        <f>TEST_DATA!B8959</f>
        <v>Jun-2018</v>
      </c>
      <c r="C8959">
        <f>TEST_DATA!C8959</f>
        <v>44382</v>
      </c>
      <c r="D8959" t="str">
        <f>TEST_DATA!D8959</f>
        <v>NIL</v>
      </c>
      <c r="E8959">
        <f>TEST_DATA!E8959</f>
        <v>2986</v>
      </c>
    </row>
    <row r="8960" spans="1:5" x14ac:dyDescent="0.55000000000000004">
      <c r="A8960" t="str">
        <f>TEST_DATA!A8960</f>
        <v>27AAAAA8960Z5</v>
      </c>
      <c r="B8960" t="str">
        <f>TEST_DATA!B8960</f>
        <v>Jul-2020</v>
      </c>
      <c r="C8960">
        <f>TEST_DATA!C8960</f>
        <v>44466</v>
      </c>
      <c r="D8960" t="str">
        <f>TEST_DATA!D8960</f>
        <v>NON-NIL</v>
      </c>
      <c r="E8960">
        <f>TEST_DATA!E8960</f>
        <v>280</v>
      </c>
    </row>
    <row r="8961" spans="1:5" x14ac:dyDescent="0.55000000000000004">
      <c r="A8961" t="str">
        <f>TEST_DATA!A8961</f>
        <v>27AAAAA8961Z5</v>
      </c>
      <c r="B8961" t="str">
        <f>TEST_DATA!B8961</f>
        <v>Apr-2020</v>
      </c>
      <c r="C8961">
        <f>TEST_DATA!C8961</f>
        <v>44794</v>
      </c>
      <c r="D8961" t="str">
        <f>TEST_DATA!D8961</f>
        <v>NIL</v>
      </c>
      <c r="E8961">
        <f>TEST_DATA!E8961</f>
        <v>1364</v>
      </c>
    </row>
    <row r="8962" spans="1:5" x14ac:dyDescent="0.55000000000000004">
      <c r="A8962" t="str">
        <f>TEST_DATA!A8962</f>
        <v>27AAAAA8962Z5</v>
      </c>
      <c r="B8962" t="str">
        <f>TEST_DATA!B8962</f>
        <v>Jul-2020</v>
      </c>
      <c r="C8962">
        <f>TEST_DATA!C8962</f>
        <v>44849</v>
      </c>
      <c r="D8962" t="str">
        <f>TEST_DATA!D8962</f>
        <v>NON-NIL</v>
      </c>
      <c r="E8962">
        <f>TEST_DATA!E8962</f>
        <v>1466</v>
      </c>
    </row>
    <row r="8963" spans="1:5" x14ac:dyDescent="0.55000000000000004">
      <c r="A8963" t="str">
        <f>TEST_DATA!A8963</f>
        <v>27AAAAA8963Z5</v>
      </c>
      <c r="B8963" t="str">
        <f>TEST_DATA!B8963</f>
        <v>Jan-2019</v>
      </c>
      <c r="C8963">
        <f>TEST_DATA!C8963</f>
        <v>43962</v>
      </c>
      <c r="D8963" t="str">
        <f>TEST_DATA!D8963</f>
        <v>NON-NIL</v>
      </c>
      <c r="E8963">
        <f>TEST_DATA!E8963</f>
        <v>1770</v>
      </c>
    </row>
    <row r="8964" spans="1:5" x14ac:dyDescent="0.55000000000000004">
      <c r="A8964" t="str">
        <f>TEST_DATA!A8964</f>
        <v>27AAAAA8964Z5</v>
      </c>
      <c r="B8964" t="str">
        <f>TEST_DATA!B8964</f>
        <v>Apr-2021</v>
      </c>
      <c r="C8964">
        <f>TEST_DATA!C8964</f>
        <v>44410</v>
      </c>
      <c r="D8964" t="str">
        <f>TEST_DATA!D8964</f>
        <v>NIL</v>
      </c>
      <c r="E8964">
        <f>TEST_DATA!E8964</f>
        <v>2109</v>
      </c>
    </row>
    <row r="8965" spans="1:5" x14ac:dyDescent="0.55000000000000004">
      <c r="A8965" t="str">
        <f>TEST_DATA!A8965</f>
        <v>27AAAAA8965Z5</v>
      </c>
      <c r="B8965" t="str">
        <f>TEST_DATA!B8965</f>
        <v>May-2020</v>
      </c>
      <c r="C8965">
        <f>TEST_DATA!C8965</f>
        <v>44100</v>
      </c>
      <c r="D8965" t="str">
        <f>TEST_DATA!D8965</f>
        <v>NON-NIL</v>
      </c>
      <c r="E8965">
        <f>TEST_DATA!E8965</f>
        <v>1677</v>
      </c>
    </row>
    <row r="8966" spans="1:5" x14ac:dyDescent="0.55000000000000004">
      <c r="A8966" t="str">
        <f>TEST_DATA!A8966</f>
        <v>27AAAAA8966Z5</v>
      </c>
      <c r="B8966" t="str">
        <f>TEST_DATA!B8966</f>
        <v>Feb-2018</v>
      </c>
      <c r="C8966">
        <f>TEST_DATA!C8966</f>
        <v>42952</v>
      </c>
      <c r="D8966" t="str">
        <f>TEST_DATA!D8966</f>
        <v>NON-NIL</v>
      </c>
      <c r="E8966">
        <f>TEST_DATA!E8966</f>
        <v>492</v>
      </c>
    </row>
    <row r="8967" spans="1:5" x14ac:dyDescent="0.55000000000000004">
      <c r="A8967" t="str">
        <f>TEST_DATA!A8967</f>
        <v>27AAAAA8967Z5</v>
      </c>
      <c r="B8967" t="str">
        <f>TEST_DATA!B8967</f>
        <v>Jan-2021</v>
      </c>
      <c r="C8967">
        <f>TEST_DATA!C8967</f>
        <v>45147</v>
      </c>
      <c r="D8967" t="str">
        <f>TEST_DATA!D8967</f>
        <v>NIL</v>
      </c>
      <c r="E8967">
        <f>TEST_DATA!E8967</f>
        <v>304</v>
      </c>
    </row>
    <row r="8968" spans="1:5" x14ac:dyDescent="0.55000000000000004">
      <c r="A8968" t="str">
        <f>TEST_DATA!A8968</f>
        <v>27AAAAA8968Z5</v>
      </c>
      <c r="B8968" t="str">
        <f>TEST_DATA!B8968</f>
        <v>Jun-2020</v>
      </c>
      <c r="C8968">
        <f>TEST_DATA!C8968</f>
        <v>44577</v>
      </c>
      <c r="D8968" t="str">
        <f>TEST_DATA!D8968</f>
        <v>NON-NIL</v>
      </c>
      <c r="E8968">
        <f>TEST_DATA!E8968</f>
        <v>972</v>
      </c>
    </row>
    <row r="8969" spans="1:5" x14ac:dyDescent="0.55000000000000004">
      <c r="A8969" t="str">
        <f>TEST_DATA!A8969</f>
        <v>27AAAAA8969Z5</v>
      </c>
      <c r="B8969" t="str">
        <f>TEST_DATA!B8969</f>
        <v>May-2018</v>
      </c>
      <c r="C8969">
        <f>TEST_DATA!C8969</f>
        <v>43186</v>
      </c>
      <c r="D8969" t="str">
        <f>TEST_DATA!D8969</f>
        <v>NIL</v>
      </c>
      <c r="E8969">
        <f>TEST_DATA!E8969</f>
        <v>3</v>
      </c>
    </row>
    <row r="8970" spans="1:5" x14ac:dyDescent="0.55000000000000004">
      <c r="A8970" t="str">
        <f>TEST_DATA!A8970</f>
        <v>27AAAAA8970Z5</v>
      </c>
      <c r="B8970" t="str">
        <f>TEST_DATA!B8970</f>
        <v>Sep-2018</v>
      </c>
      <c r="C8970">
        <f>TEST_DATA!C8970</f>
        <v>43809</v>
      </c>
      <c r="D8970" t="str">
        <f>TEST_DATA!D8970</f>
        <v>NIL</v>
      </c>
      <c r="E8970">
        <f>TEST_DATA!E8970</f>
        <v>1280</v>
      </c>
    </row>
    <row r="8971" spans="1:5" x14ac:dyDescent="0.55000000000000004">
      <c r="A8971" t="str">
        <f>TEST_DATA!A8971</f>
        <v>27AAAAA8971Z5</v>
      </c>
      <c r="B8971" t="str">
        <f>TEST_DATA!B8971</f>
        <v>Aug-2017</v>
      </c>
      <c r="C8971">
        <f>TEST_DATA!C8971</f>
        <v>43509</v>
      </c>
      <c r="D8971" t="str">
        <f>TEST_DATA!D8971</f>
        <v>NIL</v>
      </c>
      <c r="E8971">
        <f>TEST_DATA!E8971</f>
        <v>224</v>
      </c>
    </row>
    <row r="8972" spans="1:5" x14ac:dyDescent="0.55000000000000004">
      <c r="A8972" t="str">
        <f>TEST_DATA!A8972</f>
        <v>27AAAAA8972Z5</v>
      </c>
      <c r="B8972" t="str">
        <f>TEST_DATA!B8972</f>
        <v>May-2018</v>
      </c>
      <c r="C8972">
        <f>TEST_DATA!C8972</f>
        <v>44160</v>
      </c>
      <c r="D8972" t="str">
        <f>TEST_DATA!D8972</f>
        <v>NON-NIL</v>
      </c>
      <c r="E8972">
        <f>TEST_DATA!E8972</f>
        <v>2051</v>
      </c>
    </row>
    <row r="8973" spans="1:5" x14ac:dyDescent="0.55000000000000004">
      <c r="A8973" t="str">
        <f>TEST_DATA!A8973</f>
        <v>27AAAAA8973Z5</v>
      </c>
      <c r="B8973" t="str">
        <f>TEST_DATA!B8973</f>
        <v>Apr-2021</v>
      </c>
      <c r="C8973">
        <f>TEST_DATA!C8973</f>
        <v>44934</v>
      </c>
      <c r="D8973" t="str">
        <f>TEST_DATA!D8973</f>
        <v>NON-NIL</v>
      </c>
      <c r="E8973">
        <f>TEST_DATA!E8973</f>
        <v>2439</v>
      </c>
    </row>
    <row r="8974" spans="1:5" x14ac:dyDescent="0.55000000000000004">
      <c r="A8974" t="str">
        <f>TEST_DATA!A8974</f>
        <v>27AAAAA8974Z5</v>
      </c>
      <c r="B8974" t="str">
        <f>TEST_DATA!B8974</f>
        <v>Sep-2018</v>
      </c>
      <c r="C8974">
        <f>TEST_DATA!C8974</f>
        <v>43860</v>
      </c>
      <c r="D8974" t="str">
        <f>TEST_DATA!D8974</f>
        <v>NIL</v>
      </c>
      <c r="E8974">
        <f>TEST_DATA!E8974</f>
        <v>1253</v>
      </c>
    </row>
    <row r="8975" spans="1:5" x14ac:dyDescent="0.55000000000000004">
      <c r="A8975" t="str">
        <f>TEST_DATA!A8975</f>
        <v>27AAAAA8975Z5</v>
      </c>
      <c r="B8975" t="str">
        <f>TEST_DATA!B8975</f>
        <v>Jan-2018</v>
      </c>
      <c r="C8975">
        <f>TEST_DATA!C8975</f>
        <v>44321</v>
      </c>
      <c r="D8975" t="str">
        <f>TEST_DATA!D8975</f>
        <v>NIL</v>
      </c>
      <c r="E8975">
        <f>TEST_DATA!E8975</f>
        <v>2837</v>
      </c>
    </row>
    <row r="8976" spans="1:5" x14ac:dyDescent="0.55000000000000004">
      <c r="A8976" t="str">
        <f>TEST_DATA!A8976</f>
        <v>27AAAAA8976Z5</v>
      </c>
      <c r="B8976" t="str">
        <f>TEST_DATA!B8976</f>
        <v>Aug-2018</v>
      </c>
      <c r="C8976">
        <f>TEST_DATA!C8976</f>
        <v>42966</v>
      </c>
      <c r="D8976" t="str">
        <f>TEST_DATA!D8976</f>
        <v>NIL</v>
      </c>
      <c r="E8976">
        <f>TEST_DATA!E8976</f>
        <v>2428</v>
      </c>
    </row>
    <row r="8977" spans="1:5" x14ac:dyDescent="0.55000000000000004">
      <c r="A8977" t="str">
        <f>TEST_DATA!A8977</f>
        <v>27AAAAA8977Z5</v>
      </c>
      <c r="B8977" t="str">
        <f>TEST_DATA!B8977</f>
        <v>Aug-2017</v>
      </c>
      <c r="C8977">
        <f>TEST_DATA!C8977</f>
        <v>43140</v>
      </c>
      <c r="D8977" t="str">
        <f>TEST_DATA!D8977</f>
        <v>NIL</v>
      </c>
      <c r="E8977">
        <f>TEST_DATA!E8977</f>
        <v>322</v>
      </c>
    </row>
    <row r="8978" spans="1:5" x14ac:dyDescent="0.55000000000000004">
      <c r="A8978" t="str">
        <f>TEST_DATA!A8978</f>
        <v>27AAAAA8978Z5</v>
      </c>
      <c r="B8978" t="str">
        <f>TEST_DATA!B8978</f>
        <v>Apr-2018</v>
      </c>
      <c r="C8978">
        <f>TEST_DATA!C8978</f>
        <v>44484</v>
      </c>
      <c r="D8978" t="str">
        <f>TEST_DATA!D8978</f>
        <v>NON-NIL</v>
      </c>
      <c r="E8978">
        <f>TEST_DATA!E8978</f>
        <v>393</v>
      </c>
    </row>
    <row r="8979" spans="1:5" x14ac:dyDescent="0.55000000000000004">
      <c r="A8979" t="str">
        <f>TEST_DATA!A8979</f>
        <v>27AAAAA8979Z5</v>
      </c>
      <c r="B8979" t="str">
        <f>TEST_DATA!B8979</f>
        <v>Mar-2023</v>
      </c>
      <c r="C8979">
        <f>TEST_DATA!C8979</f>
        <v>43671</v>
      </c>
      <c r="D8979" t="str">
        <f>TEST_DATA!D8979</f>
        <v>NIL</v>
      </c>
      <c r="E8979">
        <f>TEST_DATA!E8979</f>
        <v>2457</v>
      </c>
    </row>
    <row r="8980" spans="1:5" x14ac:dyDescent="0.55000000000000004">
      <c r="A8980" t="str">
        <f>TEST_DATA!A8980</f>
        <v>27AAAAA8980Z5</v>
      </c>
      <c r="B8980" t="str">
        <f>TEST_DATA!B8980</f>
        <v>Nov-2017</v>
      </c>
      <c r="C8980">
        <f>TEST_DATA!C8980</f>
        <v>43911</v>
      </c>
      <c r="D8980" t="str">
        <f>TEST_DATA!D8980</f>
        <v>NIL</v>
      </c>
      <c r="E8980">
        <f>TEST_DATA!E8980</f>
        <v>2203</v>
      </c>
    </row>
    <row r="8981" spans="1:5" x14ac:dyDescent="0.55000000000000004">
      <c r="A8981" t="str">
        <f>TEST_DATA!A8981</f>
        <v>27AAAAA8981Z5</v>
      </c>
      <c r="B8981" t="str">
        <f>TEST_DATA!B8981</f>
        <v>Apr-2020</v>
      </c>
      <c r="C8981">
        <f>TEST_DATA!C8981</f>
        <v>44255</v>
      </c>
      <c r="D8981" t="str">
        <f>TEST_DATA!D8981</f>
        <v>NIL</v>
      </c>
      <c r="E8981">
        <f>TEST_DATA!E8981</f>
        <v>1151</v>
      </c>
    </row>
    <row r="8982" spans="1:5" x14ac:dyDescent="0.55000000000000004">
      <c r="A8982" t="str">
        <f>TEST_DATA!A8982</f>
        <v>27AAAAA8982Z5</v>
      </c>
      <c r="B8982" t="str">
        <f>TEST_DATA!B8982</f>
        <v>Apr-2021</v>
      </c>
      <c r="C8982">
        <f>TEST_DATA!C8982</f>
        <v>45066</v>
      </c>
      <c r="D8982" t="str">
        <f>TEST_DATA!D8982</f>
        <v>NIL</v>
      </c>
      <c r="E8982">
        <f>TEST_DATA!E8982</f>
        <v>1580</v>
      </c>
    </row>
    <row r="8983" spans="1:5" x14ac:dyDescent="0.55000000000000004">
      <c r="A8983" t="str">
        <f>TEST_DATA!A8983</f>
        <v>27AAAAA8983Z5</v>
      </c>
      <c r="B8983" t="str">
        <f>TEST_DATA!B8983</f>
        <v>Feb-2018</v>
      </c>
      <c r="C8983">
        <f>TEST_DATA!C8983</f>
        <v>44053</v>
      </c>
      <c r="D8983" t="str">
        <f>TEST_DATA!D8983</f>
        <v>NIL</v>
      </c>
      <c r="E8983">
        <f>TEST_DATA!E8983</f>
        <v>1669</v>
      </c>
    </row>
    <row r="8984" spans="1:5" x14ac:dyDescent="0.55000000000000004">
      <c r="A8984" t="str">
        <f>TEST_DATA!A8984</f>
        <v>27AAAAA8984Z5</v>
      </c>
      <c r="B8984" t="str">
        <f>TEST_DATA!B8984</f>
        <v>Jun-2019</v>
      </c>
      <c r="C8984">
        <f>TEST_DATA!C8984</f>
        <v>45403</v>
      </c>
      <c r="D8984" t="str">
        <f>TEST_DATA!D8984</f>
        <v>NON-NIL</v>
      </c>
      <c r="E8984">
        <f>TEST_DATA!E8984</f>
        <v>362</v>
      </c>
    </row>
    <row r="8985" spans="1:5" x14ac:dyDescent="0.55000000000000004">
      <c r="A8985" t="str">
        <f>TEST_DATA!A8985</f>
        <v>27AAAAA8985Z5</v>
      </c>
      <c r="B8985" t="str">
        <f>TEST_DATA!B8985</f>
        <v>Jun-2019</v>
      </c>
      <c r="C8985">
        <f>TEST_DATA!C8985</f>
        <v>44912</v>
      </c>
      <c r="D8985" t="str">
        <f>TEST_DATA!D8985</f>
        <v>NON-NIL</v>
      </c>
      <c r="E8985">
        <f>TEST_DATA!E8985</f>
        <v>2440</v>
      </c>
    </row>
    <row r="8986" spans="1:5" x14ac:dyDescent="0.55000000000000004">
      <c r="A8986" t="str">
        <f>TEST_DATA!A8986</f>
        <v>27AAAAA8986Z5</v>
      </c>
      <c r="B8986" t="str">
        <f>TEST_DATA!B8986</f>
        <v>Aug-2017</v>
      </c>
      <c r="C8986">
        <f>TEST_DATA!C8986</f>
        <v>43634</v>
      </c>
      <c r="D8986" t="str">
        <f>TEST_DATA!D8986</f>
        <v>NIL</v>
      </c>
      <c r="E8986">
        <f>TEST_DATA!E8986</f>
        <v>2706</v>
      </c>
    </row>
    <row r="8987" spans="1:5" x14ac:dyDescent="0.55000000000000004">
      <c r="A8987" t="str">
        <f>TEST_DATA!A8987</f>
        <v>27AAAAA8987Z5</v>
      </c>
      <c r="B8987" t="str">
        <f>TEST_DATA!B8987</f>
        <v>Mar-2020</v>
      </c>
      <c r="C8987">
        <f>TEST_DATA!C8987</f>
        <v>44612</v>
      </c>
      <c r="D8987" t="str">
        <f>TEST_DATA!D8987</f>
        <v>NON-NIL</v>
      </c>
      <c r="E8987">
        <f>TEST_DATA!E8987</f>
        <v>1639</v>
      </c>
    </row>
    <row r="8988" spans="1:5" x14ac:dyDescent="0.55000000000000004">
      <c r="A8988" t="str">
        <f>TEST_DATA!A8988</f>
        <v>27AAAAA8988Z5</v>
      </c>
      <c r="B8988" t="str">
        <f>TEST_DATA!B8988</f>
        <v>Mar-2021</v>
      </c>
      <c r="C8988">
        <f>TEST_DATA!C8988</f>
        <v>45746</v>
      </c>
      <c r="D8988" t="str">
        <f>TEST_DATA!D8988</f>
        <v>NIL</v>
      </c>
      <c r="E8988">
        <f>TEST_DATA!E8988</f>
        <v>1557</v>
      </c>
    </row>
    <row r="8989" spans="1:5" x14ac:dyDescent="0.55000000000000004">
      <c r="A8989" t="str">
        <f>TEST_DATA!A8989</f>
        <v>27AAAAA8989Z5</v>
      </c>
      <c r="B8989" t="str">
        <f>TEST_DATA!B8989</f>
        <v>Jan-2019</v>
      </c>
      <c r="C8989">
        <f>TEST_DATA!C8989</f>
        <v>44187</v>
      </c>
      <c r="D8989" t="str">
        <f>TEST_DATA!D8989</f>
        <v>NIL</v>
      </c>
      <c r="E8989">
        <f>TEST_DATA!E8989</f>
        <v>49</v>
      </c>
    </row>
    <row r="8990" spans="1:5" x14ac:dyDescent="0.55000000000000004">
      <c r="A8990" t="str">
        <f>TEST_DATA!A8990</f>
        <v>27AAAAA8990Z5</v>
      </c>
      <c r="B8990" t="str">
        <f>TEST_DATA!B8990</f>
        <v>Jan-2019</v>
      </c>
      <c r="C8990">
        <f>TEST_DATA!C8990</f>
        <v>44105</v>
      </c>
      <c r="D8990" t="str">
        <f>TEST_DATA!D8990</f>
        <v>NON-NIL</v>
      </c>
      <c r="E8990">
        <f>TEST_DATA!E8990</f>
        <v>641</v>
      </c>
    </row>
    <row r="8991" spans="1:5" x14ac:dyDescent="0.55000000000000004">
      <c r="A8991" t="str">
        <f>TEST_DATA!A8991</f>
        <v>27AAAAA8991Z5</v>
      </c>
      <c r="B8991" t="str">
        <f>TEST_DATA!B8991</f>
        <v>Dec-2022</v>
      </c>
      <c r="C8991">
        <f>TEST_DATA!C8991</f>
        <v>43473</v>
      </c>
      <c r="D8991" t="str">
        <f>TEST_DATA!D8991</f>
        <v>NIL</v>
      </c>
      <c r="E8991">
        <f>TEST_DATA!E8991</f>
        <v>2757</v>
      </c>
    </row>
    <row r="8992" spans="1:5" x14ac:dyDescent="0.55000000000000004">
      <c r="A8992" t="str">
        <f>TEST_DATA!A8992</f>
        <v>27AAAAA8992Z5</v>
      </c>
      <c r="B8992" t="str">
        <f>TEST_DATA!B8992</f>
        <v>Jun-2020</v>
      </c>
      <c r="C8992">
        <f>TEST_DATA!C8992</f>
        <v>44425</v>
      </c>
      <c r="D8992" t="str">
        <f>TEST_DATA!D8992</f>
        <v>NON-NIL</v>
      </c>
      <c r="E8992">
        <f>TEST_DATA!E8992</f>
        <v>632</v>
      </c>
    </row>
    <row r="8993" spans="1:5" x14ac:dyDescent="0.55000000000000004">
      <c r="A8993" t="str">
        <f>TEST_DATA!A8993</f>
        <v>27AAAAA8993Z5</v>
      </c>
      <c r="B8993" t="str">
        <f>TEST_DATA!B8993</f>
        <v>May-2020</v>
      </c>
      <c r="C8993">
        <f>TEST_DATA!C8993</f>
        <v>44226</v>
      </c>
      <c r="D8993" t="str">
        <f>TEST_DATA!D8993</f>
        <v>NON-NIL</v>
      </c>
      <c r="E8993">
        <f>TEST_DATA!E8993</f>
        <v>863</v>
      </c>
    </row>
    <row r="8994" spans="1:5" x14ac:dyDescent="0.55000000000000004">
      <c r="A8994" t="str">
        <f>TEST_DATA!A8994</f>
        <v>27AAAAA8994Z5</v>
      </c>
      <c r="B8994" t="str">
        <f>TEST_DATA!B8994</f>
        <v>Jun-2018</v>
      </c>
      <c r="C8994">
        <f>TEST_DATA!C8994</f>
        <v>43777</v>
      </c>
      <c r="D8994" t="str">
        <f>TEST_DATA!D8994</f>
        <v>NON-NIL</v>
      </c>
      <c r="E8994">
        <f>TEST_DATA!E8994</f>
        <v>72</v>
      </c>
    </row>
    <row r="8995" spans="1:5" x14ac:dyDescent="0.55000000000000004">
      <c r="A8995" t="str">
        <f>TEST_DATA!A8995</f>
        <v>27AAAAA8995Z5</v>
      </c>
      <c r="B8995" t="str">
        <f>TEST_DATA!B8995</f>
        <v>Sep-2018</v>
      </c>
      <c r="C8995">
        <f>TEST_DATA!C8995</f>
        <v>43973</v>
      </c>
      <c r="D8995" t="str">
        <f>TEST_DATA!D8995</f>
        <v>NIL</v>
      </c>
      <c r="E8995">
        <f>TEST_DATA!E8995</f>
        <v>2978</v>
      </c>
    </row>
    <row r="8996" spans="1:5" x14ac:dyDescent="0.55000000000000004">
      <c r="A8996" t="str">
        <f>TEST_DATA!A8996</f>
        <v>27AAAAA8996Z5</v>
      </c>
      <c r="B8996" t="str">
        <f>TEST_DATA!B8996</f>
        <v>Jan-2021</v>
      </c>
      <c r="C8996">
        <f>TEST_DATA!C8996</f>
        <v>43583</v>
      </c>
      <c r="D8996" t="str">
        <f>TEST_DATA!D8996</f>
        <v>NIL</v>
      </c>
      <c r="E8996">
        <f>TEST_DATA!E8996</f>
        <v>203</v>
      </c>
    </row>
    <row r="8997" spans="1:5" x14ac:dyDescent="0.55000000000000004">
      <c r="A8997" t="str">
        <f>TEST_DATA!A8997</f>
        <v>27AAAAA8997Z5</v>
      </c>
      <c r="B8997" t="str">
        <f>TEST_DATA!B8997</f>
        <v>Mar-2021</v>
      </c>
      <c r="C8997">
        <f>TEST_DATA!C8997</f>
        <v>45105</v>
      </c>
      <c r="D8997" t="str">
        <f>TEST_DATA!D8997</f>
        <v>NON-NIL</v>
      </c>
      <c r="E8997">
        <f>TEST_DATA!E8997</f>
        <v>2131</v>
      </c>
    </row>
    <row r="8998" spans="1:5" x14ac:dyDescent="0.55000000000000004">
      <c r="A8998" t="str">
        <f>TEST_DATA!A8998</f>
        <v>27AAAAA8998Z5</v>
      </c>
      <c r="B8998" t="str">
        <f>TEST_DATA!B8998</f>
        <v>Mar-2021</v>
      </c>
      <c r="C8998">
        <f>TEST_DATA!C8998</f>
        <v>45799</v>
      </c>
      <c r="D8998" t="str">
        <f>TEST_DATA!D8998</f>
        <v>NON-NIL</v>
      </c>
      <c r="E8998">
        <f>TEST_DATA!E8998</f>
        <v>422</v>
      </c>
    </row>
    <row r="8999" spans="1:5" x14ac:dyDescent="0.55000000000000004">
      <c r="A8999" t="str">
        <f>TEST_DATA!A8999</f>
        <v>27AAAAA8999Z5</v>
      </c>
      <c r="B8999" t="str">
        <f>TEST_DATA!B8999</f>
        <v>May-2020</v>
      </c>
      <c r="C8999">
        <f>TEST_DATA!C8999</f>
        <v>44353</v>
      </c>
      <c r="D8999" t="str">
        <f>TEST_DATA!D8999</f>
        <v>NON-NIL</v>
      </c>
      <c r="E8999">
        <f>TEST_DATA!E8999</f>
        <v>1163</v>
      </c>
    </row>
    <row r="9000" spans="1:5" x14ac:dyDescent="0.55000000000000004">
      <c r="A9000" t="str">
        <f>TEST_DATA!A9000</f>
        <v>27AAAAA9000Z5</v>
      </c>
      <c r="B9000" t="str">
        <f>TEST_DATA!B9000</f>
        <v>Apr-2020</v>
      </c>
      <c r="C9000">
        <f>TEST_DATA!C9000</f>
        <v>44249</v>
      </c>
      <c r="D9000" t="str">
        <f>TEST_DATA!D9000</f>
        <v>NON-NIL</v>
      </c>
      <c r="E9000">
        <f>TEST_DATA!E9000</f>
        <v>1890</v>
      </c>
    </row>
    <row r="9001" spans="1:5" x14ac:dyDescent="0.55000000000000004">
      <c r="A9001" t="str">
        <f>TEST_DATA!A9001</f>
        <v>27AAAAA9001Z5</v>
      </c>
      <c r="B9001" t="str">
        <f>TEST_DATA!B9001</f>
        <v>Dec-2024</v>
      </c>
      <c r="C9001">
        <f>TEST_DATA!C9001</f>
        <v>43791</v>
      </c>
      <c r="D9001" t="str">
        <f>TEST_DATA!D9001</f>
        <v>NON-NIL</v>
      </c>
      <c r="E9001">
        <f>TEST_DATA!E9001</f>
        <v>1587</v>
      </c>
    </row>
    <row r="9002" spans="1:5" x14ac:dyDescent="0.55000000000000004">
      <c r="A9002" t="str">
        <f>TEST_DATA!A9002</f>
        <v>27AAAAA9002Z5</v>
      </c>
      <c r="B9002" t="str">
        <f>TEST_DATA!B9002</f>
        <v>Jan-2019</v>
      </c>
      <c r="C9002">
        <f>TEST_DATA!C9002</f>
        <v>44545</v>
      </c>
      <c r="D9002" t="str">
        <f>TEST_DATA!D9002</f>
        <v>NIL</v>
      </c>
      <c r="E9002">
        <f>TEST_DATA!E9002</f>
        <v>1780</v>
      </c>
    </row>
    <row r="9003" spans="1:5" x14ac:dyDescent="0.55000000000000004">
      <c r="A9003" t="str">
        <f>TEST_DATA!A9003</f>
        <v>27AAAAA9003Z5</v>
      </c>
      <c r="B9003" t="str">
        <f>TEST_DATA!B9003</f>
        <v>Jul-2018</v>
      </c>
      <c r="C9003">
        <f>TEST_DATA!C9003</f>
        <v>43995</v>
      </c>
      <c r="D9003" t="str">
        <f>TEST_DATA!D9003</f>
        <v>NON-NIL</v>
      </c>
      <c r="E9003">
        <f>TEST_DATA!E9003</f>
        <v>1840</v>
      </c>
    </row>
    <row r="9004" spans="1:5" x14ac:dyDescent="0.55000000000000004">
      <c r="A9004" t="str">
        <f>TEST_DATA!A9004</f>
        <v>27AAAAA9004Z5</v>
      </c>
      <c r="B9004" t="str">
        <f>TEST_DATA!B9004</f>
        <v>Jun-2018</v>
      </c>
      <c r="C9004">
        <f>TEST_DATA!C9004</f>
        <v>43057</v>
      </c>
      <c r="D9004" t="str">
        <f>TEST_DATA!D9004</f>
        <v>NON-NIL</v>
      </c>
      <c r="E9004">
        <f>TEST_DATA!E9004</f>
        <v>2012</v>
      </c>
    </row>
    <row r="9005" spans="1:5" x14ac:dyDescent="0.55000000000000004">
      <c r="A9005" t="str">
        <f>TEST_DATA!A9005</f>
        <v>27AAAAA9005Z5</v>
      </c>
      <c r="B9005" t="str">
        <f>TEST_DATA!B9005</f>
        <v>Dec-2024</v>
      </c>
      <c r="C9005">
        <f>TEST_DATA!C9005</f>
        <v>43879</v>
      </c>
      <c r="D9005" t="str">
        <f>TEST_DATA!D9005</f>
        <v>NIL</v>
      </c>
      <c r="E9005">
        <f>TEST_DATA!E9005</f>
        <v>1740</v>
      </c>
    </row>
    <row r="9006" spans="1:5" x14ac:dyDescent="0.55000000000000004">
      <c r="A9006" t="str">
        <f>TEST_DATA!A9006</f>
        <v>27AAAAA9006Z5</v>
      </c>
      <c r="B9006" t="str">
        <f>TEST_DATA!B9006</f>
        <v>Apr-2018</v>
      </c>
      <c r="C9006">
        <f>TEST_DATA!C9006</f>
        <v>43642</v>
      </c>
      <c r="D9006" t="str">
        <f>TEST_DATA!D9006</f>
        <v>NON-NIL</v>
      </c>
      <c r="E9006">
        <f>TEST_DATA!E9006</f>
        <v>186</v>
      </c>
    </row>
    <row r="9007" spans="1:5" x14ac:dyDescent="0.55000000000000004">
      <c r="A9007" t="str">
        <f>TEST_DATA!A9007</f>
        <v>27AAAAA9007Z5</v>
      </c>
      <c r="B9007" t="str">
        <f>TEST_DATA!B9007</f>
        <v>Jun-2018</v>
      </c>
      <c r="C9007">
        <f>TEST_DATA!C9007</f>
        <v>44286</v>
      </c>
      <c r="D9007" t="str">
        <f>TEST_DATA!D9007</f>
        <v>NON-NIL</v>
      </c>
      <c r="E9007">
        <f>TEST_DATA!E9007</f>
        <v>1647</v>
      </c>
    </row>
    <row r="9008" spans="1:5" x14ac:dyDescent="0.55000000000000004">
      <c r="A9008" t="str">
        <f>TEST_DATA!A9008</f>
        <v>27AAAAA9008Z5</v>
      </c>
      <c r="B9008" t="str">
        <f>TEST_DATA!B9008</f>
        <v>Jan-2018</v>
      </c>
      <c r="C9008">
        <f>TEST_DATA!C9008</f>
        <v>43538</v>
      </c>
      <c r="D9008" t="str">
        <f>TEST_DATA!D9008</f>
        <v>NIL</v>
      </c>
      <c r="E9008">
        <f>TEST_DATA!E9008</f>
        <v>366</v>
      </c>
    </row>
    <row r="9009" spans="1:5" x14ac:dyDescent="0.55000000000000004">
      <c r="A9009" t="str">
        <f>TEST_DATA!A9009</f>
        <v>27AAAAA9009Z5</v>
      </c>
      <c r="B9009" t="str">
        <f>TEST_DATA!B9009</f>
        <v>Jun-2019</v>
      </c>
      <c r="C9009">
        <f>TEST_DATA!C9009</f>
        <v>43665</v>
      </c>
      <c r="D9009" t="str">
        <f>TEST_DATA!D9009</f>
        <v>NON-NIL</v>
      </c>
      <c r="E9009">
        <f>TEST_DATA!E9009</f>
        <v>858</v>
      </c>
    </row>
    <row r="9010" spans="1:5" x14ac:dyDescent="0.55000000000000004">
      <c r="A9010" t="str">
        <f>TEST_DATA!A9010</f>
        <v>27AAAAA9010Z5</v>
      </c>
      <c r="B9010" t="str">
        <f>TEST_DATA!B9010</f>
        <v>Mar-2020</v>
      </c>
      <c r="C9010">
        <f>TEST_DATA!C9010</f>
        <v>44131</v>
      </c>
      <c r="D9010" t="str">
        <f>TEST_DATA!D9010</f>
        <v>NIL</v>
      </c>
      <c r="E9010">
        <f>TEST_DATA!E9010</f>
        <v>2948</v>
      </c>
    </row>
    <row r="9011" spans="1:5" x14ac:dyDescent="0.55000000000000004">
      <c r="A9011" t="str">
        <f>TEST_DATA!A9011</f>
        <v>27AAAAA9011Z5</v>
      </c>
      <c r="B9011" t="str">
        <f>TEST_DATA!B9011</f>
        <v>Aug-2017</v>
      </c>
      <c r="C9011">
        <f>TEST_DATA!C9011</f>
        <v>43192</v>
      </c>
      <c r="D9011" t="str">
        <f>TEST_DATA!D9011</f>
        <v>NON-NIL</v>
      </c>
      <c r="E9011">
        <f>TEST_DATA!E9011</f>
        <v>2167</v>
      </c>
    </row>
    <row r="9012" spans="1:5" x14ac:dyDescent="0.55000000000000004">
      <c r="A9012" t="str">
        <f>TEST_DATA!A9012</f>
        <v>27AAAAA9012Z5</v>
      </c>
      <c r="B9012" t="str">
        <f>TEST_DATA!B9012</f>
        <v>Dec-2022</v>
      </c>
      <c r="C9012">
        <f>TEST_DATA!C9012</f>
        <v>44883</v>
      </c>
      <c r="D9012" t="str">
        <f>TEST_DATA!D9012</f>
        <v>NON-NIL</v>
      </c>
      <c r="E9012">
        <f>TEST_DATA!E9012</f>
        <v>1356</v>
      </c>
    </row>
    <row r="9013" spans="1:5" x14ac:dyDescent="0.55000000000000004">
      <c r="A9013" t="str">
        <f>TEST_DATA!A9013</f>
        <v>27AAAAA9013Z5</v>
      </c>
      <c r="B9013" t="str">
        <f>TEST_DATA!B9013</f>
        <v>Mar-2021</v>
      </c>
      <c r="C9013">
        <f>TEST_DATA!C9013</f>
        <v>44342</v>
      </c>
      <c r="D9013" t="str">
        <f>TEST_DATA!D9013</f>
        <v>NIL</v>
      </c>
      <c r="E9013">
        <f>TEST_DATA!E9013</f>
        <v>1923</v>
      </c>
    </row>
    <row r="9014" spans="1:5" x14ac:dyDescent="0.55000000000000004">
      <c r="A9014" t="str">
        <f>TEST_DATA!A9014</f>
        <v>27AAAAA9014Z5</v>
      </c>
      <c r="B9014" t="str">
        <f>TEST_DATA!B9014</f>
        <v>Jul-2020</v>
      </c>
      <c r="C9014">
        <f>TEST_DATA!C9014</f>
        <v>44807</v>
      </c>
      <c r="D9014" t="str">
        <f>TEST_DATA!D9014</f>
        <v>NON-NIL</v>
      </c>
      <c r="E9014">
        <f>TEST_DATA!E9014</f>
        <v>991</v>
      </c>
    </row>
    <row r="9015" spans="1:5" x14ac:dyDescent="0.55000000000000004">
      <c r="A9015" t="str">
        <f>TEST_DATA!A9015</f>
        <v>27AAAAA9015Z5</v>
      </c>
      <c r="B9015" t="str">
        <f>TEST_DATA!B9015</f>
        <v>Jul-2017</v>
      </c>
      <c r="C9015">
        <f>TEST_DATA!C9015</f>
        <v>44303</v>
      </c>
      <c r="D9015" t="str">
        <f>TEST_DATA!D9015</f>
        <v>NIL</v>
      </c>
      <c r="E9015">
        <f>TEST_DATA!E9015</f>
        <v>407</v>
      </c>
    </row>
    <row r="9016" spans="1:5" x14ac:dyDescent="0.55000000000000004">
      <c r="A9016" t="str">
        <f>TEST_DATA!A9016</f>
        <v>27AAAAA9016Z5</v>
      </c>
      <c r="B9016" t="str">
        <f>TEST_DATA!B9016</f>
        <v>Jul-2018</v>
      </c>
      <c r="C9016">
        <f>TEST_DATA!C9016</f>
        <v>43931</v>
      </c>
      <c r="D9016" t="str">
        <f>TEST_DATA!D9016</f>
        <v>NON-NIL</v>
      </c>
      <c r="E9016">
        <f>TEST_DATA!E9016</f>
        <v>443</v>
      </c>
    </row>
    <row r="9017" spans="1:5" x14ac:dyDescent="0.55000000000000004">
      <c r="A9017" t="str">
        <f>TEST_DATA!A9017</f>
        <v>27AAAAA9017Z5</v>
      </c>
      <c r="B9017" t="str">
        <f>TEST_DATA!B9017</f>
        <v>Mar-2020</v>
      </c>
      <c r="C9017">
        <f>TEST_DATA!C9017</f>
        <v>44160</v>
      </c>
      <c r="D9017" t="str">
        <f>TEST_DATA!D9017</f>
        <v>NON-NIL</v>
      </c>
      <c r="E9017">
        <f>TEST_DATA!E9017</f>
        <v>441</v>
      </c>
    </row>
    <row r="9018" spans="1:5" x14ac:dyDescent="0.55000000000000004">
      <c r="A9018" t="str">
        <f>TEST_DATA!A9018</f>
        <v>27AAAAA9018Z5</v>
      </c>
      <c r="B9018" t="str">
        <f>TEST_DATA!B9018</f>
        <v>Jun-2018</v>
      </c>
      <c r="C9018">
        <f>TEST_DATA!C9018</f>
        <v>43496</v>
      </c>
      <c r="D9018" t="str">
        <f>TEST_DATA!D9018</f>
        <v>NON-NIL</v>
      </c>
      <c r="E9018">
        <f>TEST_DATA!E9018</f>
        <v>2757</v>
      </c>
    </row>
    <row r="9019" spans="1:5" x14ac:dyDescent="0.55000000000000004">
      <c r="A9019" t="str">
        <f>TEST_DATA!A9019</f>
        <v>27AAAAA9019Z5</v>
      </c>
      <c r="B9019" t="str">
        <f>TEST_DATA!B9019</f>
        <v>Nov-2017</v>
      </c>
      <c r="C9019">
        <f>TEST_DATA!C9019</f>
        <v>42942</v>
      </c>
      <c r="D9019" t="str">
        <f>TEST_DATA!D9019</f>
        <v>NIL</v>
      </c>
      <c r="E9019">
        <f>TEST_DATA!E9019</f>
        <v>588</v>
      </c>
    </row>
    <row r="9020" spans="1:5" x14ac:dyDescent="0.55000000000000004">
      <c r="A9020" t="str">
        <f>TEST_DATA!A9020</f>
        <v>27AAAAA9020Z5</v>
      </c>
      <c r="B9020" t="str">
        <f>TEST_DATA!B9020</f>
        <v>Mar-2018</v>
      </c>
      <c r="C9020">
        <f>TEST_DATA!C9020</f>
        <v>44278</v>
      </c>
      <c r="D9020" t="str">
        <f>TEST_DATA!D9020</f>
        <v>NIL</v>
      </c>
      <c r="E9020">
        <f>TEST_DATA!E9020</f>
        <v>567</v>
      </c>
    </row>
    <row r="9021" spans="1:5" x14ac:dyDescent="0.55000000000000004">
      <c r="A9021" t="str">
        <f>TEST_DATA!A9021</f>
        <v>27AAAAA9021Z5</v>
      </c>
      <c r="B9021" t="str">
        <f>TEST_DATA!B9021</f>
        <v>Jun-2018</v>
      </c>
      <c r="C9021">
        <f>TEST_DATA!C9021</f>
        <v>43511</v>
      </c>
      <c r="D9021" t="str">
        <f>TEST_DATA!D9021</f>
        <v>NON-NIL</v>
      </c>
      <c r="E9021">
        <f>TEST_DATA!E9021</f>
        <v>1315</v>
      </c>
    </row>
    <row r="9022" spans="1:5" x14ac:dyDescent="0.55000000000000004">
      <c r="A9022" t="str">
        <f>TEST_DATA!A9022</f>
        <v>27AAAAA9022Z5</v>
      </c>
      <c r="B9022" t="str">
        <f>TEST_DATA!B9022</f>
        <v>Jul-2017</v>
      </c>
      <c r="C9022">
        <f>TEST_DATA!C9022</f>
        <v>44264</v>
      </c>
      <c r="D9022" t="str">
        <f>TEST_DATA!D9022</f>
        <v>NIL</v>
      </c>
      <c r="E9022">
        <f>TEST_DATA!E9022</f>
        <v>1401</v>
      </c>
    </row>
    <row r="9023" spans="1:5" x14ac:dyDescent="0.55000000000000004">
      <c r="A9023" t="str">
        <f>TEST_DATA!A9023</f>
        <v>27AAAAA9023Z5</v>
      </c>
      <c r="B9023" t="str">
        <f>TEST_DATA!B9023</f>
        <v>Apr-2018</v>
      </c>
      <c r="C9023">
        <f>TEST_DATA!C9023</f>
        <v>44125</v>
      </c>
      <c r="D9023" t="str">
        <f>TEST_DATA!D9023</f>
        <v>NIL</v>
      </c>
      <c r="E9023">
        <f>TEST_DATA!E9023</f>
        <v>2077</v>
      </c>
    </row>
    <row r="9024" spans="1:5" x14ac:dyDescent="0.55000000000000004">
      <c r="A9024" t="str">
        <f>TEST_DATA!A9024</f>
        <v>27AAAAA9024Z5</v>
      </c>
      <c r="B9024" t="str">
        <f>TEST_DATA!B9024</f>
        <v>Jan-2021</v>
      </c>
      <c r="C9024">
        <f>TEST_DATA!C9024</f>
        <v>43615</v>
      </c>
      <c r="D9024" t="str">
        <f>TEST_DATA!D9024</f>
        <v>NIL</v>
      </c>
      <c r="E9024">
        <f>TEST_DATA!E9024</f>
        <v>2326</v>
      </c>
    </row>
    <row r="9025" spans="1:5" x14ac:dyDescent="0.55000000000000004">
      <c r="A9025" t="str">
        <f>TEST_DATA!A9025</f>
        <v>27AAAAA9025Z5</v>
      </c>
      <c r="B9025" t="str">
        <f>TEST_DATA!B9025</f>
        <v>Mar-2023</v>
      </c>
      <c r="C9025">
        <f>TEST_DATA!C9025</f>
        <v>45497</v>
      </c>
      <c r="D9025" t="str">
        <f>TEST_DATA!D9025</f>
        <v>NON-NIL</v>
      </c>
      <c r="E9025">
        <f>TEST_DATA!E9025</f>
        <v>2584</v>
      </c>
    </row>
    <row r="9026" spans="1:5" x14ac:dyDescent="0.55000000000000004">
      <c r="A9026" t="str">
        <f>TEST_DATA!A9026</f>
        <v>27AAAAA9026Z5</v>
      </c>
      <c r="B9026" t="str">
        <f>TEST_DATA!B9026</f>
        <v>Sep-2018</v>
      </c>
      <c r="C9026">
        <f>TEST_DATA!C9026</f>
        <v>43402</v>
      </c>
      <c r="D9026" t="str">
        <f>TEST_DATA!D9026</f>
        <v>NON-NIL</v>
      </c>
      <c r="E9026">
        <f>TEST_DATA!E9026</f>
        <v>553</v>
      </c>
    </row>
    <row r="9027" spans="1:5" x14ac:dyDescent="0.55000000000000004">
      <c r="A9027" t="str">
        <f>TEST_DATA!A9027</f>
        <v>27AAAAA9027Z5</v>
      </c>
      <c r="B9027" t="str">
        <f>TEST_DATA!B9027</f>
        <v>Apr-2018</v>
      </c>
      <c r="C9027">
        <f>TEST_DATA!C9027</f>
        <v>43690</v>
      </c>
      <c r="D9027" t="str">
        <f>TEST_DATA!D9027</f>
        <v>NIL</v>
      </c>
      <c r="E9027">
        <f>TEST_DATA!E9027</f>
        <v>1604</v>
      </c>
    </row>
    <row r="9028" spans="1:5" x14ac:dyDescent="0.55000000000000004">
      <c r="A9028" t="str">
        <f>TEST_DATA!A9028</f>
        <v>27AAAAA9028Z5</v>
      </c>
      <c r="B9028" t="str">
        <f>TEST_DATA!B9028</f>
        <v>Jan-2018</v>
      </c>
      <c r="C9028">
        <f>TEST_DATA!C9028</f>
        <v>42944</v>
      </c>
      <c r="D9028" t="str">
        <f>TEST_DATA!D9028</f>
        <v>NIL</v>
      </c>
      <c r="E9028">
        <f>TEST_DATA!E9028</f>
        <v>1155</v>
      </c>
    </row>
    <row r="9029" spans="1:5" x14ac:dyDescent="0.55000000000000004">
      <c r="A9029" t="str">
        <f>TEST_DATA!A9029</f>
        <v>27AAAAA9029Z5</v>
      </c>
      <c r="B9029" t="str">
        <f>TEST_DATA!B9029</f>
        <v>Feb-2018</v>
      </c>
      <c r="C9029">
        <f>TEST_DATA!C9029</f>
        <v>43994</v>
      </c>
      <c r="D9029" t="str">
        <f>TEST_DATA!D9029</f>
        <v>NIL</v>
      </c>
      <c r="E9029">
        <f>TEST_DATA!E9029</f>
        <v>2749</v>
      </c>
    </row>
    <row r="9030" spans="1:5" x14ac:dyDescent="0.55000000000000004">
      <c r="A9030" t="str">
        <f>TEST_DATA!A9030</f>
        <v>27AAAAA9030Z5</v>
      </c>
      <c r="B9030" t="str">
        <f>TEST_DATA!B9030</f>
        <v>Aug-2017</v>
      </c>
      <c r="C9030">
        <f>TEST_DATA!C9030</f>
        <v>42973</v>
      </c>
      <c r="D9030" t="str">
        <f>TEST_DATA!D9030</f>
        <v>NIL</v>
      </c>
      <c r="E9030">
        <f>TEST_DATA!E9030</f>
        <v>2376</v>
      </c>
    </row>
    <row r="9031" spans="1:5" x14ac:dyDescent="0.55000000000000004">
      <c r="A9031" t="str">
        <f>TEST_DATA!A9031</f>
        <v>27AAAAA9031Z5</v>
      </c>
      <c r="B9031" t="str">
        <f>TEST_DATA!B9031</f>
        <v>Sep-2017</v>
      </c>
      <c r="C9031">
        <f>TEST_DATA!C9031</f>
        <v>43513</v>
      </c>
      <c r="D9031" t="str">
        <f>TEST_DATA!D9031</f>
        <v>NIL</v>
      </c>
      <c r="E9031">
        <f>TEST_DATA!E9031</f>
        <v>1281</v>
      </c>
    </row>
    <row r="9032" spans="1:5" x14ac:dyDescent="0.55000000000000004">
      <c r="A9032" t="str">
        <f>TEST_DATA!A9032</f>
        <v>27AAAAA9032Z5</v>
      </c>
      <c r="B9032" t="str">
        <f>TEST_DATA!B9032</f>
        <v>Dec-2017</v>
      </c>
      <c r="C9032">
        <f>TEST_DATA!C9032</f>
        <v>44176</v>
      </c>
      <c r="D9032" t="str">
        <f>TEST_DATA!D9032</f>
        <v>NON-NIL</v>
      </c>
      <c r="E9032">
        <f>TEST_DATA!E9032</f>
        <v>2533</v>
      </c>
    </row>
    <row r="9033" spans="1:5" x14ac:dyDescent="0.55000000000000004">
      <c r="A9033" t="str">
        <f>TEST_DATA!A9033</f>
        <v>27AAAAA9033Z5</v>
      </c>
      <c r="B9033" t="str">
        <f>TEST_DATA!B9033</f>
        <v>Feb-2018</v>
      </c>
      <c r="C9033">
        <f>TEST_DATA!C9033</f>
        <v>42953</v>
      </c>
      <c r="D9033" t="str">
        <f>TEST_DATA!D9033</f>
        <v>NON-NIL</v>
      </c>
      <c r="E9033">
        <f>TEST_DATA!E9033</f>
        <v>2832</v>
      </c>
    </row>
    <row r="9034" spans="1:5" x14ac:dyDescent="0.55000000000000004">
      <c r="A9034" t="str">
        <f>TEST_DATA!A9034</f>
        <v>27AAAAA9034Z5</v>
      </c>
      <c r="B9034" t="str">
        <f>TEST_DATA!B9034</f>
        <v>Jul-2020</v>
      </c>
      <c r="C9034">
        <f>TEST_DATA!C9034</f>
        <v>44400</v>
      </c>
      <c r="D9034" t="str">
        <f>TEST_DATA!D9034</f>
        <v>NIL</v>
      </c>
      <c r="E9034">
        <f>TEST_DATA!E9034</f>
        <v>1792</v>
      </c>
    </row>
    <row r="9035" spans="1:5" x14ac:dyDescent="0.55000000000000004">
      <c r="A9035" t="str">
        <f>TEST_DATA!A9035</f>
        <v>27AAAAA9035Z5</v>
      </c>
      <c r="B9035" t="str">
        <f>TEST_DATA!B9035</f>
        <v>Mar-2020</v>
      </c>
      <c r="C9035">
        <f>TEST_DATA!C9035</f>
        <v>44676</v>
      </c>
      <c r="D9035" t="str">
        <f>TEST_DATA!D9035</f>
        <v>NON-NIL</v>
      </c>
      <c r="E9035">
        <f>TEST_DATA!E9035</f>
        <v>1111</v>
      </c>
    </row>
    <row r="9036" spans="1:5" x14ac:dyDescent="0.55000000000000004">
      <c r="A9036" t="str">
        <f>TEST_DATA!A9036</f>
        <v>27AAAAA9036Z5</v>
      </c>
      <c r="B9036" t="str">
        <f>TEST_DATA!B9036</f>
        <v>Aug-2018</v>
      </c>
      <c r="C9036">
        <f>TEST_DATA!C9036</f>
        <v>44462</v>
      </c>
      <c r="D9036" t="str">
        <f>TEST_DATA!D9036</f>
        <v>NON-NIL</v>
      </c>
      <c r="E9036">
        <f>TEST_DATA!E9036</f>
        <v>625</v>
      </c>
    </row>
    <row r="9037" spans="1:5" x14ac:dyDescent="0.55000000000000004">
      <c r="A9037" t="str">
        <f>TEST_DATA!A9037</f>
        <v>27AAAAA9037Z5</v>
      </c>
      <c r="B9037" t="str">
        <f>TEST_DATA!B9037</f>
        <v>Jun-2019</v>
      </c>
      <c r="C9037">
        <f>TEST_DATA!C9037</f>
        <v>45499</v>
      </c>
      <c r="D9037" t="str">
        <f>TEST_DATA!D9037</f>
        <v>NIL</v>
      </c>
      <c r="E9037">
        <f>TEST_DATA!E9037</f>
        <v>1471</v>
      </c>
    </row>
    <row r="9038" spans="1:5" x14ac:dyDescent="0.55000000000000004">
      <c r="A9038" t="str">
        <f>TEST_DATA!A9038</f>
        <v>27AAAAA9038Z5</v>
      </c>
      <c r="B9038" t="str">
        <f>TEST_DATA!B9038</f>
        <v>Oct-2017</v>
      </c>
      <c r="C9038">
        <f>TEST_DATA!C9038</f>
        <v>43985</v>
      </c>
      <c r="D9038" t="str">
        <f>TEST_DATA!D9038</f>
        <v>NON-NIL</v>
      </c>
      <c r="E9038">
        <f>TEST_DATA!E9038</f>
        <v>642</v>
      </c>
    </row>
    <row r="9039" spans="1:5" x14ac:dyDescent="0.55000000000000004">
      <c r="A9039" t="str">
        <f>TEST_DATA!A9039</f>
        <v>27AAAAA9039Z5</v>
      </c>
      <c r="B9039" t="str">
        <f>TEST_DATA!B9039</f>
        <v>Nov-2017</v>
      </c>
      <c r="C9039">
        <f>TEST_DATA!C9039</f>
        <v>43606</v>
      </c>
      <c r="D9039" t="str">
        <f>TEST_DATA!D9039</f>
        <v>NIL</v>
      </c>
      <c r="E9039">
        <f>TEST_DATA!E9039</f>
        <v>1852</v>
      </c>
    </row>
    <row r="9040" spans="1:5" x14ac:dyDescent="0.55000000000000004">
      <c r="A9040" t="str">
        <f>TEST_DATA!A9040</f>
        <v>27AAAAA9040Z5</v>
      </c>
      <c r="B9040" t="str">
        <f>TEST_DATA!B9040</f>
        <v>Mar-2021</v>
      </c>
      <c r="C9040">
        <f>TEST_DATA!C9040</f>
        <v>44806</v>
      </c>
      <c r="D9040" t="str">
        <f>TEST_DATA!D9040</f>
        <v>NON-NIL</v>
      </c>
      <c r="E9040">
        <f>TEST_DATA!E9040</f>
        <v>228</v>
      </c>
    </row>
    <row r="9041" spans="1:5" x14ac:dyDescent="0.55000000000000004">
      <c r="A9041" t="str">
        <f>TEST_DATA!A9041</f>
        <v>27AAAAA9041Z5</v>
      </c>
      <c r="B9041" t="str">
        <f>TEST_DATA!B9041</f>
        <v>Jul-2017</v>
      </c>
      <c r="C9041">
        <f>TEST_DATA!C9041</f>
        <v>43256</v>
      </c>
      <c r="D9041" t="str">
        <f>TEST_DATA!D9041</f>
        <v>NIL</v>
      </c>
      <c r="E9041">
        <f>TEST_DATA!E9041</f>
        <v>1023</v>
      </c>
    </row>
    <row r="9042" spans="1:5" x14ac:dyDescent="0.55000000000000004">
      <c r="A9042" t="str">
        <f>TEST_DATA!A9042</f>
        <v>27AAAAA9042Z5</v>
      </c>
      <c r="B9042" t="str">
        <f>TEST_DATA!B9042</f>
        <v>Aug-2017</v>
      </c>
      <c r="C9042">
        <f>TEST_DATA!C9042</f>
        <v>43182</v>
      </c>
      <c r="D9042" t="str">
        <f>TEST_DATA!D9042</f>
        <v>NIL</v>
      </c>
      <c r="E9042">
        <f>TEST_DATA!E9042</f>
        <v>1175</v>
      </c>
    </row>
    <row r="9043" spans="1:5" x14ac:dyDescent="0.55000000000000004">
      <c r="A9043" t="str">
        <f>TEST_DATA!A9043</f>
        <v>27AAAAA9043Z5</v>
      </c>
      <c r="B9043" t="str">
        <f>TEST_DATA!B9043</f>
        <v>Aug-2017</v>
      </c>
      <c r="C9043">
        <f>TEST_DATA!C9043</f>
        <v>43679</v>
      </c>
      <c r="D9043" t="str">
        <f>TEST_DATA!D9043</f>
        <v>NON-NIL</v>
      </c>
      <c r="E9043">
        <f>TEST_DATA!E9043</f>
        <v>1917</v>
      </c>
    </row>
    <row r="9044" spans="1:5" x14ac:dyDescent="0.55000000000000004">
      <c r="A9044" t="str">
        <f>TEST_DATA!A9044</f>
        <v>27AAAAA9044Z5</v>
      </c>
      <c r="B9044" t="str">
        <f>TEST_DATA!B9044</f>
        <v>Sep-2018</v>
      </c>
      <c r="C9044">
        <f>TEST_DATA!C9044</f>
        <v>43126</v>
      </c>
      <c r="D9044" t="str">
        <f>TEST_DATA!D9044</f>
        <v>NIL</v>
      </c>
      <c r="E9044">
        <f>TEST_DATA!E9044</f>
        <v>1472</v>
      </c>
    </row>
    <row r="9045" spans="1:5" x14ac:dyDescent="0.55000000000000004">
      <c r="A9045" t="str">
        <f>TEST_DATA!A9045</f>
        <v>27AAAAA9045Z5</v>
      </c>
      <c r="B9045" t="str">
        <f>TEST_DATA!B9045</f>
        <v>Sep-2017</v>
      </c>
      <c r="C9045">
        <f>TEST_DATA!C9045</f>
        <v>44267</v>
      </c>
      <c r="D9045" t="str">
        <f>TEST_DATA!D9045</f>
        <v>NON-NIL</v>
      </c>
      <c r="E9045">
        <f>TEST_DATA!E9045</f>
        <v>2124</v>
      </c>
    </row>
    <row r="9046" spans="1:5" x14ac:dyDescent="0.55000000000000004">
      <c r="A9046" t="str">
        <f>TEST_DATA!A9046</f>
        <v>27AAAAA9046Z5</v>
      </c>
      <c r="B9046" t="str">
        <f>TEST_DATA!B9046</f>
        <v>Mar-2020</v>
      </c>
      <c r="C9046">
        <f>TEST_DATA!C9046</f>
        <v>43920</v>
      </c>
      <c r="D9046" t="str">
        <f>TEST_DATA!D9046</f>
        <v>NON-NIL</v>
      </c>
      <c r="E9046">
        <f>TEST_DATA!E9046</f>
        <v>418</v>
      </c>
    </row>
    <row r="9047" spans="1:5" x14ac:dyDescent="0.55000000000000004">
      <c r="A9047" t="str">
        <f>TEST_DATA!A9047</f>
        <v>27AAAAA9047Z5</v>
      </c>
      <c r="B9047" t="str">
        <f>TEST_DATA!B9047</f>
        <v>Jun-2019</v>
      </c>
      <c r="C9047">
        <f>TEST_DATA!C9047</f>
        <v>44145</v>
      </c>
      <c r="D9047" t="str">
        <f>TEST_DATA!D9047</f>
        <v>NIL</v>
      </c>
      <c r="E9047">
        <f>TEST_DATA!E9047</f>
        <v>1379</v>
      </c>
    </row>
    <row r="9048" spans="1:5" x14ac:dyDescent="0.55000000000000004">
      <c r="A9048" t="str">
        <f>TEST_DATA!A9048</f>
        <v>27AAAAA9048Z5</v>
      </c>
      <c r="B9048" t="str">
        <f>TEST_DATA!B9048</f>
        <v>Sep-2017</v>
      </c>
      <c r="C9048">
        <f>TEST_DATA!C9048</f>
        <v>43762</v>
      </c>
      <c r="D9048" t="str">
        <f>TEST_DATA!D9048</f>
        <v>NON-NIL</v>
      </c>
      <c r="E9048">
        <f>TEST_DATA!E9048</f>
        <v>1766</v>
      </c>
    </row>
    <row r="9049" spans="1:5" x14ac:dyDescent="0.55000000000000004">
      <c r="A9049" t="str">
        <f>TEST_DATA!A9049</f>
        <v>27AAAAA9049Z5</v>
      </c>
      <c r="B9049" t="str">
        <f>TEST_DATA!B9049</f>
        <v>Aug-2017</v>
      </c>
      <c r="C9049">
        <f>TEST_DATA!C9049</f>
        <v>44370</v>
      </c>
      <c r="D9049" t="str">
        <f>TEST_DATA!D9049</f>
        <v>NIL</v>
      </c>
      <c r="E9049">
        <f>TEST_DATA!E9049</f>
        <v>736</v>
      </c>
    </row>
    <row r="9050" spans="1:5" x14ac:dyDescent="0.55000000000000004">
      <c r="A9050" t="str">
        <f>TEST_DATA!A9050</f>
        <v>27AAAAA9050Z5</v>
      </c>
      <c r="B9050" t="str">
        <f>TEST_DATA!B9050</f>
        <v>Jan-2018</v>
      </c>
      <c r="C9050">
        <f>TEST_DATA!C9050</f>
        <v>44103</v>
      </c>
      <c r="D9050" t="str">
        <f>TEST_DATA!D9050</f>
        <v>NIL</v>
      </c>
      <c r="E9050">
        <f>TEST_DATA!E9050</f>
        <v>1998</v>
      </c>
    </row>
    <row r="9051" spans="1:5" x14ac:dyDescent="0.55000000000000004">
      <c r="A9051" t="str">
        <f>TEST_DATA!A9051</f>
        <v>27AAAAA9051Z5</v>
      </c>
      <c r="B9051" t="str">
        <f>TEST_DATA!B9051</f>
        <v>Jun-2019</v>
      </c>
      <c r="C9051">
        <f>TEST_DATA!C9051</f>
        <v>45732</v>
      </c>
      <c r="D9051" t="str">
        <f>TEST_DATA!D9051</f>
        <v>NON-NIL</v>
      </c>
      <c r="E9051">
        <f>TEST_DATA!E9051</f>
        <v>1128</v>
      </c>
    </row>
    <row r="9052" spans="1:5" x14ac:dyDescent="0.55000000000000004">
      <c r="A9052" t="str">
        <f>TEST_DATA!A9052</f>
        <v>27AAAAA9052Z5</v>
      </c>
      <c r="B9052" t="str">
        <f>TEST_DATA!B9052</f>
        <v>Jan-2019</v>
      </c>
      <c r="C9052">
        <f>TEST_DATA!C9052</f>
        <v>43603</v>
      </c>
      <c r="D9052" t="str">
        <f>TEST_DATA!D9052</f>
        <v>NON-NIL</v>
      </c>
      <c r="E9052">
        <f>TEST_DATA!E9052</f>
        <v>793</v>
      </c>
    </row>
    <row r="9053" spans="1:5" x14ac:dyDescent="0.55000000000000004">
      <c r="A9053" t="str">
        <f>TEST_DATA!A9053</f>
        <v>27AAAAA9053Z5</v>
      </c>
      <c r="B9053" t="str">
        <f>TEST_DATA!B9053</f>
        <v>Aug-2018</v>
      </c>
      <c r="C9053">
        <f>TEST_DATA!C9053</f>
        <v>43086</v>
      </c>
      <c r="D9053" t="str">
        <f>TEST_DATA!D9053</f>
        <v>NON-NIL</v>
      </c>
      <c r="E9053">
        <f>TEST_DATA!E9053</f>
        <v>575</v>
      </c>
    </row>
    <row r="9054" spans="1:5" x14ac:dyDescent="0.55000000000000004">
      <c r="A9054" t="str">
        <f>TEST_DATA!A9054</f>
        <v>27AAAAA9054Z5</v>
      </c>
      <c r="B9054" t="str">
        <f>TEST_DATA!B9054</f>
        <v>Jan-2019</v>
      </c>
      <c r="C9054">
        <f>TEST_DATA!C9054</f>
        <v>45067</v>
      </c>
      <c r="D9054" t="str">
        <f>TEST_DATA!D9054</f>
        <v>NON-NIL</v>
      </c>
      <c r="E9054">
        <f>TEST_DATA!E9054</f>
        <v>2259</v>
      </c>
    </row>
    <row r="9055" spans="1:5" x14ac:dyDescent="0.55000000000000004">
      <c r="A9055" t="str">
        <f>TEST_DATA!A9055</f>
        <v>27AAAAA9055Z5</v>
      </c>
      <c r="B9055" t="str">
        <f>TEST_DATA!B9055</f>
        <v>Apr-2021</v>
      </c>
      <c r="C9055">
        <f>TEST_DATA!C9055</f>
        <v>44620</v>
      </c>
      <c r="D9055" t="str">
        <f>TEST_DATA!D9055</f>
        <v>NON-NIL</v>
      </c>
      <c r="E9055">
        <f>TEST_DATA!E9055</f>
        <v>1240</v>
      </c>
    </row>
    <row r="9056" spans="1:5" x14ac:dyDescent="0.55000000000000004">
      <c r="A9056" t="str">
        <f>TEST_DATA!A9056</f>
        <v>27AAAAA9056Z5</v>
      </c>
      <c r="B9056" t="str">
        <f>TEST_DATA!B9056</f>
        <v>Nov-2017</v>
      </c>
      <c r="C9056">
        <f>TEST_DATA!C9056</f>
        <v>42947</v>
      </c>
      <c r="D9056" t="str">
        <f>TEST_DATA!D9056</f>
        <v>NIL</v>
      </c>
      <c r="E9056">
        <f>TEST_DATA!E9056</f>
        <v>655</v>
      </c>
    </row>
    <row r="9057" spans="1:5" x14ac:dyDescent="0.55000000000000004">
      <c r="A9057" t="str">
        <f>TEST_DATA!A9057</f>
        <v>27AAAAA9057Z5</v>
      </c>
      <c r="B9057" t="str">
        <f>TEST_DATA!B9057</f>
        <v>Apr-2021</v>
      </c>
      <c r="C9057">
        <f>TEST_DATA!C9057</f>
        <v>44529</v>
      </c>
      <c r="D9057" t="str">
        <f>TEST_DATA!D9057</f>
        <v>NIL</v>
      </c>
      <c r="E9057">
        <f>TEST_DATA!E9057</f>
        <v>1028</v>
      </c>
    </row>
    <row r="9058" spans="1:5" x14ac:dyDescent="0.55000000000000004">
      <c r="A9058" t="str">
        <f>TEST_DATA!A9058</f>
        <v>27AAAAA9058Z5</v>
      </c>
      <c r="B9058" t="str">
        <f>TEST_DATA!B9058</f>
        <v>Dec-2019</v>
      </c>
      <c r="C9058">
        <f>TEST_DATA!C9058</f>
        <v>45695</v>
      </c>
      <c r="D9058" t="str">
        <f>TEST_DATA!D9058</f>
        <v>NON-NIL</v>
      </c>
      <c r="E9058">
        <f>TEST_DATA!E9058</f>
        <v>783</v>
      </c>
    </row>
    <row r="9059" spans="1:5" x14ac:dyDescent="0.55000000000000004">
      <c r="A9059" t="str">
        <f>TEST_DATA!A9059</f>
        <v>27AAAAA9059Z5</v>
      </c>
      <c r="B9059" t="str">
        <f>TEST_DATA!B9059</f>
        <v>Jan-2021</v>
      </c>
      <c r="C9059">
        <f>TEST_DATA!C9059</f>
        <v>43754</v>
      </c>
      <c r="D9059" t="str">
        <f>TEST_DATA!D9059</f>
        <v>NIL</v>
      </c>
      <c r="E9059">
        <f>TEST_DATA!E9059</f>
        <v>1890</v>
      </c>
    </row>
    <row r="9060" spans="1:5" x14ac:dyDescent="0.55000000000000004">
      <c r="A9060" t="str">
        <f>TEST_DATA!A9060</f>
        <v>27AAAAA9060Z5</v>
      </c>
      <c r="B9060" t="str">
        <f>TEST_DATA!B9060</f>
        <v>Feb-2018</v>
      </c>
      <c r="C9060">
        <f>TEST_DATA!C9060</f>
        <v>43863</v>
      </c>
      <c r="D9060" t="str">
        <f>TEST_DATA!D9060</f>
        <v>NIL</v>
      </c>
      <c r="E9060">
        <f>TEST_DATA!E9060</f>
        <v>1229</v>
      </c>
    </row>
    <row r="9061" spans="1:5" x14ac:dyDescent="0.55000000000000004">
      <c r="A9061" t="str">
        <f>TEST_DATA!A9061</f>
        <v>27AAAAA9061Z5</v>
      </c>
      <c r="B9061" t="str">
        <f>TEST_DATA!B9061</f>
        <v>Jun-2018</v>
      </c>
      <c r="C9061">
        <f>TEST_DATA!C9061</f>
        <v>43002</v>
      </c>
      <c r="D9061" t="str">
        <f>TEST_DATA!D9061</f>
        <v>NIL</v>
      </c>
      <c r="E9061">
        <f>TEST_DATA!E9061</f>
        <v>301</v>
      </c>
    </row>
    <row r="9062" spans="1:5" x14ac:dyDescent="0.55000000000000004">
      <c r="A9062" t="str">
        <f>TEST_DATA!A9062</f>
        <v>27AAAAA9062Z5</v>
      </c>
      <c r="B9062" t="str">
        <f>TEST_DATA!B9062</f>
        <v>Dec-2022</v>
      </c>
      <c r="C9062">
        <f>TEST_DATA!C9062</f>
        <v>43916</v>
      </c>
      <c r="D9062" t="str">
        <f>TEST_DATA!D9062</f>
        <v>NIL</v>
      </c>
      <c r="E9062">
        <f>TEST_DATA!E9062</f>
        <v>2848</v>
      </c>
    </row>
    <row r="9063" spans="1:5" x14ac:dyDescent="0.55000000000000004">
      <c r="A9063" t="str">
        <f>TEST_DATA!A9063</f>
        <v>27AAAAA9063Z5</v>
      </c>
      <c r="B9063" t="str">
        <f>TEST_DATA!B9063</f>
        <v>Nov-2017</v>
      </c>
      <c r="C9063">
        <f>TEST_DATA!C9063</f>
        <v>43695</v>
      </c>
      <c r="D9063" t="str">
        <f>TEST_DATA!D9063</f>
        <v>NON-NIL</v>
      </c>
      <c r="E9063">
        <f>TEST_DATA!E9063</f>
        <v>2585</v>
      </c>
    </row>
    <row r="9064" spans="1:5" x14ac:dyDescent="0.55000000000000004">
      <c r="A9064" t="str">
        <f>TEST_DATA!A9064</f>
        <v>27AAAAA9064Z5</v>
      </c>
      <c r="B9064" t="str">
        <f>TEST_DATA!B9064</f>
        <v>Mar-2020</v>
      </c>
      <c r="C9064">
        <f>TEST_DATA!C9064</f>
        <v>44080</v>
      </c>
      <c r="D9064" t="str">
        <f>TEST_DATA!D9064</f>
        <v>NON-NIL</v>
      </c>
      <c r="E9064">
        <f>TEST_DATA!E9064</f>
        <v>497</v>
      </c>
    </row>
    <row r="9065" spans="1:5" x14ac:dyDescent="0.55000000000000004">
      <c r="A9065" t="str">
        <f>TEST_DATA!A9065</f>
        <v>27AAAAA9065Z5</v>
      </c>
      <c r="B9065" t="str">
        <f>TEST_DATA!B9065</f>
        <v>Apr-2020</v>
      </c>
      <c r="C9065">
        <f>TEST_DATA!C9065</f>
        <v>44340</v>
      </c>
      <c r="D9065" t="str">
        <f>TEST_DATA!D9065</f>
        <v>NON-NIL</v>
      </c>
      <c r="E9065">
        <f>TEST_DATA!E9065</f>
        <v>26</v>
      </c>
    </row>
    <row r="9066" spans="1:5" x14ac:dyDescent="0.55000000000000004">
      <c r="A9066" t="str">
        <f>TEST_DATA!A9066</f>
        <v>27AAAAA9066Z5</v>
      </c>
      <c r="B9066" t="str">
        <f>TEST_DATA!B9066</f>
        <v>Jul-2018</v>
      </c>
      <c r="C9066">
        <f>TEST_DATA!C9066</f>
        <v>43091</v>
      </c>
      <c r="D9066" t="str">
        <f>TEST_DATA!D9066</f>
        <v>NIL</v>
      </c>
      <c r="E9066">
        <f>TEST_DATA!E9066</f>
        <v>1080</v>
      </c>
    </row>
    <row r="9067" spans="1:5" x14ac:dyDescent="0.55000000000000004">
      <c r="A9067" t="str">
        <f>TEST_DATA!A9067</f>
        <v>27AAAAA9067Z5</v>
      </c>
      <c r="B9067" t="str">
        <f>TEST_DATA!B9067</f>
        <v>Sep-2018</v>
      </c>
      <c r="C9067">
        <f>TEST_DATA!C9067</f>
        <v>44519</v>
      </c>
      <c r="D9067" t="str">
        <f>TEST_DATA!D9067</f>
        <v>NIL</v>
      </c>
      <c r="E9067">
        <f>TEST_DATA!E9067</f>
        <v>2053</v>
      </c>
    </row>
    <row r="9068" spans="1:5" x14ac:dyDescent="0.55000000000000004">
      <c r="A9068" t="str">
        <f>TEST_DATA!A9068</f>
        <v>27AAAAA9068Z5</v>
      </c>
      <c r="B9068" t="str">
        <f>TEST_DATA!B9068</f>
        <v>Mar-2020</v>
      </c>
      <c r="C9068">
        <f>TEST_DATA!C9068</f>
        <v>44085</v>
      </c>
      <c r="D9068" t="str">
        <f>TEST_DATA!D9068</f>
        <v>NIL</v>
      </c>
      <c r="E9068">
        <f>TEST_DATA!E9068</f>
        <v>2376</v>
      </c>
    </row>
    <row r="9069" spans="1:5" x14ac:dyDescent="0.55000000000000004">
      <c r="A9069" t="str">
        <f>TEST_DATA!A9069</f>
        <v>27AAAAA9069Z5</v>
      </c>
      <c r="B9069" t="str">
        <f>TEST_DATA!B9069</f>
        <v>Apr-2021</v>
      </c>
      <c r="C9069">
        <f>TEST_DATA!C9069</f>
        <v>43978</v>
      </c>
      <c r="D9069" t="str">
        <f>TEST_DATA!D9069</f>
        <v>NON-NIL</v>
      </c>
      <c r="E9069">
        <f>TEST_DATA!E9069</f>
        <v>1549</v>
      </c>
    </row>
    <row r="9070" spans="1:5" x14ac:dyDescent="0.55000000000000004">
      <c r="A9070" t="str">
        <f>TEST_DATA!A9070</f>
        <v>27AAAAA9070Z5</v>
      </c>
      <c r="B9070" t="str">
        <f>TEST_DATA!B9070</f>
        <v>Jun-2020</v>
      </c>
      <c r="C9070">
        <f>TEST_DATA!C9070</f>
        <v>44123</v>
      </c>
      <c r="D9070" t="str">
        <f>TEST_DATA!D9070</f>
        <v>NON-NIL</v>
      </c>
      <c r="E9070">
        <f>TEST_DATA!E9070</f>
        <v>2974</v>
      </c>
    </row>
    <row r="9071" spans="1:5" x14ac:dyDescent="0.55000000000000004">
      <c r="A9071" t="str">
        <f>TEST_DATA!A9071</f>
        <v>27AAAAA9071Z5</v>
      </c>
      <c r="B9071" t="str">
        <f>TEST_DATA!B9071</f>
        <v>Jan-2019</v>
      </c>
      <c r="C9071">
        <f>TEST_DATA!C9071</f>
        <v>45142</v>
      </c>
      <c r="D9071" t="str">
        <f>TEST_DATA!D9071</f>
        <v>NIL</v>
      </c>
      <c r="E9071">
        <f>TEST_DATA!E9071</f>
        <v>1185</v>
      </c>
    </row>
    <row r="9072" spans="1:5" x14ac:dyDescent="0.55000000000000004">
      <c r="A9072" t="str">
        <f>TEST_DATA!A9072</f>
        <v>27AAAAA9072Z5</v>
      </c>
      <c r="B9072" t="str">
        <f>TEST_DATA!B9072</f>
        <v>Sep-2017</v>
      </c>
      <c r="C9072">
        <f>TEST_DATA!C9072</f>
        <v>43009</v>
      </c>
      <c r="D9072" t="str">
        <f>TEST_DATA!D9072</f>
        <v>NIL</v>
      </c>
      <c r="E9072">
        <f>TEST_DATA!E9072</f>
        <v>1072</v>
      </c>
    </row>
    <row r="9073" spans="1:5" x14ac:dyDescent="0.55000000000000004">
      <c r="A9073" t="str">
        <f>TEST_DATA!A9073</f>
        <v>27AAAAA9073Z5</v>
      </c>
      <c r="B9073" t="str">
        <f>TEST_DATA!B9073</f>
        <v>Sep-2017</v>
      </c>
      <c r="C9073">
        <f>TEST_DATA!C9073</f>
        <v>43492</v>
      </c>
      <c r="D9073" t="str">
        <f>TEST_DATA!D9073</f>
        <v>NIL</v>
      </c>
      <c r="E9073">
        <f>TEST_DATA!E9073</f>
        <v>811</v>
      </c>
    </row>
    <row r="9074" spans="1:5" x14ac:dyDescent="0.55000000000000004">
      <c r="A9074" t="str">
        <f>TEST_DATA!A9074</f>
        <v>27AAAAA9074Z5</v>
      </c>
      <c r="B9074" t="str">
        <f>TEST_DATA!B9074</f>
        <v>Mar-2021</v>
      </c>
      <c r="C9074">
        <f>TEST_DATA!C9074</f>
        <v>43751</v>
      </c>
      <c r="D9074" t="str">
        <f>TEST_DATA!D9074</f>
        <v>NIL</v>
      </c>
      <c r="E9074">
        <f>TEST_DATA!E9074</f>
        <v>454</v>
      </c>
    </row>
    <row r="9075" spans="1:5" x14ac:dyDescent="0.55000000000000004">
      <c r="A9075" t="str">
        <f>TEST_DATA!A9075</f>
        <v>27AAAAA9075Z5</v>
      </c>
      <c r="B9075" t="str">
        <f>TEST_DATA!B9075</f>
        <v>Mar-2023</v>
      </c>
      <c r="C9075">
        <f>TEST_DATA!C9075</f>
        <v>45769</v>
      </c>
      <c r="D9075" t="str">
        <f>TEST_DATA!D9075</f>
        <v>NIL</v>
      </c>
      <c r="E9075">
        <f>TEST_DATA!E9075</f>
        <v>1278</v>
      </c>
    </row>
    <row r="9076" spans="1:5" x14ac:dyDescent="0.55000000000000004">
      <c r="A9076" t="str">
        <f>TEST_DATA!A9076</f>
        <v>27AAAAA9076Z5</v>
      </c>
      <c r="B9076" t="str">
        <f>TEST_DATA!B9076</f>
        <v>Jul-2017</v>
      </c>
      <c r="C9076">
        <f>TEST_DATA!C9076</f>
        <v>43617</v>
      </c>
      <c r="D9076" t="str">
        <f>TEST_DATA!D9076</f>
        <v>NIL</v>
      </c>
      <c r="E9076">
        <f>TEST_DATA!E9076</f>
        <v>2856</v>
      </c>
    </row>
    <row r="9077" spans="1:5" x14ac:dyDescent="0.55000000000000004">
      <c r="A9077" t="str">
        <f>TEST_DATA!A9077</f>
        <v>27AAAAA9077Z5</v>
      </c>
      <c r="B9077" t="str">
        <f>TEST_DATA!B9077</f>
        <v>Jul-2020</v>
      </c>
      <c r="C9077">
        <f>TEST_DATA!C9077</f>
        <v>44305</v>
      </c>
      <c r="D9077" t="str">
        <f>TEST_DATA!D9077</f>
        <v>NIL</v>
      </c>
      <c r="E9077">
        <f>TEST_DATA!E9077</f>
        <v>1289</v>
      </c>
    </row>
    <row r="9078" spans="1:5" x14ac:dyDescent="0.55000000000000004">
      <c r="A9078" t="str">
        <f>TEST_DATA!A9078</f>
        <v>27AAAAA9078Z5</v>
      </c>
      <c r="B9078" t="str">
        <f>TEST_DATA!B9078</f>
        <v>May-2020</v>
      </c>
      <c r="C9078">
        <f>TEST_DATA!C9078</f>
        <v>44068</v>
      </c>
      <c r="D9078" t="str">
        <f>TEST_DATA!D9078</f>
        <v>NON-NIL</v>
      </c>
      <c r="E9078">
        <f>TEST_DATA!E9078</f>
        <v>2405</v>
      </c>
    </row>
    <row r="9079" spans="1:5" x14ac:dyDescent="0.55000000000000004">
      <c r="A9079" t="str">
        <f>TEST_DATA!A9079</f>
        <v>27AAAAA9079Z5</v>
      </c>
      <c r="B9079" t="str">
        <f>TEST_DATA!B9079</f>
        <v>Jun-2020</v>
      </c>
      <c r="C9079">
        <f>TEST_DATA!C9079</f>
        <v>43835</v>
      </c>
      <c r="D9079" t="str">
        <f>TEST_DATA!D9079</f>
        <v>NON-NIL</v>
      </c>
      <c r="E9079">
        <f>TEST_DATA!E9079</f>
        <v>1277</v>
      </c>
    </row>
    <row r="9080" spans="1:5" x14ac:dyDescent="0.55000000000000004">
      <c r="A9080" t="str">
        <f>TEST_DATA!A9080</f>
        <v>27AAAAA9080Z5</v>
      </c>
      <c r="B9080" t="str">
        <f>TEST_DATA!B9080</f>
        <v>Sep-2018</v>
      </c>
      <c r="C9080">
        <f>TEST_DATA!C9080</f>
        <v>42995</v>
      </c>
      <c r="D9080" t="str">
        <f>TEST_DATA!D9080</f>
        <v>NON-NIL</v>
      </c>
      <c r="E9080">
        <f>TEST_DATA!E9080</f>
        <v>1696</v>
      </c>
    </row>
    <row r="9081" spans="1:5" x14ac:dyDescent="0.55000000000000004">
      <c r="A9081" t="str">
        <f>TEST_DATA!A9081</f>
        <v>27AAAAA9081Z5</v>
      </c>
      <c r="B9081" t="str">
        <f>TEST_DATA!B9081</f>
        <v>Jul-2017</v>
      </c>
      <c r="C9081">
        <f>TEST_DATA!C9081</f>
        <v>44089</v>
      </c>
      <c r="D9081" t="str">
        <f>TEST_DATA!D9081</f>
        <v>NON-NIL</v>
      </c>
      <c r="E9081">
        <f>TEST_DATA!E9081</f>
        <v>195</v>
      </c>
    </row>
    <row r="9082" spans="1:5" x14ac:dyDescent="0.55000000000000004">
      <c r="A9082" t="str">
        <f>TEST_DATA!A9082</f>
        <v>27AAAAA9082Z5</v>
      </c>
      <c r="B9082" t="str">
        <f>TEST_DATA!B9082</f>
        <v>Apr-2021</v>
      </c>
      <c r="C9082">
        <f>TEST_DATA!C9082</f>
        <v>45048</v>
      </c>
      <c r="D9082" t="str">
        <f>TEST_DATA!D9082</f>
        <v>NON-NIL</v>
      </c>
      <c r="E9082">
        <f>TEST_DATA!E9082</f>
        <v>409</v>
      </c>
    </row>
    <row r="9083" spans="1:5" x14ac:dyDescent="0.55000000000000004">
      <c r="A9083" t="str">
        <f>TEST_DATA!A9083</f>
        <v>27AAAAA9083Z5</v>
      </c>
      <c r="B9083" t="str">
        <f>TEST_DATA!B9083</f>
        <v>Apr-2018</v>
      </c>
      <c r="C9083">
        <f>TEST_DATA!C9083</f>
        <v>44269</v>
      </c>
      <c r="D9083" t="str">
        <f>TEST_DATA!D9083</f>
        <v>NON-NIL</v>
      </c>
      <c r="E9083">
        <f>TEST_DATA!E9083</f>
        <v>2156</v>
      </c>
    </row>
    <row r="9084" spans="1:5" x14ac:dyDescent="0.55000000000000004">
      <c r="A9084" t="str">
        <f>TEST_DATA!A9084</f>
        <v>27AAAAA9084Z5</v>
      </c>
      <c r="B9084" t="str">
        <f>TEST_DATA!B9084</f>
        <v>Jan-2018</v>
      </c>
      <c r="C9084">
        <f>TEST_DATA!C9084</f>
        <v>43058</v>
      </c>
      <c r="D9084" t="str">
        <f>TEST_DATA!D9084</f>
        <v>NIL</v>
      </c>
      <c r="E9084">
        <f>TEST_DATA!E9084</f>
        <v>810</v>
      </c>
    </row>
    <row r="9085" spans="1:5" x14ac:dyDescent="0.55000000000000004">
      <c r="A9085" t="str">
        <f>TEST_DATA!A9085</f>
        <v>27AAAAA9085Z5</v>
      </c>
      <c r="B9085" t="str">
        <f>TEST_DATA!B9085</f>
        <v>Oct-2017</v>
      </c>
      <c r="C9085">
        <f>TEST_DATA!C9085</f>
        <v>43454</v>
      </c>
      <c r="D9085" t="str">
        <f>TEST_DATA!D9085</f>
        <v>NON-NIL</v>
      </c>
      <c r="E9085">
        <f>TEST_DATA!E9085</f>
        <v>1596</v>
      </c>
    </row>
    <row r="9086" spans="1:5" x14ac:dyDescent="0.55000000000000004">
      <c r="A9086" t="str">
        <f>TEST_DATA!A9086</f>
        <v>27AAAAA9086Z5</v>
      </c>
      <c r="B9086" t="str">
        <f>TEST_DATA!B9086</f>
        <v>Mar-2018</v>
      </c>
      <c r="C9086">
        <f>TEST_DATA!C9086</f>
        <v>43561</v>
      </c>
      <c r="D9086" t="str">
        <f>TEST_DATA!D9086</f>
        <v>NON-NIL</v>
      </c>
      <c r="E9086">
        <f>TEST_DATA!E9086</f>
        <v>512</v>
      </c>
    </row>
    <row r="9087" spans="1:5" x14ac:dyDescent="0.55000000000000004">
      <c r="A9087" t="str">
        <f>TEST_DATA!A9087</f>
        <v>27AAAAA9087Z5</v>
      </c>
      <c r="B9087" t="str">
        <f>TEST_DATA!B9087</f>
        <v>Mar-2021</v>
      </c>
      <c r="C9087">
        <f>TEST_DATA!C9087</f>
        <v>44090</v>
      </c>
      <c r="D9087" t="str">
        <f>TEST_DATA!D9087</f>
        <v>NON-NIL</v>
      </c>
      <c r="E9087">
        <f>TEST_DATA!E9087</f>
        <v>1343</v>
      </c>
    </row>
    <row r="9088" spans="1:5" x14ac:dyDescent="0.55000000000000004">
      <c r="A9088" t="str">
        <f>TEST_DATA!A9088</f>
        <v>27AAAAA9088Z5</v>
      </c>
      <c r="B9088" t="str">
        <f>TEST_DATA!B9088</f>
        <v>Jun-2020</v>
      </c>
      <c r="C9088">
        <f>TEST_DATA!C9088</f>
        <v>44798</v>
      </c>
      <c r="D9088" t="str">
        <f>TEST_DATA!D9088</f>
        <v>NON-NIL</v>
      </c>
      <c r="E9088">
        <f>TEST_DATA!E9088</f>
        <v>223</v>
      </c>
    </row>
    <row r="9089" spans="1:5" x14ac:dyDescent="0.55000000000000004">
      <c r="A9089" t="str">
        <f>TEST_DATA!A9089</f>
        <v>27AAAAA9089Z5</v>
      </c>
      <c r="B9089" t="str">
        <f>TEST_DATA!B9089</f>
        <v>Sep-2018</v>
      </c>
      <c r="C9089">
        <f>TEST_DATA!C9089</f>
        <v>44403</v>
      </c>
      <c r="D9089" t="str">
        <f>TEST_DATA!D9089</f>
        <v>NON-NIL</v>
      </c>
      <c r="E9089">
        <f>TEST_DATA!E9089</f>
        <v>111</v>
      </c>
    </row>
    <row r="9090" spans="1:5" x14ac:dyDescent="0.55000000000000004">
      <c r="A9090" t="str">
        <f>TEST_DATA!A9090</f>
        <v>27AAAAA9090Z5</v>
      </c>
      <c r="B9090" t="str">
        <f>TEST_DATA!B9090</f>
        <v>Feb-2018</v>
      </c>
      <c r="C9090">
        <f>TEST_DATA!C9090</f>
        <v>43356</v>
      </c>
      <c r="D9090" t="str">
        <f>TEST_DATA!D9090</f>
        <v>NON-NIL</v>
      </c>
      <c r="E9090">
        <f>TEST_DATA!E9090</f>
        <v>1087</v>
      </c>
    </row>
    <row r="9091" spans="1:5" x14ac:dyDescent="0.55000000000000004">
      <c r="A9091" t="str">
        <f>TEST_DATA!A9091</f>
        <v>27AAAAA9091Z5</v>
      </c>
      <c r="B9091" t="str">
        <f>TEST_DATA!B9091</f>
        <v>Mar-2018</v>
      </c>
      <c r="C9091">
        <f>TEST_DATA!C9091</f>
        <v>44183</v>
      </c>
      <c r="D9091" t="str">
        <f>TEST_DATA!D9091</f>
        <v>NON-NIL</v>
      </c>
      <c r="E9091">
        <f>TEST_DATA!E9091</f>
        <v>15</v>
      </c>
    </row>
    <row r="9092" spans="1:5" x14ac:dyDescent="0.55000000000000004">
      <c r="A9092" t="str">
        <f>TEST_DATA!A9092</f>
        <v>27AAAAA9092Z5</v>
      </c>
      <c r="B9092" t="str">
        <f>TEST_DATA!B9092</f>
        <v>Apr-2020</v>
      </c>
      <c r="C9092">
        <f>TEST_DATA!C9092</f>
        <v>44301</v>
      </c>
      <c r="D9092" t="str">
        <f>TEST_DATA!D9092</f>
        <v>NIL</v>
      </c>
      <c r="E9092">
        <f>TEST_DATA!E9092</f>
        <v>2492</v>
      </c>
    </row>
    <row r="9093" spans="1:5" x14ac:dyDescent="0.55000000000000004">
      <c r="A9093" t="str">
        <f>TEST_DATA!A9093</f>
        <v>27AAAAA9093Z5</v>
      </c>
      <c r="B9093" t="str">
        <f>TEST_DATA!B9093</f>
        <v>Oct-2017</v>
      </c>
      <c r="C9093">
        <f>TEST_DATA!C9093</f>
        <v>44367</v>
      </c>
      <c r="D9093" t="str">
        <f>TEST_DATA!D9093</f>
        <v>NIL</v>
      </c>
      <c r="E9093">
        <f>TEST_DATA!E9093</f>
        <v>1610</v>
      </c>
    </row>
    <row r="9094" spans="1:5" x14ac:dyDescent="0.55000000000000004">
      <c r="A9094" t="str">
        <f>TEST_DATA!A9094</f>
        <v>27AAAAA9094Z5</v>
      </c>
      <c r="B9094" t="str">
        <f>TEST_DATA!B9094</f>
        <v>Jan-2021</v>
      </c>
      <c r="C9094">
        <f>TEST_DATA!C9094</f>
        <v>44649</v>
      </c>
      <c r="D9094" t="str">
        <f>TEST_DATA!D9094</f>
        <v>NIL</v>
      </c>
      <c r="E9094">
        <f>TEST_DATA!E9094</f>
        <v>761</v>
      </c>
    </row>
    <row r="9095" spans="1:5" x14ac:dyDescent="0.55000000000000004">
      <c r="A9095" t="str">
        <f>TEST_DATA!A9095</f>
        <v>27AAAAA9095Z5</v>
      </c>
      <c r="B9095" t="str">
        <f>TEST_DATA!B9095</f>
        <v>Dec-2022</v>
      </c>
      <c r="C9095">
        <f>TEST_DATA!C9095</f>
        <v>45122</v>
      </c>
      <c r="D9095" t="str">
        <f>TEST_DATA!D9095</f>
        <v>NON-NIL</v>
      </c>
      <c r="E9095">
        <f>TEST_DATA!E9095</f>
        <v>290</v>
      </c>
    </row>
    <row r="9096" spans="1:5" x14ac:dyDescent="0.55000000000000004">
      <c r="A9096" t="str">
        <f>TEST_DATA!A9096</f>
        <v>27AAAAA9096Z5</v>
      </c>
      <c r="B9096" t="str">
        <f>TEST_DATA!B9096</f>
        <v>Jul-2017</v>
      </c>
      <c r="C9096">
        <f>TEST_DATA!C9096</f>
        <v>43706</v>
      </c>
      <c r="D9096" t="str">
        <f>TEST_DATA!D9096</f>
        <v>NIL</v>
      </c>
      <c r="E9096">
        <f>TEST_DATA!E9096</f>
        <v>918</v>
      </c>
    </row>
    <row r="9097" spans="1:5" x14ac:dyDescent="0.55000000000000004">
      <c r="A9097" t="str">
        <f>TEST_DATA!A9097</f>
        <v>27AAAAA9097Z5</v>
      </c>
      <c r="B9097" t="str">
        <f>TEST_DATA!B9097</f>
        <v>Dec-2017</v>
      </c>
      <c r="C9097">
        <f>TEST_DATA!C9097</f>
        <v>43790</v>
      </c>
      <c r="D9097" t="str">
        <f>TEST_DATA!D9097</f>
        <v>NON-NIL</v>
      </c>
      <c r="E9097">
        <f>TEST_DATA!E9097</f>
        <v>1436</v>
      </c>
    </row>
    <row r="9098" spans="1:5" x14ac:dyDescent="0.55000000000000004">
      <c r="A9098" t="str">
        <f>TEST_DATA!A9098</f>
        <v>27AAAAA9098Z5</v>
      </c>
      <c r="B9098" t="str">
        <f>TEST_DATA!B9098</f>
        <v>Feb-2018</v>
      </c>
      <c r="C9098">
        <f>TEST_DATA!C9098</f>
        <v>43050</v>
      </c>
      <c r="D9098" t="str">
        <f>TEST_DATA!D9098</f>
        <v>NIL</v>
      </c>
      <c r="E9098">
        <f>TEST_DATA!E9098</f>
        <v>1424</v>
      </c>
    </row>
    <row r="9099" spans="1:5" x14ac:dyDescent="0.55000000000000004">
      <c r="A9099" t="str">
        <f>TEST_DATA!A9099</f>
        <v>27AAAAA9099Z5</v>
      </c>
      <c r="B9099" t="str">
        <f>TEST_DATA!B9099</f>
        <v>Jan-2019</v>
      </c>
      <c r="C9099">
        <f>TEST_DATA!C9099</f>
        <v>45090</v>
      </c>
      <c r="D9099" t="str">
        <f>TEST_DATA!D9099</f>
        <v>NIL</v>
      </c>
      <c r="E9099">
        <f>TEST_DATA!E9099</f>
        <v>358</v>
      </c>
    </row>
    <row r="9100" spans="1:5" x14ac:dyDescent="0.55000000000000004">
      <c r="A9100" t="str">
        <f>TEST_DATA!A9100</f>
        <v>27AAAAA9100Z5</v>
      </c>
      <c r="B9100" t="str">
        <f>TEST_DATA!B9100</f>
        <v>Jun-2020</v>
      </c>
      <c r="C9100">
        <f>TEST_DATA!C9100</f>
        <v>43905</v>
      </c>
      <c r="D9100" t="str">
        <f>TEST_DATA!D9100</f>
        <v>NIL</v>
      </c>
      <c r="E9100">
        <f>TEST_DATA!E9100</f>
        <v>109</v>
      </c>
    </row>
    <row r="9101" spans="1:5" x14ac:dyDescent="0.55000000000000004">
      <c r="A9101" t="str">
        <f>TEST_DATA!A9101</f>
        <v>27AAAAA9101Z5</v>
      </c>
      <c r="B9101" t="str">
        <f>TEST_DATA!B9101</f>
        <v>Dec-2019</v>
      </c>
      <c r="C9101">
        <f>TEST_DATA!C9101</f>
        <v>45129</v>
      </c>
      <c r="D9101" t="str">
        <f>TEST_DATA!D9101</f>
        <v>NON-NIL</v>
      </c>
      <c r="E9101">
        <f>TEST_DATA!E9101</f>
        <v>1209</v>
      </c>
    </row>
    <row r="9102" spans="1:5" x14ac:dyDescent="0.55000000000000004">
      <c r="A9102" t="str">
        <f>TEST_DATA!A9102</f>
        <v>27AAAAA9102Z5</v>
      </c>
      <c r="B9102" t="str">
        <f>TEST_DATA!B9102</f>
        <v>Aug-2018</v>
      </c>
      <c r="C9102">
        <f>TEST_DATA!C9102</f>
        <v>44528</v>
      </c>
      <c r="D9102" t="str">
        <f>TEST_DATA!D9102</f>
        <v>NIL</v>
      </c>
      <c r="E9102">
        <f>TEST_DATA!E9102</f>
        <v>678</v>
      </c>
    </row>
    <row r="9103" spans="1:5" x14ac:dyDescent="0.55000000000000004">
      <c r="A9103" t="str">
        <f>TEST_DATA!A9103</f>
        <v>27AAAAA9103Z5</v>
      </c>
      <c r="B9103" t="str">
        <f>TEST_DATA!B9103</f>
        <v>May-2018</v>
      </c>
      <c r="C9103">
        <f>TEST_DATA!C9103</f>
        <v>43379</v>
      </c>
      <c r="D9103" t="str">
        <f>TEST_DATA!D9103</f>
        <v>NON-NIL</v>
      </c>
      <c r="E9103">
        <f>TEST_DATA!E9103</f>
        <v>153</v>
      </c>
    </row>
    <row r="9104" spans="1:5" x14ac:dyDescent="0.55000000000000004">
      <c r="A9104" t="str">
        <f>TEST_DATA!A9104</f>
        <v>27AAAAA9104Z5</v>
      </c>
      <c r="B9104" t="str">
        <f>TEST_DATA!B9104</f>
        <v>Jul-2018</v>
      </c>
      <c r="C9104">
        <f>TEST_DATA!C9104</f>
        <v>43508</v>
      </c>
      <c r="D9104" t="str">
        <f>TEST_DATA!D9104</f>
        <v>NIL</v>
      </c>
      <c r="E9104">
        <f>TEST_DATA!E9104</f>
        <v>251</v>
      </c>
    </row>
    <row r="9105" spans="1:5" x14ac:dyDescent="0.55000000000000004">
      <c r="A9105" t="str">
        <f>TEST_DATA!A9105</f>
        <v>27AAAAA9105Z5</v>
      </c>
      <c r="B9105" t="str">
        <f>TEST_DATA!B9105</f>
        <v>Mar-2018</v>
      </c>
      <c r="C9105">
        <f>TEST_DATA!C9105</f>
        <v>43819</v>
      </c>
      <c r="D9105" t="str">
        <f>TEST_DATA!D9105</f>
        <v>NON-NIL</v>
      </c>
      <c r="E9105">
        <f>TEST_DATA!E9105</f>
        <v>2134</v>
      </c>
    </row>
    <row r="9106" spans="1:5" x14ac:dyDescent="0.55000000000000004">
      <c r="A9106" t="str">
        <f>TEST_DATA!A9106</f>
        <v>27AAAAA9106Z5</v>
      </c>
      <c r="B9106" t="str">
        <f>TEST_DATA!B9106</f>
        <v>Jul-2018</v>
      </c>
      <c r="C9106">
        <f>TEST_DATA!C9106</f>
        <v>43867</v>
      </c>
      <c r="D9106" t="str">
        <f>TEST_DATA!D9106</f>
        <v>NON-NIL</v>
      </c>
      <c r="E9106">
        <f>TEST_DATA!E9106</f>
        <v>2299</v>
      </c>
    </row>
    <row r="9107" spans="1:5" x14ac:dyDescent="0.55000000000000004">
      <c r="A9107" t="str">
        <f>TEST_DATA!A9107</f>
        <v>27AAAAA9107Z5</v>
      </c>
      <c r="B9107" t="str">
        <f>TEST_DATA!B9107</f>
        <v>Jul-2018</v>
      </c>
      <c r="C9107">
        <f>TEST_DATA!C9107</f>
        <v>44503</v>
      </c>
      <c r="D9107" t="str">
        <f>TEST_DATA!D9107</f>
        <v>NON-NIL</v>
      </c>
      <c r="E9107">
        <f>TEST_DATA!E9107</f>
        <v>2083</v>
      </c>
    </row>
    <row r="9108" spans="1:5" x14ac:dyDescent="0.55000000000000004">
      <c r="A9108" t="str">
        <f>TEST_DATA!A9108</f>
        <v>27AAAAA9108Z5</v>
      </c>
      <c r="B9108" t="str">
        <f>TEST_DATA!B9108</f>
        <v>Mar-2018</v>
      </c>
      <c r="C9108">
        <f>TEST_DATA!C9108</f>
        <v>43975</v>
      </c>
      <c r="D9108" t="str">
        <f>TEST_DATA!D9108</f>
        <v>NIL</v>
      </c>
      <c r="E9108">
        <f>TEST_DATA!E9108</f>
        <v>1914</v>
      </c>
    </row>
    <row r="9109" spans="1:5" x14ac:dyDescent="0.55000000000000004">
      <c r="A9109" t="str">
        <f>TEST_DATA!A9109</f>
        <v>27AAAAA9109Z5</v>
      </c>
      <c r="B9109" t="str">
        <f>TEST_DATA!B9109</f>
        <v>Jul-2017</v>
      </c>
      <c r="C9109">
        <f>TEST_DATA!C9109</f>
        <v>44247</v>
      </c>
      <c r="D9109" t="str">
        <f>TEST_DATA!D9109</f>
        <v>NIL</v>
      </c>
      <c r="E9109">
        <f>TEST_DATA!E9109</f>
        <v>1660</v>
      </c>
    </row>
    <row r="9110" spans="1:5" x14ac:dyDescent="0.55000000000000004">
      <c r="A9110" t="str">
        <f>TEST_DATA!A9110</f>
        <v>27AAAAA9110Z5</v>
      </c>
      <c r="B9110" t="str">
        <f>TEST_DATA!B9110</f>
        <v>Apr-2021</v>
      </c>
      <c r="C9110">
        <f>TEST_DATA!C9110</f>
        <v>43902</v>
      </c>
      <c r="D9110" t="str">
        <f>TEST_DATA!D9110</f>
        <v>NIL</v>
      </c>
      <c r="E9110">
        <f>TEST_DATA!E9110</f>
        <v>219</v>
      </c>
    </row>
    <row r="9111" spans="1:5" x14ac:dyDescent="0.55000000000000004">
      <c r="A9111" t="str">
        <f>TEST_DATA!A9111</f>
        <v>27AAAAA9111Z5</v>
      </c>
      <c r="B9111" t="str">
        <f>TEST_DATA!B9111</f>
        <v>Dec-2024</v>
      </c>
      <c r="C9111">
        <f>TEST_DATA!C9111</f>
        <v>45333</v>
      </c>
      <c r="D9111" t="str">
        <f>TEST_DATA!D9111</f>
        <v>NON-NIL</v>
      </c>
      <c r="E9111">
        <f>TEST_DATA!E9111</f>
        <v>16</v>
      </c>
    </row>
    <row r="9112" spans="1:5" x14ac:dyDescent="0.55000000000000004">
      <c r="A9112" t="str">
        <f>TEST_DATA!A9112</f>
        <v>27AAAAA9112Z5</v>
      </c>
      <c r="B9112" t="str">
        <f>TEST_DATA!B9112</f>
        <v>Mar-2021</v>
      </c>
      <c r="C9112">
        <f>TEST_DATA!C9112</f>
        <v>43760</v>
      </c>
      <c r="D9112" t="str">
        <f>TEST_DATA!D9112</f>
        <v>NON-NIL</v>
      </c>
      <c r="E9112">
        <f>TEST_DATA!E9112</f>
        <v>1991</v>
      </c>
    </row>
    <row r="9113" spans="1:5" x14ac:dyDescent="0.55000000000000004">
      <c r="A9113" t="str">
        <f>TEST_DATA!A9113</f>
        <v>27AAAAA9113Z5</v>
      </c>
      <c r="B9113" t="str">
        <f>TEST_DATA!B9113</f>
        <v>Mar-2021</v>
      </c>
      <c r="C9113">
        <f>TEST_DATA!C9113</f>
        <v>44374</v>
      </c>
      <c r="D9113" t="str">
        <f>TEST_DATA!D9113</f>
        <v>NON-NIL</v>
      </c>
      <c r="E9113">
        <f>TEST_DATA!E9113</f>
        <v>1282</v>
      </c>
    </row>
    <row r="9114" spans="1:5" x14ac:dyDescent="0.55000000000000004">
      <c r="A9114" t="str">
        <f>TEST_DATA!A9114</f>
        <v>27AAAAA9114Z5</v>
      </c>
      <c r="B9114" t="str">
        <f>TEST_DATA!B9114</f>
        <v>Mar-2020</v>
      </c>
      <c r="C9114">
        <f>TEST_DATA!C9114</f>
        <v>44465</v>
      </c>
      <c r="D9114" t="str">
        <f>TEST_DATA!D9114</f>
        <v>NIL</v>
      </c>
      <c r="E9114">
        <f>TEST_DATA!E9114</f>
        <v>827</v>
      </c>
    </row>
    <row r="9115" spans="1:5" x14ac:dyDescent="0.55000000000000004">
      <c r="A9115" t="str">
        <f>TEST_DATA!A9115</f>
        <v>27AAAAA9115Z5</v>
      </c>
      <c r="B9115" t="str">
        <f>TEST_DATA!B9115</f>
        <v>Dec-2022</v>
      </c>
      <c r="C9115">
        <f>TEST_DATA!C9115</f>
        <v>43617</v>
      </c>
      <c r="D9115" t="str">
        <f>TEST_DATA!D9115</f>
        <v>NON-NIL</v>
      </c>
      <c r="E9115">
        <f>TEST_DATA!E9115</f>
        <v>2161</v>
      </c>
    </row>
    <row r="9116" spans="1:5" x14ac:dyDescent="0.55000000000000004">
      <c r="A9116" t="str">
        <f>TEST_DATA!A9116</f>
        <v>27AAAAA9116Z5</v>
      </c>
      <c r="B9116" t="str">
        <f>TEST_DATA!B9116</f>
        <v>Oct-2017</v>
      </c>
      <c r="C9116">
        <f>TEST_DATA!C9116</f>
        <v>43143</v>
      </c>
      <c r="D9116" t="str">
        <f>TEST_DATA!D9116</f>
        <v>NIL</v>
      </c>
      <c r="E9116">
        <f>TEST_DATA!E9116</f>
        <v>1811</v>
      </c>
    </row>
    <row r="9117" spans="1:5" x14ac:dyDescent="0.55000000000000004">
      <c r="A9117" t="str">
        <f>TEST_DATA!A9117</f>
        <v>27AAAAA9117Z5</v>
      </c>
      <c r="B9117" t="str">
        <f>TEST_DATA!B9117</f>
        <v>Oct-2017</v>
      </c>
      <c r="C9117">
        <f>TEST_DATA!C9117</f>
        <v>44092</v>
      </c>
      <c r="D9117" t="str">
        <f>TEST_DATA!D9117</f>
        <v>NON-NIL</v>
      </c>
      <c r="E9117">
        <f>TEST_DATA!E9117</f>
        <v>213</v>
      </c>
    </row>
    <row r="9118" spans="1:5" x14ac:dyDescent="0.55000000000000004">
      <c r="A9118" t="str">
        <f>TEST_DATA!A9118</f>
        <v>27AAAAA9118Z5</v>
      </c>
      <c r="B9118" t="str">
        <f>TEST_DATA!B9118</f>
        <v>Aug-2017</v>
      </c>
      <c r="C9118">
        <f>TEST_DATA!C9118</f>
        <v>43486</v>
      </c>
      <c r="D9118" t="str">
        <f>TEST_DATA!D9118</f>
        <v>NIL</v>
      </c>
      <c r="E9118">
        <f>TEST_DATA!E9118</f>
        <v>697</v>
      </c>
    </row>
    <row r="9119" spans="1:5" x14ac:dyDescent="0.55000000000000004">
      <c r="A9119" t="str">
        <f>TEST_DATA!A9119</f>
        <v>27AAAAA9119Z5</v>
      </c>
      <c r="B9119" t="str">
        <f>TEST_DATA!B9119</f>
        <v>Sep-2017</v>
      </c>
      <c r="C9119">
        <f>TEST_DATA!C9119</f>
        <v>43465</v>
      </c>
      <c r="D9119" t="str">
        <f>TEST_DATA!D9119</f>
        <v>NON-NIL</v>
      </c>
      <c r="E9119">
        <f>TEST_DATA!E9119</f>
        <v>1203</v>
      </c>
    </row>
    <row r="9120" spans="1:5" x14ac:dyDescent="0.55000000000000004">
      <c r="A9120" t="str">
        <f>TEST_DATA!A9120</f>
        <v>27AAAAA9120Z5</v>
      </c>
      <c r="B9120" t="str">
        <f>TEST_DATA!B9120</f>
        <v>Sep-2017</v>
      </c>
      <c r="C9120">
        <f>TEST_DATA!C9120</f>
        <v>43647</v>
      </c>
      <c r="D9120" t="str">
        <f>TEST_DATA!D9120</f>
        <v>NON-NIL</v>
      </c>
      <c r="E9120">
        <f>TEST_DATA!E9120</f>
        <v>2424</v>
      </c>
    </row>
    <row r="9121" spans="1:5" x14ac:dyDescent="0.55000000000000004">
      <c r="A9121" t="str">
        <f>TEST_DATA!A9121</f>
        <v>27AAAAA9121Z5</v>
      </c>
      <c r="B9121" t="str">
        <f>TEST_DATA!B9121</f>
        <v>Aug-2018</v>
      </c>
      <c r="C9121">
        <f>TEST_DATA!C9121</f>
        <v>43833</v>
      </c>
      <c r="D9121" t="str">
        <f>TEST_DATA!D9121</f>
        <v>NON-NIL</v>
      </c>
      <c r="E9121">
        <f>TEST_DATA!E9121</f>
        <v>931</v>
      </c>
    </row>
    <row r="9122" spans="1:5" x14ac:dyDescent="0.55000000000000004">
      <c r="A9122" t="str">
        <f>TEST_DATA!A9122</f>
        <v>27AAAAA9122Z5</v>
      </c>
      <c r="B9122" t="str">
        <f>TEST_DATA!B9122</f>
        <v>Feb-2018</v>
      </c>
      <c r="C9122">
        <f>TEST_DATA!C9122</f>
        <v>43394</v>
      </c>
      <c r="D9122" t="str">
        <f>TEST_DATA!D9122</f>
        <v>NON-NIL</v>
      </c>
      <c r="E9122">
        <f>TEST_DATA!E9122</f>
        <v>2718</v>
      </c>
    </row>
    <row r="9123" spans="1:5" x14ac:dyDescent="0.55000000000000004">
      <c r="A9123" t="str">
        <f>TEST_DATA!A9123</f>
        <v>27AAAAA9123Z5</v>
      </c>
      <c r="B9123" t="str">
        <f>TEST_DATA!B9123</f>
        <v>Mar-2020</v>
      </c>
      <c r="C9123">
        <f>TEST_DATA!C9123</f>
        <v>44664</v>
      </c>
      <c r="D9123" t="str">
        <f>TEST_DATA!D9123</f>
        <v>NON-NIL</v>
      </c>
      <c r="E9123">
        <f>TEST_DATA!E9123</f>
        <v>1532</v>
      </c>
    </row>
    <row r="9124" spans="1:5" x14ac:dyDescent="0.55000000000000004">
      <c r="A9124" t="str">
        <f>TEST_DATA!A9124</f>
        <v>27AAAAA9124Z5</v>
      </c>
      <c r="B9124" t="str">
        <f>TEST_DATA!B9124</f>
        <v>Dec-2017</v>
      </c>
      <c r="C9124">
        <f>TEST_DATA!C9124</f>
        <v>43385</v>
      </c>
      <c r="D9124" t="str">
        <f>TEST_DATA!D9124</f>
        <v>NIL</v>
      </c>
      <c r="E9124">
        <f>TEST_DATA!E9124</f>
        <v>1966</v>
      </c>
    </row>
    <row r="9125" spans="1:5" x14ac:dyDescent="0.55000000000000004">
      <c r="A9125" t="str">
        <f>TEST_DATA!A9125</f>
        <v>27AAAAA9125Z5</v>
      </c>
      <c r="B9125" t="str">
        <f>TEST_DATA!B9125</f>
        <v>Mar-2021</v>
      </c>
      <c r="C9125">
        <f>TEST_DATA!C9125</f>
        <v>43574</v>
      </c>
      <c r="D9125" t="str">
        <f>TEST_DATA!D9125</f>
        <v>NIL</v>
      </c>
      <c r="E9125">
        <f>TEST_DATA!E9125</f>
        <v>2977</v>
      </c>
    </row>
    <row r="9126" spans="1:5" x14ac:dyDescent="0.55000000000000004">
      <c r="A9126" t="str">
        <f>TEST_DATA!A9126</f>
        <v>27AAAAA9126Z5</v>
      </c>
      <c r="B9126" t="str">
        <f>TEST_DATA!B9126</f>
        <v>Feb-2018</v>
      </c>
      <c r="C9126">
        <f>TEST_DATA!C9126</f>
        <v>43654</v>
      </c>
      <c r="D9126" t="str">
        <f>TEST_DATA!D9126</f>
        <v>NIL</v>
      </c>
      <c r="E9126">
        <f>TEST_DATA!E9126</f>
        <v>5</v>
      </c>
    </row>
    <row r="9127" spans="1:5" x14ac:dyDescent="0.55000000000000004">
      <c r="A9127" t="str">
        <f>TEST_DATA!A9127</f>
        <v>27AAAAA9127Z5</v>
      </c>
      <c r="B9127" t="str">
        <f>TEST_DATA!B9127</f>
        <v>Dec-2024</v>
      </c>
      <c r="C9127">
        <f>TEST_DATA!C9127</f>
        <v>43692</v>
      </c>
      <c r="D9127" t="str">
        <f>TEST_DATA!D9127</f>
        <v>NON-NIL</v>
      </c>
      <c r="E9127">
        <f>TEST_DATA!E9127</f>
        <v>2528</v>
      </c>
    </row>
    <row r="9128" spans="1:5" x14ac:dyDescent="0.55000000000000004">
      <c r="A9128" t="str">
        <f>TEST_DATA!A9128</f>
        <v>27AAAAA9128Z5</v>
      </c>
      <c r="B9128" t="str">
        <f>TEST_DATA!B9128</f>
        <v>Jul-2020</v>
      </c>
      <c r="C9128">
        <f>TEST_DATA!C9128</f>
        <v>44199</v>
      </c>
      <c r="D9128" t="str">
        <f>TEST_DATA!D9128</f>
        <v>NON-NIL</v>
      </c>
      <c r="E9128">
        <f>TEST_DATA!E9128</f>
        <v>2566</v>
      </c>
    </row>
    <row r="9129" spans="1:5" x14ac:dyDescent="0.55000000000000004">
      <c r="A9129" t="str">
        <f>TEST_DATA!A9129</f>
        <v>27AAAAA9129Z5</v>
      </c>
      <c r="B9129" t="str">
        <f>TEST_DATA!B9129</f>
        <v>Jul-2018</v>
      </c>
      <c r="C9129">
        <f>TEST_DATA!C9129</f>
        <v>43629</v>
      </c>
      <c r="D9129" t="str">
        <f>TEST_DATA!D9129</f>
        <v>NIL</v>
      </c>
      <c r="E9129">
        <f>TEST_DATA!E9129</f>
        <v>2946</v>
      </c>
    </row>
    <row r="9130" spans="1:5" x14ac:dyDescent="0.55000000000000004">
      <c r="A9130" t="str">
        <f>TEST_DATA!A9130</f>
        <v>27AAAAA9130Z5</v>
      </c>
      <c r="B9130" t="str">
        <f>TEST_DATA!B9130</f>
        <v>Jul-2018</v>
      </c>
      <c r="C9130">
        <f>TEST_DATA!C9130</f>
        <v>44386</v>
      </c>
      <c r="D9130" t="str">
        <f>TEST_DATA!D9130</f>
        <v>NIL</v>
      </c>
      <c r="E9130">
        <f>TEST_DATA!E9130</f>
        <v>2512</v>
      </c>
    </row>
    <row r="9131" spans="1:5" x14ac:dyDescent="0.55000000000000004">
      <c r="A9131" t="str">
        <f>TEST_DATA!A9131</f>
        <v>27AAAAA9131Z5</v>
      </c>
      <c r="B9131" t="str">
        <f>TEST_DATA!B9131</f>
        <v>Jan-2019</v>
      </c>
      <c r="C9131">
        <f>TEST_DATA!C9131</f>
        <v>45335</v>
      </c>
      <c r="D9131" t="str">
        <f>TEST_DATA!D9131</f>
        <v>NIL</v>
      </c>
      <c r="E9131">
        <f>TEST_DATA!E9131</f>
        <v>425</v>
      </c>
    </row>
    <row r="9132" spans="1:5" x14ac:dyDescent="0.55000000000000004">
      <c r="A9132" t="str">
        <f>TEST_DATA!A9132</f>
        <v>27AAAAA9132Z5</v>
      </c>
      <c r="B9132" t="str">
        <f>TEST_DATA!B9132</f>
        <v>Sep-2018</v>
      </c>
      <c r="C9132">
        <f>TEST_DATA!C9132</f>
        <v>43360</v>
      </c>
      <c r="D9132" t="str">
        <f>TEST_DATA!D9132</f>
        <v>NON-NIL</v>
      </c>
      <c r="E9132">
        <f>TEST_DATA!E9132</f>
        <v>1751</v>
      </c>
    </row>
    <row r="9133" spans="1:5" x14ac:dyDescent="0.55000000000000004">
      <c r="A9133" t="str">
        <f>TEST_DATA!A9133</f>
        <v>27AAAAA9133Z5</v>
      </c>
      <c r="B9133" t="str">
        <f>TEST_DATA!B9133</f>
        <v>Jul-2020</v>
      </c>
      <c r="C9133">
        <f>TEST_DATA!C9133</f>
        <v>44147</v>
      </c>
      <c r="D9133" t="str">
        <f>TEST_DATA!D9133</f>
        <v>NON-NIL</v>
      </c>
      <c r="E9133">
        <f>TEST_DATA!E9133</f>
        <v>2074</v>
      </c>
    </row>
    <row r="9134" spans="1:5" x14ac:dyDescent="0.55000000000000004">
      <c r="A9134" t="str">
        <f>TEST_DATA!A9134</f>
        <v>27AAAAA9134Z5</v>
      </c>
      <c r="B9134" t="str">
        <f>TEST_DATA!B9134</f>
        <v>Jan-2019</v>
      </c>
      <c r="C9134">
        <f>TEST_DATA!C9134</f>
        <v>44089</v>
      </c>
      <c r="D9134" t="str">
        <f>TEST_DATA!D9134</f>
        <v>NIL</v>
      </c>
      <c r="E9134">
        <f>TEST_DATA!E9134</f>
        <v>2294</v>
      </c>
    </row>
    <row r="9135" spans="1:5" x14ac:dyDescent="0.55000000000000004">
      <c r="A9135" t="str">
        <f>TEST_DATA!A9135</f>
        <v>27AAAAA9135Z5</v>
      </c>
      <c r="B9135" t="str">
        <f>TEST_DATA!B9135</f>
        <v>Dec-2022</v>
      </c>
      <c r="C9135">
        <f>TEST_DATA!C9135</f>
        <v>44895</v>
      </c>
      <c r="D9135" t="str">
        <f>TEST_DATA!D9135</f>
        <v>NON-NIL</v>
      </c>
      <c r="E9135">
        <f>TEST_DATA!E9135</f>
        <v>1349</v>
      </c>
    </row>
    <row r="9136" spans="1:5" x14ac:dyDescent="0.55000000000000004">
      <c r="A9136" t="str">
        <f>TEST_DATA!A9136</f>
        <v>27AAAAA9136Z5</v>
      </c>
      <c r="B9136" t="str">
        <f>TEST_DATA!B9136</f>
        <v>Jun-2020</v>
      </c>
      <c r="C9136">
        <f>TEST_DATA!C9136</f>
        <v>44329</v>
      </c>
      <c r="D9136" t="str">
        <f>TEST_DATA!D9136</f>
        <v>NIL</v>
      </c>
      <c r="E9136">
        <f>TEST_DATA!E9136</f>
        <v>1962</v>
      </c>
    </row>
    <row r="9137" spans="1:5" x14ac:dyDescent="0.55000000000000004">
      <c r="A9137" t="str">
        <f>TEST_DATA!A9137</f>
        <v>27AAAAA9137Z5</v>
      </c>
      <c r="B9137" t="str">
        <f>TEST_DATA!B9137</f>
        <v>Jun-2020</v>
      </c>
      <c r="C9137">
        <f>TEST_DATA!C9137</f>
        <v>44625</v>
      </c>
      <c r="D9137" t="str">
        <f>TEST_DATA!D9137</f>
        <v>NON-NIL</v>
      </c>
      <c r="E9137">
        <f>TEST_DATA!E9137</f>
        <v>2718</v>
      </c>
    </row>
    <row r="9138" spans="1:5" x14ac:dyDescent="0.55000000000000004">
      <c r="A9138" t="str">
        <f>TEST_DATA!A9138</f>
        <v>27AAAAA9138Z5</v>
      </c>
      <c r="B9138" t="str">
        <f>TEST_DATA!B9138</f>
        <v>Sep-2017</v>
      </c>
      <c r="C9138">
        <f>TEST_DATA!C9138</f>
        <v>43451</v>
      </c>
      <c r="D9138" t="str">
        <f>TEST_DATA!D9138</f>
        <v>NIL</v>
      </c>
      <c r="E9138">
        <f>TEST_DATA!E9138</f>
        <v>988</v>
      </c>
    </row>
    <row r="9139" spans="1:5" x14ac:dyDescent="0.55000000000000004">
      <c r="A9139" t="str">
        <f>TEST_DATA!A9139</f>
        <v>27AAAAA9139Z5</v>
      </c>
      <c r="B9139" t="str">
        <f>TEST_DATA!B9139</f>
        <v>Mar-2018</v>
      </c>
      <c r="C9139">
        <f>TEST_DATA!C9139</f>
        <v>44097</v>
      </c>
      <c r="D9139" t="str">
        <f>TEST_DATA!D9139</f>
        <v>NIL</v>
      </c>
      <c r="E9139">
        <f>TEST_DATA!E9139</f>
        <v>509</v>
      </c>
    </row>
    <row r="9140" spans="1:5" x14ac:dyDescent="0.55000000000000004">
      <c r="A9140" t="str">
        <f>TEST_DATA!A9140</f>
        <v>27AAAAA9140Z5</v>
      </c>
      <c r="B9140" t="str">
        <f>TEST_DATA!B9140</f>
        <v>Dec-2024</v>
      </c>
      <c r="C9140">
        <f>TEST_DATA!C9140</f>
        <v>45438</v>
      </c>
      <c r="D9140" t="str">
        <f>TEST_DATA!D9140</f>
        <v>NON-NIL</v>
      </c>
      <c r="E9140">
        <f>TEST_DATA!E9140</f>
        <v>1803</v>
      </c>
    </row>
    <row r="9141" spans="1:5" x14ac:dyDescent="0.55000000000000004">
      <c r="A9141" t="str">
        <f>TEST_DATA!A9141</f>
        <v>27AAAAA9141Z5</v>
      </c>
      <c r="B9141" t="str">
        <f>TEST_DATA!B9141</f>
        <v>Aug-2017</v>
      </c>
      <c r="C9141">
        <f>TEST_DATA!C9141</f>
        <v>43798</v>
      </c>
      <c r="D9141" t="str">
        <f>TEST_DATA!D9141</f>
        <v>NIL</v>
      </c>
      <c r="E9141">
        <f>TEST_DATA!E9141</f>
        <v>1496</v>
      </c>
    </row>
    <row r="9142" spans="1:5" x14ac:dyDescent="0.55000000000000004">
      <c r="A9142" t="str">
        <f>TEST_DATA!A9142</f>
        <v>27AAAAA9142Z5</v>
      </c>
      <c r="B9142" t="str">
        <f>TEST_DATA!B9142</f>
        <v>Jun-2018</v>
      </c>
      <c r="C9142">
        <f>TEST_DATA!C9142</f>
        <v>44062</v>
      </c>
      <c r="D9142" t="str">
        <f>TEST_DATA!D9142</f>
        <v>NIL</v>
      </c>
      <c r="E9142">
        <f>TEST_DATA!E9142</f>
        <v>1956</v>
      </c>
    </row>
    <row r="9143" spans="1:5" x14ac:dyDescent="0.55000000000000004">
      <c r="A9143" t="str">
        <f>TEST_DATA!A9143</f>
        <v>27AAAAA9143Z5</v>
      </c>
      <c r="B9143" t="str">
        <f>TEST_DATA!B9143</f>
        <v>Mar-2023</v>
      </c>
      <c r="C9143">
        <f>TEST_DATA!C9143</f>
        <v>44403</v>
      </c>
      <c r="D9143" t="str">
        <f>TEST_DATA!D9143</f>
        <v>NON-NIL</v>
      </c>
      <c r="E9143">
        <f>TEST_DATA!E9143</f>
        <v>1894</v>
      </c>
    </row>
    <row r="9144" spans="1:5" x14ac:dyDescent="0.55000000000000004">
      <c r="A9144" t="str">
        <f>TEST_DATA!A9144</f>
        <v>27AAAAA9144Z5</v>
      </c>
      <c r="B9144" t="str">
        <f>TEST_DATA!B9144</f>
        <v>Apr-2020</v>
      </c>
      <c r="C9144">
        <f>TEST_DATA!C9144</f>
        <v>44087</v>
      </c>
      <c r="D9144" t="str">
        <f>TEST_DATA!D9144</f>
        <v>NIL</v>
      </c>
      <c r="E9144">
        <f>TEST_DATA!E9144</f>
        <v>2937</v>
      </c>
    </row>
    <row r="9145" spans="1:5" x14ac:dyDescent="0.55000000000000004">
      <c r="A9145" t="str">
        <f>TEST_DATA!A9145</f>
        <v>27AAAAA9145Z5</v>
      </c>
      <c r="B9145" t="str">
        <f>TEST_DATA!B9145</f>
        <v>Oct-2017</v>
      </c>
      <c r="C9145">
        <f>TEST_DATA!C9145</f>
        <v>43712</v>
      </c>
      <c r="D9145" t="str">
        <f>TEST_DATA!D9145</f>
        <v>NIL</v>
      </c>
      <c r="E9145">
        <f>TEST_DATA!E9145</f>
        <v>1388</v>
      </c>
    </row>
    <row r="9146" spans="1:5" x14ac:dyDescent="0.55000000000000004">
      <c r="A9146" t="str">
        <f>TEST_DATA!A9146</f>
        <v>27AAAAA9146Z5</v>
      </c>
      <c r="B9146" t="str">
        <f>TEST_DATA!B9146</f>
        <v>Jul-2017</v>
      </c>
      <c r="C9146">
        <f>TEST_DATA!C9146</f>
        <v>43722</v>
      </c>
      <c r="D9146" t="str">
        <f>TEST_DATA!D9146</f>
        <v>NIL</v>
      </c>
      <c r="E9146">
        <f>TEST_DATA!E9146</f>
        <v>1519</v>
      </c>
    </row>
    <row r="9147" spans="1:5" x14ac:dyDescent="0.55000000000000004">
      <c r="A9147" t="str">
        <f>TEST_DATA!A9147</f>
        <v>27AAAAA9147Z5</v>
      </c>
      <c r="B9147" t="str">
        <f>TEST_DATA!B9147</f>
        <v>Mar-2021</v>
      </c>
      <c r="C9147">
        <f>TEST_DATA!C9147</f>
        <v>44543</v>
      </c>
      <c r="D9147" t="str">
        <f>TEST_DATA!D9147</f>
        <v>NON-NIL</v>
      </c>
      <c r="E9147">
        <f>TEST_DATA!E9147</f>
        <v>1238</v>
      </c>
    </row>
    <row r="9148" spans="1:5" x14ac:dyDescent="0.55000000000000004">
      <c r="A9148" t="str">
        <f>TEST_DATA!A9148</f>
        <v>27AAAAA9148Z5</v>
      </c>
      <c r="B9148" t="str">
        <f>TEST_DATA!B9148</f>
        <v>Jul-2018</v>
      </c>
      <c r="C9148">
        <f>TEST_DATA!C9148</f>
        <v>43344</v>
      </c>
      <c r="D9148" t="str">
        <f>TEST_DATA!D9148</f>
        <v>NON-NIL</v>
      </c>
      <c r="E9148">
        <f>TEST_DATA!E9148</f>
        <v>63</v>
      </c>
    </row>
    <row r="9149" spans="1:5" x14ac:dyDescent="0.55000000000000004">
      <c r="A9149" t="str">
        <f>TEST_DATA!A9149</f>
        <v>27AAAAA9149Z5</v>
      </c>
      <c r="B9149" t="str">
        <f>TEST_DATA!B9149</f>
        <v>Oct-2017</v>
      </c>
      <c r="C9149">
        <f>TEST_DATA!C9149</f>
        <v>43523</v>
      </c>
      <c r="D9149" t="str">
        <f>TEST_DATA!D9149</f>
        <v>NON-NIL</v>
      </c>
      <c r="E9149">
        <f>TEST_DATA!E9149</f>
        <v>1477</v>
      </c>
    </row>
    <row r="9150" spans="1:5" x14ac:dyDescent="0.55000000000000004">
      <c r="A9150" t="str">
        <f>TEST_DATA!A9150</f>
        <v>27AAAAA9150Z5</v>
      </c>
      <c r="B9150" t="str">
        <f>TEST_DATA!B9150</f>
        <v>Jan-2019</v>
      </c>
      <c r="C9150">
        <f>TEST_DATA!C9150</f>
        <v>43486</v>
      </c>
      <c r="D9150" t="str">
        <f>TEST_DATA!D9150</f>
        <v>NIL</v>
      </c>
      <c r="E9150">
        <f>TEST_DATA!E9150</f>
        <v>2454</v>
      </c>
    </row>
    <row r="9151" spans="1:5" x14ac:dyDescent="0.55000000000000004">
      <c r="A9151" t="str">
        <f>TEST_DATA!A9151</f>
        <v>27AAAAA9151Z5</v>
      </c>
      <c r="B9151" t="str">
        <f>TEST_DATA!B9151</f>
        <v>Jul-2020</v>
      </c>
      <c r="C9151">
        <f>TEST_DATA!C9151</f>
        <v>44317</v>
      </c>
      <c r="D9151" t="str">
        <f>TEST_DATA!D9151</f>
        <v>NON-NIL</v>
      </c>
      <c r="E9151">
        <f>TEST_DATA!E9151</f>
        <v>2709</v>
      </c>
    </row>
    <row r="9152" spans="1:5" x14ac:dyDescent="0.55000000000000004">
      <c r="A9152" t="str">
        <f>TEST_DATA!A9152</f>
        <v>27AAAAA9152Z5</v>
      </c>
      <c r="B9152" t="str">
        <f>TEST_DATA!B9152</f>
        <v>Nov-2017</v>
      </c>
      <c r="C9152">
        <f>TEST_DATA!C9152</f>
        <v>43890</v>
      </c>
      <c r="D9152" t="str">
        <f>TEST_DATA!D9152</f>
        <v>NIL</v>
      </c>
      <c r="E9152">
        <f>TEST_DATA!E9152</f>
        <v>2966</v>
      </c>
    </row>
    <row r="9153" spans="1:5" x14ac:dyDescent="0.55000000000000004">
      <c r="A9153" t="str">
        <f>TEST_DATA!A9153</f>
        <v>27AAAAA9153Z5</v>
      </c>
      <c r="B9153" t="str">
        <f>TEST_DATA!B9153</f>
        <v>Dec-2019</v>
      </c>
      <c r="C9153">
        <f>TEST_DATA!C9153</f>
        <v>45084</v>
      </c>
      <c r="D9153" t="str">
        <f>TEST_DATA!D9153</f>
        <v>NON-NIL</v>
      </c>
      <c r="E9153">
        <f>TEST_DATA!E9153</f>
        <v>2388</v>
      </c>
    </row>
    <row r="9154" spans="1:5" x14ac:dyDescent="0.55000000000000004">
      <c r="A9154" t="str">
        <f>TEST_DATA!A9154</f>
        <v>27AAAAA9154Z5</v>
      </c>
      <c r="B9154" t="str">
        <f>TEST_DATA!B9154</f>
        <v>Nov-2017</v>
      </c>
      <c r="C9154">
        <f>TEST_DATA!C9154</f>
        <v>43658</v>
      </c>
      <c r="D9154" t="str">
        <f>TEST_DATA!D9154</f>
        <v>NON-NIL</v>
      </c>
      <c r="E9154">
        <f>TEST_DATA!E9154</f>
        <v>516</v>
      </c>
    </row>
    <row r="9155" spans="1:5" x14ac:dyDescent="0.55000000000000004">
      <c r="A9155" t="str">
        <f>TEST_DATA!A9155</f>
        <v>27AAAAA9155Z5</v>
      </c>
      <c r="B9155" t="str">
        <f>TEST_DATA!B9155</f>
        <v>Apr-2020</v>
      </c>
      <c r="C9155">
        <f>TEST_DATA!C9155</f>
        <v>43943</v>
      </c>
      <c r="D9155" t="str">
        <f>TEST_DATA!D9155</f>
        <v>NON-NIL</v>
      </c>
      <c r="E9155">
        <f>TEST_DATA!E9155</f>
        <v>97</v>
      </c>
    </row>
    <row r="9156" spans="1:5" x14ac:dyDescent="0.55000000000000004">
      <c r="A9156" t="str">
        <f>TEST_DATA!A9156</f>
        <v>27AAAAA9156Z5</v>
      </c>
      <c r="B9156" t="str">
        <f>TEST_DATA!B9156</f>
        <v>Apr-2020</v>
      </c>
      <c r="C9156">
        <f>TEST_DATA!C9156</f>
        <v>44186</v>
      </c>
      <c r="D9156" t="str">
        <f>TEST_DATA!D9156</f>
        <v>NON-NIL</v>
      </c>
      <c r="E9156">
        <f>TEST_DATA!E9156</f>
        <v>219</v>
      </c>
    </row>
    <row r="9157" spans="1:5" x14ac:dyDescent="0.55000000000000004">
      <c r="A9157" t="str">
        <f>TEST_DATA!A9157</f>
        <v>27AAAAA9157Z5</v>
      </c>
      <c r="B9157" t="str">
        <f>TEST_DATA!B9157</f>
        <v>Jul-2017</v>
      </c>
      <c r="C9157">
        <f>TEST_DATA!C9157</f>
        <v>43015</v>
      </c>
      <c r="D9157" t="str">
        <f>TEST_DATA!D9157</f>
        <v>NIL</v>
      </c>
      <c r="E9157">
        <f>TEST_DATA!E9157</f>
        <v>455</v>
      </c>
    </row>
    <row r="9158" spans="1:5" x14ac:dyDescent="0.55000000000000004">
      <c r="A9158" t="str">
        <f>TEST_DATA!A9158</f>
        <v>27AAAAA9158Z5</v>
      </c>
      <c r="B9158" t="str">
        <f>TEST_DATA!B9158</f>
        <v>Jun-2020</v>
      </c>
      <c r="C9158">
        <f>TEST_DATA!C9158</f>
        <v>43944</v>
      </c>
      <c r="D9158" t="str">
        <f>TEST_DATA!D9158</f>
        <v>NIL</v>
      </c>
      <c r="E9158">
        <f>TEST_DATA!E9158</f>
        <v>1338</v>
      </c>
    </row>
    <row r="9159" spans="1:5" x14ac:dyDescent="0.55000000000000004">
      <c r="A9159" t="str">
        <f>TEST_DATA!A9159</f>
        <v>27AAAAA9159Z5</v>
      </c>
      <c r="B9159" t="str">
        <f>TEST_DATA!B9159</f>
        <v>Aug-2018</v>
      </c>
      <c r="C9159">
        <f>TEST_DATA!C9159</f>
        <v>43068</v>
      </c>
      <c r="D9159" t="str">
        <f>TEST_DATA!D9159</f>
        <v>NON-NIL</v>
      </c>
      <c r="E9159">
        <f>TEST_DATA!E9159</f>
        <v>288</v>
      </c>
    </row>
    <row r="9160" spans="1:5" x14ac:dyDescent="0.55000000000000004">
      <c r="A9160" t="str">
        <f>TEST_DATA!A9160</f>
        <v>27AAAAA9160Z5</v>
      </c>
      <c r="B9160" t="str">
        <f>TEST_DATA!B9160</f>
        <v>Mar-2023</v>
      </c>
      <c r="C9160">
        <f>TEST_DATA!C9160</f>
        <v>45348</v>
      </c>
      <c r="D9160" t="str">
        <f>TEST_DATA!D9160</f>
        <v>NIL</v>
      </c>
      <c r="E9160">
        <f>TEST_DATA!E9160</f>
        <v>2301</v>
      </c>
    </row>
    <row r="9161" spans="1:5" x14ac:dyDescent="0.55000000000000004">
      <c r="A9161" t="str">
        <f>TEST_DATA!A9161</f>
        <v>27AAAAA9161Z5</v>
      </c>
      <c r="B9161" t="str">
        <f>TEST_DATA!B9161</f>
        <v>Mar-2018</v>
      </c>
      <c r="C9161">
        <f>TEST_DATA!C9161</f>
        <v>44530</v>
      </c>
      <c r="D9161" t="str">
        <f>TEST_DATA!D9161</f>
        <v>NON-NIL</v>
      </c>
      <c r="E9161">
        <f>TEST_DATA!E9161</f>
        <v>2553</v>
      </c>
    </row>
    <row r="9162" spans="1:5" x14ac:dyDescent="0.55000000000000004">
      <c r="A9162" t="str">
        <f>TEST_DATA!A9162</f>
        <v>27AAAAA9162Z5</v>
      </c>
      <c r="B9162" t="str">
        <f>TEST_DATA!B9162</f>
        <v>May-2020</v>
      </c>
      <c r="C9162">
        <f>TEST_DATA!C9162</f>
        <v>44884</v>
      </c>
      <c r="D9162" t="str">
        <f>TEST_DATA!D9162</f>
        <v>NIL</v>
      </c>
      <c r="E9162">
        <f>TEST_DATA!E9162</f>
        <v>570</v>
      </c>
    </row>
    <row r="9163" spans="1:5" x14ac:dyDescent="0.55000000000000004">
      <c r="A9163" t="str">
        <f>TEST_DATA!A9163</f>
        <v>27AAAAA9163Z5</v>
      </c>
      <c r="B9163" t="str">
        <f>TEST_DATA!B9163</f>
        <v>Sep-2017</v>
      </c>
      <c r="C9163">
        <f>TEST_DATA!C9163</f>
        <v>43390</v>
      </c>
      <c r="D9163" t="str">
        <f>TEST_DATA!D9163</f>
        <v>NIL</v>
      </c>
      <c r="E9163">
        <f>TEST_DATA!E9163</f>
        <v>192</v>
      </c>
    </row>
    <row r="9164" spans="1:5" x14ac:dyDescent="0.55000000000000004">
      <c r="A9164" t="str">
        <f>TEST_DATA!A9164</f>
        <v>27AAAAA9164Z5</v>
      </c>
      <c r="B9164" t="str">
        <f>TEST_DATA!B9164</f>
        <v>Jun-2020</v>
      </c>
      <c r="C9164">
        <f>TEST_DATA!C9164</f>
        <v>44879</v>
      </c>
      <c r="D9164" t="str">
        <f>TEST_DATA!D9164</f>
        <v>NIL</v>
      </c>
      <c r="E9164">
        <f>TEST_DATA!E9164</f>
        <v>2683</v>
      </c>
    </row>
    <row r="9165" spans="1:5" x14ac:dyDescent="0.55000000000000004">
      <c r="A9165" t="str">
        <f>TEST_DATA!A9165</f>
        <v>27AAAAA9165Z5</v>
      </c>
      <c r="B9165" t="str">
        <f>TEST_DATA!B9165</f>
        <v>Mar-2021</v>
      </c>
      <c r="C9165">
        <f>TEST_DATA!C9165</f>
        <v>44257</v>
      </c>
      <c r="D9165" t="str">
        <f>TEST_DATA!D9165</f>
        <v>NON-NIL</v>
      </c>
      <c r="E9165">
        <f>TEST_DATA!E9165</f>
        <v>2727</v>
      </c>
    </row>
    <row r="9166" spans="1:5" x14ac:dyDescent="0.55000000000000004">
      <c r="A9166" t="str">
        <f>TEST_DATA!A9166</f>
        <v>27AAAAA9166Z5</v>
      </c>
      <c r="B9166" t="str">
        <f>TEST_DATA!B9166</f>
        <v>Jul-2018</v>
      </c>
      <c r="C9166">
        <f>TEST_DATA!C9166</f>
        <v>44090</v>
      </c>
      <c r="D9166" t="str">
        <f>TEST_DATA!D9166</f>
        <v>NIL</v>
      </c>
      <c r="E9166">
        <f>TEST_DATA!E9166</f>
        <v>2786</v>
      </c>
    </row>
    <row r="9167" spans="1:5" x14ac:dyDescent="0.55000000000000004">
      <c r="A9167" t="str">
        <f>TEST_DATA!A9167</f>
        <v>27AAAAA9167Z5</v>
      </c>
      <c r="B9167" t="str">
        <f>TEST_DATA!B9167</f>
        <v>Jun-2020</v>
      </c>
      <c r="C9167">
        <f>TEST_DATA!C9167</f>
        <v>44660</v>
      </c>
      <c r="D9167" t="str">
        <f>TEST_DATA!D9167</f>
        <v>NON-NIL</v>
      </c>
      <c r="E9167">
        <f>TEST_DATA!E9167</f>
        <v>523</v>
      </c>
    </row>
    <row r="9168" spans="1:5" x14ac:dyDescent="0.55000000000000004">
      <c r="A9168" t="str">
        <f>TEST_DATA!A9168</f>
        <v>27AAAAA9168Z5</v>
      </c>
      <c r="B9168" t="str">
        <f>TEST_DATA!B9168</f>
        <v>Jan-2018</v>
      </c>
      <c r="C9168">
        <f>TEST_DATA!C9168</f>
        <v>44297</v>
      </c>
      <c r="D9168" t="str">
        <f>TEST_DATA!D9168</f>
        <v>NIL</v>
      </c>
      <c r="E9168">
        <f>TEST_DATA!E9168</f>
        <v>301</v>
      </c>
    </row>
    <row r="9169" spans="1:5" x14ac:dyDescent="0.55000000000000004">
      <c r="A9169" t="str">
        <f>TEST_DATA!A9169</f>
        <v>27AAAAA9169Z5</v>
      </c>
      <c r="B9169" t="str">
        <f>TEST_DATA!B9169</f>
        <v>Aug-2017</v>
      </c>
      <c r="C9169">
        <f>TEST_DATA!C9169</f>
        <v>43457</v>
      </c>
      <c r="D9169" t="str">
        <f>TEST_DATA!D9169</f>
        <v>NON-NIL</v>
      </c>
      <c r="E9169">
        <f>TEST_DATA!E9169</f>
        <v>2167</v>
      </c>
    </row>
    <row r="9170" spans="1:5" x14ac:dyDescent="0.55000000000000004">
      <c r="A9170" t="str">
        <f>TEST_DATA!A9170</f>
        <v>27AAAAA9170Z5</v>
      </c>
      <c r="B9170" t="str">
        <f>TEST_DATA!B9170</f>
        <v>Oct-2017</v>
      </c>
      <c r="C9170">
        <f>TEST_DATA!C9170</f>
        <v>43928</v>
      </c>
      <c r="D9170" t="str">
        <f>TEST_DATA!D9170</f>
        <v>NON-NIL</v>
      </c>
      <c r="E9170">
        <f>TEST_DATA!E9170</f>
        <v>2572</v>
      </c>
    </row>
    <row r="9171" spans="1:5" x14ac:dyDescent="0.55000000000000004">
      <c r="A9171" t="str">
        <f>TEST_DATA!A9171</f>
        <v>27AAAAA9171Z5</v>
      </c>
      <c r="B9171" t="str">
        <f>TEST_DATA!B9171</f>
        <v>Feb-2018</v>
      </c>
      <c r="C9171">
        <f>TEST_DATA!C9171</f>
        <v>44203</v>
      </c>
      <c r="D9171" t="str">
        <f>TEST_DATA!D9171</f>
        <v>NON-NIL</v>
      </c>
      <c r="E9171">
        <f>TEST_DATA!E9171</f>
        <v>1486</v>
      </c>
    </row>
    <row r="9172" spans="1:5" x14ac:dyDescent="0.55000000000000004">
      <c r="A9172" t="str">
        <f>TEST_DATA!A9172</f>
        <v>27AAAAA9172Z5</v>
      </c>
      <c r="B9172" t="str">
        <f>TEST_DATA!B9172</f>
        <v>May-2018</v>
      </c>
      <c r="C9172">
        <f>TEST_DATA!C9172</f>
        <v>44401</v>
      </c>
      <c r="D9172" t="str">
        <f>TEST_DATA!D9172</f>
        <v>NON-NIL</v>
      </c>
      <c r="E9172">
        <f>TEST_DATA!E9172</f>
        <v>287</v>
      </c>
    </row>
    <row r="9173" spans="1:5" x14ac:dyDescent="0.55000000000000004">
      <c r="A9173" t="str">
        <f>TEST_DATA!A9173</f>
        <v>27AAAAA9173Z5</v>
      </c>
      <c r="B9173" t="str">
        <f>TEST_DATA!B9173</f>
        <v>Apr-2020</v>
      </c>
      <c r="C9173">
        <f>TEST_DATA!C9173</f>
        <v>44114</v>
      </c>
      <c r="D9173" t="str">
        <f>TEST_DATA!D9173</f>
        <v>NIL</v>
      </c>
      <c r="E9173">
        <f>TEST_DATA!E9173</f>
        <v>294</v>
      </c>
    </row>
    <row r="9174" spans="1:5" x14ac:dyDescent="0.55000000000000004">
      <c r="A9174" t="str">
        <f>TEST_DATA!A9174</f>
        <v>27AAAAA9174Z5</v>
      </c>
      <c r="B9174" t="str">
        <f>TEST_DATA!B9174</f>
        <v>Mar-2021</v>
      </c>
      <c r="C9174">
        <f>TEST_DATA!C9174</f>
        <v>45638</v>
      </c>
      <c r="D9174" t="str">
        <f>TEST_DATA!D9174</f>
        <v>NIL</v>
      </c>
      <c r="E9174">
        <f>TEST_DATA!E9174</f>
        <v>572</v>
      </c>
    </row>
    <row r="9175" spans="1:5" x14ac:dyDescent="0.55000000000000004">
      <c r="A9175" t="str">
        <f>TEST_DATA!A9175</f>
        <v>27AAAAA9175Z5</v>
      </c>
      <c r="B9175" t="str">
        <f>TEST_DATA!B9175</f>
        <v>Jul-2017</v>
      </c>
      <c r="C9175">
        <f>TEST_DATA!C9175</f>
        <v>43758</v>
      </c>
      <c r="D9175" t="str">
        <f>TEST_DATA!D9175</f>
        <v>NIL</v>
      </c>
      <c r="E9175">
        <f>TEST_DATA!E9175</f>
        <v>334</v>
      </c>
    </row>
    <row r="9176" spans="1:5" x14ac:dyDescent="0.55000000000000004">
      <c r="A9176" t="str">
        <f>TEST_DATA!A9176</f>
        <v>27AAAAA9176Z5</v>
      </c>
      <c r="B9176" t="str">
        <f>TEST_DATA!B9176</f>
        <v>Jun-2019</v>
      </c>
      <c r="C9176">
        <f>TEST_DATA!C9176</f>
        <v>45094</v>
      </c>
      <c r="D9176" t="str">
        <f>TEST_DATA!D9176</f>
        <v>NON-NIL</v>
      </c>
      <c r="E9176">
        <f>TEST_DATA!E9176</f>
        <v>497</v>
      </c>
    </row>
    <row r="9177" spans="1:5" x14ac:dyDescent="0.55000000000000004">
      <c r="A9177" t="str">
        <f>TEST_DATA!A9177</f>
        <v>27AAAAA9177Z5</v>
      </c>
      <c r="B9177" t="str">
        <f>TEST_DATA!B9177</f>
        <v>Jan-2019</v>
      </c>
      <c r="C9177">
        <f>TEST_DATA!C9177</f>
        <v>45040</v>
      </c>
      <c r="D9177" t="str">
        <f>TEST_DATA!D9177</f>
        <v>NIL</v>
      </c>
      <c r="E9177">
        <f>TEST_DATA!E9177</f>
        <v>2613</v>
      </c>
    </row>
    <row r="9178" spans="1:5" x14ac:dyDescent="0.55000000000000004">
      <c r="A9178" t="str">
        <f>TEST_DATA!A9178</f>
        <v>27AAAAA9178Z5</v>
      </c>
      <c r="B9178" t="str">
        <f>TEST_DATA!B9178</f>
        <v>May-2020</v>
      </c>
      <c r="C9178">
        <f>TEST_DATA!C9178</f>
        <v>44288</v>
      </c>
      <c r="D9178" t="str">
        <f>TEST_DATA!D9178</f>
        <v>NIL</v>
      </c>
      <c r="E9178">
        <f>TEST_DATA!E9178</f>
        <v>637</v>
      </c>
    </row>
    <row r="9179" spans="1:5" x14ac:dyDescent="0.55000000000000004">
      <c r="A9179" t="str">
        <f>TEST_DATA!A9179</f>
        <v>27AAAAA9179Z5</v>
      </c>
      <c r="B9179" t="str">
        <f>TEST_DATA!B9179</f>
        <v>Jan-2018</v>
      </c>
      <c r="C9179">
        <f>TEST_DATA!C9179</f>
        <v>43763</v>
      </c>
      <c r="D9179" t="str">
        <f>TEST_DATA!D9179</f>
        <v>NON-NIL</v>
      </c>
      <c r="E9179">
        <f>TEST_DATA!E9179</f>
        <v>476</v>
      </c>
    </row>
    <row r="9180" spans="1:5" x14ac:dyDescent="0.55000000000000004">
      <c r="A9180" t="str">
        <f>TEST_DATA!A9180</f>
        <v>27AAAAA9180Z5</v>
      </c>
      <c r="B9180" t="str">
        <f>TEST_DATA!B9180</f>
        <v>Jul-2020</v>
      </c>
      <c r="C9180">
        <f>TEST_DATA!C9180</f>
        <v>44724</v>
      </c>
      <c r="D9180" t="str">
        <f>TEST_DATA!D9180</f>
        <v>NIL</v>
      </c>
      <c r="E9180">
        <f>TEST_DATA!E9180</f>
        <v>1734</v>
      </c>
    </row>
    <row r="9181" spans="1:5" x14ac:dyDescent="0.55000000000000004">
      <c r="A9181" t="str">
        <f>TEST_DATA!A9181</f>
        <v>27AAAAA9181Z5</v>
      </c>
      <c r="B9181" t="str">
        <f>TEST_DATA!B9181</f>
        <v>Jun-2019</v>
      </c>
      <c r="C9181">
        <f>TEST_DATA!C9181</f>
        <v>44241</v>
      </c>
      <c r="D9181" t="str">
        <f>TEST_DATA!D9181</f>
        <v>NON-NIL</v>
      </c>
      <c r="E9181">
        <f>TEST_DATA!E9181</f>
        <v>2562</v>
      </c>
    </row>
    <row r="9182" spans="1:5" x14ac:dyDescent="0.55000000000000004">
      <c r="A9182" t="str">
        <f>TEST_DATA!A9182</f>
        <v>27AAAAA9182Z5</v>
      </c>
      <c r="B9182" t="str">
        <f>TEST_DATA!B9182</f>
        <v>Apr-2020</v>
      </c>
      <c r="C9182">
        <f>TEST_DATA!C9182</f>
        <v>43966</v>
      </c>
      <c r="D9182" t="str">
        <f>TEST_DATA!D9182</f>
        <v>NON-NIL</v>
      </c>
      <c r="E9182">
        <f>TEST_DATA!E9182</f>
        <v>1894</v>
      </c>
    </row>
    <row r="9183" spans="1:5" x14ac:dyDescent="0.55000000000000004">
      <c r="A9183" t="str">
        <f>TEST_DATA!A9183</f>
        <v>27AAAAA9183Z5</v>
      </c>
      <c r="B9183" t="str">
        <f>TEST_DATA!B9183</f>
        <v>Aug-2018</v>
      </c>
      <c r="C9183">
        <f>TEST_DATA!C9183</f>
        <v>43477</v>
      </c>
      <c r="D9183" t="str">
        <f>TEST_DATA!D9183</f>
        <v>NIL</v>
      </c>
      <c r="E9183">
        <f>TEST_DATA!E9183</f>
        <v>998</v>
      </c>
    </row>
    <row r="9184" spans="1:5" x14ac:dyDescent="0.55000000000000004">
      <c r="A9184" t="str">
        <f>TEST_DATA!A9184</f>
        <v>27AAAAA9184Z5</v>
      </c>
      <c r="B9184" t="str">
        <f>TEST_DATA!B9184</f>
        <v>Nov-2017</v>
      </c>
      <c r="C9184">
        <f>TEST_DATA!C9184</f>
        <v>43378</v>
      </c>
      <c r="D9184" t="str">
        <f>TEST_DATA!D9184</f>
        <v>NIL</v>
      </c>
      <c r="E9184">
        <f>TEST_DATA!E9184</f>
        <v>2920</v>
      </c>
    </row>
    <row r="9185" spans="1:5" x14ac:dyDescent="0.55000000000000004">
      <c r="A9185" t="str">
        <f>TEST_DATA!A9185</f>
        <v>27AAAAA9185Z5</v>
      </c>
      <c r="B9185" t="str">
        <f>TEST_DATA!B9185</f>
        <v>Mar-2020</v>
      </c>
      <c r="C9185">
        <f>TEST_DATA!C9185</f>
        <v>44298</v>
      </c>
      <c r="D9185" t="str">
        <f>TEST_DATA!D9185</f>
        <v>NIL</v>
      </c>
      <c r="E9185">
        <f>TEST_DATA!E9185</f>
        <v>1406</v>
      </c>
    </row>
    <row r="9186" spans="1:5" x14ac:dyDescent="0.55000000000000004">
      <c r="A9186" t="str">
        <f>TEST_DATA!A9186</f>
        <v>27AAAAA9186Z5</v>
      </c>
      <c r="B9186" t="str">
        <f>TEST_DATA!B9186</f>
        <v>Nov-2017</v>
      </c>
      <c r="C9186">
        <f>TEST_DATA!C9186</f>
        <v>44531</v>
      </c>
      <c r="D9186" t="str">
        <f>TEST_DATA!D9186</f>
        <v>NIL</v>
      </c>
      <c r="E9186">
        <f>TEST_DATA!E9186</f>
        <v>2601</v>
      </c>
    </row>
    <row r="9187" spans="1:5" x14ac:dyDescent="0.55000000000000004">
      <c r="A9187" t="str">
        <f>TEST_DATA!A9187</f>
        <v>27AAAAA9187Z5</v>
      </c>
      <c r="B9187" t="str">
        <f>TEST_DATA!B9187</f>
        <v>Apr-2021</v>
      </c>
      <c r="C9187">
        <f>TEST_DATA!C9187</f>
        <v>45113</v>
      </c>
      <c r="D9187" t="str">
        <f>TEST_DATA!D9187</f>
        <v>NON-NIL</v>
      </c>
      <c r="E9187">
        <f>TEST_DATA!E9187</f>
        <v>416</v>
      </c>
    </row>
    <row r="9188" spans="1:5" x14ac:dyDescent="0.55000000000000004">
      <c r="A9188" t="str">
        <f>TEST_DATA!A9188</f>
        <v>27AAAAA9188Z5</v>
      </c>
      <c r="B9188" t="str">
        <f>TEST_DATA!B9188</f>
        <v>Dec-2017</v>
      </c>
      <c r="C9188">
        <f>TEST_DATA!C9188</f>
        <v>43696</v>
      </c>
      <c r="D9188" t="str">
        <f>TEST_DATA!D9188</f>
        <v>NIL</v>
      </c>
      <c r="E9188">
        <f>TEST_DATA!E9188</f>
        <v>1888</v>
      </c>
    </row>
    <row r="9189" spans="1:5" x14ac:dyDescent="0.55000000000000004">
      <c r="A9189" t="str">
        <f>TEST_DATA!A9189</f>
        <v>27AAAAA9189Z5</v>
      </c>
      <c r="B9189" t="str">
        <f>TEST_DATA!B9189</f>
        <v>Mar-2020</v>
      </c>
      <c r="C9189">
        <f>TEST_DATA!C9189</f>
        <v>44363</v>
      </c>
      <c r="D9189" t="str">
        <f>TEST_DATA!D9189</f>
        <v>NON-NIL</v>
      </c>
      <c r="E9189">
        <f>TEST_DATA!E9189</f>
        <v>677</v>
      </c>
    </row>
    <row r="9190" spans="1:5" x14ac:dyDescent="0.55000000000000004">
      <c r="A9190" t="str">
        <f>TEST_DATA!A9190</f>
        <v>27AAAAA9190Z5</v>
      </c>
      <c r="B9190" t="str">
        <f>TEST_DATA!B9190</f>
        <v>Dec-2017</v>
      </c>
      <c r="C9190">
        <f>TEST_DATA!C9190</f>
        <v>43558</v>
      </c>
      <c r="D9190" t="str">
        <f>TEST_DATA!D9190</f>
        <v>NIL</v>
      </c>
      <c r="E9190">
        <f>TEST_DATA!E9190</f>
        <v>2518</v>
      </c>
    </row>
    <row r="9191" spans="1:5" x14ac:dyDescent="0.55000000000000004">
      <c r="A9191" t="str">
        <f>TEST_DATA!A9191</f>
        <v>27AAAAA9191Z5</v>
      </c>
      <c r="B9191" t="str">
        <f>TEST_DATA!B9191</f>
        <v>Aug-2018</v>
      </c>
      <c r="C9191">
        <f>TEST_DATA!C9191</f>
        <v>44476</v>
      </c>
      <c r="D9191" t="str">
        <f>TEST_DATA!D9191</f>
        <v>NON-NIL</v>
      </c>
      <c r="E9191">
        <f>TEST_DATA!E9191</f>
        <v>1057</v>
      </c>
    </row>
    <row r="9192" spans="1:5" x14ac:dyDescent="0.55000000000000004">
      <c r="A9192" t="str">
        <f>TEST_DATA!A9192</f>
        <v>27AAAAA9192Z5</v>
      </c>
      <c r="B9192" t="str">
        <f>TEST_DATA!B9192</f>
        <v>Apr-2018</v>
      </c>
      <c r="C9192">
        <f>TEST_DATA!C9192</f>
        <v>44317</v>
      </c>
      <c r="D9192" t="str">
        <f>TEST_DATA!D9192</f>
        <v>NON-NIL</v>
      </c>
      <c r="E9192">
        <f>TEST_DATA!E9192</f>
        <v>1017</v>
      </c>
    </row>
    <row r="9193" spans="1:5" x14ac:dyDescent="0.55000000000000004">
      <c r="A9193" t="str">
        <f>TEST_DATA!A9193</f>
        <v>27AAAAA9193Z5</v>
      </c>
      <c r="B9193" t="str">
        <f>TEST_DATA!B9193</f>
        <v>Apr-2021</v>
      </c>
      <c r="C9193">
        <f>TEST_DATA!C9193</f>
        <v>45224</v>
      </c>
      <c r="D9193" t="str">
        <f>TEST_DATA!D9193</f>
        <v>NON-NIL</v>
      </c>
      <c r="E9193">
        <f>TEST_DATA!E9193</f>
        <v>2077</v>
      </c>
    </row>
    <row r="9194" spans="1:5" x14ac:dyDescent="0.55000000000000004">
      <c r="A9194" t="str">
        <f>TEST_DATA!A9194</f>
        <v>27AAAAA9194Z5</v>
      </c>
      <c r="B9194" t="str">
        <f>TEST_DATA!B9194</f>
        <v>Oct-2017</v>
      </c>
      <c r="C9194">
        <f>TEST_DATA!C9194</f>
        <v>43154</v>
      </c>
      <c r="D9194" t="str">
        <f>TEST_DATA!D9194</f>
        <v>NIL</v>
      </c>
      <c r="E9194">
        <f>TEST_DATA!E9194</f>
        <v>1266</v>
      </c>
    </row>
    <row r="9195" spans="1:5" x14ac:dyDescent="0.55000000000000004">
      <c r="A9195" t="str">
        <f>TEST_DATA!A9195</f>
        <v>27AAAAA9195Z5</v>
      </c>
      <c r="B9195" t="str">
        <f>TEST_DATA!B9195</f>
        <v>Apr-2021</v>
      </c>
      <c r="C9195">
        <f>TEST_DATA!C9195</f>
        <v>44377</v>
      </c>
      <c r="D9195" t="str">
        <f>TEST_DATA!D9195</f>
        <v>NIL</v>
      </c>
      <c r="E9195">
        <f>TEST_DATA!E9195</f>
        <v>189</v>
      </c>
    </row>
    <row r="9196" spans="1:5" x14ac:dyDescent="0.55000000000000004">
      <c r="A9196" t="str">
        <f>TEST_DATA!A9196</f>
        <v>27AAAAA9196Z5</v>
      </c>
      <c r="B9196" t="str">
        <f>TEST_DATA!B9196</f>
        <v>Aug-2018</v>
      </c>
      <c r="C9196">
        <f>TEST_DATA!C9196</f>
        <v>43444</v>
      </c>
      <c r="D9196" t="str">
        <f>TEST_DATA!D9196</f>
        <v>NIL</v>
      </c>
      <c r="E9196">
        <f>TEST_DATA!E9196</f>
        <v>2478</v>
      </c>
    </row>
    <row r="9197" spans="1:5" x14ac:dyDescent="0.55000000000000004">
      <c r="A9197" t="str">
        <f>TEST_DATA!A9197</f>
        <v>27AAAAA9197Z5</v>
      </c>
      <c r="B9197" t="str">
        <f>TEST_DATA!B9197</f>
        <v>Jul-2020</v>
      </c>
      <c r="C9197">
        <f>TEST_DATA!C9197</f>
        <v>44895</v>
      </c>
      <c r="D9197" t="str">
        <f>TEST_DATA!D9197</f>
        <v>NIL</v>
      </c>
      <c r="E9197">
        <f>TEST_DATA!E9197</f>
        <v>1312</v>
      </c>
    </row>
    <row r="9198" spans="1:5" x14ac:dyDescent="0.55000000000000004">
      <c r="A9198" t="str">
        <f>TEST_DATA!A9198</f>
        <v>27AAAAA9198Z5</v>
      </c>
      <c r="B9198" t="str">
        <f>TEST_DATA!B9198</f>
        <v>Dec-2019</v>
      </c>
      <c r="C9198">
        <f>TEST_DATA!C9198</f>
        <v>45512</v>
      </c>
      <c r="D9198" t="str">
        <f>TEST_DATA!D9198</f>
        <v>NON-NIL</v>
      </c>
      <c r="E9198">
        <f>TEST_DATA!E9198</f>
        <v>348</v>
      </c>
    </row>
    <row r="9199" spans="1:5" x14ac:dyDescent="0.55000000000000004">
      <c r="A9199" t="str">
        <f>TEST_DATA!A9199</f>
        <v>27AAAAA9199Z5</v>
      </c>
      <c r="B9199" t="str">
        <f>TEST_DATA!B9199</f>
        <v>Dec-2022</v>
      </c>
      <c r="C9199">
        <f>TEST_DATA!C9199</f>
        <v>44833</v>
      </c>
      <c r="D9199" t="str">
        <f>TEST_DATA!D9199</f>
        <v>NON-NIL</v>
      </c>
      <c r="E9199">
        <f>TEST_DATA!E9199</f>
        <v>2877</v>
      </c>
    </row>
    <row r="9200" spans="1:5" x14ac:dyDescent="0.55000000000000004">
      <c r="A9200" t="str">
        <f>TEST_DATA!A9200</f>
        <v>27AAAAA9200Z5</v>
      </c>
      <c r="B9200" t="str">
        <f>TEST_DATA!B9200</f>
        <v>Jun-2018</v>
      </c>
      <c r="C9200">
        <f>TEST_DATA!C9200</f>
        <v>44133</v>
      </c>
      <c r="D9200" t="str">
        <f>TEST_DATA!D9200</f>
        <v>NIL</v>
      </c>
      <c r="E9200">
        <f>TEST_DATA!E9200</f>
        <v>2622</v>
      </c>
    </row>
    <row r="9201" spans="1:5" x14ac:dyDescent="0.55000000000000004">
      <c r="A9201" t="str">
        <f>TEST_DATA!A9201</f>
        <v>27AAAAA9201Z5</v>
      </c>
      <c r="B9201" t="str">
        <f>TEST_DATA!B9201</f>
        <v>Jul-2018</v>
      </c>
      <c r="C9201">
        <f>TEST_DATA!C9201</f>
        <v>44347</v>
      </c>
      <c r="D9201" t="str">
        <f>TEST_DATA!D9201</f>
        <v>NIL</v>
      </c>
      <c r="E9201">
        <f>TEST_DATA!E9201</f>
        <v>1972</v>
      </c>
    </row>
    <row r="9202" spans="1:5" x14ac:dyDescent="0.55000000000000004">
      <c r="A9202" t="str">
        <f>TEST_DATA!A9202</f>
        <v>27AAAAA9202Z5</v>
      </c>
      <c r="B9202" t="str">
        <f>TEST_DATA!B9202</f>
        <v>Jun-2019</v>
      </c>
      <c r="C9202">
        <f>TEST_DATA!C9202</f>
        <v>45427</v>
      </c>
      <c r="D9202" t="str">
        <f>TEST_DATA!D9202</f>
        <v>NIL</v>
      </c>
      <c r="E9202">
        <f>TEST_DATA!E9202</f>
        <v>703</v>
      </c>
    </row>
    <row r="9203" spans="1:5" x14ac:dyDescent="0.55000000000000004">
      <c r="A9203" t="str">
        <f>TEST_DATA!A9203</f>
        <v>27AAAAA9203Z5</v>
      </c>
      <c r="B9203" t="str">
        <f>TEST_DATA!B9203</f>
        <v>Jun-2018</v>
      </c>
      <c r="C9203">
        <f>TEST_DATA!C9203</f>
        <v>44098</v>
      </c>
      <c r="D9203" t="str">
        <f>TEST_DATA!D9203</f>
        <v>NIL</v>
      </c>
      <c r="E9203">
        <f>TEST_DATA!E9203</f>
        <v>2818</v>
      </c>
    </row>
    <row r="9204" spans="1:5" x14ac:dyDescent="0.55000000000000004">
      <c r="A9204" t="str">
        <f>TEST_DATA!A9204</f>
        <v>27AAAAA9204Z5</v>
      </c>
      <c r="B9204" t="str">
        <f>TEST_DATA!B9204</f>
        <v>Nov-2017</v>
      </c>
      <c r="C9204">
        <f>TEST_DATA!C9204</f>
        <v>42949</v>
      </c>
      <c r="D9204" t="str">
        <f>TEST_DATA!D9204</f>
        <v>NON-NIL</v>
      </c>
      <c r="E9204">
        <f>TEST_DATA!E9204</f>
        <v>1598</v>
      </c>
    </row>
    <row r="9205" spans="1:5" x14ac:dyDescent="0.55000000000000004">
      <c r="A9205" t="str">
        <f>TEST_DATA!A9205</f>
        <v>27AAAAA9205Z5</v>
      </c>
      <c r="B9205" t="str">
        <f>TEST_DATA!B9205</f>
        <v>Feb-2018</v>
      </c>
      <c r="C9205">
        <f>TEST_DATA!C9205</f>
        <v>43875</v>
      </c>
      <c r="D9205" t="str">
        <f>TEST_DATA!D9205</f>
        <v>NIL</v>
      </c>
      <c r="E9205">
        <f>TEST_DATA!E9205</f>
        <v>476</v>
      </c>
    </row>
    <row r="9206" spans="1:5" x14ac:dyDescent="0.55000000000000004">
      <c r="A9206" t="str">
        <f>TEST_DATA!A9206</f>
        <v>27AAAAA9206Z5</v>
      </c>
      <c r="B9206" t="str">
        <f>TEST_DATA!B9206</f>
        <v>Aug-2018</v>
      </c>
      <c r="C9206">
        <f>TEST_DATA!C9206</f>
        <v>43282</v>
      </c>
      <c r="D9206" t="str">
        <f>TEST_DATA!D9206</f>
        <v>NON-NIL</v>
      </c>
      <c r="E9206">
        <f>TEST_DATA!E9206</f>
        <v>1619</v>
      </c>
    </row>
    <row r="9207" spans="1:5" x14ac:dyDescent="0.55000000000000004">
      <c r="A9207" t="str">
        <f>TEST_DATA!A9207</f>
        <v>27AAAAA9207Z5</v>
      </c>
      <c r="B9207" t="str">
        <f>TEST_DATA!B9207</f>
        <v>Jan-2021</v>
      </c>
      <c r="C9207">
        <f>TEST_DATA!C9207</f>
        <v>43558</v>
      </c>
      <c r="D9207" t="str">
        <f>TEST_DATA!D9207</f>
        <v>NIL</v>
      </c>
      <c r="E9207">
        <f>TEST_DATA!E9207</f>
        <v>597</v>
      </c>
    </row>
    <row r="9208" spans="1:5" x14ac:dyDescent="0.55000000000000004">
      <c r="A9208" t="str">
        <f>TEST_DATA!A9208</f>
        <v>27AAAAA9208Z5</v>
      </c>
      <c r="B9208" t="str">
        <f>TEST_DATA!B9208</f>
        <v>Jan-2018</v>
      </c>
      <c r="C9208">
        <f>TEST_DATA!C9208</f>
        <v>43580</v>
      </c>
      <c r="D9208" t="str">
        <f>TEST_DATA!D9208</f>
        <v>NON-NIL</v>
      </c>
      <c r="E9208">
        <f>TEST_DATA!E9208</f>
        <v>296</v>
      </c>
    </row>
    <row r="9209" spans="1:5" x14ac:dyDescent="0.55000000000000004">
      <c r="A9209" t="str">
        <f>TEST_DATA!A9209</f>
        <v>27AAAAA9209Z5</v>
      </c>
      <c r="B9209" t="str">
        <f>TEST_DATA!B9209</f>
        <v>Dec-2019</v>
      </c>
      <c r="C9209">
        <f>TEST_DATA!C9209</f>
        <v>43493</v>
      </c>
      <c r="D9209" t="str">
        <f>TEST_DATA!D9209</f>
        <v>NIL</v>
      </c>
      <c r="E9209">
        <f>TEST_DATA!E9209</f>
        <v>2549</v>
      </c>
    </row>
    <row r="9210" spans="1:5" x14ac:dyDescent="0.55000000000000004">
      <c r="A9210" t="str">
        <f>TEST_DATA!A9210</f>
        <v>27AAAAA9210Z5</v>
      </c>
      <c r="B9210" t="str">
        <f>TEST_DATA!B9210</f>
        <v>May-2018</v>
      </c>
      <c r="C9210">
        <f>TEST_DATA!C9210</f>
        <v>43622</v>
      </c>
      <c r="D9210" t="str">
        <f>TEST_DATA!D9210</f>
        <v>NON-NIL</v>
      </c>
      <c r="E9210">
        <f>TEST_DATA!E9210</f>
        <v>1918</v>
      </c>
    </row>
    <row r="9211" spans="1:5" x14ac:dyDescent="0.55000000000000004">
      <c r="A9211" t="str">
        <f>TEST_DATA!A9211</f>
        <v>27AAAAA9211Z5</v>
      </c>
      <c r="B9211" t="str">
        <f>TEST_DATA!B9211</f>
        <v>Mar-2021</v>
      </c>
      <c r="C9211">
        <f>TEST_DATA!C9211</f>
        <v>44397</v>
      </c>
      <c r="D9211" t="str">
        <f>TEST_DATA!D9211</f>
        <v>NON-NIL</v>
      </c>
      <c r="E9211">
        <f>TEST_DATA!E9211</f>
        <v>2339</v>
      </c>
    </row>
    <row r="9212" spans="1:5" x14ac:dyDescent="0.55000000000000004">
      <c r="A9212" t="str">
        <f>TEST_DATA!A9212</f>
        <v>27AAAAA9212Z5</v>
      </c>
      <c r="B9212" t="str">
        <f>TEST_DATA!B9212</f>
        <v>Jan-2018</v>
      </c>
      <c r="C9212">
        <f>TEST_DATA!C9212</f>
        <v>44149</v>
      </c>
      <c r="D9212" t="str">
        <f>TEST_DATA!D9212</f>
        <v>NON-NIL</v>
      </c>
      <c r="E9212">
        <f>TEST_DATA!E9212</f>
        <v>2002</v>
      </c>
    </row>
    <row r="9213" spans="1:5" x14ac:dyDescent="0.55000000000000004">
      <c r="A9213" t="str">
        <f>TEST_DATA!A9213</f>
        <v>27AAAAA9213Z5</v>
      </c>
      <c r="B9213" t="str">
        <f>TEST_DATA!B9213</f>
        <v>Mar-2023</v>
      </c>
      <c r="C9213">
        <f>TEST_DATA!C9213</f>
        <v>45837</v>
      </c>
      <c r="D9213" t="str">
        <f>TEST_DATA!D9213</f>
        <v>NON-NIL</v>
      </c>
      <c r="E9213">
        <f>TEST_DATA!E9213</f>
        <v>1418</v>
      </c>
    </row>
    <row r="9214" spans="1:5" x14ac:dyDescent="0.55000000000000004">
      <c r="A9214" t="str">
        <f>TEST_DATA!A9214</f>
        <v>27AAAAA9214Z5</v>
      </c>
      <c r="B9214" t="str">
        <f>TEST_DATA!B9214</f>
        <v>Sep-2017</v>
      </c>
      <c r="C9214">
        <f>TEST_DATA!C9214</f>
        <v>44072</v>
      </c>
      <c r="D9214" t="str">
        <f>TEST_DATA!D9214</f>
        <v>NIL</v>
      </c>
      <c r="E9214">
        <f>TEST_DATA!E9214</f>
        <v>1043</v>
      </c>
    </row>
    <row r="9215" spans="1:5" x14ac:dyDescent="0.55000000000000004">
      <c r="A9215" t="str">
        <f>TEST_DATA!A9215</f>
        <v>27AAAAA9215Z5</v>
      </c>
      <c r="B9215" t="str">
        <f>TEST_DATA!B9215</f>
        <v>Jan-2021</v>
      </c>
      <c r="C9215">
        <f>TEST_DATA!C9215</f>
        <v>45315</v>
      </c>
      <c r="D9215" t="str">
        <f>TEST_DATA!D9215</f>
        <v>NON-NIL</v>
      </c>
      <c r="E9215">
        <f>TEST_DATA!E9215</f>
        <v>2794</v>
      </c>
    </row>
    <row r="9216" spans="1:5" x14ac:dyDescent="0.55000000000000004">
      <c r="A9216" t="str">
        <f>TEST_DATA!A9216</f>
        <v>27AAAAA9216Z5</v>
      </c>
      <c r="B9216" t="str">
        <f>TEST_DATA!B9216</f>
        <v>Sep-2017</v>
      </c>
      <c r="C9216">
        <f>TEST_DATA!C9216</f>
        <v>43067</v>
      </c>
      <c r="D9216" t="str">
        <f>TEST_DATA!D9216</f>
        <v>NIL</v>
      </c>
      <c r="E9216">
        <f>TEST_DATA!E9216</f>
        <v>1963</v>
      </c>
    </row>
    <row r="9217" spans="1:5" x14ac:dyDescent="0.55000000000000004">
      <c r="A9217" t="str">
        <f>TEST_DATA!A9217</f>
        <v>27AAAAA9217Z5</v>
      </c>
      <c r="B9217" t="str">
        <f>TEST_DATA!B9217</f>
        <v>Jun-2020</v>
      </c>
      <c r="C9217">
        <f>TEST_DATA!C9217</f>
        <v>44274</v>
      </c>
      <c r="D9217" t="str">
        <f>TEST_DATA!D9217</f>
        <v>NON-NIL</v>
      </c>
      <c r="E9217">
        <f>TEST_DATA!E9217</f>
        <v>1867</v>
      </c>
    </row>
    <row r="9218" spans="1:5" x14ac:dyDescent="0.55000000000000004">
      <c r="A9218" t="str">
        <f>TEST_DATA!A9218</f>
        <v>27AAAAA9218Z5</v>
      </c>
      <c r="B9218" t="str">
        <f>TEST_DATA!B9218</f>
        <v>Jul-2017</v>
      </c>
      <c r="C9218">
        <f>TEST_DATA!C9218</f>
        <v>43364</v>
      </c>
      <c r="D9218" t="str">
        <f>TEST_DATA!D9218</f>
        <v>NON-NIL</v>
      </c>
      <c r="E9218">
        <f>TEST_DATA!E9218</f>
        <v>607</v>
      </c>
    </row>
    <row r="9219" spans="1:5" x14ac:dyDescent="0.55000000000000004">
      <c r="A9219" t="str">
        <f>TEST_DATA!A9219</f>
        <v>27AAAAA9219Z5</v>
      </c>
      <c r="B9219" t="str">
        <f>TEST_DATA!B9219</f>
        <v>Jun-2018</v>
      </c>
      <c r="C9219">
        <f>TEST_DATA!C9219</f>
        <v>43721</v>
      </c>
      <c r="D9219" t="str">
        <f>TEST_DATA!D9219</f>
        <v>NON-NIL</v>
      </c>
      <c r="E9219">
        <f>TEST_DATA!E9219</f>
        <v>1765</v>
      </c>
    </row>
    <row r="9220" spans="1:5" x14ac:dyDescent="0.55000000000000004">
      <c r="A9220" t="str">
        <f>TEST_DATA!A9220</f>
        <v>27AAAAA9220Z5</v>
      </c>
      <c r="B9220" t="str">
        <f>TEST_DATA!B9220</f>
        <v>Oct-2017</v>
      </c>
      <c r="C9220">
        <f>TEST_DATA!C9220</f>
        <v>43128</v>
      </c>
      <c r="D9220" t="str">
        <f>TEST_DATA!D9220</f>
        <v>NIL</v>
      </c>
      <c r="E9220">
        <f>TEST_DATA!E9220</f>
        <v>1494</v>
      </c>
    </row>
    <row r="9221" spans="1:5" x14ac:dyDescent="0.55000000000000004">
      <c r="A9221" t="str">
        <f>TEST_DATA!A9221</f>
        <v>27AAAAA9221Z5</v>
      </c>
      <c r="B9221" t="str">
        <f>TEST_DATA!B9221</f>
        <v>Dec-2019</v>
      </c>
      <c r="C9221">
        <f>TEST_DATA!C9221</f>
        <v>44660</v>
      </c>
      <c r="D9221" t="str">
        <f>TEST_DATA!D9221</f>
        <v>NIL</v>
      </c>
      <c r="E9221">
        <f>TEST_DATA!E9221</f>
        <v>840</v>
      </c>
    </row>
    <row r="9222" spans="1:5" x14ac:dyDescent="0.55000000000000004">
      <c r="A9222" t="str">
        <f>TEST_DATA!A9222</f>
        <v>27AAAAA9222Z5</v>
      </c>
      <c r="B9222" t="str">
        <f>TEST_DATA!B9222</f>
        <v>Jan-2018</v>
      </c>
      <c r="C9222">
        <f>TEST_DATA!C9222</f>
        <v>42979</v>
      </c>
      <c r="D9222" t="str">
        <f>TEST_DATA!D9222</f>
        <v>NIL</v>
      </c>
      <c r="E9222">
        <f>TEST_DATA!E9222</f>
        <v>2224</v>
      </c>
    </row>
    <row r="9223" spans="1:5" x14ac:dyDescent="0.55000000000000004">
      <c r="A9223" t="str">
        <f>TEST_DATA!A9223</f>
        <v>27AAAAA9223Z5</v>
      </c>
      <c r="B9223" t="str">
        <f>TEST_DATA!B9223</f>
        <v>Aug-2017</v>
      </c>
      <c r="C9223">
        <f>TEST_DATA!C9223</f>
        <v>43657</v>
      </c>
      <c r="D9223" t="str">
        <f>TEST_DATA!D9223</f>
        <v>NON-NIL</v>
      </c>
      <c r="E9223">
        <f>TEST_DATA!E9223</f>
        <v>1020</v>
      </c>
    </row>
    <row r="9224" spans="1:5" x14ac:dyDescent="0.55000000000000004">
      <c r="A9224" t="str">
        <f>TEST_DATA!A9224</f>
        <v>27AAAAA9224Z5</v>
      </c>
      <c r="B9224" t="str">
        <f>TEST_DATA!B9224</f>
        <v>Aug-2017</v>
      </c>
      <c r="C9224">
        <f>TEST_DATA!C9224</f>
        <v>44438</v>
      </c>
      <c r="D9224" t="str">
        <f>TEST_DATA!D9224</f>
        <v>NIL</v>
      </c>
      <c r="E9224">
        <f>TEST_DATA!E9224</f>
        <v>2367</v>
      </c>
    </row>
    <row r="9225" spans="1:5" x14ac:dyDescent="0.55000000000000004">
      <c r="A9225" t="str">
        <f>TEST_DATA!A9225</f>
        <v>27AAAAA9225Z5</v>
      </c>
      <c r="B9225" t="str">
        <f>TEST_DATA!B9225</f>
        <v>Dec-2017</v>
      </c>
      <c r="C9225">
        <f>TEST_DATA!C9225</f>
        <v>44203</v>
      </c>
      <c r="D9225" t="str">
        <f>TEST_DATA!D9225</f>
        <v>NON-NIL</v>
      </c>
      <c r="E9225">
        <f>TEST_DATA!E9225</f>
        <v>2611</v>
      </c>
    </row>
    <row r="9226" spans="1:5" x14ac:dyDescent="0.55000000000000004">
      <c r="A9226" t="str">
        <f>TEST_DATA!A9226</f>
        <v>27AAAAA9226Z5</v>
      </c>
      <c r="B9226" t="str">
        <f>TEST_DATA!B9226</f>
        <v>Dec-2019</v>
      </c>
      <c r="C9226">
        <f>TEST_DATA!C9226</f>
        <v>44036</v>
      </c>
      <c r="D9226" t="str">
        <f>TEST_DATA!D9226</f>
        <v>NON-NIL</v>
      </c>
      <c r="E9226">
        <f>TEST_DATA!E9226</f>
        <v>914</v>
      </c>
    </row>
    <row r="9227" spans="1:5" x14ac:dyDescent="0.55000000000000004">
      <c r="A9227" t="str">
        <f>TEST_DATA!A9227</f>
        <v>27AAAAA9227Z5</v>
      </c>
      <c r="B9227" t="str">
        <f>TEST_DATA!B9227</f>
        <v>Dec-2022</v>
      </c>
      <c r="C9227">
        <f>TEST_DATA!C9227</f>
        <v>44167</v>
      </c>
      <c r="D9227" t="str">
        <f>TEST_DATA!D9227</f>
        <v>NIL</v>
      </c>
      <c r="E9227">
        <f>TEST_DATA!E9227</f>
        <v>161</v>
      </c>
    </row>
    <row r="9228" spans="1:5" x14ac:dyDescent="0.55000000000000004">
      <c r="A9228" t="str">
        <f>TEST_DATA!A9228</f>
        <v>27AAAAA9228Z5</v>
      </c>
      <c r="B9228" t="str">
        <f>TEST_DATA!B9228</f>
        <v>Dec-2024</v>
      </c>
      <c r="C9228">
        <f>TEST_DATA!C9228</f>
        <v>45398</v>
      </c>
      <c r="D9228" t="str">
        <f>TEST_DATA!D9228</f>
        <v>NIL</v>
      </c>
      <c r="E9228">
        <f>TEST_DATA!E9228</f>
        <v>340</v>
      </c>
    </row>
    <row r="9229" spans="1:5" x14ac:dyDescent="0.55000000000000004">
      <c r="A9229" t="str">
        <f>TEST_DATA!A9229</f>
        <v>27AAAAA9229Z5</v>
      </c>
      <c r="B9229" t="str">
        <f>TEST_DATA!B9229</f>
        <v>Dec-2017</v>
      </c>
      <c r="C9229">
        <f>TEST_DATA!C9229</f>
        <v>44220</v>
      </c>
      <c r="D9229" t="str">
        <f>TEST_DATA!D9229</f>
        <v>NON-NIL</v>
      </c>
      <c r="E9229">
        <f>TEST_DATA!E9229</f>
        <v>940</v>
      </c>
    </row>
    <row r="9230" spans="1:5" x14ac:dyDescent="0.55000000000000004">
      <c r="A9230" t="str">
        <f>TEST_DATA!A9230</f>
        <v>27AAAAA9230Z5</v>
      </c>
      <c r="B9230" t="str">
        <f>TEST_DATA!B9230</f>
        <v>Jul-2020</v>
      </c>
      <c r="C9230">
        <f>TEST_DATA!C9230</f>
        <v>44705</v>
      </c>
      <c r="D9230" t="str">
        <f>TEST_DATA!D9230</f>
        <v>NON-NIL</v>
      </c>
      <c r="E9230">
        <f>TEST_DATA!E9230</f>
        <v>1190</v>
      </c>
    </row>
    <row r="9231" spans="1:5" x14ac:dyDescent="0.55000000000000004">
      <c r="A9231" t="str">
        <f>TEST_DATA!A9231</f>
        <v>27AAAAA9231Z5</v>
      </c>
      <c r="B9231" t="str">
        <f>TEST_DATA!B9231</f>
        <v>Dec-2019</v>
      </c>
      <c r="C9231">
        <f>TEST_DATA!C9231</f>
        <v>44895</v>
      </c>
      <c r="D9231" t="str">
        <f>TEST_DATA!D9231</f>
        <v>NIL</v>
      </c>
      <c r="E9231">
        <f>TEST_DATA!E9231</f>
        <v>753</v>
      </c>
    </row>
    <row r="9232" spans="1:5" x14ac:dyDescent="0.55000000000000004">
      <c r="A9232" t="str">
        <f>TEST_DATA!A9232</f>
        <v>27AAAAA9232Z5</v>
      </c>
      <c r="B9232" t="str">
        <f>TEST_DATA!B9232</f>
        <v>Jul-2017</v>
      </c>
      <c r="C9232">
        <f>TEST_DATA!C9232</f>
        <v>43883</v>
      </c>
      <c r="D9232" t="str">
        <f>TEST_DATA!D9232</f>
        <v>NIL</v>
      </c>
      <c r="E9232">
        <f>TEST_DATA!E9232</f>
        <v>26</v>
      </c>
    </row>
    <row r="9233" spans="1:5" x14ac:dyDescent="0.55000000000000004">
      <c r="A9233" t="str">
        <f>TEST_DATA!A9233</f>
        <v>27AAAAA9233Z5</v>
      </c>
      <c r="B9233" t="str">
        <f>TEST_DATA!B9233</f>
        <v>Sep-2017</v>
      </c>
      <c r="C9233">
        <f>TEST_DATA!C9233</f>
        <v>44180</v>
      </c>
      <c r="D9233" t="str">
        <f>TEST_DATA!D9233</f>
        <v>NON-NIL</v>
      </c>
      <c r="E9233">
        <f>TEST_DATA!E9233</f>
        <v>92</v>
      </c>
    </row>
    <row r="9234" spans="1:5" x14ac:dyDescent="0.55000000000000004">
      <c r="A9234" t="str">
        <f>TEST_DATA!A9234</f>
        <v>27AAAAA9234Z5</v>
      </c>
      <c r="B9234" t="str">
        <f>TEST_DATA!B9234</f>
        <v>Dec-2019</v>
      </c>
      <c r="C9234">
        <f>TEST_DATA!C9234</f>
        <v>44674</v>
      </c>
      <c r="D9234" t="str">
        <f>TEST_DATA!D9234</f>
        <v>NIL</v>
      </c>
      <c r="E9234">
        <f>TEST_DATA!E9234</f>
        <v>2231</v>
      </c>
    </row>
    <row r="9235" spans="1:5" x14ac:dyDescent="0.55000000000000004">
      <c r="A9235" t="str">
        <f>TEST_DATA!A9235</f>
        <v>27AAAAA9235Z5</v>
      </c>
      <c r="B9235" t="str">
        <f>TEST_DATA!B9235</f>
        <v>Jan-2019</v>
      </c>
      <c r="C9235">
        <f>TEST_DATA!C9235</f>
        <v>44503</v>
      </c>
      <c r="D9235" t="str">
        <f>TEST_DATA!D9235</f>
        <v>NIL</v>
      </c>
      <c r="E9235">
        <f>TEST_DATA!E9235</f>
        <v>1789</v>
      </c>
    </row>
    <row r="9236" spans="1:5" x14ac:dyDescent="0.55000000000000004">
      <c r="A9236" t="str">
        <f>TEST_DATA!A9236</f>
        <v>27AAAAA9236Z5</v>
      </c>
      <c r="B9236" t="str">
        <f>TEST_DATA!B9236</f>
        <v>Jun-2020</v>
      </c>
      <c r="C9236">
        <f>TEST_DATA!C9236</f>
        <v>44159</v>
      </c>
      <c r="D9236" t="str">
        <f>TEST_DATA!D9236</f>
        <v>NON-NIL</v>
      </c>
      <c r="E9236">
        <f>TEST_DATA!E9236</f>
        <v>2511</v>
      </c>
    </row>
    <row r="9237" spans="1:5" x14ac:dyDescent="0.55000000000000004">
      <c r="A9237" t="str">
        <f>TEST_DATA!A9237</f>
        <v>27AAAAA9237Z5</v>
      </c>
      <c r="B9237" t="str">
        <f>TEST_DATA!B9237</f>
        <v>Jul-2020</v>
      </c>
      <c r="C9237">
        <f>TEST_DATA!C9237</f>
        <v>44711</v>
      </c>
      <c r="D9237" t="str">
        <f>TEST_DATA!D9237</f>
        <v>NIL</v>
      </c>
      <c r="E9237">
        <f>TEST_DATA!E9237</f>
        <v>2577</v>
      </c>
    </row>
    <row r="9238" spans="1:5" x14ac:dyDescent="0.55000000000000004">
      <c r="A9238" t="str">
        <f>TEST_DATA!A9238</f>
        <v>27AAAAA9238Z5</v>
      </c>
      <c r="B9238" t="str">
        <f>TEST_DATA!B9238</f>
        <v>Jul-2018</v>
      </c>
      <c r="C9238">
        <f>TEST_DATA!C9238</f>
        <v>43585</v>
      </c>
      <c r="D9238" t="str">
        <f>TEST_DATA!D9238</f>
        <v>NIL</v>
      </c>
      <c r="E9238">
        <f>TEST_DATA!E9238</f>
        <v>643</v>
      </c>
    </row>
    <row r="9239" spans="1:5" x14ac:dyDescent="0.55000000000000004">
      <c r="A9239" t="str">
        <f>TEST_DATA!A9239</f>
        <v>27AAAAA9239Z5</v>
      </c>
      <c r="B9239" t="str">
        <f>TEST_DATA!B9239</f>
        <v>Apr-2020</v>
      </c>
      <c r="C9239">
        <f>TEST_DATA!C9239</f>
        <v>44501</v>
      </c>
      <c r="D9239" t="str">
        <f>TEST_DATA!D9239</f>
        <v>NON-NIL</v>
      </c>
      <c r="E9239">
        <f>TEST_DATA!E9239</f>
        <v>1359</v>
      </c>
    </row>
    <row r="9240" spans="1:5" x14ac:dyDescent="0.55000000000000004">
      <c r="A9240" t="str">
        <f>TEST_DATA!A9240</f>
        <v>27AAAAA9240Z5</v>
      </c>
      <c r="B9240" t="str">
        <f>TEST_DATA!B9240</f>
        <v>Sep-2017</v>
      </c>
      <c r="C9240">
        <f>TEST_DATA!C9240</f>
        <v>44318</v>
      </c>
      <c r="D9240" t="str">
        <f>TEST_DATA!D9240</f>
        <v>NIL</v>
      </c>
      <c r="E9240">
        <f>TEST_DATA!E9240</f>
        <v>75</v>
      </c>
    </row>
    <row r="9241" spans="1:5" x14ac:dyDescent="0.55000000000000004">
      <c r="A9241" t="str">
        <f>TEST_DATA!A9241</f>
        <v>27AAAAA9241Z5</v>
      </c>
      <c r="B9241" t="str">
        <f>TEST_DATA!B9241</f>
        <v>Jun-2018</v>
      </c>
      <c r="C9241">
        <f>TEST_DATA!C9241</f>
        <v>43082</v>
      </c>
      <c r="D9241" t="str">
        <f>TEST_DATA!D9241</f>
        <v>NIL</v>
      </c>
      <c r="E9241">
        <f>TEST_DATA!E9241</f>
        <v>2102</v>
      </c>
    </row>
    <row r="9242" spans="1:5" x14ac:dyDescent="0.55000000000000004">
      <c r="A9242" t="str">
        <f>TEST_DATA!A9242</f>
        <v>27AAAAA9242Z5</v>
      </c>
      <c r="B9242" t="str">
        <f>TEST_DATA!B9242</f>
        <v>Oct-2017</v>
      </c>
      <c r="C9242">
        <f>TEST_DATA!C9242</f>
        <v>44183</v>
      </c>
      <c r="D9242" t="str">
        <f>TEST_DATA!D9242</f>
        <v>NON-NIL</v>
      </c>
      <c r="E9242">
        <f>TEST_DATA!E9242</f>
        <v>2820</v>
      </c>
    </row>
    <row r="9243" spans="1:5" x14ac:dyDescent="0.55000000000000004">
      <c r="A9243" t="str">
        <f>TEST_DATA!A9243</f>
        <v>27AAAAA9243Z5</v>
      </c>
      <c r="B9243" t="str">
        <f>TEST_DATA!B9243</f>
        <v>Dec-2019</v>
      </c>
      <c r="C9243">
        <f>TEST_DATA!C9243</f>
        <v>44514</v>
      </c>
      <c r="D9243" t="str">
        <f>TEST_DATA!D9243</f>
        <v>NIL</v>
      </c>
      <c r="E9243">
        <f>TEST_DATA!E9243</f>
        <v>527</v>
      </c>
    </row>
    <row r="9244" spans="1:5" x14ac:dyDescent="0.55000000000000004">
      <c r="A9244" t="str">
        <f>TEST_DATA!A9244</f>
        <v>27AAAAA9244Z5</v>
      </c>
      <c r="B9244" t="str">
        <f>TEST_DATA!B9244</f>
        <v>Aug-2018</v>
      </c>
      <c r="C9244">
        <f>TEST_DATA!C9244</f>
        <v>43271</v>
      </c>
      <c r="D9244" t="str">
        <f>TEST_DATA!D9244</f>
        <v>NIL</v>
      </c>
      <c r="E9244">
        <f>TEST_DATA!E9244</f>
        <v>2826</v>
      </c>
    </row>
    <row r="9245" spans="1:5" x14ac:dyDescent="0.55000000000000004">
      <c r="A9245" t="str">
        <f>TEST_DATA!A9245</f>
        <v>27AAAAA9245Z5</v>
      </c>
      <c r="B9245" t="str">
        <f>TEST_DATA!B9245</f>
        <v>Aug-2017</v>
      </c>
      <c r="C9245">
        <f>TEST_DATA!C9245</f>
        <v>42943</v>
      </c>
      <c r="D9245" t="str">
        <f>TEST_DATA!D9245</f>
        <v>NIL</v>
      </c>
      <c r="E9245">
        <f>TEST_DATA!E9245</f>
        <v>1713</v>
      </c>
    </row>
    <row r="9246" spans="1:5" x14ac:dyDescent="0.55000000000000004">
      <c r="A9246" t="str">
        <f>TEST_DATA!A9246</f>
        <v>27AAAAA9246Z5</v>
      </c>
      <c r="B9246" t="str">
        <f>TEST_DATA!B9246</f>
        <v>Jul-2017</v>
      </c>
      <c r="C9246">
        <f>TEST_DATA!C9246</f>
        <v>43842</v>
      </c>
      <c r="D9246" t="str">
        <f>TEST_DATA!D9246</f>
        <v>NIL</v>
      </c>
      <c r="E9246">
        <f>TEST_DATA!E9246</f>
        <v>528</v>
      </c>
    </row>
    <row r="9247" spans="1:5" x14ac:dyDescent="0.55000000000000004">
      <c r="A9247" t="str">
        <f>TEST_DATA!A9247</f>
        <v>27AAAAA9247Z5</v>
      </c>
      <c r="B9247" t="str">
        <f>TEST_DATA!B9247</f>
        <v>Feb-2018</v>
      </c>
      <c r="C9247">
        <f>TEST_DATA!C9247</f>
        <v>43576</v>
      </c>
      <c r="D9247" t="str">
        <f>TEST_DATA!D9247</f>
        <v>NIL</v>
      </c>
      <c r="E9247">
        <f>TEST_DATA!E9247</f>
        <v>628</v>
      </c>
    </row>
    <row r="9248" spans="1:5" x14ac:dyDescent="0.55000000000000004">
      <c r="A9248" t="str">
        <f>TEST_DATA!A9248</f>
        <v>27AAAAA9248Z5</v>
      </c>
      <c r="B9248" t="str">
        <f>TEST_DATA!B9248</f>
        <v>Jan-2021</v>
      </c>
      <c r="C9248">
        <f>TEST_DATA!C9248</f>
        <v>45632</v>
      </c>
      <c r="D9248" t="str">
        <f>TEST_DATA!D9248</f>
        <v>NIL</v>
      </c>
      <c r="E9248">
        <f>TEST_DATA!E9248</f>
        <v>11</v>
      </c>
    </row>
    <row r="9249" spans="1:5" x14ac:dyDescent="0.55000000000000004">
      <c r="A9249" t="str">
        <f>TEST_DATA!A9249</f>
        <v>27AAAAA9249Z5</v>
      </c>
      <c r="B9249" t="str">
        <f>TEST_DATA!B9249</f>
        <v>Jul-2020</v>
      </c>
      <c r="C9249">
        <f>TEST_DATA!C9249</f>
        <v>44220</v>
      </c>
      <c r="D9249" t="str">
        <f>TEST_DATA!D9249</f>
        <v>NON-NIL</v>
      </c>
      <c r="E9249">
        <f>TEST_DATA!E9249</f>
        <v>2796</v>
      </c>
    </row>
    <row r="9250" spans="1:5" x14ac:dyDescent="0.55000000000000004">
      <c r="A9250" t="str">
        <f>TEST_DATA!A9250</f>
        <v>27AAAAA9250Z5</v>
      </c>
      <c r="B9250" t="str">
        <f>TEST_DATA!B9250</f>
        <v>Nov-2017</v>
      </c>
      <c r="C9250">
        <f>TEST_DATA!C9250</f>
        <v>44227</v>
      </c>
      <c r="D9250" t="str">
        <f>TEST_DATA!D9250</f>
        <v>NON-NIL</v>
      </c>
      <c r="E9250">
        <f>TEST_DATA!E9250</f>
        <v>808</v>
      </c>
    </row>
    <row r="9251" spans="1:5" x14ac:dyDescent="0.55000000000000004">
      <c r="A9251" t="str">
        <f>TEST_DATA!A9251</f>
        <v>27AAAAA9251Z5</v>
      </c>
      <c r="B9251" t="str">
        <f>TEST_DATA!B9251</f>
        <v>Sep-2018</v>
      </c>
      <c r="C9251">
        <f>TEST_DATA!C9251</f>
        <v>43594</v>
      </c>
      <c r="D9251" t="str">
        <f>TEST_DATA!D9251</f>
        <v>NIL</v>
      </c>
      <c r="E9251">
        <f>TEST_DATA!E9251</f>
        <v>2352</v>
      </c>
    </row>
    <row r="9252" spans="1:5" x14ac:dyDescent="0.55000000000000004">
      <c r="A9252" t="str">
        <f>TEST_DATA!A9252</f>
        <v>27AAAAA9252Z5</v>
      </c>
      <c r="B9252" t="str">
        <f>TEST_DATA!B9252</f>
        <v>Oct-2017</v>
      </c>
      <c r="C9252">
        <f>TEST_DATA!C9252</f>
        <v>43807</v>
      </c>
      <c r="D9252" t="str">
        <f>TEST_DATA!D9252</f>
        <v>NIL</v>
      </c>
      <c r="E9252">
        <f>TEST_DATA!E9252</f>
        <v>2294</v>
      </c>
    </row>
    <row r="9253" spans="1:5" x14ac:dyDescent="0.55000000000000004">
      <c r="A9253" t="str">
        <f>TEST_DATA!A9253</f>
        <v>27AAAAA9253Z5</v>
      </c>
      <c r="B9253" t="str">
        <f>TEST_DATA!B9253</f>
        <v>Jul-2017</v>
      </c>
      <c r="C9253">
        <f>TEST_DATA!C9253</f>
        <v>44158</v>
      </c>
      <c r="D9253" t="str">
        <f>TEST_DATA!D9253</f>
        <v>NIL</v>
      </c>
      <c r="E9253">
        <f>TEST_DATA!E9253</f>
        <v>1702</v>
      </c>
    </row>
    <row r="9254" spans="1:5" x14ac:dyDescent="0.55000000000000004">
      <c r="A9254" t="str">
        <f>TEST_DATA!A9254</f>
        <v>27AAAAA9254Z5</v>
      </c>
      <c r="B9254" t="str">
        <f>TEST_DATA!B9254</f>
        <v>Jul-2020</v>
      </c>
      <c r="C9254">
        <f>TEST_DATA!C9254</f>
        <v>44642</v>
      </c>
      <c r="D9254" t="str">
        <f>TEST_DATA!D9254</f>
        <v>NIL</v>
      </c>
      <c r="E9254">
        <f>TEST_DATA!E9254</f>
        <v>507</v>
      </c>
    </row>
    <row r="9255" spans="1:5" x14ac:dyDescent="0.55000000000000004">
      <c r="A9255" t="str">
        <f>TEST_DATA!A9255</f>
        <v>27AAAAA9255Z5</v>
      </c>
      <c r="B9255" t="str">
        <f>TEST_DATA!B9255</f>
        <v>Aug-2018</v>
      </c>
      <c r="C9255">
        <f>TEST_DATA!C9255</f>
        <v>44523</v>
      </c>
      <c r="D9255" t="str">
        <f>TEST_DATA!D9255</f>
        <v>NON-NIL</v>
      </c>
      <c r="E9255">
        <f>TEST_DATA!E9255</f>
        <v>2507</v>
      </c>
    </row>
    <row r="9256" spans="1:5" x14ac:dyDescent="0.55000000000000004">
      <c r="A9256" t="str">
        <f>TEST_DATA!A9256</f>
        <v>27AAAAA9256Z5</v>
      </c>
      <c r="B9256" t="str">
        <f>TEST_DATA!B9256</f>
        <v>Jul-2018</v>
      </c>
      <c r="C9256">
        <f>TEST_DATA!C9256</f>
        <v>44060</v>
      </c>
      <c r="D9256" t="str">
        <f>TEST_DATA!D9256</f>
        <v>NON-NIL</v>
      </c>
      <c r="E9256">
        <f>TEST_DATA!E9256</f>
        <v>2977</v>
      </c>
    </row>
    <row r="9257" spans="1:5" x14ac:dyDescent="0.55000000000000004">
      <c r="A9257" t="str">
        <f>TEST_DATA!A9257</f>
        <v>27AAAAA9257Z5</v>
      </c>
      <c r="B9257" t="str">
        <f>TEST_DATA!B9257</f>
        <v>Jun-2020</v>
      </c>
      <c r="C9257">
        <f>TEST_DATA!C9257</f>
        <v>44456</v>
      </c>
      <c r="D9257" t="str">
        <f>TEST_DATA!D9257</f>
        <v>NIL</v>
      </c>
      <c r="E9257">
        <f>TEST_DATA!E9257</f>
        <v>1018</v>
      </c>
    </row>
    <row r="9258" spans="1:5" x14ac:dyDescent="0.55000000000000004">
      <c r="A9258" t="str">
        <f>TEST_DATA!A9258</f>
        <v>27AAAAA9258Z5</v>
      </c>
      <c r="B9258" t="str">
        <f>TEST_DATA!B9258</f>
        <v>Jan-2018</v>
      </c>
      <c r="C9258">
        <f>TEST_DATA!C9258</f>
        <v>42919</v>
      </c>
      <c r="D9258" t="str">
        <f>TEST_DATA!D9258</f>
        <v>NON-NIL</v>
      </c>
      <c r="E9258">
        <f>TEST_DATA!E9258</f>
        <v>1531</v>
      </c>
    </row>
    <row r="9259" spans="1:5" x14ac:dyDescent="0.55000000000000004">
      <c r="A9259" t="str">
        <f>TEST_DATA!A9259</f>
        <v>27AAAAA9259Z5</v>
      </c>
      <c r="B9259" t="str">
        <f>TEST_DATA!B9259</f>
        <v>Mar-2018</v>
      </c>
      <c r="C9259">
        <f>TEST_DATA!C9259</f>
        <v>43434</v>
      </c>
      <c r="D9259" t="str">
        <f>TEST_DATA!D9259</f>
        <v>NIL</v>
      </c>
      <c r="E9259">
        <f>TEST_DATA!E9259</f>
        <v>77</v>
      </c>
    </row>
    <row r="9260" spans="1:5" x14ac:dyDescent="0.55000000000000004">
      <c r="A9260" t="str">
        <f>TEST_DATA!A9260</f>
        <v>27AAAAA9260Z5</v>
      </c>
      <c r="B9260" t="str">
        <f>TEST_DATA!B9260</f>
        <v>Jul-2018</v>
      </c>
      <c r="C9260">
        <f>TEST_DATA!C9260</f>
        <v>43120</v>
      </c>
      <c r="D9260" t="str">
        <f>TEST_DATA!D9260</f>
        <v>NON-NIL</v>
      </c>
      <c r="E9260">
        <f>TEST_DATA!E9260</f>
        <v>1601</v>
      </c>
    </row>
    <row r="9261" spans="1:5" x14ac:dyDescent="0.55000000000000004">
      <c r="A9261" t="str">
        <f>TEST_DATA!A9261</f>
        <v>27AAAAA9261Z5</v>
      </c>
      <c r="B9261" t="str">
        <f>TEST_DATA!B9261</f>
        <v>Mar-2018</v>
      </c>
      <c r="C9261">
        <f>TEST_DATA!C9261</f>
        <v>44105</v>
      </c>
      <c r="D9261" t="str">
        <f>TEST_DATA!D9261</f>
        <v>NON-NIL</v>
      </c>
      <c r="E9261">
        <f>TEST_DATA!E9261</f>
        <v>17</v>
      </c>
    </row>
    <row r="9262" spans="1:5" x14ac:dyDescent="0.55000000000000004">
      <c r="A9262" t="str">
        <f>TEST_DATA!A9262</f>
        <v>27AAAAA9262Z5</v>
      </c>
      <c r="B9262" t="str">
        <f>TEST_DATA!B9262</f>
        <v>Jul-2017</v>
      </c>
      <c r="C9262">
        <f>TEST_DATA!C9262</f>
        <v>44321</v>
      </c>
      <c r="D9262" t="str">
        <f>TEST_DATA!D9262</f>
        <v>NON-NIL</v>
      </c>
      <c r="E9262">
        <f>TEST_DATA!E9262</f>
        <v>1188</v>
      </c>
    </row>
    <row r="9263" spans="1:5" x14ac:dyDescent="0.55000000000000004">
      <c r="A9263" t="str">
        <f>TEST_DATA!A9263</f>
        <v>27AAAAA9263Z5</v>
      </c>
      <c r="B9263" t="str">
        <f>TEST_DATA!B9263</f>
        <v>Apr-2021</v>
      </c>
      <c r="C9263">
        <f>TEST_DATA!C9263</f>
        <v>44822</v>
      </c>
      <c r="D9263" t="str">
        <f>TEST_DATA!D9263</f>
        <v>NIL</v>
      </c>
      <c r="E9263">
        <f>TEST_DATA!E9263</f>
        <v>408</v>
      </c>
    </row>
    <row r="9264" spans="1:5" x14ac:dyDescent="0.55000000000000004">
      <c r="A9264" t="str">
        <f>TEST_DATA!A9264</f>
        <v>27AAAAA9264Z5</v>
      </c>
      <c r="B9264" t="str">
        <f>TEST_DATA!B9264</f>
        <v>May-2018</v>
      </c>
      <c r="C9264">
        <f>TEST_DATA!C9264</f>
        <v>44409</v>
      </c>
      <c r="D9264" t="str">
        <f>TEST_DATA!D9264</f>
        <v>NIL</v>
      </c>
      <c r="E9264">
        <f>TEST_DATA!E9264</f>
        <v>2006</v>
      </c>
    </row>
    <row r="9265" spans="1:5" x14ac:dyDescent="0.55000000000000004">
      <c r="A9265" t="str">
        <f>TEST_DATA!A9265</f>
        <v>27AAAAA9265Z5</v>
      </c>
      <c r="B9265" t="str">
        <f>TEST_DATA!B9265</f>
        <v>Aug-2018</v>
      </c>
      <c r="C9265">
        <f>TEST_DATA!C9265</f>
        <v>43530</v>
      </c>
      <c r="D9265" t="str">
        <f>TEST_DATA!D9265</f>
        <v>NIL</v>
      </c>
      <c r="E9265">
        <f>TEST_DATA!E9265</f>
        <v>2376</v>
      </c>
    </row>
    <row r="9266" spans="1:5" x14ac:dyDescent="0.55000000000000004">
      <c r="A9266" t="str">
        <f>TEST_DATA!A9266</f>
        <v>27AAAAA9266Z5</v>
      </c>
      <c r="B9266" t="str">
        <f>TEST_DATA!B9266</f>
        <v>Aug-2018</v>
      </c>
      <c r="C9266">
        <f>TEST_DATA!C9266</f>
        <v>44336</v>
      </c>
      <c r="D9266" t="str">
        <f>TEST_DATA!D9266</f>
        <v>NIL</v>
      </c>
      <c r="E9266">
        <f>TEST_DATA!E9266</f>
        <v>2112</v>
      </c>
    </row>
    <row r="9267" spans="1:5" x14ac:dyDescent="0.55000000000000004">
      <c r="A9267" t="str">
        <f>TEST_DATA!A9267</f>
        <v>27AAAAA9267Z5</v>
      </c>
      <c r="B9267" t="str">
        <f>TEST_DATA!B9267</f>
        <v>Jul-2017</v>
      </c>
      <c r="C9267">
        <f>TEST_DATA!C9267</f>
        <v>44117</v>
      </c>
      <c r="D9267" t="str">
        <f>TEST_DATA!D9267</f>
        <v>NIL</v>
      </c>
      <c r="E9267">
        <f>TEST_DATA!E9267</f>
        <v>1211</v>
      </c>
    </row>
    <row r="9268" spans="1:5" x14ac:dyDescent="0.55000000000000004">
      <c r="A9268" t="str">
        <f>TEST_DATA!A9268</f>
        <v>27AAAAA9268Z5</v>
      </c>
      <c r="B9268" t="str">
        <f>TEST_DATA!B9268</f>
        <v>Oct-2017</v>
      </c>
      <c r="C9268">
        <f>TEST_DATA!C9268</f>
        <v>43160</v>
      </c>
      <c r="D9268" t="str">
        <f>TEST_DATA!D9268</f>
        <v>NON-NIL</v>
      </c>
      <c r="E9268">
        <f>TEST_DATA!E9268</f>
        <v>24</v>
      </c>
    </row>
    <row r="9269" spans="1:5" x14ac:dyDescent="0.55000000000000004">
      <c r="A9269" t="str">
        <f>TEST_DATA!A9269</f>
        <v>27AAAAA9269Z5</v>
      </c>
      <c r="B9269" t="str">
        <f>TEST_DATA!B9269</f>
        <v>May-2018</v>
      </c>
      <c r="C9269">
        <f>TEST_DATA!C9269</f>
        <v>42954</v>
      </c>
      <c r="D9269" t="str">
        <f>TEST_DATA!D9269</f>
        <v>NON-NIL</v>
      </c>
      <c r="E9269">
        <f>TEST_DATA!E9269</f>
        <v>2520</v>
      </c>
    </row>
    <row r="9270" spans="1:5" x14ac:dyDescent="0.55000000000000004">
      <c r="A9270" t="str">
        <f>TEST_DATA!A9270</f>
        <v>27AAAAA9270Z5</v>
      </c>
      <c r="B9270" t="str">
        <f>TEST_DATA!B9270</f>
        <v>Mar-2020</v>
      </c>
      <c r="C9270">
        <f>TEST_DATA!C9270</f>
        <v>44682</v>
      </c>
      <c r="D9270" t="str">
        <f>TEST_DATA!D9270</f>
        <v>NIL</v>
      </c>
      <c r="E9270">
        <f>TEST_DATA!E9270</f>
        <v>2993</v>
      </c>
    </row>
    <row r="9271" spans="1:5" x14ac:dyDescent="0.55000000000000004">
      <c r="A9271" t="str">
        <f>TEST_DATA!A9271</f>
        <v>27AAAAA9271Z5</v>
      </c>
      <c r="B9271" t="str">
        <f>TEST_DATA!B9271</f>
        <v>Jan-2021</v>
      </c>
      <c r="C9271">
        <f>TEST_DATA!C9271</f>
        <v>44265</v>
      </c>
      <c r="D9271" t="str">
        <f>TEST_DATA!D9271</f>
        <v>NIL</v>
      </c>
      <c r="E9271">
        <f>TEST_DATA!E9271</f>
        <v>1351</v>
      </c>
    </row>
    <row r="9272" spans="1:5" x14ac:dyDescent="0.55000000000000004">
      <c r="A9272" t="str">
        <f>TEST_DATA!A9272</f>
        <v>27AAAAA9272Z5</v>
      </c>
      <c r="B9272" t="str">
        <f>TEST_DATA!B9272</f>
        <v>Dec-2022</v>
      </c>
      <c r="C9272">
        <f>TEST_DATA!C9272</f>
        <v>44131</v>
      </c>
      <c r="D9272" t="str">
        <f>TEST_DATA!D9272</f>
        <v>NON-NIL</v>
      </c>
      <c r="E9272">
        <f>TEST_DATA!E9272</f>
        <v>1525</v>
      </c>
    </row>
    <row r="9273" spans="1:5" x14ac:dyDescent="0.55000000000000004">
      <c r="A9273" t="str">
        <f>TEST_DATA!A9273</f>
        <v>27AAAAA9273Z5</v>
      </c>
      <c r="B9273" t="str">
        <f>TEST_DATA!B9273</f>
        <v>Dec-2017</v>
      </c>
      <c r="C9273">
        <f>TEST_DATA!C9273</f>
        <v>44346</v>
      </c>
      <c r="D9273" t="str">
        <f>TEST_DATA!D9273</f>
        <v>NIL</v>
      </c>
      <c r="E9273">
        <f>TEST_DATA!E9273</f>
        <v>2852</v>
      </c>
    </row>
    <row r="9274" spans="1:5" x14ac:dyDescent="0.55000000000000004">
      <c r="A9274" t="str">
        <f>TEST_DATA!A9274</f>
        <v>27AAAAA9274Z5</v>
      </c>
      <c r="B9274" t="str">
        <f>TEST_DATA!B9274</f>
        <v>Dec-2017</v>
      </c>
      <c r="C9274">
        <f>TEST_DATA!C9274</f>
        <v>43189</v>
      </c>
      <c r="D9274" t="str">
        <f>TEST_DATA!D9274</f>
        <v>NIL</v>
      </c>
      <c r="E9274">
        <f>TEST_DATA!E9274</f>
        <v>1328</v>
      </c>
    </row>
    <row r="9275" spans="1:5" x14ac:dyDescent="0.55000000000000004">
      <c r="A9275" t="str">
        <f>TEST_DATA!A9275</f>
        <v>27AAAAA9275Z5</v>
      </c>
      <c r="B9275" t="str">
        <f>TEST_DATA!B9275</f>
        <v>Jun-2019</v>
      </c>
      <c r="C9275">
        <f>TEST_DATA!C9275</f>
        <v>45711</v>
      </c>
      <c r="D9275" t="str">
        <f>TEST_DATA!D9275</f>
        <v>NIL</v>
      </c>
      <c r="E9275">
        <f>TEST_DATA!E9275</f>
        <v>1867</v>
      </c>
    </row>
    <row r="9276" spans="1:5" x14ac:dyDescent="0.55000000000000004">
      <c r="A9276" t="str">
        <f>TEST_DATA!A9276</f>
        <v>27AAAAA9276Z5</v>
      </c>
      <c r="B9276" t="str">
        <f>TEST_DATA!B9276</f>
        <v>May-2020</v>
      </c>
      <c r="C9276">
        <f>TEST_DATA!C9276</f>
        <v>44742</v>
      </c>
      <c r="D9276" t="str">
        <f>TEST_DATA!D9276</f>
        <v>NON-NIL</v>
      </c>
      <c r="E9276">
        <f>TEST_DATA!E9276</f>
        <v>962</v>
      </c>
    </row>
    <row r="9277" spans="1:5" x14ac:dyDescent="0.55000000000000004">
      <c r="A9277" t="str">
        <f>TEST_DATA!A9277</f>
        <v>27AAAAA9277Z5</v>
      </c>
      <c r="B9277" t="str">
        <f>TEST_DATA!B9277</f>
        <v>Jun-2018</v>
      </c>
      <c r="C9277">
        <f>TEST_DATA!C9277</f>
        <v>43472</v>
      </c>
      <c r="D9277" t="str">
        <f>TEST_DATA!D9277</f>
        <v>NIL</v>
      </c>
      <c r="E9277">
        <f>TEST_DATA!E9277</f>
        <v>2864</v>
      </c>
    </row>
    <row r="9278" spans="1:5" x14ac:dyDescent="0.55000000000000004">
      <c r="A9278" t="str">
        <f>TEST_DATA!A9278</f>
        <v>27AAAAA9278Z5</v>
      </c>
      <c r="B9278" t="str">
        <f>TEST_DATA!B9278</f>
        <v>Mar-2023</v>
      </c>
      <c r="C9278">
        <f>TEST_DATA!C9278</f>
        <v>44719</v>
      </c>
      <c r="D9278" t="str">
        <f>TEST_DATA!D9278</f>
        <v>NON-NIL</v>
      </c>
      <c r="E9278">
        <f>TEST_DATA!E9278</f>
        <v>1657</v>
      </c>
    </row>
    <row r="9279" spans="1:5" x14ac:dyDescent="0.55000000000000004">
      <c r="A9279" t="str">
        <f>TEST_DATA!A9279</f>
        <v>27AAAAA9279Z5</v>
      </c>
      <c r="B9279" t="str">
        <f>TEST_DATA!B9279</f>
        <v>Dec-2017</v>
      </c>
      <c r="C9279">
        <f>TEST_DATA!C9279</f>
        <v>43613</v>
      </c>
      <c r="D9279" t="str">
        <f>TEST_DATA!D9279</f>
        <v>NIL</v>
      </c>
      <c r="E9279">
        <f>TEST_DATA!E9279</f>
        <v>2440</v>
      </c>
    </row>
    <row r="9280" spans="1:5" x14ac:dyDescent="0.55000000000000004">
      <c r="A9280" t="str">
        <f>TEST_DATA!A9280</f>
        <v>27AAAAA9280Z5</v>
      </c>
      <c r="B9280" t="str">
        <f>TEST_DATA!B9280</f>
        <v>Jun-2018</v>
      </c>
      <c r="C9280">
        <f>TEST_DATA!C9280</f>
        <v>43012</v>
      </c>
      <c r="D9280" t="str">
        <f>TEST_DATA!D9280</f>
        <v>NIL</v>
      </c>
      <c r="E9280">
        <f>TEST_DATA!E9280</f>
        <v>356</v>
      </c>
    </row>
    <row r="9281" spans="1:5" x14ac:dyDescent="0.55000000000000004">
      <c r="A9281" t="str">
        <f>TEST_DATA!A9281</f>
        <v>27AAAAA9281Z5</v>
      </c>
      <c r="B9281" t="str">
        <f>TEST_DATA!B9281</f>
        <v>Oct-2017</v>
      </c>
      <c r="C9281">
        <f>TEST_DATA!C9281</f>
        <v>43592</v>
      </c>
      <c r="D9281" t="str">
        <f>TEST_DATA!D9281</f>
        <v>NIL</v>
      </c>
      <c r="E9281">
        <f>TEST_DATA!E9281</f>
        <v>1329</v>
      </c>
    </row>
    <row r="9282" spans="1:5" x14ac:dyDescent="0.55000000000000004">
      <c r="A9282" t="str">
        <f>TEST_DATA!A9282</f>
        <v>27AAAAA9282Z5</v>
      </c>
      <c r="B9282" t="str">
        <f>TEST_DATA!B9282</f>
        <v>May-2018</v>
      </c>
      <c r="C9282">
        <f>TEST_DATA!C9282</f>
        <v>43954</v>
      </c>
      <c r="D9282" t="str">
        <f>TEST_DATA!D9282</f>
        <v>NON-NIL</v>
      </c>
      <c r="E9282">
        <f>TEST_DATA!E9282</f>
        <v>743</v>
      </c>
    </row>
    <row r="9283" spans="1:5" x14ac:dyDescent="0.55000000000000004">
      <c r="A9283" t="str">
        <f>TEST_DATA!A9283</f>
        <v>27AAAAA9283Z5</v>
      </c>
      <c r="B9283" t="str">
        <f>TEST_DATA!B9283</f>
        <v>Sep-2018</v>
      </c>
      <c r="C9283">
        <f>TEST_DATA!C9283</f>
        <v>43829</v>
      </c>
      <c r="D9283" t="str">
        <f>TEST_DATA!D9283</f>
        <v>NIL</v>
      </c>
      <c r="E9283">
        <f>TEST_DATA!E9283</f>
        <v>1646</v>
      </c>
    </row>
    <row r="9284" spans="1:5" x14ac:dyDescent="0.55000000000000004">
      <c r="A9284" t="str">
        <f>TEST_DATA!A9284</f>
        <v>27AAAAA9284Z5</v>
      </c>
      <c r="B9284" t="str">
        <f>TEST_DATA!B9284</f>
        <v>Aug-2017</v>
      </c>
      <c r="C9284">
        <f>TEST_DATA!C9284</f>
        <v>43369</v>
      </c>
      <c r="D9284" t="str">
        <f>TEST_DATA!D9284</f>
        <v>NIL</v>
      </c>
      <c r="E9284">
        <f>TEST_DATA!E9284</f>
        <v>1823</v>
      </c>
    </row>
    <row r="9285" spans="1:5" x14ac:dyDescent="0.55000000000000004">
      <c r="A9285" t="str">
        <f>TEST_DATA!A9285</f>
        <v>27AAAAA9285Z5</v>
      </c>
      <c r="B9285" t="str">
        <f>TEST_DATA!B9285</f>
        <v>Mar-2018</v>
      </c>
      <c r="C9285">
        <f>TEST_DATA!C9285</f>
        <v>44005</v>
      </c>
      <c r="D9285" t="str">
        <f>TEST_DATA!D9285</f>
        <v>NIL</v>
      </c>
      <c r="E9285">
        <f>TEST_DATA!E9285</f>
        <v>974</v>
      </c>
    </row>
    <row r="9286" spans="1:5" x14ac:dyDescent="0.55000000000000004">
      <c r="A9286" t="str">
        <f>TEST_DATA!A9286</f>
        <v>27AAAAA9286Z5</v>
      </c>
      <c r="B9286" t="str">
        <f>TEST_DATA!B9286</f>
        <v>Jul-2017</v>
      </c>
      <c r="C9286">
        <f>TEST_DATA!C9286</f>
        <v>43438</v>
      </c>
      <c r="D9286" t="str">
        <f>TEST_DATA!D9286</f>
        <v>NON-NIL</v>
      </c>
      <c r="E9286">
        <f>TEST_DATA!E9286</f>
        <v>2185</v>
      </c>
    </row>
    <row r="9287" spans="1:5" x14ac:dyDescent="0.55000000000000004">
      <c r="A9287" t="str">
        <f>TEST_DATA!A9287</f>
        <v>27AAAAA9287Z5</v>
      </c>
      <c r="B9287" t="str">
        <f>TEST_DATA!B9287</f>
        <v>Dec-2024</v>
      </c>
      <c r="C9287">
        <f>TEST_DATA!C9287</f>
        <v>45544</v>
      </c>
      <c r="D9287" t="str">
        <f>TEST_DATA!D9287</f>
        <v>NIL</v>
      </c>
      <c r="E9287">
        <f>TEST_DATA!E9287</f>
        <v>2894</v>
      </c>
    </row>
    <row r="9288" spans="1:5" x14ac:dyDescent="0.55000000000000004">
      <c r="A9288" t="str">
        <f>TEST_DATA!A9288</f>
        <v>27AAAAA9288Z5</v>
      </c>
      <c r="B9288" t="str">
        <f>TEST_DATA!B9288</f>
        <v>Mar-2021</v>
      </c>
      <c r="C9288">
        <f>TEST_DATA!C9288</f>
        <v>45394</v>
      </c>
      <c r="D9288" t="str">
        <f>TEST_DATA!D9288</f>
        <v>NIL</v>
      </c>
      <c r="E9288">
        <f>TEST_DATA!E9288</f>
        <v>2226</v>
      </c>
    </row>
    <row r="9289" spans="1:5" x14ac:dyDescent="0.55000000000000004">
      <c r="A9289" t="str">
        <f>TEST_DATA!A9289</f>
        <v>27AAAAA9289Z5</v>
      </c>
      <c r="B9289" t="str">
        <f>TEST_DATA!B9289</f>
        <v>Aug-2018</v>
      </c>
      <c r="C9289">
        <f>TEST_DATA!C9289</f>
        <v>43055</v>
      </c>
      <c r="D9289" t="str">
        <f>TEST_DATA!D9289</f>
        <v>NON-NIL</v>
      </c>
      <c r="E9289">
        <f>TEST_DATA!E9289</f>
        <v>537</v>
      </c>
    </row>
    <row r="9290" spans="1:5" x14ac:dyDescent="0.55000000000000004">
      <c r="A9290" t="str">
        <f>TEST_DATA!A9290</f>
        <v>27AAAAA9290Z5</v>
      </c>
      <c r="B9290" t="str">
        <f>TEST_DATA!B9290</f>
        <v>Dec-2017</v>
      </c>
      <c r="C9290">
        <f>TEST_DATA!C9290</f>
        <v>44164</v>
      </c>
      <c r="D9290" t="str">
        <f>TEST_DATA!D9290</f>
        <v>NIL</v>
      </c>
      <c r="E9290">
        <f>TEST_DATA!E9290</f>
        <v>1507</v>
      </c>
    </row>
    <row r="9291" spans="1:5" x14ac:dyDescent="0.55000000000000004">
      <c r="A9291" t="str">
        <f>TEST_DATA!A9291</f>
        <v>27AAAAA9291Z5</v>
      </c>
      <c r="B9291" t="str">
        <f>TEST_DATA!B9291</f>
        <v>Jul-2020</v>
      </c>
      <c r="C9291">
        <f>TEST_DATA!C9291</f>
        <v>44503</v>
      </c>
      <c r="D9291" t="str">
        <f>TEST_DATA!D9291</f>
        <v>NON-NIL</v>
      </c>
      <c r="E9291">
        <f>TEST_DATA!E9291</f>
        <v>2706</v>
      </c>
    </row>
    <row r="9292" spans="1:5" x14ac:dyDescent="0.55000000000000004">
      <c r="A9292" t="str">
        <f>TEST_DATA!A9292</f>
        <v>27AAAAA9292Z5</v>
      </c>
      <c r="B9292" t="str">
        <f>TEST_DATA!B9292</f>
        <v>Jan-2021</v>
      </c>
      <c r="C9292">
        <f>TEST_DATA!C9292</f>
        <v>44958</v>
      </c>
      <c r="D9292" t="str">
        <f>TEST_DATA!D9292</f>
        <v>NIL</v>
      </c>
      <c r="E9292">
        <f>TEST_DATA!E9292</f>
        <v>185</v>
      </c>
    </row>
    <row r="9293" spans="1:5" x14ac:dyDescent="0.55000000000000004">
      <c r="A9293" t="str">
        <f>TEST_DATA!A9293</f>
        <v>27AAAAA9293Z5</v>
      </c>
      <c r="B9293" t="str">
        <f>TEST_DATA!B9293</f>
        <v>May-2018</v>
      </c>
      <c r="C9293">
        <f>TEST_DATA!C9293</f>
        <v>44425</v>
      </c>
      <c r="D9293" t="str">
        <f>TEST_DATA!D9293</f>
        <v>NON-NIL</v>
      </c>
      <c r="E9293">
        <f>TEST_DATA!E9293</f>
        <v>2308</v>
      </c>
    </row>
    <row r="9294" spans="1:5" x14ac:dyDescent="0.55000000000000004">
      <c r="A9294" t="str">
        <f>TEST_DATA!A9294</f>
        <v>27AAAAA9294Z5</v>
      </c>
      <c r="B9294" t="str">
        <f>TEST_DATA!B9294</f>
        <v>Aug-2018</v>
      </c>
      <c r="C9294">
        <f>TEST_DATA!C9294</f>
        <v>43824</v>
      </c>
      <c r="D9294" t="str">
        <f>TEST_DATA!D9294</f>
        <v>NON-NIL</v>
      </c>
      <c r="E9294">
        <f>TEST_DATA!E9294</f>
        <v>1822</v>
      </c>
    </row>
    <row r="9295" spans="1:5" x14ac:dyDescent="0.55000000000000004">
      <c r="A9295" t="str">
        <f>TEST_DATA!A9295</f>
        <v>27AAAAA9295Z5</v>
      </c>
      <c r="B9295" t="str">
        <f>TEST_DATA!B9295</f>
        <v>Jan-2019</v>
      </c>
      <c r="C9295">
        <f>TEST_DATA!C9295</f>
        <v>43827</v>
      </c>
      <c r="D9295" t="str">
        <f>TEST_DATA!D9295</f>
        <v>NIL</v>
      </c>
      <c r="E9295">
        <f>TEST_DATA!E9295</f>
        <v>2787</v>
      </c>
    </row>
    <row r="9296" spans="1:5" x14ac:dyDescent="0.55000000000000004">
      <c r="A9296" t="str">
        <f>TEST_DATA!A9296</f>
        <v>27AAAAA9296Z5</v>
      </c>
      <c r="B9296" t="str">
        <f>TEST_DATA!B9296</f>
        <v>Jan-2018</v>
      </c>
      <c r="C9296">
        <f>TEST_DATA!C9296</f>
        <v>44525</v>
      </c>
      <c r="D9296" t="str">
        <f>TEST_DATA!D9296</f>
        <v>NON-NIL</v>
      </c>
      <c r="E9296">
        <f>TEST_DATA!E9296</f>
        <v>2426</v>
      </c>
    </row>
    <row r="9297" spans="1:5" x14ac:dyDescent="0.55000000000000004">
      <c r="A9297" t="str">
        <f>TEST_DATA!A9297</f>
        <v>27AAAAA9297Z5</v>
      </c>
      <c r="B9297" t="str">
        <f>TEST_DATA!B9297</f>
        <v>Apr-2021</v>
      </c>
      <c r="C9297">
        <f>TEST_DATA!C9297</f>
        <v>45711</v>
      </c>
      <c r="D9297" t="str">
        <f>TEST_DATA!D9297</f>
        <v>NIL</v>
      </c>
      <c r="E9297">
        <f>TEST_DATA!E9297</f>
        <v>75</v>
      </c>
    </row>
    <row r="9298" spans="1:5" x14ac:dyDescent="0.55000000000000004">
      <c r="A9298" t="str">
        <f>TEST_DATA!A9298</f>
        <v>27AAAAA9298Z5</v>
      </c>
      <c r="B9298" t="str">
        <f>TEST_DATA!B9298</f>
        <v>Jul-2020</v>
      </c>
      <c r="C9298">
        <f>TEST_DATA!C9298</f>
        <v>44456</v>
      </c>
      <c r="D9298" t="str">
        <f>TEST_DATA!D9298</f>
        <v>NON-NIL</v>
      </c>
      <c r="E9298">
        <f>TEST_DATA!E9298</f>
        <v>1915</v>
      </c>
    </row>
    <row r="9299" spans="1:5" x14ac:dyDescent="0.55000000000000004">
      <c r="A9299" t="str">
        <f>TEST_DATA!A9299</f>
        <v>27AAAAA9299Z5</v>
      </c>
      <c r="B9299" t="str">
        <f>TEST_DATA!B9299</f>
        <v>Aug-2018</v>
      </c>
      <c r="C9299">
        <f>TEST_DATA!C9299</f>
        <v>43209</v>
      </c>
      <c r="D9299" t="str">
        <f>TEST_DATA!D9299</f>
        <v>NON-NIL</v>
      </c>
      <c r="E9299">
        <f>TEST_DATA!E9299</f>
        <v>1024</v>
      </c>
    </row>
    <row r="9300" spans="1:5" x14ac:dyDescent="0.55000000000000004">
      <c r="A9300" t="str">
        <f>TEST_DATA!A9300</f>
        <v>27AAAAA9300Z5</v>
      </c>
      <c r="B9300" t="str">
        <f>TEST_DATA!B9300</f>
        <v>May-2018</v>
      </c>
      <c r="C9300">
        <f>TEST_DATA!C9300</f>
        <v>44487</v>
      </c>
      <c r="D9300" t="str">
        <f>TEST_DATA!D9300</f>
        <v>NIL</v>
      </c>
      <c r="E9300">
        <f>TEST_DATA!E9300</f>
        <v>359</v>
      </c>
    </row>
    <row r="9301" spans="1:5" x14ac:dyDescent="0.55000000000000004">
      <c r="A9301" t="str">
        <f>TEST_DATA!A9301</f>
        <v>27AAAAA9301Z5</v>
      </c>
      <c r="B9301" t="str">
        <f>TEST_DATA!B9301</f>
        <v>Jul-2018</v>
      </c>
      <c r="C9301">
        <f>TEST_DATA!C9301</f>
        <v>42918</v>
      </c>
      <c r="D9301" t="str">
        <f>TEST_DATA!D9301</f>
        <v>NON-NIL</v>
      </c>
      <c r="E9301">
        <f>TEST_DATA!E9301</f>
        <v>2173</v>
      </c>
    </row>
    <row r="9302" spans="1:5" x14ac:dyDescent="0.55000000000000004">
      <c r="A9302" t="str">
        <f>TEST_DATA!A9302</f>
        <v>27AAAAA9302Z5</v>
      </c>
      <c r="B9302" t="str">
        <f>TEST_DATA!B9302</f>
        <v>Mar-2020</v>
      </c>
      <c r="C9302">
        <f>TEST_DATA!C9302</f>
        <v>44782</v>
      </c>
      <c r="D9302" t="str">
        <f>TEST_DATA!D9302</f>
        <v>NIL</v>
      </c>
      <c r="E9302">
        <f>TEST_DATA!E9302</f>
        <v>446</v>
      </c>
    </row>
    <row r="9303" spans="1:5" x14ac:dyDescent="0.55000000000000004">
      <c r="A9303" t="str">
        <f>TEST_DATA!A9303</f>
        <v>27AAAAA9303Z5</v>
      </c>
      <c r="B9303" t="str">
        <f>TEST_DATA!B9303</f>
        <v>Dec-2024</v>
      </c>
      <c r="C9303">
        <f>TEST_DATA!C9303</f>
        <v>44893</v>
      </c>
      <c r="D9303" t="str">
        <f>TEST_DATA!D9303</f>
        <v>NIL</v>
      </c>
      <c r="E9303">
        <f>TEST_DATA!E9303</f>
        <v>743</v>
      </c>
    </row>
    <row r="9304" spans="1:5" x14ac:dyDescent="0.55000000000000004">
      <c r="A9304" t="str">
        <f>TEST_DATA!A9304</f>
        <v>27AAAAA9304Z5</v>
      </c>
      <c r="B9304" t="str">
        <f>TEST_DATA!B9304</f>
        <v>Oct-2017</v>
      </c>
      <c r="C9304">
        <f>TEST_DATA!C9304</f>
        <v>44507</v>
      </c>
      <c r="D9304" t="str">
        <f>TEST_DATA!D9304</f>
        <v>NIL</v>
      </c>
      <c r="E9304">
        <f>TEST_DATA!E9304</f>
        <v>825</v>
      </c>
    </row>
    <row r="9305" spans="1:5" x14ac:dyDescent="0.55000000000000004">
      <c r="A9305" t="str">
        <f>TEST_DATA!A9305</f>
        <v>27AAAAA9305Z5</v>
      </c>
      <c r="B9305" t="str">
        <f>TEST_DATA!B9305</f>
        <v>Jul-2018</v>
      </c>
      <c r="C9305">
        <f>TEST_DATA!C9305</f>
        <v>44369</v>
      </c>
      <c r="D9305" t="str">
        <f>TEST_DATA!D9305</f>
        <v>NON-NIL</v>
      </c>
      <c r="E9305">
        <f>TEST_DATA!E9305</f>
        <v>248</v>
      </c>
    </row>
    <row r="9306" spans="1:5" x14ac:dyDescent="0.55000000000000004">
      <c r="A9306" t="str">
        <f>TEST_DATA!A9306</f>
        <v>27AAAAA9306Z5</v>
      </c>
      <c r="B9306" t="str">
        <f>TEST_DATA!B9306</f>
        <v>Jul-2017</v>
      </c>
      <c r="C9306">
        <f>TEST_DATA!C9306</f>
        <v>43969</v>
      </c>
      <c r="D9306" t="str">
        <f>TEST_DATA!D9306</f>
        <v>NIL</v>
      </c>
      <c r="E9306">
        <f>TEST_DATA!E9306</f>
        <v>1115</v>
      </c>
    </row>
    <row r="9307" spans="1:5" x14ac:dyDescent="0.55000000000000004">
      <c r="A9307" t="str">
        <f>TEST_DATA!A9307</f>
        <v>27AAAAA9307Z5</v>
      </c>
      <c r="B9307" t="str">
        <f>TEST_DATA!B9307</f>
        <v>Sep-2018</v>
      </c>
      <c r="C9307">
        <f>TEST_DATA!C9307</f>
        <v>43803</v>
      </c>
      <c r="D9307" t="str">
        <f>TEST_DATA!D9307</f>
        <v>NIL</v>
      </c>
      <c r="E9307">
        <f>TEST_DATA!E9307</f>
        <v>532</v>
      </c>
    </row>
    <row r="9308" spans="1:5" x14ac:dyDescent="0.55000000000000004">
      <c r="A9308" t="str">
        <f>TEST_DATA!A9308</f>
        <v>27AAAAA9308Z5</v>
      </c>
      <c r="B9308" t="str">
        <f>TEST_DATA!B9308</f>
        <v>Jun-2020</v>
      </c>
      <c r="C9308">
        <f>TEST_DATA!C9308</f>
        <v>44870</v>
      </c>
      <c r="D9308" t="str">
        <f>TEST_DATA!D9308</f>
        <v>NIL</v>
      </c>
      <c r="E9308">
        <f>TEST_DATA!E9308</f>
        <v>28</v>
      </c>
    </row>
    <row r="9309" spans="1:5" x14ac:dyDescent="0.55000000000000004">
      <c r="A9309" t="str">
        <f>TEST_DATA!A9309</f>
        <v>27AAAAA9309Z5</v>
      </c>
      <c r="B9309" t="str">
        <f>TEST_DATA!B9309</f>
        <v>Jun-2020</v>
      </c>
      <c r="C9309">
        <f>TEST_DATA!C9309</f>
        <v>44846</v>
      </c>
      <c r="D9309" t="str">
        <f>TEST_DATA!D9309</f>
        <v>NON-NIL</v>
      </c>
      <c r="E9309">
        <f>TEST_DATA!E9309</f>
        <v>1599</v>
      </c>
    </row>
    <row r="9310" spans="1:5" x14ac:dyDescent="0.55000000000000004">
      <c r="A9310" t="str">
        <f>TEST_DATA!A9310</f>
        <v>27AAAAA9310Z5</v>
      </c>
      <c r="B9310" t="str">
        <f>TEST_DATA!B9310</f>
        <v>Dec-2024</v>
      </c>
      <c r="C9310">
        <f>TEST_DATA!C9310</f>
        <v>43899</v>
      </c>
      <c r="D9310" t="str">
        <f>TEST_DATA!D9310</f>
        <v>NIL</v>
      </c>
      <c r="E9310">
        <f>TEST_DATA!E9310</f>
        <v>1009</v>
      </c>
    </row>
    <row r="9311" spans="1:5" x14ac:dyDescent="0.55000000000000004">
      <c r="A9311" t="str">
        <f>TEST_DATA!A9311</f>
        <v>27AAAAA9311Z5</v>
      </c>
      <c r="B9311" t="str">
        <f>TEST_DATA!B9311</f>
        <v>Jan-2021</v>
      </c>
      <c r="C9311">
        <f>TEST_DATA!C9311</f>
        <v>45809</v>
      </c>
      <c r="D9311" t="str">
        <f>TEST_DATA!D9311</f>
        <v>NON-NIL</v>
      </c>
      <c r="E9311">
        <f>TEST_DATA!E9311</f>
        <v>2364</v>
      </c>
    </row>
    <row r="9312" spans="1:5" x14ac:dyDescent="0.55000000000000004">
      <c r="A9312" t="str">
        <f>TEST_DATA!A9312</f>
        <v>27AAAAA9312Z5</v>
      </c>
      <c r="B9312" t="str">
        <f>TEST_DATA!B9312</f>
        <v>Dec-2024</v>
      </c>
      <c r="C9312">
        <f>TEST_DATA!C9312</f>
        <v>43984</v>
      </c>
      <c r="D9312" t="str">
        <f>TEST_DATA!D9312</f>
        <v>NON-NIL</v>
      </c>
      <c r="E9312">
        <f>TEST_DATA!E9312</f>
        <v>430</v>
      </c>
    </row>
    <row r="9313" spans="1:5" x14ac:dyDescent="0.55000000000000004">
      <c r="A9313" t="str">
        <f>TEST_DATA!A9313</f>
        <v>27AAAAA9313Z5</v>
      </c>
      <c r="B9313" t="str">
        <f>TEST_DATA!B9313</f>
        <v>May-2020</v>
      </c>
      <c r="C9313">
        <f>TEST_DATA!C9313</f>
        <v>44503</v>
      </c>
      <c r="D9313" t="str">
        <f>TEST_DATA!D9313</f>
        <v>NON-NIL</v>
      </c>
      <c r="E9313">
        <f>TEST_DATA!E9313</f>
        <v>199</v>
      </c>
    </row>
    <row r="9314" spans="1:5" x14ac:dyDescent="0.55000000000000004">
      <c r="A9314" t="str">
        <f>TEST_DATA!A9314</f>
        <v>27AAAAA9314Z5</v>
      </c>
      <c r="B9314" t="str">
        <f>TEST_DATA!B9314</f>
        <v>Apr-2021</v>
      </c>
      <c r="C9314">
        <f>TEST_DATA!C9314</f>
        <v>44368</v>
      </c>
      <c r="D9314" t="str">
        <f>TEST_DATA!D9314</f>
        <v>NIL</v>
      </c>
      <c r="E9314">
        <f>TEST_DATA!E9314</f>
        <v>2133</v>
      </c>
    </row>
    <row r="9315" spans="1:5" x14ac:dyDescent="0.55000000000000004">
      <c r="A9315" t="str">
        <f>TEST_DATA!A9315</f>
        <v>27AAAAA9315Z5</v>
      </c>
      <c r="B9315" t="str">
        <f>TEST_DATA!B9315</f>
        <v>Jun-2020</v>
      </c>
      <c r="C9315">
        <f>TEST_DATA!C9315</f>
        <v>44825</v>
      </c>
      <c r="D9315" t="str">
        <f>TEST_DATA!D9315</f>
        <v>NON-NIL</v>
      </c>
      <c r="E9315">
        <f>TEST_DATA!E9315</f>
        <v>596</v>
      </c>
    </row>
    <row r="9316" spans="1:5" x14ac:dyDescent="0.55000000000000004">
      <c r="A9316" t="str">
        <f>TEST_DATA!A9316</f>
        <v>27AAAAA9316Z5</v>
      </c>
      <c r="B9316" t="str">
        <f>TEST_DATA!B9316</f>
        <v>Jun-2019</v>
      </c>
      <c r="C9316">
        <f>TEST_DATA!C9316</f>
        <v>44963</v>
      </c>
      <c r="D9316" t="str">
        <f>TEST_DATA!D9316</f>
        <v>NON-NIL</v>
      </c>
      <c r="E9316">
        <f>TEST_DATA!E9316</f>
        <v>2099</v>
      </c>
    </row>
    <row r="9317" spans="1:5" x14ac:dyDescent="0.55000000000000004">
      <c r="A9317" t="str">
        <f>TEST_DATA!A9317</f>
        <v>27AAAAA9317Z5</v>
      </c>
      <c r="B9317" t="str">
        <f>TEST_DATA!B9317</f>
        <v>May-2020</v>
      </c>
      <c r="C9317">
        <f>TEST_DATA!C9317</f>
        <v>44045</v>
      </c>
      <c r="D9317" t="str">
        <f>TEST_DATA!D9317</f>
        <v>NON-NIL</v>
      </c>
      <c r="E9317">
        <f>TEST_DATA!E9317</f>
        <v>961</v>
      </c>
    </row>
    <row r="9318" spans="1:5" x14ac:dyDescent="0.55000000000000004">
      <c r="A9318" t="str">
        <f>TEST_DATA!A9318</f>
        <v>27AAAAA9318Z5</v>
      </c>
      <c r="B9318" t="str">
        <f>TEST_DATA!B9318</f>
        <v>Mar-2020</v>
      </c>
      <c r="C9318">
        <f>TEST_DATA!C9318</f>
        <v>44788</v>
      </c>
      <c r="D9318" t="str">
        <f>TEST_DATA!D9318</f>
        <v>NON-NIL</v>
      </c>
      <c r="E9318">
        <f>TEST_DATA!E9318</f>
        <v>2853</v>
      </c>
    </row>
    <row r="9319" spans="1:5" x14ac:dyDescent="0.55000000000000004">
      <c r="A9319" t="str">
        <f>TEST_DATA!A9319</f>
        <v>27AAAAA9319Z5</v>
      </c>
      <c r="B9319" t="str">
        <f>TEST_DATA!B9319</f>
        <v>Feb-2018</v>
      </c>
      <c r="C9319">
        <f>TEST_DATA!C9319</f>
        <v>43021</v>
      </c>
      <c r="D9319" t="str">
        <f>TEST_DATA!D9319</f>
        <v>NIL</v>
      </c>
      <c r="E9319">
        <f>TEST_DATA!E9319</f>
        <v>2642</v>
      </c>
    </row>
    <row r="9320" spans="1:5" x14ac:dyDescent="0.55000000000000004">
      <c r="A9320" t="str">
        <f>TEST_DATA!A9320</f>
        <v>27AAAAA9320Z5</v>
      </c>
      <c r="B9320" t="str">
        <f>TEST_DATA!B9320</f>
        <v>Jul-2017</v>
      </c>
      <c r="C9320">
        <f>TEST_DATA!C9320</f>
        <v>43880</v>
      </c>
      <c r="D9320" t="str">
        <f>TEST_DATA!D9320</f>
        <v>NIL</v>
      </c>
      <c r="E9320">
        <f>TEST_DATA!E9320</f>
        <v>2033</v>
      </c>
    </row>
    <row r="9321" spans="1:5" x14ac:dyDescent="0.55000000000000004">
      <c r="A9321" t="str">
        <f>TEST_DATA!A9321</f>
        <v>27AAAAA9321Z5</v>
      </c>
      <c r="B9321" t="str">
        <f>TEST_DATA!B9321</f>
        <v>Mar-2020</v>
      </c>
      <c r="C9321">
        <f>TEST_DATA!C9321</f>
        <v>44413</v>
      </c>
      <c r="D9321" t="str">
        <f>TEST_DATA!D9321</f>
        <v>NON-NIL</v>
      </c>
      <c r="E9321">
        <f>TEST_DATA!E9321</f>
        <v>1133</v>
      </c>
    </row>
    <row r="9322" spans="1:5" x14ac:dyDescent="0.55000000000000004">
      <c r="A9322" t="str">
        <f>TEST_DATA!A9322</f>
        <v>27AAAAA9322Z5</v>
      </c>
      <c r="B9322" t="str">
        <f>TEST_DATA!B9322</f>
        <v>May-2018</v>
      </c>
      <c r="C9322">
        <f>TEST_DATA!C9322</f>
        <v>43864</v>
      </c>
      <c r="D9322" t="str">
        <f>TEST_DATA!D9322</f>
        <v>NON-NIL</v>
      </c>
      <c r="E9322">
        <f>TEST_DATA!E9322</f>
        <v>1268</v>
      </c>
    </row>
    <row r="9323" spans="1:5" x14ac:dyDescent="0.55000000000000004">
      <c r="A9323" t="str">
        <f>TEST_DATA!A9323</f>
        <v>27AAAAA9323Z5</v>
      </c>
      <c r="B9323" t="str">
        <f>TEST_DATA!B9323</f>
        <v>Mar-2018</v>
      </c>
      <c r="C9323">
        <f>TEST_DATA!C9323</f>
        <v>43142</v>
      </c>
      <c r="D9323" t="str">
        <f>TEST_DATA!D9323</f>
        <v>NIL</v>
      </c>
      <c r="E9323">
        <f>TEST_DATA!E9323</f>
        <v>1850</v>
      </c>
    </row>
    <row r="9324" spans="1:5" x14ac:dyDescent="0.55000000000000004">
      <c r="A9324" t="str">
        <f>TEST_DATA!A9324</f>
        <v>27AAAAA9324Z5</v>
      </c>
      <c r="B9324" t="str">
        <f>TEST_DATA!B9324</f>
        <v>Jul-2018</v>
      </c>
      <c r="C9324">
        <f>TEST_DATA!C9324</f>
        <v>44107</v>
      </c>
      <c r="D9324" t="str">
        <f>TEST_DATA!D9324</f>
        <v>NIL</v>
      </c>
      <c r="E9324">
        <f>TEST_DATA!E9324</f>
        <v>1745</v>
      </c>
    </row>
    <row r="9325" spans="1:5" x14ac:dyDescent="0.55000000000000004">
      <c r="A9325" t="str">
        <f>TEST_DATA!A9325</f>
        <v>27AAAAA9325Z5</v>
      </c>
      <c r="B9325" t="str">
        <f>TEST_DATA!B9325</f>
        <v>Nov-2017</v>
      </c>
      <c r="C9325">
        <f>TEST_DATA!C9325</f>
        <v>43706</v>
      </c>
      <c r="D9325" t="str">
        <f>TEST_DATA!D9325</f>
        <v>NON-NIL</v>
      </c>
      <c r="E9325">
        <f>TEST_DATA!E9325</f>
        <v>1166</v>
      </c>
    </row>
    <row r="9326" spans="1:5" x14ac:dyDescent="0.55000000000000004">
      <c r="A9326" t="str">
        <f>TEST_DATA!A9326</f>
        <v>27AAAAA9326Z5</v>
      </c>
      <c r="B9326" t="str">
        <f>TEST_DATA!B9326</f>
        <v>May-2020</v>
      </c>
      <c r="C9326">
        <f>TEST_DATA!C9326</f>
        <v>44306</v>
      </c>
      <c r="D9326" t="str">
        <f>TEST_DATA!D9326</f>
        <v>NON-NIL</v>
      </c>
      <c r="E9326">
        <f>TEST_DATA!E9326</f>
        <v>1851</v>
      </c>
    </row>
    <row r="9327" spans="1:5" x14ac:dyDescent="0.55000000000000004">
      <c r="A9327" t="str">
        <f>TEST_DATA!A9327</f>
        <v>27AAAAA9327Z5</v>
      </c>
      <c r="B9327" t="str">
        <f>TEST_DATA!B9327</f>
        <v>Dec-2022</v>
      </c>
      <c r="C9327">
        <f>TEST_DATA!C9327</f>
        <v>44918</v>
      </c>
      <c r="D9327" t="str">
        <f>TEST_DATA!D9327</f>
        <v>NIL</v>
      </c>
      <c r="E9327">
        <f>TEST_DATA!E9327</f>
        <v>2823</v>
      </c>
    </row>
    <row r="9328" spans="1:5" x14ac:dyDescent="0.55000000000000004">
      <c r="A9328" t="str">
        <f>TEST_DATA!A9328</f>
        <v>27AAAAA9328Z5</v>
      </c>
      <c r="B9328" t="str">
        <f>TEST_DATA!B9328</f>
        <v>Jul-2018</v>
      </c>
      <c r="C9328">
        <f>TEST_DATA!C9328</f>
        <v>42980</v>
      </c>
      <c r="D9328" t="str">
        <f>TEST_DATA!D9328</f>
        <v>NON-NIL</v>
      </c>
      <c r="E9328">
        <f>TEST_DATA!E9328</f>
        <v>1021</v>
      </c>
    </row>
    <row r="9329" spans="1:5" x14ac:dyDescent="0.55000000000000004">
      <c r="A9329" t="str">
        <f>TEST_DATA!A9329</f>
        <v>27AAAAA9329Z5</v>
      </c>
      <c r="B9329" t="str">
        <f>TEST_DATA!B9329</f>
        <v>May-2018</v>
      </c>
      <c r="C9329">
        <f>TEST_DATA!C9329</f>
        <v>44104</v>
      </c>
      <c r="D9329" t="str">
        <f>TEST_DATA!D9329</f>
        <v>NIL</v>
      </c>
      <c r="E9329">
        <f>TEST_DATA!E9329</f>
        <v>2503</v>
      </c>
    </row>
    <row r="9330" spans="1:5" x14ac:dyDescent="0.55000000000000004">
      <c r="A9330" t="str">
        <f>TEST_DATA!A9330</f>
        <v>27AAAAA9330Z5</v>
      </c>
      <c r="B9330" t="str">
        <f>TEST_DATA!B9330</f>
        <v>Jun-2019</v>
      </c>
      <c r="C9330">
        <f>TEST_DATA!C9330</f>
        <v>44815</v>
      </c>
      <c r="D9330" t="str">
        <f>TEST_DATA!D9330</f>
        <v>NIL</v>
      </c>
      <c r="E9330">
        <f>TEST_DATA!E9330</f>
        <v>1892</v>
      </c>
    </row>
    <row r="9331" spans="1:5" x14ac:dyDescent="0.55000000000000004">
      <c r="A9331" t="str">
        <f>TEST_DATA!A9331</f>
        <v>27AAAAA9331Z5</v>
      </c>
      <c r="B9331" t="str">
        <f>TEST_DATA!B9331</f>
        <v>Apr-2021</v>
      </c>
      <c r="C9331">
        <f>TEST_DATA!C9331</f>
        <v>45810</v>
      </c>
      <c r="D9331" t="str">
        <f>TEST_DATA!D9331</f>
        <v>NON-NIL</v>
      </c>
      <c r="E9331">
        <f>TEST_DATA!E9331</f>
        <v>1490</v>
      </c>
    </row>
    <row r="9332" spans="1:5" x14ac:dyDescent="0.55000000000000004">
      <c r="A9332" t="str">
        <f>TEST_DATA!A9332</f>
        <v>27AAAAA9332Z5</v>
      </c>
      <c r="B9332" t="str">
        <f>TEST_DATA!B9332</f>
        <v>Jun-2019</v>
      </c>
      <c r="C9332">
        <f>TEST_DATA!C9332</f>
        <v>44753</v>
      </c>
      <c r="D9332" t="str">
        <f>TEST_DATA!D9332</f>
        <v>NON-NIL</v>
      </c>
      <c r="E9332">
        <f>TEST_DATA!E9332</f>
        <v>2078</v>
      </c>
    </row>
    <row r="9333" spans="1:5" x14ac:dyDescent="0.55000000000000004">
      <c r="A9333" t="str">
        <f>TEST_DATA!A9333</f>
        <v>27AAAAA9333Z5</v>
      </c>
      <c r="B9333" t="str">
        <f>TEST_DATA!B9333</f>
        <v>Mar-2021</v>
      </c>
      <c r="C9333">
        <f>TEST_DATA!C9333</f>
        <v>44379</v>
      </c>
      <c r="D9333" t="str">
        <f>TEST_DATA!D9333</f>
        <v>NON-NIL</v>
      </c>
      <c r="E9333">
        <f>TEST_DATA!E9333</f>
        <v>1351</v>
      </c>
    </row>
    <row r="9334" spans="1:5" x14ac:dyDescent="0.55000000000000004">
      <c r="A9334" t="str">
        <f>TEST_DATA!A9334</f>
        <v>27AAAAA9334Z5</v>
      </c>
      <c r="B9334" t="str">
        <f>TEST_DATA!B9334</f>
        <v>Aug-2018</v>
      </c>
      <c r="C9334">
        <f>TEST_DATA!C9334</f>
        <v>44280</v>
      </c>
      <c r="D9334" t="str">
        <f>TEST_DATA!D9334</f>
        <v>NIL</v>
      </c>
      <c r="E9334">
        <f>TEST_DATA!E9334</f>
        <v>1549</v>
      </c>
    </row>
    <row r="9335" spans="1:5" x14ac:dyDescent="0.55000000000000004">
      <c r="A9335" t="str">
        <f>TEST_DATA!A9335</f>
        <v>27AAAAA9335Z5</v>
      </c>
      <c r="B9335" t="str">
        <f>TEST_DATA!B9335</f>
        <v>Jan-2019</v>
      </c>
      <c r="C9335">
        <f>TEST_DATA!C9335</f>
        <v>45621</v>
      </c>
      <c r="D9335" t="str">
        <f>TEST_DATA!D9335</f>
        <v>NON-NIL</v>
      </c>
      <c r="E9335">
        <f>TEST_DATA!E9335</f>
        <v>893</v>
      </c>
    </row>
    <row r="9336" spans="1:5" x14ac:dyDescent="0.55000000000000004">
      <c r="A9336" t="str">
        <f>TEST_DATA!A9336</f>
        <v>27AAAAA9336Z5</v>
      </c>
      <c r="B9336" t="str">
        <f>TEST_DATA!B9336</f>
        <v>Apr-2018</v>
      </c>
      <c r="C9336">
        <f>TEST_DATA!C9336</f>
        <v>44303</v>
      </c>
      <c r="D9336" t="str">
        <f>TEST_DATA!D9336</f>
        <v>NIL</v>
      </c>
      <c r="E9336">
        <f>TEST_DATA!E9336</f>
        <v>2002</v>
      </c>
    </row>
    <row r="9337" spans="1:5" x14ac:dyDescent="0.55000000000000004">
      <c r="A9337" t="str">
        <f>TEST_DATA!A9337</f>
        <v>27AAAAA9337Z5</v>
      </c>
      <c r="B9337" t="str">
        <f>TEST_DATA!B9337</f>
        <v>Dec-2022</v>
      </c>
      <c r="C9337">
        <f>TEST_DATA!C9337</f>
        <v>44328</v>
      </c>
      <c r="D9337" t="str">
        <f>TEST_DATA!D9337</f>
        <v>NIL</v>
      </c>
      <c r="E9337">
        <f>TEST_DATA!E9337</f>
        <v>1813</v>
      </c>
    </row>
    <row r="9338" spans="1:5" x14ac:dyDescent="0.55000000000000004">
      <c r="A9338" t="str">
        <f>TEST_DATA!A9338</f>
        <v>27AAAAA9338Z5</v>
      </c>
      <c r="B9338" t="str">
        <f>TEST_DATA!B9338</f>
        <v>May-2020</v>
      </c>
      <c r="C9338">
        <f>TEST_DATA!C9338</f>
        <v>44031</v>
      </c>
      <c r="D9338" t="str">
        <f>TEST_DATA!D9338</f>
        <v>NON-NIL</v>
      </c>
      <c r="E9338">
        <f>TEST_DATA!E9338</f>
        <v>1907</v>
      </c>
    </row>
    <row r="9339" spans="1:5" x14ac:dyDescent="0.55000000000000004">
      <c r="A9339" t="str">
        <f>TEST_DATA!A9339</f>
        <v>27AAAAA9339Z5</v>
      </c>
      <c r="B9339" t="str">
        <f>TEST_DATA!B9339</f>
        <v>Jul-2018</v>
      </c>
      <c r="C9339">
        <f>TEST_DATA!C9339</f>
        <v>43109</v>
      </c>
      <c r="D9339" t="str">
        <f>TEST_DATA!D9339</f>
        <v>NIL</v>
      </c>
      <c r="E9339">
        <f>TEST_DATA!E9339</f>
        <v>1295</v>
      </c>
    </row>
    <row r="9340" spans="1:5" x14ac:dyDescent="0.55000000000000004">
      <c r="A9340" t="str">
        <f>TEST_DATA!A9340</f>
        <v>27AAAAA9340Z5</v>
      </c>
      <c r="B9340" t="str">
        <f>TEST_DATA!B9340</f>
        <v>Jun-2020</v>
      </c>
      <c r="C9340">
        <f>TEST_DATA!C9340</f>
        <v>43883</v>
      </c>
      <c r="D9340" t="str">
        <f>TEST_DATA!D9340</f>
        <v>NIL</v>
      </c>
      <c r="E9340">
        <f>TEST_DATA!E9340</f>
        <v>2014</v>
      </c>
    </row>
    <row r="9341" spans="1:5" x14ac:dyDescent="0.55000000000000004">
      <c r="A9341" t="str">
        <f>TEST_DATA!A9341</f>
        <v>27AAAAA9341Z5</v>
      </c>
      <c r="B9341" t="str">
        <f>TEST_DATA!B9341</f>
        <v>Jun-2019</v>
      </c>
      <c r="C9341">
        <f>TEST_DATA!C9341</f>
        <v>45655</v>
      </c>
      <c r="D9341" t="str">
        <f>TEST_DATA!D9341</f>
        <v>NIL</v>
      </c>
      <c r="E9341">
        <f>TEST_DATA!E9341</f>
        <v>1588</v>
      </c>
    </row>
    <row r="9342" spans="1:5" x14ac:dyDescent="0.55000000000000004">
      <c r="A9342" t="str">
        <f>TEST_DATA!A9342</f>
        <v>27AAAAA9342Z5</v>
      </c>
      <c r="B9342" t="str">
        <f>TEST_DATA!B9342</f>
        <v>Mar-2020</v>
      </c>
      <c r="C9342">
        <f>TEST_DATA!C9342</f>
        <v>44151</v>
      </c>
      <c r="D9342" t="str">
        <f>TEST_DATA!D9342</f>
        <v>NIL</v>
      </c>
      <c r="E9342">
        <f>TEST_DATA!E9342</f>
        <v>781</v>
      </c>
    </row>
    <row r="9343" spans="1:5" x14ac:dyDescent="0.55000000000000004">
      <c r="A9343" t="str">
        <f>TEST_DATA!A9343</f>
        <v>27AAAAA9343Z5</v>
      </c>
      <c r="B9343" t="str">
        <f>TEST_DATA!B9343</f>
        <v>Jan-2018</v>
      </c>
      <c r="C9343">
        <f>TEST_DATA!C9343</f>
        <v>44382</v>
      </c>
      <c r="D9343" t="str">
        <f>TEST_DATA!D9343</f>
        <v>NON-NIL</v>
      </c>
      <c r="E9343">
        <f>TEST_DATA!E9343</f>
        <v>1157</v>
      </c>
    </row>
    <row r="9344" spans="1:5" x14ac:dyDescent="0.55000000000000004">
      <c r="A9344" t="str">
        <f>TEST_DATA!A9344</f>
        <v>27AAAAA9344Z5</v>
      </c>
      <c r="B9344" t="str">
        <f>TEST_DATA!B9344</f>
        <v>Jul-2017</v>
      </c>
      <c r="C9344">
        <f>TEST_DATA!C9344</f>
        <v>43400</v>
      </c>
      <c r="D9344" t="str">
        <f>TEST_DATA!D9344</f>
        <v>NIL</v>
      </c>
      <c r="E9344">
        <f>TEST_DATA!E9344</f>
        <v>1674</v>
      </c>
    </row>
    <row r="9345" spans="1:5" x14ac:dyDescent="0.55000000000000004">
      <c r="A9345" t="str">
        <f>TEST_DATA!A9345</f>
        <v>27AAAAA9345Z5</v>
      </c>
      <c r="B9345" t="str">
        <f>TEST_DATA!B9345</f>
        <v>Mar-2020</v>
      </c>
      <c r="C9345">
        <f>TEST_DATA!C9345</f>
        <v>44527</v>
      </c>
      <c r="D9345" t="str">
        <f>TEST_DATA!D9345</f>
        <v>NIL</v>
      </c>
      <c r="E9345">
        <f>TEST_DATA!E9345</f>
        <v>2270</v>
      </c>
    </row>
    <row r="9346" spans="1:5" x14ac:dyDescent="0.55000000000000004">
      <c r="A9346" t="str">
        <f>TEST_DATA!A9346</f>
        <v>27AAAAA9346Z5</v>
      </c>
      <c r="B9346" t="str">
        <f>TEST_DATA!B9346</f>
        <v>May-2018</v>
      </c>
      <c r="C9346">
        <f>TEST_DATA!C9346</f>
        <v>44313</v>
      </c>
      <c r="D9346" t="str">
        <f>TEST_DATA!D9346</f>
        <v>NIL</v>
      </c>
      <c r="E9346">
        <f>TEST_DATA!E9346</f>
        <v>2982</v>
      </c>
    </row>
    <row r="9347" spans="1:5" x14ac:dyDescent="0.55000000000000004">
      <c r="A9347" t="str">
        <f>TEST_DATA!A9347</f>
        <v>27AAAAA9347Z5</v>
      </c>
      <c r="B9347" t="str">
        <f>TEST_DATA!B9347</f>
        <v>Dec-2017</v>
      </c>
      <c r="C9347">
        <f>TEST_DATA!C9347</f>
        <v>43376</v>
      </c>
      <c r="D9347" t="str">
        <f>TEST_DATA!D9347</f>
        <v>NIL</v>
      </c>
      <c r="E9347">
        <f>TEST_DATA!E9347</f>
        <v>566</v>
      </c>
    </row>
    <row r="9348" spans="1:5" x14ac:dyDescent="0.55000000000000004">
      <c r="A9348" t="str">
        <f>TEST_DATA!A9348</f>
        <v>27AAAAA9348Z5</v>
      </c>
      <c r="B9348" t="str">
        <f>TEST_DATA!B9348</f>
        <v>Dec-2022</v>
      </c>
      <c r="C9348">
        <f>TEST_DATA!C9348</f>
        <v>45074</v>
      </c>
      <c r="D9348" t="str">
        <f>TEST_DATA!D9348</f>
        <v>NON-NIL</v>
      </c>
      <c r="E9348">
        <f>TEST_DATA!E9348</f>
        <v>801</v>
      </c>
    </row>
    <row r="9349" spans="1:5" x14ac:dyDescent="0.55000000000000004">
      <c r="A9349" t="str">
        <f>TEST_DATA!A9349</f>
        <v>27AAAAA9349Z5</v>
      </c>
      <c r="B9349" t="str">
        <f>TEST_DATA!B9349</f>
        <v>Dec-2017</v>
      </c>
      <c r="C9349">
        <f>TEST_DATA!C9349</f>
        <v>43856</v>
      </c>
      <c r="D9349" t="str">
        <f>TEST_DATA!D9349</f>
        <v>NIL</v>
      </c>
      <c r="E9349">
        <f>TEST_DATA!E9349</f>
        <v>1284</v>
      </c>
    </row>
    <row r="9350" spans="1:5" x14ac:dyDescent="0.55000000000000004">
      <c r="A9350" t="str">
        <f>TEST_DATA!A9350</f>
        <v>27AAAAA9350Z5</v>
      </c>
      <c r="B9350" t="str">
        <f>TEST_DATA!B9350</f>
        <v>Jul-2020</v>
      </c>
      <c r="C9350">
        <f>TEST_DATA!C9350</f>
        <v>44508</v>
      </c>
      <c r="D9350" t="str">
        <f>TEST_DATA!D9350</f>
        <v>NIL</v>
      </c>
      <c r="E9350">
        <f>TEST_DATA!E9350</f>
        <v>1166</v>
      </c>
    </row>
    <row r="9351" spans="1:5" x14ac:dyDescent="0.55000000000000004">
      <c r="A9351" t="str">
        <f>TEST_DATA!A9351</f>
        <v>27AAAAA9351Z5</v>
      </c>
      <c r="B9351" t="str">
        <f>TEST_DATA!B9351</f>
        <v>Apr-2020</v>
      </c>
      <c r="C9351">
        <f>TEST_DATA!C9351</f>
        <v>44753</v>
      </c>
      <c r="D9351" t="str">
        <f>TEST_DATA!D9351</f>
        <v>NIL</v>
      </c>
      <c r="E9351">
        <f>TEST_DATA!E9351</f>
        <v>1075</v>
      </c>
    </row>
    <row r="9352" spans="1:5" x14ac:dyDescent="0.55000000000000004">
      <c r="A9352" t="str">
        <f>TEST_DATA!A9352</f>
        <v>27AAAAA9352Z5</v>
      </c>
      <c r="B9352" t="str">
        <f>TEST_DATA!B9352</f>
        <v>Apr-2020</v>
      </c>
      <c r="C9352">
        <f>TEST_DATA!C9352</f>
        <v>43940</v>
      </c>
      <c r="D9352" t="str">
        <f>TEST_DATA!D9352</f>
        <v>NIL</v>
      </c>
      <c r="E9352">
        <f>TEST_DATA!E9352</f>
        <v>572</v>
      </c>
    </row>
    <row r="9353" spans="1:5" x14ac:dyDescent="0.55000000000000004">
      <c r="A9353" t="str">
        <f>TEST_DATA!A9353</f>
        <v>27AAAAA9353Z5</v>
      </c>
      <c r="B9353" t="str">
        <f>TEST_DATA!B9353</f>
        <v>Nov-2017</v>
      </c>
      <c r="C9353">
        <f>TEST_DATA!C9353</f>
        <v>43420</v>
      </c>
      <c r="D9353" t="str">
        <f>TEST_DATA!D9353</f>
        <v>NON-NIL</v>
      </c>
      <c r="E9353">
        <f>TEST_DATA!E9353</f>
        <v>1974</v>
      </c>
    </row>
    <row r="9354" spans="1:5" x14ac:dyDescent="0.55000000000000004">
      <c r="A9354" t="str">
        <f>TEST_DATA!A9354</f>
        <v>27AAAAA9354Z5</v>
      </c>
      <c r="B9354" t="str">
        <f>TEST_DATA!B9354</f>
        <v>Jan-2019</v>
      </c>
      <c r="C9354">
        <f>TEST_DATA!C9354</f>
        <v>43772</v>
      </c>
      <c r="D9354" t="str">
        <f>TEST_DATA!D9354</f>
        <v>NON-NIL</v>
      </c>
      <c r="E9354">
        <f>TEST_DATA!E9354</f>
        <v>1736</v>
      </c>
    </row>
    <row r="9355" spans="1:5" x14ac:dyDescent="0.55000000000000004">
      <c r="A9355" t="str">
        <f>TEST_DATA!A9355</f>
        <v>27AAAAA9355Z5</v>
      </c>
      <c r="B9355" t="str">
        <f>TEST_DATA!B9355</f>
        <v>Apr-2021</v>
      </c>
      <c r="C9355">
        <f>TEST_DATA!C9355</f>
        <v>44816</v>
      </c>
      <c r="D9355" t="str">
        <f>TEST_DATA!D9355</f>
        <v>NIL</v>
      </c>
      <c r="E9355">
        <f>TEST_DATA!E9355</f>
        <v>2396</v>
      </c>
    </row>
    <row r="9356" spans="1:5" x14ac:dyDescent="0.55000000000000004">
      <c r="A9356" t="str">
        <f>TEST_DATA!A9356</f>
        <v>27AAAAA9356Z5</v>
      </c>
      <c r="B9356" t="str">
        <f>TEST_DATA!B9356</f>
        <v>Feb-2018</v>
      </c>
      <c r="C9356">
        <f>TEST_DATA!C9356</f>
        <v>44371</v>
      </c>
      <c r="D9356" t="str">
        <f>TEST_DATA!D9356</f>
        <v>NON-NIL</v>
      </c>
      <c r="E9356">
        <f>TEST_DATA!E9356</f>
        <v>1285</v>
      </c>
    </row>
    <row r="9357" spans="1:5" x14ac:dyDescent="0.55000000000000004">
      <c r="A9357" t="str">
        <f>TEST_DATA!A9357</f>
        <v>27AAAAA9357Z5</v>
      </c>
      <c r="B9357" t="str">
        <f>TEST_DATA!B9357</f>
        <v>Jun-2018</v>
      </c>
      <c r="C9357">
        <f>TEST_DATA!C9357</f>
        <v>43622</v>
      </c>
      <c r="D9357" t="str">
        <f>TEST_DATA!D9357</f>
        <v>NON-NIL</v>
      </c>
      <c r="E9357">
        <f>TEST_DATA!E9357</f>
        <v>171</v>
      </c>
    </row>
    <row r="9358" spans="1:5" x14ac:dyDescent="0.55000000000000004">
      <c r="A9358" t="str">
        <f>TEST_DATA!A9358</f>
        <v>27AAAAA9358Z5</v>
      </c>
      <c r="B9358" t="str">
        <f>TEST_DATA!B9358</f>
        <v>Nov-2017</v>
      </c>
      <c r="C9358">
        <f>TEST_DATA!C9358</f>
        <v>42992</v>
      </c>
      <c r="D9358" t="str">
        <f>TEST_DATA!D9358</f>
        <v>NIL</v>
      </c>
      <c r="E9358">
        <f>TEST_DATA!E9358</f>
        <v>1683</v>
      </c>
    </row>
    <row r="9359" spans="1:5" x14ac:dyDescent="0.55000000000000004">
      <c r="A9359" t="str">
        <f>TEST_DATA!A9359</f>
        <v>27AAAAA9359Z5</v>
      </c>
      <c r="B9359" t="str">
        <f>TEST_DATA!B9359</f>
        <v>Oct-2017</v>
      </c>
      <c r="C9359">
        <f>TEST_DATA!C9359</f>
        <v>43880</v>
      </c>
      <c r="D9359" t="str">
        <f>TEST_DATA!D9359</f>
        <v>NON-NIL</v>
      </c>
      <c r="E9359">
        <f>TEST_DATA!E9359</f>
        <v>301</v>
      </c>
    </row>
    <row r="9360" spans="1:5" x14ac:dyDescent="0.55000000000000004">
      <c r="A9360" t="str">
        <f>TEST_DATA!A9360</f>
        <v>27AAAAA9360Z5</v>
      </c>
      <c r="B9360" t="str">
        <f>TEST_DATA!B9360</f>
        <v>Jan-2018</v>
      </c>
      <c r="C9360">
        <f>TEST_DATA!C9360</f>
        <v>43773</v>
      </c>
      <c r="D9360" t="str">
        <f>TEST_DATA!D9360</f>
        <v>NON-NIL</v>
      </c>
      <c r="E9360">
        <f>TEST_DATA!E9360</f>
        <v>1087</v>
      </c>
    </row>
    <row r="9361" spans="1:5" x14ac:dyDescent="0.55000000000000004">
      <c r="A9361" t="str">
        <f>TEST_DATA!A9361</f>
        <v>27AAAAA9361Z5</v>
      </c>
      <c r="B9361" t="str">
        <f>TEST_DATA!B9361</f>
        <v>Apr-2021</v>
      </c>
      <c r="C9361">
        <f>TEST_DATA!C9361</f>
        <v>44942</v>
      </c>
      <c r="D9361" t="str">
        <f>TEST_DATA!D9361</f>
        <v>NON-NIL</v>
      </c>
      <c r="E9361">
        <f>TEST_DATA!E9361</f>
        <v>1925</v>
      </c>
    </row>
    <row r="9362" spans="1:5" x14ac:dyDescent="0.55000000000000004">
      <c r="A9362" t="str">
        <f>TEST_DATA!A9362</f>
        <v>27AAAAA9362Z5</v>
      </c>
      <c r="B9362" t="str">
        <f>TEST_DATA!B9362</f>
        <v>Apr-2021</v>
      </c>
      <c r="C9362">
        <f>TEST_DATA!C9362</f>
        <v>45070</v>
      </c>
      <c r="D9362" t="str">
        <f>TEST_DATA!D9362</f>
        <v>NIL</v>
      </c>
      <c r="E9362">
        <f>TEST_DATA!E9362</f>
        <v>655</v>
      </c>
    </row>
    <row r="9363" spans="1:5" x14ac:dyDescent="0.55000000000000004">
      <c r="A9363" t="str">
        <f>TEST_DATA!A9363</f>
        <v>27AAAAA9363Z5</v>
      </c>
      <c r="B9363" t="str">
        <f>TEST_DATA!B9363</f>
        <v>Oct-2017</v>
      </c>
      <c r="C9363">
        <f>TEST_DATA!C9363</f>
        <v>44045</v>
      </c>
      <c r="D9363" t="str">
        <f>TEST_DATA!D9363</f>
        <v>NIL</v>
      </c>
      <c r="E9363">
        <f>TEST_DATA!E9363</f>
        <v>2714</v>
      </c>
    </row>
    <row r="9364" spans="1:5" x14ac:dyDescent="0.55000000000000004">
      <c r="A9364" t="str">
        <f>TEST_DATA!A9364</f>
        <v>27AAAAA9364Z5</v>
      </c>
      <c r="B9364" t="str">
        <f>TEST_DATA!B9364</f>
        <v>Apr-2020</v>
      </c>
      <c r="C9364">
        <f>TEST_DATA!C9364</f>
        <v>44021</v>
      </c>
      <c r="D9364" t="str">
        <f>TEST_DATA!D9364</f>
        <v>NIL</v>
      </c>
      <c r="E9364">
        <f>TEST_DATA!E9364</f>
        <v>1956</v>
      </c>
    </row>
    <row r="9365" spans="1:5" x14ac:dyDescent="0.55000000000000004">
      <c r="A9365" t="str">
        <f>TEST_DATA!A9365</f>
        <v>27AAAAA9365Z5</v>
      </c>
      <c r="B9365" t="str">
        <f>TEST_DATA!B9365</f>
        <v>Jun-2020</v>
      </c>
      <c r="C9365">
        <f>TEST_DATA!C9365</f>
        <v>43860</v>
      </c>
      <c r="D9365" t="str">
        <f>TEST_DATA!D9365</f>
        <v>NON-NIL</v>
      </c>
      <c r="E9365">
        <f>TEST_DATA!E9365</f>
        <v>1330</v>
      </c>
    </row>
    <row r="9366" spans="1:5" x14ac:dyDescent="0.55000000000000004">
      <c r="A9366" t="str">
        <f>TEST_DATA!A9366</f>
        <v>27AAAAA9366Z5</v>
      </c>
      <c r="B9366" t="str">
        <f>TEST_DATA!B9366</f>
        <v>Jul-2017</v>
      </c>
      <c r="C9366">
        <f>TEST_DATA!C9366</f>
        <v>43813</v>
      </c>
      <c r="D9366" t="str">
        <f>TEST_DATA!D9366</f>
        <v>NON-NIL</v>
      </c>
      <c r="E9366">
        <f>TEST_DATA!E9366</f>
        <v>423</v>
      </c>
    </row>
    <row r="9367" spans="1:5" x14ac:dyDescent="0.55000000000000004">
      <c r="A9367" t="str">
        <f>TEST_DATA!A9367</f>
        <v>27AAAAA9367Z5</v>
      </c>
      <c r="B9367" t="str">
        <f>TEST_DATA!B9367</f>
        <v>Dec-2024</v>
      </c>
      <c r="C9367">
        <f>TEST_DATA!C9367</f>
        <v>44096</v>
      </c>
      <c r="D9367" t="str">
        <f>TEST_DATA!D9367</f>
        <v>NIL</v>
      </c>
      <c r="E9367">
        <f>TEST_DATA!E9367</f>
        <v>612</v>
      </c>
    </row>
    <row r="9368" spans="1:5" x14ac:dyDescent="0.55000000000000004">
      <c r="A9368" t="str">
        <f>TEST_DATA!A9368</f>
        <v>27AAAAA9368Z5</v>
      </c>
      <c r="B9368" t="str">
        <f>TEST_DATA!B9368</f>
        <v>Dec-2019</v>
      </c>
      <c r="C9368">
        <f>TEST_DATA!C9368</f>
        <v>44436</v>
      </c>
      <c r="D9368" t="str">
        <f>TEST_DATA!D9368</f>
        <v>NIL</v>
      </c>
      <c r="E9368">
        <f>TEST_DATA!E9368</f>
        <v>1493</v>
      </c>
    </row>
    <row r="9369" spans="1:5" x14ac:dyDescent="0.55000000000000004">
      <c r="A9369" t="str">
        <f>TEST_DATA!A9369</f>
        <v>27AAAAA9369Z5</v>
      </c>
      <c r="B9369" t="str">
        <f>TEST_DATA!B9369</f>
        <v>Jul-2018</v>
      </c>
      <c r="C9369">
        <f>TEST_DATA!C9369</f>
        <v>43523</v>
      </c>
      <c r="D9369" t="str">
        <f>TEST_DATA!D9369</f>
        <v>NON-NIL</v>
      </c>
      <c r="E9369">
        <f>TEST_DATA!E9369</f>
        <v>1717</v>
      </c>
    </row>
    <row r="9370" spans="1:5" x14ac:dyDescent="0.55000000000000004">
      <c r="A9370" t="str">
        <f>TEST_DATA!A9370</f>
        <v>27AAAAA9370Z5</v>
      </c>
      <c r="B9370" t="str">
        <f>TEST_DATA!B9370</f>
        <v>Dec-2019</v>
      </c>
      <c r="C9370">
        <f>TEST_DATA!C9370</f>
        <v>44910</v>
      </c>
      <c r="D9370" t="str">
        <f>TEST_DATA!D9370</f>
        <v>NIL</v>
      </c>
      <c r="E9370">
        <f>TEST_DATA!E9370</f>
        <v>2749</v>
      </c>
    </row>
    <row r="9371" spans="1:5" x14ac:dyDescent="0.55000000000000004">
      <c r="A9371" t="str">
        <f>TEST_DATA!A9371</f>
        <v>27AAAAA9371Z5</v>
      </c>
      <c r="B9371" t="str">
        <f>TEST_DATA!B9371</f>
        <v>Jul-2017</v>
      </c>
      <c r="C9371">
        <f>TEST_DATA!C9371</f>
        <v>43442</v>
      </c>
      <c r="D9371" t="str">
        <f>TEST_DATA!D9371</f>
        <v>NON-NIL</v>
      </c>
      <c r="E9371">
        <f>TEST_DATA!E9371</f>
        <v>1514</v>
      </c>
    </row>
    <row r="9372" spans="1:5" x14ac:dyDescent="0.55000000000000004">
      <c r="A9372" t="str">
        <f>TEST_DATA!A9372</f>
        <v>27AAAAA9372Z5</v>
      </c>
      <c r="B9372" t="str">
        <f>TEST_DATA!B9372</f>
        <v>May-2018</v>
      </c>
      <c r="C9372">
        <f>TEST_DATA!C9372</f>
        <v>43613</v>
      </c>
      <c r="D9372" t="str">
        <f>TEST_DATA!D9372</f>
        <v>NON-NIL</v>
      </c>
      <c r="E9372">
        <f>TEST_DATA!E9372</f>
        <v>209</v>
      </c>
    </row>
    <row r="9373" spans="1:5" x14ac:dyDescent="0.55000000000000004">
      <c r="A9373" t="str">
        <f>TEST_DATA!A9373</f>
        <v>27AAAAA9373Z5</v>
      </c>
      <c r="B9373" t="str">
        <f>TEST_DATA!B9373</f>
        <v>Nov-2017</v>
      </c>
      <c r="C9373">
        <f>TEST_DATA!C9373</f>
        <v>43752</v>
      </c>
      <c r="D9373" t="str">
        <f>TEST_DATA!D9373</f>
        <v>NIL</v>
      </c>
      <c r="E9373">
        <f>TEST_DATA!E9373</f>
        <v>2890</v>
      </c>
    </row>
    <row r="9374" spans="1:5" x14ac:dyDescent="0.55000000000000004">
      <c r="A9374" t="str">
        <f>TEST_DATA!A9374</f>
        <v>27AAAAA9374Z5</v>
      </c>
      <c r="B9374" t="str">
        <f>TEST_DATA!B9374</f>
        <v>May-2018</v>
      </c>
      <c r="C9374">
        <f>TEST_DATA!C9374</f>
        <v>43794</v>
      </c>
      <c r="D9374" t="str">
        <f>TEST_DATA!D9374</f>
        <v>NIL</v>
      </c>
      <c r="E9374">
        <f>TEST_DATA!E9374</f>
        <v>2046</v>
      </c>
    </row>
    <row r="9375" spans="1:5" x14ac:dyDescent="0.55000000000000004">
      <c r="A9375" t="str">
        <f>TEST_DATA!A9375</f>
        <v>27AAAAA9375Z5</v>
      </c>
      <c r="B9375" t="str">
        <f>TEST_DATA!B9375</f>
        <v>Jan-2019</v>
      </c>
      <c r="C9375">
        <f>TEST_DATA!C9375</f>
        <v>45461</v>
      </c>
      <c r="D9375" t="str">
        <f>TEST_DATA!D9375</f>
        <v>NON-NIL</v>
      </c>
      <c r="E9375">
        <f>TEST_DATA!E9375</f>
        <v>886</v>
      </c>
    </row>
    <row r="9376" spans="1:5" x14ac:dyDescent="0.55000000000000004">
      <c r="A9376" t="str">
        <f>TEST_DATA!A9376</f>
        <v>27AAAAA9376Z5</v>
      </c>
      <c r="B9376" t="str">
        <f>TEST_DATA!B9376</f>
        <v>Feb-2018</v>
      </c>
      <c r="C9376">
        <f>TEST_DATA!C9376</f>
        <v>44240</v>
      </c>
      <c r="D9376" t="str">
        <f>TEST_DATA!D9376</f>
        <v>NIL</v>
      </c>
      <c r="E9376">
        <f>TEST_DATA!E9376</f>
        <v>1999</v>
      </c>
    </row>
    <row r="9377" spans="1:5" x14ac:dyDescent="0.55000000000000004">
      <c r="A9377" t="str">
        <f>TEST_DATA!A9377</f>
        <v>27AAAAA9377Z5</v>
      </c>
      <c r="B9377" t="str">
        <f>TEST_DATA!B9377</f>
        <v>Aug-2018</v>
      </c>
      <c r="C9377">
        <f>TEST_DATA!C9377</f>
        <v>43309</v>
      </c>
      <c r="D9377" t="str">
        <f>TEST_DATA!D9377</f>
        <v>NIL</v>
      </c>
      <c r="E9377">
        <f>TEST_DATA!E9377</f>
        <v>1076</v>
      </c>
    </row>
    <row r="9378" spans="1:5" x14ac:dyDescent="0.55000000000000004">
      <c r="A9378" t="str">
        <f>TEST_DATA!A9378</f>
        <v>27AAAAA9378Z5</v>
      </c>
      <c r="B9378" t="str">
        <f>TEST_DATA!B9378</f>
        <v>Jun-2020</v>
      </c>
      <c r="C9378">
        <f>TEST_DATA!C9378</f>
        <v>44672</v>
      </c>
      <c r="D9378" t="str">
        <f>TEST_DATA!D9378</f>
        <v>NIL</v>
      </c>
      <c r="E9378">
        <f>TEST_DATA!E9378</f>
        <v>119</v>
      </c>
    </row>
    <row r="9379" spans="1:5" x14ac:dyDescent="0.55000000000000004">
      <c r="A9379" t="str">
        <f>TEST_DATA!A9379</f>
        <v>27AAAAA9379Z5</v>
      </c>
      <c r="B9379" t="str">
        <f>TEST_DATA!B9379</f>
        <v>Jun-2019</v>
      </c>
      <c r="C9379">
        <f>TEST_DATA!C9379</f>
        <v>44194</v>
      </c>
      <c r="D9379" t="str">
        <f>TEST_DATA!D9379</f>
        <v>NIL</v>
      </c>
      <c r="E9379">
        <f>TEST_DATA!E9379</f>
        <v>1639</v>
      </c>
    </row>
    <row r="9380" spans="1:5" x14ac:dyDescent="0.55000000000000004">
      <c r="A9380" t="str">
        <f>TEST_DATA!A9380</f>
        <v>27AAAAA9380Z5</v>
      </c>
      <c r="B9380" t="str">
        <f>TEST_DATA!B9380</f>
        <v>Mar-2020</v>
      </c>
      <c r="C9380">
        <f>TEST_DATA!C9380</f>
        <v>44603</v>
      </c>
      <c r="D9380" t="str">
        <f>TEST_DATA!D9380</f>
        <v>NIL</v>
      </c>
      <c r="E9380">
        <f>TEST_DATA!E9380</f>
        <v>1737</v>
      </c>
    </row>
    <row r="9381" spans="1:5" x14ac:dyDescent="0.55000000000000004">
      <c r="A9381" t="str">
        <f>TEST_DATA!A9381</f>
        <v>27AAAAA9381Z5</v>
      </c>
      <c r="B9381" t="str">
        <f>TEST_DATA!B9381</f>
        <v>Dec-2024</v>
      </c>
      <c r="C9381">
        <f>TEST_DATA!C9381</f>
        <v>45771</v>
      </c>
      <c r="D9381" t="str">
        <f>TEST_DATA!D9381</f>
        <v>NIL</v>
      </c>
      <c r="E9381">
        <f>TEST_DATA!E9381</f>
        <v>752</v>
      </c>
    </row>
    <row r="9382" spans="1:5" x14ac:dyDescent="0.55000000000000004">
      <c r="A9382" t="str">
        <f>TEST_DATA!A9382</f>
        <v>27AAAAA9382Z5</v>
      </c>
      <c r="B9382" t="str">
        <f>TEST_DATA!B9382</f>
        <v>Jun-2020</v>
      </c>
      <c r="C9382">
        <f>TEST_DATA!C9382</f>
        <v>44207</v>
      </c>
      <c r="D9382" t="str">
        <f>TEST_DATA!D9382</f>
        <v>NIL</v>
      </c>
      <c r="E9382">
        <f>TEST_DATA!E9382</f>
        <v>254</v>
      </c>
    </row>
    <row r="9383" spans="1:5" x14ac:dyDescent="0.55000000000000004">
      <c r="A9383" t="str">
        <f>TEST_DATA!A9383</f>
        <v>27AAAAA9383Z5</v>
      </c>
      <c r="B9383" t="str">
        <f>TEST_DATA!B9383</f>
        <v>Mar-2020</v>
      </c>
      <c r="C9383">
        <f>TEST_DATA!C9383</f>
        <v>44740</v>
      </c>
      <c r="D9383" t="str">
        <f>TEST_DATA!D9383</f>
        <v>NON-NIL</v>
      </c>
      <c r="E9383">
        <f>TEST_DATA!E9383</f>
        <v>1381</v>
      </c>
    </row>
    <row r="9384" spans="1:5" x14ac:dyDescent="0.55000000000000004">
      <c r="A9384" t="str">
        <f>TEST_DATA!A9384</f>
        <v>27AAAAA9384Z5</v>
      </c>
      <c r="B9384" t="str">
        <f>TEST_DATA!B9384</f>
        <v>Jun-2020</v>
      </c>
      <c r="C9384">
        <f>TEST_DATA!C9384</f>
        <v>43878</v>
      </c>
      <c r="D9384" t="str">
        <f>TEST_DATA!D9384</f>
        <v>NON-NIL</v>
      </c>
      <c r="E9384">
        <f>TEST_DATA!E9384</f>
        <v>426</v>
      </c>
    </row>
    <row r="9385" spans="1:5" x14ac:dyDescent="0.55000000000000004">
      <c r="A9385" t="str">
        <f>TEST_DATA!A9385</f>
        <v>27AAAAA9385Z5</v>
      </c>
      <c r="B9385" t="str">
        <f>TEST_DATA!B9385</f>
        <v>Sep-2018</v>
      </c>
      <c r="C9385">
        <f>TEST_DATA!C9385</f>
        <v>44500</v>
      </c>
      <c r="D9385" t="str">
        <f>TEST_DATA!D9385</f>
        <v>NIL</v>
      </c>
      <c r="E9385">
        <f>TEST_DATA!E9385</f>
        <v>1768</v>
      </c>
    </row>
    <row r="9386" spans="1:5" x14ac:dyDescent="0.55000000000000004">
      <c r="A9386" t="str">
        <f>TEST_DATA!A9386</f>
        <v>27AAAAA9386Z5</v>
      </c>
      <c r="B9386" t="str">
        <f>TEST_DATA!B9386</f>
        <v>May-2020</v>
      </c>
      <c r="C9386">
        <f>TEST_DATA!C9386</f>
        <v>44777</v>
      </c>
      <c r="D9386" t="str">
        <f>TEST_DATA!D9386</f>
        <v>NIL</v>
      </c>
      <c r="E9386">
        <f>TEST_DATA!E9386</f>
        <v>2954</v>
      </c>
    </row>
    <row r="9387" spans="1:5" x14ac:dyDescent="0.55000000000000004">
      <c r="A9387" t="str">
        <f>TEST_DATA!A9387</f>
        <v>27AAAAA9387Z5</v>
      </c>
      <c r="B9387" t="str">
        <f>TEST_DATA!B9387</f>
        <v>Sep-2017</v>
      </c>
      <c r="C9387">
        <f>TEST_DATA!C9387</f>
        <v>43614</v>
      </c>
      <c r="D9387" t="str">
        <f>TEST_DATA!D9387</f>
        <v>NIL</v>
      </c>
      <c r="E9387">
        <f>TEST_DATA!E9387</f>
        <v>707</v>
      </c>
    </row>
    <row r="9388" spans="1:5" x14ac:dyDescent="0.55000000000000004">
      <c r="A9388" t="str">
        <f>TEST_DATA!A9388</f>
        <v>27AAAAA9388Z5</v>
      </c>
      <c r="B9388" t="str">
        <f>TEST_DATA!B9388</f>
        <v>Aug-2017</v>
      </c>
      <c r="C9388">
        <f>TEST_DATA!C9388</f>
        <v>43031</v>
      </c>
      <c r="D9388" t="str">
        <f>TEST_DATA!D9388</f>
        <v>NIL</v>
      </c>
      <c r="E9388">
        <f>TEST_DATA!E9388</f>
        <v>2392</v>
      </c>
    </row>
    <row r="9389" spans="1:5" x14ac:dyDescent="0.55000000000000004">
      <c r="A9389" t="str">
        <f>TEST_DATA!A9389</f>
        <v>27AAAAA9389Z5</v>
      </c>
      <c r="B9389" t="str">
        <f>TEST_DATA!B9389</f>
        <v>Mar-2023</v>
      </c>
      <c r="C9389">
        <f>TEST_DATA!C9389</f>
        <v>44321</v>
      </c>
      <c r="D9389" t="str">
        <f>TEST_DATA!D9389</f>
        <v>NON-NIL</v>
      </c>
      <c r="E9389">
        <f>TEST_DATA!E9389</f>
        <v>1267</v>
      </c>
    </row>
    <row r="9390" spans="1:5" x14ac:dyDescent="0.55000000000000004">
      <c r="A9390" t="str">
        <f>TEST_DATA!A9390</f>
        <v>27AAAAA9390Z5</v>
      </c>
      <c r="B9390" t="str">
        <f>TEST_DATA!B9390</f>
        <v>Apr-2020</v>
      </c>
      <c r="C9390">
        <f>TEST_DATA!C9390</f>
        <v>43898</v>
      </c>
      <c r="D9390" t="str">
        <f>TEST_DATA!D9390</f>
        <v>NON-NIL</v>
      </c>
      <c r="E9390">
        <f>TEST_DATA!E9390</f>
        <v>1787</v>
      </c>
    </row>
    <row r="9391" spans="1:5" x14ac:dyDescent="0.55000000000000004">
      <c r="A9391" t="str">
        <f>TEST_DATA!A9391</f>
        <v>27AAAAA9391Z5</v>
      </c>
      <c r="B9391" t="str">
        <f>TEST_DATA!B9391</f>
        <v>Apr-2020</v>
      </c>
      <c r="C9391">
        <f>TEST_DATA!C9391</f>
        <v>44805</v>
      </c>
      <c r="D9391" t="str">
        <f>TEST_DATA!D9391</f>
        <v>NIL</v>
      </c>
      <c r="E9391">
        <f>TEST_DATA!E9391</f>
        <v>469</v>
      </c>
    </row>
    <row r="9392" spans="1:5" x14ac:dyDescent="0.55000000000000004">
      <c r="A9392" t="str">
        <f>TEST_DATA!A9392</f>
        <v>27AAAAA9392Z5</v>
      </c>
      <c r="B9392" t="str">
        <f>TEST_DATA!B9392</f>
        <v>Jul-2018</v>
      </c>
      <c r="C9392">
        <f>TEST_DATA!C9392</f>
        <v>43290</v>
      </c>
      <c r="D9392" t="str">
        <f>TEST_DATA!D9392</f>
        <v>NIL</v>
      </c>
      <c r="E9392">
        <f>TEST_DATA!E9392</f>
        <v>2257</v>
      </c>
    </row>
    <row r="9393" spans="1:5" x14ac:dyDescent="0.55000000000000004">
      <c r="A9393" t="str">
        <f>TEST_DATA!A9393</f>
        <v>27AAAAA9393Z5</v>
      </c>
      <c r="B9393" t="str">
        <f>TEST_DATA!B9393</f>
        <v>May-2020</v>
      </c>
      <c r="C9393">
        <f>TEST_DATA!C9393</f>
        <v>44227</v>
      </c>
      <c r="D9393" t="str">
        <f>TEST_DATA!D9393</f>
        <v>NIL</v>
      </c>
      <c r="E9393">
        <f>TEST_DATA!E9393</f>
        <v>2810</v>
      </c>
    </row>
    <row r="9394" spans="1:5" x14ac:dyDescent="0.55000000000000004">
      <c r="A9394" t="str">
        <f>TEST_DATA!A9394</f>
        <v>27AAAAA9394Z5</v>
      </c>
      <c r="B9394" t="str">
        <f>TEST_DATA!B9394</f>
        <v>Dec-2022</v>
      </c>
      <c r="C9394">
        <f>TEST_DATA!C9394</f>
        <v>44413</v>
      </c>
      <c r="D9394" t="str">
        <f>TEST_DATA!D9394</f>
        <v>NIL</v>
      </c>
      <c r="E9394">
        <f>TEST_DATA!E9394</f>
        <v>2442</v>
      </c>
    </row>
    <row r="9395" spans="1:5" x14ac:dyDescent="0.55000000000000004">
      <c r="A9395" t="str">
        <f>TEST_DATA!A9395</f>
        <v>27AAAAA9395Z5</v>
      </c>
      <c r="B9395" t="str">
        <f>TEST_DATA!B9395</f>
        <v>Dec-2017</v>
      </c>
      <c r="C9395">
        <f>TEST_DATA!C9395</f>
        <v>44100</v>
      </c>
      <c r="D9395" t="str">
        <f>TEST_DATA!D9395</f>
        <v>NON-NIL</v>
      </c>
      <c r="E9395">
        <f>TEST_DATA!E9395</f>
        <v>2657</v>
      </c>
    </row>
    <row r="9396" spans="1:5" x14ac:dyDescent="0.55000000000000004">
      <c r="A9396" t="str">
        <f>TEST_DATA!A9396</f>
        <v>27AAAAA9396Z5</v>
      </c>
      <c r="B9396" t="str">
        <f>TEST_DATA!B9396</f>
        <v>Apr-2020</v>
      </c>
      <c r="C9396">
        <f>TEST_DATA!C9396</f>
        <v>44131</v>
      </c>
      <c r="D9396" t="str">
        <f>TEST_DATA!D9396</f>
        <v>NIL</v>
      </c>
      <c r="E9396">
        <f>TEST_DATA!E9396</f>
        <v>10</v>
      </c>
    </row>
    <row r="9397" spans="1:5" x14ac:dyDescent="0.55000000000000004">
      <c r="A9397" t="str">
        <f>TEST_DATA!A9397</f>
        <v>27AAAAA9397Z5</v>
      </c>
      <c r="B9397" t="str">
        <f>TEST_DATA!B9397</f>
        <v>Mar-2023</v>
      </c>
      <c r="C9397">
        <f>TEST_DATA!C9397</f>
        <v>44847</v>
      </c>
      <c r="D9397" t="str">
        <f>TEST_DATA!D9397</f>
        <v>NIL</v>
      </c>
      <c r="E9397">
        <f>TEST_DATA!E9397</f>
        <v>101</v>
      </c>
    </row>
    <row r="9398" spans="1:5" x14ac:dyDescent="0.55000000000000004">
      <c r="A9398" t="str">
        <f>TEST_DATA!A9398</f>
        <v>27AAAAA9398Z5</v>
      </c>
      <c r="B9398" t="str">
        <f>TEST_DATA!B9398</f>
        <v>Jan-2019</v>
      </c>
      <c r="C9398">
        <f>TEST_DATA!C9398</f>
        <v>43814</v>
      </c>
      <c r="D9398" t="str">
        <f>TEST_DATA!D9398</f>
        <v>NIL</v>
      </c>
      <c r="E9398">
        <f>TEST_DATA!E9398</f>
        <v>709</v>
      </c>
    </row>
    <row r="9399" spans="1:5" x14ac:dyDescent="0.55000000000000004">
      <c r="A9399" t="str">
        <f>TEST_DATA!A9399</f>
        <v>27AAAAA9399Z5</v>
      </c>
      <c r="B9399" t="str">
        <f>TEST_DATA!B9399</f>
        <v>Aug-2018</v>
      </c>
      <c r="C9399">
        <f>TEST_DATA!C9399</f>
        <v>43003</v>
      </c>
      <c r="D9399" t="str">
        <f>TEST_DATA!D9399</f>
        <v>NIL</v>
      </c>
      <c r="E9399">
        <f>TEST_DATA!E9399</f>
        <v>2290</v>
      </c>
    </row>
    <row r="9400" spans="1:5" x14ac:dyDescent="0.55000000000000004">
      <c r="A9400" t="str">
        <f>TEST_DATA!A9400</f>
        <v>27AAAAA9400Z5</v>
      </c>
      <c r="B9400" t="str">
        <f>TEST_DATA!B9400</f>
        <v>Nov-2017</v>
      </c>
      <c r="C9400">
        <f>TEST_DATA!C9400</f>
        <v>43214</v>
      </c>
      <c r="D9400" t="str">
        <f>TEST_DATA!D9400</f>
        <v>NIL</v>
      </c>
      <c r="E9400">
        <f>TEST_DATA!E9400</f>
        <v>2672</v>
      </c>
    </row>
    <row r="9401" spans="1:5" x14ac:dyDescent="0.55000000000000004">
      <c r="A9401" t="str">
        <f>TEST_DATA!A9401</f>
        <v>27AAAAA9401Z5</v>
      </c>
      <c r="B9401" t="str">
        <f>TEST_DATA!B9401</f>
        <v>Sep-2018</v>
      </c>
      <c r="C9401">
        <f>TEST_DATA!C9401</f>
        <v>43827</v>
      </c>
      <c r="D9401" t="str">
        <f>TEST_DATA!D9401</f>
        <v>NON-NIL</v>
      </c>
      <c r="E9401">
        <f>TEST_DATA!E9401</f>
        <v>744</v>
      </c>
    </row>
    <row r="9402" spans="1:5" x14ac:dyDescent="0.55000000000000004">
      <c r="A9402" t="str">
        <f>TEST_DATA!A9402</f>
        <v>27AAAAA9402Z5</v>
      </c>
      <c r="B9402" t="str">
        <f>TEST_DATA!B9402</f>
        <v>Sep-2018</v>
      </c>
      <c r="C9402">
        <f>TEST_DATA!C9402</f>
        <v>44513</v>
      </c>
      <c r="D9402" t="str">
        <f>TEST_DATA!D9402</f>
        <v>NIL</v>
      </c>
      <c r="E9402">
        <f>TEST_DATA!E9402</f>
        <v>1292</v>
      </c>
    </row>
    <row r="9403" spans="1:5" x14ac:dyDescent="0.55000000000000004">
      <c r="A9403" t="str">
        <f>TEST_DATA!A9403</f>
        <v>27AAAAA9403Z5</v>
      </c>
      <c r="B9403" t="str">
        <f>TEST_DATA!B9403</f>
        <v>Apr-2018</v>
      </c>
      <c r="C9403">
        <f>TEST_DATA!C9403</f>
        <v>44187</v>
      </c>
      <c r="D9403" t="str">
        <f>TEST_DATA!D9403</f>
        <v>NON-NIL</v>
      </c>
      <c r="E9403">
        <f>TEST_DATA!E9403</f>
        <v>2011</v>
      </c>
    </row>
    <row r="9404" spans="1:5" x14ac:dyDescent="0.55000000000000004">
      <c r="A9404" t="str">
        <f>TEST_DATA!A9404</f>
        <v>27AAAAA9404Z5</v>
      </c>
      <c r="B9404" t="str">
        <f>TEST_DATA!B9404</f>
        <v>Jan-2021</v>
      </c>
      <c r="C9404">
        <f>TEST_DATA!C9404</f>
        <v>45683</v>
      </c>
      <c r="D9404" t="str">
        <f>TEST_DATA!D9404</f>
        <v>NON-NIL</v>
      </c>
      <c r="E9404">
        <f>TEST_DATA!E9404</f>
        <v>682</v>
      </c>
    </row>
    <row r="9405" spans="1:5" x14ac:dyDescent="0.55000000000000004">
      <c r="A9405" t="str">
        <f>TEST_DATA!A9405</f>
        <v>27AAAAA9405Z5</v>
      </c>
      <c r="B9405" t="str">
        <f>TEST_DATA!B9405</f>
        <v>Dec-2024</v>
      </c>
      <c r="C9405">
        <f>TEST_DATA!C9405</f>
        <v>45708</v>
      </c>
      <c r="D9405" t="str">
        <f>TEST_DATA!D9405</f>
        <v>NIL</v>
      </c>
      <c r="E9405">
        <f>TEST_DATA!E9405</f>
        <v>254</v>
      </c>
    </row>
    <row r="9406" spans="1:5" x14ac:dyDescent="0.55000000000000004">
      <c r="A9406" t="str">
        <f>TEST_DATA!A9406</f>
        <v>27AAAAA9406Z5</v>
      </c>
      <c r="B9406" t="str">
        <f>TEST_DATA!B9406</f>
        <v>Jul-2018</v>
      </c>
      <c r="C9406">
        <f>TEST_DATA!C9406</f>
        <v>43313</v>
      </c>
      <c r="D9406" t="str">
        <f>TEST_DATA!D9406</f>
        <v>NIL</v>
      </c>
      <c r="E9406">
        <f>TEST_DATA!E9406</f>
        <v>650</v>
      </c>
    </row>
    <row r="9407" spans="1:5" x14ac:dyDescent="0.55000000000000004">
      <c r="A9407" t="str">
        <f>TEST_DATA!A9407</f>
        <v>27AAAAA9407Z5</v>
      </c>
      <c r="B9407" t="str">
        <f>TEST_DATA!B9407</f>
        <v>Jul-2020</v>
      </c>
      <c r="C9407">
        <f>TEST_DATA!C9407</f>
        <v>44892</v>
      </c>
      <c r="D9407" t="str">
        <f>TEST_DATA!D9407</f>
        <v>NIL</v>
      </c>
      <c r="E9407">
        <f>TEST_DATA!E9407</f>
        <v>324</v>
      </c>
    </row>
    <row r="9408" spans="1:5" x14ac:dyDescent="0.55000000000000004">
      <c r="A9408" t="str">
        <f>TEST_DATA!A9408</f>
        <v>27AAAAA9408Z5</v>
      </c>
      <c r="B9408" t="str">
        <f>TEST_DATA!B9408</f>
        <v>Dec-2017</v>
      </c>
      <c r="C9408">
        <f>TEST_DATA!C9408</f>
        <v>43780</v>
      </c>
      <c r="D9408" t="str">
        <f>TEST_DATA!D9408</f>
        <v>NIL</v>
      </c>
      <c r="E9408">
        <f>TEST_DATA!E9408</f>
        <v>1192</v>
      </c>
    </row>
    <row r="9409" spans="1:5" x14ac:dyDescent="0.55000000000000004">
      <c r="A9409" t="str">
        <f>TEST_DATA!A9409</f>
        <v>27AAAAA9409Z5</v>
      </c>
      <c r="B9409" t="str">
        <f>TEST_DATA!B9409</f>
        <v>Mar-2018</v>
      </c>
      <c r="C9409">
        <f>TEST_DATA!C9409</f>
        <v>43768</v>
      </c>
      <c r="D9409" t="str">
        <f>TEST_DATA!D9409</f>
        <v>NON-NIL</v>
      </c>
      <c r="E9409">
        <f>TEST_DATA!E9409</f>
        <v>1497</v>
      </c>
    </row>
    <row r="9410" spans="1:5" x14ac:dyDescent="0.55000000000000004">
      <c r="A9410" t="str">
        <f>TEST_DATA!A9410</f>
        <v>27AAAAA9410Z5</v>
      </c>
      <c r="B9410" t="str">
        <f>TEST_DATA!B9410</f>
        <v>Jun-2019</v>
      </c>
      <c r="C9410">
        <f>TEST_DATA!C9410</f>
        <v>44793</v>
      </c>
      <c r="D9410" t="str">
        <f>TEST_DATA!D9410</f>
        <v>NIL</v>
      </c>
      <c r="E9410">
        <f>TEST_DATA!E9410</f>
        <v>1108</v>
      </c>
    </row>
    <row r="9411" spans="1:5" x14ac:dyDescent="0.55000000000000004">
      <c r="A9411" t="str">
        <f>TEST_DATA!A9411</f>
        <v>27AAAAA9411Z5</v>
      </c>
      <c r="B9411" t="str">
        <f>TEST_DATA!B9411</f>
        <v>Jan-2019</v>
      </c>
      <c r="C9411">
        <f>TEST_DATA!C9411</f>
        <v>45138</v>
      </c>
      <c r="D9411" t="str">
        <f>TEST_DATA!D9411</f>
        <v>NIL</v>
      </c>
      <c r="E9411">
        <f>TEST_DATA!E9411</f>
        <v>2325</v>
      </c>
    </row>
    <row r="9412" spans="1:5" x14ac:dyDescent="0.55000000000000004">
      <c r="A9412" t="str">
        <f>TEST_DATA!A9412</f>
        <v>27AAAAA9412Z5</v>
      </c>
      <c r="B9412" t="str">
        <f>TEST_DATA!B9412</f>
        <v>Aug-2018</v>
      </c>
      <c r="C9412">
        <f>TEST_DATA!C9412</f>
        <v>44335</v>
      </c>
      <c r="D9412" t="str">
        <f>TEST_DATA!D9412</f>
        <v>NIL</v>
      </c>
      <c r="E9412">
        <f>TEST_DATA!E9412</f>
        <v>2649</v>
      </c>
    </row>
    <row r="9413" spans="1:5" x14ac:dyDescent="0.55000000000000004">
      <c r="A9413" t="str">
        <f>TEST_DATA!A9413</f>
        <v>27AAAAA9413Z5</v>
      </c>
      <c r="B9413" t="str">
        <f>TEST_DATA!B9413</f>
        <v>Aug-2018</v>
      </c>
      <c r="C9413">
        <f>TEST_DATA!C9413</f>
        <v>43460</v>
      </c>
      <c r="D9413" t="str">
        <f>TEST_DATA!D9413</f>
        <v>NON-NIL</v>
      </c>
      <c r="E9413">
        <f>TEST_DATA!E9413</f>
        <v>637</v>
      </c>
    </row>
    <row r="9414" spans="1:5" x14ac:dyDescent="0.55000000000000004">
      <c r="A9414" t="str">
        <f>TEST_DATA!A9414</f>
        <v>27AAAAA9414Z5</v>
      </c>
      <c r="B9414" t="str">
        <f>TEST_DATA!B9414</f>
        <v>Jul-2020</v>
      </c>
      <c r="C9414">
        <f>TEST_DATA!C9414</f>
        <v>44357</v>
      </c>
      <c r="D9414" t="str">
        <f>TEST_DATA!D9414</f>
        <v>NON-NIL</v>
      </c>
      <c r="E9414">
        <f>TEST_DATA!E9414</f>
        <v>724</v>
      </c>
    </row>
    <row r="9415" spans="1:5" x14ac:dyDescent="0.55000000000000004">
      <c r="A9415" t="str">
        <f>TEST_DATA!A9415</f>
        <v>27AAAAA9415Z5</v>
      </c>
      <c r="B9415" t="str">
        <f>TEST_DATA!B9415</f>
        <v>Jun-2018</v>
      </c>
      <c r="C9415">
        <f>TEST_DATA!C9415</f>
        <v>43861</v>
      </c>
      <c r="D9415" t="str">
        <f>TEST_DATA!D9415</f>
        <v>NIL</v>
      </c>
      <c r="E9415">
        <f>TEST_DATA!E9415</f>
        <v>1855</v>
      </c>
    </row>
    <row r="9416" spans="1:5" x14ac:dyDescent="0.55000000000000004">
      <c r="A9416" t="str">
        <f>TEST_DATA!A9416</f>
        <v>27AAAAA9416Z5</v>
      </c>
      <c r="B9416" t="str">
        <f>TEST_DATA!B9416</f>
        <v>Dec-2019</v>
      </c>
      <c r="C9416">
        <f>TEST_DATA!C9416</f>
        <v>45373</v>
      </c>
      <c r="D9416" t="str">
        <f>TEST_DATA!D9416</f>
        <v>NON-NIL</v>
      </c>
      <c r="E9416">
        <f>TEST_DATA!E9416</f>
        <v>1922</v>
      </c>
    </row>
    <row r="9417" spans="1:5" x14ac:dyDescent="0.55000000000000004">
      <c r="A9417" t="str">
        <f>TEST_DATA!A9417</f>
        <v>27AAAAA9417Z5</v>
      </c>
      <c r="B9417" t="str">
        <f>TEST_DATA!B9417</f>
        <v>Jan-2019</v>
      </c>
      <c r="C9417">
        <f>TEST_DATA!C9417</f>
        <v>45708</v>
      </c>
      <c r="D9417" t="str">
        <f>TEST_DATA!D9417</f>
        <v>NON-NIL</v>
      </c>
      <c r="E9417">
        <f>TEST_DATA!E9417</f>
        <v>57</v>
      </c>
    </row>
    <row r="9418" spans="1:5" x14ac:dyDescent="0.55000000000000004">
      <c r="A9418" t="str">
        <f>TEST_DATA!A9418</f>
        <v>27AAAAA9418Z5</v>
      </c>
      <c r="B9418" t="str">
        <f>TEST_DATA!B9418</f>
        <v>Sep-2018</v>
      </c>
      <c r="C9418">
        <f>TEST_DATA!C9418</f>
        <v>42924</v>
      </c>
      <c r="D9418" t="str">
        <f>TEST_DATA!D9418</f>
        <v>NON-NIL</v>
      </c>
      <c r="E9418">
        <f>TEST_DATA!E9418</f>
        <v>1706</v>
      </c>
    </row>
    <row r="9419" spans="1:5" x14ac:dyDescent="0.55000000000000004">
      <c r="A9419" t="str">
        <f>TEST_DATA!A9419</f>
        <v>27AAAAA9419Z5</v>
      </c>
      <c r="B9419" t="str">
        <f>TEST_DATA!B9419</f>
        <v>May-2018</v>
      </c>
      <c r="C9419">
        <f>TEST_DATA!C9419</f>
        <v>43897</v>
      </c>
      <c r="D9419" t="str">
        <f>TEST_DATA!D9419</f>
        <v>NON-NIL</v>
      </c>
      <c r="E9419">
        <f>TEST_DATA!E9419</f>
        <v>1876</v>
      </c>
    </row>
    <row r="9420" spans="1:5" x14ac:dyDescent="0.55000000000000004">
      <c r="A9420" t="str">
        <f>TEST_DATA!A9420</f>
        <v>27AAAAA9420Z5</v>
      </c>
      <c r="B9420" t="str">
        <f>TEST_DATA!B9420</f>
        <v>Mar-2021</v>
      </c>
      <c r="C9420">
        <f>TEST_DATA!C9420</f>
        <v>43682</v>
      </c>
      <c r="D9420" t="str">
        <f>TEST_DATA!D9420</f>
        <v>NON-NIL</v>
      </c>
      <c r="E9420">
        <f>TEST_DATA!E9420</f>
        <v>353</v>
      </c>
    </row>
    <row r="9421" spans="1:5" x14ac:dyDescent="0.55000000000000004">
      <c r="A9421" t="str">
        <f>TEST_DATA!A9421</f>
        <v>27AAAAA9421Z5</v>
      </c>
      <c r="B9421" t="str">
        <f>TEST_DATA!B9421</f>
        <v>Nov-2017</v>
      </c>
      <c r="C9421">
        <f>TEST_DATA!C9421</f>
        <v>44176</v>
      </c>
      <c r="D9421" t="str">
        <f>TEST_DATA!D9421</f>
        <v>NON-NIL</v>
      </c>
      <c r="E9421">
        <f>TEST_DATA!E9421</f>
        <v>627</v>
      </c>
    </row>
    <row r="9422" spans="1:5" x14ac:dyDescent="0.55000000000000004">
      <c r="A9422" t="str">
        <f>TEST_DATA!A9422</f>
        <v>27AAAAA9422Z5</v>
      </c>
      <c r="B9422" t="str">
        <f>TEST_DATA!B9422</f>
        <v>Dec-2019</v>
      </c>
      <c r="C9422">
        <f>TEST_DATA!C9422</f>
        <v>44720</v>
      </c>
      <c r="D9422" t="str">
        <f>TEST_DATA!D9422</f>
        <v>NIL</v>
      </c>
      <c r="E9422">
        <f>TEST_DATA!E9422</f>
        <v>1633</v>
      </c>
    </row>
    <row r="9423" spans="1:5" x14ac:dyDescent="0.55000000000000004">
      <c r="A9423" t="str">
        <f>TEST_DATA!A9423</f>
        <v>27AAAAA9423Z5</v>
      </c>
      <c r="B9423" t="str">
        <f>TEST_DATA!B9423</f>
        <v>Jun-2019</v>
      </c>
      <c r="C9423">
        <f>TEST_DATA!C9423</f>
        <v>43717</v>
      </c>
      <c r="D9423" t="str">
        <f>TEST_DATA!D9423</f>
        <v>NIL</v>
      </c>
      <c r="E9423">
        <f>TEST_DATA!E9423</f>
        <v>2099</v>
      </c>
    </row>
    <row r="9424" spans="1:5" x14ac:dyDescent="0.55000000000000004">
      <c r="A9424" t="str">
        <f>TEST_DATA!A9424</f>
        <v>27AAAAA9424Z5</v>
      </c>
      <c r="B9424" t="str">
        <f>TEST_DATA!B9424</f>
        <v>Apr-2021</v>
      </c>
      <c r="C9424">
        <f>TEST_DATA!C9424</f>
        <v>44066</v>
      </c>
      <c r="D9424" t="str">
        <f>TEST_DATA!D9424</f>
        <v>NON-NIL</v>
      </c>
      <c r="E9424">
        <f>TEST_DATA!E9424</f>
        <v>2814</v>
      </c>
    </row>
    <row r="9425" spans="1:5" x14ac:dyDescent="0.55000000000000004">
      <c r="A9425" t="str">
        <f>TEST_DATA!A9425</f>
        <v>27AAAAA9425Z5</v>
      </c>
      <c r="B9425" t="str">
        <f>TEST_DATA!B9425</f>
        <v>Jan-2021</v>
      </c>
      <c r="C9425">
        <f>TEST_DATA!C9425</f>
        <v>43757</v>
      </c>
      <c r="D9425" t="str">
        <f>TEST_DATA!D9425</f>
        <v>NON-NIL</v>
      </c>
      <c r="E9425">
        <f>TEST_DATA!E9425</f>
        <v>1053</v>
      </c>
    </row>
    <row r="9426" spans="1:5" x14ac:dyDescent="0.55000000000000004">
      <c r="A9426" t="str">
        <f>TEST_DATA!A9426</f>
        <v>27AAAAA9426Z5</v>
      </c>
      <c r="B9426" t="str">
        <f>TEST_DATA!B9426</f>
        <v>Oct-2017</v>
      </c>
      <c r="C9426">
        <f>TEST_DATA!C9426</f>
        <v>43813</v>
      </c>
      <c r="D9426" t="str">
        <f>TEST_DATA!D9426</f>
        <v>NIL</v>
      </c>
      <c r="E9426">
        <f>TEST_DATA!E9426</f>
        <v>5</v>
      </c>
    </row>
    <row r="9427" spans="1:5" x14ac:dyDescent="0.55000000000000004">
      <c r="A9427" t="str">
        <f>TEST_DATA!A9427</f>
        <v>27AAAAA9427Z5</v>
      </c>
      <c r="B9427" t="str">
        <f>TEST_DATA!B9427</f>
        <v>May-2018</v>
      </c>
      <c r="C9427">
        <f>TEST_DATA!C9427</f>
        <v>43318</v>
      </c>
      <c r="D9427" t="str">
        <f>TEST_DATA!D9427</f>
        <v>NON-NIL</v>
      </c>
      <c r="E9427">
        <f>TEST_DATA!E9427</f>
        <v>305</v>
      </c>
    </row>
    <row r="9428" spans="1:5" x14ac:dyDescent="0.55000000000000004">
      <c r="A9428" t="str">
        <f>TEST_DATA!A9428</f>
        <v>27AAAAA9428Z5</v>
      </c>
      <c r="B9428" t="str">
        <f>TEST_DATA!B9428</f>
        <v>May-2020</v>
      </c>
      <c r="C9428">
        <f>TEST_DATA!C9428</f>
        <v>44887</v>
      </c>
      <c r="D9428" t="str">
        <f>TEST_DATA!D9428</f>
        <v>NON-NIL</v>
      </c>
      <c r="E9428">
        <f>TEST_DATA!E9428</f>
        <v>136</v>
      </c>
    </row>
    <row r="9429" spans="1:5" x14ac:dyDescent="0.55000000000000004">
      <c r="A9429" t="str">
        <f>TEST_DATA!A9429</f>
        <v>27AAAAA9429Z5</v>
      </c>
      <c r="B9429" t="str">
        <f>TEST_DATA!B9429</f>
        <v>May-2018</v>
      </c>
      <c r="C9429">
        <f>TEST_DATA!C9429</f>
        <v>43709</v>
      </c>
      <c r="D9429" t="str">
        <f>TEST_DATA!D9429</f>
        <v>NON-NIL</v>
      </c>
      <c r="E9429">
        <f>TEST_DATA!E9429</f>
        <v>2223</v>
      </c>
    </row>
    <row r="9430" spans="1:5" x14ac:dyDescent="0.55000000000000004">
      <c r="A9430" t="str">
        <f>TEST_DATA!A9430</f>
        <v>27AAAAA9430Z5</v>
      </c>
      <c r="B9430" t="str">
        <f>TEST_DATA!B9430</f>
        <v>Jun-2019</v>
      </c>
      <c r="C9430">
        <f>TEST_DATA!C9430</f>
        <v>43509</v>
      </c>
      <c r="D9430" t="str">
        <f>TEST_DATA!D9430</f>
        <v>NIL</v>
      </c>
      <c r="E9430">
        <f>TEST_DATA!E9430</f>
        <v>304</v>
      </c>
    </row>
    <row r="9431" spans="1:5" x14ac:dyDescent="0.55000000000000004">
      <c r="A9431" t="str">
        <f>TEST_DATA!A9431</f>
        <v>27AAAAA9431Z5</v>
      </c>
      <c r="B9431" t="str">
        <f>TEST_DATA!B9431</f>
        <v>Jul-2020</v>
      </c>
      <c r="C9431">
        <f>TEST_DATA!C9431</f>
        <v>44653</v>
      </c>
      <c r="D9431" t="str">
        <f>TEST_DATA!D9431</f>
        <v>NON-NIL</v>
      </c>
      <c r="E9431">
        <f>TEST_DATA!E9431</f>
        <v>1251</v>
      </c>
    </row>
    <row r="9432" spans="1:5" x14ac:dyDescent="0.55000000000000004">
      <c r="A9432" t="str">
        <f>TEST_DATA!A9432</f>
        <v>27AAAAA9432Z5</v>
      </c>
      <c r="B9432" t="str">
        <f>TEST_DATA!B9432</f>
        <v>Jan-2019</v>
      </c>
      <c r="C9432">
        <f>TEST_DATA!C9432</f>
        <v>45830</v>
      </c>
      <c r="D9432" t="str">
        <f>TEST_DATA!D9432</f>
        <v>NON-NIL</v>
      </c>
      <c r="E9432">
        <f>TEST_DATA!E9432</f>
        <v>2604</v>
      </c>
    </row>
    <row r="9433" spans="1:5" x14ac:dyDescent="0.55000000000000004">
      <c r="A9433" t="str">
        <f>TEST_DATA!A9433</f>
        <v>27AAAAA9433Z5</v>
      </c>
      <c r="B9433" t="str">
        <f>TEST_DATA!B9433</f>
        <v>Sep-2017</v>
      </c>
      <c r="C9433">
        <f>TEST_DATA!C9433</f>
        <v>43212</v>
      </c>
      <c r="D9433" t="str">
        <f>TEST_DATA!D9433</f>
        <v>NON-NIL</v>
      </c>
      <c r="E9433">
        <f>TEST_DATA!E9433</f>
        <v>2386</v>
      </c>
    </row>
    <row r="9434" spans="1:5" x14ac:dyDescent="0.55000000000000004">
      <c r="A9434" t="str">
        <f>TEST_DATA!A9434</f>
        <v>27AAAAA9434Z5</v>
      </c>
      <c r="B9434" t="str">
        <f>TEST_DATA!B9434</f>
        <v>Jun-2019</v>
      </c>
      <c r="C9434">
        <f>TEST_DATA!C9434</f>
        <v>44247</v>
      </c>
      <c r="D9434" t="str">
        <f>TEST_DATA!D9434</f>
        <v>NIL</v>
      </c>
      <c r="E9434">
        <f>TEST_DATA!E9434</f>
        <v>713</v>
      </c>
    </row>
    <row r="9435" spans="1:5" x14ac:dyDescent="0.55000000000000004">
      <c r="A9435" t="str">
        <f>TEST_DATA!A9435</f>
        <v>27AAAAA9435Z5</v>
      </c>
      <c r="B9435" t="str">
        <f>TEST_DATA!B9435</f>
        <v>Mar-2021</v>
      </c>
      <c r="C9435">
        <f>TEST_DATA!C9435</f>
        <v>44541</v>
      </c>
      <c r="D9435" t="str">
        <f>TEST_DATA!D9435</f>
        <v>NIL</v>
      </c>
      <c r="E9435">
        <f>TEST_DATA!E9435</f>
        <v>2280</v>
      </c>
    </row>
    <row r="9436" spans="1:5" x14ac:dyDescent="0.55000000000000004">
      <c r="A9436" t="str">
        <f>TEST_DATA!A9436</f>
        <v>27AAAAA9436Z5</v>
      </c>
      <c r="B9436" t="str">
        <f>TEST_DATA!B9436</f>
        <v>Jun-2020</v>
      </c>
      <c r="C9436">
        <f>TEST_DATA!C9436</f>
        <v>44570</v>
      </c>
      <c r="D9436" t="str">
        <f>TEST_DATA!D9436</f>
        <v>NIL</v>
      </c>
      <c r="E9436">
        <f>TEST_DATA!E9436</f>
        <v>1528</v>
      </c>
    </row>
    <row r="9437" spans="1:5" x14ac:dyDescent="0.55000000000000004">
      <c r="A9437" t="str">
        <f>TEST_DATA!A9437</f>
        <v>27AAAAA9437Z5</v>
      </c>
      <c r="B9437" t="str">
        <f>TEST_DATA!B9437</f>
        <v>Jun-2020</v>
      </c>
      <c r="C9437">
        <f>TEST_DATA!C9437</f>
        <v>44384</v>
      </c>
      <c r="D9437" t="str">
        <f>TEST_DATA!D9437</f>
        <v>NIL</v>
      </c>
      <c r="E9437">
        <f>TEST_DATA!E9437</f>
        <v>1633</v>
      </c>
    </row>
    <row r="9438" spans="1:5" x14ac:dyDescent="0.55000000000000004">
      <c r="A9438" t="str">
        <f>TEST_DATA!A9438</f>
        <v>27AAAAA9438Z5</v>
      </c>
      <c r="B9438" t="str">
        <f>TEST_DATA!B9438</f>
        <v>Apr-2021</v>
      </c>
      <c r="C9438">
        <f>TEST_DATA!C9438</f>
        <v>43539</v>
      </c>
      <c r="D9438" t="str">
        <f>TEST_DATA!D9438</f>
        <v>NIL</v>
      </c>
      <c r="E9438">
        <f>TEST_DATA!E9438</f>
        <v>2362</v>
      </c>
    </row>
    <row r="9439" spans="1:5" x14ac:dyDescent="0.55000000000000004">
      <c r="A9439" t="str">
        <f>TEST_DATA!A9439</f>
        <v>27AAAAA9439Z5</v>
      </c>
      <c r="B9439" t="str">
        <f>TEST_DATA!B9439</f>
        <v>Apr-2020</v>
      </c>
      <c r="C9439">
        <f>TEST_DATA!C9439</f>
        <v>44006</v>
      </c>
      <c r="D9439" t="str">
        <f>TEST_DATA!D9439</f>
        <v>NON-NIL</v>
      </c>
      <c r="E9439">
        <f>TEST_DATA!E9439</f>
        <v>2278</v>
      </c>
    </row>
    <row r="9440" spans="1:5" x14ac:dyDescent="0.55000000000000004">
      <c r="A9440" t="str">
        <f>TEST_DATA!A9440</f>
        <v>27AAAAA9440Z5</v>
      </c>
      <c r="B9440" t="str">
        <f>TEST_DATA!B9440</f>
        <v>Jul-2017</v>
      </c>
      <c r="C9440">
        <f>TEST_DATA!C9440</f>
        <v>43986</v>
      </c>
      <c r="D9440" t="str">
        <f>TEST_DATA!D9440</f>
        <v>NON-NIL</v>
      </c>
      <c r="E9440">
        <f>TEST_DATA!E9440</f>
        <v>11</v>
      </c>
    </row>
    <row r="9441" spans="1:5" x14ac:dyDescent="0.55000000000000004">
      <c r="A9441" t="str">
        <f>TEST_DATA!A9441</f>
        <v>27AAAAA9441Z5</v>
      </c>
      <c r="B9441" t="str">
        <f>TEST_DATA!B9441</f>
        <v>Jul-2020</v>
      </c>
      <c r="C9441">
        <f>TEST_DATA!C9441</f>
        <v>44073</v>
      </c>
      <c r="D9441" t="str">
        <f>TEST_DATA!D9441</f>
        <v>NON-NIL</v>
      </c>
      <c r="E9441">
        <f>TEST_DATA!E9441</f>
        <v>4</v>
      </c>
    </row>
    <row r="9442" spans="1:5" x14ac:dyDescent="0.55000000000000004">
      <c r="A9442" t="str">
        <f>TEST_DATA!A9442</f>
        <v>27AAAAA9442Z5</v>
      </c>
      <c r="B9442" t="str">
        <f>TEST_DATA!B9442</f>
        <v>Jul-2020</v>
      </c>
      <c r="C9442">
        <f>TEST_DATA!C9442</f>
        <v>44884</v>
      </c>
      <c r="D9442" t="str">
        <f>TEST_DATA!D9442</f>
        <v>NON-NIL</v>
      </c>
      <c r="E9442">
        <f>TEST_DATA!E9442</f>
        <v>1990</v>
      </c>
    </row>
    <row r="9443" spans="1:5" x14ac:dyDescent="0.55000000000000004">
      <c r="A9443" t="str">
        <f>TEST_DATA!A9443</f>
        <v>27AAAAA9443Z5</v>
      </c>
      <c r="B9443" t="str">
        <f>TEST_DATA!B9443</f>
        <v>Mar-2023</v>
      </c>
      <c r="C9443">
        <f>TEST_DATA!C9443</f>
        <v>43886</v>
      </c>
      <c r="D9443" t="str">
        <f>TEST_DATA!D9443</f>
        <v>NON-NIL</v>
      </c>
      <c r="E9443">
        <f>TEST_DATA!E9443</f>
        <v>698</v>
      </c>
    </row>
    <row r="9444" spans="1:5" x14ac:dyDescent="0.55000000000000004">
      <c r="A9444" t="str">
        <f>TEST_DATA!A9444</f>
        <v>27AAAAA9444Z5</v>
      </c>
      <c r="B9444" t="str">
        <f>TEST_DATA!B9444</f>
        <v>Aug-2017</v>
      </c>
      <c r="C9444">
        <f>TEST_DATA!C9444</f>
        <v>43899</v>
      </c>
      <c r="D9444" t="str">
        <f>TEST_DATA!D9444</f>
        <v>NON-NIL</v>
      </c>
      <c r="E9444">
        <f>TEST_DATA!E9444</f>
        <v>2657</v>
      </c>
    </row>
    <row r="9445" spans="1:5" x14ac:dyDescent="0.55000000000000004">
      <c r="A9445" t="str">
        <f>TEST_DATA!A9445</f>
        <v>27AAAAA9445Z5</v>
      </c>
      <c r="B9445" t="str">
        <f>TEST_DATA!B9445</f>
        <v>Oct-2017</v>
      </c>
      <c r="C9445">
        <f>TEST_DATA!C9445</f>
        <v>44400</v>
      </c>
      <c r="D9445" t="str">
        <f>TEST_DATA!D9445</f>
        <v>NIL</v>
      </c>
      <c r="E9445">
        <f>TEST_DATA!E9445</f>
        <v>1930</v>
      </c>
    </row>
    <row r="9446" spans="1:5" x14ac:dyDescent="0.55000000000000004">
      <c r="A9446" t="str">
        <f>TEST_DATA!A9446</f>
        <v>27AAAAA9446Z5</v>
      </c>
      <c r="B9446" t="str">
        <f>TEST_DATA!B9446</f>
        <v>Dec-2022</v>
      </c>
      <c r="C9446">
        <f>TEST_DATA!C9446</f>
        <v>44634</v>
      </c>
      <c r="D9446" t="str">
        <f>TEST_DATA!D9446</f>
        <v>NIL</v>
      </c>
      <c r="E9446">
        <f>TEST_DATA!E9446</f>
        <v>1167</v>
      </c>
    </row>
    <row r="9447" spans="1:5" x14ac:dyDescent="0.55000000000000004">
      <c r="A9447" t="str">
        <f>TEST_DATA!A9447</f>
        <v>27AAAAA9447Z5</v>
      </c>
      <c r="B9447" t="str">
        <f>TEST_DATA!B9447</f>
        <v>Feb-2018</v>
      </c>
      <c r="C9447">
        <f>TEST_DATA!C9447</f>
        <v>43377</v>
      </c>
      <c r="D9447" t="str">
        <f>TEST_DATA!D9447</f>
        <v>NON-NIL</v>
      </c>
      <c r="E9447">
        <f>TEST_DATA!E9447</f>
        <v>2244</v>
      </c>
    </row>
    <row r="9448" spans="1:5" x14ac:dyDescent="0.55000000000000004">
      <c r="A9448" t="str">
        <f>TEST_DATA!A9448</f>
        <v>27AAAAA9448Z5</v>
      </c>
      <c r="B9448" t="str">
        <f>TEST_DATA!B9448</f>
        <v>Mar-2020</v>
      </c>
      <c r="C9448">
        <f>TEST_DATA!C9448</f>
        <v>44594</v>
      </c>
      <c r="D9448" t="str">
        <f>TEST_DATA!D9448</f>
        <v>NON-NIL</v>
      </c>
      <c r="E9448">
        <f>TEST_DATA!E9448</f>
        <v>2445</v>
      </c>
    </row>
    <row r="9449" spans="1:5" x14ac:dyDescent="0.55000000000000004">
      <c r="A9449" t="str">
        <f>TEST_DATA!A9449</f>
        <v>27AAAAA9449Z5</v>
      </c>
      <c r="B9449" t="str">
        <f>TEST_DATA!B9449</f>
        <v>Jul-2018</v>
      </c>
      <c r="C9449">
        <f>TEST_DATA!C9449</f>
        <v>43844</v>
      </c>
      <c r="D9449" t="str">
        <f>TEST_DATA!D9449</f>
        <v>NIL</v>
      </c>
      <c r="E9449">
        <f>TEST_DATA!E9449</f>
        <v>2654</v>
      </c>
    </row>
    <row r="9450" spans="1:5" x14ac:dyDescent="0.55000000000000004">
      <c r="A9450" t="str">
        <f>TEST_DATA!A9450</f>
        <v>27AAAAA9450Z5</v>
      </c>
      <c r="B9450" t="str">
        <f>TEST_DATA!B9450</f>
        <v>Apr-2018</v>
      </c>
      <c r="C9450">
        <f>TEST_DATA!C9450</f>
        <v>43761</v>
      </c>
      <c r="D9450" t="str">
        <f>TEST_DATA!D9450</f>
        <v>NIL</v>
      </c>
      <c r="E9450">
        <f>TEST_DATA!E9450</f>
        <v>2743</v>
      </c>
    </row>
    <row r="9451" spans="1:5" x14ac:dyDescent="0.55000000000000004">
      <c r="A9451" t="str">
        <f>TEST_DATA!A9451</f>
        <v>27AAAAA9451Z5</v>
      </c>
      <c r="B9451" t="str">
        <f>TEST_DATA!B9451</f>
        <v>Aug-2017</v>
      </c>
      <c r="C9451">
        <f>TEST_DATA!C9451</f>
        <v>43587</v>
      </c>
      <c r="D9451" t="str">
        <f>TEST_DATA!D9451</f>
        <v>NIL</v>
      </c>
      <c r="E9451">
        <f>TEST_DATA!E9451</f>
        <v>375</v>
      </c>
    </row>
    <row r="9452" spans="1:5" x14ac:dyDescent="0.55000000000000004">
      <c r="A9452" t="str">
        <f>TEST_DATA!A9452</f>
        <v>27AAAAA9452Z5</v>
      </c>
      <c r="B9452" t="str">
        <f>TEST_DATA!B9452</f>
        <v>Aug-2017</v>
      </c>
      <c r="C9452">
        <f>TEST_DATA!C9452</f>
        <v>44085</v>
      </c>
      <c r="D9452" t="str">
        <f>TEST_DATA!D9452</f>
        <v>NIL</v>
      </c>
      <c r="E9452">
        <f>TEST_DATA!E9452</f>
        <v>209</v>
      </c>
    </row>
    <row r="9453" spans="1:5" x14ac:dyDescent="0.55000000000000004">
      <c r="A9453" t="str">
        <f>TEST_DATA!A9453</f>
        <v>27AAAAA9453Z5</v>
      </c>
      <c r="B9453" t="str">
        <f>TEST_DATA!B9453</f>
        <v>Jun-2020</v>
      </c>
      <c r="C9453">
        <f>TEST_DATA!C9453</f>
        <v>44791</v>
      </c>
      <c r="D9453" t="str">
        <f>TEST_DATA!D9453</f>
        <v>NIL</v>
      </c>
      <c r="E9453">
        <f>TEST_DATA!E9453</f>
        <v>434</v>
      </c>
    </row>
    <row r="9454" spans="1:5" x14ac:dyDescent="0.55000000000000004">
      <c r="A9454" t="str">
        <f>TEST_DATA!A9454</f>
        <v>27AAAAA9454Z5</v>
      </c>
      <c r="B9454" t="str">
        <f>TEST_DATA!B9454</f>
        <v>Jan-2019</v>
      </c>
      <c r="C9454">
        <f>TEST_DATA!C9454</f>
        <v>45740</v>
      </c>
      <c r="D9454" t="str">
        <f>TEST_DATA!D9454</f>
        <v>NON-NIL</v>
      </c>
      <c r="E9454">
        <f>TEST_DATA!E9454</f>
        <v>115</v>
      </c>
    </row>
    <row r="9455" spans="1:5" x14ac:dyDescent="0.55000000000000004">
      <c r="A9455" t="str">
        <f>TEST_DATA!A9455</f>
        <v>27AAAAA9455Z5</v>
      </c>
      <c r="B9455" t="str">
        <f>TEST_DATA!B9455</f>
        <v>Jan-2021</v>
      </c>
      <c r="C9455">
        <f>TEST_DATA!C9455</f>
        <v>44189</v>
      </c>
      <c r="D9455" t="str">
        <f>TEST_DATA!D9455</f>
        <v>NIL</v>
      </c>
      <c r="E9455">
        <f>TEST_DATA!E9455</f>
        <v>1524</v>
      </c>
    </row>
    <row r="9456" spans="1:5" x14ac:dyDescent="0.55000000000000004">
      <c r="A9456" t="str">
        <f>TEST_DATA!A9456</f>
        <v>27AAAAA9456Z5</v>
      </c>
      <c r="B9456" t="str">
        <f>TEST_DATA!B9456</f>
        <v>Aug-2017</v>
      </c>
      <c r="C9456">
        <f>TEST_DATA!C9456</f>
        <v>43221</v>
      </c>
      <c r="D9456" t="str">
        <f>TEST_DATA!D9456</f>
        <v>NON-NIL</v>
      </c>
      <c r="E9456">
        <f>TEST_DATA!E9456</f>
        <v>2724</v>
      </c>
    </row>
    <row r="9457" spans="1:5" x14ac:dyDescent="0.55000000000000004">
      <c r="A9457" t="str">
        <f>TEST_DATA!A9457</f>
        <v>27AAAAA9457Z5</v>
      </c>
      <c r="B9457" t="str">
        <f>TEST_DATA!B9457</f>
        <v>Apr-2018</v>
      </c>
      <c r="C9457">
        <f>TEST_DATA!C9457</f>
        <v>44074</v>
      </c>
      <c r="D9457" t="str">
        <f>TEST_DATA!D9457</f>
        <v>NON-NIL</v>
      </c>
      <c r="E9457">
        <f>TEST_DATA!E9457</f>
        <v>669</v>
      </c>
    </row>
    <row r="9458" spans="1:5" x14ac:dyDescent="0.55000000000000004">
      <c r="A9458" t="str">
        <f>TEST_DATA!A9458</f>
        <v>27AAAAA9458Z5</v>
      </c>
      <c r="B9458" t="str">
        <f>TEST_DATA!B9458</f>
        <v>Jun-2020</v>
      </c>
      <c r="C9458">
        <f>TEST_DATA!C9458</f>
        <v>44301</v>
      </c>
      <c r="D9458" t="str">
        <f>TEST_DATA!D9458</f>
        <v>NIL</v>
      </c>
      <c r="E9458">
        <f>TEST_DATA!E9458</f>
        <v>134</v>
      </c>
    </row>
    <row r="9459" spans="1:5" x14ac:dyDescent="0.55000000000000004">
      <c r="A9459" t="str">
        <f>TEST_DATA!A9459</f>
        <v>27AAAAA9459Z5</v>
      </c>
      <c r="B9459" t="str">
        <f>TEST_DATA!B9459</f>
        <v>Sep-2017</v>
      </c>
      <c r="C9459">
        <f>TEST_DATA!C9459</f>
        <v>42941</v>
      </c>
      <c r="D9459" t="str">
        <f>TEST_DATA!D9459</f>
        <v>NIL</v>
      </c>
      <c r="E9459">
        <f>TEST_DATA!E9459</f>
        <v>2539</v>
      </c>
    </row>
    <row r="9460" spans="1:5" x14ac:dyDescent="0.55000000000000004">
      <c r="A9460" t="str">
        <f>TEST_DATA!A9460</f>
        <v>27AAAAA9460Z5</v>
      </c>
      <c r="B9460" t="str">
        <f>TEST_DATA!B9460</f>
        <v>Dec-2024</v>
      </c>
      <c r="C9460">
        <f>TEST_DATA!C9460</f>
        <v>45393</v>
      </c>
      <c r="D9460" t="str">
        <f>TEST_DATA!D9460</f>
        <v>NON-NIL</v>
      </c>
      <c r="E9460">
        <f>TEST_DATA!E9460</f>
        <v>2557</v>
      </c>
    </row>
    <row r="9461" spans="1:5" x14ac:dyDescent="0.55000000000000004">
      <c r="A9461" t="str">
        <f>TEST_DATA!A9461</f>
        <v>27AAAAA9461Z5</v>
      </c>
      <c r="B9461" t="str">
        <f>TEST_DATA!B9461</f>
        <v>Apr-2021</v>
      </c>
      <c r="C9461">
        <f>TEST_DATA!C9461</f>
        <v>45404</v>
      </c>
      <c r="D9461" t="str">
        <f>TEST_DATA!D9461</f>
        <v>NON-NIL</v>
      </c>
      <c r="E9461">
        <f>TEST_DATA!E9461</f>
        <v>2655</v>
      </c>
    </row>
    <row r="9462" spans="1:5" x14ac:dyDescent="0.55000000000000004">
      <c r="A9462" t="str">
        <f>TEST_DATA!A9462</f>
        <v>27AAAAA9462Z5</v>
      </c>
      <c r="B9462" t="str">
        <f>TEST_DATA!B9462</f>
        <v>Sep-2018</v>
      </c>
      <c r="C9462">
        <f>TEST_DATA!C9462</f>
        <v>44298</v>
      </c>
      <c r="D9462" t="str">
        <f>TEST_DATA!D9462</f>
        <v>NON-NIL</v>
      </c>
      <c r="E9462">
        <f>TEST_DATA!E9462</f>
        <v>2621</v>
      </c>
    </row>
    <row r="9463" spans="1:5" x14ac:dyDescent="0.55000000000000004">
      <c r="A9463" t="str">
        <f>TEST_DATA!A9463</f>
        <v>27AAAAA9463Z5</v>
      </c>
      <c r="B9463" t="str">
        <f>TEST_DATA!B9463</f>
        <v>Feb-2018</v>
      </c>
      <c r="C9463">
        <f>TEST_DATA!C9463</f>
        <v>44144</v>
      </c>
      <c r="D9463" t="str">
        <f>TEST_DATA!D9463</f>
        <v>NON-NIL</v>
      </c>
      <c r="E9463">
        <f>TEST_DATA!E9463</f>
        <v>1316</v>
      </c>
    </row>
    <row r="9464" spans="1:5" x14ac:dyDescent="0.55000000000000004">
      <c r="A9464" t="str">
        <f>TEST_DATA!A9464</f>
        <v>27AAAAA9464Z5</v>
      </c>
      <c r="B9464" t="str">
        <f>TEST_DATA!B9464</f>
        <v>Apr-2020</v>
      </c>
      <c r="C9464">
        <f>TEST_DATA!C9464</f>
        <v>44755</v>
      </c>
      <c r="D9464" t="str">
        <f>TEST_DATA!D9464</f>
        <v>NON-NIL</v>
      </c>
      <c r="E9464">
        <f>TEST_DATA!E9464</f>
        <v>1042</v>
      </c>
    </row>
    <row r="9465" spans="1:5" x14ac:dyDescent="0.55000000000000004">
      <c r="A9465" t="str">
        <f>TEST_DATA!A9465</f>
        <v>27AAAAA9465Z5</v>
      </c>
      <c r="B9465" t="str">
        <f>TEST_DATA!B9465</f>
        <v>Dec-2022</v>
      </c>
      <c r="C9465">
        <f>TEST_DATA!C9465</f>
        <v>44150</v>
      </c>
      <c r="D9465" t="str">
        <f>TEST_DATA!D9465</f>
        <v>NON-NIL</v>
      </c>
      <c r="E9465">
        <f>TEST_DATA!E9465</f>
        <v>619</v>
      </c>
    </row>
    <row r="9466" spans="1:5" x14ac:dyDescent="0.55000000000000004">
      <c r="A9466" t="str">
        <f>TEST_DATA!A9466</f>
        <v>27AAAAA9466Z5</v>
      </c>
      <c r="B9466" t="str">
        <f>TEST_DATA!B9466</f>
        <v>Jul-2018</v>
      </c>
      <c r="C9466">
        <f>TEST_DATA!C9466</f>
        <v>44275</v>
      </c>
      <c r="D9466" t="str">
        <f>TEST_DATA!D9466</f>
        <v>NON-NIL</v>
      </c>
      <c r="E9466">
        <f>TEST_DATA!E9466</f>
        <v>2740</v>
      </c>
    </row>
    <row r="9467" spans="1:5" x14ac:dyDescent="0.55000000000000004">
      <c r="A9467" t="str">
        <f>TEST_DATA!A9467</f>
        <v>27AAAAA9467Z5</v>
      </c>
      <c r="B9467" t="str">
        <f>TEST_DATA!B9467</f>
        <v>May-2020</v>
      </c>
      <c r="C9467">
        <f>TEST_DATA!C9467</f>
        <v>44170</v>
      </c>
      <c r="D9467" t="str">
        <f>TEST_DATA!D9467</f>
        <v>NIL</v>
      </c>
      <c r="E9467">
        <f>TEST_DATA!E9467</f>
        <v>1152</v>
      </c>
    </row>
    <row r="9468" spans="1:5" x14ac:dyDescent="0.55000000000000004">
      <c r="A9468" t="str">
        <f>TEST_DATA!A9468</f>
        <v>27AAAAA9468Z5</v>
      </c>
      <c r="B9468" t="str">
        <f>TEST_DATA!B9468</f>
        <v>Sep-2017</v>
      </c>
      <c r="C9468">
        <f>TEST_DATA!C9468</f>
        <v>43745</v>
      </c>
      <c r="D9468" t="str">
        <f>TEST_DATA!D9468</f>
        <v>NON-NIL</v>
      </c>
      <c r="E9468">
        <f>TEST_DATA!E9468</f>
        <v>462</v>
      </c>
    </row>
    <row r="9469" spans="1:5" x14ac:dyDescent="0.55000000000000004">
      <c r="A9469" t="str">
        <f>TEST_DATA!A9469</f>
        <v>27AAAAA9469Z5</v>
      </c>
      <c r="B9469" t="str">
        <f>TEST_DATA!B9469</f>
        <v>Jun-2018</v>
      </c>
      <c r="C9469">
        <f>TEST_DATA!C9469</f>
        <v>44511</v>
      </c>
      <c r="D9469" t="str">
        <f>TEST_DATA!D9469</f>
        <v>NIL</v>
      </c>
      <c r="E9469">
        <f>TEST_DATA!E9469</f>
        <v>1805</v>
      </c>
    </row>
    <row r="9470" spans="1:5" x14ac:dyDescent="0.55000000000000004">
      <c r="A9470" t="str">
        <f>TEST_DATA!A9470</f>
        <v>27AAAAA9470Z5</v>
      </c>
      <c r="B9470" t="str">
        <f>TEST_DATA!B9470</f>
        <v>Apr-2018</v>
      </c>
      <c r="C9470">
        <f>TEST_DATA!C9470</f>
        <v>42997</v>
      </c>
      <c r="D9470" t="str">
        <f>TEST_DATA!D9470</f>
        <v>NON-NIL</v>
      </c>
      <c r="E9470">
        <f>TEST_DATA!E9470</f>
        <v>380</v>
      </c>
    </row>
    <row r="9471" spans="1:5" x14ac:dyDescent="0.55000000000000004">
      <c r="A9471" t="str">
        <f>TEST_DATA!A9471</f>
        <v>27AAAAA9471Z5</v>
      </c>
      <c r="B9471" t="str">
        <f>TEST_DATA!B9471</f>
        <v>Dec-2024</v>
      </c>
      <c r="C9471">
        <f>TEST_DATA!C9471</f>
        <v>44234</v>
      </c>
      <c r="D9471" t="str">
        <f>TEST_DATA!D9471</f>
        <v>NIL</v>
      </c>
      <c r="E9471">
        <f>TEST_DATA!E9471</f>
        <v>1878</v>
      </c>
    </row>
    <row r="9472" spans="1:5" x14ac:dyDescent="0.55000000000000004">
      <c r="A9472" t="str">
        <f>TEST_DATA!A9472</f>
        <v>27AAAAA9472Z5</v>
      </c>
      <c r="B9472" t="str">
        <f>TEST_DATA!B9472</f>
        <v>Mar-2021</v>
      </c>
      <c r="C9472">
        <f>TEST_DATA!C9472</f>
        <v>44407</v>
      </c>
      <c r="D9472" t="str">
        <f>TEST_DATA!D9472</f>
        <v>NON-NIL</v>
      </c>
      <c r="E9472">
        <f>TEST_DATA!E9472</f>
        <v>1735</v>
      </c>
    </row>
    <row r="9473" spans="1:5" x14ac:dyDescent="0.55000000000000004">
      <c r="A9473" t="str">
        <f>TEST_DATA!A9473</f>
        <v>27AAAAA9473Z5</v>
      </c>
      <c r="B9473" t="str">
        <f>TEST_DATA!B9473</f>
        <v>Apr-2021</v>
      </c>
      <c r="C9473">
        <f>TEST_DATA!C9473</f>
        <v>45085</v>
      </c>
      <c r="D9473" t="str">
        <f>TEST_DATA!D9473</f>
        <v>NON-NIL</v>
      </c>
      <c r="E9473">
        <f>TEST_DATA!E9473</f>
        <v>1553</v>
      </c>
    </row>
    <row r="9474" spans="1:5" x14ac:dyDescent="0.55000000000000004">
      <c r="A9474" t="str">
        <f>TEST_DATA!A9474</f>
        <v>27AAAAA9474Z5</v>
      </c>
      <c r="B9474" t="str">
        <f>TEST_DATA!B9474</f>
        <v>Dec-2019</v>
      </c>
      <c r="C9474">
        <f>TEST_DATA!C9474</f>
        <v>43937</v>
      </c>
      <c r="D9474" t="str">
        <f>TEST_DATA!D9474</f>
        <v>NON-NIL</v>
      </c>
      <c r="E9474">
        <f>TEST_DATA!E9474</f>
        <v>19</v>
      </c>
    </row>
    <row r="9475" spans="1:5" x14ac:dyDescent="0.55000000000000004">
      <c r="A9475" t="str">
        <f>TEST_DATA!A9475</f>
        <v>27AAAAA9475Z5</v>
      </c>
      <c r="B9475" t="str">
        <f>TEST_DATA!B9475</f>
        <v>Dec-2022</v>
      </c>
      <c r="C9475">
        <f>TEST_DATA!C9475</f>
        <v>45637</v>
      </c>
      <c r="D9475" t="str">
        <f>TEST_DATA!D9475</f>
        <v>NON-NIL</v>
      </c>
      <c r="E9475">
        <f>TEST_DATA!E9475</f>
        <v>1406</v>
      </c>
    </row>
    <row r="9476" spans="1:5" x14ac:dyDescent="0.55000000000000004">
      <c r="A9476" t="str">
        <f>TEST_DATA!A9476</f>
        <v>27AAAAA9476Z5</v>
      </c>
      <c r="B9476" t="str">
        <f>TEST_DATA!B9476</f>
        <v>Jan-2019</v>
      </c>
      <c r="C9476">
        <f>TEST_DATA!C9476</f>
        <v>43828</v>
      </c>
      <c r="D9476" t="str">
        <f>TEST_DATA!D9476</f>
        <v>NON-NIL</v>
      </c>
      <c r="E9476">
        <f>TEST_DATA!E9476</f>
        <v>1233</v>
      </c>
    </row>
    <row r="9477" spans="1:5" x14ac:dyDescent="0.55000000000000004">
      <c r="A9477" t="str">
        <f>TEST_DATA!A9477</f>
        <v>27AAAAA9477Z5</v>
      </c>
      <c r="B9477" t="str">
        <f>TEST_DATA!B9477</f>
        <v>Apr-2020</v>
      </c>
      <c r="C9477">
        <f>TEST_DATA!C9477</f>
        <v>43926</v>
      </c>
      <c r="D9477" t="str">
        <f>TEST_DATA!D9477</f>
        <v>NON-NIL</v>
      </c>
      <c r="E9477">
        <f>TEST_DATA!E9477</f>
        <v>2133</v>
      </c>
    </row>
    <row r="9478" spans="1:5" x14ac:dyDescent="0.55000000000000004">
      <c r="A9478" t="str">
        <f>TEST_DATA!A9478</f>
        <v>27AAAAA9478Z5</v>
      </c>
      <c r="B9478" t="str">
        <f>TEST_DATA!B9478</f>
        <v>Apr-2018</v>
      </c>
      <c r="C9478">
        <f>TEST_DATA!C9478</f>
        <v>44177</v>
      </c>
      <c r="D9478" t="str">
        <f>TEST_DATA!D9478</f>
        <v>NON-NIL</v>
      </c>
      <c r="E9478">
        <f>TEST_DATA!E9478</f>
        <v>2114</v>
      </c>
    </row>
    <row r="9479" spans="1:5" x14ac:dyDescent="0.55000000000000004">
      <c r="A9479" t="str">
        <f>TEST_DATA!A9479</f>
        <v>27AAAAA9479Z5</v>
      </c>
      <c r="B9479" t="str">
        <f>TEST_DATA!B9479</f>
        <v>Jun-2019</v>
      </c>
      <c r="C9479">
        <f>TEST_DATA!C9479</f>
        <v>43788</v>
      </c>
      <c r="D9479" t="str">
        <f>TEST_DATA!D9479</f>
        <v>NON-NIL</v>
      </c>
      <c r="E9479">
        <f>TEST_DATA!E9479</f>
        <v>1117</v>
      </c>
    </row>
    <row r="9480" spans="1:5" x14ac:dyDescent="0.55000000000000004">
      <c r="A9480" t="str">
        <f>TEST_DATA!A9480</f>
        <v>27AAAAA9480Z5</v>
      </c>
      <c r="B9480" t="str">
        <f>TEST_DATA!B9480</f>
        <v>Mar-2020</v>
      </c>
      <c r="C9480">
        <f>TEST_DATA!C9480</f>
        <v>43902</v>
      </c>
      <c r="D9480" t="str">
        <f>TEST_DATA!D9480</f>
        <v>NIL</v>
      </c>
      <c r="E9480">
        <f>TEST_DATA!E9480</f>
        <v>866</v>
      </c>
    </row>
    <row r="9481" spans="1:5" x14ac:dyDescent="0.55000000000000004">
      <c r="A9481" t="str">
        <f>TEST_DATA!A9481</f>
        <v>27AAAAA9481Z5</v>
      </c>
      <c r="B9481" t="str">
        <f>TEST_DATA!B9481</f>
        <v>Dec-2022</v>
      </c>
      <c r="C9481">
        <f>TEST_DATA!C9481</f>
        <v>44848</v>
      </c>
      <c r="D9481" t="str">
        <f>TEST_DATA!D9481</f>
        <v>NON-NIL</v>
      </c>
      <c r="E9481">
        <f>TEST_DATA!E9481</f>
        <v>700</v>
      </c>
    </row>
    <row r="9482" spans="1:5" x14ac:dyDescent="0.55000000000000004">
      <c r="A9482" t="str">
        <f>TEST_DATA!A9482</f>
        <v>27AAAAA9482Z5</v>
      </c>
      <c r="B9482" t="str">
        <f>TEST_DATA!B9482</f>
        <v>Apr-2018</v>
      </c>
      <c r="C9482">
        <f>TEST_DATA!C9482</f>
        <v>44421</v>
      </c>
      <c r="D9482" t="str">
        <f>TEST_DATA!D9482</f>
        <v>NIL</v>
      </c>
      <c r="E9482">
        <f>TEST_DATA!E9482</f>
        <v>2760</v>
      </c>
    </row>
    <row r="9483" spans="1:5" x14ac:dyDescent="0.55000000000000004">
      <c r="A9483" t="str">
        <f>TEST_DATA!A9483</f>
        <v>27AAAAA9483Z5</v>
      </c>
      <c r="B9483" t="str">
        <f>TEST_DATA!B9483</f>
        <v>Jun-2018</v>
      </c>
      <c r="C9483">
        <f>TEST_DATA!C9483</f>
        <v>43826</v>
      </c>
      <c r="D9483" t="str">
        <f>TEST_DATA!D9483</f>
        <v>NON-NIL</v>
      </c>
      <c r="E9483">
        <f>TEST_DATA!E9483</f>
        <v>1087</v>
      </c>
    </row>
    <row r="9484" spans="1:5" x14ac:dyDescent="0.55000000000000004">
      <c r="A9484" t="str">
        <f>TEST_DATA!A9484</f>
        <v>27AAAAA9484Z5</v>
      </c>
      <c r="B9484" t="str">
        <f>TEST_DATA!B9484</f>
        <v>May-2018</v>
      </c>
      <c r="C9484">
        <f>TEST_DATA!C9484</f>
        <v>42971</v>
      </c>
      <c r="D9484" t="str">
        <f>TEST_DATA!D9484</f>
        <v>NON-NIL</v>
      </c>
      <c r="E9484">
        <f>TEST_DATA!E9484</f>
        <v>856</v>
      </c>
    </row>
    <row r="9485" spans="1:5" x14ac:dyDescent="0.55000000000000004">
      <c r="A9485" t="str">
        <f>TEST_DATA!A9485</f>
        <v>27AAAAA9485Z5</v>
      </c>
      <c r="B9485" t="str">
        <f>TEST_DATA!B9485</f>
        <v>Dec-2017</v>
      </c>
      <c r="C9485">
        <f>TEST_DATA!C9485</f>
        <v>43446</v>
      </c>
      <c r="D9485" t="str">
        <f>TEST_DATA!D9485</f>
        <v>NON-NIL</v>
      </c>
      <c r="E9485">
        <f>TEST_DATA!E9485</f>
        <v>997</v>
      </c>
    </row>
    <row r="9486" spans="1:5" x14ac:dyDescent="0.55000000000000004">
      <c r="A9486" t="str">
        <f>TEST_DATA!A9486</f>
        <v>27AAAAA9486Z5</v>
      </c>
      <c r="B9486" t="str">
        <f>TEST_DATA!B9486</f>
        <v>May-2018</v>
      </c>
      <c r="C9486">
        <f>TEST_DATA!C9486</f>
        <v>43214</v>
      </c>
      <c r="D9486" t="str">
        <f>TEST_DATA!D9486</f>
        <v>NON-NIL</v>
      </c>
      <c r="E9486">
        <f>TEST_DATA!E9486</f>
        <v>2421</v>
      </c>
    </row>
    <row r="9487" spans="1:5" x14ac:dyDescent="0.55000000000000004">
      <c r="A9487" t="str">
        <f>TEST_DATA!A9487</f>
        <v>27AAAAA9487Z5</v>
      </c>
      <c r="B9487" t="str">
        <f>TEST_DATA!B9487</f>
        <v>Oct-2017</v>
      </c>
      <c r="C9487">
        <f>TEST_DATA!C9487</f>
        <v>43116</v>
      </c>
      <c r="D9487" t="str">
        <f>TEST_DATA!D9487</f>
        <v>NIL</v>
      </c>
      <c r="E9487">
        <f>TEST_DATA!E9487</f>
        <v>370</v>
      </c>
    </row>
    <row r="9488" spans="1:5" x14ac:dyDescent="0.55000000000000004">
      <c r="A9488" t="str">
        <f>TEST_DATA!A9488</f>
        <v>27AAAAA9488Z5</v>
      </c>
      <c r="B9488" t="str">
        <f>TEST_DATA!B9488</f>
        <v>Jul-2020</v>
      </c>
      <c r="C9488">
        <f>TEST_DATA!C9488</f>
        <v>43947</v>
      </c>
      <c r="D9488" t="str">
        <f>TEST_DATA!D9488</f>
        <v>NON-NIL</v>
      </c>
      <c r="E9488">
        <f>TEST_DATA!E9488</f>
        <v>2838</v>
      </c>
    </row>
    <row r="9489" spans="1:5" x14ac:dyDescent="0.55000000000000004">
      <c r="A9489" t="str">
        <f>TEST_DATA!A9489</f>
        <v>27AAAAA9489Z5</v>
      </c>
      <c r="B9489" t="str">
        <f>TEST_DATA!B9489</f>
        <v>Mar-2023</v>
      </c>
      <c r="C9489">
        <f>TEST_DATA!C9489</f>
        <v>43756</v>
      </c>
      <c r="D9489" t="str">
        <f>TEST_DATA!D9489</f>
        <v>NON-NIL</v>
      </c>
      <c r="E9489">
        <f>TEST_DATA!E9489</f>
        <v>1680</v>
      </c>
    </row>
    <row r="9490" spans="1:5" x14ac:dyDescent="0.55000000000000004">
      <c r="A9490" t="str">
        <f>TEST_DATA!A9490</f>
        <v>27AAAAA9490Z5</v>
      </c>
      <c r="B9490" t="str">
        <f>TEST_DATA!B9490</f>
        <v>Jun-2020</v>
      </c>
      <c r="C9490">
        <f>TEST_DATA!C9490</f>
        <v>44699</v>
      </c>
      <c r="D9490" t="str">
        <f>TEST_DATA!D9490</f>
        <v>NON-NIL</v>
      </c>
      <c r="E9490">
        <f>TEST_DATA!E9490</f>
        <v>2443</v>
      </c>
    </row>
    <row r="9491" spans="1:5" x14ac:dyDescent="0.55000000000000004">
      <c r="A9491" t="str">
        <f>TEST_DATA!A9491</f>
        <v>27AAAAA9491Z5</v>
      </c>
      <c r="B9491" t="str">
        <f>TEST_DATA!B9491</f>
        <v>Feb-2018</v>
      </c>
      <c r="C9491">
        <f>TEST_DATA!C9491</f>
        <v>43256</v>
      </c>
      <c r="D9491" t="str">
        <f>TEST_DATA!D9491</f>
        <v>NIL</v>
      </c>
      <c r="E9491">
        <f>TEST_DATA!E9491</f>
        <v>994</v>
      </c>
    </row>
    <row r="9492" spans="1:5" x14ac:dyDescent="0.55000000000000004">
      <c r="A9492" t="str">
        <f>TEST_DATA!A9492</f>
        <v>27AAAAA9492Z5</v>
      </c>
      <c r="B9492" t="str">
        <f>TEST_DATA!B9492</f>
        <v>Jun-2018</v>
      </c>
      <c r="C9492">
        <f>TEST_DATA!C9492</f>
        <v>44098</v>
      </c>
      <c r="D9492" t="str">
        <f>TEST_DATA!D9492</f>
        <v>NON-NIL</v>
      </c>
      <c r="E9492">
        <f>TEST_DATA!E9492</f>
        <v>482</v>
      </c>
    </row>
    <row r="9493" spans="1:5" x14ac:dyDescent="0.55000000000000004">
      <c r="A9493" t="str">
        <f>TEST_DATA!A9493</f>
        <v>27AAAAA9493Z5</v>
      </c>
      <c r="B9493" t="str">
        <f>TEST_DATA!B9493</f>
        <v>Jun-2019</v>
      </c>
      <c r="C9493">
        <f>TEST_DATA!C9493</f>
        <v>44324</v>
      </c>
      <c r="D9493" t="str">
        <f>TEST_DATA!D9493</f>
        <v>NIL</v>
      </c>
      <c r="E9493">
        <f>TEST_DATA!E9493</f>
        <v>2699</v>
      </c>
    </row>
    <row r="9494" spans="1:5" x14ac:dyDescent="0.55000000000000004">
      <c r="A9494" t="str">
        <f>TEST_DATA!A9494</f>
        <v>27AAAAA9494Z5</v>
      </c>
      <c r="B9494" t="str">
        <f>TEST_DATA!B9494</f>
        <v>Sep-2018</v>
      </c>
      <c r="C9494">
        <f>TEST_DATA!C9494</f>
        <v>44398</v>
      </c>
      <c r="D9494" t="str">
        <f>TEST_DATA!D9494</f>
        <v>NIL</v>
      </c>
      <c r="E9494">
        <f>TEST_DATA!E9494</f>
        <v>2665</v>
      </c>
    </row>
    <row r="9495" spans="1:5" x14ac:dyDescent="0.55000000000000004">
      <c r="A9495" t="str">
        <f>TEST_DATA!A9495</f>
        <v>27AAAAA9495Z5</v>
      </c>
      <c r="B9495" t="str">
        <f>TEST_DATA!B9495</f>
        <v>Mar-2018</v>
      </c>
      <c r="C9495">
        <f>TEST_DATA!C9495</f>
        <v>44336</v>
      </c>
      <c r="D9495" t="str">
        <f>TEST_DATA!D9495</f>
        <v>NIL</v>
      </c>
      <c r="E9495">
        <f>TEST_DATA!E9495</f>
        <v>163</v>
      </c>
    </row>
    <row r="9496" spans="1:5" x14ac:dyDescent="0.55000000000000004">
      <c r="A9496" t="str">
        <f>TEST_DATA!A9496</f>
        <v>27AAAAA9496Z5</v>
      </c>
      <c r="B9496" t="str">
        <f>TEST_DATA!B9496</f>
        <v>Dec-2024</v>
      </c>
      <c r="C9496">
        <f>TEST_DATA!C9496</f>
        <v>44105</v>
      </c>
      <c r="D9496" t="str">
        <f>TEST_DATA!D9496</f>
        <v>NIL</v>
      </c>
      <c r="E9496">
        <f>TEST_DATA!E9496</f>
        <v>2689</v>
      </c>
    </row>
    <row r="9497" spans="1:5" x14ac:dyDescent="0.55000000000000004">
      <c r="A9497" t="str">
        <f>TEST_DATA!A9497</f>
        <v>27AAAAA9497Z5</v>
      </c>
      <c r="B9497" t="str">
        <f>TEST_DATA!B9497</f>
        <v>Mar-2023</v>
      </c>
      <c r="C9497">
        <f>TEST_DATA!C9497</f>
        <v>45180</v>
      </c>
      <c r="D9497" t="str">
        <f>TEST_DATA!D9497</f>
        <v>NON-NIL</v>
      </c>
      <c r="E9497">
        <f>TEST_DATA!E9497</f>
        <v>634</v>
      </c>
    </row>
    <row r="9498" spans="1:5" x14ac:dyDescent="0.55000000000000004">
      <c r="A9498" t="str">
        <f>TEST_DATA!A9498</f>
        <v>27AAAAA9498Z5</v>
      </c>
      <c r="B9498" t="str">
        <f>TEST_DATA!B9498</f>
        <v>Jun-2018</v>
      </c>
      <c r="C9498">
        <f>TEST_DATA!C9498</f>
        <v>44178</v>
      </c>
      <c r="D9498" t="str">
        <f>TEST_DATA!D9498</f>
        <v>NON-NIL</v>
      </c>
      <c r="E9498">
        <f>TEST_DATA!E9498</f>
        <v>2714</v>
      </c>
    </row>
    <row r="9499" spans="1:5" x14ac:dyDescent="0.55000000000000004">
      <c r="A9499" t="str">
        <f>TEST_DATA!A9499</f>
        <v>27AAAAA9499Z5</v>
      </c>
      <c r="B9499" t="str">
        <f>TEST_DATA!B9499</f>
        <v>Nov-2017</v>
      </c>
      <c r="C9499">
        <f>TEST_DATA!C9499</f>
        <v>42934</v>
      </c>
      <c r="D9499" t="str">
        <f>TEST_DATA!D9499</f>
        <v>NON-NIL</v>
      </c>
      <c r="E9499">
        <f>TEST_DATA!E9499</f>
        <v>1359</v>
      </c>
    </row>
    <row r="9500" spans="1:5" x14ac:dyDescent="0.55000000000000004">
      <c r="A9500" t="str">
        <f>TEST_DATA!A9500</f>
        <v>27AAAAA9500Z5</v>
      </c>
      <c r="B9500" t="str">
        <f>TEST_DATA!B9500</f>
        <v>Apr-2018</v>
      </c>
      <c r="C9500">
        <f>TEST_DATA!C9500</f>
        <v>44036</v>
      </c>
      <c r="D9500" t="str">
        <f>TEST_DATA!D9500</f>
        <v>NIL</v>
      </c>
      <c r="E9500">
        <f>TEST_DATA!E9500</f>
        <v>2352</v>
      </c>
    </row>
    <row r="9501" spans="1:5" x14ac:dyDescent="0.55000000000000004">
      <c r="A9501" t="str">
        <f>TEST_DATA!A9501</f>
        <v>27AAAAA9501Z5</v>
      </c>
      <c r="B9501" t="str">
        <f>TEST_DATA!B9501</f>
        <v>Jun-2019</v>
      </c>
      <c r="C9501">
        <f>TEST_DATA!C9501</f>
        <v>45449</v>
      </c>
      <c r="D9501" t="str">
        <f>TEST_DATA!D9501</f>
        <v>NIL</v>
      </c>
      <c r="E9501">
        <f>TEST_DATA!E9501</f>
        <v>2941</v>
      </c>
    </row>
    <row r="9502" spans="1:5" x14ac:dyDescent="0.55000000000000004">
      <c r="A9502" t="str">
        <f>TEST_DATA!A9502</f>
        <v>27AAAAA9502Z5</v>
      </c>
      <c r="B9502" t="str">
        <f>TEST_DATA!B9502</f>
        <v>Apr-2020</v>
      </c>
      <c r="C9502">
        <f>TEST_DATA!C9502</f>
        <v>44119</v>
      </c>
      <c r="D9502" t="str">
        <f>TEST_DATA!D9502</f>
        <v>NIL</v>
      </c>
      <c r="E9502">
        <f>TEST_DATA!E9502</f>
        <v>1154</v>
      </c>
    </row>
    <row r="9503" spans="1:5" x14ac:dyDescent="0.55000000000000004">
      <c r="A9503" t="str">
        <f>TEST_DATA!A9503</f>
        <v>27AAAAA9503Z5</v>
      </c>
      <c r="B9503" t="str">
        <f>TEST_DATA!B9503</f>
        <v>Jan-2019</v>
      </c>
      <c r="C9503">
        <f>TEST_DATA!C9503</f>
        <v>44512</v>
      </c>
      <c r="D9503" t="str">
        <f>TEST_DATA!D9503</f>
        <v>NON-NIL</v>
      </c>
      <c r="E9503">
        <f>TEST_DATA!E9503</f>
        <v>1830</v>
      </c>
    </row>
    <row r="9504" spans="1:5" x14ac:dyDescent="0.55000000000000004">
      <c r="A9504" t="str">
        <f>TEST_DATA!A9504</f>
        <v>27AAAAA9504Z5</v>
      </c>
      <c r="B9504" t="str">
        <f>TEST_DATA!B9504</f>
        <v>Apr-2018</v>
      </c>
      <c r="C9504">
        <f>TEST_DATA!C9504</f>
        <v>43708</v>
      </c>
      <c r="D9504" t="str">
        <f>TEST_DATA!D9504</f>
        <v>NIL</v>
      </c>
      <c r="E9504">
        <f>TEST_DATA!E9504</f>
        <v>1207</v>
      </c>
    </row>
    <row r="9505" spans="1:5" x14ac:dyDescent="0.55000000000000004">
      <c r="A9505" t="str">
        <f>TEST_DATA!A9505</f>
        <v>27AAAAA9505Z5</v>
      </c>
      <c r="B9505" t="str">
        <f>TEST_DATA!B9505</f>
        <v>Dec-2017</v>
      </c>
      <c r="C9505">
        <f>TEST_DATA!C9505</f>
        <v>44112</v>
      </c>
      <c r="D9505" t="str">
        <f>TEST_DATA!D9505</f>
        <v>NIL</v>
      </c>
      <c r="E9505">
        <f>TEST_DATA!E9505</f>
        <v>1866</v>
      </c>
    </row>
    <row r="9506" spans="1:5" x14ac:dyDescent="0.55000000000000004">
      <c r="A9506" t="str">
        <f>TEST_DATA!A9506</f>
        <v>27AAAAA9506Z5</v>
      </c>
      <c r="B9506" t="str">
        <f>TEST_DATA!B9506</f>
        <v>Oct-2017</v>
      </c>
      <c r="C9506">
        <f>TEST_DATA!C9506</f>
        <v>43903</v>
      </c>
      <c r="D9506" t="str">
        <f>TEST_DATA!D9506</f>
        <v>NON-NIL</v>
      </c>
      <c r="E9506">
        <f>TEST_DATA!E9506</f>
        <v>2794</v>
      </c>
    </row>
    <row r="9507" spans="1:5" x14ac:dyDescent="0.55000000000000004">
      <c r="A9507" t="str">
        <f>TEST_DATA!A9507</f>
        <v>27AAAAA9507Z5</v>
      </c>
      <c r="B9507" t="str">
        <f>TEST_DATA!B9507</f>
        <v>Jan-2019</v>
      </c>
      <c r="C9507">
        <f>TEST_DATA!C9507</f>
        <v>44204</v>
      </c>
      <c r="D9507" t="str">
        <f>TEST_DATA!D9507</f>
        <v>NIL</v>
      </c>
      <c r="E9507">
        <f>TEST_DATA!E9507</f>
        <v>1074</v>
      </c>
    </row>
    <row r="9508" spans="1:5" x14ac:dyDescent="0.55000000000000004">
      <c r="A9508" t="str">
        <f>TEST_DATA!A9508</f>
        <v>27AAAAA9508Z5</v>
      </c>
      <c r="B9508" t="str">
        <f>TEST_DATA!B9508</f>
        <v>Aug-2018</v>
      </c>
      <c r="C9508">
        <f>TEST_DATA!C9508</f>
        <v>43077</v>
      </c>
      <c r="D9508" t="str">
        <f>TEST_DATA!D9508</f>
        <v>NON-NIL</v>
      </c>
      <c r="E9508">
        <f>TEST_DATA!E9508</f>
        <v>750</v>
      </c>
    </row>
    <row r="9509" spans="1:5" x14ac:dyDescent="0.55000000000000004">
      <c r="A9509" t="str">
        <f>TEST_DATA!A9509</f>
        <v>27AAAAA9509Z5</v>
      </c>
      <c r="B9509" t="str">
        <f>TEST_DATA!B9509</f>
        <v>Jan-2019</v>
      </c>
      <c r="C9509">
        <f>TEST_DATA!C9509</f>
        <v>44842</v>
      </c>
      <c r="D9509" t="str">
        <f>TEST_DATA!D9509</f>
        <v>NIL</v>
      </c>
      <c r="E9509">
        <f>TEST_DATA!E9509</f>
        <v>1111</v>
      </c>
    </row>
    <row r="9510" spans="1:5" x14ac:dyDescent="0.55000000000000004">
      <c r="A9510" t="str">
        <f>TEST_DATA!A9510</f>
        <v>27AAAAA9510Z5</v>
      </c>
      <c r="B9510" t="str">
        <f>TEST_DATA!B9510</f>
        <v>Jun-2018</v>
      </c>
      <c r="C9510">
        <f>TEST_DATA!C9510</f>
        <v>44556</v>
      </c>
      <c r="D9510" t="str">
        <f>TEST_DATA!D9510</f>
        <v>NIL</v>
      </c>
      <c r="E9510">
        <f>TEST_DATA!E9510</f>
        <v>2545</v>
      </c>
    </row>
    <row r="9511" spans="1:5" x14ac:dyDescent="0.55000000000000004">
      <c r="A9511" t="str">
        <f>TEST_DATA!A9511</f>
        <v>27AAAAA9511Z5</v>
      </c>
      <c r="B9511" t="str">
        <f>TEST_DATA!B9511</f>
        <v>Dec-2022</v>
      </c>
      <c r="C9511">
        <f>TEST_DATA!C9511</f>
        <v>44207</v>
      </c>
      <c r="D9511" t="str">
        <f>TEST_DATA!D9511</f>
        <v>NON-NIL</v>
      </c>
      <c r="E9511">
        <f>TEST_DATA!E9511</f>
        <v>1826</v>
      </c>
    </row>
    <row r="9512" spans="1:5" x14ac:dyDescent="0.55000000000000004">
      <c r="A9512" t="str">
        <f>TEST_DATA!A9512</f>
        <v>27AAAAA9512Z5</v>
      </c>
      <c r="B9512" t="str">
        <f>TEST_DATA!B9512</f>
        <v>Mar-2023</v>
      </c>
      <c r="C9512">
        <f>TEST_DATA!C9512</f>
        <v>45218</v>
      </c>
      <c r="D9512" t="str">
        <f>TEST_DATA!D9512</f>
        <v>NON-NIL</v>
      </c>
      <c r="E9512">
        <f>TEST_DATA!E9512</f>
        <v>2415</v>
      </c>
    </row>
    <row r="9513" spans="1:5" x14ac:dyDescent="0.55000000000000004">
      <c r="A9513" t="str">
        <f>TEST_DATA!A9513</f>
        <v>27AAAAA9513Z5</v>
      </c>
      <c r="B9513" t="str">
        <f>TEST_DATA!B9513</f>
        <v>Dec-2019</v>
      </c>
      <c r="C9513">
        <f>TEST_DATA!C9513</f>
        <v>45615</v>
      </c>
      <c r="D9513" t="str">
        <f>TEST_DATA!D9513</f>
        <v>NON-NIL</v>
      </c>
      <c r="E9513">
        <f>TEST_DATA!E9513</f>
        <v>1927</v>
      </c>
    </row>
    <row r="9514" spans="1:5" x14ac:dyDescent="0.55000000000000004">
      <c r="A9514" t="str">
        <f>TEST_DATA!A9514</f>
        <v>27AAAAA9514Z5</v>
      </c>
      <c r="B9514" t="str">
        <f>TEST_DATA!B9514</f>
        <v>May-2018</v>
      </c>
      <c r="C9514">
        <f>TEST_DATA!C9514</f>
        <v>43517</v>
      </c>
      <c r="D9514" t="str">
        <f>TEST_DATA!D9514</f>
        <v>NON-NIL</v>
      </c>
      <c r="E9514">
        <f>TEST_DATA!E9514</f>
        <v>1349</v>
      </c>
    </row>
    <row r="9515" spans="1:5" x14ac:dyDescent="0.55000000000000004">
      <c r="A9515" t="str">
        <f>TEST_DATA!A9515</f>
        <v>27AAAAA9515Z5</v>
      </c>
      <c r="B9515" t="str">
        <f>TEST_DATA!B9515</f>
        <v>Jun-2019</v>
      </c>
      <c r="C9515">
        <f>TEST_DATA!C9515</f>
        <v>44522</v>
      </c>
      <c r="D9515" t="str">
        <f>TEST_DATA!D9515</f>
        <v>NON-NIL</v>
      </c>
      <c r="E9515">
        <f>TEST_DATA!E9515</f>
        <v>1207</v>
      </c>
    </row>
    <row r="9516" spans="1:5" x14ac:dyDescent="0.55000000000000004">
      <c r="A9516" t="str">
        <f>TEST_DATA!A9516</f>
        <v>27AAAAA9516Z5</v>
      </c>
      <c r="B9516" t="str">
        <f>TEST_DATA!B9516</f>
        <v>Sep-2017</v>
      </c>
      <c r="C9516">
        <f>TEST_DATA!C9516</f>
        <v>43399</v>
      </c>
      <c r="D9516" t="str">
        <f>TEST_DATA!D9516</f>
        <v>NON-NIL</v>
      </c>
      <c r="E9516">
        <f>TEST_DATA!E9516</f>
        <v>17</v>
      </c>
    </row>
    <row r="9517" spans="1:5" x14ac:dyDescent="0.55000000000000004">
      <c r="A9517" t="str">
        <f>TEST_DATA!A9517</f>
        <v>27AAAAA9517Z5</v>
      </c>
      <c r="B9517" t="str">
        <f>TEST_DATA!B9517</f>
        <v>Oct-2017</v>
      </c>
      <c r="C9517">
        <f>TEST_DATA!C9517</f>
        <v>44167</v>
      </c>
      <c r="D9517" t="str">
        <f>TEST_DATA!D9517</f>
        <v>NIL</v>
      </c>
      <c r="E9517">
        <f>TEST_DATA!E9517</f>
        <v>2957</v>
      </c>
    </row>
    <row r="9518" spans="1:5" x14ac:dyDescent="0.55000000000000004">
      <c r="A9518" t="str">
        <f>TEST_DATA!A9518</f>
        <v>27AAAAA9518Z5</v>
      </c>
      <c r="B9518" t="str">
        <f>TEST_DATA!B9518</f>
        <v>Mar-2020</v>
      </c>
      <c r="C9518">
        <f>TEST_DATA!C9518</f>
        <v>44267</v>
      </c>
      <c r="D9518" t="str">
        <f>TEST_DATA!D9518</f>
        <v>NON-NIL</v>
      </c>
      <c r="E9518">
        <f>TEST_DATA!E9518</f>
        <v>13</v>
      </c>
    </row>
    <row r="9519" spans="1:5" x14ac:dyDescent="0.55000000000000004">
      <c r="A9519" t="str">
        <f>TEST_DATA!A9519</f>
        <v>27AAAAA9519Z5</v>
      </c>
      <c r="B9519" t="str">
        <f>TEST_DATA!B9519</f>
        <v>Jul-2020</v>
      </c>
      <c r="C9519">
        <f>TEST_DATA!C9519</f>
        <v>44503</v>
      </c>
      <c r="D9519" t="str">
        <f>TEST_DATA!D9519</f>
        <v>NON-NIL</v>
      </c>
      <c r="E9519">
        <f>TEST_DATA!E9519</f>
        <v>745</v>
      </c>
    </row>
    <row r="9520" spans="1:5" x14ac:dyDescent="0.55000000000000004">
      <c r="A9520" t="str">
        <f>TEST_DATA!A9520</f>
        <v>27AAAAA9520Z5</v>
      </c>
      <c r="B9520" t="str">
        <f>TEST_DATA!B9520</f>
        <v>Jul-2020</v>
      </c>
      <c r="C9520">
        <f>TEST_DATA!C9520</f>
        <v>44760</v>
      </c>
      <c r="D9520" t="str">
        <f>TEST_DATA!D9520</f>
        <v>NON-NIL</v>
      </c>
      <c r="E9520">
        <f>TEST_DATA!E9520</f>
        <v>2717</v>
      </c>
    </row>
    <row r="9521" spans="1:5" x14ac:dyDescent="0.55000000000000004">
      <c r="A9521" t="str">
        <f>TEST_DATA!A9521</f>
        <v>27AAAAA9521Z5</v>
      </c>
      <c r="B9521" t="str">
        <f>TEST_DATA!B9521</f>
        <v>Sep-2017</v>
      </c>
      <c r="C9521">
        <f>TEST_DATA!C9521</f>
        <v>44347</v>
      </c>
      <c r="D9521" t="str">
        <f>TEST_DATA!D9521</f>
        <v>NIL</v>
      </c>
      <c r="E9521">
        <f>TEST_DATA!E9521</f>
        <v>1028</v>
      </c>
    </row>
    <row r="9522" spans="1:5" x14ac:dyDescent="0.55000000000000004">
      <c r="A9522" t="str">
        <f>TEST_DATA!A9522</f>
        <v>27AAAAA9522Z5</v>
      </c>
      <c r="B9522" t="str">
        <f>TEST_DATA!B9522</f>
        <v>Jul-2018</v>
      </c>
      <c r="C9522">
        <f>TEST_DATA!C9522</f>
        <v>43427</v>
      </c>
      <c r="D9522" t="str">
        <f>TEST_DATA!D9522</f>
        <v>NIL</v>
      </c>
      <c r="E9522">
        <f>TEST_DATA!E9522</f>
        <v>454</v>
      </c>
    </row>
    <row r="9523" spans="1:5" x14ac:dyDescent="0.55000000000000004">
      <c r="A9523" t="str">
        <f>TEST_DATA!A9523</f>
        <v>27AAAAA9523Z5</v>
      </c>
      <c r="B9523" t="str">
        <f>TEST_DATA!B9523</f>
        <v>Nov-2017</v>
      </c>
      <c r="C9523">
        <f>TEST_DATA!C9523</f>
        <v>43487</v>
      </c>
      <c r="D9523" t="str">
        <f>TEST_DATA!D9523</f>
        <v>NON-NIL</v>
      </c>
      <c r="E9523">
        <f>TEST_DATA!E9523</f>
        <v>1206</v>
      </c>
    </row>
    <row r="9524" spans="1:5" x14ac:dyDescent="0.55000000000000004">
      <c r="A9524" t="str">
        <f>TEST_DATA!A9524</f>
        <v>27AAAAA9524Z5</v>
      </c>
      <c r="B9524" t="str">
        <f>TEST_DATA!B9524</f>
        <v>Jan-2019</v>
      </c>
      <c r="C9524">
        <f>TEST_DATA!C9524</f>
        <v>44458</v>
      </c>
      <c r="D9524" t="str">
        <f>TEST_DATA!D9524</f>
        <v>NON-NIL</v>
      </c>
      <c r="E9524">
        <f>TEST_DATA!E9524</f>
        <v>2944</v>
      </c>
    </row>
    <row r="9525" spans="1:5" x14ac:dyDescent="0.55000000000000004">
      <c r="A9525" t="str">
        <f>TEST_DATA!A9525</f>
        <v>27AAAAA9525Z5</v>
      </c>
      <c r="B9525" t="str">
        <f>TEST_DATA!B9525</f>
        <v>Apr-2021</v>
      </c>
      <c r="C9525">
        <f>TEST_DATA!C9525</f>
        <v>44897</v>
      </c>
      <c r="D9525" t="str">
        <f>TEST_DATA!D9525</f>
        <v>NON-NIL</v>
      </c>
      <c r="E9525">
        <f>TEST_DATA!E9525</f>
        <v>486</v>
      </c>
    </row>
    <row r="9526" spans="1:5" x14ac:dyDescent="0.55000000000000004">
      <c r="A9526" t="str">
        <f>TEST_DATA!A9526</f>
        <v>27AAAAA9526Z5</v>
      </c>
      <c r="B9526" t="str">
        <f>TEST_DATA!B9526</f>
        <v>Dec-2024</v>
      </c>
      <c r="C9526">
        <f>TEST_DATA!C9526</f>
        <v>43752</v>
      </c>
      <c r="D9526" t="str">
        <f>TEST_DATA!D9526</f>
        <v>NON-NIL</v>
      </c>
      <c r="E9526">
        <f>TEST_DATA!E9526</f>
        <v>1677</v>
      </c>
    </row>
    <row r="9527" spans="1:5" x14ac:dyDescent="0.55000000000000004">
      <c r="A9527" t="str">
        <f>TEST_DATA!A9527</f>
        <v>27AAAAA9527Z5</v>
      </c>
      <c r="B9527" t="str">
        <f>TEST_DATA!B9527</f>
        <v>Dec-2019</v>
      </c>
      <c r="C9527">
        <f>TEST_DATA!C9527</f>
        <v>45112</v>
      </c>
      <c r="D9527" t="str">
        <f>TEST_DATA!D9527</f>
        <v>NIL</v>
      </c>
      <c r="E9527">
        <f>TEST_DATA!E9527</f>
        <v>2888</v>
      </c>
    </row>
    <row r="9528" spans="1:5" x14ac:dyDescent="0.55000000000000004">
      <c r="A9528" t="str">
        <f>TEST_DATA!A9528</f>
        <v>27AAAAA9528Z5</v>
      </c>
      <c r="B9528" t="str">
        <f>TEST_DATA!B9528</f>
        <v>Nov-2017</v>
      </c>
      <c r="C9528">
        <f>TEST_DATA!C9528</f>
        <v>44353</v>
      </c>
      <c r="D9528" t="str">
        <f>TEST_DATA!D9528</f>
        <v>NIL</v>
      </c>
      <c r="E9528">
        <f>TEST_DATA!E9528</f>
        <v>254</v>
      </c>
    </row>
    <row r="9529" spans="1:5" x14ac:dyDescent="0.55000000000000004">
      <c r="A9529" t="str">
        <f>TEST_DATA!A9529</f>
        <v>27AAAAA9529Z5</v>
      </c>
      <c r="B9529" t="str">
        <f>TEST_DATA!B9529</f>
        <v>Apr-2021</v>
      </c>
      <c r="C9529">
        <f>TEST_DATA!C9529</f>
        <v>45372</v>
      </c>
      <c r="D9529" t="str">
        <f>TEST_DATA!D9529</f>
        <v>NIL</v>
      </c>
      <c r="E9529">
        <f>TEST_DATA!E9529</f>
        <v>2692</v>
      </c>
    </row>
    <row r="9530" spans="1:5" x14ac:dyDescent="0.55000000000000004">
      <c r="A9530" t="str">
        <f>TEST_DATA!A9530</f>
        <v>27AAAAA9530Z5</v>
      </c>
      <c r="B9530" t="str">
        <f>TEST_DATA!B9530</f>
        <v>Aug-2018</v>
      </c>
      <c r="C9530">
        <f>TEST_DATA!C9530</f>
        <v>43603</v>
      </c>
      <c r="D9530" t="str">
        <f>TEST_DATA!D9530</f>
        <v>NON-NIL</v>
      </c>
      <c r="E9530">
        <f>TEST_DATA!E9530</f>
        <v>2123</v>
      </c>
    </row>
    <row r="9531" spans="1:5" x14ac:dyDescent="0.55000000000000004">
      <c r="A9531" t="str">
        <f>TEST_DATA!A9531</f>
        <v>27AAAAA9531Z5</v>
      </c>
      <c r="B9531" t="str">
        <f>TEST_DATA!B9531</f>
        <v>Jul-2017</v>
      </c>
      <c r="C9531">
        <f>TEST_DATA!C9531</f>
        <v>43564</v>
      </c>
      <c r="D9531" t="str">
        <f>TEST_DATA!D9531</f>
        <v>NIL</v>
      </c>
      <c r="E9531">
        <f>TEST_DATA!E9531</f>
        <v>418</v>
      </c>
    </row>
    <row r="9532" spans="1:5" x14ac:dyDescent="0.55000000000000004">
      <c r="A9532" t="str">
        <f>TEST_DATA!A9532</f>
        <v>27AAAAA9532Z5</v>
      </c>
      <c r="B9532" t="str">
        <f>TEST_DATA!B9532</f>
        <v>Jul-2018</v>
      </c>
      <c r="C9532">
        <f>TEST_DATA!C9532</f>
        <v>42988</v>
      </c>
      <c r="D9532" t="str">
        <f>TEST_DATA!D9532</f>
        <v>NIL</v>
      </c>
      <c r="E9532">
        <f>TEST_DATA!E9532</f>
        <v>2894</v>
      </c>
    </row>
    <row r="9533" spans="1:5" x14ac:dyDescent="0.55000000000000004">
      <c r="A9533" t="str">
        <f>TEST_DATA!A9533</f>
        <v>27AAAAA9533Z5</v>
      </c>
      <c r="B9533" t="str">
        <f>TEST_DATA!B9533</f>
        <v>Nov-2017</v>
      </c>
      <c r="C9533">
        <f>TEST_DATA!C9533</f>
        <v>43837</v>
      </c>
      <c r="D9533" t="str">
        <f>TEST_DATA!D9533</f>
        <v>NON-NIL</v>
      </c>
      <c r="E9533">
        <f>TEST_DATA!E9533</f>
        <v>988</v>
      </c>
    </row>
    <row r="9534" spans="1:5" x14ac:dyDescent="0.55000000000000004">
      <c r="A9534" t="str">
        <f>TEST_DATA!A9534</f>
        <v>27AAAAA9534Z5</v>
      </c>
      <c r="B9534" t="str">
        <f>TEST_DATA!B9534</f>
        <v>Feb-2018</v>
      </c>
      <c r="C9534">
        <f>TEST_DATA!C9534</f>
        <v>43025</v>
      </c>
      <c r="D9534" t="str">
        <f>TEST_DATA!D9534</f>
        <v>NIL</v>
      </c>
      <c r="E9534">
        <f>TEST_DATA!E9534</f>
        <v>1802</v>
      </c>
    </row>
    <row r="9535" spans="1:5" x14ac:dyDescent="0.55000000000000004">
      <c r="A9535" t="str">
        <f>TEST_DATA!A9535</f>
        <v>27AAAAA9535Z5</v>
      </c>
      <c r="B9535" t="str">
        <f>TEST_DATA!B9535</f>
        <v>Jun-2020</v>
      </c>
      <c r="C9535">
        <f>TEST_DATA!C9535</f>
        <v>44191</v>
      </c>
      <c r="D9535" t="str">
        <f>TEST_DATA!D9535</f>
        <v>NON-NIL</v>
      </c>
      <c r="E9535">
        <f>TEST_DATA!E9535</f>
        <v>276</v>
      </c>
    </row>
    <row r="9536" spans="1:5" x14ac:dyDescent="0.55000000000000004">
      <c r="A9536" t="str">
        <f>TEST_DATA!A9536</f>
        <v>27AAAAA9536Z5</v>
      </c>
      <c r="B9536" t="str">
        <f>TEST_DATA!B9536</f>
        <v>Dec-2019</v>
      </c>
      <c r="C9536">
        <f>TEST_DATA!C9536</f>
        <v>45161</v>
      </c>
      <c r="D9536" t="str">
        <f>TEST_DATA!D9536</f>
        <v>NIL</v>
      </c>
      <c r="E9536">
        <f>TEST_DATA!E9536</f>
        <v>1164</v>
      </c>
    </row>
    <row r="9537" spans="1:5" x14ac:dyDescent="0.55000000000000004">
      <c r="A9537" t="str">
        <f>TEST_DATA!A9537</f>
        <v>27AAAAA9537Z5</v>
      </c>
      <c r="B9537" t="str">
        <f>TEST_DATA!B9537</f>
        <v>Apr-2018</v>
      </c>
      <c r="C9537">
        <f>TEST_DATA!C9537</f>
        <v>43852</v>
      </c>
      <c r="D9537" t="str">
        <f>TEST_DATA!D9537</f>
        <v>NON-NIL</v>
      </c>
      <c r="E9537">
        <f>TEST_DATA!E9537</f>
        <v>1713</v>
      </c>
    </row>
    <row r="9538" spans="1:5" x14ac:dyDescent="0.55000000000000004">
      <c r="A9538" t="str">
        <f>TEST_DATA!A9538</f>
        <v>27AAAAA9538Z5</v>
      </c>
      <c r="B9538" t="str">
        <f>TEST_DATA!B9538</f>
        <v>Jan-2018</v>
      </c>
      <c r="C9538">
        <f>TEST_DATA!C9538</f>
        <v>43045</v>
      </c>
      <c r="D9538" t="str">
        <f>TEST_DATA!D9538</f>
        <v>NIL</v>
      </c>
      <c r="E9538">
        <f>TEST_DATA!E9538</f>
        <v>532</v>
      </c>
    </row>
    <row r="9539" spans="1:5" x14ac:dyDescent="0.55000000000000004">
      <c r="A9539" t="str">
        <f>TEST_DATA!A9539</f>
        <v>27AAAAA9539Z5</v>
      </c>
      <c r="B9539" t="str">
        <f>TEST_DATA!B9539</f>
        <v>May-2020</v>
      </c>
      <c r="C9539">
        <f>TEST_DATA!C9539</f>
        <v>43987</v>
      </c>
      <c r="D9539" t="str">
        <f>TEST_DATA!D9539</f>
        <v>NIL</v>
      </c>
      <c r="E9539">
        <f>TEST_DATA!E9539</f>
        <v>2226</v>
      </c>
    </row>
    <row r="9540" spans="1:5" x14ac:dyDescent="0.55000000000000004">
      <c r="A9540" t="str">
        <f>TEST_DATA!A9540</f>
        <v>27AAAAA9540Z5</v>
      </c>
      <c r="B9540" t="str">
        <f>TEST_DATA!B9540</f>
        <v>Jul-2020</v>
      </c>
      <c r="C9540">
        <f>TEST_DATA!C9540</f>
        <v>43860</v>
      </c>
      <c r="D9540" t="str">
        <f>TEST_DATA!D9540</f>
        <v>NON-NIL</v>
      </c>
      <c r="E9540">
        <f>TEST_DATA!E9540</f>
        <v>2230</v>
      </c>
    </row>
    <row r="9541" spans="1:5" x14ac:dyDescent="0.55000000000000004">
      <c r="A9541" t="str">
        <f>TEST_DATA!A9541</f>
        <v>27AAAAA9541Z5</v>
      </c>
      <c r="B9541" t="str">
        <f>TEST_DATA!B9541</f>
        <v>Mar-2023</v>
      </c>
      <c r="C9541">
        <f>TEST_DATA!C9541</f>
        <v>44227</v>
      </c>
      <c r="D9541" t="str">
        <f>TEST_DATA!D9541</f>
        <v>NON-NIL</v>
      </c>
      <c r="E9541">
        <f>TEST_DATA!E9541</f>
        <v>2210</v>
      </c>
    </row>
    <row r="9542" spans="1:5" x14ac:dyDescent="0.55000000000000004">
      <c r="A9542" t="str">
        <f>TEST_DATA!A9542</f>
        <v>27AAAAA9542Z5</v>
      </c>
      <c r="B9542" t="str">
        <f>TEST_DATA!B9542</f>
        <v>Mar-2021</v>
      </c>
      <c r="C9542">
        <f>TEST_DATA!C9542</f>
        <v>43660</v>
      </c>
      <c r="D9542" t="str">
        <f>TEST_DATA!D9542</f>
        <v>NON-NIL</v>
      </c>
      <c r="E9542">
        <f>TEST_DATA!E9542</f>
        <v>1704</v>
      </c>
    </row>
    <row r="9543" spans="1:5" x14ac:dyDescent="0.55000000000000004">
      <c r="A9543" t="str">
        <f>TEST_DATA!A9543</f>
        <v>27AAAAA9543Z5</v>
      </c>
      <c r="B9543" t="str">
        <f>TEST_DATA!B9543</f>
        <v>Sep-2017</v>
      </c>
      <c r="C9543">
        <f>TEST_DATA!C9543</f>
        <v>43570</v>
      </c>
      <c r="D9543" t="str">
        <f>TEST_DATA!D9543</f>
        <v>NON-NIL</v>
      </c>
      <c r="E9543">
        <f>TEST_DATA!E9543</f>
        <v>1420</v>
      </c>
    </row>
    <row r="9544" spans="1:5" x14ac:dyDescent="0.55000000000000004">
      <c r="A9544" t="str">
        <f>TEST_DATA!A9544</f>
        <v>27AAAAA9544Z5</v>
      </c>
      <c r="B9544" t="str">
        <f>TEST_DATA!B9544</f>
        <v>Apr-2020</v>
      </c>
      <c r="C9544">
        <f>TEST_DATA!C9544</f>
        <v>44876</v>
      </c>
      <c r="D9544" t="str">
        <f>TEST_DATA!D9544</f>
        <v>NON-NIL</v>
      </c>
      <c r="E9544">
        <f>TEST_DATA!E9544</f>
        <v>2103</v>
      </c>
    </row>
    <row r="9545" spans="1:5" x14ac:dyDescent="0.55000000000000004">
      <c r="A9545" t="str">
        <f>TEST_DATA!A9545</f>
        <v>27AAAAA9545Z5</v>
      </c>
      <c r="B9545" t="str">
        <f>TEST_DATA!B9545</f>
        <v>Jul-2018</v>
      </c>
      <c r="C9545">
        <f>TEST_DATA!C9545</f>
        <v>43688</v>
      </c>
      <c r="D9545" t="str">
        <f>TEST_DATA!D9545</f>
        <v>NIL</v>
      </c>
      <c r="E9545">
        <f>TEST_DATA!E9545</f>
        <v>1448</v>
      </c>
    </row>
    <row r="9546" spans="1:5" x14ac:dyDescent="0.55000000000000004">
      <c r="A9546" t="str">
        <f>TEST_DATA!A9546</f>
        <v>27AAAAA9546Z5</v>
      </c>
      <c r="B9546" t="str">
        <f>TEST_DATA!B9546</f>
        <v>Aug-2018</v>
      </c>
      <c r="C9546">
        <f>TEST_DATA!C9546</f>
        <v>43584</v>
      </c>
      <c r="D9546" t="str">
        <f>TEST_DATA!D9546</f>
        <v>NON-NIL</v>
      </c>
      <c r="E9546">
        <f>TEST_DATA!E9546</f>
        <v>327</v>
      </c>
    </row>
    <row r="9547" spans="1:5" x14ac:dyDescent="0.55000000000000004">
      <c r="A9547" t="str">
        <f>TEST_DATA!A9547</f>
        <v>27AAAAA9547Z5</v>
      </c>
      <c r="B9547" t="str">
        <f>TEST_DATA!B9547</f>
        <v>Jun-2019</v>
      </c>
      <c r="C9547">
        <f>TEST_DATA!C9547</f>
        <v>43583</v>
      </c>
      <c r="D9547" t="str">
        <f>TEST_DATA!D9547</f>
        <v>NIL</v>
      </c>
      <c r="E9547">
        <f>TEST_DATA!E9547</f>
        <v>2574</v>
      </c>
    </row>
    <row r="9548" spans="1:5" x14ac:dyDescent="0.55000000000000004">
      <c r="A9548" t="str">
        <f>TEST_DATA!A9548</f>
        <v>27AAAAA9548Z5</v>
      </c>
      <c r="B9548" t="str">
        <f>TEST_DATA!B9548</f>
        <v>Mar-2023</v>
      </c>
      <c r="C9548">
        <f>TEST_DATA!C9548</f>
        <v>45722</v>
      </c>
      <c r="D9548" t="str">
        <f>TEST_DATA!D9548</f>
        <v>NIL</v>
      </c>
      <c r="E9548">
        <f>TEST_DATA!E9548</f>
        <v>1386</v>
      </c>
    </row>
    <row r="9549" spans="1:5" x14ac:dyDescent="0.55000000000000004">
      <c r="A9549" t="str">
        <f>TEST_DATA!A9549</f>
        <v>27AAAAA9549Z5</v>
      </c>
      <c r="B9549" t="str">
        <f>TEST_DATA!B9549</f>
        <v>Nov-2017</v>
      </c>
      <c r="C9549">
        <f>TEST_DATA!C9549</f>
        <v>43072</v>
      </c>
      <c r="D9549" t="str">
        <f>TEST_DATA!D9549</f>
        <v>NIL</v>
      </c>
      <c r="E9549">
        <f>TEST_DATA!E9549</f>
        <v>2714</v>
      </c>
    </row>
    <row r="9550" spans="1:5" x14ac:dyDescent="0.55000000000000004">
      <c r="A9550" t="str">
        <f>TEST_DATA!A9550</f>
        <v>27AAAAA9550Z5</v>
      </c>
      <c r="B9550" t="str">
        <f>TEST_DATA!B9550</f>
        <v>Jun-2019</v>
      </c>
      <c r="C9550">
        <f>TEST_DATA!C9550</f>
        <v>45679</v>
      </c>
      <c r="D9550" t="str">
        <f>TEST_DATA!D9550</f>
        <v>NON-NIL</v>
      </c>
      <c r="E9550">
        <f>TEST_DATA!E9550</f>
        <v>1772</v>
      </c>
    </row>
    <row r="9551" spans="1:5" x14ac:dyDescent="0.55000000000000004">
      <c r="A9551" t="str">
        <f>TEST_DATA!A9551</f>
        <v>27AAAAA9551Z5</v>
      </c>
      <c r="B9551" t="str">
        <f>TEST_DATA!B9551</f>
        <v>Mar-2020</v>
      </c>
      <c r="C9551">
        <f>TEST_DATA!C9551</f>
        <v>43915</v>
      </c>
      <c r="D9551" t="str">
        <f>TEST_DATA!D9551</f>
        <v>NON-NIL</v>
      </c>
      <c r="E9551">
        <f>TEST_DATA!E9551</f>
        <v>2512</v>
      </c>
    </row>
    <row r="9552" spans="1:5" x14ac:dyDescent="0.55000000000000004">
      <c r="A9552" t="str">
        <f>TEST_DATA!A9552</f>
        <v>27AAAAA9552Z5</v>
      </c>
      <c r="B9552" t="str">
        <f>TEST_DATA!B9552</f>
        <v>Mar-2018</v>
      </c>
      <c r="C9552">
        <f>TEST_DATA!C9552</f>
        <v>43715</v>
      </c>
      <c r="D9552" t="str">
        <f>TEST_DATA!D9552</f>
        <v>NON-NIL</v>
      </c>
      <c r="E9552">
        <f>TEST_DATA!E9552</f>
        <v>719</v>
      </c>
    </row>
    <row r="9553" spans="1:5" x14ac:dyDescent="0.55000000000000004">
      <c r="A9553" t="str">
        <f>TEST_DATA!A9553</f>
        <v>27AAAAA9553Z5</v>
      </c>
      <c r="B9553" t="str">
        <f>TEST_DATA!B9553</f>
        <v>Dec-2019</v>
      </c>
      <c r="C9553">
        <f>TEST_DATA!C9553</f>
        <v>45520</v>
      </c>
      <c r="D9553" t="str">
        <f>TEST_DATA!D9553</f>
        <v>NIL</v>
      </c>
      <c r="E9553">
        <f>TEST_DATA!E9553</f>
        <v>2837</v>
      </c>
    </row>
    <row r="9554" spans="1:5" x14ac:dyDescent="0.55000000000000004">
      <c r="A9554" t="str">
        <f>TEST_DATA!A9554</f>
        <v>27AAAAA9554Z5</v>
      </c>
      <c r="B9554" t="str">
        <f>TEST_DATA!B9554</f>
        <v>Dec-2022</v>
      </c>
      <c r="C9554">
        <f>TEST_DATA!C9554</f>
        <v>45647</v>
      </c>
      <c r="D9554" t="str">
        <f>TEST_DATA!D9554</f>
        <v>NON-NIL</v>
      </c>
      <c r="E9554">
        <f>TEST_DATA!E9554</f>
        <v>1839</v>
      </c>
    </row>
    <row r="9555" spans="1:5" x14ac:dyDescent="0.55000000000000004">
      <c r="A9555" t="str">
        <f>TEST_DATA!A9555</f>
        <v>27AAAAA9555Z5</v>
      </c>
      <c r="B9555" t="str">
        <f>TEST_DATA!B9555</f>
        <v>Dec-2024</v>
      </c>
      <c r="C9555">
        <f>TEST_DATA!C9555</f>
        <v>43613</v>
      </c>
      <c r="D9555" t="str">
        <f>TEST_DATA!D9555</f>
        <v>NON-NIL</v>
      </c>
      <c r="E9555">
        <f>TEST_DATA!E9555</f>
        <v>631</v>
      </c>
    </row>
    <row r="9556" spans="1:5" x14ac:dyDescent="0.55000000000000004">
      <c r="A9556" t="str">
        <f>TEST_DATA!A9556</f>
        <v>27AAAAA9556Z5</v>
      </c>
      <c r="B9556" t="str">
        <f>TEST_DATA!B9556</f>
        <v>Aug-2017</v>
      </c>
      <c r="C9556">
        <f>TEST_DATA!C9556</f>
        <v>43413</v>
      </c>
      <c r="D9556" t="str">
        <f>TEST_DATA!D9556</f>
        <v>NIL</v>
      </c>
      <c r="E9556">
        <f>TEST_DATA!E9556</f>
        <v>2743</v>
      </c>
    </row>
    <row r="9557" spans="1:5" x14ac:dyDescent="0.55000000000000004">
      <c r="A9557" t="str">
        <f>TEST_DATA!A9557</f>
        <v>27AAAAA9557Z5</v>
      </c>
      <c r="B9557" t="str">
        <f>TEST_DATA!B9557</f>
        <v>Feb-2018</v>
      </c>
      <c r="C9557">
        <f>TEST_DATA!C9557</f>
        <v>44298</v>
      </c>
      <c r="D9557" t="str">
        <f>TEST_DATA!D9557</f>
        <v>NIL</v>
      </c>
      <c r="E9557">
        <f>TEST_DATA!E9557</f>
        <v>2526</v>
      </c>
    </row>
    <row r="9558" spans="1:5" x14ac:dyDescent="0.55000000000000004">
      <c r="A9558" t="str">
        <f>TEST_DATA!A9558</f>
        <v>27AAAAA9558Z5</v>
      </c>
      <c r="B9558" t="str">
        <f>TEST_DATA!B9558</f>
        <v>Dec-2019</v>
      </c>
      <c r="C9558">
        <f>TEST_DATA!C9558</f>
        <v>45741</v>
      </c>
      <c r="D9558" t="str">
        <f>TEST_DATA!D9558</f>
        <v>NON-NIL</v>
      </c>
      <c r="E9558">
        <f>TEST_DATA!E9558</f>
        <v>373</v>
      </c>
    </row>
    <row r="9559" spans="1:5" x14ac:dyDescent="0.55000000000000004">
      <c r="A9559" t="str">
        <f>TEST_DATA!A9559</f>
        <v>27AAAAA9559Z5</v>
      </c>
      <c r="B9559" t="str">
        <f>TEST_DATA!B9559</f>
        <v>Apr-2021</v>
      </c>
      <c r="C9559">
        <f>TEST_DATA!C9559</f>
        <v>44152</v>
      </c>
      <c r="D9559" t="str">
        <f>TEST_DATA!D9559</f>
        <v>NIL</v>
      </c>
      <c r="E9559">
        <f>TEST_DATA!E9559</f>
        <v>652</v>
      </c>
    </row>
    <row r="9560" spans="1:5" x14ac:dyDescent="0.55000000000000004">
      <c r="A9560" t="str">
        <f>TEST_DATA!A9560</f>
        <v>27AAAAA9560Z5</v>
      </c>
      <c r="B9560" t="str">
        <f>TEST_DATA!B9560</f>
        <v>Jul-2017</v>
      </c>
      <c r="C9560">
        <f>TEST_DATA!C9560</f>
        <v>43342</v>
      </c>
      <c r="D9560" t="str">
        <f>TEST_DATA!D9560</f>
        <v>NON-NIL</v>
      </c>
      <c r="E9560">
        <f>TEST_DATA!E9560</f>
        <v>1563</v>
      </c>
    </row>
    <row r="9561" spans="1:5" x14ac:dyDescent="0.55000000000000004">
      <c r="A9561" t="str">
        <f>TEST_DATA!A9561</f>
        <v>27AAAAA9561Z5</v>
      </c>
      <c r="B9561" t="str">
        <f>TEST_DATA!B9561</f>
        <v>Jun-2019</v>
      </c>
      <c r="C9561">
        <f>TEST_DATA!C9561</f>
        <v>45253</v>
      </c>
      <c r="D9561" t="str">
        <f>TEST_DATA!D9561</f>
        <v>NON-NIL</v>
      </c>
      <c r="E9561">
        <f>TEST_DATA!E9561</f>
        <v>519</v>
      </c>
    </row>
    <row r="9562" spans="1:5" x14ac:dyDescent="0.55000000000000004">
      <c r="A9562" t="str">
        <f>TEST_DATA!A9562</f>
        <v>27AAAAA9562Z5</v>
      </c>
      <c r="B9562" t="str">
        <f>TEST_DATA!B9562</f>
        <v>Apr-2021</v>
      </c>
      <c r="C9562">
        <f>TEST_DATA!C9562</f>
        <v>45278</v>
      </c>
      <c r="D9562" t="str">
        <f>TEST_DATA!D9562</f>
        <v>NON-NIL</v>
      </c>
      <c r="E9562">
        <f>TEST_DATA!E9562</f>
        <v>2232</v>
      </c>
    </row>
    <row r="9563" spans="1:5" x14ac:dyDescent="0.55000000000000004">
      <c r="A9563" t="str">
        <f>TEST_DATA!A9563</f>
        <v>27AAAAA9563Z5</v>
      </c>
      <c r="B9563" t="str">
        <f>TEST_DATA!B9563</f>
        <v>Jul-2018</v>
      </c>
      <c r="C9563">
        <f>TEST_DATA!C9563</f>
        <v>43195</v>
      </c>
      <c r="D9563" t="str">
        <f>TEST_DATA!D9563</f>
        <v>NON-NIL</v>
      </c>
      <c r="E9563">
        <f>TEST_DATA!E9563</f>
        <v>2218</v>
      </c>
    </row>
    <row r="9564" spans="1:5" x14ac:dyDescent="0.55000000000000004">
      <c r="A9564" t="str">
        <f>TEST_DATA!A9564</f>
        <v>27AAAAA9564Z5</v>
      </c>
      <c r="B9564" t="str">
        <f>TEST_DATA!B9564</f>
        <v>Jul-2020</v>
      </c>
      <c r="C9564">
        <f>TEST_DATA!C9564</f>
        <v>44523</v>
      </c>
      <c r="D9564" t="str">
        <f>TEST_DATA!D9564</f>
        <v>NIL</v>
      </c>
      <c r="E9564">
        <f>TEST_DATA!E9564</f>
        <v>1930</v>
      </c>
    </row>
    <row r="9565" spans="1:5" x14ac:dyDescent="0.55000000000000004">
      <c r="A9565" t="str">
        <f>TEST_DATA!A9565</f>
        <v>27AAAAA9565Z5</v>
      </c>
      <c r="B9565" t="str">
        <f>TEST_DATA!B9565</f>
        <v>Nov-2017</v>
      </c>
      <c r="C9565">
        <f>TEST_DATA!C9565</f>
        <v>44000</v>
      </c>
      <c r="D9565" t="str">
        <f>TEST_DATA!D9565</f>
        <v>NON-NIL</v>
      </c>
      <c r="E9565">
        <f>TEST_DATA!E9565</f>
        <v>1551</v>
      </c>
    </row>
    <row r="9566" spans="1:5" x14ac:dyDescent="0.55000000000000004">
      <c r="A9566" t="str">
        <f>TEST_DATA!A9566</f>
        <v>27AAAAA9566Z5</v>
      </c>
      <c r="B9566" t="str">
        <f>TEST_DATA!B9566</f>
        <v>Jul-2017</v>
      </c>
      <c r="C9566">
        <f>TEST_DATA!C9566</f>
        <v>44396</v>
      </c>
      <c r="D9566" t="str">
        <f>TEST_DATA!D9566</f>
        <v>NIL</v>
      </c>
      <c r="E9566">
        <f>TEST_DATA!E9566</f>
        <v>612</v>
      </c>
    </row>
    <row r="9567" spans="1:5" x14ac:dyDescent="0.55000000000000004">
      <c r="A9567" t="str">
        <f>TEST_DATA!A9567</f>
        <v>27AAAAA9567Z5</v>
      </c>
      <c r="B9567" t="str">
        <f>TEST_DATA!B9567</f>
        <v>Jul-2017</v>
      </c>
      <c r="C9567">
        <f>TEST_DATA!C9567</f>
        <v>43952</v>
      </c>
      <c r="D9567" t="str">
        <f>TEST_DATA!D9567</f>
        <v>NON-NIL</v>
      </c>
      <c r="E9567">
        <f>TEST_DATA!E9567</f>
        <v>1838</v>
      </c>
    </row>
    <row r="9568" spans="1:5" x14ac:dyDescent="0.55000000000000004">
      <c r="A9568" t="str">
        <f>TEST_DATA!A9568</f>
        <v>27AAAAA9568Z5</v>
      </c>
      <c r="B9568" t="str">
        <f>TEST_DATA!B9568</f>
        <v>Dec-2019</v>
      </c>
      <c r="C9568">
        <f>TEST_DATA!C9568</f>
        <v>44393</v>
      </c>
      <c r="D9568" t="str">
        <f>TEST_DATA!D9568</f>
        <v>NON-NIL</v>
      </c>
      <c r="E9568">
        <f>TEST_DATA!E9568</f>
        <v>1792</v>
      </c>
    </row>
    <row r="9569" spans="1:5" x14ac:dyDescent="0.55000000000000004">
      <c r="A9569" t="str">
        <f>TEST_DATA!A9569</f>
        <v>27AAAAA9569Z5</v>
      </c>
      <c r="B9569" t="str">
        <f>TEST_DATA!B9569</f>
        <v>Sep-2017</v>
      </c>
      <c r="C9569">
        <f>TEST_DATA!C9569</f>
        <v>44439</v>
      </c>
      <c r="D9569" t="str">
        <f>TEST_DATA!D9569</f>
        <v>NIL</v>
      </c>
      <c r="E9569">
        <f>TEST_DATA!E9569</f>
        <v>1665</v>
      </c>
    </row>
    <row r="9570" spans="1:5" x14ac:dyDescent="0.55000000000000004">
      <c r="A9570" t="str">
        <f>TEST_DATA!A9570</f>
        <v>27AAAAA9570Z5</v>
      </c>
      <c r="B9570" t="str">
        <f>TEST_DATA!B9570</f>
        <v>Dec-2017</v>
      </c>
      <c r="C9570">
        <f>TEST_DATA!C9570</f>
        <v>44280</v>
      </c>
      <c r="D9570" t="str">
        <f>TEST_DATA!D9570</f>
        <v>NIL</v>
      </c>
      <c r="E9570">
        <f>TEST_DATA!E9570</f>
        <v>908</v>
      </c>
    </row>
    <row r="9571" spans="1:5" x14ac:dyDescent="0.55000000000000004">
      <c r="A9571" t="str">
        <f>TEST_DATA!A9571</f>
        <v>27AAAAA9571Z5</v>
      </c>
      <c r="B9571" t="str">
        <f>TEST_DATA!B9571</f>
        <v>Mar-2018</v>
      </c>
      <c r="C9571">
        <f>TEST_DATA!C9571</f>
        <v>44223</v>
      </c>
      <c r="D9571" t="str">
        <f>TEST_DATA!D9571</f>
        <v>NON-NIL</v>
      </c>
      <c r="E9571">
        <f>TEST_DATA!E9571</f>
        <v>2607</v>
      </c>
    </row>
    <row r="9572" spans="1:5" x14ac:dyDescent="0.55000000000000004">
      <c r="A9572" t="str">
        <f>TEST_DATA!A9572</f>
        <v>27AAAAA9572Z5</v>
      </c>
      <c r="B9572" t="str">
        <f>TEST_DATA!B9572</f>
        <v>Jul-2020</v>
      </c>
      <c r="C9572">
        <f>TEST_DATA!C9572</f>
        <v>44585</v>
      </c>
      <c r="D9572" t="str">
        <f>TEST_DATA!D9572</f>
        <v>NON-NIL</v>
      </c>
      <c r="E9572">
        <f>TEST_DATA!E9572</f>
        <v>994</v>
      </c>
    </row>
    <row r="9573" spans="1:5" x14ac:dyDescent="0.55000000000000004">
      <c r="A9573" t="str">
        <f>TEST_DATA!A9573</f>
        <v>27AAAAA9573Z5</v>
      </c>
      <c r="B9573" t="str">
        <f>TEST_DATA!B9573</f>
        <v>May-2018</v>
      </c>
      <c r="C9573">
        <f>TEST_DATA!C9573</f>
        <v>43787</v>
      </c>
      <c r="D9573" t="str">
        <f>TEST_DATA!D9573</f>
        <v>NIL</v>
      </c>
      <c r="E9573">
        <f>TEST_DATA!E9573</f>
        <v>790</v>
      </c>
    </row>
    <row r="9574" spans="1:5" x14ac:dyDescent="0.55000000000000004">
      <c r="A9574" t="str">
        <f>TEST_DATA!A9574</f>
        <v>27AAAAA9574Z5</v>
      </c>
      <c r="B9574" t="str">
        <f>TEST_DATA!B9574</f>
        <v>May-2020</v>
      </c>
      <c r="C9574">
        <f>TEST_DATA!C9574</f>
        <v>44095</v>
      </c>
      <c r="D9574" t="str">
        <f>TEST_DATA!D9574</f>
        <v>NON-NIL</v>
      </c>
      <c r="E9574">
        <f>TEST_DATA!E9574</f>
        <v>2046</v>
      </c>
    </row>
    <row r="9575" spans="1:5" x14ac:dyDescent="0.55000000000000004">
      <c r="A9575" t="str">
        <f>TEST_DATA!A9575</f>
        <v>27AAAAA9575Z5</v>
      </c>
      <c r="B9575" t="str">
        <f>TEST_DATA!B9575</f>
        <v>May-2020</v>
      </c>
      <c r="C9575">
        <f>TEST_DATA!C9575</f>
        <v>43905</v>
      </c>
      <c r="D9575" t="str">
        <f>TEST_DATA!D9575</f>
        <v>NIL</v>
      </c>
      <c r="E9575">
        <f>TEST_DATA!E9575</f>
        <v>1043</v>
      </c>
    </row>
    <row r="9576" spans="1:5" x14ac:dyDescent="0.55000000000000004">
      <c r="A9576" t="str">
        <f>TEST_DATA!A9576</f>
        <v>27AAAAA9576Z5</v>
      </c>
      <c r="B9576" t="str">
        <f>TEST_DATA!B9576</f>
        <v>May-2018</v>
      </c>
      <c r="C9576">
        <f>TEST_DATA!C9576</f>
        <v>43353</v>
      </c>
      <c r="D9576" t="str">
        <f>TEST_DATA!D9576</f>
        <v>NON-NIL</v>
      </c>
      <c r="E9576">
        <f>TEST_DATA!E9576</f>
        <v>2173</v>
      </c>
    </row>
    <row r="9577" spans="1:5" x14ac:dyDescent="0.55000000000000004">
      <c r="A9577" t="str">
        <f>TEST_DATA!A9577</f>
        <v>27AAAAA9577Z5</v>
      </c>
      <c r="B9577" t="str">
        <f>TEST_DATA!B9577</f>
        <v>Jun-2018</v>
      </c>
      <c r="C9577">
        <f>TEST_DATA!C9577</f>
        <v>44362</v>
      </c>
      <c r="D9577" t="str">
        <f>TEST_DATA!D9577</f>
        <v>NON-NIL</v>
      </c>
      <c r="E9577">
        <f>TEST_DATA!E9577</f>
        <v>894</v>
      </c>
    </row>
    <row r="9578" spans="1:5" x14ac:dyDescent="0.55000000000000004">
      <c r="A9578" t="str">
        <f>TEST_DATA!A9578</f>
        <v>27AAAAA9578Z5</v>
      </c>
      <c r="B9578" t="str">
        <f>TEST_DATA!B9578</f>
        <v>Aug-2017</v>
      </c>
      <c r="C9578">
        <f>TEST_DATA!C9578</f>
        <v>43174</v>
      </c>
      <c r="D9578" t="str">
        <f>TEST_DATA!D9578</f>
        <v>NON-NIL</v>
      </c>
      <c r="E9578">
        <f>TEST_DATA!E9578</f>
        <v>903</v>
      </c>
    </row>
    <row r="9579" spans="1:5" x14ac:dyDescent="0.55000000000000004">
      <c r="A9579" t="str">
        <f>TEST_DATA!A9579</f>
        <v>27AAAAA9579Z5</v>
      </c>
      <c r="B9579" t="str">
        <f>TEST_DATA!B9579</f>
        <v>Jan-2021</v>
      </c>
      <c r="C9579">
        <f>TEST_DATA!C9579</f>
        <v>43984</v>
      </c>
      <c r="D9579" t="str">
        <f>TEST_DATA!D9579</f>
        <v>NIL</v>
      </c>
      <c r="E9579">
        <f>TEST_DATA!E9579</f>
        <v>2255</v>
      </c>
    </row>
    <row r="9580" spans="1:5" x14ac:dyDescent="0.55000000000000004">
      <c r="A9580" t="str">
        <f>TEST_DATA!A9580</f>
        <v>27AAAAA9580Z5</v>
      </c>
      <c r="B9580" t="str">
        <f>TEST_DATA!B9580</f>
        <v>Jun-2018</v>
      </c>
      <c r="C9580">
        <f>TEST_DATA!C9580</f>
        <v>43834</v>
      </c>
      <c r="D9580" t="str">
        <f>TEST_DATA!D9580</f>
        <v>NIL</v>
      </c>
      <c r="E9580">
        <f>TEST_DATA!E9580</f>
        <v>1278</v>
      </c>
    </row>
    <row r="9581" spans="1:5" x14ac:dyDescent="0.55000000000000004">
      <c r="A9581" t="str">
        <f>TEST_DATA!A9581</f>
        <v>27AAAAA9581Z5</v>
      </c>
      <c r="B9581" t="str">
        <f>TEST_DATA!B9581</f>
        <v>Jul-2020</v>
      </c>
      <c r="C9581">
        <f>TEST_DATA!C9581</f>
        <v>44165</v>
      </c>
      <c r="D9581" t="str">
        <f>TEST_DATA!D9581</f>
        <v>NON-NIL</v>
      </c>
      <c r="E9581">
        <f>TEST_DATA!E9581</f>
        <v>171</v>
      </c>
    </row>
    <row r="9582" spans="1:5" x14ac:dyDescent="0.55000000000000004">
      <c r="A9582" t="str">
        <f>TEST_DATA!A9582</f>
        <v>27AAAAA9582Z5</v>
      </c>
      <c r="B9582" t="str">
        <f>TEST_DATA!B9582</f>
        <v>Mar-2021</v>
      </c>
      <c r="C9582">
        <f>TEST_DATA!C9582</f>
        <v>44090</v>
      </c>
      <c r="D9582" t="str">
        <f>TEST_DATA!D9582</f>
        <v>NON-NIL</v>
      </c>
      <c r="E9582">
        <f>TEST_DATA!E9582</f>
        <v>1401</v>
      </c>
    </row>
    <row r="9583" spans="1:5" x14ac:dyDescent="0.55000000000000004">
      <c r="A9583" t="str">
        <f>TEST_DATA!A9583</f>
        <v>27AAAAA9583Z5</v>
      </c>
      <c r="B9583" t="str">
        <f>TEST_DATA!B9583</f>
        <v>May-2018</v>
      </c>
      <c r="C9583">
        <f>TEST_DATA!C9583</f>
        <v>43511</v>
      </c>
      <c r="D9583" t="str">
        <f>TEST_DATA!D9583</f>
        <v>NON-NIL</v>
      </c>
      <c r="E9583">
        <f>TEST_DATA!E9583</f>
        <v>2134</v>
      </c>
    </row>
    <row r="9584" spans="1:5" x14ac:dyDescent="0.55000000000000004">
      <c r="A9584" t="str">
        <f>TEST_DATA!A9584</f>
        <v>27AAAAA9584Z5</v>
      </c>
      <c r="B9584" t="str">
        <f>TEST_DATA!B9584</f>
        <v>Apr-2020</v>
      </c>
      <c r="C9584">
        <f>TEST_DATA!C9584</f>
        <v>44287</v>
      </c>
      <c r="D9584" t="str">
        <f>TEST_DATA!D9584</f>
        <v>NON-NIL</v>
      </c>
      <c r="E9584">
        <f>TEST_DATA!E9584</f>
        <v>1876</v>
      </c>
    </row>
    <row r="9585" spans="1:5" x14ac:dyDescent="0.55000000000000004">
      <c r="A9585" t="str">
        <f>TEST_DATA!A9585</f>
        <v>27AAAAA9585Z5</v>
      </c>
      <c r="B9585" t="str">
        <f>TEST_DATA!B9585</f>
        <v>May-2020</v>
      </c>
      <c r="C9585">
        <f>TEST_DATA!C9585</f>
        <v>43910</v>
      </c>
      <c r="D9585" t="str">
        <f>TEST_DATA!D9585</f>
        <v>NON-NIL</v>
      </c>
      <c r="E9585">
        <f>TEST_DATA!E9585</f>
        <v>427</v>
      </c>
    </row>
    <row r="9586" spans="1:5" x14ac:dyDescent="0.55000000000000004">
      <c r="A9586" t="str">
        <f>TEST_DATA!A9586</f>
        <v>27AAAAA9586Z5</v>
      </c>
      <c r="B9586" t="str">
        <f>TEST_DATA!B9586</f>
        <v>Oct-2017</v>
      </c>
      <c r="C9586">
        <f>TEST_DATA!C9586</f>
        <v>43768</v>
      </c>
      <c r="D9586" t="str">
        <f>TEST_DATA!D9586</f>
        <v>NON-NIL</v>
      </c>
      <c r="E9586">
        <f>TEST_DATA!E9586</f>
        <v>2285</v>
      </c>
    </row>
    <row r="9587" spans="1:5" x14ac:dyDescent="0.55000000000000004">
      <c r="A9587" t="str">
        <f>TEST_DATA!A9587</f>
        <v>27AAAAA9587Z5</v>
      </c>
      <c r="B9587" t="str">
        <f>TEST_DATA!B9587</f>
        <v>Dec-2019</v>
      </c>
      <c r="C9587">
        <f>TEST_DATA!C9587</f>
        <v>43749</v>
      </c>
      <c r="D9587" t="str">
        <f>TEST_DATA!D9587</f>
        <v>NON-NIL</v>
      </c>
      <c r="E9587">
        <f>TEST_DATA!E9587</f>
        <v>2391</v>
      </c>
    </row>
    <row r="9588" spans="1:5" x14ac:dyDescent="0.55000000000000004">
      <c r="A9588" t="str">
        <f>TEST_DATA!A9588</f>
        <v>27AAAAA9588Z5</v>
      </c>
      <c r="B9588" t="str">
        <f>TEST_DATA!B9588</f>
        <v>Aug-2018</v>
      </c>
      <c r="C9588">
        <f>TEST_DATA!C9588</f>
        <v>44222</v>
      </c>
      <c r="D9588" t="str">
        <f>TEST_DATA!D9588</f>
        <v>NON-NIL</v>
      </c>
      <c r="E9588">
        <f>TEST_DATA!E9588</f>
        <v>1637</v>
      </c>
    </row>
    <row r="9589" spans="1:5" x14ac:dyDescent="0.55000000000000004">
      <c r="A9589" t="str">
        <f>TEST_DATA!A9589</f>
        <v>27AAAAA9589Z5</v>
      </c>
      <c r="B9589" t="str">
        <f>TEST_DATA!B9589</f>
        <v>Mar-2023</v>
      </c>
      <c r="C9589">
        <f>TEST_DATA!C9589</f>
        <v>45351</v>
      </c>
      <c r="D9589" t="str">
        <f>TEST_DATA!D9589</f>
        <v>NIL</v>
      </c>
      <c r="E9589">
        <f>TEST_DATA!E9589</f>
        <v>2161</v>
      </c>
    </row>
    <row r="9590" spans="1:5" x14ac:dyDescent="0.55000000000000004">
      <c r="A9590" t="str">
        <f>TEST_DATA!A9590</f>
        <v>27AAAAA9590Z5</v>
      </c>
      <c r="B9590" t="str">
        <f>TEST_DATA!B9590</f>
        <v>Jul-2018</v>
      </c>
      <c r="C9590">
        <f>TEST_DATA!C9590</f>
        <v>44528</v>
      </c>
      <c r="D9590" t="str">
        <f>TEST_DATA!D9590</f>
        <v>NON-NIL</v>
      </c>
      <c r="E9590">
        <f>TEST_DATA!E9590</f>
        <v>1556</v>
      </c>
    </row>
    <row r="9591" spans="1:5" x14ac:dyDescent="0.55000000000000004">
      <c r="A9591" t="str">
        <f>TEST_DATA!A9591</f>
        <v>27AAAAA9591Z5</v>
      </c>
      <c r="B9591" t="str">
        <f>TEST_DATA!B9591</f>
        <v>Apr-2020</v>
      </c>
      <c r="C9591">
        <f>TEST_DATA!C9591</f>
        <v>43851</v>
      </c>
      <c r="D9591" t="str">
        <f>TEST_DATA!D9591</f>
        <v>NON-NIL</v>
      </c>
      <c r="E9591">
        <f>TEST_DATA!E9591</f>
        <v>1140</v>
      </c>
    </row>
    <row r="9592" spans="1:5" x14ac:dyDescent="0.55000000000000004">
      <c r="A9592" t="str">
        <f>TEST_DATA!A9592</f>
        <v>27AAAAA9592Z5</v>
      </c>
      <c r="B9592" t="str">
        <f>TEST_DATA!B9592</f>
        <v>Jun-2019</v>
      </c>
      <c r="C9592">
        <f>TEST_DATA!C9592</f>
        <v>44549</v>
      </c>
      <c r="D9592" t="str">
        <f>TEST_DATA!D9592</f>
        <v>NON-NIL</v>
      </c>
      <c r="E9592">
        <f>TEST_DATA!E9592</f>
        <v>2045</v>
      </c>
    </row>
    <row r="9593" spans="1:5" x14ac:dyDescent="0.55000000000000004">
      <c r="A9593" t="str">
        <f>TEST_DATA!A9593</f>
        <v>27AAAAA9593Z5</v>
      </c>
      <c r="B9593" t="str">
        <f>TEST_DATA!B9593</f>
        <v>Jan-2021</v>
      </c>
      <c r="C9593">
        <f>TEST_DATA!C9593</f>
        <v>44400</v>
      </c>
      <c r="D9593" t="str">
        <f>TEST_DATA!D9593</f>
        <v>NIL</v>
      </c>
      <c r="E9593">
        <f>TEST_DATA!E9593</f>
        <v>767</v>
      </c>
    </row>
    <row r="9594" spans="1:5" x14ac:dyDescent="0.55000000000000004">
      <c r="A9594" t="str">
        <f>TEST_DATA!A9594</f>
        <v>27AAAAA9594Z5</v>
      </c>
      <c r="B9594" t="str">
        <f>TEST_DATA!B9594</f>
        <v>Jul-2020</v>
      </c>
      <c r="C9594">
        <f>TEST_DATA!C9594</f>
        <v>44196</v>
      </c>
      <c r="D9594" t="str">
        <f>TEST_DATA!D9594</f>
        <v>NIL</v>
      </c>
      <c r="E9594">
        <f>TEST_DATA!E9594</f>
        <v>2825</v>
      </c>
    </row>
    <row r="9595" spans="1:5" x14ac:dyDescent="0.55000000000000004">
      <c r="A9595" t="str">
        <f>TEST_DATA!A9595</f>
        <v>27AAAAA9595Z5</v>
      </c>
      <c r="B9595" t="str">
        <f>TEST_DATA!B9595</f>
        <v>Dec-2017</v>
      </c>
      <c r="C9595">
        <f>TEST_DATA!C9595</f>
        <v>43497</v>
      </c>
      <c r="D9595" t="str">
        <f>TEST_DATA!D9595</f>
        <v>NON-NIL</v>
      </c>
      <c r="E9595">
        <f>TEST_DATA!E9595</f>
        <v>1442</v>
      </c>
    </row>
    <row r="9596" spans="1:5" x14ac:dyDescent="0.55000000000000004">
      <c r="A9596" t="str">
        <f>TEST_DATA!A9596</f>
        <v>27AAAAA9596Z5</v>
      </c>
      <c r="B9596" t="str">
        <f>TEST_DATA!B9596</f>
        <v>Dec-2019</v>
      </c>
      <c r="C9596">
        <f>TEST_DATA!C9596</f>
        <v>45371</v>
      </c>
      <c r="D9596" t="str">
        <f>TEST_DATA!D9596</f>
        <v>NON-NIL</v>
      </c>
      <c r="E9596">
        <f>TEST_DATA!E9596</f>
        <v>118</v>
      </c>
    </row>
    <row r="9597" spans="1:5" x14ac:dyDescent="0.55000000000000004">
      <c r="A9597" t="str">
        <f>TEST_DATA!A9597</f>
        <v>27AAAAA9597Z5</v>
      </c>
      <c r="B9597" t="str">
        <f>TEST_DATA!B9597</f>
        <v>Jul-2017</v>
      </c>
      <c r="C9597">
        <f>TEST_DATA!C9597</f>
        <v>44267</v>
      </c>
      <c r="D9597" t="str">
        <f>TEST_DATA!D9597</f>
        <v>NON-NIL</v>
      </c>
      <c r="E9597">
        <f>TEST_DATA!E9597</f>
        <v>662</v>
      </c>
    </row>
    <row r="9598" spans="1:5" x14ac:dyDescent="0.55000000000000004">
      <c r="A9598" t="str">
        <f>TEST_DATA!A9598</f>
        <v>27AAAAA9598Z5</v>
      </c>
      <c r="B9598" t="str">
        <f>TEST_DATA!B9598</f>
        <v>Feb-2018</v>
      </c>
      <c r="C9598">
        <f>TEST_DATA!C9598</f>
        <v>44304</v>
      </c>
      <c r="D9598" t="str">
        <f>TEST_DATA!D9598</f>
        <v>NON-NIL</v>
      </c>
      <c r="E9598">
        <f>TEST_DATA!E9598</f>
        <v>1281</v>
      </c>
    </row>
    <row r="9599" spans="1:5" x14ac:dyDescent="0.55000000000000004">
      <c r="A9599" t="str">
        <f>TEST_DATA!A9599</f>
        <v>27AAAAA9599Z5</v>
      </c>
      <c r="B9599" t="str">
        <f>TEST_DATA!B9599</f>
        <v>Mar-2020</v>
      </c>
      <c r="C9599">
        <f>TEST_DATA!C9599</f>
        <v>44402</v>
      </c>
      <c r="D9599" t="str">
        <f>TEST_DATA!D9599</f>
        <v>NIL</v>
      </c>
      <c r="E9599">
        <f>TEST_DATA!E9599</f>
        <v>1727</v>
      </c>
    </row>
    <row r="9600" spans="1:5" x14ac:dyDescent="0.55000000000000004">
      <c r="A9600" t="str">
        <f>TEST_DATA!A9600</f>
        <v>27AAAAA9600Z5</v>
      </c>
      <c r="B9600" t="str">
        <f>TEST_DATA!B9600</f>
        <v>Mar-2018</v>
      </c>
      <c r="C9600">
        <f>TEST_DATA!C9600</f>
        <v>42982</v>
      </c>
      <c r="D9600" t="str">
        <f>TEST_DATA!D9600</f>
        <v>NON-NIL</v>
      </c>
      <c r="E9600">
        <f>TEST_DATA!E9600</f>
        <v>1689</v>
      </c>
    </row>
    <row r="9601" spans="1:5" x14ac:dyDescent="0.55000000000000004">
      <c r="A9601" t="str">
        <f>TEST_DATA!A9601</f>
        <v>27AAAAA9601Z5</v>
      </c>
      <c r="B9601" t="str">
        <f>TEST_DATA!B9601</f>
        <v>Jul-2017</v>
      </c>
      <c r="C9601">
        <f>TEST_DATA!C9601</f>
        <v>44219</v>
      </c>
      <c r="D9601" t="str">
        <f>TEST_DATA!D9601</f>
        <v>NON-NIL</v>
      </c>
      <c r="E9601">
        <f>TEST_DATA!E9601</f>
        <v>845</v>
      </c>
    </row>
    <row r="9602" spans="1:5" x14ac:dyDescent="0.55000000000000004">
      <c r="A9602" t="str">
        <f>TEST_DATA!A9602</f>
        <v>27AAAAA9602Z5</v>
      </c>
      <c r="B9602" t="str">
        <f>TEST_DATA!B9602</f>
        <v>Aug-2017</v>
      </c>
      <c r="C9602">
        <f>TEST_DATA!C9602</f>
        <v>43091</v>
      </c>
      <c r="D9602" t="str">
        <f>TEST_DATA!D9602</f>
        <v>NIL</v>
      </c>
      <c r="E9602">
        <f>TEST_DATA!E9602</f>
        <v>2942</v>
      </c>
    </row>
    <row r="9603" spans="1:5" x14ac:dyDescent="0.55000000000000004">
      <c r="A9603" t="str">
        <f>TEST_DATA!A9603</f>
        <v>27AAAAA9603Z5</v>
      </c>
      <c r="B9603" t="str">
        <f>TEST_DATA!B9603</f>
        <v>Aug-2017</v>
      </c>
      <c r="C9603">
        <f>TEST_DATA!C9603</f>
        <v>43378</v>
      </c>
      <c r="D9603" t="str">
        <f>TEST_DATA!D9603</f>
        <v>NIL</v>
      </c>
      <c r="E9603">
        <f>TEST_DATA!E9603</f>
        <v>2358</v>
      </c>
    </row>
    <row r="9604" spans="1:5" x14ac:dyDescent="0.55000000000000004">
      <c r="A9604" t="str">
        <f>TEST_DATA!A9604</f>
        <v>27AAAAA9604Z5</v>
      </c>
      <c r="B9604" t="str">
        <f>TEST_DATA!B9604</f>
        <v>Jun-2019</v>
      </c>
      <c r="C9604">
        <f>TEST_DATA!C9604</f>
        <v>43584</v>
      </c>
      <c r="D9604" t="str">
        <f>TEST_DATA!D9604</f>
        <v>NIL</v>
      </c>
      <c r="E9604">
        <f>TEST_DATA!E9604</f>
        <v>988</v>
      </c>
    </row>
    <row r="9605" spans="1:5" x14ac:dyDescent="0.55000000000000004">
      <c r="A9605" t="str">
        <f>TEST_DATA!A9605</f>
        <v>27AAAAA9605Z5</v>
      </c>
      <c r="B9605" t="str">
        <f>TEST_DATA!B9605</f>
        <v>Jan-2021</v>
      </c>
      <c r="C9605">
        <f>TEST_DATA!C9605</f>
        <v>45532</v>
      </c>
      <c r="D9605" t="str">
        <f>TEST_DATA!D9605</f>
        <v>NON-NIL</v>
      </c>
      <c r="E9605">
        <f>TEST_DATA!E9605</f>
        <v>373</v>
      </c>
    </row>
    <row r="9606" spans="1:5" x14ac:dyDescent="0.55000000000000004">
      <c r="A9606" t="str">
        <f>TEST_DATA!A9606</f>
        <v>27AAAAA9606Z5</v>
      </c>
      <c r="B9606" t="str">
        <f>TEST_DATA!B9606</f>
        <v>Mar-2023</v>
      </c>
      <c r="C9606">
        <f>TEST_DATA!C9606</f>
        <v>45005</v>
      </c>
      <c r="D9606" t="str">
        <f>TEST_DATA!D9606</f>
        <v>NIL</v>
      </c>
      <c r="E9606">
        <f>TEST_DATA!E9606</f>
        <v>2229</v>
      </c>
    </row>
    <row r="9607" spans="1:5" x14ac:dyDescent="0.55000000000000004">
      <c r="A9607" t="str">
        <f>TEST_DATA!A9607</f>
        <v>27AAAAA9607Z5</v>
      </c>
      <c r="B9607" t="str">
        <f>TEST_DATA!B9607</f>
        <v>Feb-2018</v>
      </c>
      <c r="C9607">
        <f>TEST_DATA!C9607</f>
        <v>43424</v>
      </c>
      <c r="D9607" t="str">
        <f>TEST_DATA!D9607</f>
        <v>NON-NIL</v>
      </c>
      <c r="E9607">
        <f>TEST_DATA!E9607</f>
        <v>1737</v>
      </c>
    </row>
    <row r="9608" spans="1:5" x14ac:dyDescent="0.55000000000000004">
      <c r="A9608" t="str">
        <f>TEST_DATA!A9608</f>
        <v>27AAAAA9608Z5</v>
      </c>
      <c r="B9608" t="str">
        <f>TEST_DATA!B9608</f>
        <v>Dec-2019</v>
      </c>
      <c r="C9608">
        <f>TEST_DATA!C9608</f>
        <v>43684</v>
      </c>
      <c r="D9608" t="str">
        <f>TEST_DATA!D9608</f>
        <v>NON-NIL</v>
      </c>
      <c r="E9608">
        <f>TEST_DATA!E9608</f>
        <v>2245</v>
      </c>
    </row>
    <row r="9609" spans="1:5" x14ac:dyDescent="0.55000000000000004">
      <c r="A9609" t="str">
        <f>TEST_DATA!A9609</f>
        <v>27AAAAA9609Z5</v>
      </c>
      <c r="B9609" t="str">
        <f>TEST_DATA!B9609</f>
        <v>Mar-2021</v>
      </c>
      <c r="C9609">
        <f>TEST_DATA!C9609</f>
        <v>43776</v>
      </c>
      <c r="D9609" t="str">
        <f>TEST_DATA!D9609</f>
        <v>NIL</v>
      </c>
      <c r="E9609">
        <f>TEST_DATA!E9609</f>
        <v>2215</v>
      </c>
    </row>
    <row r="9610" spans="1:5" x14ac:dyDescent="0.55000000000000004">
      <c r="A9610" t="str">
        <f>TEST_DATA!A9610</f>
        <v>27AAAAA9610Z5</v>
      </c>
      <c r="B9610" t="str">
        <f>TEST_DATA!B9610</f>
        <v>Jun-2020</v>
      </c>
      <c r="C9610">
        <f>TEST_DATA!C9610</f>
        <v>43865</v>
      </c>
      <c r="D9610" t="str">
        <f>TEST_DATA!D9610</f>
        <v>NIL</v>
      </c>
      <c r="E9610">
        <f>TEST_DATA!E9610</f>
        <v>1499</v>
      </c>
    </row>
    <row r="9611" spans="1:5" x14ac:dyDescent="0.55000000000000004">
      <c r="A9611" t="str">
        <f>TEST_DATA!A9611</f>
        <v>27AAAAA9611Z5</v>
      </c>
      <c r="B9611" t="str">
        <f>TEST_DATA!B9611</f>
        <v>Dec-2022</v>
      </c>
      <c r="C9611">
        <f>TEST_DATA!C9611</f>
        <v>44360</v>
      </c>
      <c r="D9611" t="str">
        <f>TEST_DATA!D9611</f>
        <v>NIL</v>
      </c>
      <c r="E9611">
        <f>TEST_DATA!E9611</f>
        <v>1872</v>
      </c>
    </row>
    <row r="9612" spans="1:5" x14ac:dyDescent="0.55000000000000004">
      <c r="A9612" t="str">
        <f>TEST_DATA!A9612</f>
        <v>27AAAAA9612Z5</v>
      </c>
      <c r="B9612" t="str">
        <f>TEST_DATA!B9612</f>
        <v>Mar-2018</v>
      </c>
      <c r="C9612">
        <f>TEST_DATA!C9612</f>
        <v>43321</v>
      </c>
      <c r="D9612" t="str">
        <f>TEST_DATA!D9612</f>
        <v>NON-NIL</v>
      </c>
      <c r="E9612">
        <f>TEST_DATA!E9612</f>
        <v>1653</v>
      </c>
    </row>
    <row r="9613" spans="1:5" x14ac:dyDescent="0.55000000000000004">
      <c r="A9613" t="str">
        <f>TEST_DATA!A9613</f>
        <v>27AAAAA9613Z5</v>
      </c>
      <c r="B9613" t="str">
        <f>TEST_DATA!B9613</f>
        <v>Sep-2018</v>
      </c>
      <c r="C9613">
        <f>TEST_DATA!C9613</f>
        <v>42960</v>
      </c>
      <c r="D9613" t="str">
        <f>TEST_DATA!D9613</f>
        <v>NIL</v>
      </c>
      <c r="E9613">
        <f>TEST_DATA!E9613</f>
        <v>2604</v>
      </c>
    </row>
    <row r="9614" spans="1:5" x14ac:dyDescent="0.55000000000000004">
      <c r="A9614" t="str">
        <f>TEST_DATA!A9614</f>
        <v>27AAAAA9614Z5</v>
      </c>
      <c r="B9614" t="str">
        <f>TEST_DATA!B9614</f>
        <v>May-2020</v>
      </c>
      <c r="C9614">
        <f>TEST_DATA!C9614</f>
        <v>44752</v>
      </c>
      <c r="D9614" t="str">
        <f>TEST_DATA!D9614</f>
        <v>NON-NIL</v>
      </c>
      <c r="E9614">
        <f>TEST_DATA!E9614</f>
        <v>678</v>
      </c>
    </row>
    <row r="9615" spans="1:5" x14ac:dyDescent="0.55000000000000004">
      <c r="A9615" t="str">
        <f>TEST_DATA!A9615</f>
        <v>27AAAAA9615Z5</v>
      </c>
      <c r="B9615" t="str">
        <f>TEST_DATA!B9615</f>
        <v>Jun-2019</v>
      </c>
      <c r="C9615">
        <f>TEST_DATA!C9615</f>
        <v>45353</v>
      </c>
      <c r="D9615" t="str">
        <f>TEST_DATA!D9615</f>
        <v>NIL</v>
      </c>
      <c r="E9615">
        <f>TEST_DATA!E9615</f>
        <v>1305</v>
      </c>
    </row>
    <row r="9616" spans="1:5" x14ac:dyDescent="0.55000000000000004">
      <c r="A9616" t="str">
        <f>TEST_DATA!A9616</f>
        <v>27AAAAA9616Z5</v>
      </c>
      <c r="B9616" t="str">
        <f>TEST_DATA!B9616</f>
        <v>Jul-2018</v>
      </c>
      <c r="C9616">
        <f>TEST_DATA!C9616</f>
        <v>43666</v>
      </c>
      <c r="D9616" t="str">
        <f>TEST_DATA!D9616</f>
        <v>NON-NIL</v>
      </c>
      <c r="E9616">
        <f>TEST_DATA!E9616</f>
        <v>2703</v>
      </c>
    </row>
    <row r="9617" spans="1:5" x14ac:dyDescent="0.55000000000000004">
      <c r="A9617" t="str">
        <f>TEST_DATA!A9617</f>
        <v>27AAAAA9617Z5</v>
      </c>
      <c r="B9617" t="str">
        <f>TEST_DATA!B9617</f>
        <v>Apr-2020</v>
      </c>
      <c r="C9617">
        <f>TEST_DATA!C9617</f>
        <v>44584</v>
      </c>
      <c r="D9617" t="str">
        <f>TEST_DATA!D9617</f>
        <v>NON-NIL</v>
      </c>
      <c r="E9617">
        <f>TEST_DATA!E9617</f>
        <v>2854</v>
      </c>
    </row>
    <row r="9618" spans="1:5" x14ac:dyDescent="0.55000000000000004">
      <c r="A9618" t="str">
        <f>TEST_DATA!A9618</f>
        <v>27AAAAA9618Z5</v>
      </c>
      <c r="B9618" t="str">
        <f>TEST_DATA!B9618</f>
        <v>Mar-2020</v>
      </c>
      <c r="C9618">
        <f>TEST_DATA!C9618</f>
        <v>44436</v>
      </c>
      <c r="D9618" t="str">
        <f>TEST_DATA!D9618</f>
        <v>NON-NIL</v>
      </c>
      <c r="E9618">
        <f>TEST_DATA!E9618</f>
        <v>2026</v>
      </c>
    </row>
    <row r="9619" spans="1:5" x14ac:dyDescent="0.55000000000000004">
      <c r="A9619" t="str">
        <f>TEST_DATA!A9619</f>
        <v>27AAAAA9619Z5</v>
      </c>
      <c r="B9619" t="str">
        <f>TEST_DATA!B9619</f>
        <v>May-2018</v>
      </c>
      <c r="C9619">
        <f>TEST_DATA!C9619</f>
        <v>44080</v>
      </c>
      <c r="D9619" t="str">
        <f>TEST_DATA!D9619</f>
        <v>NON-NIL</v>
      </c>
      <c r="E9619">
        <f>TEST_DATA!E9619</f>
        <v>2505</v>
      </c>
    </row>
    <row r="9620" spans="1:5" x14ac:dyDescent="0.55000000000000004">
      <c r="A9620" t="str">
        <f>TEST_DATA!A9620</f>
        <v>27AAAAA9620Z5</v>
      </c>
      <c r="B9620" t="str">
        <f>TEST_DATA!B9620</f>
        <v>Mar-2020</v>
      </c>
      <c r="C9620">
        <f>TEST_DATA!C9620</f>
        <v>44590</v>
      </c>
      <c r="D9620" t="str">
        <f>TEST_DATA!D9620</f>
        <v>NON-NIL</v>
      </c>
      <c r="E9620">
        <f>TEST_DATA!E9620</f>
        <v>104</v>
      </c>
    </row>
    <row r="9621" spans="1:5" x14ac:dyDescent="0.55000000000000004">
      <c r="A9621" t="str">
        <f>TEST_DATA!A9621</f>
        <v>27AAAAA9621Z5</v>
      </c>
      <c r="B9621" t="str">
        <f>TEST_DATA!B9621</f>
        <v>Dec-2024</v>
      </c>
      <c r="C9621">
        <f>TEST_DATA!C9621</f>
        <v>44869</v>
      </c>
      <c r="D9621" t="str">
        <f>TEST_DATA!D9621</f>
        <v>NON-NIL</v>
      </c>
      <c r="E9621">
        <f>TEST_DATA!E9621</f>
        <v>2656</v>
      </c>
    </row>
    <row r="9622" spans="1:5" x14ac:dyDescent="0.55000000000000004">
      <c r="A9622" t="str">
        <f>TEST_DATA!A9622</f>
        <v>27AAAAA9622Z5</v>
      </c>
      <c r="B9622" t="str">
        <f>TEST_DATA!B9622</f>
        <v>Feb-2018</v>
      </c>
      <c r="C9622">
        <f>TEST_DATA!C9622</f>
        <v>44326</v>
      </c>
      <c r="D9622" t="str">
        <f>TEST_DATA!D9622</f>
        <v>NON-NIL</v>
      </c>
      <c r="E9622">
        <f>TEST_DATA!E9622</f>
        <v>548</v>
      </c>
    </row>
    <row r="9623" spans="1:5" x14ac:dyDescent="0.55000000000000004">
      <c r="A9623" t="str">
        <f>TEST_DATA!A9623</f>
        <v>27AAAAA9623Z5</v>
      </c>
      <c r="B9623" t="str">
        <f>TEST_DATA!B9623</f>
        <v>Mar-2020</v>
      </c>
      <c r="C9623">
        <f>TEST_DATA!C9623</f>
        <v>44000</v>
      </c>
      <c r="D9623" t="str">
        <f>TEST_DATA!D9623</f>
        <v>NON-NIL</v>
      </c>
      <c r="E9623">
        <f>TEST_DATA!E9623</f>
        <v>469</v>
      </c>
    </row>
    <row r="9624" spans="1:5" x14ac:dyDescent="0.55000000000000004">
      <c r="A9624" t="str">
        <f>TEST_DATA!A9624</f>
        <v>27AAAAA9624Z5</v>
      </c>
      <c r="B9624" t="str">
        <f>TEST_DATA!B9624</f>
        <v>Apr-2018</v>
      </c>
      <c r="C9624">
        <f>TEST_DATA!C9624</f>
        <v>43969</v>
      </c>
      <c r="D9624" t="str">
        <f>TEST_DATA!D9624</f>
        <v>NON-NIL</v>
      </c>
      <c r="E9624">
        <f>TEST_DATA!E9624</f>
        <v>1172</v>
      </c>
    </row>
    <row r="9625" spans="1:5" x14ac:dyDescent="0.55000000000000004">
      <c r="A9625" t="str">
        <f>TEST_DATA!A9625</f>
        <v>27AAAAA9625Z5</v>
      </c>
      <c r="B9625" t="str">
        <f>TEST_DATA!B9625</f>
        <v>Dec-2024</v>
      </c>
      <c r="C9625">
        <f>TEST_DATA!C9625</f>
        <v>43770</v>
      </c>
      <c r="D9625" t="str">
        <f>TEST_DATA!D9625</f>
        <v>NIL</v>
      </c>
      <c r="E9625">
        <f>TEST_DATA!E9625</f>
        <v>2556</v>
      </c>
    </row>
    <row r="9626" spans="1:5" x14ac:dyDescent="0.55000000000000004">
      <c r="A9626" t="str">
        <f>TEST_DATA!A9626</f>
        <v>27AAAAA9626Z5</v>
      </c>
      <c r="B9626" t="str">
        <f>TEST_DATA!B9626</f>
        <v>Jun-2018</v>
      </c>
      <c r="C9626">
        <f>TEST_DATA!C9626</f>
        <v>43245</v>
      </c>
      <c r="D9626" t="str">
        <f>TEST_DATA!D9626</f>
        <v>NON-NIL</v>
      </c>
      <c r="E9626">
        <f>TEST_DATA!E9626</f>
        <v>536</v>
      </c>
    </row>
    <row r="9627" spans="1:5" x14ac:dyDescent="0.55000000000000004">
      <c r="A9627" t="str">
        <f>TEST_DATA!A9627</f>
        <v>27AAAAA9627Z5</v>
      </c>
      <c r="B9627" t="str">
        <f>TEST_DATA!B9627</f>
        <v>Jan-2021</v>
      </c>
      <c r="C9627">
        <f>TEST_DATA!C9627</f>
        <v>44969</v>
      </c>
      <c r="D9627" t="str">
        <f>TEST_DATA!D9627</f>
        <v>NIL</v>
      </c>
      <c r="E9627">
        <f>TEST_DATA!E9627</f>
        <v>252</v>
      </c>
    </row>
    <row r="9628" spans="1:5" x14ac:dyDescent="0.55000000000000004">
      <c r="A9628" t="str">
        <f>TEST_DATA!A9628</f>
        <v>27AAAAA9628Z5</v>
      </c>
      <c r="B9628" t="str">
        <f>TEST_DATA!B9628</f>
        <v>Sep-2018</v>
      </c>
      <c r="C9628">
        <f>TEST_DATA!C9628</f>
        <v>44286</v>
      </c>
      <c r="D9628" t="str">
        <f>TEST_DATA!D9628</f>
        <v>NIL</v>
      </c>
      <c r="E9628">
        <f>TEST_DATA!E9628</f>
        <v>304</v>
      </c>
    </row>
    <row r="9629" spans="1:5" x14ac:dyDescent="0.55000000000000004">
      <c r="A9629" t="str">
        <f>TEST_DATA!A9629</f>
        <v>27AAAAA9629Z5</v>
      </c>
      <c r="B9629" t="str">
        <f>TEST_DATA!B9629</f>
        <v>Jul-2018</v>
      </c>
      <c r="C9629">
        <f>TEST_DATA!C9629</f>
        <v>44248</v>
      </c>
      <c r="D9629" t="str">
        <f>TEST_DATA!D9629</f>
        <v>NON-NIL</v>
      </c>
      <c r="E9629">
        <f>TEST_DATA!E9629</f>
        <v>394</v>
      </c>
    </row>
    <row r="9630" spans="1:5" x14ac:dyDescent="0.55000000000000004">
      <c r="A9630" t="str">
        <f>TEST_DATA!A9630</f>
        <v>27AAAAA9630Z5</v>
      </c>
      <c r="B9630" t="str">
        <f>TEST_DATA!B9630</f>
        <v>Mar-2023</v>
      </c>
      <c r="C9630">
        <f>TEST_DATA!C9630</f>
        <v>43740</v>
      </c>
      <c r="D9630" t="str">
        <f>TEST_DATA!D9630</f>
        <v>NIL</v>
      </c>
      <c r="E9630">
        <f>TEST_DATA!E9630</f>
        <v>379</v>
      </c>
    </row>
    <row r="9631" spans="1:5" x14ac:dyDescent="0.55000000000000004">
      <c r="A9631" t="str">
        <f>TEST_DATA!A9631</f>
        <v>27AAAAA9631Z5</v>
      </c>
      <c r="B9631" t="str">
        <f>TEST_DATA!B9631</f>
        <v>Apr-2018</v>
      </c>
      <c r="C9631">
        <f>TEST_DATA!C9631</f>
        <v>43683</v>
      </c>
      <c r="D9631" t="str">
        <f>TEST_DATA!D9631</f>
        <v>NON-NIL</v>
      </c>
      <c r="E9631">
        <f>TEST_DATA!E9631</f>
        <v>1209</v>
      </c>
    </row>
    <row r="9632" spans="1:5" x14ac:dyDescent="0.55000000000000004">
      <c r="A9632" t="str">
        <f>TEST_DATA!A9632</f>
        <v>27AAAAA9632Z5</v>
      </c>
      <c r="B9632" t="str">
        <f>TEST_DATA!B9632</f>
        <v>Jul-2020</v>
      </c>
      <c r="C9632">
        <f>TEST_DATA!C9632</f>
        <v>44436</v>
      </c>
      <c r="D9632" t="str">
        <f>TEST_DATA!D9632</f>
        <v>NON-NIL</v>
      </c>
      <c r="E9632">
        <f>TEST_DATA!E9632</f>
        <v>610</v>
      </c>
    </row>
    <row r="9633" spans="1:5" x14ac:dyDescent="0.55000000000000004">
      <c r="A9633" t="str">
        <f>TEST_DATA!A9633</f>
        <v>27AAAAA9633Z5</v>
      </c>
      <c r="B9633" t="str">
        <f>TEST_DATA!B9633</f>
        <v>Aug-2017</v>
      </c>
      <c r="C9633">
        <f>TEST_DATA!C9633</f>
        <v>43335</v>
      </c>
      <c r="D9633" t="str">
        <f>TEST_DATA!D9633</f>
        <v>NIL</v>
      </c>
      <c r="E9633">
        <f>TEST_DATA!E9633</f>
        <v>2723</v>
      </c>
    </row>
    <row r="9634" spans="1:5" x14ac:dyDescent="0.55000000000000004">
      <c r="A9634" t="str">
        <f>TEST_DATA!A9634</f>
        <v>27AAAAA9634Z5</v>
      </c>
      <c r="B9634" t="str">
        <f>TEST_DATA!B9634</f>
        <v>Nov-2017</v>
      </c>
      <c r="C9634">
        <f>TEST_DATA!C9634</f>
        <v>43886</v>
      </c>
      <c r="D9634" t="str">
        <f>TEST_DATA!D9634</f>
        <v>NON-NIL</v>
      </c>
      <c r="E9634">
        <f>TEST_DATA!E9634</f>
        <v>2551</v>
      </c>
    </row>
    <row r="9635" spans="1:5" x14ac:dyDescent="0.55000000000000004">
      <c r="A9635" t="str">
        <f>TEST_DATA!A9635</f>
        <v>27AAAAA9635Z5</v>
      </c>
      <c r="B9635" t="str">
        <f>TEST_DATA!B9635</f>
        <v>Dec-2024</v>
      </c>
      <c r="C9635">
        <f>TEST_DATA!C9635</f>
        <v>44539</v>
      </c>
      <c r="D9635" t="str">
        <f>TEST_DATA!D9635</f>
        <v>NON-NIL</v>
      </c>
      <c r="E9635">
        <f>TEST_DATA!E9635</f>
        <v>829</v>
      </c>
    </row>
    <row r="9636" spans="1:5" x14ac:dyDescent="0.55000000000000004">
      <c r="A9636" t="str">
        <f>TEST_DATA!A9636</f>
        <v>27AAAAA9636Z5</v>
      </c>
      <c r="B9636" t="str">
        <f>TEST_DATA!B9636</f>
        <v>Jul-2017</v>
      </c>
      <c r="C9636">
        <f>TEST_DATA!C9636</f>
        <v>43967</v>
      </c>
      <c r="D9636" t="str">
        <f>TEST_DATA!D9636</f>
        <v>NIL</v>
      </c>
      <c r="E9636">
        <f>TEST_DATA!E9636</f>
        <v>1229</v>
      </c>
    </row>
    <row r="9637" spans="1:5" x14ac:dyDescent="0.55000000000000004">
      <c r="A9637" t="str">
        <f>TEST_DATA!A9637</f>
        <v>27AAAAA9637Z5</v>
      </c>
      <c r="B9637" t="str">
        <f>TEST_DATA!B9637</f>
        <v>Aug-2017</v>
      </c>
      <c r="C9637">
        <f>TEST_DATA!C9637</f>
        <v>43303</v>
      </c>
      <c r="D9637" t="str">
        <f>TEST_DATA!D9637</f>
        <v>NON-NIL</v>
      </c>
      <c r="E9637">
        <f>TEST_DATA!E9637</f>
        <v>2798</v>
      </c>
    </row>
    <row r="9638" spans="1:5" x14ac:dyDescent="0.55000000000000004">
      <c r="A9638" t="str">
        <f>TEST_DATA!A9638</f>
        <v>27AAAAA9638Z5</v>
      </c>
      <c r="B9638" t="str">
        <f>TEST_DATA!B9638</f>
        <v>Mar-2023</v>
      </c>
      <c r="C9638">
        <f>TEST_DATA!C9638</f>
        <v>44457</v>
      </c>
      <c r="D9638" t="str">
        <f>TEST_DATA!D9638</f>
        <v>NIL</v>
      </c>
      <c r="E9638">
        <f>TEST_DATA!E9638</f>
        <v>2963</v>
      </c>
    </row>
    <row r="9639" spans="1:5" x14ac:dyDescent="0.55000000000000004">
      <c r="A9639" t="str">
        <f>TEST_DATA!A9639</f>
        <v>27AAAAA9639Z5</v>
      </c>
      <c r="B9639" t="str">
        <f>TEST_DATA!B9639</f>
        <v>Sep-2017</v>
      </c>
      <c r="C9639">
        <f>TEST_DATA!C9639</f>
        <v>44526</v>
      </c>
      <c r="D9639" t="str">
        <f>TEST_DATA!D9639</f>
        <v>NIL</v>
      </c>
      <c r="E9639">
        <f>TEST_DATA!E9639</f>
        <v>1165</v>
      </c>
    </row>
    <row r="9640" spans="1:5" x14ac:dyDescent="0.55000000000000004">
      <c r="A9640" t="str">
        <f>TEST_DATA!A9640</f>
        <v>27AAAAA9640Z5</v>
      </c>
      <c r="B9640" t="str">
        <f>TEST_DATA!B9640</f>
        <v>Dec-2024</v>
      </c>
      <c r="C9640">
        <f>TEST_DATA!C9640</f>
        <v>44636</v>
      </c>
      <c r="D9640" t="str">
        <f>TEST_DATA!D9640</f>
        <v>NIL</v>
      </c>
      <c r="E9640">
        <f>TEST_DATA!E9640</f>
        <v>2876</v>
      </c>
    </row>
    <row r="9641" spans="1:5" x14ac:dyDescent="0.55000000000000004">
      <c r="A9641" t="str">
        <f>TEST_DATA!A9641</f>
        <v>27AAAAA9641Z5</v>
      </c>
      <c r="B9641" t="str">
        <f>TEST_DATA!B9641</f>
        <v>Dec-2017</v>
      </c>
      <c r="C9641">
        <f>TEST_DATA!C9641</f>
        <v>44110</v>
      </c>
      <c r="D9641" t="str">
        <f>TEST_DATA!D9641</f>
        <v>NIL</v>
      </c>
      <c r="E9641">
        <f>TEST_DATA!E9641</f>
        <v>1787</v>
      </c>
    </row>
    <row r="9642" spans="1:5" x14ac:dyDescent="0.55000000000000004">
      <c r="A9642" t="str">
        <f>TEST_DATA!A9642</f>
        <v>27AAAAA9642Z5</v>
      </c>
      <c r="B9642" t="str">
        <f>TEST_DATA!B9642</f>
        <v>Feb-2018</v>
      </c>
      <c r="C9642">
        <f>TEST_DATA!C9642</f>
        <v>43510</v>
      </c>
      <c r="D9642" t="str">
        <f>TEST_DATA!D9642</f>
        <v>NIL</v>
      </c>
      <c r="E9642">
        <f>TEST_DATA!E9642</f>
        <v>2358</v>
      </c>
    </row>
    <row r="9643" spans="1:5" x14ac:dyDescent="0.55000000000000004">
      <c r="A9643" t="str">
        <f>TEST_DATA!A9643</f>
        <v>27AAAAA9643Z5</v>
      </c>
      <c r="B9643" t="str">
        <f>TEST_DATA!B9643</f>
        <v>Mar-2018</v>
      </c>
      <c r="C9643">
        <f>TEST_DATA!C9643</f>
        <v>43101</v>
      </c>
      <c r="D9643" t="str">
        <f>TEST_DATA!D9643</f>
        <v>NIL</v>
      </c>
      <c r="E9643">
        <f>TEST_DATA!E9643</f>
        <v>2934</v>
      </c>
    </row>
    <row r="9644" spans="1:5" x14ac:dyDescent="0.55000000000000004">
      <c r="A9644" t="str">
        <f>TEST_DATA!A9644</f>
        <v>27AAAAA9644Z5</v>
      </c>
      <c r="B9644" t="str">
        <f>TEST_DATA!B9644</f>
        <v>Sep-2017</v>
      </c>
      <c r="C9644">
        <f>TEST_DATA!C9644</f>
        <v>44046</v>
      </c>
      <c r="D9644" t="str">
        <f>TEST_DATA!D9644</f>
        <v>NIL</v>
      </c>
      <c r="E9644">
        <f>TEST_DATA!E9644</f>
        <v>1481</v>
      </c>
    </row>
    <row r="9645" spans="1:5" x14ac:dyDescent="0.55000000000000004">
      <c r="A9645" t="str">
        <f>TEST_DATA!A9645</f>
        <v>27AAAAA9645Z5</v>
      </c>
      <c r="B9645" t="str">
        <f>TEST_DATA!B9645</f>
        <v>Jul-2020</v>
      </c>
      <c r="C9645">
        <f>TEST_DATA!C9645</f>
        <v>44168</v>
      </c>
      <c r="D9645" t="str">
        <f>TEST_DATA!D9645</f>
        <v>NON-NIL</v>
      </c>
      <c r="E9645">
        <f>TEST_DATA!E9645</f>
        <v>1958</v>
      </c>
    </row>
    <row r="9646" spans="1:5" x14ac:dyDescent="0.55000000000000004">
      <c r="A9646" t="str">
        <f>TEST_DATA!A9646</f>
        <v>27AAAAA9646Z5</v>
      </c>
      <c r="B9646" t="str">
        <f>TEST_DATA!B9646</f>
        <v>Mar-2020</v>
      </c>
      <c r="C9646">
        <f>TEST_DATA!C9646</f>
        <v>44480</v>
      </c>
      <c r="D9646" t="str">
        <f>TEST_DATA!D9646</f>
        <v>NIL</v>
      </c>
      <c r="E9646">
        <f>TEST_DATA!E9646</f>
        <v>2897</v>
      </c>
    </row>
    <row r="9647" spans="1:5" x14ac:dyDescent="0.55000000000000004">
      <c r="A9647" t="str">
        <f>TEST_DATA!A9647</f>
        <v>27AAAAA9647Z5</v>
      </c>
      <c r="B9647" t="str">
        <f>TEST_DATA!B9647</f>
        <v>Jul-2017</v>
      </c>
      <c r="C9647">
        <f>TEST_DATA!C9647</f>
        <v>43495</v>
      </c>
      <c r="D9647" t="str">
        <f>TEST_DATA!D9647</f>
        <v>NON-NIL</v>
      </c>
      <c r="E9647">
        <f>TEST_DATA!E9647</f>
        <v>2489</v>
      </c>
    </row>
    <row r="9648" spans="1:5" x14ac:dyDescent="0.55000000000000004">
      <c r="A9648" t="str">
        <f>TEST_DATA!A9648</f>
        <v>27AAAAA9648Z5</v>
      </c>
      <c r="B9648" t="str">
        <f>TEST_DATA!B9648</f>
        <v>Mar-2018</v>
      </c>
      <c r="C9648">
        <f>TEST_DATA!C9648</f>
        <v>43098</v>
      </c>
      <c r="D9648" t="str">
        <f>TEST_DATA!D9648</f>
        <v>NIL</v>
      </c>
      <c r="E9648">
        <f>TEST_DATA!E9648</f>
        <v>2684</v>
      </c>
    </row>
    <row r="9649" spans="1:5" x14ac:dyDescent="0.55000000000000004">
      <c r="A9649" t="str">
        <f>TEST_DATA!A9649</f>
        <v>27AAAAA9649Z5</v>
      </c>
      <c r="B9649" t="str">
        <f>TEST_DATA!B9649</f>
        <v>Feb-2018</v>
      </c>
      <c r="C9649">
        <f>TEST_DATA!C9649</f>
        <v>43232</v>
      </c>
      <c r="D9649" t="str">
        <f>TEST_DATA!D9649</f>
        <v>NON-NIL</v>
      </c>
      <c r="E9649">
        <f>TEST_DATA!E9649</f>
        <v>1238</v>
      </c>
    </row>
    <row r="9650" spans="1:5" x14ac:dyDescent="0.55000000000000004">
      <c r="A9650" t="str">
        <f>TEST_DATA!A9650</f>
        <v>27AAAAA9650Z5</v>
      </c>
      <c r="B9650" t="str">
        <f>TEST_DATA!B9650</f>
        <v>Aug-2018</v>
      </c>
      <c r="C9650">
        <f>TEST_DATA!C9650</f>
        <v>42933</v>
      </c>
      <c r="D9650" t="str">
        <f>TEST_DATA!D9650</f>
        <v>NIL</v>
      </c>
      <c r="E9650">
        <f>TEST_DATA!E9650</f>
        <v>2267</v>
      </c>
    </row>
    <row r="9651" spans="1:5" x14ac:dyDescent="0.55000000000000004">
      <c r="A9651" t="str">
        <f>TEST_DATA!A9651</f>
        <v>27AAAAA9651Z5</v>
      </c>
      <c r="B9651" t="str">
        <f>TEST_DATA!B9651</f>
        <v>Dec-2024</v>
      </c>
      <c r="C9651">
        <f>TEST_DATA!C9651</f>
        <v>43822</v>
      </c>
      <c r="D9651" t="str">
        <f>TEST_DATA!D9651</f>
        <v>NIL</v>
      </c>
      <c r="E9651">
        <f>TEST_DATA!E9651</f>
        <v>835</v>
      </c>
    </row>
    <row r="9652" spans="1:5" x14ac:dyDescent="0.55000000000000004">
      <c r="A9652" t="str">
        <f>TEST_DATA!A9652</f>
        <v>27AAAAA9652Z5</v>
      </c>
      <c r="B9652" t="str">
        <f>TEST_DATA!B9652</f>
        <v>Apr-2021</v>
      </c>
      <c r="C9652">
        <f>TEST_DATA!C9652</f>
        <v>44705</v>
      </c>
      <c r="D9652" t="str">
        <f>TEST_DATA!D9652</f>
        <v>NIL</v>
      </c>
      <c r="E9652">
        <f>TEST_DATA!E9652</f>
        <v>1073</v>
      </c>
    </row>
    <row r="9653" spans="1:5" x14ac:dyDescent="0.55000000000000004">
      <c r="A9653" t="str">
        <f>TEST_DATA!A9653</f>
        <v>27AAAAA9653Z5</v>
      </c>
      <c r="B9653" t="str">
        <f>TEST_DATA!B9653</f>
        <v>Apr-2021</v>
      </c>
      <c r="C9653">
        <f>TEST_DATA!C9653</f>
        <v>45523</v>
      </c>
      <c r="D9653" t="str">
        <f>TEST_DATA!D9653</f>
        <v>NON-NIL</v>
      </c>
      <c r="E9653">
        <f>TEST_DATA!E9653</f>
        <v>1937</v>
      </c>
    </row>
    <row r="9654" spans="1:5" x14ac:dyDescent="0.55000000000000004">
      <c r="A9654" t="str">
        <f>TEST_DATA!A9654</f>
        <v>27AAAAA9654Z5</v>
      </c>
      <c r="B9654" t="str">
        <f>TEST_DATA!B9654</f>
        <v>Sep-2017</v>
      </c>
      <c r="C9654">
        <f>TEST_DATA!C9654</f>
        <v>43330</v>
      </c>
      <c r="D9654" t="str">
        <f>TEST_DATA!D9654</f>
        <v>NIL</v>
      </c>
      <c r="E9654">
        <f>TEST_DATA!E9654</f>
        <v>2460</v>
      </c>
    </row>
    <row r="9655" spans="1:5" x14ac:dyDescent="0.55000000000000004">
      <c r="A9655" t="str">
        <f>TEST_DATA!A9655</f>
        <v>27AAAAA9655Z5</v>
      </c>
      <c r="B9655" t="str">
        <f>TEST_DATA!B9655</f>
        <v>Mar-2021</v>
      </c>
      <c r="C9655">
        <f>TEST_DATA!C9655</f>
        <v>45237</v>
      </c>
      <c r="D9655" t="str">
        <f>TEST_DATA!D9655</f>
        <v>NIL</v>
      </c>
      <c r="E9655">
        <f>TEST_DATA!E9655</f>
        <v>1891</v>
      </c>
    </row>
    <row r="9656" spans="1:5" x14ac:dyDescent="0.55000000000000004">
      <c r="A9656" t="str">
        <f>TEST_DATA!A9656</f>
        <v>27AAAAA9656Z5</v>
      </c>
      <c r="B9656" t="str">
        <f>TEST_DATA!B9656</f>
        <v>Aug-2018</v>
      </c>
      <c r="C9656">
        <f>TEST_DATA!C9656</f>
        <v>44036</v>
      </c>
      <c r="D9656" t="str">
        <f>TEST_DATA!D9656</f>
        <v>NON-NIL</v>
      </c>
      <c r="E9656">
        <f>TEST_DATA!E9656</f>
        <v>357</v>
      </c>
    </row>
    <row r="9657" spans="1:5" x14ac:dyDescent="0.55000000000000004">
      <c r="A9657" t="str">
        <f>TEST_DATA!A9657</f>
        <v>27AAAAA9657Z5</v>
      </c>
      <c r="B9657" t="str">
        <f>TEST_DATA!B9657</f>
        <v>Dec-2017</v>
      </c>
      <c r="C9657">
        <f>TEST_DATA!C9657</f>
        <v>43927</v>
      </c>
      <c r="D9657" t="str">
        <f>TEST_DATA!D9657</f>
        <v>NIL</v>
      </c>
      <c r="E9657">
        <f>TEST_DATA!E9657</f>
        <v>1189</v>
      </c>
    </row>
    <row r="9658" spans="1:5" x14ac:dyDescent="0.55000000000000004">
      <c r="A9658" t="str">
        <f>TEST_DATA!A9658</f>
        <v>27AAAAA9658Z5</v>
      </c>
      <c r="B9658" t="str">
        <f>TEST_DATA!B9658</f>
        <v>Dec-2022</v>
      </c>
      <c r="C9658">
        <f>TEST_DATA!C9658</f>
        <v>43992</v>
      </c>
      <c r="D9658" t="str">
        <f>TEST_DATA!D9658</f>
        <v>NIL</v>
      </c>
      <c r="E9658">
        <f>TEST_DATA!E9658</f>
        <v>477</v>
      </c>
    </row>
    <row r="9659" spans="1:5" x14ac:dyDescent="0.55000000000000004">
      <c r="A9659" t="str">
        <f>TEST_DATA!A9659</f>
        <v>27AAAAA9659Z5</v>
      </c>
      <c r="B9659" t="str">
        <f>TEST_DATA!B9659</f>
        <v>Nov-2017</v>
      </c>
      <c r="C9659">
        <f>TEST_DATA!C9659</f>
        <v>42970</v>
      </c>
      <c r="D9659" t="str">
        <f>TEST_DATA!D9659</f>
        <v>NIL</v>
      </c>
      <c r="E9659">
        <f>TEST_DATA!E9659</f>
        <v>2536</v>
      </c>
    </row>
    <row r="9660" spans="1:5" x14ac:dyDescent="0.55000000000000004">
      <c r="A9660" t="str">
        <f>TEST_DATA!A9660</f>
        <v>27AAAAA9660Z5</v>
      </c>
      <c r="B9660" t="str">
        <f>TEST_DATA!B9660</f>
        <v>Sep-2017</v>
      </c>
      <c r="C9660">
        <f>TEST_DATA!C9660</f>
        <v>44342</v>
      </c>
      <c r="D9660" t="str">
        <f>TEST_DATA!D9660</f>
        <v>NIL</v>
      </c>
      <c r="E9660">
        <f>TEST_DATA!E9660</f>
        <v>2058</v>
      </c>
    </row>
    <row r="9661" spans="1:5" x14ac:dyDescent="0.55000000000000004">
      <c r="A9661" t="str">
        <f>TEST_DATA!A9661</f>
        <v>27AAAAA9661Z5</v>
      </c>
      <c r="B9661" t="str">
        <f>TEST_DATA!B9661</f>
        <v>Sep-2017</v>
      </c>
      <c r="C9661">
        <f>TEST_DATA!C9661</f>
        <v>43375</v>
      </c>
      <c r="D9661" t="str">
        <f>TEST_DATA!D9661</f>
        <v>NIL</v>
      </c>
      <c r="E9661">
        <f>TEST_DATA!E9661</f>
        <v>377</v>
      </c>
    </row>
    <row r="9662" spans="1:5" x14ac:dyDescent="0.55000000000000004">
      <c r="A9662" t="str">
        <f>TEST_DATA!A9662</f>
        <v>27AAAAA9662Z5</v>
      </c>
      <c r="B9662" t="str">
        <f>TEST_DATA!B9662</f>
        <v>Apr-2018</v>
      </c>
      <c r="C9662">
        <f>TEST_DATA!C9662</f>
        <v>44129</v>
      </c>
      <c r="D9662" t="str">
        <f>TEST_DATA!D9662</f>
        <v>NON-NIL</v>
      </c>
      <c r="E9662">
        <f>TEST_DATA!E9662</f>
        <v>2295</v>
      </c>
    </row>
    <row r="9663" spans="1:5" x14ac:dyDescent="0.55000000000000004">
      <c r="A9663" t="str">
        <f>TEST_DATA!A9663</f>
        <v>27AAAAA9663Z5</v>
      </c>
      <c r="B9663" t="str">
        <f>TEST_DATA!B9663</f>
        <v>Aug-2017</v>
      </c>
      <c r="C9663">
        <f>TEST_DATA!C9663</f>
        <v>43250</v>
      </c>
      <c r="D9663" t="str">
        <f>TEST_DATA!D9663</f>
        <v>NIL</v>
      </c>
      <c r="E9663">
        <f>TEST_DATA!E9663</f>
        <v>2277</v>
      </c>
    </row>
    <row r="9664" spans="1:5" x14ac:dyDescent="0.55000000000000004">
      <c r="A9664" t="str">
        <f>TEST_DATA!A9664</f>
        <v>27AAAAA9664Z5</v>
      </c>
      <c r="B9664" t="str">
        <f>TEST_DATA!B9664</f>
        <v>Dec-2019</v>
      </c>
      <c r="C9664">
        <f>TEST_DATA!C9664</f>
        <v>45629</v>
      </c>
      <c r="D9664" t="str">
        <f>TEST_DATA!D9664</f>
        <v>NIL</v>
      </c>
      <c r="E9664">
        <f>TEST_DATA!E9664</f>
        <v>2369</v>
      </c>
    </row>
    <row r="9665" spans="1:5" x14ac:dyDescent="0.55000000000000004">
      <c r="A9665" t="str">
        <f>TEST_DATA!A9665</f>
        <v>27AAAAA9665Z5</v>
      </c>
      <c r="B9665" t="str">
        <f>TEST_DATA!B9665</f>
        <v>Jul-2018</v>
      </c>
      <c r="C9665">
        <f>TEST_DATA!C9665</f>
        <v>44304</v>
      </c>
      <c r="D9665" t="str">
        <f>TEST_DATA!D9665</f>
        <v>NON-NIL</v>
      </c>
      <c r="E9665">
        <f>TEST_DATA!E9665</f>
        <v>1237</v>
      </c>
    </row>
    <row r="9666" spans="1:5" x14ac:dyDescent="0.55000000000000004">
      <c r="A9666" t="str">
        <f>TEST_DATA!A9666</f>
        <v>27AAAAA9666Z5</v>
      </c>
      <c r="B9666" t="str">
        <f>TEST_DATA!B9666</f>
        <v>Apr-2021</v>
      </c>
      <c r="C9666">
        <f>TEST_DATA!C9666</f>
        <v>44942</v>
      </c>
      <c r="D9666" t="str">
        <f>TEST_DATA!D9666</f>
        <v>NIL</v>
      </c>
      <c r="E9666">
        <f>TEST_DATA!E9666</f>
        <v>771</v>
      </c>
    </row>
    <row r="9667" spans="1:5" x14ac:dyDescent="0.55000000000000004">
      <c r="A9667" t="str">
        <f>TEST_DATA!A9667</f>
        <v>27AAAAA9667Z5</v>
      </c>
      <c r="B9667" t="str">
        <f>TEST_DATA!B9667</f>
        <v>Oct-2017</v>
      </c>
      <c r="C9667">
        <f>TEST_DATA!C9667</f>
        <v>44089</v>
      </c>
      <c r="D9667" t="str">
        <f>TEST_DATA!D9667</f>
        <v>NIL</v>
      </c>
      <c r="E9667">
        <f>TEST_DATA!E9667</f>
        <v>2769</v>
      </c>
    </row>
    <row r="9668" spans="1:5" x14ac:dyDescent="0.55000000000000004">
      <c r="A9668" t="str">
        <f>TEST_DATA!A9668</f>
        <v>27AAAAA9668Z5</v>
      </c>
      <c r="B9668" t="str">
        <f>TEST_DATA!B9668</f>
        <v>Mar-2020</v>
      </c>
      <c r="C9668">
        <f>TEST_DATA!C9668</f>
        <v>43904</v>
      </c>
      <c r="D9668" t="str">
        <f>TEST_DATA!D9668</f>
        <v>NIL</v>
      </c>
      <c r="E9668">
        <f>TEST_DATA!E9668</f>
        <v>287</v>
      </c>
    </row>
    <row r="9669" spans="1:5" x14ac:dyDescent="0.55000000000000004">
      <c r="A9669" t="str">
        <f>TEST_DATA!A9669</f>
        <v>27AAAAA9669Z5</v>
      </c>
      <c r="B9669" t="str">
        <f>TEST_DATA!B9669</f>
        <v>Jun-2020</v>
      </c>
      <c r="C9669">
        <f>TEST_DATA!C9669</f>
        <v>44275</v>
      </c>
      <c r="D9669" t="str">
        <f>TEST_DATA!D9669</f>
        <v>NIL</v>
      </c>
      <c r="E9669">
        <f>TEST_DATA!E9669</f>
        <v>1314</v>
      </c>
    </row>
    <row r="9670" spans="1:5" x14ac:dyDescent="0.55000000000000004">
      <c r="A9670" t="str">
        <f>TEST_DATA!A9670</f>
        <v>27AAAAA9670Z5</v>
      </c>
      <c r="B9670" t="str">
        <f>TEST_DATA!B9670</f>
        <v>Jul-2018</v>
      </c>
      <c r="C9670">
        <f>TEST_DATA!C9670</f>
        <v>44067</v>
      </c>
      <c r="D9670" t="str">
        <f>TEST_DATA!D9670</f>
        <v>NIL</v>
      </c>
      <c r="E9670">
        <f>TEST_DATA!E9670</f>
        <v>385</v>
      </c>
    </row>
    <row r="9671" spans="1:5" x14ac:dyDescent="0.55000000000000004">
      <c r="A9671" t="str">
        <f>TEST_DATA!A9671</f>
        <v>27AAAAA9671Z5</v>
      </c>
      <c r="B9671" t="str">
        <f>TEST_DATA!B9671</f>
        <v>Sep-2018</v>
      </c>
      <c r="C9671">
        <f>TEST_DATA!C9671</f>
        <v>43227</v>
      </c>
      <c r="D9671" t="str">
        <f>TEST_DATA!D9671</f>
        <v>NIL</v>
      </c>
      <c r="E9671">
        <f>TEST_DATA!E9671</f>
        <v>1765</v>
      </c>
    </row>
    <row r="9672" spans="1:5" x14ac:dyDescent="0.55000000000000004">
      <c r="A9672" t="str">
        <f>TEST_DATA!A9672</f>
        <v>27AAAAA9672Z5</v>
      </c>
      <c r="B9672" t="str">
        <f>TEST_DATA!B9672</f>
        <v>Dec-2024</v>
      </c>
      <c r="C9672">
        <f>TEST_DATA!C9672</f>
        <v>45099</v>
      </c>
      <c r="D9672" t="str">
        <f>TEST_DATA!D9672</f>
        <v>NON-NIL</v>
      </c>
      <c r="E9672">
        <f>TEST_DATA!E9672</f>
        <v>220</v>
      </c>
    </row>
    <row r="9673" spans="1:5" x14ac:dyDescent="0.55000000000000004">
      <c r="A9673" t="str">
        <f>TEST_DATA!A9673</f>
        <v>27AAAAA9673Z5</v>
      </c>
      <c r="B9673" t="str">
        <f>TEST_DATA!B9673</f>
        <v>Apr-2018</v>
      </c>
      <c r="C9673">
        <f>TEST_DATA!C9673</f>
        <v>44374</v>
      </c>
      <c r="D9673" t="str">
        <f>TEST_DATA!D9673</f>
        <v>NIL</v>
      </c>
      <c r="E9673">
        <f>TEST_DATA!E9673</f>
        <v>1983</v>
      </c>
    </row>
    <row r="9674" spans="1:5" x14ac:dyDescent="0.55000000000000004">
      <c r="A9674" t="str">
        <f>TEST_DATA!A9674</f>
        <v>27AAAAA9674Z5</v>
      </c>
      <c r="B9674" t="str">
        <f>TEST_DATA!B9674</f>
        <v>Sep-2017</v>
      </c>
      <c r="C9674">
        <f>TEST_DATA!C9674</f>
        <v>42940</v>
      </c>
      <c r="D9674" t="str">
        <f>TEST_DATA!D9674</f>
        <v>NIL</v>
      </c>
      <c r="E9674">
        <f>TEST_DATA!E9674</f>
        <v>2829</v>
      </c>
    </row>
    <row r="9675" spans="1:5" x14ac:dyDescent="0.55000000000000004">
      <c r="A9675" t="str">
        <f>TEST_DATA!A9675</f>
        <v>27AAAAA9675Z5</v>
      </c>
      <c r="B9675" t="str">
        <f>TEST_DATA!B9675</f>
        <v>Dec-2019</v>
      </c>
      <c r="C9675">
        <f>TEST_DATA!C9675</f>
        <v>45772</v>
      </c>
      <c r="D9675" t="str">
        <f>TEST_DATA!D9675</f>
        <v>NIL</v>
      </c>
      <c r="E9675">
        <f>TEST_DATA!E9675</f>
        <v>2532</v>
      </c>
    </row>
    <row r="9676" spans="1:5" x14ac:dyDescent="0.55000000000000004">
      <c r="A9676" t="str">
        <f>TEST_DATA!A9676</f>
        <v>27AAAAA9676Z5</v>
      </c>
      <c r="B9676" t="str">
        <f>TEST_DATA!B9676</f>
        <v>Oct-2017</v>
      </c>
      <c r="C9676">
        <f>TEST_DATA!C9676</f>
        <v>43953</v>
      </c>
      <c r="D9676" t="str">
        <f>TEST_DATA!D9676</f>
        <v>NON-NIL</v>
      </c>
      <c r="E9676">
        <f>TEST_DATA!E9676</f>
        <v>1190</v>
      </c>
    </row>
    <row r="9677" spans="1:5" x14ac:dyDescent="0.55000000000000004">
      <c r="A9677" t="str">
        <f>TEST_DATA!A9677</f>
        <v>27AAAAA9677Z5</v>
      </c>
      <c r="B9677" t="str">
        <f>TEST_DATA!B9677</f>
        <v>Aug-2017</v>
      </c>
      <c r="C9677">
        <f>TEST_DATA!C9677</f>
        <v>43574</v>
      </c>
      <c r="D9677" t="str">
        <f>TEST_DATA!D9677</f>
        <v>NIL</v>
      </c>
      <c r="E9677">
        <f>TEST_DATA!E9677</f>
        <v>458</v>
      </c>
    </row>
    <row r="9678" spans="1:5" x14ac:dyDescent="0.55000000000000004">
      <c r="A9678" t="str">
        <f>TEST_DATA!A9678</f>
        <v>27AAAAA9678Z5</v>
      </c>
      <c r="B9678" t="str">
        <f>TEST_DATA!B9678</f>
        <v>Feb-2018</v>
      </c>
      <c r="C9678">
        <f>TEST_DATA!C9678</f>
        <v>44396</v>
      </c>
      <c r="D9678" t="str">
        <f>TEST_DATA!D9678</f>
        <v>NIL</v>
      </c>
      <c r="E9678">
        <f>TEST_DATA!E9678</f>
        <v>650</v>
      </c>
    </row>
    <row r="9679" spans="1:5" x14ac:dyDescent="0.55000000000000004">
      <c r="A9679" t="str">
        <f>TEST_DATA!A9679</f>
        <v>27AAAAA9679Z5</v>
      </c>
      <c r="B9679" t="str">
        <f>TEST_DATA!B9679</f>
        <v>Jul-2017</v>
      </c>
      <c r="C9679">
        <f>TEST_DATA!C9679</f>
        <v>44480</v>
      </c>
      <c r="D9679" t="str">
        <f>TEST_DATA!D9679</f>
        <v>NIL</v>
      </c>
      <c r="E9679">
        <f>TEST_DATA!E9679</f>
        <v>1115</v>
      </c>
    </row>
    <row r="9680" spans="1:5" x14ac:dyDescent="0.55000000000000004">
      <c r="A9680" t="str">
        <f>TEST_DATA!A9680</f>
        <v>27AAAAA9680Z5</v>
      </c>
      <c r="B9680" t="str">
        <f>TEST_DATA!B9680</f>
        <v>Apr-2021</v>
      </c>
      <c r="C9680">
        <f>TEST_DATA!C9680</f>
        <v>44545</v>
      </c>
      <c r="D9680" t="str">
        <f>TEST_DATA!D9680</f>
        <v>NON-NIL</v>
      </c>
      <c r="E9680">
        <f>TEST_DATA!E9680</f>
        <v>1760</v>
      </c>
    </row>
    <row r="9681" spans="1:5" x14ac:dyDescent="0.55000000000000004">
      <c r="A9681" t="str">
        <f>TEST_DATA!A9681</f>
        <v>27AAAAA9681Z5</v>
      </c>
      <c r="B9681" t="str">
        <f>TEST_DATA!B9681</f>
        <v>Jul-2017</v>
      </c>
      <c r="C9681">
        <f>TEST_DATA!C9681</f>
        <v>43926</v>
      </c>
      <c r="D9681" t="str">
        <f>TEST_DATA!D9681</f>
        <v>NIL</v>
      </c>
      <c r="E9681">
        <f>TEST_DATA!E9681</f>
        <v>1048</v>
      </c>
    </row>
    <row r="9682" spans="1:5" x14ac:dyDescent="0.55000000000000004">
      <c r="A9682" t="str">
        <f>TEST_DATA!A9682</f>
        <v>27AAAAA9682Z5</v>
      </c>
      <c r="B9682" t="str">
        <f>TEST_DATA!B9682</f>
        <v>Dec-2024</v>
      </c>
      <c r="C9682">
        <f>TEST_DATA!C9682</f>
        <v>45592</v>
      </c>
      <c r="D9682" t="str">
        <f>TEST_DATA!D9682</f>
        <v>NON-NIL</v>
      </c>
      <c r="E9682">
        <f>TEST_DATA!E9682</f>
        <v>1600</v>
      </c>
    </row>
    <row r="9683" spans="1:5" x14ac:dyDescent="0.55000000000000004">
      <c r="A9683" t="str">
        <f>TEST_DATA!A9683</f>
        <v>27AAAAA9683Z5</v>
      </c>
      <c r="B9683" t="str">
        <f>TEST_DATA!B9683</f>
        <v>Jun-2018</v>
      </c>
      <c r="C9683">
        <f>TEST_DATA!C9683</f>
        <v>43035</v>
      </c>
      <c r="D9683" t="str">
        <f>TEST_DATA!D9683</f>
        <v>NON-NIL</v>
      </c>
      <c r="E9683">
        <f>TEST_DATA!E9683</f>
        <v>1858</v>
      </c>
    </row>
    <row r="9684" spans="1:5" x14ac:dyDescent="0.55000000000000004">
      <c r="A9684" t="str">
        <f>TEST_DATA!A9684</f>
        <v>27AAAAA9684Z5</v>
      </c>
      <c r="B9684" t="str">
        <f>TEST_DATA!B9684</f>
        <v>Jun-2018</v>
      </c>
      <c r="C9684">
        <f>TEST_DATA!C9684</f>
        <v>44455</v>
      </c>
      <c r="D9684" t="str">
        <f>TEST_DATA!D9684</f>
        <v>NIL</v>
      </c>
      <c r="E9684">
        <f>TEST_DATA!E9684</f>
        <v>1466</v>
      </c>
    </row>
    <row r="9685" spans="1:5" x14ac:dyDescent="0.55000000000000004">
      <c r="A9685" t="str">
        <f>TEST_DATA!A9685</f>
        <v>27AAAAA9685Z5</v>
      </c>
      <c r="B9685" t="str">
        <f>TEST_DATA!B9685</f>
        <v>Jul-2020</v>
      </c>
      <c r="C9685">
        <f>TEST_DATA!C9685</f>
        <v>44771</v>
      </c>
      <c r="D9685" t="str">
        <f>TEST_DATA!D9685</f>
        <v>NIL</v>
      </c>
      <c r="E9685">
        <f>TEST_DATA!E9685</f>
        <v>926</v>
      </c>
    </row>
    <row r="9686" spans="1:5" x14ac:dyDescent="0.55000000000000004">
      <c r="A9686" t="str">
        <f>TEST_DATA!A9686</f>
        <v>27AAAAA9686Z5</v>
      </c>
      <c r="B9686" t="str">
        <f>TEST_DATA!B9686</f>
        <v>Sep-2017</v>
      </c>
      <c r="C9686">
        <f>TEST_DATA!C9686</f>
        <v>43689</v>
      </c>
      <c r="D9686" t="str">
        <f>TEST_DATA!D9686</f>
        <v>NIL</v>
      </c>
      <c r="E9686">
        <f>TEST_DATA!E9686</f>
        <v>481</v>
      </c>
    </row>
    <row r="9687" spans="1:5" x14ac:dyDescent="0.55000000000000004">
      <c r="A9687" t="str">
        <f>TEST_DATA!A9687</f>
        <v>27AAAAA9687Z5</v>
      </c>
      <c r="B9687" t="str">
        <f>TEST_DATA!B9687</f>
        <v>Jul-2018</v>
      </c>
      <c r="C9687">
        <f>TEST_DATA!C9687</f>
        <v>42970</v>
      </c>
      <c r="D9687" t="str">
        <f>TEST_DATA!D9687</f>
        <v>NIL</v>
      </c>
      <c r="E9687">
        <f>TEST_DATA!E9687</f>
        <v>2712</v>
      </c>
    </row>
    <row r="9688" spans="1:5" x14ac:dyDescent="0.55000000000000004">
      <c r="A9688" t="str">
        <f>TEST_DATA!A9688</f>
        <v>27AAAAA9688Z5</v>
      </c>
      <c r="B9688" t="str">
        <f>TEST_DATA!B9688</f>
        <v>Jan-2019</v>
      </c>
      <c r="C9688">
        <f>TEST_DATA!C9688</f>
        <v>45529</v>
      </c>
      <c r="D9688" t="str">
        <f>TEST_DATA!D9688</f>
        <v>NIL</v>
      </c>
      <c r="E9688">
        <f>TEST_DATA!E9688</f>
        <v>380</v>
      </c>
    </row>
    <row r="9689" spans="1:5" x14ac:dyDescent="0.55000000000000004">
      <c r="A9689" t="str">
        <f>TEST_DATA!A9689</f>
        <v>27AAAAA9689Z5</v>
      </c>
      <c r="B9689" t="str">
        <f>TEST_DATA!B9689</f>
        <v>May-2020</v>
      </c>
      <c r="C9689">
        <f>TEST_DATA!C9689</f>
        <v>43943</v>
      </c>
      <c r="D9689" t="str">
        <f>TEST_DATA!D9689</f>
        <v>NON-NIL</v>
      </c>
      <c r="E9689">
        <f>TEST_DATA!E9689</f>
        <v>2826</v>
      </c>
    </row>
    <row r="9690" spans="1:5" x14ac:dyDescent="0.55000000000000004">
      <c r="A9690" t="str">
        <f>TEST_DATA!A9690</f>
        <v>27AAAAA9690Z5</v>
      </c>
      <c r="B9690" t="str">
        <f>TEST_DATA!B9690</f>
        <v>Mar-2021</v>
      </c>
      <c r="C9690">
        <f>TEST_DATA!C9690</f>
        <v>45266</v>
      </c>
      <c r="D9690" t="str">
        <f>TEST_DATA!D9690</f>
        <v>NIL</v>
      </c>
      <c r="E9690">
        <f>TEST_DATA!E9690</f>
        <v>769</v>
      </c>
    </row>
    <row r="9691" spans="1:5" x14ac:dyDescent="0.55000000000000004">
      <c r="A9691" t="str">
        <f>TEST_DATA!A9691</f>
        <v>27AAAAA9691Z5</v>
      </c>
      <c r="B9691" t="str">
        <f>TEST_DATA!B9691</f>
        <v>Mar-2021</v>
      </c>
      <c r="C9691">
        <f>TEST_DATA!C9691</f>
        <v>45814</v>
      </c>
      <c r="D9691" t="str">
        <f>TEST_DATA!D9691</f>
        <v>NON-NIL</v>
      </c>
      <c r="E9691">
        <f>TEST_DATA!E9691</f>
        <v>842</v>
      </c>
    </row>
    <row r="9692" spans="1:5" x14ac:dyDescent="0.55000000000000004">
      <c r="A9692" t="str">
        <f>TEST_DATA!A9692</f>
        <v>27AAAAA9692Z5</v>
      </c>
      <c r="B9692" t="str">
        <f>TEST_DATA!B9692</f>
        <v>Aug-2017</v>
      </c>
      <c r="C9692">
        <f>TEST_DATA!C9692</f>
        <v>43786</v>
      </c>
      <c r="D9692" t="str">
        <f>TEST_DATA!D9692</f>
        <v>NON-NIL</v>
      </c>
      <c r="E9692">
        <f>TEST_DATA!E9692</f>
        <v>1890</v>
      </c>
    </row>
    <row r="9693" spans="1:5" x14ac:dyDescent="0.55000000000000004">
      <c r="A9693" t="str">
        <f>TEST_DATA!A9693</f>
        <v>27AAAAA9693Z5</v>
      </c>
      <c r="B9693" t="str">
        <f>TEST_DATA!B9693</f>
        <v>Jul-2017</v>
      </c>
      <c r="C9693">
        <f>TEST_DATA!C9693</f>
        <v>42944</v>
      </c>
      <c r="D9693" t="str">
        <f>TEST_DATA!D9693</f>
        <v>NON-NIL</v>
      </c>
      <c r="E9693">
        <f>TEST_DATA!E9693</f>
        <v>2432</v>
      </c>
    </row>
    <row r="9694" spans="1:5" x14ac:dyDescent="0.55000000000000004">
      <c r="A9694" t="str">
        <f>TEST_DATA!A9694</f>
        <v>27AAAAA9694Z5</v>
      </c>
      <c r="B9694" t="str">
        <f>TEST_DATA!B9694</f>
        <v>Apr-2020</v>
      </c>
      <c r="C9694">
        <f>TEST_DATA!C9694</f>
        <v>44406</v>
      </c>
      <c r="D9694" t="str">
        <f>TEST_DATA!D9694</f>
        <v>NON-NIL</v>
      </c>
      <c r="E9694">
        <f>TEST_DATA!E9694</f>
        <v>2446</v>
      </c>
    </row>
    <row r="9695" spans="1:5" x14ac:dyDescent="0.55000000000000004">
      <c r="A9695" t="str">
        <f>TEST_DATA!A9695</f>
        <v>27AAAAA9695Z5</v>
      </c>
      <c r="B9695" t="str">
        <f>TEST_DATA!B9695</f>
        <v>Mar-2023</v>
      </c>
      <c r="C9695">
        <f>TEST_DATA!C9695</f>
        <v>45091</v>
      </c>
      <c r="D9695" t="str">
        <f>TEST_DATA!D9695</f>
        <v>NON-NIL</v>
      </c>
      <c r="E9695">
        <f>TEST_DATA!E9695</f>
        <v>2811</v>
      </c>
    </row>
    <row r="9696" spans="1:5" x14ac:dyDescent="0.55000000000000004">
      <c r="A9696" t="str">
        <f>TEST_DATA!A9696</f>
        <v>27AAAAA9696Z5</v>
      </c>
      <c r="B9696" t="str">
        <f>TEST_DATA!B9696</f>
        <v>Apr-2020</v>
      </c>
      <c r="C9696">
        <f>TEST_DATA!C9696</f>
        <v>44333</v>
      </c>
      <c r="D9696" t="str">
        <f>TEST_DATA!D9696</f>
        <v>NIL</v>
      </c>
      <c r="E9696">
        <f>TEST_DATA!E9696</f>
        <v>1015</v>
      </c>
    </row>
    <row r="9697" spans="1:5" x14ac:dyDescent="0.55000000000000004">
      <c r="A9697" t="str">
        <f>TEST_DATA!A9697</f>
        <v>27AAAAA9697Z5</v>
      </c>
      <c r="B9697" t="str">
        <f>TEST_DATA!B9697</f>
        <v>Jan-2018</v>
      </c>
      <c r="C9697">
        <f>TEST_DATA!C9697</f>
        <v>44330</v>
      </c>
      <c r="D9697" t="str">
        <f>TEST_DATA!D9697</f>
        <v>NON-NIL</v>
      </c>
      <c r="E9697">
        <f>TEST_DATA!E9697</f>
        <v>242</v>
      </c>
    </row>
    <row r="9698" spans="1:5" x14ac:dyDescent="0.55000000000000004">
      <c r="A9698" t="str">
        <f>TEST_DATA!A9698</f>
        <v>27AAAAA9698Z5</v>
      </c>
      <c r="B9698" t="str">
        <f>TEST_DATA!B9698</f>
        <v>Jul-2017</v>
      </c>
      <c r="C9698">
        <f>TEST_DATA!C9698</f>
        <v>43926</v>
      </c>
      <c r="D9698" t="str">
        <f>TEST_DATA!D9698</f>
        <v>NIL</v>
      </c>
      <c r="E9698">
        <f>TEST_DATA!E9698</f>
        <v>2790</v>
      </c>
    </row>
    <row r="9699" spans="1:5" x14ac:dyDescent="0.55000000000000004">
      <c r="A9699" t="str">
        <f>TEST_DATA!A9699</f>
        <v>27AAAAA9699Z5</v>
      </c>
      <c r="B9699" t="str">
        <f>TEST_DATA!B9699</f>
        <v>May-2018</v>
      </c>
      <c r="C9699">
        <f>TEST_DATA!C9699</f>
        <v>43987</v>
      </c>
      <c r="D9699" t="str">
        <f>TEST_DATA!D9699</f>
        <v>NIL</v>
      </c>
      <c r="E9699">
        <f>TEST_DATA!E9699</f>
        <v>108</v>
      </c>
    </row>
    <row r="9700" spans="1:5" x14ac:dyDescent="0.55000000000000004">
      <c r="A9700" t="str">
        <f>TEST_DATA!A9700</f>
        <v>27AAAAA9700Z5</v>
      </c>
      <c r="B9700" t="str">
        <f>TEST_DATA!B9700</f>
        <v>Mar-2020</v>
      </c>
      <c r="C9700">
        <f>TEST_DATA!C9700</f>
        <v>44845</v>
      </c>
      <c r="D9700" t="str">
        <f>TEST_DATA!D9700</f>
        <v>NIL</v>
      </c>
      <c r="E9700">
        <f>TEST_DATA!E9700</f>
        <v>1123</v>
      </c>
    </row>
    <row r="9701" spans="1:5" x14ac:dyDescent="0.55000000000000004">
      <c r="A9701" t="str">
        <f>TEST_DATA!A9701</f>
        <v>27AAAAA9701Z5</v>
      </c>
      <c r="B9701" t="str">
        <f>TEST_DATA!B9701</f>
        <v>May-2020</v>
      </c>
      <c r="C9701">
        <f>TEST_DATA!C9701</f>
        <v>43930</v>
      </c>
      <c r="D9701" t="str">
        <f>TEST_DATA!D9701</f>
        <v>NON-NIL</v>
      </c>
      <c r="E9701">
        <f>TEST_DATA!E9701</f>
        <v>810</v>
      </c>
    </row>
    <row r="9702" spans="1:5" x14ac:dyDescent="0.55000000000000004">
      <c r="A9702" t="str">
        <f>TEST_DATA!A9702</f>
        <v>27AAAAA9702Z5</v>
      </c>
      <c r="B9702" t="str">
        <f>TEST_DATA!B9702</f>
        <v>Feb-2018</v>
      </c>
      <c r="C9702">
        <f>TEST_DATA!C9702</f>
        <v>43290</v>
      </c>
      <c r="D9702" t="str">
        <f>TEST_DATA!D9702</f>
        <v>NIL</v>
      </c>
      <c r="E9702">
        <f>TEST_DATA!E9702</f>
        <v>1221</v>
      </c>
    </row>
    <row r="9703" spans="1:5" x14ac:dyDescent="0.55000000000000004">
      <c r="A9703" t="str">
        <f>TEST_DATA!A9703</f>
        <v>27AAAAA9703Z5</v>
      </c>
      <c r="B9703" t="str">
        <f>TEST_DATA!B9703</f>
        <v>Jan-2018</v>
      </c>
      <c r="C9703">
        <f>TEST_DATA!C9703</f>
        <v>42979</v>
      </c>
      <c r="D9703" t="str">
        <f>TEST_DATA!D9703</f>
        <v>NON-NIL</v>
      </c>
      <c r="E9703">
        <f>TEST_DATA!E9703</f>
        <v>1382</v>
      </c>
    </row>
    <row r="9704" spans="1:5" x14ac:dyDescent="0.55000000000000004">
      <c r="A9704" t="str">
        <f>TEST_DATA!A9704</f>
        <v>27AAAAA9704Z5</v>
      </c>
      <c r="B9704" t="str">
        <f>TEST_DATA!B9704</f>
        <v>Dec-2024</v>
      </c>
      <c r="C9704">
        <f>TEST_DATA!C9704</f>
        <v>45655</v>
      </c>
      <c r="D9704" t="str">
        <f>TEST_DATA!D9704</f>
        <v>NON-NIL</v>
      </c>
      <c r="E9704">
        <f>TEST_DATA!E9704</f>
        <v>1200</v>
      </c>
    </row>
    <row r="9705" spans="1:5" x14ac:dyDescent="0.55000000000000004">
      <c r="A9705" t="str">
        <f>TEST_DATA!A9705</f>
        <v>27AAAAA9705Z5</v>
      </c>
      <c r="B9705" t="str">
        <f>TEST_DATA!B9705</f>
        <v>Apr-2018</v>
      </c>
      <c r="C9705">
        <f>TEST_DATA!C9705</f>
        <v>44342</v>
      </c>
      <c r="D9705" t="str">
        <f>TEST_DATA!D9705</f>
        <v>NIL</v>
      </c>
      <c r="E9705">
        <f>TEST_DATA!E9705</f>
        <v>2552</v>
      </c>
    </row>
    <row r="9706" spans="1:5" x14ac:dyDescent="0.55000000000000004">
      <c r="A9706" t="str">
        <f>TEST_DATA!A9706</f>
        <v>27AAAAA9706Z5</v>
      </c>
      <c r="B9706" t="str">
        <f>TEST_DATA!B9706</f>
        <v>Dec-2024</v>
      </c>
      <c r="C9706">
        <f>TEST_DATA!C9706</f>
        <v>44166</v>
      </c>
      <c r="D9706" t="str">
        <f>TEST_DATA!D9706</f>
        <v>NIL</v>
      </c>
      <c r="E9706">
        <f>TEST_DATA!E9706</f>
        <v>1917</v>
      </c>
    </row>
    <row r="9707" spans="1:5" x14ac:dyDescent="0.55000000000000004">
      <c r="A9707" t="str">
        <f>TEST_DATA!A9707</f>
        <v>27AAAAA9707Z5</v>
      </c>
      <c r="B9707" t="str">
        <f>TEST_DATA!B9707</f>
        <v>May-2018</v>
      </c>
      <c r="C9707">
        <f>TEST_DATA!C9707</f>
        <v>44145</v>
      </c>
      <c r="D9707" t="str">
        <f>TEST_DATA!D9707</f>
        <v>NIL</v>
      </c>
      <c r="E9707">
        <f>TEST_DATA!E9707</f>
        <v>2366</v>
      </c>
    </row>
    <row r="9708" spans="1:5" x14ac:dyDescent="0.55000000000000004">
      <c r="A9708" t="str">
        <f>TEST_DATA!A9708</f>
        <v>27AAAAA9708Z5</v>
      </c>
      <c r="B9708" t="str">
        <f>TEST_DATA!B9708</f>
        <v>Jan-2019</v>
      </c>
      <c r="C9708">
        <f>TEST_DATA!C9708</f>
        <v>44229</v>
      </c>
      <c r="D9708" t="str">
        <f>TEST_DATA!D9708</f>
        <v>NIL</v>
      </c>
      <c r="E9708">
        <f>TEST_DATA!E9708</f>
        <v>2148</v>
      </c>
    </row>
    <row r="9709" spans="1:5" x14ac:dyDescent="0.55000000000000004">
      <c r="A9709" t="str">
        <f>TEST_DATA!A9709</f>
        <v>27AAAAA9709Z5</v>
      </c>
      <c r="B9709" t="str">
        <f>TEST_DATA!B9709</f>
        <v>Mar-2023</v>
      </c>
      <c r="C9709">
        <f>TEST_DATA!C9709</f>
        <v>44797</v>
      </c>
      <c r="D9709" t="str">
        <f>TEST_DATA!D9709</f>
        <v>NIL</v>
      </c>
      <c r="E9709">
        <f>TEST_DATA!E9709</f>
        <v>2809</v>
      </c>
    </row>
    <row r="9710" spans="1:5" x14ac:dyDescent="0.55000000000000004">
      <c r="A9710" t="str">
        <f>TEST_DATA!A9710</f>
        <v>27AAAAA9710Z5</v>
      </c>
      <c r="B9710" t="str">
        <f>TEST_DATA!B9710</f>
        <v>Jun-2018</v>
      </c>
      <c r="C9710">
        <f>TEST_DATA!C9710</f>
        <v>44044</v>
      </c>
      <c r="D9710" t="str">
        <f>TEST_DATA!D9710</f>
        <v>NON-NIL</v>
      </c>
      <c r="E9710">
        <f>TEST_DATA!E9710</f>
        <v>1123</v>
      </c>
    </row>
    <row r="9711" spans="1:5" x14ac:dyDescent="0.55000000000000004">
      <c r="A9711" t="str">
        <f>TEST_DATA!A9711</f>
        <v>27AAAAA9711Z5</v>
      </c>
      <c r="B9711" t="str">
        <f>TEST_DATA!B9711</f>
        <v>Jun-2018</v>
      </c>
      <c r="C9711">
        <f>TEST_DATA!C9711</f>
        <v>43564</v>
      </c>
      <c r="D9711" t="str">
        <f>TEST_DATA!D9711</f>
        <v>NIL</v>
      </c>
      <c r="E9711">
        <f>TEST_DATA!E9711</f>
        <v>866</v>
      </c>
    </row>
    <row r="9712" spans="1:5" x14ac:dyDescent="0.55000000000000004">
      <c r="A9712" t="str">
        <f>TEST_DATA!A9712</f>
        <v>27AAAAA9712Z5</v>
      </c>
      <c r="B9712" t="str">
        <f>TEST_DATA!B9712</f>
        <v>Apr-2020</v>
      </c>
      <c r="C9712">
        <f>TEST_DATA!C9712</f>
        <v>44065</v>
      </c>
      <c r="D9712" t="str">
        <f>TEST_DATA!D9712</f>
        <v>NON-NIL</v>
      </c>
      <c r="E9712">
        <f>TEST_DATA!E9712</f>
        <v>98</v>
      </c>
    </row>
    <row r="9713" spans="1:5" x14ac:dyDescent="0.55000000000000004">
      <c r="A9713" t="str">
        <f>TEST_DATA!A9713</f>
        <v>27AAAAA9713Z5</v>
      </c>
      <c r="B9713" t="str">
        <f>TEST_DATA!B9713</f>
        <v>Jan-2018</v>
      </c>
      <c r="C9713">
        <f>TEST_DATA!C9713</f>
        <v>43553</v>
      </c>
      <c r="D9713" t="str">
        <f>TEST_DATA!D9713</f>
        <v>NIL</v>
      </c>
      <c r="E9713">
        <f>TEST_DATA!E9713</f>
        <v>963</v>
      </c>
    </row>
    <row r="9714" spans="1:5" x14ac:dyDescent="0.55000000000000004">
      <c r="A9714" t="str">
        <f>TEST_DATA!A9714</f>
        <v>27AAAAA9714Z5</v>
      </c>
      <c r="B9714" t="str">
        <f>TEST_DATA!B9714</f>
        <v>Aug-2018</v>
      </c>
      <c r="C9714">
        <f>TEST_DATA!C9714</f>
        <v>43932</v>
      </c>
      <c r="D9714" t="str">
        <f>TEST_DATA!D9714</f>
        <v>NIL</v>
      </c>
      <c r="E9714">
        <f>TEST_DATA!E9714</f>
        <v>2243</v>
      </c>
    </row>
    <row r="9715" spans="1:5" x14ac:dyDescent="0.55000000000000004">
      <c r="A9715" t="str">
        <f>TEST_DATA!A9715</f>
        <v>27AAAAA9715Z5</v>
      </c>
      <c r="B9715" t="str">
        <f>TEST_DATA!B9715</f>
        <v>Jul-2020</v>
      </c>
      <c r="C9715">
        <f>TEST_DATA!C9715</f>
        <v>44832</v>
      </c>
      <c r="D9715" t="str">
        <f>TEST_DATA!D9715</f>
        <v>NIL</v>
      </c>
      <c r="E9715">
        <f>TEST_DATA!E9715</f>
        <v>1623</v>
      </c>
    </row>
    <row r="9716" spans="1:5" x14ac:dyDescent="0.55000000000000004">
      <c r="A9716" t="str">
        <f>TEST_DATA!A9716</f>
        <v>27AAAAA9716Z5</v>
      </c>
      <c r="B9716" t="str">
        <f>TEST_DATA!B9716</f>
        <v>Dec-2024</v>
      </c>
      <c r="C9716">
        <f>TEST_DATA!C9716</f>
        <v>45770</v>
      </c>
      <c r="D9716" t="str">
        <f>TEST_DATA!D9716</f>
        <v>NIL</v>
      </c>
      <c r="E9716">
        <f>TEST_DATA!E9716</f>
        <v>595</v>
      </c>
    </row>
    <row r="9717" spans="1:5" x14ac:dyDescent="0.55000000000000004">
      <c r="A9717" t="str">
        <f>TEST_DATA!A9717</f>
        <v>27AAAAA9717Z5</v>
      </c>
      <c r="B9717" t="str">
        <f>TEST_DATA!B9717</f>
        <v>Feb-2018</v>
      </c>
      <c r="C9717">
        <f>TEST_DATA!C9717</f>
        <v>44006</v>
      </c>
      <c r="D9717" t="str">
        <f>TEST_DATA!D9717</f>
        <v>NIL</v>
      </c>
      <c r="E9717">
        <f>TEST_DATA!E9717</f>
        <v>133</v>
      </c>
    </row>
    <row r="9718" spans="1:5" x14ac:dyDescent="0.55000000000000004">
      <c r="A9718" t="str">
        <f>TEST_DATA!A9718</f>
        <v>27AAAAA9718Z5</v>
      </c>
      <c r="B9718" t="str">
        <f>TEST_DATA!B9718</f>
        <v>Mar-2018</v>
      </c>
      <c r="C9718">
        <f>TEST_DATA!C9718</f>
        <v>44340</v>
      </c>
      <c r="D9718" t="str">
        <f>TEST_DATA!D9718</f>
        <v>NIL</v>
      </c>
      <c r="E9718">
        <f>TEST_DATA!E9718</f>
        <v>1684</v>
      </c>
    </row>
    <row r="9719" spans="1:5" x14ac:dyDescent="0.55000000000000004">
      <c r="A9719" t="str">
        <f>TEST_DATA!A9719</f>
        <v>27AAAAA9719Z5</v>
      </c>
      <c r="B9719" t="str">
        <f>TEST_DATA!B9719</f>
        <v>Mar-2018</v>
      </c>
      <c r="C9719">
        <f>TEST_DATA!C9719</f>
        <v>43816</v>
      </c>
      <c r="D9719" t="str">
        <f>TEST_DATA!D9719</f>
        <v>NON-NIL</v>
      </c>
      <c r="E9719">
        <f>TEST_DATA!E9719</f>
        <v>2125</v>
      </c>
    </row>
    <row r="9720" spans="1:5" x14ac:dyDescent="0.55000000000000004">
      <c r="A9720" t="str">
        <f>TEST_DATA!A9720</f>
        <v>27AAAAA9720Z5</v>
      </c>
      <c r="B9720" t="str">
        <f>TEST_DATA!B9720</f>
        <v>Apr-2018</v>
      </c>
      <c r="C9720">
        <f>TEST_DATA!C9720</f>
        <v>43763</v>
      </c>
      <c r="D9720" t="str">
        <f>TEST_DATA!D9720</f>
        <v>NON-NIL</v>
      </c>
      <c r="E9720">
        <f>TEST_DATA!E9720</f>
        <v>1120</v>
      </c>
    </row>
    <row r="9721" spans="1:5" x14ac:dyDescent="0.55000000000000004">
      <c r="A9721" t="str">
        <f>TEST_DATA!A9721</f>
        <v>27AAAAA9721Z5</v>
      </c>
      <c r="B9721" t="str">
        <f>TEST_DATA!B9721</f>
        <v>Jun-2019</v>
      </c>
      <c r="C9721">
        <f>TEST_DATA!C9721</f>
        <v>45230</v>
      </c>
      <c r="D9721" t="str">
        <f>TEST_DATA!D9721</f>
        <v>NON-NIL</v>
      </c>
      <c r="E9721">
        <f>TEST_DATA!E9721</f>
        <v>2915</v>
      </c>
    </row>
    <row r="9722" spans="1:5" x14ac:dyDescent="0.55000000000000004">
      <c r="A9722" t="str">
        <f>TEST_DATA!A9722</f>
        <v>27AAAAA9722Z5</v>
      </c>
      <c r="B9722" t="str">
        <f>TEST_DATA!B9722</f>
        <v>Mar-2018</v>
      </c>
      <c r="C9722">
        <f>TEST_DATA!C9722</f>
        <v>43118</v>
      </c>
      <c r="D9722" t="str">
        <f>TEST_DATA!D9722</f>
        <v>NON-NIL</v>
      </c>
      <c r="E9722">
        <f>TEST_DATA!E9722</f>
        <v>945</v>
      </c>
    </row>
    <row r="9723" spans="1:5" x14ac:dyDescent="0.55000000000000004">
      <c r="A9723" t="str">
        <f>TEST_DATA!A9723</f>
        <v>27AAAAA9723Z5</v>
      </c>
      <c r="B9723" t="str">
        <f>TEST_DATA!B9723</f>
        <v>Jan-2019</v>
      </c>
      <c r="C9723">
        <f>TEST_DATA!C9723</f>
        <v>43827</v>
      </c>
      <c r="D9723" t="str">
        <f>TEST_DATA!D9723</f>
        <v>NIL</v>
      </c>
      <c r="E9723">
        <f>TEST_DATA!E9723</f>
        <v>158</v>
      </c>
    </row>
    <row r="9724" spans="1:5" x14ac:dyDescent="0.55000000000000004">
      <c r="A9724" t="str">
        <f>TEST_DATA!A9724</f>
        <v>27AAAAA9724Z5</v>
      </c>
      <c r="B9724" t="str">
        <f>TEST_DATA!B9724</f>
        <v>Jul-2018</v>
      </c>
      <c r="C9724">
        <f>TEST_DATA!C9724</f>
        <v>43383</v>
      </c>
      <c r="D9724" t="str">
        <f>TEST_DATA!D9724</f>
        <v>NIL</v>
      </c>
      <c r="E9724">
        <f>TEST_DATA!E9724</f>
        <v>1873</v>
      </c>
    </row>
    <row r="9725" spans="1:5" x14ac:dyDescent="0.55000000000000004">
      <c r="A9725" t="str">
        <f>TEST_DATA!A9725</f>
        <v>27AAAAA9725Z5</v>
      </c>
      <c r="B9725" t="str">
        <f>TEST_DATA!B9725</f>
        <v>May-2018</v>
      </c>
      <c r="C9725">
        <f>TEST_DATA!C9725</f>
        <v>43623</v>
      </c>
      <c r="D9725" t="str">
        <f>TEST_DATA!D9725</f>
        <v>NIL</v>
      </c>
      <c r="E9725">
        <f>TEST_DATA!E9725</f>
        <v>2355</v>
      </c>
    </row>
    <row r="9726" spans="1:5" x14ac:dyDescent="0.55000000000000004">
      <c r="A9726" t="str">
        <f>TEST_DATA!A9726</f>
        <v>27AAAAA9726Z5</v>
      </c>
      <c r="B9726" t="str">
        <f>TEST_DATA!B9726</f>
        <v>Sep-2018</v>
      </c>
      <c r="C9726">
        <f>TEST_DATA!C9726</f>
        <v>43901</v>
      </c>
      <c r="D9726" t="str">
        <f>TEST_DATA!D9726</f>
        <v>NON-NIL</v>
      </c>
      <c r="E9726">
        <f>TEST_DATA!E9726</f>
        <v>152</v>
      </c>
    </row>
    <row r="9727" spans="1:5" x14ac:dyDescent="0.55000000000000004">
      <c r="A9727" t="str">
        <f>TEST_DATA!A9727</f>
        <v>27AAAAA9727Z5</v>
      </c>
      <c r="B9727" t="str">
        <f>TEST_DATA!B9727</f>
        <v>Oct-2017</v>
      </c>
      <c r="C9727">
        <f>TEST_DATA!C9727</f>
        <v>43449</v>
      </c>
      <c r="D9727" t="str">
        <f>TEST_DATA!D9727</f>
        <v>NON-NIL</v>
      </c>
      <c r="E9727">
        <f>TEST_DATA!E9727</f>
        <v>2102</v>
      </c>
    </row>
    <row r="9728" spans="1:5" x14ac:dyDescent="0.55000000000000004">
      <c r="A9728" t="str">
        <f>TEST_DATA!A9728</f>
        <v>27AAAAA9728Z5</v>
      </c>
      <c r="B9728" t="str">
        <f>TEST_DATA!B9728</f>
        <v>Apr-2018</v>
      </c>
      <c r="C9728">
        <f>TEST_DATA!C9728</f>
        <v>42926</v>
      </c>
      <c r="D9728" t="str">
        <f>TEST_DATA!D9728</f>
        <v>NIL</v>
      </c>
      <c r="E9728">
        <f>TEST_DATA!E9728</f>
        <v>454</v>
      </c>
    </row>
    <row r="9729" spans="1:5" x14ac:dyDescent="0.55000000000000004">
      <c r="A9729" t="str">
        <f>TEST_DATA!A9729</f>
        <v>27AAAAA9729Z5</v>
      </c>
      <c r="B9729" t="str">
        <f>TEST_DATA!B9729</f>
        <v>Jan-2021</v>
      </c>
      <c r="C9729">
        <f>TEST_DATA!C9729</f>
        <v>44569</v>
      </c>
      <c r="D9729" t="str">
        <f>TEST_DATA!D9729</f>
        <v>NON-NIL</v>
      </c>
      <c r="E9729">
        <f>TEST_DATA!E9729</f>
        <v>325</v>
      </c>
    </row>
    <row r="9730" spans="1:5" x14ac:dyDescent="0.55000000000000004">
      <c r="A9730" t="str">
        <f>TEST_DATA!A9730</f>
        <v>27AAAAA9730Z5</v>
      </c>
      <c r="B9730" t="str">
        <f>TEST_DATA!B9730</f>
        <v>Jun-2018</v>
      </c>
      <c r="C9730">
        <f>TEST_DATA!C9730</f>
        <v>43816</v>
      </c>
      <c r="D9730" t="str">
        <f>TEST_DATA!D9730</f>
        <v>NIL</v>
      </c>
      <c r="E9730">
        <f>TEST_DATA!E9730</f>
        <v>2228</v>
      </c>
    </row>
    <row r="9731" spans="1:5" x14ac:dyDescent="0.55000000000000004">
      <c r="A9731" t="str">
        <f>TEST_DATA!A9731</f>
        <v>27AAAAA9731Z5</v>
      </c>
      <c r="B9731" t="str">
        <f>TEST_DATA!B9731</f>
        <v>Oct-2017</v>
      </c>
      <c r="C9731">
        <f>TEST_DATA!C9731</f>
        <v>44364</v>
      </c>
      <c r="D9731" t="str">
        <f>TEST_DATA!D9731</f>
        <v>NON-NIL</v>
      </c>
      <c r="E9731">
        <f>TEST_DATA!E9731</f>
        <v>2913</v>
      </c>
    </row>
    <row r="9732" spans="1:5" x14ac:dyDescent="0.55000000000000004">
      <c r="A9732" t="str">
        <f>TEST_DATA!A9732</f>
        <v>27AAAAA9732Z5</v>
      </c>
      <c r="B9732" t="str">
        <f>TEST_DATA!B9732</f>
        <v>Jan-2018</v>
      </c>
      <c r="C9732">
        <f>TEST_DATA!C9732</f>
        <v>44356</v>
      </c>
      <c r="D9732" t="str">
        <f>TEST_DATA!D9732</f>
        <v>NON-NIL</v>
      </c>
      <c r="E9732">
        <f>TEST_DATA!E9732</f>
        <v>280</v>
      </c>
    </row>
    <row r="9733" spans="1:5" x14ac:dyDescent="0.55000000000000004">
      <c r="A9733" t="str">
        <f>TEST_DATA!A9733</f>
        <v>27AAAAA9733Z5</v>
      </c>
      <c r="B9733" t="str">
        <f>TEST_DATA!B9733</f>
        <v>Sep-2017</v>
      </c>
      <c r="C9733">
        <f>TEST_DATA!C9733</f>
        <v>43765</v>
      </c>
      <c r="D9733" t="str">
        <f>TEST_DATA!D9733</f>
        <v>NON-NIL</v>
      </c>
      <c r="E9733">
        <f>TEST_DATA!E9733</f>
        <v>484</v>
      </c>
    </row>
    <row r="9734" spans="1:5" x14ac:dyDescent="0.55000000000000004">
      <c r="A9734" t="str">
        <f>TEST_DATA!A9734</f>
        <v>27AAAAA9734Z5</v>
      </c>
      <c r="B9734" t="str">
        <f>TEST_DATA!B9734</f>
        <v>Oct-2017</v>
      </c>
      <c r="C9734">
        <f>TEST_DATA!C9734</f>
        <v>43545</v>
      </c>
      <c r="D9734" t="str">
        <f>TEST_DATA!D9734</f>
        <v>NON-NIL</v>
      </c>
      <c r="E9734">
        <f>TEST_DATA!E9734</f>
        <v>127</v>
      </c>
    </row>
    <row r="9735" spans="1:5" x14ac:dyDescent="0.55000000000000004">
      <c r="A9735" t="str">
        <f>TEST_DATA!A9735</f>
        <v>27AAAAA9735Z5</v>
      </c>
      <c r="B9735" t="str">
        <f>TEST_DATA!B9735</f>
        <v>Mar-2023</v>
      </c>
      <c r="C9735">
        <f>TEST_DATA!C9735</f>
        <v>44278</v>
      </c>
      <c r="D9735" t="str">
        <f>TEST_DATA!D9735</f>
        <v>NON-NIL</v>
      </c>
      <c r="E9735">
        <f>TEST_DATA!E9735</f>
        <v>311</v>
      </c>
    </row>
    <row r="9736" spans="1:5" x14ac:dyDescent="0.55000000000000004">
      <c r="A9736" t="str">
        <f>TEST_DATA!A9736</f>
        <v>27AAAAA9736Z5</v>
      </c>
      <c r="B9736" t="str">
        <f>TEST_DATA!B9736</f>
        <v>Sep-2017</v>
      </c>
      <c r="C9736">
        <f>TEST_DATA!C9736</f>
        <v>43974</v>
      </c>
      <c r="D9736" t="str">
        <f>TEST_DATA!D9736</f>
        <v>NIL</v>
      </c>
      <c r="E9736">
        <f>TEST_DATA!E9736</f>
        <v>1637</v>
      </c>
    </row>
    <row r="9737" spans="1:5" x14ac:dyDescent="0.55000000000000004">
      <c r="A9737" t="str">
        <f>TEST_DATA!A9737</f>
        <v>27AAAAA9737Z5</v>
      </c>
      <c r="B9737" t="str">
        <f>TEST_DATA!B9737</f>
        <v>Jan-2021</v>
      </c>
      <c r="C9737">
        <f>TEST_DATA!C9737</f>
        <v>43556</v>
      </c>
      <c r="D9737" t="str">
        <f>TEST_DATA!D9737</f>
        <v>NON-NIL</v>
      </c>
      <c r="E9737">
        <f>TEST_DATA!E9737</f>
        <v>1399</v>
      </c>
    </row>
    <row r="9738" spans="1:5" x14ac:dyDescent="0.55000000000000004">
      <c r="A9738" t="str">
        <f>TEST_DATA!A9738</f>
        <v>27AAAAA9738Z5</v>
      </c>
      <c r="B9738" t="str">
        <f>TEST_DATA!B9738</f>
        <v>May-2018</v>
      </c>
      <c r="C9738">
        <f>TEST_DATA!C9738</f>
        <v>44369</v>
      </c>
      <c r="D9738" t="str">
        <f>TEST_DATA!D9738</f>
        <v>NON-NIL</v>
      </c>
      <c r="E9738">
        <f>TEST_DATA!E9738</f>
        <v>1552</v>
      </c>
    </row>
    <row r="9739" spans="1:5" x14ac:dyDescent="0.55000000000000004">
      <c r="A9739" t="str">
        <f>TEST_DATA!A9739</f>
        <v>27AAAAA9739Z5</v>
      </c>
      <c r="B9739" t="str">
        <f>TEST_DATA!B9739</f>
        <v>Jun-2018</v>
      </c>
      <c r="C9739">
        <f>TEST_DATA!C9739</f>
        <v>43445</v>
      </c>
      <c r="D9739" t="str">
        <f>TEST_DATA!D9739</f>
        <v>NIL</v>
      </c>
      <c r="E9739">
        <f>TEST_DATA!E9739</f>
        <v>1631</v>
      </c>
    </row>
    <row r="9740" spans="1:5" x14ac:dyDescent="0.55000000000000004">
      <c r="A9740" t="str">
        <f>TEST_DATA!A9740</f>
        <v>27AAAAA9740Z5</v>
      </c>
      <c r="B9740" t="str">
        <f>TEST_DATA!B9740</f>
        <v>Jun-2019</v>
      </c>
      <c r="C9740">
        <f>TEST_DATA!C9740</f>
        <v>44476</v>
      </c>
      <c r="D9740" t="str">
        <f>TEST_DATA!D9740</f>
        <v>NON-NIL</v>
      </c>
      <c r="E9740">
        <f>TEST_DATA!E9740</f>
        <v>2074</v>
      </c>
    </row>
    <row r="9741" spans="1:5" x14ac:dyDescent="0.55000000000000004">
      <c r="A9741" t="str">
        <f>TEST_DATA!A9741</f>
        <v>27AAAAA9741Z5</v>
      </c>
      <c r="B9741" t="str">
        <f>TEST_DATA!B9741</f>
        <v>Mar-2021</v>
      </c>
      <c r="C9741">
        <f>TEST_DATA!C9741</f>
        <v>44512</v>
      </c>
      <c r="D9741" t="str">
        <f>TEST_DATA!D9741</f>
        <v>NIL</v>
      </c>
      <c r="E9741">
        <f>TEST_DATA!E9741</f>
        <v>2047</v>
      </c>
    </row>
    <row r="9742" spans="1:5" x14ac:dyDescent="0.55000000000000004">
      <c r="A9742" t="str">
        <f>TEST_DATA!A9742</f>
        <v>27AAAAA9742Z5</v>
      </c>
      <c r="B9742" t="str">
        <f>TEST_DATA!B9742</f>
        <v>Sep-2018</v>
      </c>
      <c r="C9742">
        <f>TEST_DATA!C9742</f>
        <v>43100</v>
      </c>
      <c r="D9742" t="str">
        <f>TEST_DATA!D9742</f>
        <v>NON-NIL</v>
      </c>
      <c r="E9742">
        <f>TEST_DATA!E9742</f>
        <v>111</v>
      </c>
    </row>
    <row r="9743" spans="1:5" x14ac:dyDescent="0.55000000000000004">
      <c r="A9743" t="str">
        <f>TEST_DATA!A9743</f>
        <v>27AAAAA9743Z5</v>
      </c>
      <c r="B9743" t="str">
        <f>TEST_DATA!B9743</f>
        <v>Jan-2018</v>
      </c>
      <c r="C9743">
        <f>TEST_DATA!C9743</f>
        <v>43511</v>
      </c>
      <c r="D9743" t="str">
        <f>TEST_DATA!D9743</f>
        <v>NON-NIL</v>
      </c>
      <c r="E9743">
        <f>TEST_DATA!E9743</f>
        <v>2588</v>
      </c>
    </row>
    <row r="9744" spans="1:5" x14ac:dyDescent="0.55000000000000004">
      <c r="A9744" t="str">
        <f>TEST_DATA!A9744</f>
        <v>27AAAAA9744Z5</v>
      </c>
      <c r="B9744" t="str">
        <f>TEST_DATA!B9744</f>
        <v>Jun-2020</v>
      </c>
      <c r="C9744">
        <f>TEST_DATA!C9744</f>
        <v>44475</v>
      </c>
      <c r="D9744" t="str">
        <f>TEST_DATA!D9744</f>
        <v>NON-NIL</v>
      </c>
      <c r="E9744">
        <f>TEST_DATA!E9744</f>
        <v>1384</v>
      </c>
    </row>
    <row r="9745" spans="1:5" x14ac:dyDescent="0.55000000000000004">
      <c r="A9745" t="str">
        <f>TEST_DATA!A9745</f>
        <v>27AAAAA9745Z5</v>
      </c>
      <c r="B9745" t="str">
        <f>TEST_DATA!B9745</f>
        <v>Mar-2023</v>
      </c>
      <c r="C9745">
        <f>TEST_DATA!C9745</f>
        <v>45786</v>
      </c>
      <c r="D9745" t="str">
        <f>TEST_DATA!D9745</f>
        <v>NON-NIL</v>
      </c>
      <c r="E9745">
        <f>TEST_DATA!E9745</f>
        <v>2763</v>
      </c>
    </row>
    <row r="9746" spans="1:5" x14ac:dyDescent="0.55000000000000004">
      <c r="A9746" t="str">
        <f>TEST_DATA!A9746</f>
        <v>27AAAAA9746Z5</v>
      </c>
      <c r="B9746" t="str">
        <f>TEST_DATA!B9746</f>
        <v>Aug-2018</v>
      </c>
      <c r="C9746">
        <f>TEST_DATA!C9746</f>
        <v>44530</v>
      </c>
      <c r="D9746" t="str">
        <f>TEST_DATA!D9746</f>
        <v>NON-NIL</v>
      </c>
      <c r="E9746">
        <f>TEST_DATA!E9746</f>
        <v>117</v>
      </c>
    </row>
    <row r="9747" spans="1:5" x14ac:dyDescent="0.55000000000000004">
      <c r="A9747" t="str">
        <f>TEST_DATA!A9747</f>
        <v>27AAAAA9747Z5</v>
      </c>
      <c r="B9747" t="str">
        <f>TEST_DATA!B9747</f>
        <v>Jul-2017</v>
      </c>
      <c r="C9747">
        <f>TEST_DATA!C9747</f>
        <v>43389</v>
      </c>
      <c r="D9747" t="str">
        <f>TEST_DATA!D9747</f>
        <v>NIL</v>
      </c>
      <c r="E9747">
        <f>TEST_DATA!E9747</f>
        <v>353</v>
      </c>
    </row>
    <row r="9748" spans="1:5" x14ac:dyDescent="0.55000000000000004">
      <c r="A9748" t="str">
        <f>TEST_DATA!A9748</f>
        <v>27AAAAA9748Z5</v>
      </c>
      <c r="B9748" t="str">
        <f>TEST_DATA!B9748</f>
        <v>Sep-2017</v>
      </c>
      <c r="C9748">
        <f>TEST_DATA!C9748</f>
        <v>44147</v>
      </c>
      <c r="D9748" t="str">
        <f>TEST_DATA!D9748</f>
        <v>NON-NIL</v>
      </c>
      <c r="E9748">
        <f>TEST_DATA!E9748</f>
        <v>2635</v>
      </c>
    </row>
    <row r="9749" spans="1:5" x14ac:dyDescent="0.55000000000000004">
      <c r="A9749" t="str">
        <f>TEST_DATA!A9749</f>
        <v>27AAAAA9749Z5</v>
      </c>
      <c r="B9749" t="str">
        <f>TEST_DATA!B9749</f>
        <v>Nov-2017</v>
      </c>
      <c r="C9749">
        <f>TEST_DATA!C9749</f>
        <v>43228</v>
      </c>
      <c r="D9749" t="str">
        <f>TEST_DATA!D9749</f>
        <v>NON-NIL</v>
      </c>
      <c r="E9749">
        <f>TEST_DATA!E9749</f>
        <v>613</v>
      </c>
    </row>
    <row r="9750" spans="1:5" x14ac:dyDescent="0.55000000000000004">
      <c r="A9750" t="str">
        <f>TEST_DATA!A9750</f>
        <v>27AAAAA9750Z5</v>
      </c>
      <c r="B9750" t="str">
        <f>TEST_DATA!B9750</f>
        <v>Feb-2018</v>
      </c>
      <c r="C9750">
        <f>TEST_DATA!C9750</f>
        <v>43987</v>
      </c>
      <c r="D9750" t="str">
        <f>TEST_DATA!D9750</f>
        <v>NON-NIL</v>
      </c>
      <c r="E9750">
        <f>TEST_DATA!E9750</f>
        <v>2404</v>
      </c>
    </row>
    <row r="9751" spans="1:5" x14ac:dyDescent="0.55000000000000004">
      <c r="A9751" t="str">
        <f>TEST_DATA!A9751</f>
        <v>27AAAAA9751Z5</v>
      </c>
      <c r="B9751" t="str">
        <f>TEST_DATA!B9751</f>
        <v>Jan-2019</v>
      </c>
      <c r="C9751">
        <f>TEST_DATA!C9751</f>
        <v>44559</v>
      </c>
      <c r="D9751" t="str">
        <f>TEST_DATA!D9751</f>
        <v>NIL</v>
      </c>
      <c r="E9751">
        <f>TEST_DATA!E9751</f>
        <v>2828</v>
      </c>
    </row>
    <row r="9752" spans="1:5" x14ac:dyDescent="0.55000000000000004">
      <c r="A9752" t="str">
        <f>TEST_DATA!A9752</f>
        <v>27AAAAA9752Z5</v>
      </c>
      <c r="B9752" t="str">
        <f>TEST_DATA!B9752</f>
        <v>Oct-2017</v>
      </c>
      <c r="C9752">
        <f>TEST_DATA!C9752</f>
        <v>44251</v>
      </c>
      <c r="D9752" t="str">
        <f>TEST_DATA!D9752</f>
        <v>NON-NIL</v>
      </c>
      <c r="E9752">
        <f>TEST_DATA!E9752</f>
        <v>850</v>
      </c>
    </row>
    <row r="9753" spans="1:5" x14ac:dyDescent="0.55000000000000004">
      <c r="A9753" t="str">
        <f>TEST_DATA!A9753</f>
        <v>27AAAAA9753Z5</v>
      </c>
      <c r="B9753" t="str">
        <f>TEST_DATA!B9753</f>
        <v>Jul-2018</v>
      </c>
      <c r="C9753">
        <f>TEST_DATA!C9753</f>
        <v>44550</v>
      </c>
      <c r="D9753" t="str">
        <f>TEST_DATA!D9753</f>
        <v>NIL</v>
      </c>
      <c r="E9753">
        <f>TEST_DATA!E9753</f>
        <v>2191</v>
      </c>
    </row>
    <row r="9754" spans="1:5" x14ac:dyDescent="0.55000000000000004">
      <c r="A9754" t="str">
        <f>TEST_DATA!A9754</f>
        <v>27AAAAA9754Z5</v>
      </c>
      <c r="B9754" t="str">
        <f>TEST_DATA!B9754</f>
        <v>Jun-2018</v>
      </c>
      <c r="C9754">
        <f>TEST_DATA!C9754</f>
        <v>44264</v>
      </c>
      <c r="D9754" t="str">
        <f>TEST_DATA!D9754</f>
        <v>NIL</v>
      </c>
      <c r="E9754">
        <f>TEST_DATA!E9754</f>
        <v>2379</v>
      </c>
    </row>
    <row r="9755" spans="1:5" x14ac:dyDescent="0.55000000000000004">
      <c r="A9755" t="str">
        <f>TEST_DATA!A9755</f>
        <v>27AAAAA9755Z5</v>
      </c>
      <c r="B9755" t="str">
        <f>TEST_DATA!B9755</f>
        <v>May-2018</v>
      </c>
      <c r="C9755">
        <f>TEST_DATA!C9755</f>
        <v>44307</v>
      </c>
      <c r="D9755" t="str">
        <f>TEST_DATA!D9755</f>
        <v>NON-NIL</v>
      </c>
      <c r="E9755">
        <f>TEST_DATA!E9755</f>
        <v>87</v>
      </c>
    </row>
    <row r="9756" spans="1:5" x14ac:dyDescent="0.55000000000000004">
      <c r="A9756" t="str">
        <f>TEST_DATA!A9756</f>
        <v>27AAAAA9756Z5</v>
      </c>
      <c r="B9756" t="str">
        <f>TEST_DATA!B9756</f>
        <v>Apr-2021</v>
      </c>
      <c r="C9756">
        <f>TEST_DATA!C9756</f>
        <v>44259</v>
      </c>
      <c r="D9756" t="str">
        <f>TEST_DATA!D9756</f>
        <v>NON-NIL</v>
      </c>
      <c r="E9756">
        <f>TEST_DATA!E9756</f>
        <v>120</v>
      </c>
    </row>
    <row r="9757" spans="1:5" x14ac:dyDescent="0.55000000000000004">
      <c r="A9757" t="str">
        <f>TEST_DATA!A9757</f>
        <v>27AAAAA9757Z5</v>
      </c>
      <c r="B9757" t="str">
        <f>TEST_DATA!B9757</f>
        <v>Mar-2021</v>
      </c>
      <c r="C9757">
        <f>TEST_DATA!C9757</f>
        <v>45815</v>
      </c>
      <c r="D9757" t="str">
        <f>TEST_DATA!D9757</f>
        <v>NIL</v>
      </c>
      <c r="E9757">
        <f>TEST_DATA!E9757</f>
        <v>1664</v>
      </c>
    </row>
    <row r="9758" spans="1:5" x14ac:dyDescent="0.55000000000000004">
      <c r="A9758" t="str">
        <f>TEST_DATA!A9758</f>
        <v>27AAAAA9758Z5</v>
      </c>
      <c r="B9758" t="str">
        <f>TEST_DATA!B9758</f>
        <v>Jun-2020</v>
      </c>
      <c r="C9758">
        <f>TEST_DATA!C9758</f>
        <v>44569</v>
      </c>
      <c r="D9758" t="str">
        <f>TEST_DATA!D9758</f>
        <v>NIL</v>
      </c>
      <c r="E9758">
        <f>TEST_DATA!E9758</f>
        <v>2226</v>
      </c>
    </row>
    <row r="9759" spans="1:5" x14ac:dyDescent="0.55000000000000004">
      <c r="A9759" t="str">
        <f>TEST_DATA!A9759</f>
        <v>27AAAAA9759Z5</v>
      </c>
      <c r="B9759" t="str">
        <f>TEST_DATA!B9759</f>
        <v>Oct-2017</v>
      </c>
      <c r="C9759">
        <f>TEST_DATA!C9759</f>
        <v>43059</v>
      </c>
      <c r="D9759" t="str">
        <f>TEST_DATA!D9759</f>
        <v>NIL</v>
      </c>
      <c r="E9759">
        <f>TEST_DATA!E9759</f>
        <v>1686</v>
      </c>
    </row>
    <row r="9760" spans="1:5" x14ac:dyDescent="0.55000000000000004">
      <c r="A9760" t="str">
        <f>TEST_DATA!A9760</f>
        <v>27AAAAA9760Z5</v>
      </c>
      <c r="B9760" t="str">
        <f>TEST_DATA!B9760</f>
        <v>Apr-2021</v>
      </c>
      <c r="C9760">
        <f>TEST_DATA!C9760</f>
        <v>44529</v>
      </c>
      <c r="D9760" t="str">
        <f>TEST_DATA!D9760</f>
        <v>NIL</v>
      </c>
      <c r="E9760">
        <f>TEST_DATA!E9760</f>
        <v>985</v>
      </c>
    </row>
    <row r="9761" spans="1:5" x14ac:dyDescent="0.55000000000000004">
      <c r="A9761" t="str">
        <f>TEST_DATA!A9761</f>
        <v>27AAAAA9761Z5</v>
      </c>
      <c r="B9761" t="str">
        <f>TEST_DATA!B9761</f>
        <v>Mar-2018</v>
      </c>
      <c r="C9761">
        <f>TEST_DATA!C9761</f>
        <v>43997</v>
      </c>
      <c r="D9761" t="str">
        <f>TEST_DATA!D9761</f>
        <v>NON-NIL</v>
      </c>
      <c r="E9761">
        <f>TEST_DATA!E9761</f>
        <v>2301</v>
      </c>
    </row>
    <row r="9762" spans="1:5" x14ac:dyDescent="0.55000000000000004">
      <c r="A9762" t="str">
        <f>TEST_DATA!A9762</f>
        <v>27AAAAA9762Z5</v>
      </c>
      <c r="B9762" t="str">
        <f>TEST_DATA!B9762</f>
        <v>Mar-2018</v>
      </c>
      <c r="C9762">
        <f>TEST_DATA!C9762</f>
        <v>43303</v>
      </c>
      <c r="D9762" t="str">
        <f>TEST_DATA!D9762</f>
        <v>NON-NIL</v>
      </c>
      <c r="E9762">
        <f>TEST_DATA!E9762</f>
        <v>1898</v>
      </c>
    </row>
    <row r="9763" spans="1:5" x14ac:dyDescent="0.55000000000000004">
      <c r="A9763" t="str">
        <f>TEST_DATA!A9763</f>
        <v>27AAAAA9763Z5</v>
      </c>
      <c r="B9763" t="str">
        <f>TEST_DATA!B9763</f>
        <v>Aug-2017</v>
      </c>
      <c r="C9763">
        <f>TEST_DATA!C9763</f>
        <v>42948</v>
      </c>
      <c r="D9763" t="str">
        <f>TEST_DATA!D9763</f>
        <v>NON-NIL</v>
      </c>
      <c r="E9763">
        <f>TEST_DATA!E9763</f>
        <v>707</v>
      </c>
    </row>
    <row r="9764" spans="1:5" x14ac:dyDescent="0.55000000000000004">
      <c r="A9764" t="str">
        <f>TEST_DATA!A9764</f>
        <v>27AAAAA9764Z5</v>
      </c>
      <c r="B9764" t="str">
        <f>TEST_DATA!B9764</f>
        <v>Apr-2021</v>
      </c>
      <c r="C9764">
        <f>TEST_DATA!C9764</f>
        <v>45460</v>
      </c>
      <c r="D9764" t="str">
        <f>TEST_DATA!D9764</f>
        <v>NON-NIL</v>
      </c>
      <c r="E9764">
        <f>TEST_DATA!E9764</f>
        <v>2918</v>
      </c>
    </row>
    <row r="9765" spans="1:5" x14ac:dyDescent="0.55000000000000004">
      <c r="A9765" t="str">
        <f>TEST_DATA!A9765</f>
        <v>27AAAAA9765Z5</v>
      </c>
      <c r="B9765" t="str">
        <f>TEST_DATA!B9765</f>
        <v>Jun-2020</v>
      </c>
      <c r="C9765">
        <f>TEST_DATA!C9765</f>
        <v>44517</v>
      </c>
      <c r="D9765" t="str">
        <f>TEST_DATA!D9765</f>
        <v>NIL</v>
      </c>
      <c r="E9765">
        <f>TEST_DATA!E9765</f>
        <v>1248</v>
      </c>
    </row>
    <row r="9766" spans="1:5" x14ac:dyDescent="0.55000000000000004">
      <c r="A9766" t="str">
        <f>TEST_DATA!A9766</f>
        <v>27AAAAA9766Z5</v>
      </c>
      <c r="B9766" t="str">
        <f>TEST_DATA!B9766</f>
        <v>Apr-2021</v>
      </c>
      <c r="C9766">
        <f>TEST_DATA!C9766</f>
        <v>44208</v>
      </c>
      <c r="D9766" t="str">
        <f>TEST_DATA!D9766</f>
        <v>NON-NIL</v>
      </c>
      <c r="E9766">
        <f>TEST_DATA!E9766</f>
        <v>1044</v>
      </c>
    </row>
    <row r="9767" spans="1:5" x14ac:dyDescent="0.55000000000000004">
      <c r="A9767" t="str">
        <f>TEST_DATA!A9767</f>
        <v>27AAAAA9767Z5</v>
      </c>
      <c r="B9767" t="str">
        <f>TEST_DATA!B9767</f>
        <v>Apr-2018</v>
      </c>
      <c r="C9767">
        <f>TEST_DATA!C9767</f>
        <v>44172</v>
      </c>
      <c r="D9767" t="str">
        <f>TEST_DATA!D9767</f>
        <v>NON-NIL</v>
      </c>
      <c r="E9767">
        <f>TEST_DATA!E9767</f>
        <v>1752</v>
      </c>
    </row>
    <row r="9768" spans="1:5" x14ac:dyDescent="0.55000000000000004">
      <c r="A9768" t="str">
        <f>TEST_DATA!A9768</f>
        <v>27AAAAA9768Z5</v>
      </c>
      <c r="B9768" t="str">
        <f>TEST_DATA!B9768</f>
        <v>Mar-2020</v>
      </c>
      <c r="C9768">
        <f>TEST_DATA!C9768</f>
        <v>44505</v>
      </c>
      <c r="D9768" t="str">
        <f>TEST_DATA!D9768</f>
        <v>NON-NIL</v>
      </c>
      <c r="E9768">
        <f>TEST_DATA!E9768</f>
        <v>566</v>
      </c>
    </row>
    <row r="9769" spans="1:5" x14ac:dyDescent="0.55000000000000004">
      <c r="A9769" t="str">
        <f>TEST_DATA!A9769</f>
        <v>27AAAAA9769Z5</v>
      </c>
      <c r="B9769" t="str">
        <f>TEST_DATA!B9769</f>
        <v>Dec-2022</v>
      </c>
      <c r="C9769">
        <f>TEST_DATA!C9769</f>
        <v>43812</v>
      </c>
      <c r="D9769" t="str">
        <f>TEST_DATA!D9769</f>
        <v>NON-NIL</v>
      </c>
      <c r="E9769">
        <f>TEST_DATA!E9769</f>
        <v>2848</v>
      </c>
    </row>
    <row r="9770" spans="1:5" x14ac:dyDescent="0.55000000000000004">
      <c r="A9770" t="str">
        <f>TEST_DATA!A9770</f>
        <v>27AAAAA9770Z5</v>
      </c>
      <c r="B9770" t="str">
        <f>TEST_DATA!B9770</f>
        <v>Jul-2020</v>
      </c>
      <c r="C9770">
        <f>TEST_DATA!C9770</f>
        <v>44555</v>
      </c>
      <c r="D9770" t="str">
        <f>TEST_DATA!D9770</f>
        <v>NON-NIL</v>
      </c>
      <c r="E9770">
        <f>TEST_DATA!E9770</f>
        <v>534</v>
      </c>
    </row>
    <row r="9771" spans="1:5" x14ac:dyDescent="0.55000000000000004">
      <c r="A9771" t="str">
        <f>TEST_DATA!A9771</f>
        <v>27AAAAA9771Z5</v>
      </c>
      <c r="B9771" t="str">
        <f>TEST_DATA!B9771</f>
        <v>Jan-2019</v>
      </c>
      <c r="C9771">
        <f>TEST_DATA!C9771</f>
        <v>44870</v>
      </c>
      <c r="D9771" t="str">
        <f>TEST_DATA!D9771</f>
        <v>NIL</v>
      </c>
      <c r="E9771">
        <f>TEST_DATA!E9771</f>
        <v>2050</v>
      </c>
    </row>
    <row r="9772" spans="1:5" x14ac:dyDescent="0.55000000000000004">
      <c r="A9772" t="str">
        <f>TEST_DATA!A9772</f>
        <v>27AAAAA9772Z5</v>
      </c>
      <c r="B9772" t="str">
        <f>TEST_DATA!B9772</f>
        <v>Jul-2017</v>
      </c>
      <c r="C9772">
        <f>TEST_DATA!C9772</f>
        <v>42941</v>
      </c>
      <c r="D9772" t="str">
        <f>TEST_DATA!D9772</f>
        <v>NIL</v>
      </c>
      <c r="E9772">
        <f>TEST_DATA!E9772</f>
        <v>1699</v>
      </c>
    </row>
    <row r="9773" spans="1:5" x14ac:dyDescent="0.55000000000000004">
      <c r="A9773" t="str">
        <f>TEST_DATA!A9773</f>
        <v>27AAAAA9773Z5</v>
      </c>
      <c r="B9773" t="str">
        <f>TEST_DATA!B9773</f>
        <v>Jan-2021</v>
      </c>
      <c r="C9773">
        <f>TEST_DATA!C9773</f>
        <v>43739</v>
      </c>
      <c r="D9773" t="str">
        <f>TEST_DATA!D9773</f>
        <v>NON-NIL</v>
      </c>
      <c r="E9773">
        <f>TEST_DATA!E9773</f>
        <v>838</v>
      </c>
    </row>
    <row r="9774" spans="1:5" x14ac:dyDescent="0.55000000000000004">
      <c r="A9774" t="str">
        <f>TEST_DATA!A9774</f>
        <v>27AAAAA9774Z5</v>
      </c>
      <c r="B9774" t="str">
        <f>TEST_DATA!B9774</f>
        <v>Mar-2018</v>
      </c>
      <c r="C9774">
        <f>TEST_DATA!C9774</f>
        <v>43543</v>
      </c>
      <c r="D9774" t="str">
        <f>TEST_DATA!D9774</f>
        <v>NON-NIL</v>
      </c>
      <c r="E9774">
        <f>TEST_DATA!E9774</f>
        <v>2375</v>
      </c>
    </row>
    <row r="9775" spans="1:5" x14ac:dyDescent="0.55000000000000004">
      <c r="A9775" t="str">
        <f>TEST_DATA!A9775</f>
        <v>27AAAAA9775Z5</v>
      </c>
      <c r="B9775" t="str">
        <f>TEST_DATA!B9775</f>
        <v>Jun-2020</v>
      </c>
      <c r="C9775">
        <f>TEST_DATA!C9775</f>
        <v>44413</v>
      </c>
      <c r="D9775" t="str">
        <f>TEST_DATA!D9775</f>
        <v>NON-NIL</v>
      </c>
      <c r="E9775">
        <f>TEST_DATA!E9775</f>
        <v>2396</v>
      </c>
    </row>
    <row r="9776" spans="1:5" x14ac:dyDescent="0.55000000000000004">
      <c r="A9776" t="str">
        <f>TEST_DATA!A9776</f>
        <v>27AAAAA9776Z5</v>
      </c>
      <c r="B9776" t="str">
        <f>TEST_DATA!B9776</f>
        <v>Dec-2017</v>
      </c>
      <c r="C9776">
        <f>TEST_DATA!C9776</f>
        <v>43396</v>
      </c>
      <c r="D9776" t="str">
        <f>TEST_DATA!D9776</f>
        <v>NON-NIL</v>
      </c>
      <c r="E9776">
        <f>TEST_DATA!E9776</f>
        <v>2761</v>
      </c>
    </row>
    <row r="9777" spans="1:5" x14ac:dyDescent="0.55000000000000004">
      <c r="A9777" t="str">
        <f>TEST_DATA!A9777</f>
        <v>27AAAAA9777Z5</v>
      </c>
      <c r="B9777" t="str">
        <f>TEST_DATA!B9777</f>
        <v>Oct-2017</v>
      </c>
      <c r="C9777">
        <f>TEST_DATA!C9777</f>
        <v>43755</v>
      </c>
      <c r="D9777" t="str">
        <f>TEST_DATA!D9777</f>
        <v>NIL</v>
      </c>
      <c r="E9777">
        <f>TEST_DATA!E9777</f>
        <v>2256</v>
      </c>
    </row>
    <row r="9778" spans="1:5" x14ac:dyDescent="0.55000000000000004">
      <c r="A9778" t="str">
        <f>TEST_DATA!A9778</f>
        <v>27AAAAA9778Z5</v>
      </c>
      <c r="B9778" t="str">
        <f>TEST_DATA!B9778</f>
        <v>Feb-2018</v>
      </c>
      <c r="C9778">
        <f>TEST_DATA!C9778</f>
        <v>43249</v>
      </c>
      <c r="D9778" t="str">
        <f>TEST_DATA!D9778</f>
        <v>NON-NIL</v>
      </c>
      <c r="E9778">
        <f>TEST_DATA!E9778</f>
        <v>1140</v>
      </c>
    </row>
    <row r="9779" spans="1:5" x14ac:dyDescent="0.55000000000000004">
      <c r="A9779" t="str">
        <f>TEST_DATA!A9779</f>
        <v>27AAAAA9779Z5</v>
      </c>
      <c r="B9779" t="str">
        <f>TEST_DATA!B9779</f>
        <v>Jan-2021</v>
      </c>
      <c r="C9779">
        <f>TEST_DATA!C9779</f>
        <v>45572</v>
      </c>
      <c r="D9779" t="str">
        <f>TEST_DATA!D9779</f>
        <v>NON-NIL</v>
      </c>
      <c r="E9779">
        <f>TEST_DATA!E9779</f>
        <v>2942</v>
      </c>
    </row>
    <row r="9780" spans="1:5" x14ac:dyDescent="0.55000000000000004">
      <c r="A9780" t="str">
        <f>TEST_DATA!A9780</f>
        <v>27AAAAA9780Z5</v>
      </c>
      <c r="B9780" t="str">
        <f>TEST_DATA!B9780</f>
        <v>Sep-2017</v>
      </c>
      <c r="C9780">
        <f>TEST_DATA!C9780</f>
        <v>44323</v>
      </c>
      <c r="D9780" t="str">
        <f>TEST_DATA!D9780</f>
        <v>NIL</v>
      </c>
      <c r="E9780">
        <f>TEST_DATA!E9780</f>
        <v>217</v>
      </c>
    </row>
    <row r="9781" spans="1:5" x14ac:dyDescent="0.55000000000000004">
      <c r="A9781" t="str">
        <f>TEST_DATA!A9781</f>
        <v>27AAAAA9781Z5</v>
      </c>
      <c r="B9781" t="str">
        <f>TEST_DATA!B9781</f>
        <v>Sep-2017</v>
      </c>
      <c r="C9781">
        <f>TEST_DATA!C9781</f>
        <v>43828</v>
      </c>
      <c r="D9781" t="str">
        <f>TEST_DATA!D9781</f>
        <v>NIL</v>
      </c>
      <c r="E9781">
        <f>TEST_DATA!E9781</f>
        <v>1905</v>
      </c>
    </row>
    <row r="9782" spans="1:5" x14ac:dyDescent="0.55000000000000004">
      <c r="A9782" t="str">
        <f>TEST_DATA!A9782</f>
        <v>27AAAAA9782Z5</v>
      </c>
      <c r="B9782" t="str">
        <f>TEST_DATA!B9782</f>
        <v>Dec-2019</v>
      </c>
      <c r="C9782">
        <f>TEST_DATA!C9782</f>
        <v>43889</v>
      </c>
      <c r="D9782" t="str">
        <f>TEST_DATA!D9782</f>
        <v>NIL</v>
      </c>
      <c r="E9782">
        <f>TEST_DATA!E9782</f>
        <v>2797</v>
      </c>
    </row>
    <row r="9783" spans="1:5" x14ac:dyDescent="0.55000000000000004">
      <c r="A9783" t="str">
        <f>TEST_DATA!A9783</f>
        <v>27AAAAA9783Z5</v>
      </c>
      <c r="B9783" t="str">
        <f>TEST_DATA!B9783</f>
        <v>Jul-2020</v>
      </c>
      <c r="C9783">
        <f>TEST_DATA!C9783</f>
        <v>44412</v>
      </c>
      <c r="D9783" t="str">
        <f>TEST_DATA!D9783</f>
        <v>NON-NIL</v>
      </c>
      <c r="E9783">
        <f>TEST_DATA!E9783</f>
        <v>1836</v>
      </c>
    </row>
    <row r="9784" spans="1:5" x14ac:dyDescent="0.55000000000000004">
      <c r="A9784" t="str">
        <f>TEST_DATA!A9784</f>
        <v>27AAAAA9784Z5</v>
      </c>
      <c r="B9784" t="str">
        <f>TEST_DATA!B9784</f>
        <v>Jul-2018</v>
      </c>
      <c r="C9784">
        <f>TEST_DATA!C9784</f>
        <v>43070</v>
      </c>
      <c r="D9784" t="str">
        <f>TEST_DATA!D9784</f>
        <v>NIL</v>
      </c>
      <c r="E9784">
        <f>TEST_DATA!E9784</f>
        <v>167</v>
      </c>
    </row>
    <row r="9785" spans="1:5" x14ac:dyDescent="0.55000000000000004">
      <c r="A9785" t="str">
        <f>TEST_DATA!A9785</f>
        <v>27AAAAA9785Z5</v>
      </c>
      <c r="B9785" t="str">
        <f>TEST_DATA!B9785</f>
        <v>Mar-2023</v>
      </c>
      <c r="C9785">
        <f>TEST_DATA!C9785</f>
        <v>44574</v>
      </c>
      <c r="D9785" t="str">
        <f>TEST_DATA!D9785</f>
        <v>NON-NIL</v>
      </c>
      <c r="E9785">
        <f>TEST_DATA!E9785</f>
        <v>2291</v>
      </c>
    </row>
    <row r="9786" spans="1:5" x14ac:dyDescent="0.55000000000000004">
      <c r="A9786" t="str">
        <f>TEST_DATA!A9786</f>
        <v>27AAAAA9786Z5</v>
      </c>
      <c r="B9786" t="str">
        <f>TEST_DATA!B9786</f>
        <v>Apr-2018</v>
      </c>
      <c r="C9786">
        <f>TEST_DATA!C9786</f>
        <v>43101</v>
      </c>
      <c r="D9786" t="str">
        <f>TEST_DATA!D9786</f>
        <v>NON-NIL</v>
      </c>
      <c r="E9786">
        <f>TEST_DATA!E9786</f>
        <v>711</v>
      </c>
    </row>
    <row r="9787" spans="1:5" x14ac:dyDescent="0.55000000000000004">
      <c r="A9787" t="str">
        <f>TEST_DATA!A9787</f>
        <v>27AAAAA9787Z5</v>
      </c>
      <c r="B9787" t="str">
        <f>TEST_DATA!B9787</f>
        <v>May-2020</v>
      </c>
      <c r="C9787">
        <f>TEST_DATA!C9787</f>
        <v>44333</v>
      </c>
      <c r="D9787" t="str">
        <f>TEST_DATA!D9787</f>
        <v>NON-NIL</v>
      </c>
      <c r="E9787">
        <f>TEST_DATA!E9787</f>
        <v>2923</v>
      </c>
    </row>
    <row r="9788" spans="1:5" x14ac:dyDescent="0.55000000000000004">
      <c r="A9788" t="str">
        <f>TEST_DATA!A9788</f>
        <v>27AAAAA9788Z5</v>
      </c>
      <c r="B9788" t="str">
        <f>TEST_DATA!B9788</f>
        <v>Jun-2018</v>
      </c>
      <c r="C9788">
        <f>TEST_DATA!C9788</f>
        <v>44501</v>
      </c>
      <c r="D9788" t="str">
        <f>TEST_DATA!D9788</f>
        <v>NIL</v>
      </c>
      <c r="E9788">
        <f>TEST_DATA!E9788</f>
        <v>2219</v>
      </c>
    </row>
    <row r="9789" spans="1:5" x14ac:dyDescent="0.55000000000000004">
      <c r="A9789" t="str">
        <f>TEST_DATA!A9789</f>
        <v>27AAAAA9789Z5</v>
      </c>
      <c r="B9789" t="str">
        <f>TEST_DATA!B9789</f>
        <v>Jan-2018</v>
      </c>
      <c r="C9789">
        <f>TEST_DATA!C9789</f>
        <v>44227</v>
      </c>
      <c r="D9789" t="str">
        <f>TEST_DATA!D9789</f>
        <v>NIL</v>
      </c>
      <c r="E9789">
        <f>TEST_DATA!E9789</f>
        <v>1979</v>
      </c>
    </row>
    <row r="9790" spans="1:5" x14ac:dyDescent="0.55000000000000004">
      <c r="A9790" t="str">
        <f>TEST_DATA!A9790</f>
        <v>27AAAAA9790Z5</v>
      </c>
      <c r="B9790" t="str">
        <f>TEST_DATA!B9790</f>
        <v>Dec-2017</v>
      </c>
      <c r="C9790">
        <f>TEST_DATA!C9790</f>
        <v>44298</v>
      </c>
      <c r="D9790" t="str">
        <f>TEST_DATA!D9790</f>
        <v>NON-NIL</v>
      </c>
      <c r="E9790">
        <f>TEST_DATA!E9790</f>
        <v>2920</v>
      </c>
    </row>
    <row r="9791" spans="1:5" x14ac:dyDescent="0.55000000000000004">
      <c r="A9791" t="str">
        <f>TEST_DATA!A9791</f>
        <v>27AAAAA9791Z5</v>
      </c>
      <c r="B9791" t="str">
        <f>TEST_DATA!B9791</f>
        <v>Jun-2018</v>
      </c>
      <c r="C9791">
        <f>TEST_DATA!C9791</f>
        <v>43747</v>
      </c>
      <c r="D9791" t="str">
        <f>TEST_DATA!D9791</f>
        <v>NON-NIL</v>
      </c>
      <c r="E9791">
        <f>TEST_DATA!E9791</f>
        <v>2350</v>
      </c>
    </row>
    <row r="9792" spans="1:5" x14ac:dyDescent="0.55000000000000004">
      <c r="A9792" t="str">
        <f>TEST_DATA!A9792</f>
        <v>27AAAAA9792Z5</v>
      </c>
      <c r="B9792" t="str">
        <f>TEST_DATA!B9792</f>
        <v>Dec-2019</v>
      </c>
      <c r="C9792">
        <f>TEST_DATA!C9792</f>
        <v>43976</v>
      </c>
      <c r="D9792" t="str">
        <f>TEST_DATA!D9792</f>
        <v>NIL</v>
      </c>
      <c r="E9792">
        <f>TEST_DATA!E9792</f>
        <v>197</v>
      </c>
    </row>
    <row r="9793" spans="1:5" x14ac:dyDescent="0.55000000000000004">
      <c r="A9793" t="str">
        <f>TEST_DATA!A9793</f>
        <v>27AAAAA9793Z5</v>
      </c>
      <c r="B9793" t="str">
        <f>TEST_DATA!B9793</f>
        <v>Nov-2017</v>
      </c>
      <c r="C9793">
        <f>TEST_DATA!C9793</f>
        <v>43766</v>
      </c>
      <c r="D9793" t="str">
        <f>TEST_DATA!D9793</f>
        <v>NON-NIL</v>
      </c>
      <c r="E9793">
        <f>TEST_DATA!E9793</f>
        <v>1549</v>
      </c>
    </row>
    <row r="9794" spans="1:5" x14ac:dyDescent="0.55000000000000004">
      <c r="A9794" t="str">
        <f>TEST_DATA!A9794</f>
        <v>27AAAAA9794Z5</v>
      </c>
      <c r="B9794" t="str">
        <f>TEST_DATA!B9794</f>
        <v>Mar-2018</v>
      </c>
      <c r="C9794">
        <f>TEST_DATA!C9794</f>
        <v>44222</v>
      </c>
      <c r="D9794" t="str">
        <f>TEST_DATA!D9794</f>
        <v>NON-NIL</v>
      </c>
      <c r="E9794">
        <f>TEST_DATA!E9794</f>
        <v>2912</v>
      </c>
    </row>
    <row r="9795" spans="1:5" x14ac:dyDescent="0.55000000000000004">
      <c r="A9795" t="str">
        <f>TEST_DATA!A9795</f>
        <v>27AAAAA9795Z5</v>
      </c>
      <c r="B9795" t="str">
        <f>TEST_DATA!B9795</f>
        <v>Jan-2019</v>
      </c>
      <c r="C9795">
        <f>TEST_DATA!C9795</f>
        <v>43858</v>
      </c>
      <c r="D9795" t="str">
        <f>TEST_DATA!D9795</f>
        <v>NIL</v>
      </c>
      <c r="E9795">
        <f>TEST_DATA!E9795</f>
        <v>1399</v>
      </c>
    </row>
    <row r="9796" spans="1:5" x14ac:dyDescent="0.55000000000000004">
      <c r="A9796" t="str">
        <f>TEST_DATA!A9796</f>
        <v>27AAAAA9796Z5</v>
      </c>
      <c r="B9796" t="str">
        <f>TEST_DATA!B9796</f>
        <v>Jun-2019</v>
      </c>
      <c r="C9796">
        <f>TEST_DATA!C9796</f>
        <v>45761</v>
      </c>
      <c r="D9796" t="str">
        <f>TEST_DATA!D9796</f>
        <v>NIL</v>
      </c>
      <c r="E9796">
        <f>TEST_DATA!E9796</f>
        <v>2985</v>
      </c>
    </row>
    <row r="9797" spans="1:5" x14ac:dyDescent="0.55000000000000004">
      <c r="A9797" t="str">
        <f>TEST_DATA!A9797</f>
        <v>27AAAAA9797Z5</v>
      </c>
      <c r="B9797" t="str">
        <f>TEST_DATA!B9797</f>
        <v>Jan-2021</v>
      </c>
      <c r="C9797">
        <f>TEST_DATA!C9797</f>
        <v>43731</v>
      </c>
      <c r="D9797" t="str">
        <f>TEST_DATA!D9797</f>
        <v>NON-NIL</v>
      </c>
      <c r="E9797">
        <f>TEST_DATA!E9797</f>
        <v>153</v>
      </c>
    </row>
    <row r="9798" spans="1:5" x14ac:dyDescent="0.55000000000000004">
      <c r="A9798" t="str">
        <f>TEST_DATA!A9798</f>
        <v>27AAAAA9798Z5</v>
      </c>
      <c r="B9798" t="str">
        <f>TEST_DATA!B9798</f>
        <v>Jun-2020</v>
      </c>
      <c r="C9798">
        <f>TEST_DATA!C9798</f>
        <v>44899</v>
      </c>
      <c r="D9798" t="str">
        <f>TEST_DATA!D9798</f>
        <v>NON-NIL</v>
      </c>
      <c r="E9798">
        <f>TEST_DATA!E9798</f>
        <v>298</v>
      </c>
    </row>
    <row r="9799" spans="1:5" x14ac:dyDescent="0.55000000000000004">
      <c r="A9799" t="str">
        <f>TEST_DATA!A9799</f>
        <v>27AAAAA9799Z5</v>
      </c>
      <c r="B9799" t="str">
        <f>TEST_DATA!B9799</f>
        <v>Jan-2021</v>
      </c>
      <c r="C9799">
        <f>TEST_DATA!C9799</f>
        <v>43474</v>
      </c>
      <c r="D9799" t="str">
        <f>TEST_DATA!D9799</f>
        <v>NON-NIL</v>
      </c>
      <c r="E9799">
        <f>TEST_DATA!E9799</f>
        <v>2980</v>
      </c>
    </row>
    <row r="9800" spans="1:5" x14ac:dyDescent="0.55000000000000004">
      <c r="A9800" t="str">
        <f>TEST_DATA!A9800</f>
        <v>27AAAAA9800Z5</v>
      </c>
      <c r="B9800" t="str">
        <f>TEST_DATA!B9800</f>
        <v>Mar-2020</v>
      </c>
      <c r="C9800">
        <f>TEST_DATA!C9800</f>
        <v>44078</v>
      </c>
      <c r="D9800" t="str">
        <f>TEST_DATA!D9800</f>
        <v>NIL</v>
      </c>
      <c r="E9800">
        <f>TEST_DATA!E9800</f>
        <v>1706</v>
      </c>
    </row>
    <row r="9801" spans="1:5" x14ac:dyDescent="0.55000000000000004">
      <c r="A9801" t="str">
        <f>TEST_DATA!A9801</f>
        <v>27AAAAA9801Z5</v>
      </c>
      <c r="B9801" t="str">
        <f>TEST_DATA!B9801</f>
        <v>Oct-2017</v>
      </c>
      <c r="C9801">
        <f>TEST_DATA!C9801</f>
        <v>43072</v>
      </c>
      <c r="D9801" t="str">
        <f>TEST_DATA!D9801</f>
        <v>NON-NIL</v>
      </c>
      <c r="E9801">
        <f>TEST_DATA!E9801</f>
        <v>1643</v>
      </c>
    </row>
    <row r="9802" spans="1:5" x14ac:dyDescent="0.55000000000000004">
      <c r="A9802" t="str">
        <f>TEST_DATA!A9802</f>
        <v>27AAAAA9802Z5</v>
      </c>
      <c r="B9802" t="str">
        <f>TEST_DATA!B9802</f>
        <v>Mar-2018</v>
      </c>
      <c r="C9802">
        <f>TEST_DATA!C9802</f>
        <v>43438</v>
      </c>
      <c r="D9802" t="str">
        <f>TEST_DATA!D9802</f>
        <v>NON-NIL</v>
      </c>
      <c r="E9802">
        <f>TEST_DATA!E9802</f>
        <v>2918</v>
      </c>
    </row>
    <row r="9803" spans="1:5" x14ac:dyDescent="0.55000000000000004">
      <c r="A9803" t="str">
        <f>TEST_DATA!A9803</f>
        <v>27AAAAA9803Z5</v>
      </c>
      <c r="B9803" t="str">
        <f>TEST_DATA!B9803</f>
        <v>May-2020</v>
      </c>
      <c r="C9803">
        <f>TEST_DATA!C9803</f>
        <v>43998</v>
      </c>
      <c r="D9803" t="str">
        <f>TEST_DATA!D9803</f>
        <v>NIL</v>
      </c>
      <c r="E9803">
        <f>TEST_DATA!E9803</f>
        <v>2386</v>
      </c>
    </row>
    <row r="9804" spans="1:5" x14ac:dyDescent="0.55000000000000004">
      <c r="A9804" t="str">
        <f>TEST_DATA!A9804</f>
        <v>27AAAAA9804Z5</v>
      </c>
      <c r="B9804" t="str">
        <f>TEST_DATA!B9804</f>
        <v>Mar-2023</v>
      </c>
      <c r="C9804">
        <f>TEST_DATA!C9804</f>
        <v>45533</v>
      </c>
      <c r="D9804" t="str">
        <f>TEST_DATA!D9804</f>
        <v>NIL</v>
      </c>
      <c r="E9804">
        <f>TEST_DATA!E9804</f>
        <v>247</v>
      </c>
    </row>
    <row r="9805" spans="1:5" x14ac:dyDescent="0.55000000000000004">
      <c r="A9805" t="str">
        <f>TEST_DATA!A9805</f>
        <v>27AAAAA9805Z5</v>
      </c>
      <c r="B9805" t="str">
        <f>TEST_DATA!B9805</f>
        <v>Mar-2021</v>
      </c>
      <c r="C9805">
        <f>TEST_DATA!C9805</f>
        <v>45827</v>
      </c>
      <c r="D9805" t="str">
        <f>TEST_DATA!D9805</f>
        <v>NON-NIL</v>
      </c>
      <c r="E9805">
        <f>TEST_DATA!E9805</f>
        <v>1487</v>
      </c>
    </row>
    <row r="9806" spans="1:5" x14ac:dyDescent="0.55000000000000004">
      <c r="A9806" t="str">
        <f>TEST_DATA!A9806</f>
        <v>27AAAAA9806Z5</v>
      </c>
      <c r="B9806" t="str">
        <f>TEST_DATA!B9806</f>
        <v>Apr-2021</v>
      </c>
      <c r="C9806">
        <f>TEST_DATA!C9806</f>
        <v>44708</v>
      </c>
      <c r="D9806" t="str">
        <f>TEST_DATA!D9806</f>
        <v>NIL</v>
      </c>
      <c r="E9806">
        <f>TEST_DATA!E9806</f>
        <v>2996</v>
      </c>
    </row>
    <row r="9807" spans="1:5" x14ac:dyDescent="0.55000000000000004">
      <c r="A9807" t="str">
        <f>TEST_DATA!A9807</f>
        <v>27AAAAA9807Z5</v>
      </c>
      <c r="B9807" t="str">
        <f>TEST_DATA!B9807</f>
        <v>Mar-2021</v>
      </c>
      <c r="C9807">
        <f>TEST_DATA!C9807</f>
        <v>44702</v>
      </c>
      <c r="D9807" t="str">
        <f>TEST_DATA!D9807</f>
        <v>NON-NIL</v>
      </c>
      <c r="E9807">
        <f>TEST_DATA!E9807</f>
        <v>871</v>
      </c>
    </row>
    <row r="9808" spans="1:5" x14ac:dyDescent="0.55000000000000004">
      <c r="A9808" t="str">
        <f>TEST_DATA!A9808</f>
        <v>27AAAAA9808Z5</v>
      </c>
      <c r="B9808" t="str">
        <f>TEST_DATA!B9808</f>
        <v>Jan-2021</v>
      </c>
      <c r="C9808">
        <f>TEST_DATA!C9808</f>
        <v>45580</v>
      </c>
      <c r="D9808" t="str">
        <f>TEST_DATA!D9808</f>
        <v>NON-NIL</v>
      </c>
      <c r="E9808">
        <f>TEST_DATA!E9808</f>
        <v>2909</v>
      </c>
    </row>
    <row r="9809" spans="1:5" x14ac:dyDescent="0.55000000000000004">
      <c r="A9809" t="str">
        <f>TEST_DATA!A9809</f>
        <v>27AAAAA9809Z5</v>
      </c>
      <c r="B9809" t="str">
        <f>TEST_DATA!B9809</f>
        <v>Dec-2017</v>
      </c>
      <c r="C9809">
        <f>TEST_DATA!C9809</f>
        <v>43410</v>
      </c>
      <c r="D9809" t="str">
        <f>TEST_DATA!D9809</f>
        <v>NON-NIL</v>
      </c>
      <c r="E9809">
        <f>TEST_DATA!E9809</f>
        <v>2955</v>
      </c>
    </row>
    <row r="9810" spans="1:5" x14ac:dyDescent="0.55000000000000004">
      <c r="A9810" t="str">
        <f>TEST_DATA!A9810</f>
        <v>27AAAAA9810Z5</v>
      </c>
      <c r="B9810" t="str">
        <f>TEST_DATA!B9810</f>
        <v>Jun-2020</v>
      </c>
      <c r="C9810">
        <f>TEST_DATA!C9810</f>
        <v>44819</v>
      </c>
      <c r="D9810" t="str">
        <f>TEST_DATA!D9810</f>
        <v>NON-NIL</v>
      </c>
      <c r="E9810">
        <f>TEST_DATA!E9810</f>
        <v>2291</v>
      </c>
    </row>
    <row r="9811" spans="1:5" x14ac:dyDescent="0.55000000000000004">
      <c r="A9811" t="str">
        <f>TEST_DATA!A9811</f>
        <v>27AAAAA9811Z5</v>
      </c>
      <c r="B9811" t="str">
        <f>TEST_DATA!B9811</f>
        <v>Jun-2020</v>
      </c>
      <c r="C9811">
        <f>TEST_DATA!C9811</f>
        <v>44845</v>
      </c>
      <c r="D9811" t="str">
        <f>TEST_DATA!D9811</f>
        <v>NON-NIL</v>
      </c>
      <c r="E9811">
        <f>TEST_DATA!E9811</f>
        <v>19</v>
      </c>
    </row>
    <row r="9812" spans="1:5" x14ac:dyDescent="0.55000000000000004">
      <c r="A9812" t="str">
        <f>TEST_DATA!A9812</f>
        <v>27AAAAA9812Z5</v>
      </c>
      <c r="B9812" t="str">
        <f>TEST_DATA!B9812</f>
        <v>Aug-2017</v>
      </c>
      <c r="C9812">
        <f>TEST_DATA!C9812</f>
        <v>43877</v>
      </c>
      <c r="D9812" t="str">
        <f>TEST_DATA!D9812</f>
        <v>NIL</v>
      </c>
      <c r="E9812">
        <f>TEST_DATA!E9812</f>
        <v>2590</v>
      </c>
    </row>
    <row r="9813" spans="1:5" x14ac:dyDescent="0.55000000000000004">
      <c r="A9813" t="str">
        <f>TEST_DATA!A9813</f>
        <v>27AAAAA9813Z5</v>
      </c>
      <c r="B9813" t="str">
        <f>TEST_DATA!B9813</f>
        <v>Nov-2017</v>
      </c>
      <c r="C9813">
        <f>TEST_DATA!C9813</f>
        <v>43614</v>
      </c>
      <c r="D9813" t="str">
        <f>TEST_DATA!D9813</f>
        <v>NIL</v>
      </c>
      <c r="E9813">
        <f>TEST_DATA!E9813</f>
        <v>706</v>
      </c>
    </row>
    <row r="9814" spans="1:5" x14ac:dyDescent="0.55000000000000004">
      <c r="A9814" t="str">
        <f>TEST_DATA!A9814</f>
        <v>27AAAAA9814Z5</v>
      </c>
      <c r="B9814" t="str">
        <f>TEST_DATA!B9814</f>
        <v>May-2018</v>
      </c>
      <c r="C9814">
        <f>TEST_DATA!C9814</f>
        <v>43111</v>
      </c>
      <c r="D9814" t="str">
        <f>TEST_DATA!D9814</f>
        <v>NIL</v>
      </c>
      <c r="E9814">
        <f>TEST_DATA!E9814</f>
        <v>354</v>
      </c>
    </row>
    <row r="9815" spans="1:5" x14ac:dyDescent="0.55000000000000004">
      <c r="A9815" t="str">
        <f>TEST_DATA!A9815</f>
        <v>27AAAAA9815Z5</v>
      </c>
      <c r="B9815" t="str">
        <f>TEST_DATA!B9815</f>
        <v>Mar-2021</v>
      </c>
      <c r="C9815">
        <f>TEST_DATA!C9815</f>
        <v>45738</v>
      </c>
      <c r="D9815" t="str">
        <f>TEST_DATA!D9815</f>
        <v>NIL</v>
      </c>
      <c r="E9815">
        <f>TEST_DATA!E9815</f>
        <v>2255</v>
      </c>
    </row>
    <row r="9816" spans="1:5" x14ac:dyDescent="0.55000000000000004">
      <c r="A9816" t="str">
        <f>TEST_DATA!A9816</f>
        <v>27AAAAA9816Z5</v>
      </c>
      <c r="B9816" t="str">
        <f>TEST_DATA!B9816</f>
        <v>Dec-2017</v>
      </c>
      <c r="C9816">
        <f>TEST_DATA!C9816</f>
        <v>44463</v>
      </c>
      <c r="D9816" t="str">
        <f>TEST_DATA!D9816</f>
        <v>NIL</v>
      </c>
      <c r="E9816">
        <f>TEST_DATA!E9816</f>
        <v>1663</v>
      </c>
    </row>
    <row r="9817" spans="1:5" x14ac:dyDescent="0.55000000000000004">
      <c r="A9817" t="str">
        <f>TEST_DATA!A9817</f>
        <v>27AAAAA9817Z5</v>
      </c>
      <c r="B9817" t="str">
        <f>TEST_DATA!B9817</f>
        <v>Jan-2019</v>
      </c>
      <c r="C9817">
        <f>TEST_DATA!C9817</f>
        <v>45807</v>
      </c>
      <c r="D9817" t="str">
        <f>TEST_DATA!D9817</f>
        <v>NIL</v>
      </c>
      <c r="E9817">
        <f>TEST_DATA!E9817</f>
        <v>2517</v>
      </c>
    </row>
    <row r="9818" spans="1:5" x14ac:dyDescent="0.55000000000000004">
      <c r="A9818" t="str">
        <f>TEST_DATA!A9818</f>
        <v>27AAAAA9818Z5</v>
      </c>
      <c r="B9818" t="str">
        <f>TEST_DATA!B9818</f>
        <v>Aug-2018</v>
      </c>
      <c r="C9818">
        <f>TEST_DATA!C9818</f>
        <v>44280</v>
      </c>
      <c r="D9818" t="str">
        <f>TEST_DATA!D9818</f>
        <v>NON-NIL</v>
      </c>
      <c r="E9818">
        <f>TEST_DATA!E9818</f>
        <v>1687</v>
      </c>
    </row>
    <row r="9819" spans="1:5" x14ac:dyDescent="0.55000000000000004">
      <c r="A9819" t="str">
        <f>TEST_DATA!A9819</f>
        <v>27AAAAA9819Z5</v>
      </c>
      <c r="B9819" t="str">
        <f>TEST_DATA!B9819</f>
        <v>Jan-2021</v>
      </c>
      <c r="C9819">
        <f>TEST_DATA!C9819</f>
        <v>43545</v>
      </c>
      <c r="D9819" t="str">
        <f>TEST_DATA!D9819</f>
        <v>NIL</v>
      </c>
      <c r="E9819">
        <f>TEST_DATA!E9819</f>
        <v>2216</v>
      </c>
    </row>
    <row r="9820" spans="1:5" x14ac:dyDescent="0.55000000000000004">
      <c r="A9820" t="str">
        <f>TEST_DATA!A9820</f>
        <v>27AAAAA9820Z5</v>
      </c>
      <c r="B9820" t="str">
        <f>TEST_DATA!B9820</f>
        <v>Aug-2018</v>
      </c>
      <c r="C9820">
        <f>TEST_DATA!C9820</f>
        <v>43655</v>
      </c>
      <c r="D9820" t="str">
        <f>TEST_DATA!D9820</f>
        <v>NIL</v>
      </c>
      <c r="E9820">
        <f>TEST_DATA!E9820</f>
        <v>2249</v>
      </c>
    </row>
    <row r="9821" spans="1:5" x14ac:dyDescent="0.55000000000000004">
      <c r="A9821" t="str">
        <f>TEST_DATA!A9821</f>
        <v>27AAAAA9821Z5</v>
      </c>
      <c r="B9821" t="str">
        <f>TEST_DATA!B9821</f>
        <v>Jan-2018</v>
      </c>
      <c r="C9821">
        <f>TEST_DATA!C9821</f>
        <v>44086</v>
      </c>
      <c r="D9821" t="str">
        <f>TEST_DATA!D9821</f>
        <v>NON-NIL</v>
      </c>
      <c r="E9821">
        <f>TEST_DATA!E9821</f>
        <v>1881</v>
      </c>
    </row>
    <row r="9822" spans="1:5" x14ac:dyDescent="0.55000000000000004">
      <c r="A9822" t="str">
        <f>TEST_DATA!A9822</f>
        <v>27AAAAA9822Z5</v>
      </c>
      <c r="B9822" t="str">
        <f>TEST_DATA!B9822</f>
        <v>Sep-2017</v>
      </c>
      <c r="C9822">
        <f>TEST_DATA!C9822</f>
        <v>43756</v>
      </c>
      <c r="D9822" t="str">
        <f>TEST_DATA!D9822</f>
        <v>NON-NIL</v>
      </c>
      <c r="E9822">
        <f>TEST_DATA!E9822</f>
        <v>1648</v>
      </c>
    </row>
    <row r="9823" spans="1:5" x14ac:dyDescent="0.55000000000000004">
      <c r="A9823" t="str">
        <f>TEST_DATA!A9823</f>
        <v>27AAAAA9823Z5</v>
      </c>
      <c r="B9823" t="str">
        <f>TEST_DATA!B9823</f>
        <v>Mar-2021</v>
      </c>
      <c r="C9823">
        <f>TEST_DATA!C9823</f>
        <v>45635</v>
      </c>
      <c r="D9823" t="str">
        <f>TEST_DATA!D9823</f>
        <v>NIL</v>
      </c>
      <c r="E9823">
        <f>TEST_DATA!E9823</f>
        <v>444</v>
      </c>
    </row>
    <row r="9824" spans="1:5" x14ac:dyDescent="0.55000000000000004">
      <c r="A9824" t="str">
        <f>TEST_DATA!A9824</f>
        <v>27AAAAA9824Z5</v>
      </c>
      <c r="B9824" t="str">
        <f>TEST_DATA!B9824</f>
        <v>Mar-2021</v>
      </c>
      <c r="C9824">
        <f>TEST_DATA!C9824</f>
        <v>43470</v>
      </c>
      <c r="D9824" t="str">
        <f>TEST_DATA!D9824</f>
        <v>NIL</v>
      </c>
      <c r="E9824">
        <f>TEST_DATA!E9824</f>
        <v>773</v>
      </c>
    </row>
    <row r="9825" spans="1:5" x14ac:dyDescent="0.55000000000000004">
      <c r="A9825" t="str">
        <f>TEST_DATA!A9825</f>
        <v>27AAAAA9825Z5</v>
      </c>
      <c r="B9825" t="str">
        <f>TEST_DATA!B9825</f>
        <v>Jun-2020</v>
      </c>
      <c r="C9825">
        <f>TEST_DATA!C9825</f>
        <v>44798</v>
      </c>
      <c r="D9825" t="str">
        <f>TEST_DATA!D9825</f>
        <v>NIL</v>
      </c>
      <c r="E9825">
        <f>TEST_DATA!E9825</f>
        <v>2431</v>
      </c>
    </row>
    <row r="9826" spans="1:5" x14ac:dyDescent="0.55000000000000004">
      <c r="A9826" t="str">
        <f>TEST_DATA!A9826</f>
        <v>27AAAAA9826Z5</v>
      </c>
      <c r="B9826" t="str">
        <f>TEST_DATA!B9826</f>
        <v>Dec-2022</v>
      </c>
      <c r="C9826">
        <f>TEST_DATA!C9826</f>
        <v>43552</v>
      </c>
      <c r="D9826" t="str">
        <f>TEST_DATA!D9826</f>
        <v>NON-NIL</v>
      </c>
      <c r="E9826">
        <f>TEST_DATA!E9826</f>
        <v>191</v>
      </c>
    </row>
    <row r="9827" spans="1:5" x14ac:dyDescent="0.55000000000000004">
      <c r="A9827" t="str">
        <f>TEST_DATA!A9827</f>
        <v>27AAAAA9827Z5</v>
      </c>
      <c r="B9827" t="str">
        <f>TEST_DATA!B9827</f>
        <v>Apr-2021</v>
      </c>
      <c r="C9827">
        <f>TEST_DATA!C9827</f>
        <v>44473</v>
      </c>
      <c r="D9827" t="str">
        <f>TEST_DATA!D9827</f>
        <v>NON-NIL</v>
      </c>
      <c r="E9827">
        <f>TEST_DATA!E9827</f>
        <v>2130</v>
      </c>
    </row>
    <row r="9828" spans="1:5" x14ac:dyDescent="0.55000000000000004">
      <c r="A9828" t="str">
        <f>TEST_DATA!A9828</f>
        <v>27AAAAA9828Z5</v>
      </c>
      <c r="B9828" t="str">
        <f>TEST_DATA!B9828</f>
        <v>Mar-2021</v>
      </c>
      <c r="C9828">
        <f>TEST_DATA!C9828</f>
        <v>43714</v>
      </c>
      <c r="D9828" t="str">
        <f>TEST_DATA!D9828</f>
        <v>NON-NIL</v>
      </c>
      <c r="E9828">
        <f>TEST_DATA!E9828</f>
        <v>2922</v>
      </c>
    </row>
    <row r="9829" spans="1:5" x14ac:dyDescent="0.55000000000000004">
      <c r="A9829" t="str">
        <f>TEST_DATA!A9829</f>
        <v>27AAAAA9829Z5</v>
      </c>
      <c r="B9829" t="str">
        <f>TEST_DATA!B9829</f>
        <v>Jul-2020</v>
      </c>
      <c r="C9829">
        <f>TEST_DATA!C9829</f>
        <v>44721</v>
      </c>
      <c r="D9829" t="str">
        <f>TEST_DATA!D9829</f>
        <v>NIL</v>
      </c>
      <c r="E9829">
        <f>TEST_DATA!E9829</f>
        <v>672</v>
      </c>
    </row>
    <row r="9830" spans="1:5" x14ac:dyDescent="0.55000000000000004">
      <c r="A9830" t="str">
        <f>TEST_DATA!A9830</f>
        <v>27AAAAA9830Z5</v>
      </c>
      <c r="B9830" t="str">
        <f>TEST_DATA!B9830</f>
        <v>Aug-2017</v>
      </c>
      <c r="C9830">
        <f>TEST_DATA!C9830</f>
        <v>43938</v>
      </c>
      <c r="D9830" t="str">
        <f>TEST_DATA!D9830</f>
        <v>NIL</v>
      </c>
      <c r="E9830">
        <f>TEST_DATA!E9830</f>
        <v>2337</v>
      </c>
    </row>
    <row r="9831" spans="1:5" x14ac:dyDescent="0.55000000000000004">
      <c r="A9831" t="str">
        <f>TEST_DATA!A9831</f>
        <v>27AAAAA9831Z5</v>
      </c>
      <c r="B9831" t="str">
        <f>TEST_DATA!B9831</f>
        <v>Dec-2024</v>
      </c>
      <c r="C9831">
        <f>TEST_DATA!C9831</f>
        <v>45574</v>
      </c>
      <c r="D9831" t="str">
        <f>TEST_DATA!D9831</f>
        <v>NIL</v>
      </c>
      <c r="E9831">
        <f>TEST_DATA!E9831</f>
        <v>1118</v>
      </c>
    </row>
    <row r="9832" spans="1:5" x14ac:dyDescent="0.55000000000000004">
      <c r="A9832" t="str">
        <f>TEST_DATA!A9832</f>
        <v>27AAAAA9832Z5</v>
      </c>
      <c r="B9832" t="str">
        <f>TEST_DATA!B9832</f>
        <v>Jun-2019</v>
      </c>
      <c r="C9832">
        <f>TEST_DATA!C9832</f>
        <v>44577</v>
      </c>
      <c r="D9832" t="str">
        <f>TEST_DATA!D9832</f>
        <v>NIL</v>
      </c>
      <c r="E9832">
        <f>TEST_DATA!E9832</f>
        <v>2754</v>
      </c>
    </row>
    <row r="9833" spans="1:5" x14ac:dyDescent="0.55000000000000004">
      <c r="A9833" t="str">
        <f>TEST_DATA!A9833</f>
        <v>27AAAAA9833Z5</v>
      </c>
      <c r="B9833" t="str">
        <f>TEST_DATA!B9833</f>
        <v>Jul-2020</v>
      </c>
      <c r="C9833">
        <f>TEST_DATA!C9833</f>
        <v>44722</v>
      </c>
      <c r="D9833" t="str">
        <f>TEST_DATA!D9833</f>
        <v>NON-NIL</v>
      </c>
      <c r="E9833">
        <f>TEST_DATA!E9833</f>
        <v>2959</v>
      </c>
    </row>
    <row r="9834" spans="1:5" x14ac:dyDescent="0.55000000000000004">
      <c r="A9834" t="str">
        <f>TEST_DATA!A9834</f>
        <v>27AAAAA9834Z5</v>
      </c>
      <c r="B9834" t="str">
        <f>TEST_DATA!B9834</f>
        <v>Apr-2018</v>
      </c>
      <c r="C9834">
        <f>TEST_DATA!C9834</f>
        <v>44024</v>
      </c>
      <c r="D9834" t="str">
        <f>TEST_DATA!D9834</f>
        <v>NON-NIL</v>
      </c>
      <c r="E9834">
        <f>TEST_DATA!E9834</f>
        <v>1676</v>
      </c>
    </row>
    <row r="9835" spans="1:5" x14ac:dyDescent="0.55000000000000004">
      <c r="A9835" t="str">
        <f>TEST_DATA!A9835</f>
        <v>27AAAAA9835Z5</v>
      </c>
      <c r="B9835" t="str">
        <f>TEST_DATA!B9835</f>
        <v>Jun-2020</v>
      </c>
      <c r="C9835">
        <f>TEST_DATA!C9835</f>
        <v>44191</v>
      </c>
      <c r="D9835" t="str">
        <f>TEST_DATA!D9835</f>
        <v>NON-NIL</v>
      </c>
      <c r="E9835">
        <f>TEST_DATA!E9835</f>
        <v>1423</v>
      </c>
    </row>
    <row r="9836" spans="1:5" x14ac:dyDescent="0.55000000000000004">
      <c r="A9836" t="str">
        <f>TEST_DATA!A9836</f>
        <v>27AAAAA9836Z5</v>
      </c>
      <c r="B9836" t="str">
        <f>TEST_DATA!B9836</f>
        <v>Aug-2017</v>
      </c>
      <c r="C9836">
        <f>TEST_DATA!C9836</f>
        <v>43889</v>
      </c>
      <c r="D9836" t="str">
        <f>TEST_DATA!D9836</f>
        <v>NON-NIL</v>
      </c>
      <c r="E9836">
        <f>TEST_DATA!E9836</f>
        <v>2757</v>
      </c>
    </row>
    <row r="9837" spans="1:5" x14ac:dyDescent="0.55000000000000004">
      <c r="A9837" t="str">
        <f>TEST_DATA!A9837</f>
        <v>27AAAAA9837Z5</v>
      </c>
      <c r="B9837" t="str">
        <f>TEST_DATA!B9837</f>
        <v>Mar-2023</v>
      </c>
      <c r="C9837">
        <f>TEST_DATA!C9837</f>
        <v>44567</v>
      </c>
      <c r="D9837" t="str">
        <f>TEST_DATA!D9837</f>
        <v>NON-NIL</v>
      </c>
      <c r="E9837">
        <f>TEST_DATA!E9837</f>
        <v>1617</v>
      </c>
    </row>
    <row r="9838" spans="1:5" x14ac:dyDescent="0.55000000000000004">
      <c r="A9838" t="str">
        <f>TEST_DATA!A9838</f>
        <v>27AAAAA9838Z5</v>
      </c>
      <c r="B9838" t="str">
        <f>TEST_DATA!B9838</f>
        <v>May-2018</v>
      </c>
      <c r="C9838">
        <f>TEST_DATA!C9838</f>
        <v>43821</v>
      </c>
      <c r="D9838" t="str">
        <f>TEST_DATA!D9838</f>
        <v>NIL</v>
      </c>
      <c r="E9838">
        <f>TEST_DATA!E9838</f>
        <v>1749</v>
      </c>
    </row>
    <row r="9839" spans="1:5" x14ac:dyDescent="0.55000000000000004">
      <c r="A9839" t="str">
        <f>TEST_DATA!A9839</f>
        <v>27AAAAA9839Z5</v>
      </c>
      <c r="B9839" t="str">
        <f>TEST_DATA!B9839</f>
        <v>Jan-2019</v>
      </c>
      <c r="C9839">
        <f>TEST_DATA!C9839</f>
        <v>45084</v>
      </c>
      <c r="D9839" t="str">
        <f>TEST_DATA!D9839</f>
        <v>NON-NIL</v>
      </c>
      <c r="E9839">
        <f>TEST_DATA!E9839</f>
        <v>2772</v>
      </c>
    </row>
    <row r="9840" spans="1:5" x14ac:dyDescent="0.55000000000000004">
      <c r="A9840" t="str">
        <f>TEST_DATA!A9840</f>
        <v>27AAAAA9840Z5</v>
      </c>
      <c r="B9840" t="str">
        <f>TEST_DATA!B9840</f>
        <v>Mar-2018</v>
      </c>
      <c r="C9840">
        <f>TEST_DATA!C9840</f>
        <v>43100</v>
      </c>
      <c r="D9840" t="str">
        <f>TEST_DATA!D9840</f>
        <v>NIL</v>
      </c>
      <c r="E9840">
        <f>TEST_DATA!E9840</f>
        <v>2056</v>
      </c>
    </row>
    <row r="9841" spans="1:5" x14ac:dyDescent="0.55000000000000004">
      <c r="A9841" t="str">
        <f>TEST_DATA!A9841</f>
        <v>27AAAAA9841Z5</v>
      </c>
      <c r="B9841" t="str">
        <f>TEST_DATA!B9841</f>
        <v>Oct-2017</v>
      </c>
      <c r="C9841">
        <f>TEST_DATA!C9841</f>
        <v>43831</v>
      </c>
      <c r="D9841" t="str">
        <f>TEST_DATA!D9841</f>
        <v>NON-NIL</v>
      </c>
      <c r="E9841">
        <f>TEST_DATA!E9841</f>
        <v>2041</v>
      </c>
    </row>
    <row r="9842" spans="1:5" x14ac:dyDescent="0.55000000000000004">
      <c r="A9842" t="str">
        <f>TEST_DATA!A9842</f>
        <v>27AAAAA9842Z5</v>
      </c>
      <c r="B9842" t="str">
        <f>TEST_DATA!B9842</f>
        <v>Jan-2019</v>
      </c>
      <c r="C9842">
        <f>TEST_DATA!C9842</f>
        <v>45831</v>
      </c>
      <c r="D9842" t="str">
        <f>TEST_DATA!D9842</f>
        <v>NON-NIL</v>
      </c>
      <c r="E9842">
        <f>TEST_DATA!E9842</f>
        <v>14</v>
      </c>
    </row>
    <row r="9843" spans="1:5" x14ac:dyDescent="0.55000000000000004">
      <c r="A9843" t="str">
        <f>TEST_DATA!A9843</f>
        <v>27AAAAA9843Z5</v>
      </c>
      <c r="B9843" t="str">
        <f>TEST_DATA!B9843</f>
        <v>Mar-2023</v>
      </c>
      <c r="C9843">
        <f>TEST_DATA!C9843</f>
        <v>43631</v>
      </c>
      <c r="D9843" t="str">
        <f>TEST_DATA!D9843</f>
        <v>NIL</v>
      </c>
      <c r="E9843">
        <f>TEST_DATA!E9843</f>
        <v>1258</v>
      </c>
    </row>
    <row r="9844" spans="1:5" x14ac:dyDescent="0.55000000000000004">
      <c r="A9844" t="str">
        <f>TEST_DATA!A9844</f>
        <v>27AAAAA9844Z5</v>
      </c>
      <c r="B9844" t="str">
        <f>TEST_DATA!B9844</f>
        <v>May-2018</v>
      </c>
      <c r="C9844">
        <f>TEST_DATA!C9844</f>
        <v>44483</v>
      </c>
      <c r="D9844" t="str">
        <f>TEST_DATA!D9844</f>
        <v>NIL</v>
      </c>
      <c r="E9844">
        <f>TEST_DATA!E9844</f>
        <v>610</v>
      </c>
    </row>
    <row r="9845" spans="1:5" x14ac:dyDescent="0.55000000000000004">
      <c r="A9845" t="str">
        <f>TEST_DATA!A9845</f>
        <v>27AAAAA9845Z5</v>
      </c>
      <c r="B9845" t="str">
        <f>TEST_DATA!B9845</f>
        <v>Aug-2017</v>
      </c>
      <c r="C9845">
        <f>TEST_DATA!C9845</f>
        <v>43297</v>
      </c>
      <c r="D9845" t="str">
        <f>TEST_DATA!D9845</f>
        <v>NON-NIL</v>
      </c>
      <c r="E9845">
        <f>TEST_DATA!E9845</f>
        <v>735</v>
      </c>
    </row>
    <row r="9846" spans="1:5" x14ac:dyDescent="0.55000000000000004">
      <c r="A9846" t="str">
        <f>TEST_DATA!A9846</f>
        <v>27AAAAA9846Z5</v>
      </c>
      <c r="B9846" t="str">
        <f>TEST_DATA!B9846</f>
        <v>Jul-2018</v>
      </c>
      <c r="C9846">
        <f>TEST_DATA!C9846</f>
        <v>44169</v>
      </c>
      <c r="D9846" t="str">
        <f>TEST_DATA!D9846</f>
        <v>NIL</v>
      </c>
      <c r="E9846">
        <f>TEST_DATA!E9846</f>
        <v>238</v>
      </c>
    </row>
    <row r="9847" spans="1:5" x14ac:dyDescent="0.55000000000000004">
      <c r="A9847" t="str">
        <f>TEST_DATA!A9847</f>
        <v>27AAAAA9847Z5</v>
      </c>
      <c r="B9847" t="str">
        <f>TEST_DATA!B9847</f>
        <v>Jan-2018</v>
      </c>
      <c r="C9847">
        <f>TEST_DATA!C9847</f>
        <v>43173</v>
      </c>
      <c r="D9847" t="str">
        <f>TEST_DATA!D9847</f>
        <v>NON-NIL</v>
      </c>
      <c r="E9847">
        <f>TEST_DATA!E9847</f>
        <v>2716</v>
      </c>
    </row>
    <row r="9848" spans="1:5" x14ac:dyDescent="0.55000000000000004">
      <c r="A9848" t="str">
        <f>TEST_DATA!A9848</f>
        <v>27AAAAA9848Z5</v>
      </c>
      <c r="B9848" t="str">
        <f>TEST_DATA!B9848</f>
        <v>Dec-2024</v>
      </c>
      <c r="C9848">
        <f>TEST_DATA!C9848</f>
        <v>44513</v>
      </c>
      <c r="D9848" t="str">
        <f>TEST_DATA!D9848</f>
        <v>NON-NIL</v>
      </c>
      <c r="E9848">
        <f>TEST_DATA!E9848</f>
        <v>703</v>
      </c>
    </row>
    <row r="9849" spans="1:5" x14ac:dyDescent="0.55000000000000004">
      <c r="A9849" t="str">
        <f>TEST_DATA!A9849</f>
        <v>27AAAAA9849Z5</v>
      </c>
      <c r="B9849" t="str">
        <f>TEST_DATA!B9849</f>
        <v>Jun-2018</v>
      </c>
      <c r="C9849">
        <f>TEST_DATA!C9849</f>
        <v>43824</v>
      </c>
      <c r="D9849" t="str">
        <f>TEST_DATA!D9849</f>
        <v>NIL</v>
      </c>
      <c r="E9849">
        <f>TEST_DATA!E9849</f>
        <v>989</v>
      </c>
    </row>
    <row r="9850" spans="1:5" x14ac:dyDescent="0.55000000000000004">
      <c r="A9850" t="str">
        <f>TEST_DATA!A9850</f>
        <v>27AAAAA9850Z5</v>
      </c>
      <c r="B9850" t="str">
        <f>TEST_DATA!B9850</f>
        <v>Jul-2017</v>
      </c>
      <c r="C9850">
        <f>TEST_DATA!C9850</f>
        <v>44169</v>
      </c>
      <c r="D9850" t="str">
        <f>TEST_DATA!D9850</f>
        <v>NIL</v>
      </c>
      <c r="E9850">
        <f>TEST_DATA!E9850</f>
        <v>1890</v>
      </c>
    </row>
    <row r="9851" spans="1:5" x14ac:dyDescent="0.55000000000000004">
      <c r="A9851" t="str">
        <f>TEST_DATA!A9851</f>
        <v>27AAAAA9851Z5</v>
      </c>
      <c r="B9851" t="str">
        <f>TEST_DATA!B9851</f>
        <v>Mar-2021</v>
      </c>
      <c r="C9851">
        <f>TEST_DATA!C9851</f>
        <v>44522</v>
      </c>
      <c r="D9851" t="str">
        <f>TEST_DATA!D9851</f>
        <v>NIL</v>
      </c>
      <c r="E9851">
        <f>TEST_DATA!E9851</f>
        <v>3000</v>
      </c>
    </row>
    <row r="9852" spans="1:5" x14ac:dyDescent="0.55000000000000004">
      <c r="A9852" t="str">
        <f>TEST_DATA!A9852</f>
        <v>27AAAAA9852Z5</v>
      </c>
      <c r="B9852" t="str">
        <f>TEST_DATA!B9852</f>
        <v>Jul-2018</v>
      </c>
      <c r="C9852">
        <f>TEST_DATA!C9852</f>
        <v>43382</v>
      </c>
      <c r="D9852" t="str">
        <f>TEST_DATA!D9852</f>
        <v>NON-NIL</v>
      </c>
      <c r="E9852">
        <f>TEST_DATA!E9852</f>
        <v>354</v>
      </c>
    </row>
    <row r="9853" spans="1:5" x14ac:dyDescent="0.55000000000000004">
      <c r="A9853" t="str">
        <f>TEST_DATA!A9853</f>
        <v>27AAAAA9853Z5</v>
      </c>
      <c r="B9853" t="str">
        <f>TEST_DATA!B9853</f>
        <v>Aug-2018</v>
      </c>
      <c r="C9853">
        <f>TEST_DATA!C9853</f>
        <v>43971</v>
      </c>
      <c r="D9853" t="str">
        <f>TEST_DATA!D9853</f>
        <v>NON-NIL</v>
      </c>
      <c r="E9853">
        <f>TEST_DATA!E9853</f>
        <v>600</v>
      </c>
    </row>
    <row r="9854" spans="1:5" x14ac:dyDescent="0.55000000000000004">
      <c r="A9854" t="str">
        <f>TEST_DATA!A9854</f>
        <v>27AAAAA9854Z5</v>
      </c>
      <c r="B9854" t="str">
        <f>TEST_DATA!B9854</f>
        <v>May-2020</v>
      </c>
      <c r="C9854">
        <f>TEST_DATA!C9854</f>
        <v>44135</v>
      </c>
      <c r="D9854" t="str">
        <f>TEST_DATA!D9854</f>
        <v>NON-NIL</v>
      </c>
      <c r="E9854">
        <f>TEST_DATA!E9854</f>
        <v>1904</v>
      </c>
    </row>
    <row r="9855" spans="1:5" x14ac:dyDescent="0.55000000000000004">
      <c r="A9855" t="str">
        <f>TEST_DATA!A9855</f>
        <v>27AAAAA9855Z5</v>
      </c>
      <c r="B9855" t="str">
        <f>TEST_DATA!B9855</f>
        <v>Jul-2018</v>
      </c>
      <c r="C9855">
        <f>TEST_DATA!C9855</f>
        <v>44442</v>
      </c>
      <c r="D9855" t="str">
        <f>TEST_DATA!D9855</f>
        <v>NON-NIL</v>
      </c>
      <c r="E9855">
        <f>TEST_DATA!E9855</f>
        <v>1507</v>
      </c>
    </row>
    <row r="9856" spans="1:5" x14ac:dyDescent="0.55000000000000004">
      <c r="A9856" t="str">
        <f>TEST_DATA!A9856</f>
        <v>27AAAAA9856Z5</v>
      </c>
      <c r="B9856" t="str">
        <f>TEST_DATA!B9856</f>
        <v>Oct-2017</v>
      </c>
      <c r="C9856">
        <f>TEST_DATA!C9856</f>
        <v>43173</v>
      </c>
      <c r="D9856" t="str">
        <f>TEST_DATA!D9856</f>
        <v>NON-NIL</v>
      </c>
      <c r="E9856">
        <f>TEST_DATA!E9856</f>
        <v>2900</v>
      </c>
    </row>
    <row r="9857" spans="1:5" x14ac:dyDescent="0.55000000000000004">
      <c r="A9857" t="str">
        <f>TEST_DATA!A9857</f>
        <v>27AAAAA9857Z5</v>
      </c>
      <c r="B9857" t="str">
        <f>TEST_DATA!B9857</f>
        <v>Dec-2019</v>
      </c>
      <c r="C9857">
        <f>TEST_DATA!C9857</f>
        <v>44285</v>
      </c>
      <c r="D9857" t="str">
        <f>TEST_DATA!D9857</f>
        <v>NON-NIL</v>
      </c>
      <c r="E9857">
        <f>TEST_DATA!E9857</f>
        <v>2592</v>
      </c>
    </row>
    <row r="9858" spans="1:5" x14ac:dyDescent="0.55000000000000004">
      <c r="A9858" t="str">
        <f>TEST_DATA!A9858</f>
        <v>27AAAAA9858Z5</v>
      </c>
      <c r="B9858" t="str">
        <f>TEST_DATA!B9858</f>
        <v>Mar-2020</v>
      </c>
      <c r="C9858">
        <f>TEST_DATA!C9858</f>
        <v>43881</v>
      </c>
      <c r="D9858" t="str">
        <f>TEST_DATA!D9858</f>
        <v>NIL</v>
      </c>
      <c r="E9858">
        <f>TEST_DATA!E9858</f>
        <v>2949</v>
      </c>
    </row>
    <row r="9859" spans="1:5" x14ac:dyDescent="0.55000000000000004">
      <c r="A9859" t="str">
        <f>TEST_DATA!A9859</f>
        <v>27AAAAA9859Z5</v>
      </c>
      <c r="B9859" t="str">
        <f>TEST_DATA!B9859</f>
        <v>Apr-2021</v>
      </c>
      <c r="C9859">
        <f>TEST_DATA!C9859</f>
        <v>44933</v>
      </c>
      <c r="D9859" t="str">
        <f>TEST_DATA!D9859</f>
        <v>NIL</v>
      </c>
      <c r="E9859">
        <f>TEST_DATA!E9859</f>
        <v>1636</v>
      </c>
    </row>
    <row r="9860" spans="1:5" x14ac:dyDescent="0.55000000000000004">
      <c r="A9860" t="str">
        <f>TEST_DATA!A9860</f>
        <v>27AAAAA9860Z5</v>
      </c>
      <c r="B9860" t="str">
        <f>TEST_DATA!B9860</f>
        <v>Jan-2021</v>
      </c>
      <c r="C9860">
        <f>TEST_DATA!C9860</f>
        <v>45137</v>
      </c>
      <c r="D9860" t="str">
        <f>TEST_DATA!D9860</f>
        <v>NIL</v>
      </c>
      <c r="E9860">
        <f>TEST_DATA!E9860</f>
        <v>795</v>
      </c>
    </row>
    <row r="9861" spans="1:5" x14ac:dyDescent="0.55000000000000004">
      <c r="A9861" t="str">
        <f>TEST_DATA!A9861</f>
        <v>27AAAAA9861Z5</v>
      </c>
      <c r="B9861" t="str">
        <f>TEST_DATA!B9861</f>
        <v>Nov-2017</v>
      </c>
      <c r="C9861">
        <f>TEST_DATA!C9861</f>
        <v>43925</v>
      </c>
      <c r="D9861" t="str">
        <f>TEST_DATA!D9861</f>
        <v>NON-NIL</v>
      </c>
      <c r="E9861">
        <f>TEST_DATA!E9861</f>
        <v>944</v>
      </c>
    </row>
    <row r="9862" spans="1:5" x14ac:dyDescent="0.55000000000000004">
      <c r="A9862" t="str">
        <f>TEST_DATA!A9862</f>
        <v>27AAAAA9862Z5</v>
      </c>
      <c r="B9862" t="str">
        <f>TEST_DATA!B9862</f>
        <v>Jan-2018</v>
      </c>
      <c r="C9862">
        <f>TEST_DATA!C9862</f>
        <v>43445</v>
      </c>
      <c r="D9862" t="str">
        <f>TEST_DATA!D9862</f>
        <v>NIL</v>
      </c>
      <c r="E9862">
        <f>TEST_DATA!E9862</f>
        <v>612</v>
      </c>
    </row>
    <row r="9863" spans="1:5" x14ac:dyDescent="0.55000000000000004">
      <c r="A9863" t="str">
        <f>TEST_DATA!A9863</f>
        <v>27AAAAA9863Z5</v>
      </c>
      <c r="B9863" t="str">
        <f>TEST_DATA!B9863</f>
        <v>Dec-2019</v>
      </c>
      <c r="C9863">
        <f>TEST_DATA!C9863</f>
        <v>44919</v>
      </c>
      <c r="D9863" t="str">
        <f>TEST_DATA!D9863</f>
        <v>NON-NIL</v>
      </c>
      <c r="E9863">
        <f>TEST_DATA!E9863</f>
        <v>652</v>
      </c>
    </row>
    <row r="9864" spans="1:5" x14ac:dyDescent="0.55000000000000004">
      <c r="A9864" t="str">
        <f>TEST_DATA!A9864</f>
        <v>27AAAAA9864Z5</v>
      </c>
      <c r="B9864" t="str">
        <f>TEST_DATA!B9864</f>
        <v>Mar-2021</v>
      </c>
      <c r="C9864">
        <f>TEST_DATA!C9864</f>
        <v>45594</v>
      </c>
      <c r="D9864" t="str">
        <f>TEST_DATA!D9864</f>
        <v>NIL</v>
      </c>
      <c r="E9864">
        <f>TEST_DATA!E9864</f>
        <v>1906</v>
      </c>
    </row>
    <row r="9865" spans="1:5" x14ac:dyDescent="0.55000000000000004">
      <c r="A9865" t="str">
        <f>TEST_DATA!A9865</f>
        <v>27AAAAA9865Z5</v>
      </c>
      <c r="B9865" t="str">
        <f>TEST_DATA!B9865</f>
        <v>Nov-2017</v>
      </c>
      <c r="C9865">
        <f>TEST_DATA!C9865</f>
        <v>44527</v>
      </c>
      <c r="D9865" t="str">
        <f>TEST_DATA!D9865</f>
        <v>NIL</v>
      </c>
      <c r="E9865">
        <f>TEST_DATA!E9865</f>
        <v>2036</v>
      </c>
    </row>
    <row r="9866" spans="1:5" x14ac:dyDescent="0.55000000000000004">
      <c r="A9866" t="str">
        <f>TEST_DATA!A9866</f>
        <v>27AAAAA9866Z5</v>
      </c>
      <c r="B9866" t="str">
        <f>TEST_DATA!B9866</f>
        <v>Jun-2020</v>
      </c>
      <c r="C9866">
        <f>TEST_DATA!C9866</f>
        <v>44192</v>
      </c>
      <c r="D9866" t="str">
        <f>TEST_DATA!D9866</f>
        <v>NIL</v>
      </c>
      <c r="E9866">
        <f>TEST_DATA!E9866</f>
        <v>1380</v>
      </c>
    </row>
    <row r="9867" spans="1:5" x14ac:dyDescent="0.55000000000000004">
      <c r="A9867" t="str">
        <f>TEST_DATA!A9867</f>
        <v>27AAAAA9867Z5</v>
      </c>
      <c r="B9867" t="str">
        <f>TEST_DATA!B9867</f>
        <v>Mar-2021</v>
      </c>
      <c r="C9867">
        <f>TEST_DATA!C9867</f>
        <v>44317</v>
      </c>
      <c r="D9867" t="str">
        <f>TEST_DATA!D9867</f>
        <v>NIL</v>
      </c>
      <c r="E9867">
        <f>TEST_DATA!E9867</f>
        <v>144</v>
      </c>
    </row>
    <row r="9868" spans="1:5" x14ac:dyDescent="0.55000000000000004">
      <c r="A9868" t="str">
        <f>TEST_DATA!A9868</f>
        <v>27AAAAA9868Z5</v>
      </c>
      <c r="B9868" t="str">
        <f>TEST_DATA!B9868</f>
        <v>Feb-2018</v>
      </c>
      <c r="C9868">
        <f>TEST_DATA!C9868</f>
        <v>43386</v>
      </c>
      <c r="D9868" t="str">
        <f>TEST_DATA!D9868</f>
        <v>NON-NIL</v>
      </c>
      <c r="E9868">
        <f>TEST_DATA!E9868</f>
        <v>2862</v>
      </c>
    </row>
    <row r="9869" spans="1:5" x14ac:dyDescent="0.55000000000000004">
      <c r="A9869" t="str">
        <f>TEST_DATA!A9869</f>
        <v>27AAAAA9869Z5</v>
      </c>
      <c r="B9869" t="str">
        <f>TEST_DATA!B9869</f>
        <v>Jul-2020</v>
      </c>
      <c r="C9869">
        <f>TEST_DATA!C9869</f>
        <v>43939</v>
      </c>
      <c r="D9869" t="str">
        <f>TEST_DATA!D9869</f>
        <v>NIL</v>
      </c>
      <c r="E9869">
        <f>TEST_DATA!E9869</f>
        <v>2225</v>
      </c>
    </row>
    <row r="9870" spans="1:5" x14ac:dyDescent="0.55000000000000004">
      <c r="A9870" t="str">
        <f>TEST_DATA!A9870</f>
        <v>27AAAAA9870Z5</v>
      </c>
      <c r="B9870" t="str">
        <f>TEST_DATA!B9870</f>
        <v>Jul-2020</v>
      </c>
      <c r="C9870">
        <f>TEST_DATA!C9870</f>
        <v>44470</v>
      </c>
      <c r="D9870" t="str">
        <f>TEST_DATA!D9870</f>
        <v>NIL</v>
      </c>
      <c r="E9870">
        <f>TEST_DATA!E9870</f>
        <v>2682</v>
      </c>
    </row>
    <row r="9871" spans="1:5" x14ac:dyDescent="0.55000000000000004">
      <c r="A9871" t="str">
        <f>TEST_DATA!A9871</f>
        <v>27AAAAA9871Z5</v>
      </c>
      <c r="B9871" t="str">
        <f>TEST_DATA!B9871</f>
        <v>Jan-2018</v>
      </c>
      <c r="C9871">
        <f>TEST_DATA!C9871</f>
        <v>43431</v>
      </c>
      <c r="D9871" t="str">
        <f>TEST_DATA!D9871</f>
        <v>NIL</v>
      </c>
      <c r="E9871">
        <f>TEST_DATA!E9871</f>
        <v>837</v>
      </c>
    </row>
    <row r="9872" spans="1:5" x14ac:dyDescent="0.55000000000000004">
      <c r="A9872" t="str">
        <f>TEST_DATA!A9872</f>
        <v>27AAAAA9872Z5</v>
      </c>
      <c r="B9872" t="str">
        <f>TEST_DATA!B9872</f>
        <v>Jan-2021</v>
      </c>
      <c r="C9872">
        <f>TEST_DATA!C9872</f>
        <v>45291</v>
      </c>
      <c r="D9872" t="str">
        <f>TEST_DATA!D9872</f>
        <v>NIL</v>
      </c>
      <c r="E9872">
        <f>TEST_DATA!E9872</f>
        <v>1094</v>
      </c>
    </row>
    <row r="9873" spans="1:5" x14ac:dyDescent="0.55000000000000004">
      <c r="A9873" t="str">
        <f>TEST_DATA!A9873</f>
        <v>27AAAAA9873Z5</v>
      </c>
      <c r="B9873" t="str">
        <f>TEST_DATA!B9873</f>
        <v>Jan-2018</v>
      </c>
      <c r="C9873">
        <f>TEST_DATA!C9873</f>
        <v>43308</v>
      </c>
      <c r="D9873" t="str">
        <f>TEST_DATA!D9873</f>
        <v>NIL</v>
      </c>
      <c r="E9873">
        <f>TEST_DATA!E9873</f>
        <v>805</v>
      </c>
    </row>
    <row r="9874" spans="1:5" x14ac:dyDescent="0.55000000000000004">
      <c r="A9874" t="str">
        <f>TEST_DATA!A9874</f>
        <v>27AAAAA9874Z5</v>
      </c>
      <c r="B9874" t="str">
        <f>TEST_DATA!B9874</f>
        <v>Jun-2020</v>
      </c>
      <c r="C9874">
        <f>TEST_DATA!C9874</f>
        <v>44084</v>
      </c>
      <c r="D9874" t="str">
        <f>TEST_DATA!D9874</f>
        <v>NIL</v>
      </c>
      <c r="E9874">
        <f>TEST_DATA!E9874</f>
        <v>2184</v>
      </c>
    </row>
    <row r="9875" spans="1:5" x14ac:dyDescent="0.55000000000000004">
      <c r="A9875" t="str">
        <f>TEST_DATA!A9875</f>
        <v>27AAAAA9875Z5</v>
      </c>
      <c r="B9875" t="str">
        <f>TEST_DATA!B9875</f>
        <v>Mar-2018</v>
      </c>
      <c r="C9875">
        <f>TEST_DATA!C9875</f>
        <v>43668</v>
      </c>
      <c r="D9875" t="str">
        <f>TEST_DATA!D9875</f>
        <v>NON-NIL</v>
      </c>
      <c r="E9875">
        <f>TEST_DATA!E9875</f>
        <v>2599</v>
      </c>
    </row>
    <row r="9876" spans="1:5" x14ac:dyDescent="0.55000000000000004">
      <c r="A9876" t="str">
        <f>TEST_DATA!A9876</f>
        <v>27AAAAA9876Z5</v>
      </c>
      <c r="B9876" t="str">
        <f>TEST_DATA!B9876</f>
        <v>Mar-2021</v>
      </c>
      <c r="C9876">
        <f>TEST_DATA!C9876</f>
        <v>43803</v>
      </c>
      <c r="D9876" t="str">
        <f>TEST_DATA!D9876</f>
        <v>NIL</v>
      </c>
      <c r="E9876">
        <f>TEST_DATA!E9876</f>
        <v>1474</v>
      </c>
    </row>
    <row r="9877" spans="1:5" x14ac:dyDescent="0.55000000000000004">
      <c r="A9877" t="str">
        <f>TEST_DATA!A9877</f>
        <v>27AAAAA9877Z5</v>
      </c>
      <c r="B9877" t="str">
        <f>TEST_DATA!B9877</f>
        <v>May-2020</v>
      </c>
      <c r="C9877">
        <f>TEST_DATA!C9877</f>
        <v>44828</v>
      </c>
      <c r="D9877" t="str">
        <f>TEST_DATA!D9877</f>
        <v>NIL</v>
      </c>
      <c r="E9877">
        <f>TEST_DATA!E9877</f>
        <v>1103</v>
      </c>
    </row>
    <row r="9878" spans="1:5" x14ac:dyDescent="0.55000000000000004">
      <c r="A9878" t="str">
        <f>TEST_DATA!A9878</f>
        <v>27AAAAA9878Z5</v>
      </c>
      <c r="B9878" t="str">
        <f>TEST_DATA!B9878</f>
        <v>Sep-2018</v>
      </c>
      <c r="C9878">
        <f>TEST_DATA!C9878</f>
        <v>43365</v>
      </c>
      <c r="D9878" t="str">
        <f>TEST_DATA!D9878</f>
        <v>NON-NIL</v>
      </c>
      <c r="E9878">
        <f>TEST_DATA!E9878</f>
        <v>413</v>
      </c>
    </row>
    <row r="9879" spans="1:5" x14ac:dyDescent="0.55000000000000004">
      <c r="A9879" t="str">
        <f>TEST_DATA!A9879</f>
        <v>27AAAAA9879Z5</v>
      </c>
      <c r="B9879" t="str">
        <f>TEST_DATA!B9879</f>
        <v>Mar-2020</v>
      </c>
      <c r="C9879">
        <f>TEST_DATA!C9879</f>
        <v>44903</v>
      </c>
      <c r="D9879" t="str">
        <f>TEST_DATA!D9879</f>
        <v>NON-NIL</v>
      </c>
      <c r="E9879">
        <f>TEST_DATA!E9879</f>
        <v>2814</v>
      </c>
    </row>
    <row r="9880" spans="1:5" x14ac:dyDescent="0.55000000000000004">
      <c r="A9880" t="str">
        <f>TEST_DATA!A9880</f>
        <v>27AAAAA9880Z5</v>
      </c>
      <c r="B9880" t="str">
        <f>TEST_DATA!B9880</f>
        <v>Jun-2020</v>
      </c>
      <c r="C9880">
        <f>TEST_DATA!C9880</f>
        <v>44063</v>
      </c>
      <c r="D9880" t="str">
        <f>TEST_DATA!D9880</f>
        <v>NON-NIL</v>
      </c>
      <c r="E9880">
        <f>TEST_DATA!E9880</f>
        <v>1724</v>
      </c>
    </row>
    <row r="9881" spans="1:5" x14ac:dyDescent="0.55000000000000004">
      <c r="A9881" t="str">
        <f>TEST_DATA!A9881</f>
        <v>27AAAAA9881Z5</v>
      </c>
      <c r="B9881" t="str">
        <f>TEST_DATA!B9881</f>
        <v>Mar-2020</v>
      </c>
      <c r="C9881">
        <f>TEST_DATA!C9881</f>
        <v>44620</v>
      </c>
      <c r="D9881" t="str">
        <f>TEST_DATA!D9881</f>
        <v>NIL</v>
      </c>
      <c r="E9881">
        <f>TEST_DATA!E9881</f>
        <v>2672</v>
      </c>
    </row>
    <row r="9882" spans="1:5" x14ac:dyDescent="0.55000000000000004">
      <c r="A9882" t="str">
        <f>TEST_DATA!A9882</f>
        <v>27AAAAA9882Z5</v>
      </c>
      <c r="B9882" t="str">
        <f>TEST_DATA!B9882</f>
        <v>May-2020</v>
      </c>
      <c r="C9882">
        <f>TEST_DATA!C9882</f>
        <v>44621</v>
      </c>
      <c r="D9882" t="str">
        <f>TEST_DATA!D9882</f>
        <v>NON-NIL</v>
      </c>
      <c r="E9882">
        <f>TEST_DATA!E9882</f>
        <v>1513</v>
      </c>
    </row>
    <row r="9883" spans="1:5" x14ac:dyDescent="0.55000000000000004">
      <c r="A9883" t="str">
        <f>TEST_DATA!A9883</f>
        <v>27AAAAA9883Z5</v>
      </c>
      <c r="B9883" t="str">
        <f>TEST_DATA!B9883</f>
        <v>Mar-2023</v>
      </c>
      <c r="C9883">
        <f>TEST_DATA!C9883</f>
        <v>44926</v>
      </c>
      <c r="D9883" t="str">
        <f>TEST_DATA!D9883</f>
        <v>NON-NIL</v>
      </c>
      <c r="E9883">
        <f>TEST_DATA!E9883</f>
        <v>1238</v>
      </c>
    </row>
    <row r="9884" spans="1:5" x14ac:dyDescent="0.55000000000000004">
      <c r="A9884" t="str">
        <f>TEST_DATA!A9884</f>
        <v>27AAAAA9884Z5</v>
      </c>
      <c r="B9884" t="str">
        <f>TEST_DATA!B9884</f>
        <v>Jan-2021</v>
      </c>
      <c r="C9884">
        <f>TEST_DATA!C9884</f>
        <v>44056</v>
      </c>
      <c r="D9884" t="str">
        <f>TEST_DATA!D9884</f>
        <v>NIL</v>
      </c>
      <c r="E9884">
        <f>TEST_DATA!E9884</f>
        <v>1505</v>
      </c>
    </row>
    <row r="9885" spans="1:5" x14ac:dyDescent="0.55000000000000004">
      <c r="A9885" t="str">
        <f>TEST_DATA!A9885</f>
        <v>27AAAAA9885Z5</v>
      </c>
      <c r="B9885" t="str">
        <f>TEST_DATA!B9885</f>
        <v>Jan-2019</v>
      </c>
      <c r="C9885">
        <f>TEST_DATA!C9885</f>
        <v>45675</v>
      </c>
      <c r="D9885" t="str">
        <f>TEST_DATA!D9885</f>
        <v>NIL</v>
      </c>
      <c r="E9885">
        <f>TEST_DATA!E9885</f>
        <v>1898</v>
      </c>
    </row>
    <row r="9886" spans="1:5" x14ac:dyDescent="0.55000000000000004">
      <c r="A9886" t="str">
        <f>TEST_DATA!A9886</f>
        <v>27AAAAA9886Z5</v>
      </c>
      <c r="B9886" t="str">
        <f>TEST_DATA!B9886</f>
        <v>Apr-2020</v>
      </c>
      <c r="C9886">
        <f>TEST_DATA!C9886</f>
        <v>44153</v>
      </c>
      <c r="D9886" t="str">
        <f>TEST_DATA!D9886</f>
        <v>NON-NIL</v>
      </c>
      <c r="E9886">
        <f>TEST_DATA!E9886</f>
        <v>1185</v>
      </c>
    </row>
    <row r="9887" spans="1:5" x14ac:dyDescent="0.55000000000000004">
      <c r="A9887" t="str">
        <f>TEST_DATA!A9887</f>
        <v>27AAAAA9887Z5</v>
      </c>
      <c r="B9887" t="str">
        <f>TEST_DATA!B9887</f>
        <v>Jul-2017</v>
      </c>
      <c r="C9887">
        <f>TEST_DATA!C9887</f>
        <v>43578</v>
      </c>
      <c r="D9887" t="str">
        <f>TEST_DATA!D9887</f>
        <v>NIL</v>
      </c>
      <c r="E9887">
        <f>TEST_DATA!E9887</f>
        <v>2921</v>
      </c>
    </row>
    <row r="9888" spans="1:5" x14ac:dyDescent="0.55000000000000004">
      <c r="A9888" t="str">
        <f>TEST_DATA!A9888</f>
        <v>27AAAAA9888Z5</v>
      </c>
      <c r="B9888" t="str">
        <f>TEST_DATA!B9888</f>
        <v>Nov-2017</v>
      </c>
      <c r="C9888">
        <f>TEST_DATA!C9888</f>
        <v>44205</v>
      </c>
      <c r="D9888" t="str">
        <f>TEST_DATA!D9888</f>
        <v>NON-NIL</v>
      </c>
      <c r="E9888">
        <f>TEST_DATA!E9888</f>
        <v>811</v>
      </c>
    </row>
    <row r="9889" spans="1:5" x14ac:dyDescent="0.55000000000000004">
      <c r="A9889" t="str">
        <f>TEST_DATA!A9889</f>
        <v>27AAAAA9889Z5</v>
      </c>
      <c r="B9889" t="str">
        <f>TEST_DATA!B9889</f>
        <v>May-2020</v>
      </c>
      <c r="C9889">
        <f>TEST_DATA!C9889</f>
        <v>44708</v>
      </c>
      <c r="D9889" t="str">
        <f>TEST_DATA!D9889</f>
        <v>NON-NIL</v>
      </c>
      <c r="E9889">
        <f>TEST_DATA!E9889</f>
        <v>2526</v>
      </c>
    </row>
    <row r="9890" spans="1:5" x14ac:dyDescent="0.55000000000000004">
      <c r="A9890" t="str">
        <f>TEST_DATA!A9890</f>
        <v>27AAAAA9890Z5</v>
      </c>
      <c r="B9890" t="str">
        <f>TEST_DATA!B9890</f>
        <v>Jan-2018</v>
      </c>
      <c r="C9890">
        <f>TEST_DATA!C9890</f>
        <v>43455</v>
      </c>
      <c r="D9890" t="str">
        <f>TEST_DATA!D9890</f>
        <v>NIL</v>
      </c>
      <c r="E9890">
        <f>TEST_DATA!E9890</f>
        <v>2155</v>
      </c>
    </row>
    <row r="9891" spans="1:5" x14ac:dyDescent="0.55000000000000004">
      <c r="A9891" t="str">
        <f>TEST_DATA!A9891</f>
        <v>27AAAAA9891Z5</v>
      </c>
      <c r="B9891" t="str">
        <f>TEST_DATA!B9891</f>
        <v>Dec-2019</v>
      </c>
      <c r="C9891">
        <f>TEST_DATA!C9891</f>
        <v>44340</v>
      </c>
      <c r="D9891" t="str">
        <f>TEST_DATA!D9891</f>
        <v>NIL</v>
      </c>
      <c r="E9891">
        <f>TEST_DATA!E9891</f>
        <v>905</v>
      </c>
    </row>
    <row r="9892" spans="1:5" x14ac:dyDescent="0.55000000000000004">
      <c r="A9892" t="str">
        <f>TEST_DATA!A9892</f>
        <v>27AAAAA9892Z5</v>
      </c>
      <c r="B9892" t="str">
        <f>TEST_DATA!B9892</f>
        <v>Apr-2020</v>
      </c>
      <c r="C9892">
        <f>TEST_DATA!C9892</f>
        <v>44766</v>
      </c>
      <c r="D9892" t="str">
        <f>TEST_DATA!D9892</f>
        <v>NON-NIL</v>
      </c>
      <c r="E9892">
        <f>TEST_DATA!E9892</f>
        <v>2772</v>
      </c>
    </row>
    <row r="9893" spans="1:5" x14ac:dyDescent="0.55000000000000004">
      <c r="A9893" t="str">
        <f>TEST_DATA!A9893</f>
        <v>27AAAAA9893Z5</v>
      </c>
      <c r="B9893" t="str">
        <f>TEST_DATA!B9893</f>
        <v>Jun-2020</v>
      </c>
      <c r="C9893">
        <f>TEST_DATA!C9893</f>
        <v>44891</v>
      </c>
      <c r="D9893" t="str">
        <f>TEST_DATA!D9893</f>
        <v>NIL</v>
      </c>
      <c r="E9893">
        <f>TEST_DATA!E9893</f>
        <v>2775</v>
      </c>
    </row>
    <row r="9894" spans="1:5" x14ac:dyDescent="0.55000000000000004">
      <c r="A9894" t="str">
        <f>TEST_DATA!A9894</f>
        <v>27AAAAA9894Z5</v>
      </c>
      <c r="B9894" t="str">
        <f>TEST_DATA!B9894</f>
        <v>Jan-2018</v>
      </c>
      <c r="C9894">
        <f>TEST_DATA!C9894</f>
        <v>43081</v>
      </c>
      <c r="D9894" t="str">
        <f>TEST_DATA!D9894</f>
        <v>NON-NIL</v>
      </c>
      <c r="E9894">
        <f>TEST_DATA!E9894</f>
        <v>93</v>
      </c>
    </row>
    <row r="9895" spans="1:5" x14ac:dyDescent="0.55000000000000004">
      <c r="A9895" t="str">
        <f>TEST_DATA!A9895</f>
        <v>27AAAAA9895Z5</v>
      </c>
      <c r="B9895" t="str">
        <f>TEST_DATA!B9895</f>
        <v>Feb-2018</v>
      </c>
      <c r="C9895">
        <f>TEST_DATA!C9895</f>
        <v>43254</v>
      </c>
      <c r="D9895" t="str">
        <f>TEST_DATA!D9895</f>
        <v>NIL</v>
      </c>
      <c r="E9895">
        <f>TEST_DATA!E9895</f>
        <v>2432</v>
      </c>
    </row>
    <row r="9896" spans="1:5" x14ac:dyDescent="0.55000000000000004">
      <c r="A9896" t="str">
        <f>TEST_DATA!A9896</f>
        <v>27AAAAA9896Z5</v>
      </c>
      <c r="B9896" t="str">
        <f>TEST_DATA!B9896</f>
        <v>Jun-2019</v>
      </c>
      <c r="C9896">
        <f>TEST_DATA!C9896</f>
        <v>44998</v>
      </c>
      <c r="D9896" t="str">
        <f>TEST_DATA!D9896</f>
        <v>NON-NIL</v>
      </c>
      <c r="E9896">
        <f>TEST_DATA!E9896</f>
        <v>1414</v>
      </c>
    </row>
    <row r="9897" spans="1:5" x14ac:dyDescent="0.55000000000000004">
      <c r="A9897" t="str">
        <f>TEST_DATA!A9897</f>
        <v>27AAAAA9897Z5</v>
      </c>
      <c r="B9897" t="str">
        <f>TEST_DATA!B9897</f>
        <v>Apr-2021</v>
      </c>
      <c r="C9897">
        <f>TEST_DATA!C9897</f>
        <v>44952</v>
      </c>
      <c r="D9897" t="str">
        <f>TEST_DATA!D9897</f>
        <v>NIL</v>
      </c>
      <c r="E9897">
        <f>TEST_DATA!E9897</f>
        <v>2789</v>
      </c>
    </row>
    <row r="9898" spans="1:5" x14ac:dyDescent="0.55000000000000004">
      <c r="A9898" t="str">
        <f>TEST_DATA!A9898</f>
        <v>27AAAAA9898Z5</v>
      </c>
      <c r="B9898" t="str">
        <f>TEST_DATA!B9898</f>
        <v>Jun-2020</v>
      </c>
      <c r="C9898">
        <f>TEST_DATA!C9898</f>
        <v>43892</v>
      </c>
      <c r="D9898" t="str">
        <f>TEST_DATA!D9898</f>
        <v>NIL</v>
      </c>
      <c r="E9898">
        <f>TEST_DATA!E9898</f>
        <v>1358</v>
      </c>
    </row>
    <row r="9899" spans="1:5" x14ac:dyDescent="0.55000000000000004">
      <c r="A9899" t="str">
        <f>TEST_DATA!A9899</f>
        <v>27AAAAA9899Z5</v>
      </c>
      <c r="B9899" t="str">
        <f>TEST_DATA!B9899</f>
        <v>Jul-2017</v>
      </c>
      <c r="C9899">
        <f>TEST_DATA!C9899</f>
        <v>43728</v>
      </c>
      <c r="D9899" t="str">
        <f>TEST_DATA!D9899</f>
        <v>NON-NIL</v>
      </c>
      <c r="E9899">
        <f>TEST_DATA!E9899</f>
        <v>1779</v>
      </c>
    </row>
    <row r="9900" spans="1:5" x14ac:dyDescent="0.55000000000000004">
      <c r="A9900" t="str">
        <f>TEST_DATA!A9900</f>
        <v>27AAAAA9900Z5</v>
      </c>
      <c r="B9900" t="str">
        <f>TEST_DATA!B9900</f>
        <v>Dec-2024</v>
      </c>
      <c r="C9900">
        <f>TEST_DATA!C9900</f>
        <v>45612</v>
      </c>
      <c r="D9900" t="str">
        <f>TEST_DATA!D9900</f>
        <v>NON-NIL</v>
      </c>
      <c r="E9900">
        <f>TEST_DATA!E9900</f>
        <v>2612</v>
      </c>
    </row>
    <row r="9901" spans="1:5" x14ac:dyDescent="0.55000000000000004">
      <c r="A9901" t="str">
        <f>TEST_DATA!A9901</f>
        <v>27AAAAA9901Z5</v>
      </c>
      <c r="B9901" t="str">
        <f>TEST_DATA!B9901</f>
        <v>Jun-2020</v>
      </c>
      <c r="C9901">
        <f>TEST_DATA!C9901</f>
        <v>43906</v>
      </c>
      <c r="D9901" t="str">
        <f>TEST_DATA!D9901</f>
        <v>NON-NIL</v>
      </c>
      <c r="E9901">
        <f>TEST_DATA!E9901</f>
        <v>2646</v>
      </c>
    </row>
    <row r="9902" spans="1:5" x14ac:dyDescent="0.55000000000000004">
      <c r="A9902" t="str">
        <f>TEST_DATA!A9902</f>
        <v>27AAAAA9902Z5</v>
      </c>
      <c r="B9902" t="str">
        <f>TEST_DATA!B9902</f>
        <v>Sep-2018</v>
      </c>
      <c r="C9902">
        <f>TEST_DATA!C9902</f>
        <v>43374</v>
      </c>
      <c r="D9902" t="str">
        <f>TEST_DATA!D9902</f>
        <v>NON-NIL</v>
      </c>
      <c r="E9902">
        <f>TEST_DATA!E9902</f>
        <v>2024</v>
      </c>
    </row>
    <row r="9903" spans="1:5" x14ac:dyDescent="0.55000000000000004">
      <c r="A9903" t="str">
        <f>TEST_DATA!A9903</f>
        <v>27AAAAA9903Z5</v>
      </c>
      <c r="B9903" t="str">
        <f>TEST_DATA!B9903</f>
        <v>Aug-2018</v>
      </c>
      <c r="C9903">
        <f>TEST_DATA!C9903</f>
        <v>43881</v>
      </c>
      <c r="D9903" t="str">
        <f>TEST_DATA!D9903</f>
        <v>NIL</v>
      </c>
      <c r="E9903">
        <f>TEST_DATA!E9903</f>
        <v>1219</v>
      </c>
    </row>
    <row r="9904" spans="1:5" x14ac:dyDescent="0.55000000000000004">
      <c r="A9904" t="str">
        <f>TEST_DATA!A9904</f>
        <v>27AAAAA9904Z5</v>
      </c>
      <c r="B9904" t="str">
        <f>TEST_DATA!B9904</f>
        <v>Dec-2022</v>
      </c>
      <c r="C9904">
        <f>TEST_DATA!C9904</f>
        <v>45793</v>
      </c>
      <c r="D9904" t="str">
        <f>TEST_DATA!D9904</f>
        <v>NON-NIL</v>
      </c>
      <c r="E9904">
        <f>TEST_DATA!E9904</f>
        <v>1010</v>
      </c>
    </row>
    <row r="9905" spans="1:5" x14ac:dyDescent="0.55000000000000004">
      <c r="A9905" t="str">
        <f>TEST_DATA!A9905</f>
        <v>27AAAAA9905Z5</v>
      </c>
      <c r="B9905" t="str">
        <f>TEST_DATA!B9905</f>
        <v>Nov-2017</v>
      </c>
      <c r="C9905">
        <f>TEST_DATA!C9905</f>
        <v>44062</v>
      </c>
      <c r="D9905" t="str">
        <f>TEST_DATA!D9905</f>
        <v>NON-NIL</v>
      </c>
      <c r="E9905">
        <f>TEST_DATA!E9905</f>
        <v>2966</v>
      </c>
    </row>
    <row r="9906" spans="1:5" x14ac:dyDescent="0.55000000000000004">
      <c r="A9906" t="str">
        <f>TEST_DATA!A9906</f>
        <v>27AAAAA9906Z5</v>
      </c>
      <c r="B9906" t="str">
        <f>TEST_DATA!B9906</f>
        <v>Apr-2020</v>
      </c>
      <c r="C9906">
        <f>TEST_DATA!C9906</f>
        <v>44013</v>
      </c>
      <c r="D9906" t="str">
        <f>TEST_DATA!D9906</f>
        <v>NIL</v>
      </c>
      <c r="E9906">
        <f>TEST_DATA!E9906</f>
        <v>946</v>
      </c>
    </row>
    <row r="9907" spans="1:5" x14ac:dyDescent="0.55000000000000004">
      <c r="A9907" t="str">
        <f>TEST_DATA!A9907</f>
        <v>27AAAAA9907Z5</v>
      </c>
      <c r="B9907" t="str">
        <f>TEST_DATA!B9907</f>
        <v>Jun-2019</v>
      </c>
      <c r="C9907">
        <f>TEST_DATA!C9907</f>
        <v>44837</v>
      </c>
      <c r="D9907" t="str">
        <f>TEST_DATA!D9907</f>
        <v>NIL</v>
      </c>
      <c r="E9907">
        <f>TEST_DATA!E9907</f>
        <v>1271</v>
      </c>
    </row>
    <row r="9908" spans="1:5" x14ac:dyDescent="0.55000000000000004">
      <c r="A9908" t="str">
        <f>TEST_DATA!A9908</f>
        <v>27AAAAA9908Z5</v>
      </c>
      <c r="B9908" t="str">
        <f>TEST_DATA!B9908</f>
        <v>Nov-2017</v>
      </c>
      <c r="C9908">
        <f>TEST_DATA!C9908</f>
        <v>43878</v>
      </c>
      <c r="D9908" t="str">
        <f>TEST_DATA!D9908</f>
        <v>NON-NIL</v>
      </c>
      <c r="E9908">
        <f>TEST_DATA!E9908</f>
        <v>691</v>
      </c>
    </row>
    <row r="9909" spans="1:5" x14ac:dyDescent="0.55000000000000004">
      <c r="A9909" t="str">
        <f>TEST_DATA!A9909</f>
        <v>27AAAAA9909Z5</v>
      </c>
      <c r="B9909" t="str">
        <f>TEST_DATA!B9909</f>
        <v>Nov-2017</v>
      </c>
      <c r="C9909">
        <f>TEST_DATA!C9909</f>
        <v>43128</v>
      </c>
      <c r="D9909" t="str">
        <f>TEST_DATA!D9909</f>
        <v>NON-NIL</v>
      </c>
      <c r="E9909">
        <f>TEST_DATA!E9909</f>
        <v>1443</v>
      </c>
    </row>
    <row r="9910" spans="1:5" x14ac:dyDescent="0.55000000000000004">
      <c r="A9910" t="str">
        <f>TEST_DATA!A9910</f>
        <v>27AAAAA9910Z5</v>
      </c>
      <c r="B9910" t="str">
        <f>TEST_DATA!B9910</f>
        <v>Mar-2020</v>
      </c>
      <c r="C9910">
        <f>TEST_DATA!C9910</f>
        <v>44651</v>
      </c>
      <c r="D9910" t="str">
        <f>TEST_DATA!D9910</f>
        <v>NIL</v>
      </c>
      <c r="E9910">
        <f>TEST_DATA!E9910</f>
        <v>2773</v>
      </c>
    </row>
    <row r="9911" spans="1:5" x14ac:dyDescent="0.55000000000000004">
      <c r="A9911" t="str">
        <f>TEST_DATA!A9911</f>
        <v>27AAAAA9911Z5</v>
      </c>
      <c r="B9911" t="str">
        <f>TEST_DATA!B9911</f>
        <v>Sep-2018</v>
      </c>
      <c r="C9911">
        <f>TEST_DATA!C9911</f>
        <v>43521</v>
      </c>
      <c r="D9911" t="str">
        <f>TEST_DATA!D9911</f>
        <v>NIL</v>
      </c>
      <c r="E9911">
        <f>TEST_DATA!E9911</f>
        <v>2346</v>
      </c>
    </row>
    <row r="9912" spans="1:5" x14ac:dyDescent="0.55000000000000004">
      <c r="A9912" t="str">
        <f>TEST_DATA!A9912</f>
        <v>27AAAAA9912Z5</v>
      </c>
      <c r="B9912" t="str">
        <f>TEST_DATA!B9912</f>
        <v>Jun-2020</v>
      </c>
      <c r="C9912">
        <f>TEST_DATA!C9912</f>
        <v>44680</v>
      </c>
      <c r="D9912" t="str">
        <f>TEST_DATA!D9912</f>
        <v>NIL</v>
      </c>
      <c r="E9912">
        <f>TEST_DATA!E9912</f>
        <v>2443</v>
      </c>
    </row>
    <row r="9913" spans="1:5" x14ac:dyDescent="0.55000000000000004">
      <c r="A9913" t="str">
        <f>TEST_DATA!A9913</f>
        <v>27AAAAA9913Z5</v>
      </c>
      <c r="B9913" t="str">
        <f>TEST_DATA!B9913</f>
        <v>Apr-2020</v>
      </c>
      <c r="C9913">
        <f>TEST_DATA!C9913</f>
        <v>44357</v>
      </c>
      <c r="D9913" t="str">
        <f>TEST_DATA!D9913</f>
        <v>NON-NIL</v>
      </c>
      <c r="E9913">
        <f>TEST_DATA!E9913</f>
        <v>2443</v>
      </c>
    </row>
    <row r="9914" spans="1:5" x14ac:dyDescent="0.55000000000000004">
      <c r="A9914" t="str">
        <f>TEST_DATA!A9914</f>
        <v>27AAAAA9914Z5</v>
      </c>
      <c r="B9914" t="str">
        <f>TEST_DATA!B9914</f>
        <v>Apr-2018</v>
      </c>
      <c r="C9914">
        <f>TEST_DATA!C9914</f>
        <v>42931</v>
      </c>
      <c r="D9914" t="str">
        <f>TEST_DATA!D9914</f>
        <v>NIL</v>
      </c>
      <c r="E9914">
        <f>TEST_DATA!E9914</f>
        <v>2278</v>
      </c>
    </row>
    <row r="9915" spans="1:5" x14ac:dyDescent="0.55000000000000004">
      <c r="A9915" t="str">
        <f>TEST_DATA!A9915</f>
        <v>27AAAAA9915Z5</v>
      </c>
      <c r="B9915" t="str">
        <f>TEST_DATA!B9915</f>
        <v>Mar-2020</v>
      </c>
      <c r="C9915">
        <f>TEST_DATA!C9915</f>
        <v>44543</v>
      </c>
      <c r="D9915" t="str">
        <f>TEST_DATA!D9915</f>
        <v>NON-NIL</v>
      </c>
      <c r="E9915">
        <f>TEST_DATA!E9915</f>
        <v>1171</v>
      </c>
    </row>
    <row r="9916" spans="1:5" x14ac:dyDescent="0.55000000000000004">
      <c r="A9916" t="str">
        <f>TEST_DATA!A9916</f>
        <v>27AAAAA9916Z5</v>
      </c>
      <c r="B9916" t="str">
        <f>TEST_DATA!B9916</f>
        <v>Aug-2018</v>
      </c>
      <c r="C9916">
        <f>TEST_DATA!C9916</f>
        <v>43658</v>
      </c>
      <c r="D9916" t="str">
        <f>TEST_DATA!D9916</f>
        <v>NON-NIL</v>
      </c>
      <c r="E9916">
        <f>TEST_DATA!E9916</f>
        <v>2713</v>
      </c>
    </row>
    <row r="9917" spans="1:5" x14ac:dyDescent="0.55000000000000004">
      <c r="A9917" t="str">
        <f>TEST_DATA!A9917</f>
        <v>27AAAAA9917Z5</v>
      </c>
      <c r="B9917" t="str">
        <f>TEST_DATA!B9917</f>
        <v>May-2020</v>
      </c>
      <c r="C9917">
        <f>TEST_DATA!C9917</f>
        <v>44584</v>
      </c>
      <c r="D9917" t="str">
        <f>TEST_DATA!D9917</f>
        <v>NIL</v>
      </c>
      <c r="E9917">
        <f>TEST_DATA!E9917</f>
        <v>305</v>
      </c>
    </row>
    <row r="9918" spans="1:5" x14ac:dyDescent="0.55000000000000004">
      <c r="A9918" t="str">
        <f>TEST_DATA!A9918</f>
        <v>27AAAAA9918Z5</v>
      </c>
      <c r="B9918" t="str">
        <f>TEST_DATA!B9918</f>
        <v>Jan-2019</v>
      </c>
      <c r="C9918">
        <f>TEST_DATA!C9918</f>
        <v>43704</v>
      </c>
      <c r="D9918" t="str">
        <f>TEST_DATA!D9918</f>
        <v>NON-NIL</v>
      </c>
      <c r="E9918">
        <f>TEST_DATA!E9918</f>
        <v>889</v>
      </c>
    </row>
    <row r="9919" spans="1:5" x14ac:dyDescent="0.55000000000000004">
      <c r="A9919" t="str">
        <f>TEST_DATA!A9919</f>
        <v>27AAAAA9919Z5</v>
      </c>
      <c r="B9919" t="str">
        <f>TEST_DATA!B9919</f>
        <v>Aug-2017</v>
      </c>
      <c r="C9919">
        <f>TEST_DATA!C9919</f>
        <v>43026</v>
      </c>
      <c r="D9919" t="str">
        <f>TEST_DATA!D9919</f>
        <v>NIL</v>
      </c>
      <c r="E9919">
        <f>TEST_DATA!E9919</f>
        <v>372</v>
      </c>
    </row>
    <row r="9920" spans="1:5" x14ac:dyDescent="0.55000000000000004">
      <c r="A9920" t="str">
        <f>TEST_DATA!A9920</f>
        <v>27AAAAA9920Z5</v>
      </c>
      <c r="B9920" t="str">
        <f>TEST_DATA!B9920</f>
        <v>Jul-2017</v>
      </c>
      <c r="C9920">
        <f>TEST_DATA!C9920</f>
        <v>44273</v>
      </c>
      <c r="D9920" t="str">
        <f>TEST_DATA!D9920</f>
        <v>NIL</v>
      </c>
      <c r="E9920">
        <f>TEST_DATA!E9920</f>
        <v>1915</v>
      </c>
    </row>
    <row r="9921" spans="1:5" x14ac:dyDescent="0.55000000000000004">
      <c r="A9921" t="str">
        <f>TEST_DATA!A9921</f>
        <v>27AAAAA9921Z5</v>
      </c>
      <c r="B9921" t="str">
        <f>TEST_DATA!B9921</f>
        <v>Jan-2018</v>
      </c>
      <c r="C9921">
        <f>TEST_DATA!C9921</f>
        <v>43695</v>
      </c>
      <c r="D9921" t="str">
        <f>TEST_DATA!D9921</f>
        <v>NON-NIL</v>
      </c>
      <c r="E9921">
        <f>TEST_DATA!E9921</f>
        <v>907</v>
      </c>
    </row>
    <row r="9922" spans="1:5" x14ac:dyDescent="0.55000000000000004">
      <c r="A9922" t="str">
        <f>TEST_DATA!A9922</f>
        <v>27AAAAA9922Z5</v>
      </c>
      <c r="B9922" t="str">
        <f>TEST_DATA!B9922</f>
        <v>Jun-2020</v>
      </c>
      <c r="C9922">
        <f>TEST_DATA!C9922</f>
        <v>44174</v>
      </c>
      <c r="D9922" t="str">
        <f>TEST_DATA!D9922</f>
        <v>NON-NIL</v>
      </c>
      <c r="E9922">
        <f>TEST_DATA!E9922</f>
        <v>1599</v>
      </c>
    </row>
    <row r="9923" spans="1:5" x14ac:dyDescent="0.55000000000000004">
      <c r="A9923" t="str">
        <f>TEST_DATA!A9923</f>
        <v>27AAAAA9923Z5</v>
      </c>
      <c r="B9923" t="str">
        <f>TEST_DATA!B9923</f>
        <v>Jun-2020</v>
      </c>
      <c r="C9923">
        <f>TEST_DATA!C9923</f>
        <v>44775</v>
      </c>
      <c r="D9923" t="str">
        <f>TEST_DATA!D9923</f>
        <v>NIL</v>
      </c>
      <c r="E9923">
        <f>TEST_DATA!E9923</f>
        <v>2948</v>
      </c>
    </row>
    <row r="9924" spans="1:5" x14ac:dyDescent="0.55000000000000004">
      <c r="A9924" t="str">
        <f>TEST_DATA!A9924</f>
        <v>27AAAAA9924Z5</v>
      </c>
      <c r="B9924" t="str">
        <f>TEST_DATA!B9924</f>
        <v>Jul-2020</v>
      </c>
      <c r="C9924">
        <f>TEST_DATA!C9924</f>
        <v>44211</v>
      </c>
      <c r="D9924" t="str">
        <f>TEST_DATA!D9924</f>
        <v>NIL</v>
      </c>
      <c r="E9924">
        <f>TEST_DATA!E9924</f>
        <v>2988</v>
      </c>
    </row>
    <row r="9925" spans="1:5" x14ac:dyDescent="0.55000000000000004">
      <c r="A9925" t="str">
        <f>TEST_DATA!A9925</f>
        <v>27AAAAA9925Z5</v>
      </c>
      <c r="B9925" t="str">
        <f>TEST_DATA!B9925</f>
        <v>Jan-2018</v>
      </c>
      <c r="C9925">
        <f>TEST_DATA!C9925</f>
        <v>43500</v>
      </c>
      <c r="D9925" t="str">
        <f>TEST_DATA!D9925</f>
        <v>NON-NIL</v>
      </c>
      <c r="E9925">
        <f>TEST_DATA!E9925</f>
        <v>1097</v>
      </c>
    </row>
    <row r="9926" spans="1:5" x14ac:dyDescent="0.55000000000000004">
      <c r="A9926" t="str">
        <f>TEST_DATA!A9926</f>
        <v>27AAAAA9926Z5</v>
      </c>
      <c r="B9926" t="str">
        <f>TEST_DATA!B9926</f>
        <v>Mar-2020</v>
      </c>
      <c r="C9926">
        <f>TEST_DATA!C9926</f>
        <v>44268</v>
      </c>
      <c r="D9926" t="str">
        <f>TEST_DATA!D9926</f>
        <v>NIL</v>
      </c>
      <c r="E9926">
        <f>TEST_DATA!E9926</f>
        <v>1745</v>
      </c>
    </row>
    <row r="9927" spans="1:5" x14ac:dyDescent="0.55000000000000004">
      <c r="A9927" t="str">
        <f>TEST_DATA!A9927</f>
        <v>27AAAAA9927Z5</v>
      </c>
      <c r="B9927" t="str">
        <f>TEST_DATA!B9927</f>
        <v>Jun-2020</v>
      </c>
      <c r="C9927">
        <f>TEST_DATA!C9927</f>
        <v>44632</v>
      </c>
      <c r="D9927" t="str">
        <f>TEST_DATA!D9927</f>
        <v>NIL</v>
      </c>
      <c r="E9927">
        <f>TEST_DATA!E9927</f>
        <v>393</v>
      </c>
    </row>
    <row r="9928" spans="1:5" x14ac:dyDescent="0.55000000000000004">
      <c r="A9928" t="str">
        <f>TEST_DATA!A9928</f>
        <v>27AAAAA9928Z5</v>
      </c>
      <c r="B9928" t="str">
        <f>TEST_DATA!B9928</f>
        <v>Mar-2020</v>
      </c>
      <c r="C9928">
        <f>TEST_DATA!C9928</f>
        <v>44084</v>
      </c>
      <c r="D9928" t="str">
        <f>TEST_DATA!D9928</f>
        <v>NIL</v>
      </c>
      <c r="E9928">
        <f>TEST_DATA!E9928</f>
        <v>2470</v>
      </c>
    </row>
    <row r="9929" spans="1:5" x14ac:dyDescent="0.55000000000000004">
      <c r="A9929" t="str">
        <f>TEST_DATA!A9929</f>
        <v>27AAAAA9929Z5</v>
      </c>
      <c r="B9929" t="str">
        <f>TEST_DATA!B9929</f>
        <v>Jul-2017</v>
      </c>
      <c r="C9929">
        <f>TEST_DATA!C9929</f>
        <v>43536</v>
      </c>
      <c r="D9929" t="str">
        <f>TEST_DATA!D9929</f>
        <v>NON-NIL</v>
      </c>
      <c r="E9929">
        <f>TEST_DATA!E9929</f>
        <v>1623</v>
      </c>
    </row>
    <row r="9930" spans="1:5" x14ac:dyDescent="0.55000000000000004">
      <c r="A9930" t="str">
        <f>TEST_DATA!A9930</f>
        <v>27AAAAA9930Z5</v>
      </c>
      <c r="B9930" t="str">
        <f>TEST_DATA!B9930</f>
        <v>Jan-2021</v>
      </c>
      <c r="C9930">
        <f>TEST_DATA!C9930</f>
        <v>43559</v>
      </c>
      <c r="D9930" t="str">
        <f>TEST_DATA!D9930</f>
        <v>NON-NIL</v>
      </c>
      <c r="E9930">
        <f>TEST_DATA!E9930</f>
        <v>851</v>
      </c>
    </row>
    <row r="9931" spans="1:5" x14ac:dyDescent="0.55000000000000004">
      <c r="A9931" t="str">
        <f>TEST_DATA!A9931</f>
        <v>27AAAAA9931Z5</v>
      </c>
      <c r="B9931" t="str">
        <f>TEST_DATA!B9931</f>
        <v>Mar-2023</v>
      </c>
      <c r="C9931">
        <f>TEST_DATA!C9931</f>
        <v>44097</v>
      </c>
      <c r="D9931" t="str">
        <f>TEST_DATA!D9931</f>
        <v>NON-NIL</v>
      </c>
      <c r="E9931">
        <f>TEST_DATA!E9931</f>
        <v>1267</v>
      </c>
    </row>
    <row r="9932" spans="1:5" x14ac:dyDescent="0.55000000000000004">
      <c r="A9932" t="str">
        <f>TEST_DATA!A9932</f>
        <v>27AAAAA9932Z5</v>
      </c>
      <c r="B9932" t="str">
        <f>TEST_DATA!B9932</f>
        <v>Apr-2018</v>
      </c>
      <c r="C9932">
        <f>TEST_DATA!C9932</f>
        <v>44464</v>
      </c>
      <c r="D9932" t="str">
        <f>TEST_DATA!D9932</f>
        <v>NON-NIL</v>
      </c>
      <c r="E9932">
        <f>TEST_DATA!E9932</f>
        <v>2284</v>
      </c>
    </row>
    <row r="9933" spans="1:5" x14ac:dyDescent="0.55000000000000004">
      <c r="A9933" t="str">
        <f>TEST_DATA!A9933</f>
        <v>27AAAAA9933Z5</v>
      </c>
      <c r="B9933" t="str">
        <f>TEST_DATA!B9933</f>
        <v>Dec-2024</v>
      </c>
      <c r="C9933">
        <f>TEST_DATA!C9933</f>
        <v>45804</v>
      </c>
      <c r="D9933" t="str">
        <f>TEST_DATA!D9933</f>
        <v>NIL</v>
      </c>
      <c r="E9933">
        <f>TEST_DATA!E9933</f>
        <v>2721</v>
      </c>
    </row>
    <row r="9934" spans="1:5" x14ac:dyDescent="0.55000000000000004">
      <c r="A9934" t="str">
        <f>TEST_DATA!A9934</f>
        <v>27AAAAA9934Z5</v>
      </c>
      <c r="B9934" t="str">
        <f>TEST_DATA!B9934</f>
        <v>Jan-2019</v>
      </c>
      <c r="C9934">
        <f>TEST_DATA!C9934</f>
        <v>45571</v>
      </c>
      <c r="D9934" t="str">
        <f>TEST_DATA!D9934</f>
        <v>NON-NIL</v>
      </c>
      <c r="E9934">
        <f>TEST_DATA!E9934</f>
        <v>2515</v>
      </c>
    </row>
    <row r="9935" spans="1:5" x14ac:dyDescent="0.55000000000000004">
      <c r="A9935" t="str">
        <f>TEST_DATA!A9935</f>
        <v>27AAAAA9935Z5</v>
      </c>
      <c r="B9935" t="str">
        <f>TEST_DATA!B9935</f>
        <v>Jun-2018</v>
      </c>
      <c r="C9935">
        <f>TEST_DATA!C9935</f>
        <v>44207</v>
      </c>
      <c r="D9935" t="str">
        <f>TEST_DATA!D9935</f>
        <v>NON-NIL</v>
      </c>
      <c r="E9935">
        <f>TEST_DATA!E9935</f>
        <v>374</v>
      </c>
    </row>
    <row r="9936" spans="1:5" x14ac:dyDescent="0.55000000000000004">
      <c r="A9936" t="str">
        <f>TEST_DATA!A9936</f>
        <v>27AAAAA9936Z5</v>
      </c>
      <c r="B9936" t="str">
        <f>TEST_DATA!B9936</f>
        <v>Jan-2019</v>
      </c>
      <c r="C9936">
        <f>TEST_DATA!C9936</f>
        <v>45230</v>
      </c>
      <c r="D9936" t="str">
        <f>TEST_DATA!D9936</f>
        <v>NIL</v>
      </c>
      <c r="E9936">
        <f>TEST_DATA!E9936</f>
        <v>2524</v>
      </c>
    </row>
    <row r="9937" spans="1:5" x14ac:dyDescent="0.55000000000000004">
      <c r="A9937" t="str">
        <f>TEST_DATA!A9937</f>
        <v>27AAAAA9937Z5</v>
      </c>
      <c r="B9937" t="str">
        <f>TEST_DATA!B9937</f>
        <v>Jun-2020</v>
      </c>
      <c r="C9937">
        <f>TEST_DATA!C9937</f>
        <v>43878</v>
      </c>
      <c r="D9937" t="str">
        <f>TEST_DATA!D9937</f>
        <v>NIL</v>
      </c>
      <c r="E9937">
        <f>TEST_DATA!E9937</f>
        <v>2030</v>
      </c>
    </row>
    <row r="9938" spans="1:5" x14ac:dyDescent="0.55000000000000004">
      <c r="A9938" t="str">
        <f>TEST_DATA!A9938</f>
        <v>27AAAAA9938Z5</v>
      </c>
      <c r="B9938" t="str">
        <f>TEST_DATA!B9938</f>
        <v>Oct-2017</v>
      </c>
      <c r="C9938">
        <f>TEST_DATA!C9938</f>
        <v>43766</v>
      </c>
      <c r="D9938" t="str">
        <f>TEST_DATA!D9938</f>
        <v>NON-NIL</v>
      </c>
      <c r="E9938">
        <f>TEST_DATA!E9938</f>
        <v>2896</v>
      </c>
    </row>
    <row r="9939" spans="1:5" x14ac:dyDescent="0.55000000000000004">
      <c r="A9939" t="str">
        <f>TEST_DATA!A9939</f>
        <v>27AAAAA9939Z5</v>
      </c>
      <c r="B9939" t="str">
        <f>TEST_DATA!B9939</f>
        <v>Jun-2020</v>
      </c>
      <c r="C9939">
        <f>TEST_DATA!C9939</f>
        <v>44580</v>
      </c>
      <c r="D9939" t="str">
        <f>TEST_DATA!D9939</f>
        <v>NIL</v>
      </c>
      <c r="E9939">
        <f>TEST_DATA!E9939</f>
        <v>59</v>
      </c>
    </row>
    <row r="9940" spans="1:5" x14ac:dyDescent="0.55000000000000004">
      <c r="A9940" t="str">
        <f>TEST_DATA!A9940</f>
        <v>27AAAAA9940Z5</v>
      </c>
      <c r="B9940" t="str">
        <f>TEST_DATA!B9940</f>
        <v>Apr-2018</v>
      </c>
      <c r="C9940">
        <f>TEST_DATA!C9940</f>
        <v>43633</v>
      </c>
      <c r="D9940" t="str">
        <f>TEST_DATA!D9940</f>
        <v>NON-NIL</v>
      </c>
      <c r="E9940">
        <f>TEST_DATA!E9940</f>
        <v>1011</v>
      </c>
    </row>
    <row r="9941" spans="1:5" x14ac:dyDescent="0.55000000000000004">
      <c r="A9941" t="str">
        <f>TEST_DATA!A9941</f>
        <v>27AAAAA9941Z5</v>
      </c>
      <c r="B9941" t="str">
        <f>TEST_DATA!B9941</f>
        <v>Jul-2020</v>
      </c>
      <c r="C9941">
        <f>TEST_DATA!C9941</f>
        <v>44387</v>
      </c>
      <c r="D9941" t="str">
        <f>TEST_DATA!D9941</f>
        <v>NON-NIL</v>
      </c>
      <c r="E9941">
        <f>TEST_DATA!E9941</f>
        <v>1783</v>
      </c>
    </row>
    <row r="9942" spans="1:5" x14ac:dyDescent="0.55000000000000004">
      <c r="A9942" t="str">
        <f>TEST_DATA!A9942</f>
        <v>27AAAAA9942Z5</v>
      </c>
      <c r="B9942" t="str">
        <f>TEST_DATA!B9942</f>
        <v>Mar-2020</v>
      </c>
      <c r="C9942">
        <f>TEST_DATA!C9942</f>
        <v>44445</v>
      </c>
      <c r="D9942" t="str">
        <f>TEST_DATA!D9942</f>
        <v>NON-NIL</v>
      </c>
      <c r="E9942">
        <f>TEST_DATA!E9942</f>
        <v>2022</v>
      </c>
    </row>
    <row r="9943" spans="1:5" x14ac:dyDescent="0.55000000000000004">
      <c r="A9943" t="str">
        <f>TEST_DATA!A9943</f>
        <v>27AAAAA9943Z5</v>
      </c>
      <c r="B9943" t="str">
        <f>TEST_DATA!B9943</f>
        <v>Apr-2021</v>
      </c>
      <c r="C9943">
        <f>TEST_DATA!C9943</f>
        <v>44340</v>
      </c>
      <c r="D9943" t="str">
        <f>TEST_DATA!D9943</f>
        <v>NIL</v>
      </c>
      <c r="E9943">
        <f>TEST_DATA!E9943</f>
        <v>2210</v>
      </c>
    </row>
    <row r="9944" spans="1:5" x14ac:dyDescent="0.55000000000000004">
      <c r="A9944" t="str">
        <f>TEST_DATA!A9944</f>
        <v>27AAAAA9944Z5</v>
      </c>
      <c r="B9944" t="str">
        <f>TEST_DATA!B9944</f>
        <v>Sep-2018</v>
      </c>
      <c r="C9944">
        <f>TEST_DATA!C9944</f>
        <v>44490</v>
      </c>
      <c r="D9944" t="str">
        <f>TEST_DATA!D9944</f>
        <v>NIL</v>
      </c>
      <c r="E9944">
        <f>TEST_DATA!E9944</f>
        <v>2914</v>
      </c>
    </row>
    <row r="9945" spans="1:5" x14ac:dyDescent="0.55000000000000004">
      <c r="A9945" t="str">
        <f>TEST_DATA!A9945</f>
        <v>27AAAAA9945Z5</v>
      </c>
      <c r="B9945" t="str">
        <f>TEST_DATA!B9945</f>
        <v>May-2018</v>
      </c>
      <c r="C9945">
        <f>TEST_DATA!C9945</f>
        <v>43184</v>
      </c>
      <c r="D9945" t="str">
        <f>TEST_DATA!D9945</f>
        <v>NIL</v>
      </c>
      <c r="E9945">
        <f>TEST_DATA!E9945</f>
        <v>2700</v>
      </c>
    </row>
    <row r="9946" spans="1:5" x14ac:dyDescent="0.55000000000000004">
      <c r="A9946" t="str">
        <f>TEST_DATA!A9946</f>
        <v>27AAAAA9946Z5</v>
      </c>
      <c r="B9946" t="str">
        <f>TEST_DATA!B9946</f>
        <v>May-2018</v>
      </c>
      <c r="C9946">
        <f>TEST_DATA!C9946</f>
        <v>43713</v>
      </c>
      <c r="D9946" t="str">
        <f>TEST_DATA!D9946</f>
        <v>NON-NIL</v>
      </c>
      <c r="E9946">
        <f>TEST_DATA!E9946</f>
        <v>1412</v>
      </c>
    </row>
    <row r="9947" spans="1:5" x14ac:dyDescent="0.55000000000000004">
      <c r="A9947" t="str">
        <f>TEST_DATA!A9947</f>
        <v>27AAAAA9947Z5</v>
      </c>
      <c r="B9947" t="str">
        <f>TEST_DATA!B9947</f>
        <v>Sep-2017</v>
      </c>
      <c r="C9947">
        <f>TEST_DATA!C9947</f>
        <v>44049</v>
      </c>
      <c r="D9947" t="str">
        <f>TEST_DATA!D9947</f>
        <v>NIL</v>
      </c>
      <c r="E9947">
        <f>TEST_DATA!E9947</f>
        <v>1812</v>
      </c>
    </row>
    <row r="9948" spans="1:5" x14ac:dyDescent="0.55000000000000004">
      <c r="A9948" t="str">
        <f>TEST_DATA!A9948</f>
        <v>27AAAAA9948Z5</v>
      </c>
      <c r="B9948" t="str">
        <f>TEST_DATA!B9948</f>
        <v>Dec-2019</v>
      </c>
      <c r="C9948">
        <f>TEST_DATA!C9948</f>
        <v>44706</v>
      </c>
      <c r="D9948" t="str">
        <f>TEST_DATA!D9948</f>
        <v>NON-NIL</v>
      </c>
      <c r="E9948">
        <f>TEST_DATA!E9948</f>
        <v>1812</v>
      </c>
    </row>
    <row r="9949" spans="1:5" x14ac:dyDescent="0.55000000000000004">
      <c r="A9949" t="str">
        <f>TEST_DATA!A9949</f>
        <v>27AAAAA9949Z5</v>
      </c>
      <c r="B9949" t="str">
        <f>TEST_DATA!B9949</f>
        <v>Sep-2017</v>
      </c>
      <c r="C9949">
        <f>TEST_DATA!C9949</f>
        <v>44132</v>
      </c>
      <c r="D9949" t="str">
        <f>TEST_DATA!D9949</f>
        <v>NIL</v>
      </c>
      <c r="E9949">
        <f>TEST_DATA!E9949</f>
        <v>1822</v>
      </c>
    </row>
    <row r="9950" spans="1:5" x14ac:dyDescent="0.55000000000000004">
      <c r="A9950" t="str">
        <f>TEST_DATA!A9950</f>
        <v>27AAAAA9950Z5</v>
      </c>
      <c r="B9950" t="str">
        <f>TEST_DATA!B9950</f>
        <v>Mar-2018</v>
      </c>
      <c r="C9950">
        <f>TEST_DATA!C9950</f>
        <v>43419</v>
      </c>
      <c r="D9950" t="str">
        <f>TEST_DATA!D9950</f>
        <v>NON-NIL</v>
      </c>
      <c r="E9950">
        <f>TEST_DATA!E9950</f>
        <v>1453</v>
      </c>
    </row>
    <row r="9951" spans="1:5" x14ac:dyDescent="0.55000000000000004">
      <c r="A9951" t="str">
        <f>TEST_DATA!A9951</f>
        <v>27AAAAA9951Z5</v>
      </c>
      <c r="B9951" t="str">
        <f>TEST_DATA!B9951</f>
        <v>Aug-2017</v>
      </c>
      <c r="C9951">
        <f>TEST_DATA!C9951</f>
        <v>44158</v>
      </c>
      <c r="D9951" t="str">
        <f>TEST_DATA!D9951</f>
        <v>NON-NIL</v>
      </c>
      <c r="E9951">
        <f>TEST_DATA!E9951</f>
        <v>2081</v>
      </c>
    </row>
    <row r="9952" spans="1:5" x14ac:dyDescent="0.55000000000000004">
      <c r="A9952" t="str">
        <f>TEST_DATA!A9952</f>
        <v>27AAAAA9952Z5</v>
      </c>
      <c r="B9952" t="str">
        <f>TEST_DATA!B9952</f>
        <v>May-2018</v>
      </c>
      <c r="C9952">
        <f>TEST_DATA!C9952</f>
        <v>44184</v>
      </c>
      <c r="D9952" t="str">
        <f>TEST_DATA!D9952</f>
        <v>NIL</v>
      </c>
      <c r="E9952">
        <f>TEST_DATA!E9952</f>
        <v>2061</v>
      </c>
    </row>
    <row r="9953" spans="1:5" x14ac:dyDescent="0.55000000000000004">
      <c r="A9953" t="str">
        <f>TEST_DATA!A9953</f>
        <v>27AAAAA9953Z5</v>
      </c>
      <c r="B9953" t="str">
        <f>TEST_DATA!B9953</f>
        <v>Aug-2017</v>
      </c>
      <c r="C9953">
        <f>TEST_DATA!C9953</f>
        <v>43726</v>
      </c>
      <c r="D9953" t="str">
        <f>TEST_DATA!D9953</f>
        <v>NIL</v>
      </c>
      <c r="E9953">
        <f>TEST_DATA!E9953</f>
        <v>1324</v>
      </c>
    </row>
    <row r="9954" spans="1:5" x14ac:dyDescent="0.55000000000000004">
      <c r="A9954" t="str">
        <f>TEST_DATA!A9954</f>
        <v>27AAAAA9954Z5</v>
      </c>
      <c r="B9954" t="str">
        <f>TEST_DATA!B9954</f>
        <v>Aug-2017</v>
      </c>
      <c r="C9954">
        <f>TEST_DATA!C9954</f>
        <v>43223</v>
      </c>
      <c r="D9954" t="str">
        <f>TEST_DATA!D9954</f>
        <v>NIL</v>
      </c>
      <c r="E9954">
        <f>TEST_DATA!E9954</f>
        <v>184</v>
      </c>
    </row>
    <row r="9955" spans="1:5" x14ac:dyDescent="0.55000000000000004">
      <c r="A9955" t="str">
        <f>TEST_DATA!A9955</f>
        <v>27AAAAA9955Z5</v>
      </c>
      <c r="B9955" t="str">
        <f>TEST_DATA!B9955</f>
        <v>Jun-2019</v>
      </c>
      <c r="C9955">
        <f>TEST_DATA!C9955</f>
        <v>45803</v>
      </c>
      <c r="D9955" t="str">
        <f>TEST_DATA!D9955</f>
        <v>NON-NIL</v>
      </c>
      <c r="E9955">
        <f>TEST_DATA!E9955</f>
        <v>1148</v>
      </c>
    </row>
    <row r="9956" spans="1:5" x14ac:dyDescent="0.55000000000000004">
      <c r="A9956" t="str">
        <f>TEST_DATA!A9956</f>
        <v>27AAAAA9956Z5</v>
      </c>
      <c r="B9956" t="str">
        <f>TEST_DATA!B9956</f>
        <v>Jul-2018</v>
      </c>
      <c r="C9956">
        <f>TEST_DATA!C9956</f>
        <v>44559</v>
      </c>
      <c r="D9956" t="str">
        <f>TEST_DATA!D9956</f>
        <v>NIL</v>
      </c>
      <c r="E9956">
        <f>TEST_DATA!E9956</f>
        <v>1086</v>
      </c>
    </row>
    <row r="9957" spans="1:5" x14ac:dyDescent="0.55000000000000004">
      <c r="A9957" t="str">
        <f>TEST_DATA!A9957</f>
        <v>27AAAAA9957Z5</v>
      </c>
      <c r="B9957" t="str">
        <f>TEST_DATA!B9957</f>
        <v>Feb-2018</v>
      </c>
      <c r="C9957">
        <f>TEST_DATA!C9957</f>
        <v>43527</v>
      </c>
      <c r="D9957" t="str">
        <f>TEST_DATA!D9957</f>
        <v>NIL</v>
      </c>
      <c r="E9957">
        <f>TEST_DATA!E9957</f>
        <v>1467</v>
      </c>
    </row>
    <row r="9958" spans="1:5" x14ac:dyDescent="0.55000000000000004">
      <c r="A9958" t="str">
        <f>TEST_DATA!A9958</f>
        <v>27AAAAA9958Z5</v>
      </c>
      <c r="B9958" t="str">
        <f>TEST_DATA!B9958</f>
        <v>Mar-2018</v>
      </c>
      <c r="C9958">
        <f>TEST_DATA!C9958</f>
        <v>43999</v>
      </c>
      <c r="D9958" t="str">
        <f>TEST_DATA!D9958</f>
        <v>NON-NIL</v>
      </c>
      <c r="E9958">
        <f>TEST_DATA!E9958</f>
        <v>2436</v>
      </c>
    </row>
    <row r="9959" spans="1:5" x14ac:dyDescent="0.55000000000000004">
      <c r="A9959" t="str">
        <f>TEST_DATA!A9959</f>
        <v>27AAAAA9959Z5</v>
      </c>
      <c r="B9959" t="str">
        <f>TEST_DATA!B9959</f>
        <v>May-2018</v>
      </c>
      <c r="C9959">
        <f>TEST_DATA!C9959</f>
        <v>43279</v>
      </c>
      <c r="D9959" t="str">
        <f>TEST_DATA!D9959</f>
        <v>NIL</v>
      </c>
      <c r="E9959">
        <f>TEST_DATA!E9959</f>
        <v>764</v>
      </c>
    </row>
    <row r="9960" spans="1:5" x14ac:dyDescent="0.55000000000000004">
      <c r="A9960" t="str">
        <f>TEST_DATA!A9960</f>
        <v>27AAAAA9960Z5</v>
      </c>
      <c r="B9960" t="str">
        <f>TEST_DATA!B9960</f>
        <v>Dec-2022</v>
      </c>
      <c r="C9960">
        <f>TEST_DATA!C9960</f>
        <v>43884</v>
      </c>
      <c r="D9960" t="str">
        <f>TEST_DATA!D9960</f>
        <v>NON-NIL</v>
      </c>
      <c r="E9960">
        <f>TEST_DATA!E9960</f>
        <v>1592</v>
      </c>
    </row>
    <row r="9961" spans="1:5" x14ac:dyDescent="0.55000000000000004">
      <c r="A9961" t="str">
        <f>TEST_DATA!A9961</f>
        <v>27AAAAA9961Z5</v>
      </c>
      <c r="B9961" t="str">
        <f>TEST_DATA!B9961</f>
        <v>Aug-2017</v>
      </c>
      <c r="C9961">
        <f>TEST_DATA!C9961</f>
        <v>43398</v>
      </c>
      <c r="D9961" t="str">
        <f>TEST_DATA!D9961</f>
        <v>NON-NIL</v>
      </c>
      <c r="E9961">
        <f>TEST_DATA!E9961</f>
        <v>260</v>
      </c>
    </row>
    <row r="9962" spans="1:5" x14ac:dyDescent="0.55000000000000004">
      <c r="A9962" t="str">
        <f>TEST_DATA!A9962</f>
        <v>27AAAAA9962Z5</v>
      </c>
      <c r="B9962" t="str">
        <f>TEST_DATA!B9962</f>
        <v>Jul-2017</v>
      </c>
      <c r="C9962">
        <f>TEST_DATA!C9962</f>
        <v>43984</v>
      </c>
      <c r="D9962" t="str">
        <f>TEST_DATA!D9962</f>
        <v>NIL</v>
      </c>
      <c r="E9962">
        <f>TEST_DATA!E9962</f>
        <v>858</v>
      </c>
    </row>
    <row r="9963" spans="1:5" x14ac:dyDescent="0.55000000000000004">
      <c r="A9963" t="str">
        <f>TEST_DATA!A9963</f>
        <v>27AAAAA9963Z5</v>
      </c>
      <c r="B9963" t="str">
        <f>TEST_DATA!B9963</f>
        <v>May-2018</v>
      </c>
      <c r="C9963">
        <f>TEST_DATA!C9963</f>
        <v>43552</v>
      </c>
      <c r="D9963" t="str">
        <f>TEST_DATA!D9963</f>
        <v>NON-NIL</v>
      </c>
      <c r="E9963">
        <f>TEST_DATA!E9963</f>
        <v>2547</v>
      </c>
    </row>
    <row r="9964" spans="1:5" x14ac:dyDescent="0.55000000000000004">
      <c r="A9964" t="str">
        <f>TEST_DATA!A9964</f>
        <v>27AAAAA9964Z5</v>
      </c>
      <c r="B9964" t="str">
        <f>TEST_DATA!B9964</f>
        <v>Apr-2018</v>
      </c>
      <c r="C9964">
        <f>TEST_DATA!C9964</f>
        <v>43698</v>
      </c>
      <c r="D9964" t="str">
        <f>TEST_DATA!D9964</f>
        <v>NON-NIL</v>
      </c>
      <c r="E9964">
        <f>TEST_DATA!E9964</f>
        <v>2</v>
      </c>
    </row>
    <row r="9965" spans="1:5" x14ac:dyDescent="0.55000000000000004">
      <c r="A9965" t="str">
        <f>TEST_DATA!A9965</f>
        <v>27AAAAA9965Z5</v>
      </c>
      <c r="B9965" t="str">
        <f>TEST_DATA!B9965</f>
        <v>Dec-2024</v>
      </c>
      <c r="C9965">
        <f>TEST_DATA!C9965</f>
        <v>44693</v>
      </c>
      <c r="D9965" t="str">
        <f>TEST_DATA!D9965</f>
        <v>NIL</v>
      </c>
      <c r="E9965">
        <f>TEST_DATA!E9965</f>
        <v>868</v>
      </c>
    </row>
    <row r="9966" spans="1:5" x14ac:dyDescent="0.55000000000000004">
      <c r="A9966" t="str">
        <f>TEST_DATA!A9966</f>
        <v>27AAAAA9966Z5</v>
      </c>
      <c r="B9966" t="str">
        <f>TEST_DATA!B9966</f>
        <v>Jan-2019</v>
      </c>
      <c r="C9966">
        <f>TEST_DATA!C9966</f>
        <v>45114</v>
      </c>
      <c r="D9966" t="str">
        <f>TEST_DATA!D9966</f>
        <v>NON-NIL</v>
      </c>
      <c r="E9966">
        <f>TEST_DATA!E9966</f>
        <v>1807</v>
      </c>
    </row>
    <row r="9967" spans="1:5" x14ac:dyDescent="0.55000000000000004">
      <c r="A9967" t="str">
        <f>TEST_DATA!A9967</f>
        <v>27AAAAA9967Z5</v>
      </c>
      <c r="B9967" t="str">
        <f>TEST_DATA!B9967</f>
        <v>Mar-2018</v>
      </c>
      <c r="C9967">
        <f>TEST_DATA!C9967</f>
        <v>43858</v>
      </c>
      <c r="D9967" t="str">
        <f>TEST_DATA!D9967</f>
        <v>NON-NIL</v>
      </c>
      <c r="E9967">
        <f>TEST_DATA!E9967</f>
        <v>2387</v>
      </c>
    </row>
    <row r="9968" spans="1:5" x14ac:dyDescent="0.55000000000000004">
      <c r="A9968" t="str">
        <f>TEST_DATA!A9968</f>
        <v>27AAAAA9968Z5</v>
      </c>
      <c r="B9968" t="str">
        <f>TEST_DATA!B9968</f>
        <v>Oct-2017</v>
      </c>
      <c r="C9968">
        <f>TEST_DATA!C9968</f>
        <v>44262</v>
      </c>
      <c r="D9968" t="str">
        <f>TEST_DATA!D9968</f>
        <v>NIL</v>
      </c>
      <c r="E9968">
        <f>TEST_DATA!E9968</f>
        <v>1745</v>
      </c>
    </row>
    <row r="9969" spans="1:5" x14ac:dyDescent="0.55000000000000004">
      <c r="A9969" t="str">
        <f>TEST_DATA!A9969</f>
        <v>27AAAAA9969Z5</v>
      </c>
      <c r="B9969" t="str">
        <f>TEST_DATA!B9969</f>
        <v>Sep-2017</v>
      </c>
      <c r="C9969">
        <f>TEST_DATA!C9969</f>
        <v>43298</v>
      </c>
      <c r="D9969" t="str">
        <f>TEST_DATA!D9969</f>
        <v>NIL</v>
      </c>
      <c r="E9969">
        <f>TEST_DATA!E9969</f>
        <v>474</v>
      </c>
    </row>
    <row r="9970" spans="1:5" x14ac:dyDescent="0.55000000000000004">
      <c r="A9970" t="str">
        <f>TEST_DATA!A9970</f>
        <v>27AAAAA9970Z5</v>
      </c>
      <c r="B9970" t="str">
        <f>TEST_DATA!B9970</f>
        <v>Apr-2021</v>
      </c>
      <c r="C9970">
        <f>TEST_DATA!C9970</f>
        <v>44850</v>
      </c>
      <c r="D9970" t="str">
        <f>TEST_DATA!D9970</f>
        <v>NIL</v>
      </c>
      <c r="E9970">
        <f>TEST_DATA!E9970</f>
        <v>973</v>
      </c>
    </row>
    <row r="9971" spans="1:5" x14ac:dyDescent="0.55000000000000004">
      <c r="A9971" t="str">
        <f>TEST_DATA!A9971</f>
        <v>27AAAAA9971Z5</v>
      </c>
      <c r="B9971" t="str">
        <f>TEST_DATA!B9971</f>
        <v>Jan-2021</v>
      </c>
      <c r="C9971">
        <f>TEST_DATA!C9971</f>
        <v>45819</v>
      </c>
      <c r="D9971" t="str">
        <f>TEST_DATA!D9971</f>
        <v>NON-NIL</v>
      </c>
      <c r="E9971">
        <f>TEST_DATA!E9971</f>
        <v>2862</v>
      </c>
    </row>
    <row r="9972" spans="1:5" x14ac:dyDescent="0.55000000000000004">
      <c r="A9972" t="str">
        <f>TEST_DATA!A9972</f>
        <v>27AAAAA9972Z5</v>
      </c>
      <c r="B9972" t="str">
        <f>TEST_DATA!B9972</f>
        <v>May-2018</v>
      </c>
      <c r="C9972">
        <f>TEST_DATA!C9972</f>
        <v>43636</v>
      </c>
      <c r="D9972" t="str">
        <f>TEST_DATA!D9972</f>
        <v>NON-NIL</v>
      </c>
      <c r="E9972">
        <f>TEST_DATA!E9972</f>
        <v>2908</v>
      </c>
    </row>
    <row r="9973" spans="1:5" x14ac:dyDescent="0.55000000000000004">
      <c r="A9973" t="str">
        <f>TEST_DATA!A9973</f>
        <v>27AAAAA9973Z5</v>
      </c>
      <c r="B9973" t="str">
        <f>TEST_DATA!B9973</f>
        <v>Jun-2019</v>
      </c>
      <c r="C9973">
        <f>TEST_DATA!C9973</f>
        <v>43753</v>
      </c>
      <c r="D9973" t="str">
        <f>TEST_DATA!D9973</f>
        <v>NIL</v>
      </c>
      <c r="E9973">
        <f>TEST_DATA!E9973</f>
        <v>173</v>
      </c>
    </row>
    <row r="9974" spans="1:5" x14ac:dyDescent="0.55000000000000004">
      <c r="A9974" t="str">
        <f>TEST_DATA!A9974</f>
        <v>27AAAAA9974Z5</v>
      </c>
      <c r="B9974" t="str">
        <f>TEST_DATA!B9974</f>
        <v>Apr-2021</v>
      </c>
      <c r="C9974">
        <f>TEST_DATA!C9974</f>
        <v>44705</v>
      </c>
      <c r="D9974" t="str">
        <f>TEST_DATA!D9974</f>
        <v>NIL</v>
      </c>
      <c r="E9974">
        <f>TEST_DATA!E9974</f>
        <v>1285</v>
      </c>
    </row>
    <row r="9975" spans="1:5" x14ac:dyDescent="0.55000000000000004">
      <c r="A9975" t="str">
        <f>TEST_DATA!A9975</f>
        <v>27AAAAA9975Z5</v>
      </c>
      <c r="B9975" t="str">
        <f>TEST_DATA!B9975</f>
        <v>Jun-2019</v>
      </c>
      <c r="C9975">
        <f>TEST_DATA!C9975</f>
        <v>44373</v>
      </c>
      <c r="D9975" t="str">
        <f>TEST_DATA!D9975</f>
        <v>NIL</v>
      </c>
      <c r="E9975">
        <f>TEST_DATA!E9975</f>
        <v>887</v>
      </c>
    </row>
    <row r="9976" spans="1:5" x14ac:dyDescent="0.55000000000000004">
      <c r="A9976" t="str">
        <f>TEST_DATA!A9976</f>
        <v>27AAAAA9976Z5</v>
      </c>
      <c r="B9976" t="str">
        <f>TEST_DATA!B9976</f>
        <v>Jun-2018</v>
      </c>
      <c r="C9976">
        <f>TEST_DATA!C9976</f>
        <v>43185</v>
      </c>
      <c r="D9976" t="str">
        <f>TEST_DATA!D9976</f>
        <v>NON-NIL</v>
      </c>
      <c r="E9976">
        <f>TEST_DATA!E9976</f>
        <v>2927</v>
      </c>
    </row>
    <row r="9977" spans="1:5" x14ac:dyDescent="0.55000000000000004">
      <c r="A9977" t="str">
        <f>TEST_DATA!A9977</f>
        <v>27AAAAA9977Z5</v>
      </c>
      <c r="B9977" t="str">
        <f>TEST_DATA!B9977</f>
        <v>Jul-2020</v>
      </c>
      <c r="C9977">
        <f>TEST_DATA!C9977</f>
        <v>44652</v>
      </c>
      <c r="D9977" t="str">
        <f>TEST_DATA!D9977</f>
        <v>NIL</v>
      </c>
      <c r="E9977">
        <f>TEST_DATA!E9977</f>
        <v>411</v>
      </c>
    </row>
    <row r="9978" spans="1:5" x14ac:dyDescent="0.55000000000000004">
      <c r="A9978" t="str">
        <f>TEST_DATA!A9978</f>
        <v>27AAAAA9978Z5</v>
      </c>
      <c r="B9978" t="str">
        <f>TEST_DATA!B9978</f>
        <v>Dec-2022</v>
      </c>
      <c r="C9978">
        <f>TEST_DATA!C9978</f>
        <v>44381</v>
      </c>
      <c r="D9978" t="str">
        <f>TEST_DATA!D9978</f>
        <v>NON-NIL</v>
      </c>
      <c r="E9978">
        <f>TEST_DATA!E9978</f>
        <v>1292</v>
      </c>
    </row>
    <row r="9979" spans="1:5" x14ac:dyDescent="0.55000000000000004">
      <c r="A9979" t="str">
        <f>TEST_DATA!A9979</f>
        <v>27AAAAA9979Z5</v>
      </c>
      <c r="B9979" t="str">
        <f>TEST_DATA!B9979</f>
        <v>Jan-2021</v>
      </c>
      <c r="C9979">
        <f>TEST_DATA!C9979</f>
        <v>43467</v>
      </c>
      <c r="D9979" t="str">
        <f>TEST_DATA!D9979</f>
        <v>NIL</v>
      </c>
      <c r="E9979">
        <f>TEST_DATA!E9979</f>
        <v>685</v>
      </c>
    </row>
    <row r="9980" spans="1:5" x14ac:dyDescent="0.55000000000000004">
      <c r="A9980" t="str">
        <f>TEST_DATA!A9980</f>
        <v>27AAAAA9980Z5</v>
      </c>
      <c r="B9980" t="str">
        <f>TEST_DATA!B9980</f>
        <v>Mar-2020</v>
      </c>
      <c r="C9980">
        <f>TEST_DATA!C9980</f>
        <v>44524</v>
      </c>
      <c r="D9980" t="str">
        <f>TEST_DATA!D9980</f>
        <v>NON-NIL</v>
      </c>
      <c r="E9980">
        <f>TEST_DATA!E9980</f>
        <v>790</v>
      </c>
    </row>
    <row r="9981" spans="1:5" x14ac:dyDescent="0.55000000000000004">
      <c r="A9981" t="str">
        <f>TEST_DATA!A9981</f>
        <v>27AAAAA9981Z5</v>
      </c>
      <c r="B9981" t="str">
        <f>TEST_DATA!B9981</f>
        <v>Apr-2021</v>
      </c>
      <c r="C9981">
        <f>TEST_DATA!C9981</f>
        <v>45590</v>
      </c>
      <c r="D9981" t="str">
        <f>TEST_DATA!D9981</f>
        <v>NIL</v>
      </c>
      <c r="E9981">
        <f>TEST_DATA!E9981</f>
        <v>433</v>
      </c>
    </row>
    <row r="9982" spans="1:5" x14ac:dyDescent="0.55000000000000004">
      <c r="A9982" t="str">
        <f>TEST_DATA!A9982</f>
        <v>27AAAAA9982Z5</v>
      </c>
      <c r="B9982" t="str">
        <f>TEST_DATA!B9982</f>
        <v>Dec-2024</v>
      </c>
      <c r="C9982">
        <f>TEST_DATA!C9982</f>
        <v>43593</v>
      </c>
      <c r="D9982" t="str">
        <f>TEST_DATA!D9982</f>
        <v>NIL</v>
      </c>
      <c r="E9982">
        <f>TEST_DATA!E9982</f>
        <v>755</v>
      </c>
    </row>
    <row r="9983" spans="1:5" x14ac:dyDescent="0.55000000000000004">
      <c r="A9983" t="str">
        <f>TEST_DATA!A9983</f>
        <v>27AAAAA9983Z5</v>
      </c>
      <c r="B9983" t="str">
        <f>TEST_DATA!B9983</f>
        <v>Mar-2023</v>
      </c>
      <c r="C9983">
        <f>TEST_DATA!C9983</f>
        <v>44671</v>
      </c>
      <c r="D9983" t="str">
        <f>TEST_DATA!D9983</f>
        <v>NON-NIL</v>
      </c>
      <c r="E9983">
        <f>TEST_DATA!E9983</f>
        <v>1907</v>
      </c>
    </row>
    <row r="9984" spans="1:5" x14ac:dyDescent="0.55000000000000004">
      <c r="A9984" t="str">
        <f>TEST_DATA!A9984</f>
        <v>27AAAAA9984Z5</v>
      </c>
      <c r="B9984" t="str">
        <f>TEST_DATA!B9984</f>
        <v>Oct-2017</v>
      </c>
      <c r="C9984">
        <f>TEST_DATA!C9984</f>
        <v>44026</v>
      </c>
      <c r="D9984" t="str">
        <f>TEST_DATA!D9984</f>
        <v>NIL</v>
      </c>
      <c r="E9984">
        <f>TEST_DATA!E9984</f>
        <v>1535</v>
      </c>
    </row>
    <row r="9985" spans="1:5" x14ac:dyDescent="0.55000000000000004">
      <c r="A9985" t="str">
        <f>TEST_DATA!A9985</f>
        <v>27AAAAA9985Z5</v>
      </c>
      <c r="B9985" t="str">
        <f>TEST_DATA!B9985</f>
        <v>Dec-2019</v>
      </c>
      <c r="C9985">
        <f>TEST_DATA!C9985</f>
        <v>43690</v>
      </c>
      <c r="D9985" t="str">
        <f>TEST_DATA!D9985</f>
        <v>NON-NIL</v>
      </c>
      <c r="E9985">
        <f>TEST_DATA!E9985</f>
        <v>2679</v>
      </c>
    </row>
    <row r="9986" spans="1:5" x14ac:dyDescent="0.55000000000000004">
      <c r="A9986" t="str">
        <f>TEST_DATA!A9986</f>
        <v>27AAAAA9986Z5</v>
      </c>
      <c r="B9986" t="str">
        <f>TEST_DATA!B9986</f>
        <v>Apr-2021</v>
      </c>
      <c r="C9986">
        <f>TEST_DATA!C9986</f>
        <v>43837</v>
      </c>
      <c r="D9986" t="str">
        <f>TEST_DATA!D9986</f>
        <v>NON-NIL</v>
      </c>
      <c r="E9986">
        <f>TEST_DATA!E9986</f>
        <v>2488</v>
      </c>
    </row>
    <row r="9987" spans="1:5" x14ac:dyDescent="0.55000000000000004">
      <c r="A9987" t="str">
        <f>TEST_DATA!A9987</f>
        <v>27AAAAA9987Z5</v>
      </c>
      <c r="B9987" t="str">
        <f>TEST_DATA!B9987</f>
        <v>Mar-2020</v>
      </c>
      <c r="C9987">
        <f>TEST_DATA!C9987</f>
        <v>44068</v>
      </c>
      <c r="D9987" t="str">
        <f>TEST_DATA!D9987</f>
        <v>NIL</v>
      </c>
      <c r="E9987">
        <f>TEST_DATA!E9987</f>
        <v>1643</v>
      </c>
    </row>
    <row r="9988" spans="1:5" x14ac:dyDescent="0.55000000000000004">
      <c r="A9988" t="str">
        <f>TEST_DATA!A9988</f>
        <v>27AAAAA9988Z5</v>
      </c>
      <c r="B9988" t="str">
        <f>TEST_DATA!B9988</f>
        <v>May-2020</v>
      </c>
      <c r="C9988">
        <f>TEST_DATA!C9988</f>
        <v>44596</v>
      </c>
      <c r="D9988" t="str">
        <f>TEST_DATA!D9988</f>
        <v>NIL</v>
      </c>
      <c r="E9988">
        <f>TEST_DATA!E9988</f>
        <v>1459</v>
      </c>
    </row>
    <row r="9989" spans="1:5" x14ac:dyDescent="0.55000000000000004">
      <c r="A9989" t="str">
        <f>TEST_DATA!A9989</f>
        <v>27AAAAA9989Z5</v>
      </c>
      <c r="B9989" t="str">
        <f>TEST_DATA!B9989</f>
        <v>May-2018</v>
      </c>
      <c r="C9989">
        <f>TEST_DATA!C9989</f>
        <v>43164</v>
      </c>
      <c r="D9989" t="str">
        <f>TEST_DATA!D9989</f>
        <v>NIL</v>
      </c>
      <c r="E9989">
        <f>TEST_DATA!E9989</f>
        <v>2751</v>
      </c>
    </row>
    <row r="9990" spans="1:5" x14ac:dyDescent="0.55000000000000004">
      <c r="A9990" t="str">
        <f>TEST_DATA!A9990</f>
        <v>27AAAAA9990Z5</v>
      </c>
      <c r="B9990" t="str">
        <f>TEST_DATA!B9990</f>
        <v>Dec-2022</v>
      </c>
      <c r="C9990">
        <f>TEST_DATA!C9990</f>
        <v>44377</v>
      </c>
      <c r="D9990" t="str">
        <f>TEST_DATA!D9990</f>
        <v>NON-NIL</v>
      </c>
      <c r="E9990">
        <f>TEST_DATA!E9990</f>
        <v>2180</v>
      </c>
    </row>
    <row r="9991" spans="1:5" x14ac:dyDescent="0.55000000000000004">
      <c r="A9991" t="str">
        <f>TEST_DATA!A9991</f>
        <v>27AAAAA9991Z5</v>
      </c>
      <c r="B9991" t="str">
        <f>TEST_DATA!B9991</f>
        <v>Sep-2018</v>
      </c>
      <c r="C9991">
        <f>TEST_DATA!C9991</f>
        <v>43083</v>
      </c>
      <c r="D9991" t="str">
        <f>TEST_DATA!D9991</f>
        <v>NON-NIL</v>
      </c>
      <c r="E9991">
        <f>TEST_DATA!E9991</f>
        <v>2704</v>
      </c>
    </row>
    <row r="9992" spans="1:5" x14ac:dyDescent="0.55000000000000004">
      <c r="A9992" t="str">
        <f>TEST_DATA!A9992</f>
        <v>27AAAAA9992Z5</v>
      </c>
      <c r="B9992" t="str">
        <f>TEST_DATA!B9992</f>
        <v>Jan-2019</v>
      </c>
      <c r="C9992">
        <f>TEST_DATA!C9992</f>
        <v>43780</v>
      </c>
      <c r="D9992" t="str">
        <f>TEST_DATA!D9992</f>
        <v>NON-NIL</v>
      </c>
      <c r="E9992">
        <f>TEST_DATA!E9992</f>
        <v>31</v>
      </c>
    </row>
    <row r="9993" spans="1:5" x14ac:dyDescent="0.55000000000000004">
      <c r="A9993" t="str">
        <f>TEST_DATA!A9993</f>
        <v>27AAAAA9993Z5</v>
      </c>
      <c r="B9993" t="str">
        <f>TEST_DATA!B9993</f>
        <v>Dec-2019</v>
      </c>
      <c r="C9993">
        <f>TEST_DATA!C9993</f>
        <v>43512</v>
      </c>
      <c r="D9993" t="str">
        <f>TEST_DATA!D9993</f>
        <v>NON-NIL</v>
      </c>
      <c r="E9993">
        <f>TEST_DATA!E9993</f>
        <v>2499</v>
      </c>
    </row>
    <row r="9994" spans="1:5" x14ac:dyDescent="0.55000000000000004">
      <c r="A9994" t="str">
        <f>TEST_DATA!A9994</f>
        <v>27AAAAA9994Z5</v>
      </c>
      <c r="B9994" t="str">
        <f>TEST_DATA!B9994</f>
        <v>Nov-2017</v>
      </c>
      <c r="C9994">
        <f>TEST_DATA!C9994</f>
        <v>44140</v>
      </c>
      <c r="D9994" t="str">
        <f>TEST_DATA!D9994</f>
        <v>NIL</v>
      </c>
      <c r="E9994">
        <f>TEST_DATA!E9994</f>
        <v>2896</v>
      </c>
    </row>
    <row r="9995" spans="1:5" x14ac:dyDescent="0.55000000000000004">
      <c r="A9995" t="str">
        <f>TEST_DATA!A9995</f>
        <v>27AAAAA9995Z5</v>
      </c>
      <c r="B9995" t="str">
        <f>TEST_DATA!B9995</f>
        <v>Dec-2017</v>
      </c>
      <c r="C9995">
        <f>TEST_DATA!C9995</f>
        <v>44455</v>
      </c>
      <c r="D9995" t="str">
        <f>TEST_DATA!D9995</f>
        <v>NON-NIL</v>
      </c>
      <c r="E9995">
        <f>TEST_DATA!E9995</f>
        <v>70</v>
      </c>
    </row>
    <row r="9996" spans="1:5" x14ac:dyDescent="0.55000000000000004">
      <c r="A9996" t="str">
        <f>TEST_DATA!A9996</f>
        <v>27AAAAA9996Z5</v>
      </c>
      <c r="B9996" t="str">
        <f>TEST_DATA!B9996</f>
        <v>Jan-2019</v>
      </c>
      <c r="C9996">
        <f>TEST_DATA!C9996</f>
        <v>43881</v>
      </c>
      <c r="D9996" t="str">
        <f>TEST_DATA!D9996</f>
        <v>NON-NIL</v>
      </c>
      <c r="E9996">
        <f>TEST_DATA!E9996</f>
        <v>342</v>
      </c>
    </row>
    <row r="9997" spans="1:5" x14ac:dyDescent="0.55000000000000004">
      <c r="A9997" t="str">
        <f>TEST_DATA!A9997</f>
        <v>27AAAAA9997Z5</v>
      </c>
      <c r="B9997" t="str">
        <f>TEST_DATA!B9997</f>
        <v>Nov-2017</v>
      </c>
      <c r="C9997">
        <f>TEST_DATA!C9997</f>
        <v>44127</v>
      </c>
      <c r="D9997" t="str">
        <f>TEST_DATA!D9997</f>
        <v>NIL</v>
      </c>
      <c r="E9997">
        <f>TEST_DATA!E9997</f>
        <v>850</v>
      </c>
    </row>
    <row r="9998" spans="1:5" x14ac:dyDescent="0.55000000000000004">
      <c r="A9998" t="str">
        <f>TEST_DATA!A9998</f>
        <v>27AAAAA9998Z5</v>
      </c>
      <c r="B9998" t="str">
        <f>TEST_DATA!B9998</f>
        <v>Dec-2022</v>
      </c>
      <c r="C9998">
        <f>TEST_DATA!C9998</f>
        <v>44041</v>
      </c>
      <c r="D9998" t="str">
        <f>TEST_DATA!D9998</f>
        <v>NIL</v>
      </c>
      <c r="E9998">
        <f>TEST_DATA!E9998</f>
        <v>797</v>
      </c>
    </row>
    <row r="9999" spans="1:5" x14ac:dyDescent="0.55000000000000004">
      <c r="A9999" t="str">
        <f>TEST_DATA!A9999</f>
        <v>27AAAAA9999Z5</v>
      </c>
      <c r="B9999" t="str">
        <f>TEST_DATA!B9999</f>
        <v>Mar-2018</v>
      </c>
      <c r="C9999">
        <f>TEST_DATA!C9999</f>
        <v>44097</v>
      </c>
      <c r="D9999" t="str">
        <f>TEST_DATA!D9999</f>
        <v>NON-NIL</v>
      </c>
      <c r="E9999">
        <f>TEST_DATA!E9999</f>
        <v>668</v>
      </c>
    </row>
    <row r="10000" spans="1:5" x14ac:dyDescent="0.55000000000000004">
      <c r="A10000" t="str">
        <f>TEST_DATA!A10000</f>
        <v>27AAAAA10000Z5</v>
      </c>
      <c r="B10000" t="str">
        <f>TEST_DATA!B10000</f>
        <v>Nov-2017</v>
      </c>
      <c r="C10000">
        <f>TEST_DATA!C10000</f>
        <v>43003</v>
      </c>
      <c r="D10000" t="str">
        <f>TEST_DATA!D10000</f>
        <v>NON-NIL</v>
      </c>
      <c r="E10000">
        <f>TEST_DATA!E10000</f>
        <v>169</v>
      </c>
    </row>
    <row r="10001" spans="1:5" x14ac:dyDescent="0.55000000000000004">
      <c r="A10001" t="str">
        <f>TEST_DATA!A10001</f>
        <v>27AAAAA10001Z5</v>
      </c>
      <c r="B10001" t="str">
        <f>TEST_DATA!B10001</f>
        <v>Jun-2020</v>
      </c>
      <c r="C10001">
        <f>TEST_DATA!C10001</f>
        <v>43937</v>
      </c>
      <c r="D10001" t="str">
        <f>TEST_DATA!D10001</f>
        <v>NIL</v>
      </c>
      <c r="E10001">
        <f>TEST_DATA!E10001</f>
        <v>1957</v>
      </c>
    </row>
    <row r="10002" spans="1:5" x14ac:dyDescent="0.55000000000000004">
      <c r="A10002" t="str">
        <f>TEST_DATA!A10002</f>
        <v>27AAAAA10002Z5</v>
      </c>
      <c r="B10002" t="str">
        <f>TEST_DATA!B10002</f>
        <v>Mar-2023</v>
      </c>
      <c r="C10002">
        <f>TEST_DATA!C10002</f>
        <v>43765</v>
      </c>
      <c r="D10002" t="str">
        <f>TEST_DATA!D10002</f>
        <v>NON-NIL</v>
      </c>
      <c r="E10002">
        <f>TEST_DATA!E10002</f>
        <v>2031</v>
      </c>
    </row>
    <row r="10003" spans="1:5" x14ac:dyDescent="0.55000000000000004">
      <c r="A10003" t="str">
        <f>TEST_DATA!A10003</f>
        <v>27AAAAA10003Z5</v>
      </c>
      <c r="B10003" t="str">
        <f>TEST_DATA!B10003</f>
        <v>Jun-2018</v>
      </c>
      <c r="C10003">
        <f>TEST_DATA!C10003</f>
        <v>43986</v>
      </c>
      <c r="D10003" t="str">
        <f>TEST_DATA!D10003</f>
        <v>NON-NIL</v>
      </c>
      <c r="E10003">
        <f>TEST_DATA!E10003</f>
        <v>1578</v>
      </c>
    </row>
    <row r="10004" spans="1:5" x14ac:dyDescent="0.55000000000000004">
      <c r="A10004" t="str">
        <f>TEST_DATA!A10004</f>
        <v>27AAAAA10004Z5</v>
      </c>
      <c r="B10004" t="str">
        <f>TEST_DATA!B10004</f>
        <v>Nov-2017</v>
      </c>
      <c r="C10004">
        <f>TEST_DATA!C10004</f>
        <v>44384</v>
      </c>
      <c r="D10004" t="str">
        <f>TEST_DATA!D10004</f>
        <v>NON-NIL</v>
      </c>
      <c r="E10004">
        <f>TEST_DATA!E10004</f>
        <v>1044</v>
      </c>
    </row>
    <row r="10005" spans="1:5" x14ac:dyDescent="0.55000000000000004">
      <c r="A10005" t="str">
        <f>TEST_DATA!A10005</f>
        <v>27AAAAA10005Z5</v>
      </c>
      <c r="B10005" t="str">
        <f>TEST_DATA!B10005</f>
        <v>Dec-2019</v>
      </c>
      <c r="C10005">
        <f>TEST_DATA!C10005</f>
        <v>43494</v>
      </c>
      <c r="D10005" t="str">
        <f>TEST_DATA!D10005</f>
        <v>NON-NIL</v>
      </c>
      <c r="E10005">
        <f>TEST_DATA!E10005</f>
        <v>1636</v>
      </c>
    </row>
    <row r="10006" spans="1:5" x14ac:dyDescent="0.55000000000000004">
      <c r="A10006" t="str">
        <f>TEST_DATA!A10006</f>
        <v>27AAAAA10006Z5</v>
      </c>
      <c r="B10006" t="str">
        <f>TEST_DATA!B10006</f>
        <v>Oct-2017</v>
      </c>
      <c r="C10006">
        <f>TEST_DATA!C10006</f>
        <v>43056</v>
      </c>
      <c r="D10006" t="str">
        <f>TEST_DATA!D10006</f>
        <v>NIL</v>
      </c>
      <c r="E10006">
        <f>TEST_DATA!E10006</f>
        <v>1697</v>
      </c>
    </row>
    <row r="10007" spans="1:5" x14ac:dyDescent="0.55000000000000004">
      <c r="A10007" t="str">
        <f>TEST_DATA!A10007</f>
        <v>27AAAAA10007Z5</v>
      </c>
      <c r="B10007" t="str">
        <f>TEST_DATA!B10007</f>
        <v>Apr-2021</v>
      </c>
      <c r="C10007">
        <f>TEST_DATA!C10007</f>
        <v>44003</v>
      </c>
      <c r="D10007" t="str">
        <f>TEST_DATA!D10007</f>
        <v>NIL</v>
      </c>
      <c r="E10007">
        <f>TEST_DATA!E10007</f>
        <v>2661</v>
      </c>
    </row>
    <row r="10008" spans="1:5" x14ac:dyDescent="0.55000000000000004">
      <c r="A10008" t="str">
        <f>TEST_DATA!A10008</f>
        <v>27AAAAA10008Z5</v>
      </c>
      <c r="B10008" t="str">
        <f>TEST_DATA!B10008</f>
        <v>Feb-2018</v>
      </c>
      <c r="C10008">
        <f>TEST_DATA!C10008</f>
        <v>43038</v>
      </c>
      <c r="D10008" t="str">
        <f>TEST_DATA!D10008</f>
        <v>NON-NIL</v>
      </c>
      <c r="E10008">
        <f>TEST_DATA!E10008</f>
        <v>2424</v>
      </c>
    </row>
    <row r="10009" spans="1:5" x14ac:dyDescent="0.55000000000000004">
      <c r="A10009" t="str">
        <f>TEST_DATA!A10009</f>
        <v>27AAAAA10009Z5</v>
      </c>
      <c r="B10009" t="str">
        <f>TEST_DATA!B10009</f>
        <v>Dec-2022</v>
      </c>
      <c r="C10009">
        <f>TEST_DATA!C10009</f>
        <v>44983</v>
      </c>
      <c r="D10009" t="str">
        <f>TEST_DATA!D10009</f>
        <v>NIL</v>
      </c>
      <c r="E10009">
        <f>TEST_DATA!E10009</f>
        <v>1758</v>
      </c>
    </row>
    <row r="10010" spans="1:5" x14ac:dyDescent="0.55000000000000004">
      <c r="A10010" t="str">
        <f>TEST_DATA!A10010</f>
        <v>27AAAAA10010Z5</v>
      </c>
      <c r="B10010" t="str">
        <f>TEST_DATA!B10010</f>
        <v>May-2018</v>
      </c>
      <c r="C10010">
        <f>TEST_DATA!C10010</f>
        <v>43921</v>
      </c>
      <c r="D10010" t="str">
        <f>TEST_DATA!D10010</f>
        <v>NIL</v>
      </c>
      <c r="E10010">
        <f>TEST_DATA!E10010</f>
        <v>688</v>
      </c>
    </row>
    <row r="10011" spans="1:5" x14ac:dyDescent="0.55000000000000004">
      <c r="A10011" t="str">
        <f>TEST_DATA!A10011</f>
        <v>27AAAAA10011Z5</v>
      </c>
      <c r="B10011" t="str">
        <f>TEST_DATA!B10011</f>
        <v>Oct-2017</v>
      </c>
      <c r="C10011">
        <f>TEST_DATA!C10011</f>
        <v>43158</v>
      </c>
      <c r="D10011" t="str">
        <f>TEST_DATA!D10011</f>
        <v>NON-NIL</v>
      </c>
      <c r="E10011">
        <f>TEST_DATA!E10011</f>
        <v>196</v>
      </c>
    </row>
    <row r="10012" spans="1:5" x14ac:dyDescent="0.55000000000000004">
      <c r="A10012" t="str">
        <f>TEST_DATA!A10012</f>
        <v>27AAAAA10012Z5</v>
      </c>
      <c r="B10012" t="str">
        <f>TEST_DATA!B10012</f>
        <v>Dec-2022</v>
      </c>
      <c r="C10012">
        <f>TEST_DATA!C10012</f>
        <v>43725</v>
      </c>
      <c r="D10012" t="str">
        <f>TEST_DATA!D10012</f>
        <v>NIL</v>
      </c>
      <c r="E10012">
        <f>TEST_DATA!E10012</f>
        <v>497</v>
      </c>
    </row>
    <row r="10013" spans="1:5" x14ac:dyDescent="0.55000000000000004">
      <c r="A10013" t="str">
        <f>TEST_DATA!A10013</f>
        <v>27AAAAA10013Z5</v>
      </c>
      <c r="B10013" t="str">
        <f>TEST_DATA!B10013</f>
        <v>Jun-2020</v>
      </c>
      <c r="C10013">
        <f>TEST_DATA!C10013</f>
        <v>44100</v>
      </c>
      <c r="D10013" t="str">
        <f>TEST_DATA!D10013</f>
        <v>NIL</v>
      </c>
      <c r="E10013">
        <f>TEST_DATA!E10013</f>
        <v>2783</v>
      </c>
    </row>
    <row r="10014" spans="1:5" x14ac:dyDescent="0.55000000000000004">
      <c r="A10014" t="str">
        <f>TEST_DATA!A10014</f>
        <v>27AAAAA10014Z5</v>
      </c>
      <c r="B10014" t="str">
        <f>TEST_DATA!B10014</f>
        <v>Apr-2020</v>
      </c>
      <c r="C10014">
        <f>TEST_DATA!C10014</f>
        <v>44284</v>
      </c>
      <c r="D10014" t="str">
        <f>TEST_DATA!D10014</f>
        <v>NIL</v>
      </c>
      <c r="E10014">
        <f>TEST_DATA!E10014</f>
        <v>242</v>
      </c>
    </row>
    <row r="10015" spans="1:5" x14ac:dyDescent="0.55000000000000004">
      <c r="A10015" t="str">
        <f>TEST_DATA!A10015</f>
        <v>27AAAAA10015Z5</v>
      </c>
      <c r="B10015" t="str">
        <f>TEST_DATA!B10015</f>
        <v>Dec-2017</v>
      </c>
      <c r="C10015">
        <f>TEST_DATA!C10015</f>
        <v>43581</v>
      </c>
      <c r="D10015" t="str">
        <f>TEST_DATA!D10015</f>
        <v>NON-NIL</v>
      </c>
      <c r="E10015">
        <f>TEST_DATA!E10015</f>
        <v>2390</v>
      </c>
    </row>
    <row r="10016" spans="1:5" x14ac:dyDescent="0.55000000000000004">
      <c r="A10016" t="str">
        <f>TEST_DATA!A10016</f>
        <v>27AAAAA10016Z5</v>
      </c>
      <c r="B10016" t="str">
        <f>TEST_DATA!B10016</f>
        <v>Mar-2023</v>
      </c>
      <c r="C10016">
        <f>TEST_DATA!C10016</f>
        <v>45546</v>
      </c>
      <c r="D10016" t="str">
        <f>TEST_DATA!D10016</f>
        <v>NON-NIL</v>
      </c>
      <c r="E10016">
        <f>TEST_DATA!E10016</f>
        <v>2378</v>
      </c>
    </row>
    <row r="10017" spans="1:5" x14ac:dyDescent="0.55000000000000004">
      <c r="A10017" t="str">
        <f>TEST_DATA!A10017</f>
        <v>27AAAAA10017Z5</v>
      </c>
      <c r="B10017" t="str">
        <f>TEST_DATA!B10017</f>
        <v>Jan-2021</v>
      </c>
      <c r="C10017">
        <f>TEST_DATA!C10017</f>
        <v>44021</v>
      </c>
      <c r="D10017" t="str">
        <f>TEST_DATA!D10017</f>
        <v>NIL</v>
      </c>
      <c r="E10017">
        <f>TEST_DATA!E10017</f>
        <v>1757</v>
      </c>
    </row>
    <row r="10018" spans="1:5" x14ac:dyDescent="0.55000000000000004">
      <c r="A10018" t="str">
        <f>TEST_DATA!A10018</f>
        <v>27AAAAA10018Z5</v>
      </c>
      <c r="B10018" t="str">
        <f>TEST_DATA!B10018</f>
        <v>Apr-2021</v>
      </c>
      <c r="C10018">
        <f>TEST_DATA!C10018</f>
        <v>44083</v>
      </c>
      <c r="D10018" t="str">
        <f>TEST_DATA!D10018</f>
        <v>NIL</v>
      </c>
      <c r="E10018">
        <f>TEST_DATA!E10018</f>
        <v>471</v>
      </c>
    </row>
    <row r="10019" spans="1:5" x14ac:dyDescent="0.55000000000000004">
      <c r="A10019" t="str">
        <f>TEST_DATA!A10019</f>
        <v>27AAAAA10019Z5</v>
      </c>
      <c r="B10019" t="str">
        <f>TEST_DATA!B10019</f>
        <v>Apr-2021</v>
      </c>
      <c r="C10019">
        <f>TEST_DATA!C10019</f>
        <v>44631</v>
      </c>
      <c r="D10019" t="str">
        <f>TEST_DATA!D10019</f>
        <v>NON-NIL</v>
      </c>
      <c r="E10019">
        <f>TEST_DATA!E10019</f>
        <v>2457</v>
      </c>
    </row>
    <row r="10020" spans="1:5" x14ac:dyDescent="0.55000000000000004">
      <c r="A10020" t="str">
        <f>TEST_DATA!A10020</f>
        <v>27AAAAA10020Z5</v>
      </c>
      <c r="B10020" t="str">
        <f>TEST_DATA!B10020</f>
        <v>Aug-2018</v>
      </c>
      <c r="C10020">
        <f>TEST_DATA!C10020</f>
        <v>44053</v>
      </c>
      <c r="D10020" t="str">
        <f>TEST_DATA!D10020</f>
        <v>NIL</v>
      </c>
      <c r="E10020">
        <f>TEST_DATA!E10020</f>
        <v>82</v>
      </c>
    </row>
    <row r="10021" spans="1:5" x14ac:dyDescent="0.55000000000000004">
      <c r="A10021" t="str">
        <f>TEST_DATA!A10021</f>
        <v>27AAAAA10021Z5</v>
      </c>
      <c r="B10021" t="str">
        <f>TEST_DATA!B10021</f>
        <v>Dec-2024</v>
      </c>
      <c r="C10021">
        <f>TEST_DATA!C10021</f>
        <v>45050</v>
      </c>
      <c r="D10021" t="str">
        <f>TEST_DATA!D10021</f>
        <v>NIL</v>
      </c>
      <c r="E10021">
        <f>TEST_DATA!E10021</f>
        <v>2337</v>
      </c>
    </row>
    <row r="10022" spans="1:5" x14ac:dyDescent="0.55000000000000004">
      <c r="A10022" t="str">
        <f>TEST_DATA!A10022</f>
        <v>27AAAAA10022Z5</v>
      </c>
      <c r="B10022" t="str">
        <f>TEST_DATA!B10022</f>
        <v>Mar-2021</v>
      </c>
      <c r="C10022">
        <f>TEST_DATA!C10022</f>
        <v>45123</v>
      </c>
      <c r="D10022" t="str">
        <f>TEST_DATA!D10022</f>
        <v>NIL</v>
      </c>
      <c r="E10022">
        <f>TEST_DATA!E10022</f>
        <v>1180</v>
      </c>
    </row>
    <row r="10023" spans="1:5" x14ac:dyDescent="0.55000000000000004">
      <c r="A10023" t="str">
        <f>TEST_DATA!A10023</f>
        <v>27AAAAA10023Z5</v>
      </c>
      <c r="B10023" t="str">
        <f>TEST_DATA!B10023</f>
        <v>Jun-2018</v>
      </c>
      <c r="C10023">
        <f>TEST_DATA!C10023</f>
        <v>42980</v>
      </c>
      <c r="D10023" t="str">
        <f>TEST_DATA!D10023</f>
        <v>NON-NIL</v>
      </c>
      <c r="E10023">
        <f>TEST_DATA!E10023</f>
        <v>668</v>
      </c>
    </row>
    <row r="10024" spans="1:5" x14ac:dyDescent="0.55000000000000004">
      <c r="A10024" t="str">
        <f>TEST_DATA!A10024</f>
        <v>27AAAAA10024Z5</v>
      </c>
      <c r="B10024" t="str">
        <f>TEST_DATA!B10024</f>
        <v>Sep-2017</v>
      </c>
      <c r="C10024">
        <f>TEST_DATA!C10024</f>
        <v>43050</v>
      </c>
      <c r="D10024" t="str">
        <f>TEST_DATA!D10024</f>
        <v>NIL</v>
      </c>
      <c r="E10024">
        <f>TEST_DATA!E10024</f>
        <v>200</v>
      </c>
    </row>
    <row r="10025" spans="1:5" x14ac:dyDescent="0.55000000000000004">
      <c r="A10025" t="str">
        <f>TEST_DATA!A10025</f>
        <v>27AAAAA10025Z5</v>
      </c>
      <c r="B10025" t="str">
        <f>TEST_DATA!B10025</f>
        <v>Dec-2022</v>
      </c>
      <c r="C10025">
        <f>TEST_DATA!C10025</f>
        <v>44355</v>
      </c>
      <c r="D10025" t="str">
        <f>TEST_DATA!D10025</f>
        <v>NON-NIL</v>
      </c>
      <c r="E10025">
        <f>TEST_DATA!E10025</f>
        <v>24</v>
      </c>
    </row>
    <row r="10026" spans="1:5" x14ac:dyDescent="0.55000000000000004">
      <c r="A10026" t="str">
        <f>TEST_DATA!A10026</f>
        <v>27AAAAA10026Z5</v>
      </c>
      <c r="B10026" t="str">
        <f>TEST_DATA!B10026</f>
        <v>Jun-2019</v>
      </c>
      <c r="C10026">
        <f>TEST_DATA!C10026</f>
        <v>43967</v>
      </c>
      <c r="D10026" t="str">
        <f>TEST_DATA!D10026</f>
        <v>NON-NIL</v>
      </c>
      <c r="E10026">
        <f>TEST_DATA!E10026</f>
        <v>1122</v>
      </c>
    </row>
    <row r="10027" spans="1:5" x14ac:dyDescent="0.55000000000000004">
      <c r="A10027" t="str">
        <f>TEST_DATA!A10027</f>
        <v>27AAAAA10027Z5</v>
      </c>
      <c r="B10027" t="str">
        <f>TEST_DATA!B10027</f>
        <v>Mar-2021</v>
      </c>
      <c r="C10027">
        <f>TEST_DATA!C10027</f>
        <v>43888</v>
      </c>
      <c r="D10027" t="str">
        <f>TEST_DATA!D10027</f>
        <v>NIL</v>
      </c>
      <c r="E10027">
        <f>TEST_DATA!E10027</f>
        <v>1036</v>
      </c>
    </row>
    <row r="10028" spans="1:5" x14ac:dyDescent="0.55000000000000004">
      <c r="A10028" t="str">
        <f>TEST_DATA!A10028</f>
        <v>27AAAAA10028Z5</v>
      </c>
      <c r="B10028" t="str">
        <f>TEST_DATA!B10028</f>
        <v>Mar-2018</v>
      </c>
      <c r="C10028">
        <f>TEST_DATA!C10028</f>
        <v>44447</v>
      </c>
      <c r="D10028" t="str">
        <f>TEST_DATA!D10028</f>
        <v>NON-NIL</v>
      </c>
      <c r="E10028">
        <f>TEST_DATA!E10028</f>
        <v>174</v>
      </c>
    </row>
    <row r="10029" spans="1:5" x14ac:dyDescent="0.55000000000000004">
      <c r="A10029" t="str">
        <f>TEST_DATA!A10029</f>
        <v>27AAAAA10029Z5</v>
      </c>
      <c r="B10029" t="str">
        <f>TEST_DATA!B10029</f>
        <v>Dec-2024</v>
      </c>
      <c r="C10029">
        <f>TEST_DATA!C10029</f>
        <v>45682</v>
      </c>
      <c r="D10029" t="str">
        <f>TEST_DATA!D10029</f>
        <v>NIL</v>
      </c>
      <c r="E10029">
        <f>TEST_DATA!E10029</f>
        <v>2833</v>
      </c>
    </row>
    <row r="10030" spans="1:5" x14ac:dyDescent="0.55000000000000004">
      <c r="A10030" t="str">
        <f>TEST_DATA!A10030</f>
        <v>27AAAAA10030Z5</v>
      </c>
      <c r="B10030" t="str">
        <f>TEST_DATA!B10030</f>
        <v>Apr-2020</v>
      </c>
      <c r="C10030">
        <f>TEST_DATA!C10030</f>
        <v>44854</v>
      </c>
      <c r="D10030" t="str">
        <f>TEST_DATA!D10030</f>
        <v>NIL</v>
      </c>
      <c r="E10030">
        <f>TEST_DATA!E10030</f>
        <v>1051</v>
      </c>
    </row>
    <row r="10031" spans="1:5" x14ac:dyDescent="0.55000000000000004">
      <c r="A10031" t="str">
        <f>TEST_DATA!A10031</f>
        <v>27AAAAA10031Z5</v>
      </c>
      <c r="B10031" t="str">
        <f>TEST_DATA!B10031</f>
        <v>Aug-2017</v>
      </c>
      <c r="C10031">
        <f>TEST_DATA!C10031</f>
        <v>44503</v>
      </c>
      <c r="D10031" t="str">
        <f>TEST_DATA!D10031</f>
        <v>NIL</v>
      </c>
      <c r="E10031">
        <f>TEST_DATA!E10031</f>
        <v>1118</v>
      </c>
    </row>
    <row r="10032" spans="1:5" x14ac:dyDescent="0.55000000000000004">
      <c r="A10032" t="str">
        <f>TEST_DATA!A10032</f>
        <v>27AAAAA10032Z5</v>
      </c>
      <c r="B10032" t="str">
        <f>TEST_DATA!B10032</f>
        <v>Aug-2018</v>
      </c>
      <c r="C10032">
        <f>TEST_DATA!C10032</f>
        <v>44071</v>
      </c>
      <c r="D10032" t="str">
        <f>TEST_DATA!D10032</f>
        <v>NON-NIL</v>
      </c>
      <c r="E10032">
        <f>TEST_DATA!E10032</f>
        <v>1079</v>
      </c>
    </row>
    <row r="10033" spans="1:5" x14ac:dyDescent="0.55000000000000004">
      <c r="A10033" t="str">
        <f>TEST_DATA!A10033</f>
        <v>27AAAAA10033Z5</v>
      </c>
      <c r="B10033" t="str">
        <f>TEST_DATA!B10033</f>
        <v>Mar-2018</v>
      </c>
      <c r="C10033">
        <f>TEST_DATA!C10033</f>
        <v>44076</v>
      </c>
      <c r="D10033" t="str">
        <f>TEST_DATA!D10033</f>
        <v>NON-NIL</v>
      </c>
      <c r="E10033">
        <f>TEST_DATA!E10033</f>
        <v>122</v>
      </c>
    </row>
    <row r="10034" spans="1:5" x14ac:dyDescent="0.55000000000000004">
      <c r="A10034" t="str">
        <f>TEST_DATA!A10034</f>
        <v>27AAAAA10034Z5</v>
      </c>
      <c r="B10034" t="str">
        <f>TEST_DATA!B10034</f>
        <v>Dec-2022</v>
      </c>
      <c r="C10034">
        <f>TEST_DATA!C10034</f>
        <v>45120</v>
      </c>
      <c r="D10034" t="str">
        <f>TEST_DATA!D10034</f>
        <v>NIL</v>
      </c>
      <c r="E10034">
        <f>TEST_DATA!E10034</f>
        <v>2419</v>
      </c>
    </row>
    <row r="10035" spans="1:5" x14ac:dyDescent="0.55000000000000004">
      <c r="A10035" t="str">
        <f>TEST_DATA!A10035</f>
        <v>27AAAAA10035Z5</v>
      </c>
      <c r="B10035" t="str">
        <f>TEST_DATA!B10035</f>
        <v>Jun-2020</v>
      </c>
      <c r="C10035">
        <f>TEST_DATA!C10035</f>
        <v>44511</v>
      </c>
      <c r="D10035" t="str">
        <f>TEST_DATA!D10035</f>
        <v>NIL</v>
      </c>
      <c r="E10035">
        <f>TEST_DATA!E10035</f>
        <v>1695</v>
      </c>
    </row>
    <row r="10036" spans="1:5" x14ac:dyDescent="0.55000000000000004">
      <c r="A10036" t="str">
        <f>TEST_DATA!A10036</f>
        <v>27AAAAA10036Z5</v>
      </c>
      <c r="B10036" t="str">
        <f>TEST_DATA!B10036</f>
        <v>Dec-2022</v>
      </c>
      <c r="C10036">
        <f>TEST_DATA!C10036</f>
        <v>44005</v>
      </c>
      <c r="D10036" t="str">
        <f>TEST_DATA!D10036</f>
        <v>NON-NIL</v>
      </c>
      <c r="E10036">
        <f>TEST_DATA!E10036</f>
        <v>1074</v>
      </c>
    </row>
    <row r="10037" spans="1:5" x14ac:dyDescent="0.55000000000000004">
      <c r="A10037" t="str">
        <f>TEST_DATA!A10037</f>
        <v>27AAAAA10037Z5</v>
      </c>
      <c r="B10037" t="str">
        <f>TEST_DATA!B10037</f>
        <v>May-2018</v>
      </c>
      <c r="C10037">
        <f>TEST_DATA!C10037</f>
        <v>43732</v>
      </c>
      <c r="D10037" t="str">
        <f>TEST_DATA!D10037</f>
        <v>NON-NIL</v>
      </c>
      <c r="E10037">
        <f>TEST_DATA!E10037</f>
        <v>2433</v>
      </c>
    </row>
    <row r="10038" spans="1:5" x14ac:dyDescent="0.55000000000000004">
      <c r="A10038" t="str">
        <f>TEST_DATA!A10038</f>
        <v>27AAAAA10038Z5</v>
      </c>
      <c r="B10038" t="str">
        <f>TEST_DATA!B10038</f>
        <v>Dec-2019</v>
      </c>
      <c r="C10038">
        <f>TEST_DATA!C10038</f>
        <v>44368</v>
      </c>
      <c r="D10038" t="str">
        <f>TEST_DATA!D10038</f>
        <v>NON-NIL</v>
      </c>
      <c r="E10038">
        <f>TEST_DATA!E10038</f>
        <v>2340</v>
      </c>
    </row>
    <row r="10039" spans="1:5" x14ac:dyDescent="0.55000000000000004">
      <c r="A10039" t="str">
        <f>TEST_DATA!A10039</f>
        <v>27AAAAA10039Z5</v>
      </c>
      <c r="B10039" t="str">
        <f>TEST_DATA!B10039</f>
        <v>May-2020</v>
      </c>
      <c r="C10039">
        <f>TEST_DATA!C10039</f>
        <v>43914</v>
      </c>
      <c r="D10039" t="str">
        <f>TEST_DATA!D10039</f>
        <v>NON-NIL</v>
      </c>
      <c r="E10039">
        <f>TEST_DATA!E10039</f>
        <v>1056</v>
      </c>
    </row>
    <row r="10040" spans="1:5" x14ac:dyDescent="0.55000000000000004">
      <c r="A10040" t="str">
        <f>TEST_DATA!A10040</f>
        <v>27AAAAA10040Z5</v>
      </c>
      <c r="B10040" t="str">
        <f>TEST_DATA!B10040</f>
        <v>Nov-2017</v>
      </c>
      <c r="C10040">
        <f>TEST_DATA!C10040</f>
        <v>44162</v>
      </c>
      <c r="D10040" t="str">
        <f>TEST_DATA!D10040</f>
        <v>NON-NIL</v>
      </c>
      <c r="E10040">
        <f>TEST_DATA!E10040</f>
        <v>320</v>
      </c>
    </row>
    <row r="10041" spans="1:5" x14ac:dyDescent="0.55000000000000004">
      <c r="A10041" t="str">
        <f>TEST_DATA!A10041</f>
        <v>27AAAAA10041Z5</v>
      </c>
      <c r="B10041" t="str">
        <f>TEST_DATA!B10041</f>
        <v>Apr-2018</v>
      </c>
      <c r="C10041">
        <f>TEST_DATA!C10041</f>
        <v>43210</v>
      </c>
      <c r="D10041" t="str">
        <f>TEST_DATA!D10041</f>
        <v>NIL</v>
      </c>
      <c r="E10041">
        <f>TEST_DATA!E10041</f>
        <v>1189</v>
      </c>
    </row>
    <row r="10042" spans="1:5" x14ac:dyDescent="0.55000000000000004">
      <c r="A10042" t="str">
        <f>TEST_DATA!A10042</f>
        <v>27AAAAA10042Z5</v>
      </c>
      <c r="B10042" t="str">
        <f>TEST_DATA!B10042</f>
        <v>Apr-2020</v>
      </c>
      <c r="C10042">
        <f>TEST_DATA!C10042</f>
        <v>44566</v>
      </c>
      <c r="D10042" t="str">
        <f>TEST_DATA!D10042</f>
        <v>NON-NIL</v>
      </c>
      <c r="E10042">
        <f>TEST_DATA!E10042</f>
        <v>2664</v>
      </c>
    </row>
    <row r="10043" spans="1:5" x14ac:dyDescent="0.55000000000000004">
      <c r="A10043" t="str">
        <f>TEST_DATA!A10043</f>
        <v>27AAAAA10043Z5</v>
      </c>
      <c r="B10043" t="str">
        <f>TEST_DATA!B10043</f>
        <v>Sep-2018</v>
      </c>
      <c r="C10043">
        <f>TEST_DATA!C10043</f>
        <v>43799</v>
      </c>
      <c r="D10043" t="str">
        <f>TEST_DATA!D10043</f>
        <v>NIL</v>
      </c>
      <c r="E10043">
        <f>TEST_DATA!E10043</f>
        <v>1295</v>
      </c>
    </row>
    <row r="10044" spans="1:5" x14ac:dyDescent="0.55000000000000004">
      <c r="A10044" t="str">
        <f>TEST_DATA!A10044</f>
        <v>27AAAAA10044Z5</v>
      </c>
      <c r="B10044" t="str">
        <f>TEST_DATA!B10044</f>
        <v>Mar-2023</v>
      </c>
      <c r="C10044">
        <f>TEST_DATA!C10044</f>
        <v>44246</v>
      </c>
      <c r="D10044" t="str">
        <f>TEST_DATA!D10044</f>
        <v>NON-NIL</v>
      </c>
      <c r="E10044">
        <f>TEST_DATA!E10044</f>
        <v>1860</v>
      </c>
    </row>
    <row r="10045" spans="1:5" x14ac:dyDescent="0.55000000000000004">
      <c r="A10045" t="str">
        <f>TEST_DATA!A10045</f>
        <v>27AAAAA10045Z5</v>
      </c>
      <c r="B10045" t="str">
        <f>TEST_DATA!B10045</f>
        <v>Jul-2018</v>
      </c>
      <c r="C10045">
        <f>TEST_DATA!C10045</f>
        <v>44458</v>
      </c>
      <c r="D10045" t="str">
        <f>TEST_DATA!D10045</f>
        <v>NON-NIL</v>
      </c>
      <c r="E10045">
        <f>TEST_DATA!E10045</f>
        <v>2477</v>
      </c>
    </row>
    <row r="10046" spans="1:5" x14ac:dyDescent="0.55000000000000004">
      <c r="A10046" t="str">
        <f>TEST_DATA!A10046</f>
        <v>27AAAAA10046Z5</v>
      </c>
      <c r="B10046" t="str">
        <f>TEST_DATA!B10046</f>
        <v>Sep-2017</v>
      </c>
      <c r="C10046">
        <f>TEST_DATA!C10046</f>
        <v>44146</v>
      </c>
      <c r="D10046" t="str">
        <f>TEST_DATA!D10046</f>
        <v>NON-NIL</v>
      </c>
      <c r="E10046">
        <f>TEST_DATA!E10046</f>
        <v>799</v>
      </c>
    </row>
    <row r="10047" spans="1:5" x14ac:dyDescent="0.55000000000000004">
      <c r="A10047" t="str">
        <f>TEST_DATA!A10047</f>
        <v>27AAAAA10047Z5</v>
      </c>
      <c r="B10047" t="str">
        <f>TEST_DATA!B10047</f>
        <v>Aug-2017</v>
      </c>
      <c r="C10047">
        <f>TEST_DATA!C10047</f>
        <v>43113</v>
      </c>
      <c r="D10047" t="str">
        <f>TEST_DATA!D10047</f>
        <v>NON-NIL</v>
      </c>
      <c r="E10047">
        <f>TEST_DATA!E10047</f>
        <v>1170</v>
      </c>
    </row>
    <row r="10048" spans="1:5" x14ac:dyDescent="0.55000000000000004">
      <c r="A10048" t="str">
        <f>TEST_DATA!A10048</f>
        <v>27AAAAA10048Z5</v>
      </c>
      <c r="B10048" t="str">
        <f>TEST_DATA!B10048</f>
        <v>Jan-2019</v>
      </c>
      <c r="C10048">
        <f>TEST_DATA!C10048</f>
        <v>44035</v>
      </c>
      <c r="D10048" t="str">
        <f>TEST_DATA!D10048</f>
        <v>NON-NIL</v>
      </c>
      <c r="E10048">
        <f>TEST_DATA!E10048</f>
        <v>505</v>
      </c>
    </row>
    <row r="10049" spans="1:5" x14ac:dyDescent="0.55000000000000004">
      <c r="A10049" t="str">
        <f>TEST_DATA!A10049</f>
        <v>27AAAAA10049Z5</v>
      </c>
      <c r="B10049" t="str">
        <f>TEST_DATA!B10049</f>
        <v>Jan-2019</v>
      </c>
      <c r="C10049">
        <f>TEST_DATA!C10049</f>
        <v>44668</v>
      </c>
      <c r="D10049" t="str">
        <f>TEST_DATA!D10049</f>
        <v>NON-NIL</v>
      </c>
      <c r="E10049">
        <f>TEST_DATA!E10049</f>
        <v>2124</v>
      </c>
    </row>
    <row r="10050" spans="1:5" x14ac:dyDescent="0.55000000000000004">
      <c r="A10050" t="str">
        <f>TEST_DATA!A10050</f>
        <v>27AAAAA10050Z5</v>
      </c>
      <c r="B10050" t="str">
        <f>TEST_DATA!B10050</f>
        <v>May-2018</v>
      </c>
      <c r="C10050">
        <f>TEST_DATA!C10050</f>
        <v>44109</v>
      </c>
      <c r="D10050" t="str">
        <f>TEST_DATA!D10050</f>
        <v>NIL</v>
      </c>
      <c r="E10050">
        <f>TEST_DATA!E10050</f>
        <v>551</v>
      </c>
    </row>
    <row r="10051" spans="1:5" x14ac:dyDescent="0.55000000000000004">
      <c r="A10051" t="str">
        <f>TEST_DATA!A10051</f>
        <v>27AAAAA10051Z5</v>
      </c>
      <c r="B10051" t="str">
        <f>TEST_DATA!B10051</f>
        <v>Apr-2021</v>
      </c>
      <c r="C10051">
        <f>TEST_DATA!C10051</f>
        <v>45052</v>
      </c>
      <c r="D10051" t="str">
        <f>TEST_DATA!D10051</f>
        <v>NIL</v>
      </c>
      <c r="E10051">
        <f>TEST_DATA!E10051</f>
        <v>2493</v>
      </c>
    </row>
    <row r="10052" spans="1:5" x14ac:dyDescent="0.55000000000000004">
      <c r="A10052" t="str">
        <f>TEST_DATA!A10052</f>
        <v>27AAAAA10052Z5</v>
      </c>
      <c r="B10052" t="str">
        <f>TEST_DATA!B10052</f>
        <v>Apr-2021</v>
      </c>
      <c r="C10052">
        <f>TEST_DATA!C10052</f>
        <v>45292</v>
      </c>
      <c r="D10052" t="str">
        <f>TEST_DATA!D10052</f>
        <v>NON-NIL</v>
      </c>
      <c r="E10052">
        <f>TEST_DATA!E10052</f>
        <v>347</v>
      </c>
    </row>
    <row r="10053" spans="1:5" x14ac:dyDescent="0.55000000000000004">
      <c r="A10053" t="str">
        <f>TEST_DATA!A10053</f>
        <v>27AAAAA10053Z5</v>
      </c>
      <c r="B10053" t="str">
        <f>TEST_DATA!B10053</f>
        <v>Oct-2017</v>
      </c>
      <c r="C10053">
        <f>TEST_DATA!C10053</f>
        <v>44470</v>
      </c>
      <c r="D10053" t="str">
        <f>TEST_DATA!D10053</f>
        <v>NON-NIL</v>
      </c>
      <c r="E10053">
        <f>TEST_DATA!E10053</f>
        <v>1584</v>
      </c>
    </row>
    <row r="10054" spans="1:5" x14ac:dyDescent="0.55000000000000004">
      <c r="A10054" t="str">
        <f>TEST_DATA!A10054</f>
        <v>27AAAAA10054Z5</v>
      </c>
      <c r="B10054" t="str">
        <f>TEST_DATA!B10054</f>
        <v>Nov-2017</v>
      </c>
      <c r="C10054">
        <f>TEST_DATA!C10054</f>
        <v>44491</v>
      </c>
      <c r="D10054" t="str">
        <f>TEST_DATA!D10054</f>
        <v>NON-NIL</v>
      </c>
      <c r="E10054">
        <f>TEST_DATA!E10054</f>
        <v>1783</v>
      </c>
    </row>
    <row r="10055" spans="1:5" x14ac:dyDescent="0.55000000000000004">
      <c r="A10055" t="str">
        <f>TEST_DATA!A10055</f>
        <v>27AAAAA10055Z5</v>
      </c>
      <c r="B10055" t="str">
        <f>TEST_DATA!B10055</f>
        <v>Jul-2017</v>
      </c>
      <c r="C10055">
        <f>TEST_DATA!C10055</f>
        <v>44489</v>
      </c>
      <c r="D10055" t="str">
        <f>TEST_DATA!D10055</f>
        <v>NIL</v>
      </c>
      <c r="E10055">
        <f>TEST_DATA!E10055</f>
        <v>1263</v>
      </c>
    </row>
    <row r="10056" spans="1:5" x14ac:dyDescent="0.55000000000000004">
      <c r="A10056" t="str">
        <f>TEST_DATA!A10056</f>
        <v>27AAAAA10056Z5</v>
      </c>
      <c r="B10056" t="str">
        <f>TEST_DATA!B10056</f>
        <v>Apr-2020</v>
      </c>
      <c r="C10056">
        <f>TEST_DATA!C10056</f>
        <v>44900</v>
      </c>
      <c r="D10056" t="str">
        <f>TEST_DATA!D10056</f>
        <v>NIL</v>
      </c>
      <c r="E10056">
        <f>TEST_DATA!E10056</f>
        <v>1106</v>
      </c>
    </row>
    <row r="10057" spans="1:5" x14ac:dyDescent="0.55000000000000004">
      <c r="A10057" t="str">
        <f>TEST_DATA!A10057</f>
        <v>27AAAAA10057Z5</v>
      </c>
      <c r="B10057" t="str">
        <f>TEST_DATA!B10057</f>
        <v>Apr-2021</v>
      </c>
      <c r="C10057">
        <f>TEST_DATA!C10057</f>
        <v>45104</v>
      </c>
      <c r="D10057" t="str">
        <f>TEST_DATA!D10057</f>
        <v>NON-NIL</v>
      </c>
      <c r="E10057">
        <f>TEST_DATA!E10057</f>
        <v>1978</v>
      </c>
    </row>
    <row r="10058" spans="1:5" x14ac:dyDescent="0.55000000000000004">
      <c r="A10058" t="str">
        <f>TEST_DATA!A10058</f>
        <v>27AAAAA10058Z5</v>
      </c>
      <c r="B10058" t="str">
        <f>TEST_DATA!B10058</f>
        <v>May-2020</v>
      </c>
      <c r="C10058">
        <f>TEST_DATA!C10058</f>
        <v>43925</v>
      </c>
      <c r="D10058" t="str">
        <f>TEST_DATA!D10058</f>
        <v>NIL</v>
      </c>
      <c r="E10058">
        <f>TEST_DATA!E10058</f>
        <v>1621</v>
      </c>
    </row>
    <row r="10059" spans="1:5" x14ac:dyDescent="0.55000000000000004">
      <c r="A10059" t="str">
        <f>TEST_DATA!A10059</f>
        <v>27AAAAA10059Z5</v>
      </c>
      <c r="B10059" t="str">
        <f>TEST_DATA!B10059</f>
        <v>Jun-2018</v>
      </c>
      <c r="C10059">
        <f>TEST_DATA!C10059</f>
        <v>43692</v>
      </c>
      <c r="D10059" t="str">
        <f>TEST_DATA!D10059</f>
        <v>NIL</v>
      </c>
      <c r="E10059">
        <f>TEST_DATA!E10059</f>
        <v>2038</v>
      </c>
    </row>
    <row r="10060" spans="1:5" x14ac:dyDescent="0.55000000000000004">
      <c r="A10060" t="str">
        <f>TEST_DATA!A10060</f>
        <v>27AAAAA10060Z5</v>
      </c>
      <c r="B10060" t="str">
        <f>TEST_DATA!B10060</f>
        <v>Jan-2021</v>
      </c>
      <c r="C10060">
        <f>TEST_DATA!C10060</f>
        <v>45477</v>
      </c>
      <c r="D10060" t="str">
        <f>TEST_DATA!D10060</f>
        <v>NON-NIL</v>
      </c>
      <c r="E10060">
        <f>TEST_DATA!E10060</f>
        <v>183</v>
      </c>
    </row>
    <row r="10061" spans="1:5" x14ac:dyDescent="0.55000000000000004">
      <c r="A10061" t="str">
        <f>TEST_DATA!A10061</f>
        <v>27AAAAA10061Z5</v>
      </c>
      <c r="B10061" t="str">
        <f>TEST_DATA!B10061</f>
        <v>Dec-2017</v>
      </c>
      <c r="C10061">
        <f>TEST_DATA!C10061</f>
        <v>43045</v>
      </c>
      <c r="D10061" t="str">
        <f>TEST_DATA!D10061</f>
        <v>NON-NIL</v>
      </c>
      <c r="E10061">
        <f>TEST_DATA!E10061</f>
        <v>2036</v>
      </c>
    </row>
    <row r="10062" spans="1:5" x14ac:dyDescent="0.55000000000000004">
      <c r="A10062" t="str">
        <f>TEST_DATA!A10062</f>
        <v>27AAAAA10062Z5</v>
      </c>
      <c r="B10062" t="str">
        <f>TEST_DATA!B10062</f>
        <v>Nov-2017</v>
      </c>
      <c r="C10062">
        <f>TEST_DATA!C10062</f>
        <v>43339</v>
      </c>
      <c r="D10062" t="str">
        <f>TEST_DATA!D10062</f>
        <v>NIL</v>
      </c>
      <c r="E10062">
        <f>TEST_DATA!E10062</f>
        <v>2936</v>
      </c>
    </row>
    <row r="10063" spans="1:5" x14ac:dyDescent="0.55000000000000004">
      <c r="A10063" t="str">
        <f>TEST_DATA!A10063</f>
        <v>27AAAAA10063Z5</v>
      </c>
      <c r="B10063" t="str">
        <f>TEST_DATA!B10063</f>
        <v>Nov-2017</v>
      </c>
      <c r="C10063">
        <f>TEST_DATA!C10063</f>
        <v>43577</v>
      </c>
      <c r="D10063" t="str">
        <f>TEST_DATA!D10063</f>
        <v>NIL</v>
      </c>
      <c r="E10063">
        <f>TEST_DATA!E10063</f>
        <v>1120</v>
      </c>
    </row>
    <row r="10064" spans="1:5" x14ac:dyDescent="0.55000000000000004">
      <c r="A10064" t="str">
        <f>TEST_DATA!A10064</f>
        <v>27AAAAA10064Z5</v>
      </c>
      <c r="B10064" t="str">
        <f>TEST_DATA!B10064</f>
        <v>Dec-2017</v>
      </c>
      <c r="C10064">
        <f>TEST_DATA!C10064</f>
        <v>43332</v>
      </c>
      <c r="D10064" t="str">
        <f>TEST_DATA!D10064</f>
        <v>NON-NIL</v>
      </c>
      <c r="E10064">
        <f>TEST_DATA!E10064</f>
        <v>620</v>
      </c>
    </row>
    <row r="10065" spans="1:5" x14ac:dyDescent="0.55000000000000004">
      <c r="A10065" t="str">
        <f>TEST_DATA!A10065</f>
        <v>27AAAAA10065Z5</v>
      </c>
      <c r="B10065" t="str">
        <f>TEST_DATA!B10065</f>
        <v>May-2018</v>
      </c>
      <c r="C10065">
        <f>TEST_DATA!C10065</f>
        <v>44438</v>
      </c>
      <c r="D10065" t="str">
        <f>TEST_DATA!D10065</f>
        <v>NON-NIL</v>
      </c>
      <c r="E10065">
        <f>TEST_DATA!E10065</f>
        <v>138</v>
      </c>
    </row>
    <row r="10066" spans="1:5" x14ac:dyDescent="0.55000000000000004">
      <c r="A10066" t="str">
        <f>TEST_DATA!A10066</f>
        <v>27AAAAA10066Z5</v>
      </c>
      <c r="B10066" t="str">
        <f>TEST_DATA!B10066</f>
        <v>Jul-2017</v>
      </c>
      <c r="C10066">
        <f>TEST_DATA!C10066</f>
        <v>43984</v>
      </c>
      <c r="D10066" t="str">
        <f>TEST_DATA!D10066</f>
        <v>NON-NIL</v>
      </c>
      <c r="E10066">
        <f>TEST_DATA!E10066</f>
        <v>2140</v>
      </c>
    </row>
    <row r="10067" spans="1:5" x14ac:dyDescent="0.55000000000000004">
      <c r="A10067" t="str">
        <f>TEST_DATA!A10067</f>
        <v>27AAAAA10067Z5</v>
      </c>
      <c r="B10067" t="str">
        <f>TEST_DATA!B10067</f>
        <v>Dec-2022</v>
      </c>
      <c r="C10067">
        <f>TEST_DATA!C10067</f>
        <v>44731</v>
      </c>
      <c r="D10067" t="str">
        <f>TEST_DATA!D10067</f>
        <v>NON-NIL</v>
      </c>
      <c r="E10067">
        <f>TEST_DATA!E10067</f>
        <v>256</v>
      </c>
    </row>
    <row r="10068" spans="1:5" x14ac:dyDescent="0.55000000000000004">
      <c r="A10068" t="str">
        <f>TEST_DATA!A10068</f>
        <v>27AAAAA10068Z5</v>
      </c>
      <c r="B10068" t="str">
        <f>TEST_DATA!B10068</f>
        <v>Sep-2018</v>
      </c>
      <c r="C10068">
        <f>TEST_DATA!C10068</f>
        <v>43285</v>
      </c>
      <c r="D10068" t="str">
        <f>TEST_DATA!D10068</f>
        <v>NIL</v>
      </c>
      <c r="E10068">
        <f>TEST_DATA!E10068</f>
        <v>1482</v>
      </c>
    </row>
    <row r="10069" spans="1:5" x14ac:dyDescent="0.55000000000000004">
      <c r="A10069" t="str">
        <f>TEST_DATA!A10069</f>
        <v>27AAAAA10069Z5</v>
      </c>
      <c r="B10069" t="str">
        <f>TEST_DATA!B10069</f>
        <v>Mar-2023</v>
      </c>
      <c r="C10069">
        <f>TEST_DATA!C10069</f>
        <v>43697</v>
      </c>
      <c r="D10069" t="str">
        <f>TEST_DATA!D10069</f>
        <v>NON-NIL</v>
      </c>
      <c r="E10069">
        <f>TEST_DATA!E10069</f>
        <v>615</v>
      </c>
    </row>
    <row r="10070" spans="1:5" x14ac:dyDescent="0.55000000000000004">
      <c r="A10070" t="str">
        <f>TEST_DATA!A10070</f>
        <v>27AAAAA10070Z5</v>
      </c>
      <c r="B10070" t="str">
        <f>TEST_DATA!B10070</f>
        <v>Jul-2017</v>
      </c>
      <c r="C10070">
        <f>TEST_DATA!C10070</f>
        <v>44198</v>
      </c>
      <c r="D10070" t="str">
        <f>TEST_DATA!D10070</f>
        <v>NON-NIL</v>
      </c>
      <c r="E10070">
        <f>TEST_DATA!E10070</f>
        <v>2998</v>
      </c>
    </row>
    <row r="10071" spans="1:5" x14ac:dyDescent="0.55000000000000004">
      <c r="A10071" t="str">
        <f>TEST_DATA!A10071</f>
        <v>27AAAAA10071Z5</v>
      </c>
      <c r="B10071" t="str">
        <f>TEST_DATA!B10071</f>
        <v>Dec-2024</v>
      </c>
      <c r="C10071">
        <f>TEST_DATA!C10071</f>
        <v>44398</v>
      </c>
      <c r="D10071" t="str">
        <f>TEST_DATA!D10071</f>
        <v>NON-NIL</v>
      </c>
      <c r="E10071">
        <f>TEST_DATA!E10071</f>
        <v>815</v>
      </c>
    </row>
    <row r="10072" spans="1:5" x14ac:dyDescent="0.55000000000000004">
      <c r="A10072" t="str">
        <f>TEST_DATA!A10072</f>
        <v>27AAAAA10072Z5</v>
      </c>
      <c r="B10072" t="str">
        <f>TEST_DATA!B10072</f>
        <v>Mar-2021</v>
      </c>
      <c r="C10072">
        <f>TEST_DATA!C10072</f>
        <v>43825</v>
      </c>
      <c r="D10072" t="str">
        <f>TEST_DATA!D10072</f>
        <v>NIL</v>
      </c>
      <c r="E10072">
        <f>TEST_DATA!E10072</f>
        <v>2944</v>
      </c>
    </row>
    <row r="10073" spans="1:5" x14ac:dyDescent="0.55000000000000004">
      <c r="A10073" t="str">
        <f>TEST_DATA!A10073</f>
        <v>27AAAAA10073Z5</v>
      </c>
      <c r="B10073" t="str">
        <f>TEST_DATA!B10073</f>
        <v>Oct-2017</v>
      </c>
      <c r="C10073">
        <f>TEST_DATA!C10073</f>
        <v>43971</v>
      </c>
      <c r="D10073" t="str">
        <f>TEST_DATA!D10073</f>
        <v>NON-NIL</v>
      </c>
      <c r="E10073">
        <f>TEST_DATA!E10073</f>
        <v>1521</v>
      </c>
    </row>
    <row r="10074" spans="1:5" x14ac:dyDescent="0.55000000000000004">
      <c r="A10074" t="str">
        <f>TEST_DATA!A10074</f>
        <v>27AAAAA10074Z5</v>
      </c>
      <c r="B10074" t="str">
        <f>TEST_DATA!B10074</f>
        <v>Aug-2018</v>
      </c>
      <c r="C10074">
        <f>TEST_DATA!C10074</f>
        <v>42951</v>
      </c>
      <c r="D10074" t="str">
        <f>TEST_DATA!D10074</f>
        <v>NON-NIL</v>
      </c>
      <c r="E10074">
        <f>TEST_DATA!E10074</f>
        <v>2509</v>
      </c>
    </row>
    <row r="10075" spans="1:5" x14ac:dyDescent="0.55000000000000004">
      <c r="A10075" t="str">
        <f>TEST_DATA!A10075</f>
        <v>27AAAAA10075Z5</v>
      </c>
      <c r="B10075" t="str">
        <f>TEST_DATA!B10075</f>
        <v>Dec-2022</v>
      </c>
      <c r="C10075">
        <f>TEST_DATA!C10075</f>
        <v>44407</v>
      </c>
      <c r="D10075" t="str">
        <f>TEST_DATA!D10075</f>
        <v>NON-NIL</v>
      </c>
      <c r="E10075">
        <f>TEST_DATA!E10075</f>
        <v>2719</v>
      </c>
    </row>
    <row r="10076" spans="1:5" x14ac:dyDescent="0.55000000000000004">
      <c r="A10076" t="str">
        <f>TEST_DATA!A10076</f>
        <v>27AAAAA10076Z5</v>
      </c>
      <c r="B10076" t="str">
        <f>TEST_DATA!B10076</f>
        <v>Nov-2017</v>
      </c>
      <c r="C10076">
        <f>TEST_DATA!C10076</f>
        <v>43413</v>
      </c>
      <c r="D10076" t="str">
        <f>TEST_DATA!D10076</f>
        <v>NIL</v>
      </c>
      <c r="E10076">
        <f>TEST_DATA!E10076</f>
        <v>519</v>
      </c>
    </row>
    <row r="10077" spans="1:5" x14ac:dyDescent="0.55000000000000004">
      <c r="A10077" t="str">
        <f>TEST_DATA!A10077</f>
        <v>27AAAAA10077Z5</v>
      </c>
      <c r="B10077" t="str">
        <f>TEST_DATA!B10077</f>
        <v>Jan-2021</v>
      </c>
      <c r="C10077">
        <f>TEST_DATA!C10077</f>
        <v>43972</v>
      </c>
      <c r="D10077" t="str">
        <f>TEST_DATA!D10077</f>
        <v>NIL</v>
      </c>
      <c r="E10077">
        <f>TEST_DATA!E10077</f>
        <v>2476</v>
      </c>
    </row>
    <row r="10078" spans="1:5" x14ac:dyDescent="0.55000000000000004">
      <c r="A10078" t="str">
        <f>TEST_DATA!A10078</f>
        <v>27AAAAA10078Z5</v>
      </c>
      <c r="B10078" t="str">
        <f>TEST_DATA!B10078</f>
        <v>Sep-2017</v>
      </c>
      <c r="C10078">
        <f>TEST_DATA!C10078</f>
        <v>43217</v>
      </c>
      <c r="D10078" t="str">
        <f>TEST_DATA!D10078</f>
        <v>NON-NIL</v>
      </c>
      <c r="E10078">
        <f>TEST_DATA!E10078</f>
        <v>1057</v>
      </c>
    </row>
    <row r="10079" spans="1:5" x14ac:dyDescent="0.55000000000000004">
      <c r="A10079" t="str">
        <f>TEST_DATA!A10079</f>
        <v>27AAAAA10079Z5</v>
      </c>
      <c r="B10079" t="str">
        <f>TEST_DATA!B10079</f>
        <v>Dec-2024</v>
      </c>
      <c r="C10079">
        <f>TEST_DATA!C10079</f>
        <v>44392</v>
      </c>
      <c r="D10079" t="str">
        <f>TEST_DATA!D10079</f>
        <v>NIL</v>
      </c>
      <c r="E10079">
        <f>TEST_DATA!E10079</f>
        <v>1135</v>
      </c>
    </row>
    <row r="10080" spans="1:5" x14ac:dyDescent="0.55000000000000004">
      <c r="A10080" t="str">
        <f>TEST_DATA!A10080</f>
        <v>27AAAAA10080Z5</v>
      </c>
      <c r="B10080" t="str">
        <f>TEST_DATA!B10080</f>
        <v>Jul-2020</v>
      </c>
      <c r="C10080">
        <f>TEST_DATA!C10080</f>
        <v>43984</v>
      </c>
      <c r="D10080" t="str">
        <f>TEST_DATA!D10080</f>
        <v>NON-NIL</v>
      </c>
      <c r="E10080">
        <f>TEST_DATA!E10080</f>
        <v>126</v>
      </c>
    </row>
    <row r="10081" spans="1:5" x14ac:dyDescent="0.55000000000000004">
      <c r="A10081" t="str">
        <f>TEST_DATA!A10081</f>
        <v>27AAAAA10081Z5</v>
      </c>
      <c r="B10081" t="str">
        <f>TEST_DATA!B10081</f>
        <v>Apr-2021</v>
      </c>
      <c r="C10081">
        <f>TEST_DATA!C10081</f>
        <v>45670</v>
      </c>
      <c r="D10081" t="str">
        <f>TEST_DATA!D10081</f>
        <v>NON-NIL</v>
      </c>
      <c r="E10081">
        <f>TEST_DATA!E10081</f>
        <v>2097</v>
      </c>
    </row>
    <row r="10082" spans="1:5" x14ac:dyDescent="0.55000000000000004">
      <c r="A10082" t="str">
        <f>TEST_DATA!A10082</f>
        <v>27AAAAA10082Z5</v>
      </c>
      <c r="B10082" t="str">
        <f>TEST_DATA!B10082</f>
        <v>Feb-2018</v>
      </c>
      <c r="C10082">
        <f>TEST_DATA!C10082</f>
        <v>43460</v>
      </c>
      <c r="D10082" t="str">
        <f>TEST_DATA!D10082</f>
        <v>NIL</v>
      </c>
      <c r="E10082">
        <f>TEST_DATA!E10082</f>
        <v>2789</v>
      </c>
    </row>
    <row r="10083" spans="1:5" x14ac:dyDescent="0.55000000000000004">
      <c r="A10083" t="str">
        <f>TEST_DATA!A10083</f>
        <v>27AAAAA10083Z5</v>
      </c>
      <c r="B10083" t="str">
        <f>TEST_DATA!B10083</f>
        <v>Dec-2022</v>
      </c>
      <c r="C10083">
        <f>TEST_DATA!C10083</f>
        <v>45373</v>
      </c>
      <c r="D10083" t="str">
        <f>TEST_DATA!D10083</f>
        <v>NON-NIL</v>
      </c>
      <c r="E10083">
        <f>TEST_DATA!E10083</f>
        <v>2423</v>
      </c>
    </row>
    <row r="10084" spans="1:5" x14ac:dyDescent="0.55000000000000004">
      <c r="A10084" t="str">
        <f>TEST_DATA!A10084</f>
        <v>27AAAAA10084Z5</v>
      </c>
      <c r="B10084" t="str">
        <f>TEST_DATA!B10084</f>
        <v>Mar-2021</v>
      </c>
      <c r="C10084">
        <f>TEST_DATA!C10084</f>
        <v>45694</v>
      </c>
      <c r="D10084" t="str">
        <f>TEST_DATA!D10084</f>
        <v>NIL</v>
      </c>
      <c r="E10084">
        <f>TEST_DATA!E10084</f>
        <v>2822</v>
      </c>
    </row>
    <row r="10085" spans="1:5" x14ac:dyDescent="0.55000000000000004">
      <c r="A10085" t="str">
        <f>TEST_DATA!A10085</f>
        <v>27AAAAA10085Z5</v>
      </c>
      <c r="B10085" t="str">
        <f>TEST_DATA!B10085</f>
        <v>Mar-2023</v>
      </c>
      <c r="C10085">
        <f>TEST_DATA!C10085</f>
        <v>44710</v>
      </c>
      <c r="D10085" t="str">
        <f>TEST_DATA!D10085</f>
        <v>NIL</v>
      </c>
      <c r="E10085">
        <f>TEST_DATA!E10085</f>
        <v>608</v>
      </c>
    </row>
    <row r="10086" spans="1:5" x14ac:dyDescent="0.55000000000000004">
      <c r="A10086" t="str">
        <f>TEST_DATA!A10086</f>
        <v>27AAAAA10086Z5</v>
      </c>
      <c r="B10086" t="str">
        <f>TEST_DATA!B10086</f>
        <v>Oct-2017</v>
      </c>
      <c r="C10086">
        <f>TEST_DATA!C10086</f>
        <v>43152</v>
      </c>
      <c r="D10086" t="str">
        <f>TEST_DATA!D10086</f>
        <v>NON-NIL</v>
      </c>
      <c r="E10086">
        <f>TEST_DATA!E10086</f>
        <v>2174</v>
      </c>
    </row>
    <row r="10087" spans="1:5" x14ac:dyDescent="0.55000000000000004">
      <c r="A10087" t="str">
        <f>TEST_DATA!A10087</f>
        <v>27AAAAA10087Z5</v>
      </c>
      <c r="B10087" t="str">
        <f>TEST_DATA!B10087</f>
        <v>Nov-2017</v>
      </c>
      <c r="C10087">
        <f>TEST_DATA!C10087</f>
        <v>43384</v>
      </c>
      <c r="D10087" t="str">
        <f>TEST_DATA!D10087</f>
        <v>NIL</v>
      </c>
      <c r="E10087">
        <f>TEST_DATA!E10087</f>
        <v>888</v>
      </c>
    </row>
    <row r="10088" spans="1:5" x14ac:dyDescent="0.55000000000000004">
      <c r="A10088" t="str">
        <f>TEST_DATA!A10088</f>
        <v>27AAAAA10088Z5</v>
      </c>
      <c r="B10088" t="str">
        <f>TEST_DATA!B10088</f>
        <v>Jan-2019</v>
      </c>
      <c r="C10088">
        <f>TEST_DATA!C10088</f>
        <v>45783</v>
      </c>
      <c r="D10088" t="str">
        <f>TEST_DATA!D10088</f>
        <v>NIL</v>
      </c>
      <c r="E10088">
        <f>TEST_DATA!E10088</f>
        <v>2057</v>
      </c>
    </row>
    <row r="10089" spans="1:5" x14ac:dyDescent="0.55000000000000004">
      <c r="A10089" t="str">
        <f>TEST_DATA!A10089</f>
        <v>27AAAAA10089Z5</v>
      </c>
      <c r="B10089" t="str">
        <f>TEST_DATA!B10089</f>
        <v>Oct-2017</v>
      </c>
      <c r="C10089">
        <f>TEST_DATA!C10089</f>
        <v>44254</v>
      </c>
      <c r="D10089" t="str">
        <f>TEST_DATA!D10089</f>
        <v>NIL</v>
      </c>
      <c r="E10089">
        <f>TEST_DATA!E10089</f>
        <v>174</v>
      </c>
    </row>
    <row r="10090" spans="1:5" x14ac:dyDescent="0.55000000000000004">
      <c r="A10090" t="str">
        <f>TEST_DATA!A10090</f>
        <v>27AAAAA10090Z5</v>
      </c>
      <c r="B10090" t="str">
        <f>TEST_DATA!B10090</f>
        <v>Apr-2021</v>
      </c>
      <c r="C10090">
        <f>TEST_DATA!C10090</f>
        <v>45787</v>
      </c>
      <c r="D10090" t="str">
        <f>TEST_DATA!D10090</f>
        <v>NON-NIL</v>
      </c>
      <c r="E10090">
        <f>TEST_DATA!E10090</f>
        <v>616</v>
      </c>
    </row>
    <row r="10091" spans="1:5" x14ac:dyDescent="0.55000000000000004">
      <c r="A10091" t="str">
        <f>TEST_DATA!A10091</f>
        <v>27AAAAA10091Z5</v>
      </c>
      <c r="B10091" t="str">
        <f>TEST_DATA!B10091</f>
        <v>Mar-2023</v>
      </c>
      <c r="C10091">
        <f>TEST_DATA!C10091</f>
        <v>44738</v>
      </c>
      <c r="D10091" t="str">
        <f>TEST_DATA!D10091</f>
        <v>NIL</v>
      </c>
      <c r="E10091">
        <f>TEST_DATA!E10091</f>
        <v>1672</v>
      </c>
    </row>
    <row r="10092" spans="1:5" x14ac:dyDescent="0.55000000000000004">
      <c r="A10092" t="str">
        <f>TEST_DATA!A10092</f>
        <v>27AAAAA10092Z5</v>
      </c>
      <c r="B10092" t="str">
        <f>TEST_DATA!B10092</f>
        <v>Jun-2018</v>
      </c>
      <c r="C10092">
        <f>TEST_DATA!C10092</f>
        <v>43865</v>
      </c>
      <c r="D10092" t="str">
        <f>TEST_DATA!D10092</f>
        <v>NON-NIL</v>
      </c>
      <c r="E10092">
        <f>TEST_DATA!E10092</f>
        <v>889</v>
      </c>
    </row>
    <row r="10093" spans="1:5" x14ac:dyDescent="0.55000000000000004">
      <c r="A10093" t="str">
        <f>TEST_DATA!A10093</f>
        <v>27AAAAA10093Z5</v>
      </c>
      <c r="B10093" t="str">
        <f>TEST_DATA!B10093</f>
        <v>Jun-2020</v>
      </c>
      <c r="C10093">
        <f>TEST_DATA!C10093</f>
        <v>44511</v>
      </c>
      <c r="D10093" t="str">
        <f>TEST_DATA!D10093</f>
        <v>NON-NIL</v>
      </c>
      <c r="E10093">
        <f>TEST_DATA!E10093</f>
        <v>2064</v>
      </c>
    </row>
    <row r="10094" spans="1:5" x14ac:dyDescent="0.55000000000000004">
      <c r="A10094" t="str">
        <f>TEST_DATA!A10094</f>
        <v>27AAAAA10094Z5</v>
      </c>
      <c r="B10094" t="str">
        <f>TEST_DATA!B10094</f>
        <v>Jan-2019</v>
      </c>
      <c r="C10094">
        <f>TEST_DATA!C10094</f>
        <v>45315</v>
      </c>
      <c r="D10094" t="str">
        <f>TEST_DATA!D10094</f>
        <v>NON-NIL</v>
      </c>
      <c r="E10094">
        <f>TEST_DATA!E10094</f>
        <v>1420</v>
      </c>
    </row>
    <row r="10095" spans="1:5" x14ac:dyDescent="0.55000000000000004">
      <c r="A10095" t="str">
        <f>TEST_DATA!A10095</f>
        <v>27AAAAA10095Z5</v>
      </c>
      <c r="B10095" t="str">
        <f>TEST_DATA!B10095</f>
        <v>Mar-2023</v>
      </c>
      <c r="C10095">
        <f>TEST_DATA!C10095</f>
        <v>43988</v>
      </c>
      <c r="D10095" t="str">
        <f>TEST_DATA!D10095</f>
        <v>NON-NIL</v>
      </c>
      <c r="E10095">
        <f>TEST_DATA!E10095</f>
        <v>873</v>
      </c>
    </row>
    <row r="10096" spans="1:5" x14ac:dyDescent="0.55000000000000004">
      <c r="A10096" t="str">
        <f>TEST_DATA!A10096</f>
        <v>27AAAAA10096Z5</v>
      </c>
      <c r="B10096" t="str">
        <f>TEST_DATA!B10096</f>
        <v>Mar-2021</v>
      </c>
      <c r="C10096">
        <f>TEST_DATA!C10096</f>
        <v>44696</v>
      </c>
      <c r="D10096" t="str">
        <f>TEST_DATA!D10096</f>
        <v>NIL</v>
      </c>
      <c r="E10096">
        <f>TEST_DATA!E10096</f>
        <v>800</v>
      </c>
    </row>
    <row r="10097" spans="1:5" x14ac:dyDescent="0.55000000000000004">
      <c r="A10097" t="str">
        <f>TEST_DATA!A10097</f>
        <v>27AAAAA10097Z5</v>
      </c>
      <c r="B10097" t="str">
        <f>TEST_DATA!B10097</f>
        <v>Jan-2021</v>
      </c>
      <c r="C10097">
        <f>TEST_DATA!C10097</f>
        <v>45489</v>
      </c>
      <c r="D10097" t="str">
        <f>TEST_DATA!D10097</f>
        <v>NIL</v>
      </c>
      <c r="E10097">
        <f>TEST_DATA!E10097</f>
        <v>1288</v>
      </c>
    </row>
    <row r="10098" spans="1:5" x14ac:dyDescent="0.55000000000000004">
      <c r="A10098" t="str">
        <f>TEST_DATA!A10098</f>
        <v>27AAAAA10098Z5</v>
      </c>
      <c r="B10098" t="str">
        <f>TEST_DATA!B10098</f>
        <v>Apr-2018</v>
      </c>
      <c r="C10098">
        <f>TEST_DATA!C10098</f>
        <v>43522</v>
      </c>
      <c r="D10098" t="str">
        <f>TEST_DATA!D10098</f>
        <v>NIL</v>
      </c>
      <c r="E10098">
        <f>TEST_DATA!E10098</f>
        <v>525</v>
      </c>
    </row>
    <row r="10099" spans="1:5" x14ac:dyDescent="0.55000000000000004">
      <c r="A10099" t="str">
        <f>TEST_DATA!A10099</f>
        <v>27AAAAA10099Z5</v>
      </c>
      <c r="B10099" t="str">
        <f>TEST_DATA!B10099</f>
        <v>May-2020</v>
      </c>
      <c r="C10099">
        <f>TEST_DATA!C10099</f>
        <v>44490</v>
      </c>
      <c r="D10099" t="str">
        <f>TEST_DATA!D10099</f>
        <v>NIL</v>
      </c>
      <c r="E10099">
        <f>TEST_DATA!E10099</f>
        <v>1339</v>
      </c>
    </row>
    <row r="10100" spans="1:5" x14ac:dyDescent="0.55000000000000004">
      <c r="A10100" t="str">
        <f>TEST_DATA!A10100</f>
        <v>27AAAAA10100Z5</v>
      </c>
      <c r="B10100" t="str">
        <f>TEST_DATA!B10100</f>
        <v>Oct-2017</v>
      </c>
      <c r="C10100">
        <f>TEST_DATA!C10100</f>
        <v>43055</v>
      </c>
      <c r="D10100" t="str">
        <f>TEST_DATA!D10100</f>
        <v>NON-NIL</v>
      </c>
      <c r="E10100">
        <f>TEST_DATA!E10100</f>
        <v>2156</v>
      </c>
    </row>
    <row r="10101" spans="1:5" x14ac:dyDescent="0.55000000000000004">
      <c r="A10101" t="str">
        <f>TEST_DATA!A10101</f>
        <v>27AAAAA10101Z5</v>
      </c>
      <c r="B10101" t="str">
        <f>TEST_DATA!B10101</f>
        <v>Jun-2020</v>
      </c>
      <c r="C10101">
        <f>TEST_DATA!C10101</f>
        <v>44213</v>
      </c>
      <c r="D10101" t="str">
        <f>TEST_DATA!D10101</f>
        <v>NIL</v>
      </c>
      <c r="E10101">
        <f>TEST_DATA!E10101</f>
        <v>1356</v>
      </c>
    </row>
    <row r="10102" spans="1:5" x14ac:dyDescent="0.55000000000000004">
      <c r="A10102" t="str">
        <f>TEST_DATA!A10102</f>
        <v>27AAAAA10102Z5</v>
      </c>
      <c r="B10102" t="str">
        <f>TEST_DATA!B10102</f>
        <v>Aug-2017</v>
      </c>
      <c r="C10102">
        <f>TEST_DATA!C10102</f>
        <v>43428</v>
      </c>
      <c r="D10102" t="str">
        <f>TEST_DATA!D10102</f>
        <v>NON-NIL</v>
      </c>
      <c r="E10102">
        <f>TEST_DATA!E10102</f>
        <v>1377</v>
      </c>
    </row>
    <row r="10103" spans="1:5" x14ac:dyDescent="0.55000000000000004">
      <c r="A10103" t="str">
        <f>TEST_DATA!A10103</f>
        <v>27AAAAA10103Z5</v>
      </c>
      <c r="B10103" t="str">
        <f>TEST_DATA!B10103</f>
        <v>Jun-2018</v>
      </c>
      <c r="C10103">
        <f>TEST_DATA!C10103</f>
        <v>43388</v>
      </c>
      <c r="D10103" t="str">
        <f>TEST_DATA!D10103</f>
        <v>NIL</v>
      </c>
      <c r="E10103">
        <f>TEST_DATA!E10103</f>
        <v>2092</v>
      </c>
    </row>
    <row r="10104" spans="1:5" x14ac:dyDescent="0.55000000000000004">
      <c r="A10104" t="str">
        <f>TEST_DATA!A10104</f>
        <v>27AAAAA10104Z5</v>
      </c>
      <c r="B10104" t="str">
        <f>TEST_DATA!B10104</f>
        <v>Jan-2019</v>
      </c>
      <c r="C10104">
        <f>TEST_DATA!C10104</f>
        <v>44116</v>
      </c>
      <c r="D10104" t="str">
        <f>TEST_DATA!D10104</f>
        <v>NIL</v>
      </c>
      <c r="E10104">
        <f>TEST_DATA!E10104</f>
        <v>1073</v>
      </c>
    </row>
    <row r="10105" spans="1:5" x14ac:dyDescent="0.55000000000000004">
      <c r="A10105" t="str">
        <f>TEST_DATA!A10105</f>
        <v>27AAAAA10105Z5</v>
      </c>
      <c r="B10105" t="str">
        <f>TEST_DATA!B10105</f>
        <v>Sep-2018</v>
      </c>
      <c r="C10105">
        <f>TEST_DATA!C10105</f>
        <v>43729</v>
      </c>
      <c r="D10105" t="str">
        <f>TEST_DATA!D10105</f>
        <v>NON-NIL</v>
      </c>
      <c r="E10105">
        <f>TEST_DATA!E10105</f>
        <v>1782</v>
      </c>
    </row>
    <row r="10106" spans="1:5" x14ac:dyDescent="0.55000000000000004">
      <c r="A10106" t="str">
        <f>TEST_DATA!A10106</f>
        <v>27AAAAA10106Z5</v>
      </c>
      <c r="B10106" t="str">
        <f>TEST_DATA!B10106</f>
        <v>Jul-2018</v>
      </c>
      <c r="C10106">
        <f>TEST_DATA!C10106</f>
        <v>43692</v>
      </c>
      <c r="D10106" t="str">
        <f>TEST_DATA!D10106</f>
        <v>NIL</v>
      </c>
      <c r="E10106">
        <f>TEST_DATA!E10106</f>
        <v>2180</v>
      </c>
    </row>
    <row r="10107" spans="1:5" x14ac:dyDescent="0.55000000000000004">
      <c r="A10107" t="str">
        <f>TEST_DATA!A10107</f>
        <v>27AAAAA10107Z5</v>
      </c>
      <c r="B10107" t="str">
        <f>TEST_DATA!B10107</f>
        <v>Nov-2017</v>
      </c>
      <c r="C10107">
        <f>TEST_DATA!C10107</f>
        <v>44023</v>
      </c>
      <c r="D10107" t="str">
        <f>TEST_DATA!D10107</f>
        <v>NON-NIL</v>
      </c>
      <c r="E10107">
        <f>TEST_DATA!E10107</f>
        <v>1225</v>
      </c>
    </row>
    <row r="10108" spans="1:5" x14ac:dyDescent="0.55000000000000004">
      <c r="A10108" t="str">
        <f>TEST_DATA!A10108</f>
        <v>27AAAAA10108Z5</v>
      </c>
      <c r="B10108" t="str">
        <f>TEST_DATA!B10108</f>
        <v>May-2018</v>
      </c>
      <c r="C10108">
        <f>TEST_DATA!C10108</f>
        <v>44364</v>
      </c>
      <c r="D10108" t="str">
        <f>TEST_DATA!D10108</f>
        <v>NON-NIL</v>
      </c>
      <c r="E10108">
        <f>TEST_DATA!E10108</f>
        <v>323</v>
      </c>
    </row>
    <row r="10109" spans="1:5" x14ac:dyDescent="0.55000000000000004">
      <c r="A10109" t="str">
        <f>TEST_DATA!A10109</f>
        <v>27AAAAA10109Z5</v>
      </c>
      <c r="B10109" t="str">
        <f>TEST_DATA!B10109</f>
        <v>Jan-2021</v>
      </c>
      <c r="C10109">
        <f>TEST_DATA!C10109</f>
        <v>43995</v>
      </c>
      <c r="D10109" t="str">
        <f>TEST_DATA!D10109</f>
        <v>NIL</v>
      </c>
      <c r="E10109">
        <f>TEST_DATA!E10109</f>
        <v>2563</v>
      </c>
    </row>
    <row r="10110" spans="1:5" x14ac:dyDescent="0.55000000000000004">
      <c r="A10110" t="str">
        <f>TEST_DATA!A10110</f>
        <v>27AAAAA10110Z5</v>
      </c>
      <c r="B10110" t="str">
        <f>TEST_DATA!B10110</f>
        <v>Jan-2019</v>
      </c>
      <c r="C10110">
        <f>TEST_DATA!C10110</f>
        <v>44749</v>
      </c>
      <c r="D10110" t="str">
        <f>TEST_DATA!D10110</f>
        <v>NIL</v>
      </c>
      <c r="E10110">
        <f>TEST_DATA!E10110</f>
        <v>295</v>
      </c>
    </row>
    <row r="10111" spans="1:5" x14ac:dyDescent="0.55000000000000004">
      <c r="A10111" t="str">
        <f>TEST_DATA!A10111</f>
        <v>27AAAAA10111Z5</v>
      </c>
      <c r="B10111" t="str">
        <f>TEST_DATA!B10111</f>
        <v>Jun-2020</v>
      </c>
      <c r="C10111">
        <f>TEST_DATA!C10111</f>
        <v>44271</v>
      </c>
      <c r="D10111" t="str">
        <f>TEST_DATA!D10111</f>
        <v>NON-NIL</v>
      </c>
      <c r="E10111">
        <f>TEST_DATA!E10111</f>
        <v>2275</v>
      </c>
    </row>
    <row r="10112" spans="1:5" x14ac:dyDescent="0.55000000000000004">
      <c r="A10112" t="str">
        <f>TEST_DATA!A10112</f>
        <v>27AAAAA10112Z5</v>
      </c>
      <c r="B10112" t="str">
        <f>TEST_DATA!B10112</f>
        <v>Jun-2018</v>
      </c>
      <c r="C10112">
        <f>TEST_DATA!C10112</f>
        <v>44154</v>
      </c>
      <c r="D10112" t="str">
        <f>TEST_DATA!D10112</f>
        <v>NIL</v>
      </c>
      <c r="E10112">
        <f>TEST_DATA!E10112</f>
        <v>420</v>
      </c>
    </row>
    <row r="10113" spans="1:5" x14ac:dyDescent="0.55000000000000004">
      <c r="A10113" t="str">
        <f>TEST_DATA!A10113</f>
        <v>27AAAAA10113Z5</v>
      </c>
      <c r="B10113" t="str">
        <f>TEST_DATA!B10113</f>
        <v>Jun-2018</v>
      </c>
      <c r="C10113">
        <f>TEST_DATA!C10113</f>
        <v>44508</v>
      </c>
      <c r="D10113" t="str">
        <f>TEST_DATA!D10113</f>
        <v>NIL</v>
      </c>
      <c r="E10113">
        <f>TEST_DATA!E10113</f>
        <v>1622</v>
      </c>
    </row>
    <row r="10114" spans="1:5" x14ac:dyDescent="0.55000000000000004">
      <c r="A10114" t="str">
        <f>TEST_DATA!A10114</f>
        <v>27AAAAA10114Z5</v>
      </c>
      <c r="B10114" t="str">
        <f>TEST_DATA!B10114</f>
        <v>Nov-2017</v>
      </c>
      <c r="C10114">
        <f>TEST_DATA!C10114</f>
        <v>43112</v>
      </c>
      <c r="D10114" t="str">
        <f>TEST_DATA!D10114</f>
        <v>NIL</v>
      </c>
      <c r="E10114">
        <f>TEST_DATA!E10114</f>
        <v>1969</v>
      </c>
    </row>
    <row r="10115" spans="1:5" x14ac:dyDescent="0.55000000000000004">
      <c r="A10115" t="str">
        <f>TEST_DATA!A10115</f>
        <v>27AAAAA10115Z5</v>
      </c>
      <c r="B10115" t="str">
        <f>TEST_DATA!B10115</f>
        <v>Dec-2022</v>
      </c>
      <c r="C10115">
        <f>TEST_DATA!C10115</f>
        <v>44676</v>
      </c>
      <c r="D10115" t="str">
        <f>TEST_DATA!D10115</f>
        <v>NIL</v>
      </c>
      <c r="E10115">
        <f>TEST_DATA!E10115</f>
        <v>1052</v>
      </c>
    </row>
    <row r="10116" spans="1:5" x14ac:dyDescent="0.55000000000000004">
      <c r="A10116" t="str">
        <f>TEST_DATA!A10116</f>
        <v>27AAAAA10116Z5</v>
      </c>
      <c r="B10116" t="str">
        <f>TEST_DATA!B10116</f>
        <v>Apr-2021</v>
      </c>
      <c r="C10116">
        <f>TEST_DATA!C10116</f>
        <v>44544</v>
      </c>
      <c r="D10116" t="str">
        <f>TEST_DATA!D10116</f>
        <v>NIL</v>
      </c>
      <c r="E10116">
        <f>TEST_DATA!E10116</f>
        <v>15</v>
      </c>
    </row>
    <row r="10117" spans="1:5" x14ac:dyDescent="0.55000000000000004">
      <c r="A10117" t="str">
        <f>TEST_DATA!A10117</f>
        <v>27AAAAA10117Z5</v>
      </c>
      <c r="B10117" t="str">
        <f>TEST_DATA!B10117</f>
        <v>May-2020</v>
      </c>
      <c r="C10117">
        <f>TEST_DATA!C10117</f>
        <v>44080</v>
      </c>
      <c r="D10117" t="str">
        <f>TEST_DATA!D10117</f>
        <v>NIL</v>
      </c>
      <c r="E10117">
        <f>TEST_DATA!E10117</f>
        <v>1587</v>
      </c>
    </row>
    <row r="10118" spans="1:5" x14ac:dyDescent="0.55000000000000004">
      <c r="A10118" t="str">
        <f>TEST_DATA!A10118</f>
        <v>27AAAAA10118Z5</v>
      </c>
      <c r="B10118" t="str">
        <f>TEST_DATA!B10118</f>
        <v>Sep-2017</v>
      </c>
      <c r="C10118">
        <f>TEST_DATA!C10118</f>
        <v>43485</v>
      </c>
      <c r="D10118" t="str">
        <f>TEST_DATA!D10118</f>
        <v>NON-NIL</v>
      </c>
      <c r="E10118">
        <f>TEST_DATA!E10118</f>
        <v>1456</v>
      </c>
    </row>
    <row r="10119" spans="1:5" x14ac:dyDescent="0.55000000000000004">
      <c r="A10119" t="str">
        <f>TEST_DATA!A10119</f>
        <v>27AAAAA10119Z5</v>
      </c>
      <c r="B10119" t="str">
        <f>TEST_DATA!B10119</f>
        <v>Nov-2017</v>
      </c>
      <c r="C10119">
        <f>TEST_DATA!C10119</f>
        <v>44127</v>
      </c>
      <c r="D10119" t="str">
        <f>TEST_DATA!D10119</f>
        <v>NON-NIL</v>
      </c>
      <c r="E10119">
        <f>TEST_DATA!E10119</f>
        <v>1252</v>
      </c>
    </row>
    <row r="10120" spans="1:5" x14ac:dyDescent="0.55000000000000004">
      <c r="A10120" t="str">
        <f>TEST_DATA!A10120</f>
        <v>27AAAAA10120Z5</v>
      </c>
      <c r="B10120" t="str">
        <f>TEST_DATA!B10120</f>
        <v>Jun-2018</v>
      </c>
      <c r="C10120">
        <f>TEST_DATA!C10120</f>
        <v>44366</v>
      </c>
      <c r="D10120" t="str">
        <f>TEST_DATA!D10120</f>
        <v>NON-NIL</v>
      </c>
      <c r="E10120">
        <f>TEST_DATA!E10120</f>
        <v>1277</v>
      </c>
    </row>
    <row r="10121" spans="1:5" x14ac:dyDescent="0.55000000000000004">
      <c r="A10121" t="str">
        <f>TEST_DATA!A10121</f>
        <v>27AAAAA10121Z5</v>
      </c>
      <c r="B10121" t="str">
        <f>TEST_DATA!B10121</f>
        <v>Mar-2018</v>
      </c>
      <c r="C10121">
        <f>TEST_DATA!C10121</f>
        <v>43336</v>
      </c>
      <c r="D10121" t="str">
        <f>TEST_DATA!D10121</f>
        <v>NIL</v>
      </c>
      <c r="E10121">
        <f>TEST_DATA!E10121</f>
        <v>283</v>
      </c>
    </row>
    <row r="10122" spans="1:5" x14ac:dyDescent="0.55000000000000004">
      <c r="A10122" t="str">
        <f>TEST_DATA!A10122</f>
        <v>27AAAAA10122Z5</v>
      </c>
      <c r="B10122" t="str">
        <f>TEST_DATA!B10122</f>
        <v>Apr-2020</v>
      </c>
      <c r="C10122">
        <f>TEST_DATA!C10122</f>
        <v>44811</v>
      </c>
      <c r="D10122" t="str">
        <f>TEST_DATA!D10122</f>
        <v>NIL</v>
      </c>
      <c r="E10122">
        <f>TEST_DATA!E10122</f>
        <v>501</v>
      </c>
    </row>
    <row r="10123" spans="1:5" x14ac:dyDescent="0.55000000000000004">
      <c r="A10123" t="str">
        <f>TEST_DATA!A10123</f>
        <v>27AAAAA10123Z5</v>
      </c>
      <c r="B10123" t="str">
        <f>TEST_DATA!B10123</f>
        <v>Jun-2020</v>
      </c>
      <c r="C10123">
        <f>TEST_DATA!C10123</f>
        <v>44573</v>
      </c>
      <c r="D10123" t="str">
        <f>TEST_DATA!D10123</f>
        <v>NIL</v>
      </c>
      <c r="E10123">
        <f>TEST_DATA!E10123</f>
        <v>930</v>
      </c>
    </row>
    <row r="10124" spans="1:5" x14ac:dyDescent="0.55000000000000004">
      <c r="A10124" t="str">
        <f>TEST_DATA!A10124</f>
        <v>27AAAAA10124Z5</v>
      </c>
      <c r="B10124" t="str">
        <f>TEST_DATA!B10124</f>
        <v>Dec-2022</v>
      </c>
      <c r="C10124">
        <f>TEST_DATA!C10124</f>
        <v>44461</v>
      </c>
      <c r="D10124" t="str">
        <f>TEST_DATA!D10124</f>
        <v>NON-NIL</v>
      </c>
      <c r="E10124">
        <f>TEST_DATA!E10124</f>
        <v>2378</v>
      </c>
    </row>
    <row r="10125" spans="1:5" x14ac:dyDescent="0.55000000000000004">
      <c r="A10125" t="str">
        <f>TEST_DATA!A10125</f>
        <v>27AAAAA10125Z5</v>
      </c>
      <c r="B10125" t="str">
        <f>TEST_DATA!B10125</f>
        <v>Sep-2018</v>
      </c>
      <c r="C10125">
        <f>TEST_DATA!C10125</f>
        <v>43254</v>
      </c>
      <c r="D10125" t="str">
        <f>TEST_DATA!D10125</f>
        <v>NON-NIL</v>
      </c>
      <c r="E10125">
        <f>TEST_DATA!E10125</f>
        <v>2520</v>
      </c>
    </row>
    <row r="10126" spans="1:5" x14ac:dyDescent="0.55000000000000004">
      <c r="A10126" t="str">
        <f>TEST_DATA!A10126</f>
        <v>27AAAAA10126Z5</v>
      </c>
      <c r="B10126" t="str">
        <f>TEST_DATA!B10126</f>
        <v>Sep-2018</v>
      </c>
      <c r="C10126">
        <f>TEST_DATA!C10126</f>
        <v>42975</v>
      </c>
      <c r="D10126" t="str">
        <f>TEST_DATA!D10126</f>
        <v>NIL</v>
      </c>
      <c r="E10126">
        <f>TEST_DATA!E10126</f>
        <v>103</v>
      </c>
    </row>
    <row r="10127" spans="1:5" x14ac:dyDescent="0.55000000000000004">
      <c r="A10127" t="str">
        <f>TEST_DATA!A10127</f>
        <v>27AAAAA10127Z5</v>
      </c>
      <c r="B10127" t="str">
        <f>TEST_DATA!B10127</f>
        <v>Mar-2021</v>
      </c>
      <c r="C10127">
        <f>TEST_DATA!C10127</f>
        <v>43653</v>
      </c>
      <c r="D10127" t="str">
        <f>TEST_DATA!D10127</f>
        <v>NIL</v>
      </c>
      <c r="E10127">
        <f>TEST_DATA!E10127</f>
        <v>2593</v>
      </c>
    </row>
    <row r="10128" spans="1:5" x14ac:dyDescent="0.55000000000000004">
      <c r="A10128" t="str">
        <f>TEST_DATA!A10128</f>
        <v>27AAAAA10128Z5</v>
      </c>
      <c r="B10128" t="str">
        <f>TEST_DATA!B10128</f>
        <v>Apr-2018</v>
      </c>
      <c r="C10128">
        <f>TEST_DATA!C10128</f>
        <v>43380</v>
      </c>
      <c r="D10128" t="str">
        <f>TEST_DATA!D10128</f>
        <v>NON-NIL</v>
      </c>
      <c r="E10128">
        <f>TEST_DATA!E10128</f>
        <v>1235</v>
      </c>
    </row>
    <row r="10129" spans="1:5" x14ac:dyDescent="0.55000000000000004">
      <c r="A10129" t="str">
        <f>TEST_DATA!A10129</f>
        <v>27AAAAA10129Z5</v>
      </c>
      <c r="B10129" t="str">
        <f>TEST_DATA!B10129</f>
        <v>Apr-2020</v>
      </c>
      <c r="C10129">
        <f>TEST_DATA!C10129</f>
        <v>44847</v>
      </c>
      <c r="D10129" t="str">
        <f>TEST_DATA!D10129</f>
        <v>NON-NIL</v>
      </c>
      <c r="E10129">
        <f>TEST_DATA!E10129</f>
        <v>2914</v>
      </c>
    </row>
    <row r="10130" spans="1:5" x14ac:dyDescent="0.55000000000000004">
      <c r="A10130" t="str">
        <f>TEST_DATA!A10130</f>
        <v>27AAAAA10130Z5</v>
      </c>
      <c r="B10130" t="str">
        <f>TEST_DATA!B10130</f>
        <v>Dec-2019</v>
      </c>
      <c r="C10130">
        <f>TEST_DATA!C10130</f>
        <v>44923</v>
      </c>
      <c r="D10130" t="str">
        <f>TEST_DATA!D10130</f>
        <v>NON-NIL</v>
      </c>
      <c r="E10130">
        <f>TEST_DATA!E10130</f>
        <v>2567</v>
      </c>
    </row>
    <row r="10131" spans="1:5" x14ac:dyDescent="0.55000000000000004">
      <c r="A10131" t="str">
        <f>TEST_DATA!A10131</f>
        <v>27AAAAA10131Z5</v>
      </c>
      <c r="B10131" t="str">
        <f>TEST_DATA!B10131</f>
        <v>Sep-2017</v>
      </c>
      <c r="C10131">
        <f>TEST_DATA!C10131</f>
        <v>44419</v>
      </c>
      <c r="D10131" t="str">
        <f>TEST_DATA!D10131</f>
        <v>NIL</v>
      </c>
      <c r="E10131">
        <f>TEST_DATA!E10131</f>
        <v>1950</v>
      </c>
    </row>
    <row r="10132" spans="1:5" x14ac:dyDescent="0.55000000000000004">
      <c r="A10132" t="str">
        <f>TEST_DATA!A10132</f>
        <v>27AAAAA10132Z5</v>
      </c>
      <c r="B10132" t="str">
        <f>TEST_DATA!B10132</f>
        <v>Jun-2019</v>
      </c>
      <c r="C10132">
        <f>TEST_DATA!C10132</f>
        <v>45118</v>
      </c>
      <c r="D10132" t="str">
        <f>TEST_DATA!D10132</f>
        <v>NIL</v>
      </c>
      <c r="E10132">
        <f>TEST_DATA!E10132</f>
        <v>2910</v>
      </c>
    </row>
    <row r="10133" spans="1:5" x14ac:dyDescent="0.55000000000000004">
      <c r="A10133" t="str">
        <f>TEST_DATA!A10133</f>
        <v>27AAAAA10133Z5</v>
      </c>
      <c r="B10133" t="str">
        <f>TEST_DATA!B10133</f>
        <v>Apr-2021</v>
      </c>
      <c r="C10133">
        <f>TEST_DATA!C10133</f>
        <v>44001</v>
      </c>
      <c r="D10133" t="str">
        <f>TEST_DATA!D10133</f>
        <v>NIL</v>
      </c>
      <c r="E10133">
        <f>TEST_DATA!E10133</f>
        <v>1500</v>
      </c>
    </row>
    <row r="10134" spans="1:5" x14ac:dyDescent="0.55000000000000004">
      <c r="A10134" t="str">
        <f>TEST_DATA!A10134</f>
        <v>27AAAAA10134Z5</v>
      </c>
      <c r="B10134" t="str">
        <f>TEST_DATA!B10134</f>
        <v>Mar-2020</v>
      </c>
      <c r="C10134">
        <f>TEST_DATA!C10134</f>
        <v>44145</v>
      </c>
      <c r="D10134" t="str">
        <f>TEST_DATA!D10134</f>
        <v>NON-NIL</v>
      </c>
      <c r="E10134">
        <f>TEST_DATA!E10134</f>
        <v>2486</v>
      </c>
    </row>
    <row r="10135" spans="1:5" x14ac:dyDescent="0.55000000000000004">
      <c r="A10135" t="str">
        <f>TEST_DATA!A10135</f>
        <v>27AAAAA10135Z5</v>
      </c>
      <c r="B10135" t="str">
        <f>TEST_DATA!B10135</f>
        <v>Mar-2018</v>
      </c>
      <c r="C10135">
        <f>TEST_DATA!C10135</f>
        <v>43362</v>
      </c>
      <c r="D10135" t="str">
        <f>TEST_DATA!D10135</f>
        <v>NON-NIL</v>
      </c>
      <c r="E10135">
        <f>TEST_DATA!E10135</f>
        <v>1790</v>
      </c>
    </row>
    <row r="10136" spans="1:5" x14ac:dyDescent="0.55000000000000004">
      <c r="A10136" t="str">
        <f>TEST_DATA!A10136</f>
        <v>27AAAAA10136Z5</v>
      </c>
      <c r="B10136" t="str">
        <f>TEST_DATA!B10136</f>
        <v>Feb-2018</v>
      </c>
      <c r="C10136">
        <f>TEST_DATA!C10136</f>
        <v>43971</v>
      </c>
      <c r="D10136" t="str">
        <f>TEST_DATA!D10136</f>
        <v>NIL</v>
      </c>
      <c r="E10136">
        <f>TEST_DATA!E10136</f>
        <v>2011</v>
      </c>
    </row>
    <row r="10137" spans="1:5" x14ac:dyDescent="0.55000000000000004">
      <c r="A10137" t="str">
        <f>TEST_DATA!A10137</f>
        <v>27AAAAA10137Z5</v>
      </c>
      <c r="B10137" t="str">
        <f>TEST_DATA!B10137</f>
        <v>Dec-2024</v>
      </c>
      <c r="C10137">
        <f>TEST_DATA!C10137</f>
        <v>44647</v>
      </c>
      <c r="D10137" t="str">
        <f>TEST_DATA!D10137</f>
        <v>NIL</v>
      </c>
      <c r="E10137">
        <f>TEST_DATA!E10137</f>
        <v>862</v>
      </c>
    </row>
    <row r="10138" spans="1:5" x14ac:dyDescent="0.55000000000000004">
      <c r="A10138" t="str">
        <f>TEST_DATA!A10138</f>
        <v>27AAAAA10138Z5</v>
      </c>
      <c r="B10138" t="str">
        <f>TEST_DATA!B10138</f>
        <v>Jan-2018</v>
      </c>
      <c r="C10138">
        <f>TEST_DATA!C10138</f>
        <v>43157</v>
      </c>
      <c r="D10138" t="str">
        <f>TEST_DATA!D10138</f>
        <v>NIL</v>
      </c>
      <c r="E10138">
        <f>TEST_DATA!E10138</f>
        <v>685</v>
      </c>
    </row>
    <row r="10139" spans="1:5" x14ac:dyDescent="0.55000000000000004">
      <c r="A10139" t="str">
        <f>TEST_DATA!A10139</f>
        <v>27AAAAA10139Z5</v>
      </c>
      <c r="B10139" t="str">
        <f>TEST_DATA!B10139</f>
        <v>Dec-2017</v>
      </c>
      <c r="C10139">
        <f>TEST_DATA!C10139</f>
        <v>43386</v>
      </c>
      <c r="D10139" t="str">
        <f>TEST_DATA!D10139</f>
        <v>NON-NIL</v>
      </c>
      <c r="E10139">
        <f>TEST_DATA!E10139</f>
        <v>1081</v>
      </c>
    </row>
    <row r="10140" spans="1:5" x14ac:dyDescent="0.55000000000000004">
      <c r="A10140" t="str">
        <f>TEST_DATA!A10140</f>
        <v>27AAAAA10140Z5</v>
      </c>
      <c r="B10140" t="str">
        <f>TEST_DATA!B10140</f>
        <v>Dec-2019</v>
      </c>
      <c r="C10140">
        <f>TEST_DATA!C10140</f>
        <v>43633</v>
      </c>
      <c r="D10140" t="str">
        <f>TEST_DATA!D10140</f>
        <v>NON-NIL</v>
      </c>
      <c r="E10140">
        <f>TEST_DATA!E10140</f>
        <v>56</v>
      </c>
    </row>
    <row r="10141" spans="1:5" x14ac:dyDescent="0.55000000000000004">
      <c r="A10141" t="str">
        <f>TEST_DATA!A10141</f>
        <v>27AAAAA10141Z5</v>
      </c>
      <c r="B10141" t="str">
        <f>TEST_DATA!B10141</f>
        <v>Apr-2018</v>
      </c>
      <c r="C10141">
        <f>TEST_DATA!C10141</f>
        <v>43839</v>
      </c>
      <c r="D10141" t="str">
        <f>TEST_DATA!D10141</f>
        <v>NIL</v>
      </c>
      <c r="E10141">
        <f>TEST_DATA!E10141</f>
        <v>2808</v>
      </c>
    </row>
    <row r="10142" spans="1:5" x14ac:dyDescent="0.55000000000000004">
      <c r="A10142" t="str">
        <f>TEST_DATA!A10142</f>
        <v>27AAAAA10142Z5</v>
      </c>
      <c r="B10142" t="str">
        <f>TEST_DATA!B10142</f>
        <v>Oct-2017</v>
      </c>
      <c r="C10142">
        <f>TEST_DATA!C10142</f>
        <v>43556</v>
      </c>
      <c r="D10142" t="str">
        <f>TEST_DATA!D10142</f>
        <v>NIL</v>
      </c>
      <c r="E10142">
        <f>TEST_DATA!E10142</f>
        <v>1623</v>
      </c>
    </row>
    <row r="10143" spans="1:5" x14ac:dyDescent="0.55000000000000004">
      <c r="A10143" t="str">
        <f>TEST_DATA!A10143</f>
        <v>27AAAAA10143Z5</v>
      </c>
      <c r="B10143" t="str">
        <f>TEST_DATA!B10143</f>
        <v>Dec-2019</v>
      </c>
      <c r="C10143">
        <f>TEST_DATA!C10143</f>
        <v>45363</v>
      </c>
      <c r="D10143" t="str">
        <f>TEST_DATA!D10143</f>
        <v>NON-NIL</v>
      </c>
      <c r="E10143">
        <f>TEST_DATA!E10143</f>
        <v>1883</v>
      </c>
    </row>
    <row r="10144" spans="1:5" x14ac:dyDescent="0.55000000000000004">
      <c r="A10144" t="str">
        <f>TEST_DATA!A10144</f>
        <v>27AAAAA10144Z5</v>
      </c>
      <c r="B10144" t="str">
        <f>TEST_DATA!B10144</f>
        <v>Jan-2019</v>
      </c>
      <c r="C10144">
        <f>TEST_DATA!C10144</f>
        <v>45499</v>
      </c>
      <c r="D10144" t="str">
        <f>TEST_DATA!D10144</f>
        <v>NON-NIL</v>
      </c>
      <c r="E10144">
        <f>TEST_DATA!E10144</f>
        <v>26</v>
      </c>
    </row>
    <row r="10145" spans="1:5" x14ac:dyDescent="0.55000000000000004">
      <c r="A10145" t="str">
        <f>TEST_DATA!A10145</f>
        <v>27AAAAA10145Z5</v>
      </c>
      <c r="B10145" t="str">
        <f>TEST_DATA!B10145</f>
        <v>Sep-2018</v>
      </c>
      <c r="C10145">
        <f>TEST_DATA!C10145</f>
        <v>42953</v>
      </c>
      <c r="D10145" t="str">
        <f>TEST_DATA!D10145</f>
        <v>NIL</v>
      </c>
      <c r="E10145">
        <f>TEST_DATA!E10145</f>
        <v>1649</v>
      </c>
    </row>
    <row r="10146" spans="1:5" x14ac:dyDescent="0.55000000000000004">
      <c r="A10146" t="str">
        <f>TEST_DATA!A10146</f>
        <v>27AAAAA10146Z5</v>
      </c>
      <c r="B10146" t="str">
        <f>TEST_DATA!B10146</f>
        <v>Jul-2018</v>
      </c>
      <c r="C10146">
        <f>TEST_DATA!C10146</f>
        <v>43758</v>
      </c>
      <c r="D10146" t="str">
        <f>TEST_DATA!D10146</f>
        <v>NON-NIL</v>
      </c>
      <c r="E10146">
        <f>TEST_DATA!E10146</f>
        <v>1647</v>
      </c>
    </row>
    <row r="10147" spans="1:5" x14ac:dyDescent="0.55000000000000004">
      <c r="A10147" t="str">
        <f>TEST_DATA!A10147</f>
        <v>27AAAAA10147Z5</v>
      </c>
      <c r="B10147" t="str">
        <f>TEST_DATA!B10147</f>
        <v>Jul-2017</v>
      </c>
      <c r="C10147">
        <f>TEST_DATA!C10147</f>
        <v>42924</v>
      </c>
      <c r="D10147" t="str">
        <f>TEST_DATA!D10147</f>
        <v>NON-NIL</v>
      </c>
      <c r="E10147">
        <f>TEST_DATA!E10147</f>
        <v>1546</v>
      </c>
    </row>
    <row r="10148" spans="1:5" x14ac:dyDescent="0.55000000000000004">
      <c r="A10148" t="str">
        <f>TEST_DATA!A10148</f>
        <v>27AAAAA10148Z5</v>
      </c>
      <c r="B10148" t="str">
        <f>TEST_DATA!B10148</f>
        <v>Jul-2020</v>
      </c>
      <c r="C10148">
        <f>TEST_DATA!C10148</f>
        <v>44116</v>
      </c>
      <c r="D10148" t="str">
        <f>TEST_DATA!D10148</f>
        <v>NIL</v>
      </c>
      <c r="E10148">
        <f>TEST_DATA!E10148</f>
        <v>2251</v>
      </c>
    </row>
    <row r="10149" spans="1:5" x14ac:dyDescent="0.55000000000000004">
      <c r="A10149" t="str">
        <f>TEST_DATA!A10149</f>
        <v>27AAAAA10149Z5</v>
      </c>
      <c r="B10149" t="str">
        <f>TEST_DATA!B10149</f>
        <v>Mar-2023</v>
      </c>
      <c r="C10149">
        <f>TEST_DATA!C10149</f>
        <v>44099</v>
      </c>
      <c r="D10149" t="str">
        <f>TEST_DATA!D10149</f>
        <v>NIL</v>
      </c>
      <c r="E10149">
        <f>TEST_DATA!E10149</f>
        <v>741</v>
      </c>
    </row>
    <row r="10150" spans="1:5" x14ac:dyDescent="0.55000000000000004">
      <c r="A10150" t="str">
        <f>TEST_DATA!A10150</f>
        <v>27AAAAA10150Z5</v>
      </c>
      <c r="B10150" t="str">
        <f>TEST_DATA!B10150</f>
        <v>Apr-2021</v>
      </c>
      <c r="C10150">
        <f>TEST_DATA!C10150</f>
        <v>45672</v>
      </c>
      <c r="D10150" t="str">
        <f>TEST_DATA!D10150</f>
        <v>NIL</v>
      </c>
      <c r="E10150">
        <f>TEST_DATA!E10150</f>
        <v>495</v>
      </c>
    </row>
    <row r="10151" spans="1:5" x14ac:dyDescent="0.55000000000000004">
      <c r="A10151" t="str">
        <f>TEST_DATA!A10151</f>
        <v>27AAAAA10151Z5</v>
      </c>
      <c r="B10151" t="str">
        <f>TEST_DATA!B10151</f>
        <v>Mar-2020</v>
      </c>
      <c r="C10151">
        <f>TEST_DATA!C10151</f>
        <v>44266</v>
      </c>
      <c r="D10151" t="str">
        <f>TEST_DATA!D10151</f>
        <v>NON-NIL</v>
      </c>
      <c r="E10151">
        <f>TEST_DATA!E10151</f>
        <v>2200</v>
      </c>
    </row>
    <row r="10152" spans="1:5" x14ac:dyDescent="0.55000000000000004">
      <c r="A10152" t="str">
        <f>TEST_DATA!A10152</f>
        <v>27AAAAA10152Z5</v>
      </c>
      <c r="B10152" t="str">
        <f>TEST_DATA!B10152</f>
        <v>Dec-2017</v>
      </c>
      <c r="C10152">
        <f>TEST_DATA!C10152</f>
        <v>43901</v>
      </c>
      <c r="D10152" t="str">
        <f>TEST_DATA!D10152</f>
        <v>NON-NIL</v>
      </c>
      <c r="E10152">
        <f>TEST_DATA!E10152</f>
        <v>1803</v>
      </c>
    </row>
    <row r="10153" spans="1:5" x14ac:dyDescent="0.55000000000000004">
      <c r="A10153" t="str">
        <f>TEST_DATA!A10153</f>
        <v>27AAAAA10153Z5</v>
      </c>
      <c r="B10153" t="str">
        <f>TEST_DATA!B10153</f>
        <v>Nov-2017</v>
      </c>
      <c r="C10153">
        <f>TEST_DATA!C10153</f>
        <v>43790</v>
      </c>
      <c r="D10153" t="str">
        <f>TEST_DATA!D10153</f>
        <v>NON-NIL</v>
      </c>
      <c r="E10153">
        <f>TEST_DATA!E10153</f>
        <v>2901</v>
      </c>
    </row>
    <row r="10154" spans="1:5" x14ac:dyDescent="0.55000000000000004">
      <c r="A10154" t="str">
        <f>TEST_DATA!A10154</f>
        <v>27AAAAA10154Z5</v>
      </c>
      <c r="B10154" t="str">
        <f>TEST_DATA!B10154</f>
        <v>Apr-2021</v>
      </c>
      <c r="C10154">
        <f>TEST_DATA!C10154</f>
        <v>44348</v>
      </c>
      <c r="D10154" t="str">
        <f>TEST_DATA!D10154</f>
        <v>NIL</v>
      </c>
      <c r="E10154">
        <f>TEST_DATA!E10154</f>
        <v>809</v>
      </c>
    </row>
    <row r="10155" spans="1:5" x14ac:dyDescent="0.55000000000000004">
      <c r="A10155" t="str">
        <f>TEST_DATA!A10155</f>
        <v>27AAAAA10155Z5</v>
      </c>
      <c r="B10155" t="str">
        <f>TEST_DATA!B10155</f>
        <v>Mar-2023</v>
      </c>
      <c r="C10155">
        <f>TEST_DATA!C10155</f>
        <v>43511</v>
      </c>
      <c r="D10155" t="str">
        <f>TEST_DATA!D10155</f>
        <v>NON-NIL</v>
      </c>
      <c r="E10155">
        <f>TEST_DATA!E10155</f>
        <v>2956</v>
      </c>
    </row>
    <row r="10156" spans="1:5" x14ac:dyDescent="0.55000000000000004">
      <c r="A10156" t="str">
        <f>TEST_DATA!A10156</f>
        <v>27AAAAA10156Z5</v>
      </c>
      <c r="B10156" t="str">
        <f>TEST_DATA!B10156</f>
        <v>Mar-2021</v>
      </c>
      <c r="C10156">
        <f>TEST_DATA!C10156</f>
        <v>44941</v>
      </c>
      <c r="D10156" t="str">
        <f>TEST_DATA!D10156</f>
        <v>NON-NIL</v>
      </c>
      <c r="E10156">
        <f>TEST_DATA!E10156</f>
        <v>2334</v>
      </c>
    </row>
    <row r="10157" spans="1:5" x14ac:dyDescent="0.55000000000000004">
      <c r="A10157" t="str">
        <f>TEST_DATA!A10157</f>
        <v>27AAAAA10157Z5</v>
      </c>
      <c r="B10157" t="str">
        <f>TEST_DATA!B10157</f>
        <v>Dec-2017</v>
      </c>
      <c r="C10157">
        <f>TEST_DATA!C10157</f>
        <v>44273</v>
      </c>
      <c r="D10157" t="str">
        <f>TEST_DATA!D10157</f>
        <v>NIL</v>
      </c>
      <c r="E10157">
        <f>TEST_DATA!E10157</f>
        <v>1647</v>
      </c>
    </row>
    <row r="10158" spans="1:5" x14ac:dyDescent="0.55000000000000004">
      <c r="A10158" t="str">
        <f>TEST_DATA!A10158</f>
        <v>27AAAAA10158Z5</v>
      </c>
      <c r="B10158" t="str">
        <f>TEST_DATA!B10158</f>
        <v>Jul-2018</v>
      </c>
      <c r="C10158">
        <f>TEST_DATA!C10158</f>
        <v>44268</v>
      </c>
      <c r="D10158" t="str">
        <f>TEST_DATA!D10158</f>
        <v>NON-NIL</v>
      </c>
      <c r="E10158">
        <f>TEST_DATA!E10158</f>
        <v>132</v>
      </c>
    </row>
    <row r="10159" spans="1:5" x14ac:dyDescent="0.55000000000000004">
      <c r="A10159" t="str">
        <f>TEST_DATA!A10159</f>
        <v>27AAAAA10159Z5</v>
      </c>
      <c r="B10159" t="str">
        <f>TEST_DATA!B10159</f>
        <v>Dec-2024</v>
      </c>
      <c r="C10159">
        <f>TEST_DATA!C10159</f>
        <v>44584</v>
      </c>
      <c r="D10159" t="str">
        <f>TEST_DATA!D10159</f>
        <v>NON-NIL</v>
      </c>
      <c r="E10159">
        <f>TEST_DATA!E10159</f>
        <v>948</v>
      </c>
    </row>
    <row r="10160" spans="1:5" x14ac:dyDescent="0.55000000000000004">
      <c r="A10160" t="str">
        <f>TEST_DATA!A10160</f>
        <v>27AAAAA10160Z5</v>
      </c>
      <c r="B10160" t="str">
        <f>TEST_DATA!B10160</f>
        <v>Oct-2017</v>
      </c>
      <c r="C10160">
        <f>TEST_DATA!C10160</f>
        <v>43289</v>
      </c>
      <c r="D10160" t="str">
        <f>TEST_DATA!D10160</f>
        <v>NIL</v>
      </c>
      <c r="E10160">
        <f>TEST_DATA!E10160</f>
        <v>1033</v>
      </c>
    </row>
    <row r="10161" spans="1:5" x14ac:dyDescent="0.55000000000000004">
      <c r="A10161" t="str">
        <f>TEST_DATA!A10161</f>
        <v>27AAAAA10161Z5</v>
      </c>
      <c r="B10161" t="str">
        <f>TEST_DATA!B10161</f>
        <v>May-2020</v>
      </c>
      <c r="C10161">
        <f>TEST_DATA!C10161</f>
        <v>44372</v>
      </c>
      <c r="D10161" t="str">
        <f>TEST_DATA!D10161</f>
        <v>NIL</v>
      </c>
      <c r="E10161">
        <f>TEST_DATA!E10161</f>
        <v>1392</v>
      </c>
    </row>
    <row r="10162" spans="1:5" x14ac:dyDescent="0.55000000000000004">
      <c r="A10162" t="str">
        <f>TEST_DATA!A10162</f>
        <v>27AAAAA10162Z5</v>
      </c>
      <c r="B10162" t="str">
        <f>TEST_DATA!B10162</f>
        <v>Jun-2019</v>
      </c>
      <c r="C10162">
        <f>TEST_DATA!C10162</f>
        <v>44601</v>
      </c>
      <c r="D10162" t="str">
        <f>TEST_DATA!D10162</f>
        <v>NIL</v>
      </c>
      <c r="E10162">
        <f>TEST_DATA!E10162</f>
        <v>460</v>
      </c>
    </row>
    <row r="10163" spans="1:5" x14ac:dyDescent="0.55000000000000004">
      <c r="A10163" t="str">
        <f>TEST_DATA!A10163</f>
        <v>27AAAAA10163Z5</v>
      </c>
      <c r="B10163" t="str">
        <f>TEST_DATA!B10163</f>
        <v>Jun-2019</v>
      </c>
      <c r="C10163">
        <f>TEST_DATA!C10163</f>
        <v>44732</v>
      </c>
      <c r="D10163" t="str">
        <f>TEST_DATA!D10163</f>
        <v>NON-NIL</v>
      </c>
      <c r="E10163">
        <f>TEST_DATA!E10163</f>
        <v>1439</v>
      </c>
    </row>
    <row r="10164" spans="1:5" x14ac:dyDescent="0.55000000000000004">
      <c r="A10164" t="str">
        <f>TEST_DATA!A10164</f>
        <v>27AAAAA10164Z5</v>
      </c>
      <c r="B10164" t="str">
        <f>TEST_DATA!B10164</f>
        <v>Oct-2017</v>
      </c>
      <c r="C10164">
        <f>TEST_DATA!C10164</f>
        <v>43232</v>
      </c>
      <c r="D10164" t="str">
        <f>TEST_DATA!D10164</f>
        <v>NON-NIL</v>
      </c>
      <c r="E10164">
        <f>TEST_DATA!E10164</f>
        <v>742</v>
      </c>
    </row>
    <row r="10165" spans="1:5" x14ac:dyDescent="0.55000000000000004">
      <c r="A10165" t="str">
        <f>TEST_DATA!A10165</f>
        <v>27AAAAA10165Z5</v>
      </c>
      <c r="B10165" t="str">
        <f>TEST_DATA!B10165</f>
        <v>Oct-2017</v>
      </c>
      <c r="C10165">
        <f>TEST_DATA!C10165</f>
        <v>42976</v>
      </c>
      <c r="D10165" t="str">
        <f>TEST_DATA!D10165</f>
        <v>NON-NIL</v>
      </c>
      <c r="E10165">
        <f>TEST_DATA!E10165</f>
        <v>962</v>
      </c>
    </row>
    <row r="10166" spans="1:5" x14ac:dyDescent="0.55000000000000004">
      <c r="A10166" t="str">
        <f>TEST_DATA!A10166</f>
        <v>27AAAAA10166Z5</v>
      </c>
      <c r="B10166" t="str">
        <f>TEST_DATA!B10166</f>
        <v>Sep-2018</v>
      </c>
      <c r="C10166">
        <f>TEST_DATA!C10166</f>
        <v>44058</v>
      </c>
      <c r="D10166" t="str">
        <f>TEST_DATA!D10166</f>
        <v>NIL</v>
      </c>
      <c r="E10166">
        <f>TEST_DATA!E10166</f>
        <v>1940</v>
      </c>
    </row>
    <row r="10167" spans="1:5" x14ac:dyDescent="0.55000000000000004">
      <c r="A10167" t="str">
        <f>TEST_DATA!A10167</f>
        <v>27AAAAA10167Z5</v>
      </c>
      <c r="B10167" t="str">
        <f>TEST_DATA!B10167</f>
        <v>Mar-2021</v>
      </c>
      <c r="C10167">
        <f>TEST_DATA!C10167</f>
        <v>43543</v>
      </c>
      <c r="D10167" t="str">
        <f>TEST_DATA!D10167</f>
        <v>NON-NIL</v>
      </c>
      <c r="E10167">
        <f>TEST_DATA!E10167</f>
        <v>2290</v>
      </c>
    </row>
    <row r="10168" spans="1:5" x14ac:dyDescent="0.55000000000000004">
      <c r="A10168" t="str">
        <f>TEST_DATA!A10168</f>
        <v>27AAAAA10168Z5</v>
      </c>
      <c r="B10168" t="str">
        <f>TEST_DATA!B10168</f>
        <v>Jul-2020</v>
      </c>
      <c r="C10168">
        <f>TEST_DATA!C10168</f>
        <v>44292</v>
      </c>
      <c r="D10168" t="str">
        <f>TEST_DATA!D10168</f>
        <v>NON-NIL</v>
      </c>
      <c r="E10168">
        <f>TEST_DATA!E10168</f>
        <v>1033</v>
      </c>
    </row>
    <row r="10169" spans="1:5" x14ac:dyDescent="0.55000000000000004">
      <c r="A10169" t="str">
        <f>TEST_DATA!A10169</f>
        <v>27AAAAA10169Z5</v>
      </c>
      <c r="B10169" t="str">
        <f>TEST_DATA!B10169</f>
        <v>May-2020</v>
      </c>
      <c r="C10169">
        <f>TEST_DATA!C10169</f>
        <v>44914</v>
      </c>
      <c r="D10169" t="str">
        <f>TEST_DATA!D10169</f>
        <v>NIL</v>
      </c>
      <c r="E10169">
        <f>TEST_DATA!E10169</f>
        <v>340</v>
      </c>
    </row>
    <row r="10170" spans="1:5" x14ac:dyDescent="0.55000000000000004">
      <c r="A10170" t="str">
        <f>TEST_DATA!A10170</f>
        <v>27AAAAA10170Z5</v>
      </c>
      <c r="B10170" t="str">
        <f>TEST_DATA!B10170</f>
        <v>Jul-2020</v>
      </c>
      <c r="C10170">
        <f>TEST_DATA!C10170</f>
        <v>44672</v>
      </c>
      <c r="D10170" t="str">
        <f>TEST_DATA!D10170</f>
        <v>NON-NIL</v>
      </c>
      <c r="E10170">
        <f>TEST_DATA!E10170</f>
        <v>2373</v>
      </c>
    </row>
    <row r="10171" spans="1:5" x14ac:dyDescent="0.55000000000000004">
      <c r="A10171" t="str">
        <f>TEST_DATA!A10171</f>
        <v>27AAAAA10171Z5</v>
      </c>
      <c r="B10171" t="str">
        <f>TEST_DATA!B10171</f>
        <v>Jun-2018</v>
      </c>
      <c r="C10171">
        <f>TEST_DATA!C10171</f>
        <v>43657</v>
      </c>
      <c r="D10171" t="str">
        <f>TEST_DATA!D10171</f>
        <v>NON-NIL</v>
      </c>
      <c r="E10171">
        <f>TEST_DATA!E10171</f>
        <v>2345</v>
      </c>
    </row>
    <row r="10172" spans="1:5" x14ac:dyDescent="0.55000000000000004">
      <c r="A10172" t="str">
        <f>TEST_DATA!A10172</f>
        <v>27AAAAA10172Z5</v>
      </c>
      <c r="B10172" t="str">
        <f>TEST_DATA!B10172</f>
        <v>Mar-2018</v>
      </c>
      <c r="C10172">
        <f>TEST_DATA!C10172</f>
        <v>43258</v>
      </c>
      <c r="D10172" t="str">
        <f>TEST_DATA!D10172</f>
        <v>NIL</v>
      </c>
      <c r="E10172">
        <f>TEST_DATA!E10172</f>
        <v>2550</v>
      </c>
    </row>
    <row r="10173" spans="1:5" x14ac:dyDescent="0.55000000000000004">
      <c r="A10173" t="str">
        <f>TEST_DATA!A10173</f>
        <v>27AAAAA10173Z5</v>
      </c>
      <c r="B10173" t="str">
        <f>TEST_DATA!B10173</f>
        <v>Feb-2018</v>
      </c>
      <c r="C10173">
        <f>TEST_DATA!C10173</f>
        <v>43940</v>
      </c>
      <c r="D10173" t="str">
        <f>TEST_DATA!D10173</f>
        <v>NIL</v>
      </c>
      <c r="E10173">
        <f>TEST_DATA!E10173</f>
        <v>427</v>
      </c>
    </row>
    <row r="10174" spans="1:5" x14ac:dyDescent="0.55000000000000004">
      <c r="A10174" t="str">
        <f>TEST_DATA!A10174</f>
        <v>27AAAAA10174Z5</v>
      </c>
      <c r="B10174" t="str">
        <f>TEST_DATA!B10174</f>
        <v>Jan-2018</v>
      </c>
      <c r="C10174">
        <f>TEST_DATA!C10174</f>
        <v>44479</v>
      </c>
      <c r="D10174" t="str">
        <f>TEST_DATA!D10174</f>
        <v>NON-NIL</v>
      </c>
      <c r="E10174">
        <f>TEST_DATA!E10174</f>
        <v>792</v>
      </c>
    </row>
    <row r="10175" spans="1:5" x14ac:dyDescent="0.55000000000000004">
      <c r="A10175" t="str">
        <f>TEST_DATA!A10175</f>
        <v>27AAAAA10175Z5</v>
      </c>
      <c r="B10175" t="str">
        <f>TEST_DATA!B10175</f>
        <v>Jul-2020</v>
      </c>
      <c r="C10175">
        <f>TEST_DATA!C10175</f>
        <v>44637</v>
      </c>
      <c r="D10175" t="str">
        <f>TEST_DATA!D10175</f>
        <v>NON-NIL</v>
      </c>
      <c r="E10175">
        <f>TEST_DATA!E10175</f>
        <v>2360</v>
      </c>
    </row>
    <row r="10176" spans="1:5" x14ac:dyDescent="0.55000000000000004">
      <c r="A10176" t="str">
        <f>TEST_DATA!A10176</f>
        <v>27AAAAA10176Z5</v>
      </c>
      <c r="B10176" t="str">
        <f>TEST_DATA!B10176</f>
        <v>Jan-2019</v>
      </c>
      <c r="C10176">
        <f>TEST_DATA!C10176</f>
        <v>44192</v>
      </c>
      <c r="D10176" t="str">
        <f>TEST_DATA!D10176</f>
        <v>NON-NIL</v>
      </c>
      <c r="E10176">
        <f>TEST_DATA!E10176</f>
        <v>1637</v>
      </c>
    </row>
    <row r="10177" spans="1:5" x14ac:dyDescent="0.55000000000000004">
      <c r="A10177" t="str">
        <f>TEST_DATA!A10177</f>
        <v>27AAAAA10177Z5</v>
      </c>
      <c r="B10177" t="str">
        <f>TEST_DATA!B10177</f>
        <v>Sep-2018</v>
      </c>
      <c r="C10177">
        <f>TEST_DATA!C10177</f>
        <v>43792</v>
      </c>
      <c r="D10177" t="str">
        <f>TEST_DATA!D10177</f>
        <v>NON-NIL</v>
      </c>
      <c r="E10177">
        <f>TEST_DATA!E10177</f>
        <v>1950</v>
      </c>
    </row>
    <row r="10178" spans="1:5" x14ac:dyDescent="0.55000000000000004">
      <c r="A10178" t="str">
        <f>TEST_DATA!A10178</f>
        <v>27AAAAA10178Z5</v>
      </c>
      <c r="B10178" t="str">
        <f>TEST_DATA!B10178</f>
        <v>Jan-2019</v>
      </c>
      <c r="C10178">
        <f>TEST_DATA!C10178</f>
        <v>44965</v>
      </c>
      <c r="D10178" t="str">
        <f>TEST_DATA!D10178</f>
        <v>NIL</v>
      </c>
      <c r="E10178">
        <f>TEST_DATA!E10178</f>
        <v>1478</v>
      </c>
    </row>
    <row r="10179" spans="1:5" x14ac:dyDescent="0.55000000000000004">
      <c r="A10179" t="str">
        <f>TEST_DATA!A10179</f>
        <v>27AAAAA10179Z5</v>
      </c>
      <c r="B10179" t="str">
        <f>TEST_DATA!B10179</f>
        <v>Apr-2021</v>
      </c>
      <c r="C10179">
        <f>TEST_DATA!C10179</f>
        <v>45755</v>
      </c>
      <c r="D10179" t="str">
        <f>TEST_DATA!D10179</f>
        <v>NON-NIL</v>
      </c>
      <c r="E10179">
        <f>TEST_DATA!E10179</f>
        <v>294</v>
      </c>
    </row>
    <row r="10180" spans="1:5" x14ac:dyDescent="0.55000000000000004">
      <c r="A10180" t="str">
        <f>TEST_DATA!A10180</f>
        <v>27AAAAA10180Z5</v>
      </c>
      <c r="B10180" t="str">
        <f>TEST_DATA!B10180</f>
        <v>Jan-2018</v>
      </c>
      <c r="C10180">
        <f>TEST_DATA!C10180</f>
        <v>44505</v>
      </c>
      <c r="D10180" t="str">
        <f>TEST_DATA!D10180</f>
        <v>NON-NIL</v>
      </c>
      <c r="E10180">
        <f>TEST_DATA!E10180</f>
        <v>365</v>
      </c>
    </row>
    <row r="10181" spans="1:5" x14ac:dyDescent="0.55000000000000004">
      <c r="A10181" t="str">
        <f>TEST_DATA!A10181</f>
        <v>27AAAAA10181Z5</v>
      </c>
      <c r="B10181" t="str">
        <f>TEST_DATA!B10181</f>
        <v>Jan-2019</v>
      </c>
      <c r="C10181">
        <f>TEST_DATA!C10181</f>
        <v>44518</v>
      </c>
      <c r="D10181" t="str">
        <f>TEST_DATA!D10181</f>
        <v>NIL</v>
      </c>
      <c r="E10181">
        <f>TEST_DATA!E10181</f>
        <v>2395</v>
      </c>
    </row>
    <row r="10182" spans="1:5" x14ac:dyDescent="0.55000000000000004">
      <c r="A10182" t="str">
        <f>TEST_DATA!A10182</f>
        <v>27AAAAA10182Z5</v>
      </c>
      <c r="B10182" t="str">
        <f>TEST_DATA!B10182</f>
        <v>Jun-2018</v>
      </c>
      <c r="C10182">
        <f>TEST_DATA!C10182</f>
        <v>43367</v>
      </c>
      <c r="D10182" t="str">
        <f>TEST_DATA!D10182</f>
        <v>NIL</v>
      </c>
      <c r="E10182">
        <f>TEST_DATA!E10182</f>
        <v>2243</v>
      </c>
    </row>
    <row r="10183" spans="1:5" x14ac:dyDescent="0.55000000000000004">
      <c r="A10183" t="str">
        <f>TEST_DATA!A10183</f>
        <v>27AAAAA10183Z5</v>
      </c>
      <c r="B10183" t="str">
        <f>TEST_DATA!B10183</f>
        <v>May-2020</v>
      </c>
      <c r="C10183">
        <f>TEST_DATA!C10183</f>
        <v>44440</v>
      </c>
      <c r="D10183" t="str">
        <f>TEST_DATA!D10183</f>
        <v>NIL</v>
      </c>
      <c r="E10183">
        <f>TEST_DATA!E10183</f>
        <v>1770</v>
      </c>
    </row>
    <row r="10184" spans="1:5" x14ac:dyDescent="0.55000000000000004">
      <c r="A10184" t="str">
        <f>TEST_DATA!A10184</f>
        <v>27AAAAA10184Z5</v>
      </c>
      <c r="B10184" t="str">
        <f>TEST_DATA!B10184</f>
        <v>Apr-2021</v>
      </c>
      <c r="C10184">
        <f>TEST_DATA!C10184</f>
        <v>45478</v>
      </c>
      <c r="D10184" t="str">
        <f>TEST_DATA!D10184</f>
        <v>NIL</v>
      </c>
      <c r="E10184">
        <f>TEST_DATA!E10184</f>
        <v>786</v>
      </c>
    </row>
    <row r="10185" spans="1:5" x14ac:dyDescent="0.55000000000000004">
      <c r="A10185" t="str">
        <f>TEST_DATA!A10185</f>
        <v>27AAAAA10185Z5</v>
      </c>
      <c r="B10185" t="str">
        <f>TEST_DATA!B10185</f>
        <v>Jan-2018</v>
      </c>
      <c r="C10185">
        <f>TEST_DATA!C10185</f>
        <v>44161</v>
      </c>
      <c r="D10185" t="str">
        <f>TEST_DATA!D10185</f>
        <v>NIL</v>
      </c>
      <c r="E10185">
        <f>TEST_DATA!E10185</f>
        <v>2783</v>
      </c>
    </row>
    <row r="10186" spans="1:5" x14ac:dyDescent="0.55000000000000004">
      <c r="A10186" t="str">
        <f>TEST_DATA!A10186</f>
        <v>27AAAAA10186Z5</v>
      </c>
      <c r="B10186" t="str">
        <f>TEST_DATA!B10186</f>
        <v>Apr-2021</v>
      </c>
      <c r="C10186">
        <f>TEST_DATA!C10186</f>
        <v>45473</v>
      </c>
      <c r="D10186" t="str">
        <f>TEST_DATA!D10186</f>
        <v>NON-NIL</v>
      </c>
      <c r="E10186">
        <f>TEST_DATA!E10186</f>
        <v>470</v>
      </c>
    </row>
    <row r="10187" spans="1:5" x14ac:dyDescent="0.55000000000000004">
      <c r="A10187" t="str">
        <f>TEST_DATA!A10187</f>
        <v>27AAAAA10187Z5</v>
      </c>
      <c r="B10187" t="str">
        <f>TEST_DATA!B10187</f>
        <v>Jun-2018</v>
      </c>
      <c r="C10187">
        <f>TEST_DATA!C10187</f>
        <v>42973</v>
      </c>
      <c r="D10187" t="str">
        <f>TEST_DATA!D10187</f>
        <v>NIL</v>
      </c>
      <c r="E10187">
        <f>TEST_DATA!E10187</f>
        <v>384</v>
      </c>
    </row>
    <row r="10188" spans="1:5" x14ac:dyDescent="0.55000000000000004">
      <c r="A10188" t="str">
        <f>TEST_DATA!A10188</f>
        <v>27AAAAA10188Z5</v>
      </c>
      <c r="B10188" t="str">
        <f>TEST_DATA!B10188</f>
        <v>Sep-2017</v>
      </c>
      <c r="C10188">
        <f>TEST_DATA!C10188</f>
        <v>43084</v>
      </c>
      <c r="D10188" t="str">
        <f>TEST_DATA!D10188</f>
        <v>NIL</v>
      </c>
      <c r="E10188">
        <f>TEST_DATA!E10188</f>
        <v>2497</v>
      </c>
    </row>
    <row r="10189" spans="1:5" x14ac:dyDescent="0.55000000000000004">
      <c r="A10189" t="str">
        <f>TEST_DATA!A10189</f>
        <v>27AAAAA10189Z5</v>
      </c>
      <c r="B10189" t="str">
        <f>TEST_DATA!B10189</f>
        <v>Oct-2017</v>
      </c>
      <c r="C10189">
        <f>TEST_DATA!C10189</f>
        <v>43601</v>
      </c>
      <c r="D10189" t="str">
        <f>TEST_DATA!D10189</f>
        <v>NON-NIL</v>
      </c>
      <c r="E10189">
        <f>TEST_DATA!E10189</f>
        <v>2153</v>
      </c>
    </row>
    <row r="10190" spans="1:5" x14ac:dyDescent="0.55000000000000004">
      <c r="A10190" t="str">
        <f>TEST_DATA!A10190</f>
        <v>27AAAAA10190Z5</v>
      </c>
      <c r="B10190" t="str">
        <f>TEST_DATA!B10190</f>
        <v>Jul-2017</v>
      </c>
      <c r="C10190">
        <f>TEST_DATA!C10190</f>
        <v>43547</v>
      </c>
      <c r="D10190" t="str">
        <f>TEST_DATA!D10190</f>
        <v>NON-NIL</v>
      </c>
      <c r="E10190">
        <f>TEST_DATA!E10190</f>
        <v>751</v>
      </c>
    </row>
    <row r="10191" spans="1:5" x14ac:dyDescent="0.55000000000000004">
      <c r="A10191" t="str">
        <f>TEST_DATA!A10191</f>
        <v>27AAAAA10191Z5</v>
      </c>
      <c r="B10191" t="str">
        <f>TEST_DATA!B10191</f>
        <v>Jan-2021</v>
      </c>
      <c r="C10191">
        <f>TEST_DATA!C10191</f>
        <v>44280</v>
      </c>
      <c r="D10191" t="str">
        <f>TEST_DATA!D10191</f>
        <v>NON-NIL</v>
      </c>
      <c r="E10191">
        <f>TEST_DATA!E10191</f>
        <v>1028</v>
      </c>
    </row>
    <row r="10192" spans="1:5" x14ac:dyDescent="0.55000000000000004">
      <c r="A10192" t="str">
        <f>TEST_DATA!A10192</f>
        <v>27AAAAA10192Z5</v>
      </c>
      <c r="B10192" t="str">
        <f>TEST_DATA!B10192</f>
        <v>Jan-2019</v>
      </c>
      <c r="C10192">
        <f>TEST_DATA!C10192</f>
        <v>44106</v>
      </c>
      <c r="D10192" t="str">
        <f>TEST_DATA!D10192</f>
        <v>NIL</v>
      </c>
      <c r="E10192">
        <f>TEST_DATA!E10192</f>
        <v>1071</v>
      </c>
    </row>
    <row r="10193" spans="1:5" x14ac:dyDescent="0.55000000000000004">
      <c r="A10193" t="str">
        <f>TEST_DATA!A10193</f>
        <v>27AAAAA10193Z5</v>
      </c>
      <c r="B10193" t="str">
        <f>TEST_DATA!B10193</f>
        <v>Mar-2020</v>
      </c>
      <c r="C10193">
        <f>TEST_DATA!C10193</f>
        <v>43857</v>
      </c>
      <c r="D10193" t="str">
        <f>TEST_DATA!D10193</f>
        <v>NIL</v>
      </c>
      <c r="E10193">
        <f>TEST_DATA!E10193</f>
        <v>10</v>
      </c>
    </row>
    <row r="10194" spans="1:5" x14ac:dyDescent="0.55000000000000004">
      <c r="A10194" t="str">
        <f>TEST_DATA!A10194</f>
        <v>27AAAAA10194Z5</v>
      </c>
      <c r="B10194" t="str">
        <f>TEST_DATA!B10194</f>
        <v>Mar-2023</v>
      </c>
      <c r="C10194">
        <f>TEST_DATA!C10194</f>
        <v>45614</v>
      </c>
      <c r="D10194" t="str">
        <f>TEST_DATA!D10194</f>
        <v>NON-NIL</v>
      </c>
      <c r="E10194">
        <f>TEST_DATA!E10194</f>
        <v>398</v>
      </c>
    </row>
    <row r="10195" spans="1:5" x14ac:dyDescent="0.55000000000000004">
      <c r="A10195" t="str">
        <f>TEST_DATA!A10195</f>
        <v>27AAAAA10195Z5</v>
      </c>
      <c r="B10195" t="str">
        <f>TEST_DATA!B10195</f>
        <v>Apr-2021</v>
      </c>
      <c r="C10195">
        <f>TEST_DATA!C10195</f>
        <v>45040</v>
      </c>
      <c r="D10195" t="str">
        <f>TEST_DATA!D10195</f>
        <v>NON-NIL</v>
      </c>
      <c r="E10195">
        <f>TEST_DATA!E10195</f>
        <v>1885</v>
      </c>
    </row>
    <row r="10196" spans="1:5" x14ac:dyDescent="0.55000000000000004">
      <c r="A10196" t="str">
        <f>TEST_DATA!A10196</f>
        <v>27AAAAA10196Z5</v>
      </c>
      <c r="B10196" t="str">
        <f>TEST_DATA!B10196</f>
        <v>Jul-2020</v>
      </c>
      <c r="C10196">
        <f>TEST_DATA!C10196</f>
        <v>43868</v>
      </c>
      <c r="D10196" t="str">
        <f>TEST_DATA!D10196</f>
        <v>NON-NIL</v>
      </c>
      <c r="E10196">
        <f>TEST_DATA!E10196</f>
        <v>2575</v>
      </c>
    </row>
    <row r="10197" spans="1:5" x14ac:dyDescent="0.55000000000000004">
      <c r="A10197" t="str">
        <f>TEST_DATA!A10197</f>
        <v>27AAAAA10197Z5</v>
      </c>
      <c r="B10197" t="str">
        <f>TEST_DATA!B10197</f>
        <v>Apr-2021</v>
      </c>
      <c r="C10197">
        <f>TEST_DATA!C10197</f>
        <v>45803</v>
      </c>
      <c r="D10197" t="str">
        <f>TEST_DATA!D10197</f>
        <v>NIL</v>
      </c>
      <c r="E10197">
        <f>TEST_DATA!E10197</f>
        <v>1403</v>
      </c>
    </row>
    <row r="10198" spans="1:5" x14ac:dyDescent="0.55000000000000004">
      <c r="A10198" t="str">
        <f>TEST_DATA!A10198</f>
        <v>27AAAAA10198Z5</v>
      </c>
      <c r="B10198" t="str">
        <f>TEST_DATA!B10198</f>
        <v>Dec-2024</v>
      </c>
      <c r="C10198">
        <f>TEST_DATA!C10198</f>
        <v>45437</v>
      </c>
      <c r="D10198" t="str">
        <f>TEST_DATA!D10198</f>
        <v>NIL</v>
      </c>
      <c r="E10198">
        <f>TEST_DATA!E10198</f>
        <v>2172</v>
      </c>
    </row>
    <row r="10199" spans="1:5" x14ac:dyDescent="0.55000000000000004">
      <c r="A10199" t="str">
        <f>TEST_DATA!A10199</f>
        <v>27AAAAA10199Z5</v>
      </c>
      <c r="B10199" t="str">
        <f>TEST_DATA!B10199</f>
        <v>Jun-2020</v>
      </c>
      <c r="C10199">
        <f>TEST_DATA!C10199</f>
        <v>43885</v>
      </c>
      <c r="D10199" t="str">
        <f>TEST_DATA!D10199</f>
        <v>NON-NIL</v>
      </c>
      <c r="E10199">
        <f>TEST_DATA!E10199</f>
        <v>1860</v>
      </c>
    </row>
    <row r="10200" spans="1:5" x14ac:dyDescent="0.55000000000000004">
      <c r="A10200" t="str">
        <f>TEST_DATA!A10200</f>
        <v>27AAAAA10200Z5</v>
      </c>
      <c r="B10200" t="str">
        <f>TEST_DATA!B10200</f>
        <v>Apr-2020</v>
      </c>
      <c r="C10200">
        <f>TEST_DATA!C10200</f>
        <v>44611</v>
      </c>
      <c r="D10200" t="str">
        <f>TEST_DATA!D10200</f>
        <v>NON-NIL</v>
      </c>
      <c r="E10200">
        <f>TEST_DATA!E10200</f>
        <v>2729</v>
      </c>
    </row>
    <row r="10201" spans="1:5" x14ac:dyDescent="0.55000000000000004">
      <c r="A10201" t="str">
        <f>TEST_DATA!A10201</f>
        <v>27AAAAA10201Z5</v>
      </c>
      <c r="B10201" t="str">
        <f>TEST_DATA!B10201</f>
        <v>Feb-2018</v>
      </c>
      <c r="C10201">
        <f>TEST_DATA!C10201</f>
        <v>43709</v>
      </c>
      <c r="D10201" t="str">
        <f>TEST_DATA!D10201</f>
        <v>NON-NIL</v>
      </c>
      <c r="E10201">
        <f>TEST_DATA!E10201</f>
        <v>743</v>
      </c>
    </row>
    <row r="10202" spans="1:5" x14ac:dyDescent="0.55000000000000004">
      <c r="A10202" t="str">
        <f>TEST_DATA!A10202</f>
        <v>27AAAAA10202Z5</v>
      </c>
      <c r="B10202" t="str">
        <f>TEST_DATA!B10202</f>
        <v>Aug-2017</v>
      </c>
      <c r="C10202">
        <f>TEST_DATA!C10202</f>
        <v>44113</v>
      </c>
      <c r="D10202" t="str">
        <f>TEST_DATA!D10202</f>
        <v>NON-NIL</v>
      </c>
      <c r="E10202">
        <f>TEST_DATA!E10202</f>
        <v>484</v>
      </c>
    </row>
    <row r="10203" spans="1:5" x14ac:dyDescent="0.55000000000000004">
      <c r="A10203" t="str">
        <f>TEST_DATA!A10203</f>
        <v>27AAAAA10203Z5</v>
      </c>
      <c r="B10203" t="str">
        <f>TEST_DATA!B10203</f>
        <v>Aug-2017</v>
      </c>
      <c r="C10203">
        <f>TEST_DATA!C10203</f>
        <v>44557</v>
      </c>
      <c r="D10203" t="str">
        <f>TEST_DATA!D10203</f>
        <v>NIL</v>
      </c>
      <c r="E10203">
        <f>TEST_DATA!E10203</f>
        <v>793</v>
      </c>
    </row>
    <row r="10204" spans="1:5" x14ac:dyDescent="0.55000000000000004">
      <c r="A10204" t="str">
        <f>TEST_DATA!A10204</f>
        <v>27AAAAA10204Z5</v>
      </c>
      <c r="B10204" t="str">
        <f>TEST_DATA!B10204</f>
        <v>Sep-2018</v>
      </c>
      <c r="C10204">
        <f>TEST_DATA!C10204</f>
        <v>43288</v>
      </c>
      <c r="D10204" t="str">
        <f>TEST_DATA!D10204</f>
        <v>NON-NIL</v>
      </c>
      <c r="E10204">
        <f>TEST_DATA!E10204</f>
        <v>1251</v>
      </c>
    </row>
    <row r="10205" spans="1:5" x14ac:dyDescent="0.55000000000000004">
      <c r="A10205" t="str">
        <f>TEST_DATA!A10205</f>
        <v>27AAAAA10205Z5</v>
      </c>
      <c r="B10205" t="str">
        <f>TEST_DATA!B10205</f>
        <v>Feb-2018</v>
      </c>
      <c r="C10205">
        <f>TEST_DATA!C10205</f>
        <v>44298</v>
      </c>
      <c r="D10205" t="str">
        <f>TEST_DATA!D10205</f>
        <v>NIL</v>
      </c>
      <c r="E10205">
        <f>TEST_DATA!E10205</f>
        <v>234</v>
      </c>
    </row>
    <row r="10206" spans="1:5" x14ac:dyDescent="0.55000000000000004">
      <c r="A10206" t="str">
        <f>TEST_DATA!A10206</f>
        <v>27AAAAA10206Z5</v>
      </c>
      <c r="B10206" t="str">
        <f>TEST_DATA!B10206</f>
        <v>Jun-2018</v>
      </c>
      <c r="C10206">
        <f>TEST_DATA!C10206</f>
        <v>43959</v>
      </c>
      <c r="D10206" t="str">
        <f>TEST_DATA!D10206</f>
        <v>NON-NIL</v>
      </c>
      <c r="E10206">
        <f>TEST_DATA!E10206</f>
        <v>2324</v>
      </c>
    </row>
    <row r="10207" spans="1:5" x14ac:dyDescent="0.55000000000000004">
      <c r="A10207" t="str">
        <f>TEST_DATA!A10207</f>
        <v>27AAAAA10207Z5</v>
      </c>
      <c r="B10207" t="str">
        <f>TEST_DATA!B10207</f>
        <v>Mar-2020</v>
      </c>
      <c r="C10207">
        <f>TEST_DATA!C10207</f>
        <v>44729</v>
      </c>
      <c r="D10207" t="str">
        <f>TEST_DATA!D10207</f>
        <v>NIL</v>
      </c>
      <c r="E10207">
        <f>TEST_DATA!E10207</f>
        <v>1093</v>
      </c>
    </row>
    <row r="10208" spans="1:5" x14ac:dyDescent="0.55000000000000004">
      <c r="A10208" t="str">
        <f>TEST_DATA!A10208</f>
        <v>27AAAAA10208Z5</v>
      </c>
      <c r="B10208" t="str">
        <f>TEST_DATA!B10208</f>
        <v>Jun-2018</v>
      </c>
      <c r="C10208">
        <f>TEST_DATA!C10208</f>
        <v>44187</v>
      </c>
      <c r="D10208" t="str">
        <f>TEST_DATA!D10208</f>
        <v>NON-NIL</v>
      </c>
      <c r="E10208">
        <f>TEST_DATA!E10208</f>
        <v>424</v>
      </c>
    </row>
    <row r="10209" spans="1:5" x14ac:dyDescent="0.55000000000000004">
      <c r="A10209" t="str">
        <f>TEST_DATA!A10209</f>
        <v>27AAAAA10209Z5</v>
      </c>
      <c r="B10209" t="str">
        <f>TEST_DATA!B10209</f>
        <v>Jun-2020</v>
      </c>
      <c r="C10209">
        <f>TEST_DATA!C10209</f>
        <v>44576</v>
      </c>
      <c r="D10209" t="str">
        <f>TEST_DATA!D10209</f>
        <v>NON-NIL</v>
      </c>
      <c r="E10209">
        <f>TEST_DATA!E10209</f>
        <v>2793</v>
      </c>
    </row>
    <row r="10210" spans="1:5" x14ac:dyDescent="0.55000000000000004">
      <c r="A10210" t="str">
        <f>TEST_DATA!A10210</f>
        <v>27AAAAA10210Z5</v>
      </c>
      <c r="B10210" t="str">
        <f>TEST_DATA!B10210</f>
        <v>Sep-2018</v>
      </c>
      <c r="C10210">
        <f>TEST_DATA!C10210</f>
        <v>44182</v>
      </c>
      <c r="D10210" t="str">
        <f>TEST_DATA!D10210</f>
        <v>NIL</v>
      </c>
      <c r="E10210">
        <f>TEST_DATA!E10210</f>
        <v>642</v>
      </c>
    </row>
    <row r="10211" spans="1:5" x14ac:dyDescent="0.55000000000000004">
      <c r="A10211" t="str">
        <f>TEST_DATA!A10211</f>
        <v>27AAAAA10211Z5</v>
      </c>
      <c r="B10211" t="str">
        <f>TEST_DATA!B10211</f>
        <v>Mar-2021</v>
      </c>
      <c r="C10211">
        <f>TEST_DATA!C10211</f>
        <v>45468</v>
      </c>
      <c r="D10211" t="str">
        <f>TEST_DATA!D10211</f>
        <v>NON-NIL</v>
      </c>
      <c r="E10211">
        <f>TEST_DATA!E10211</f>
        <v>29</v>
      </c>
    </row>
    <row r="10212" spans="1:5" x14ac:dyDescent="0.55000000000000004">
      <c r="A10212" t="str">
        <f>TEST_DATA!A10212</f>
        <v>27AAAAA10212Z5</v>
      </c>
      <c r="B10212" t="str">
        <f>TEST_DATA!B10212</f>
        <v>Oct-2017</v>
      </c>
      <c r="C10212">
        <f>TEST_DATA!C10212</f>
        <v>43153</v>
      </c>
      <c r="D10212" t="str">
        <f>TEST_DATA!D10212</f>
        <v>NON-NIL</v>
      </c>
      <c r="E10212">
        <f>TEST_DATA!E10212</f>
        <v>1262</v>
      </c>
    </row>
    <row r="10213" spans="1:5" x14ac:dyDescent="0.55000000000000004">
      <c r="A10213" t="str">
        <f>TEST_DATA!A10213</f>
        <v>27AAAAA10213Z5</v>
      </c>
      <c r="B10213" t="str">
        <f>TEST_DATA!B10213</f>
        <v>Jun-2020</v>
      </c>
      <c r="C10213">
        <f>TEST_DATA!C10213</f>
        <v>44027</v>
      </c>
      <c r="D10213" t="str">
        <f>TEST_DATA!D10213</f>
        <v>NON-NIL</v>
      </c>
      <c r="E10213">
        <f>TEST_DATA!E10213</f>
        <v>2768</v>
      </c>
    </row>
    <row r="10214" spans="1:5" x14ac:dyDescent="0.55000000000000004">
      <c r="A10214" t="str">
        <f>TEST_DATA!A10214</f>
        <v>27AAAAA10214Z5</v>
      </c>
      <c r="B10214" t="str">
        <f>TEST_DATA!B10214</f>
        <v>Jan-2019</v>
      </c>
      <c r="C10214">
        <f>TEST_DATA!C10214</f>
        <v>44308</v>
      </c>
      <c r="D10214" t="str">
        <f>TEST_DATA!D10214</f>
        <v>NIL</v>
      </c>
      <c r="E10214">
        <f>TEST_DATA!E10214</f>
        <v>2990</v>
      </c>
    </row>
    <row r="10215" spans="1:5" x14ac:dyDescent="0.55000000000000004">
      <c r="A10215" t="str">
        <f>TEST_DATA!A10215</f>
        <v>27AAAAA10215Z5</v>
      </c>
      <c r="B10215" t="str">
        <f>TEST_DATA!B10215</f>
        <v>Dec-2022</v>
      </c>
      <c r="C10215">
        <f>TEST_DATA!C10215</f>
        <v>45160</v>
      </c>
      <c r="D10215" t="str">
        <f>TEST_DATA!D10215</f>
        <v>NIL</v>
      </c>
      <c r="E10215">
        <f>TEST_DATA!E10215</f>
        <v>2401</v>
      </c>
    </row>
    <row r="10216" spans="1:5" x14ac:dyDescent="0.55000000000000004">
      <c r="A10216" t="str">
        <f>TEST_DATA!A10216</f>
        <v>27AAAAA10216Z5</v>
      </c>
      <c r="B10216" t="str">
        <f>TEST_DATA!B10216</f>
        <v>Aug-2018</v>
      </c>
      <c r="C10216">
        <f>TEST_DATA!C10216</f>
        <v>43957</v>
      </c>
      <c r="D10216" t="str">
        <f>TEST_DATA!D10216</f>
        <v>NON-NIL</v>
      </c>
      <c r="E10216">
        <f>TEST_DATA!E10216</f>
        <v>1664</v>
      </c>
    </row>
    <row r="10217" spans="1:5" x14ac:dyDescent="0.55000000000000004">
      <c r="A10217" t="str">
        <f>TEST_DATA!A10217</f>
        <v>27AAAAA10217Z5</v>
      </c>
      <c r="B10217" t="str">
        <f>TEST_DATA!B10217</f>
        <v>Jun-2019</v>
      </c>
      <c r="C10217">
        <f>TEST_DATA!C10217</f>
        <v>45726</v>
      </c>
      <c r="D10217" t="str">
        <f>TEST_DATA!D10217</f>
        <v>NON-NIL</v>
      </c>
      <c r="E10217">
        <f>TEST_DATA!E10217</f>
        <v>257</v>
      </c>
    </row>
    <row r="10218" spans="1:5" x14ac:dyDescent="0.55000000000000004">
      <c r="A10218" t="str">
        <f>TEST_DATA!A10218</f>
        <v>27AAAAA10218Z5</v>
      </c>
      <c r="B10218" t="str">
        <f>TEST_DATA!B10218</f>
        <v>Aug-2017</v>
      </c>
      <c r="C10218">
        <f>TEST_DATA!C10218</f>
        <v>44465</v>
      </c>
      <c r="D10218" t="str">
        <f>TEST_DATA!D10218</f>
        <v>NON-NIL</v>
      </c>
      <c r="E10218">
        <f>TEST_DATA!E10218</f>
        <v>2758</v>
      </c>
    </row>
    <row r="10219" spans="1:5" x14ac:dyDescent="0.55000000000000004">
      <c r="A10219" t="str">
        <f>TEST_DATA!A10219</f>
        <v>27AAAAA10219Z5</v>
      </c>
      <c r="B10219" t="str">
        <f>TEST_DATA!B10219</f>
        <v>Apr-2020</v>
      </c>
      <c r="C10219">
        <f>TEST_DATA!C10219</f>
        <v>44802</v>
      </c>
      <c r="D10219" t="str">
        <f>TEST_DATA!D10219</f>
        <v>NIL</v>
      </c>
      <c r="E10219">
        <f>TEST_DATA!E10219</f>
        <v>1420</v>
      </c>
    </row>
    <row r="10220" spans="1:5" x14ac:dyDescent="0.55000000000000004">
      <c r="A10220" t="str">
        <f>TEST_DATA!A10220</f>
        <v>27AAAAA10220Z5</v>
      </c>
      <c r="B10220" t="str">
        <f>TEST_DATA!B10220</f>
        <v>Jun-2019</v>
      </c>
      <c r="C10220">
        <f>TEST_DATA!C10220</f>
        <v>45016</v>
      </c>
      <c r="D10220" t="str">
        <f>TEST_DATA!D10220</f>
        <v>NON-NIL</v>
      </c>
      <c r="E10220">
        <f>TEST_DATA!E10220</f>
        <v>2421</v>
      </c>
    </row>
    <row r="10221" spans="1:5" x14ac:dyDescent="0.55000000000000004">
      <c r="A10221" t="str">
        <f>TEST_DATA!A10221</f>
        <v>27AAAAA10221Z5</v>
      </c>
      <c r="B10221" t="str">
        <f>TEST_DATA!B10221</f>
        <v>Apr-2018</v>
      </c>
      <c r="C10221">
        <f>TEST_DATA!C10221</f>
        <v>43352</v>
      </c>
      <c r="D10221" t="str">
        <f>TEST_DATA!D10221</f>
        <v>NIL</v>
      </c>
      <c r="E10221">
        <f>TEST_DATA!E10221</f>
        <v>1682</v>
      </c>
    </row>
    <row r="10222" spans="1:5" x14ac:dyDescent="0.55000000000000004">
      <c r="A10222" t="str">
        <f>TEST_DATA!A10222</f>
        <v>27AAAAA10222Z5</v>
      </c>
      <c r="B10222" t="str">
        <f>TEST_DATA!B10222</f>
        <v>Mar-2018</v>
      </c>
      <c r="C10222">
        <f>TEST_DATA!C10222</f>
        <v>43473</v>
      </c>
      <c r="D10222" t="str">
        <f>TEST_DATA!D10222</f>
        <v>NON-NIL</v>
      </c>
      <c r="E10222">
        <f>TEST_DATA!E10222</f>
        <v>209</v>
      </c>
    </row>
    <row r="10223" spans="1:5" x14ac:dyDescent="0.55000000000000004">
      <c r="A10223" t="str">
        <f>TEST_DATA!A10223</f>
        <v>27AAAAA10223Z5</v>
      </c>
      <c r="B10223" t="str">
        <f>TEST_DATA!B10223</f>
        <v>Dec-2017</v>
      </c>
      <c r="C10223">
        <f>TEST_DATA!C10223</f>
        <v>43700</v>
      </c>
      <c r="D10223" t="str">
        <f>TEST_DATA!D10223</f>
        <v>NIL</v>
      </c>
      <c r="E10223">
        <f>TEST_DATA!E10223</f>
        <v>615</v>
      </c>
    </row>
    <row r="10224" spans="1:5" x14ac:dyDescent="0.55000000000000004">
      <c r="A10224" t="str">
        <f>TEST_DATA!A10224</f>
        <v>27AAAAA10224Z5</v>
      </c>
      <c r="B10224" t="str">
        <f>TEST_DATA!B10224</f>
        <v>Jan-2019</v>
      </c>
      <c r="C10224">
        <f>TEST_DATA!C10224</f>
        <v>45086</v>
      </c>
      <c r="D10224" t="str">
        <f>TEST_DATA!D10224</f>
        <v>NON-NIL</v>
      </c>
      <c r="E10224">
        <f>TEST_DATA!E10224</f>
        <v>2694</v>
      </c>
    </row>
    <row r="10225" spans="1:5" x14ac:dyDescent="0.55000000000000004">
      <c r="A10225" t="str">
        <f>TEST_DATA!A10225</f>
        <v>27AAAAA10225Z5</v>
      </c>
      <c r="B10225" t="str">
        <f>TEST_DATA!B10225</f>
        <v>Aug-2018</v>
      </c>
      <c r="C10225">
        <f>TEST_DATA!C10225</f>
        <v>44559</v>
      </c>
      <c r="D10225" t="str">
        <f>TEST_DATA!D10225</f>
        <v>NON-NIL</v>
      </c>
      <c r="E10225">
        <f>TEST_DATA!E10225</f>
        <v>2435</v>
      </c>
    </row>
    <row r="10226" spans="1:5" x14ac:dyDescent="0.55000000000000004">
      <c r="A10226" t="str">
        <f>TEST_DATA!A10226</f>
        <v>27AAAAA10226Z5</v>
      </c>
      <c r="B10226" t="str">
        <f>TEST_DATA!B10226</f>
        <v>Jul-2018</v>
      </c>
      <c r="C10226">
        <f>TEST_DATA!C10226</f>
        <v>44552</v>
      </c>
      <c r="D10226" t="str">
        <f>TEST_DATA!D10226</f>
        <v>NON-NIL</v>
      </c>
      <c r="E10226">
        <f>TEST_DATA!E10226</f>
        <v>1371</v>
      </c>
    </row>
    <row r="10227" spans="1:5" x14ac:dyDescent="0.55000000000000004">
      <c r="A10227" t="str">
        <f>TEST_DATA!A10227</f>
        <v>27AAAAA10227Z5</v>
      </c>
      <c r="B10227" t="str">
        <f>TEST_DATA!B10227</f>
        <v>Jun-2019</v>
      </c>
      <c r="C10227">
        <f>TEST_DATA!C10227</f>
        <v>45286</v>
      </c>
      <c r="D10227" t="str">
        <f>TEST_DATA!D10227</f>
        <v>NON-NIL</v>
      </c>
      <c r="E10227">
        <f>TEST_DATA!E10227</f>
        <v>1577</v>
      </c>
    </row>
    <row r="10228" spans="1:5" x14ac:dyDescent="0.55000000000000004">
      <c r="A10228" t="str">
        <f>TEST_DATA!A10228</f>
        <v>27AAAAA10228Z5</v>
      </c>
      <c r="B10228" t="str">
        <f>TEST_DATA!B10228</f>
        <v>Apr-2020</v>
      </c>
      <c r="C10228">
        <f>TEST_DATA!C10228</f>
        <v>44362</v>
      </c>
      <c r="D10228" t="str">
        <f>TEST_DATA!D10228</f>
        <v>NON-NIL</v>
      </c>
      <c r="E10228">
        <f>TEST_DATA!E10228</f>
        <v>1812</v>
      </c>
    </row>
    <row r="10229" spans="1:5" x14ac:dyDescent="0.55000000000000004">
      <c r="A10229" t="str">
        <f>TEST_DATA!A10229</f>
        <v>27AAAAA10229Z5</v>
      </c>
      <c r="B10229" t="str">
        <f>TEST_DATA!B10229</f>
        <v>Jan-2021</v>
      </c>
      <c r="C10229">
        <f>TEST_DATA!C10229</f>
        <v>43786</v>
      </c>
      <c r="D10229" t="str">
        <f>TEST_DATA!D10229</f>
        <v>NON-NIL</v>
      </c>
      <c r="E10229">
        <f>TEST_DATA!E10229</f>
        <v>1448</v>
      </c>
    </row>
    <row r="10230" spans="1:5" x14ac:dyDescent="0.55000000000000004">
      <c r="A10230" t="str">
        <f>TEST_DATA!A10230</f>
        <v>27AAAAA10230Z5</v>
      </c>
      <c r="B10230" t="str">
        <f>TEST_DATA!B10230</f>
        <v>Dec-2022</v>
      </c>
      <c r="C10230">
        <f>TEST_DATA!C10230</f>
        <v>44443</v>
      </c>
      <c r="D10230" t="str">
        <f>TEST_DATA!D10230</f>
        <v>NON-NIL</v>
      </c>
      <c r="E10230">
        <f>TEST_DATA!E10230</f>
        <v>1815</v>
      </c>
    </row>
    <row r="10231" spans="1:5" x14ac:dyDescent="0.55000000000000004">
      <c r="A10231" t="str">
        <f>TEST_DATA!A10231</f>
        <v>27AAAAA10231Z5</v>
      </c>
      <c r="B10231" t="str">
        <f>TEST_DATA!B10231</f>
        <v>Mar-2018</v>
      </c>
      <c r="C10231">
        <f>TEST_DATA!C10231</f>
        <v>43571</v>
      </c>
      <c r="D10231" t="str">
        <f>TEST_DATA!D10231</f>
        <v>NIL</v>
      </c>
      <c r="E10231">
        <f>TEST_DATA!E10231</f>
        <v>2936</v>
      </c>
    </row>
    <row r="10232" spans="1:5" x14ac:dyDescent="0.55000000000000004">
      <c r="A10232" t="str">
        <f>TEST_DATA!A10232</f>
        <v>27AAAAA10232Z5</v>
      </c>
      <c r="B10232" t="str">
        <f>TEST_DATA!B10232</f>
        <v>May-2020</v>
      </c>
      <c r="C10232">
        <f>TEST_DATA!C10232</f>
        <v>44096</v>
      </c>
      <c r="D10232" t="str">
        <f>TEST_DATA!D10232</f>
        <v>NON-NIL</v>
      </c>
      <c r="E10232">
        <f>TEST_DATA!E10232</f>
        <v>96</v>
      </c>
    </row>
    <row r="10233" spans="1:5" x14ac:dyDescent="0.55000000000000004">
      <c r="A10233" t="str">
        <f>TEST_DATA!A10233</f>
        <v>27AAAAA10233Z5</v>
      </c>
      <c r="B10233" t="str">
        <f>TEST_DATA!B10233</f>
        <v>Mar-2021</v>
      </c>
      <c r="C10233">
        <f>TEST_DATA!C10233</f>
        <v>44959</v>
      </c>
      <c r="D10233" t="str">
        <f>TEST_DATA!D10233</f>
        <v>NIL</v>
      </c>
      <c r="E10233">
        <f>TEST_DATA!E10233</f>
        <v>1813</v>
      </c>
    </row>
    <row r="10234" spans="1:5" x14ac:dyDescent="0.55000000000000004">
      <c r="A10234" t="str">
        <f>TEST_DATA!A10234</f>
        <v>27AAAAA10234Z5</v>
      </c>
      <c r="B10234" t="str">
        <f>TEST_DATA!B10234</f>
        <v>Jan-2019</v>
      </c>
      <c r="C10234">
        <f>TEST_DATA!C10234</f>
        <v>44160</v>
      </c>
      <c r="D10234" t="str">
        <f>TEST_DATA!D10234</f>
        <v>NIL</v>
      </c>
      <c r="E10234">
        <f>TEST_DATA!E10234</f>
        <v>2290</v>
      </c>
    </row>
    <row r="10235" spans="1:5" x14ac:dyDescent="0.55000000000000004">
      <c r="A10235" t="str">
        <f>TEST_DATA!A10235</f>
        <v>27AAAAA10235Z5</v>
      </c>
      <c r="B10235" t="str">
        <f>TEST_DATA!B10235</f>
        <v>Jan-2021</v>
      </c>
      <c r="C10235">
        <f>TEST_DATA!C10235</f>
        <v>44583</v>
      </c>
      <c r="D10235" t="str">
        <f>TEST_DATA!D10235</f>
        <v>NON-NIL</v>
      </c>
      <c r="E10235">
        <f>TEST_DATA!E10235</f>
        <v>1289</v>
      </c>
    </row>
    <row r="10236" spans="1:5" x14ac:dyDescent="0.55000000000000004">
      <c r="A10236" t="str">
        <f>TEST_DATA!A10236</f>
        <v>27AAAAA10236Z5</v>
      </c>
      <c r="B10236" t="str">
        <f>TEST_DATA!B10236</f>
        <v>Dec-2024</v>
      </c>
      <c r="C10236">
        <f>TEST_DATA!C10236</f>
        <v>44395</v>
      </c>
      <c r="D10236" t="str">
        <f>TEST_DATA!D10236</f>
        <v>NON-NIL</v>
      </c>
      <c r="E10236">
        <f>TEST_DATA!E10236</f>
        <v>1363</v>
      </c>
    </row>
    <row r="10237" spans="1:5" x14ac:dyDescent="0.55000000000000004">
      <c r="A10237" t="str">
        <f>TEST_DATA!A10237</f>
        <v>27AAAAA10237Z5</v>
      </c>
      <c r="B10237" t="str">
        <f>TEST_DATA!B10237</f>
        <v>Dec-2024</v>
      </c>
      <c r="C10237">
        <f>TEST_DATA!C10237</f>
        <v>43576</v>
      </c>
      <c r="D10237" t="str">
        <f>TEST_DATA!D10237</f>
        <v>NIL</v>
      </c>
      <c r="E10237">
        <f>TEST_DATA!E10237</f>
        <v>1806</v>
      </c>
    </row>
    <row r="10238" spans="1:5" x14ac:dyDescent="0.55000000000000004">
      <c r="A10238" t="str">
        <f>TEST_DATA!A10238</f>
        <v>27AAAAA10238Z5</v>
      </c>
      <c r="B10238" t="str">
        <f>TEST_DATA!B10238</f>
        <v>Apr-2021</v>
      </c>
      <c r="C10238">
        <f>TEST_DATA!C10238</f>
        <v>44897</v>
      </c>
      <c r="D10238" t="str">
        <f>TEST_DATA!D10238</f>
        <v>NON-NIL</v>
      </c>
      <c r="E10238">
        <f>TEST_DATA!E10238</f>
        <v>2269</v>
      </c>
    </row>
    <row r="10239" spans="1:5" x14ac:dyDescent="0.55000000000000004">
      <c r="A10239" t="str">
        <f>TEST_DATA!A10239</f>
        <v>27AAAAA10239Z5</v>
      </c>
      <c r="B10239" t="str">
        <f>TEST_DATA!B10239</f>
        <v>Mar-2023</v>
      </c>
      <c r="C10239">
        <f>TEST_DATA!C10239</f>
        <v>43599</v>
      </c>
      <c r="D10239" t="str">
        <f>TEST_DATA!D10239</f>
        <v>NON-NIL</v>
      </c>
      <c r="E10239">
        <f>TEST_DATA!E10239</f>
        <v>2150</v>
      </c>
    </row>
    <row r="10240" spans="1:5" x14ac:dyDescent="0.55000000000000004">
      <c r="A10240" t="str">
        <f>TEST_DATA!A10240</f>
        <v>27AAAAA10240Z5</v>
      </c>
      <c r="B10240" t="str">
        <f>TEST_DATA!B10240</f>
        <v>Jul-2017</v>
      </c>
      <c r="C10240">
        <f>TEST_DATA!C10240</f>
        <v>43684</v>
      </c>
      <c r="D10240" t="str">
        <f>TEST_DATA!D10240</f>
        <v>NIL</v>
      </c>
      <c r="E10240">
        <f>TEST_DATA!E10240</f>
        <v>2179</v>
      </c>
    </row>
    <row r="10241" spans="1:5" x14ac:dyDescent="0.55000000000000004">
      <c r="A10241" t="str">
        <f>TEST_DATA!A10241</f>
        <v>27AAAAA10241Z5</v>
      </c>
      <c r="B10241" t="str">
        <f>TEST_DATA!B10241</f>
        <v>Jan-2018</v>
      </c>
      <c r="C10241">
        <f>TEST_DATA!C10241</f>
        <v>43323</v>
      </c>
      <c r="D10241" t="str">
        <f>TEST_DATA!D10241</f>
        <v>NON-NIL</v>
      </c>
      <c r="E10241">
        <f>TEST_DATA!E10241</f>
        <v>1650</v>
      </c>
    </row>
    <row r="10242" spans="1:5" x14ac:dyDescent="0.55000000000000004">
      <c r="A10242" t="str">
        <f>TEST_DATA!A10242</f>
        <v>27AAAAA10242Z5</v>
      </c>
      <c r="B10242" t="str">
        <f>TEST_DATA!B10242</f>
        <v>Mar-2020</v>
      </c>
      <c r="C10242">
        <f>TEST_DATA!C10242</f>
        <v>44217</v>
      </c>
      <c r="D10242" t="str">
        <f>TEST_DATA!D10242</f>
        <v>NIL</v>
      </c>
      <c r="E10242">
        <f>TEST_DATA!E10242</f>
        <v>2955</v>
      </c>
    </row>
    <row r="10243" spans="1:5" x14ac:dyDescent="0.55000000000000004">
      <c r="A10243" t="str">
        <f>TEST_DATA!A10243</f>
        <v>27AAAAA10243Z5</v>
      </c>
      <c r="B10243" t="str">
        <f>TEST_DATA!B10243</f>
        <v>Apr-2020</v>
      </c>
      <c r="C10243">
        <f>TEST_DATA!C10243</f>
        <v>44078</v>
      </c>
      <c r="D10243" t="str">
        <f>TEST_DATA!D10243</f>
        <v>NIL</v>
      </c>
      <c r="E10243">
        <f>TEST_DATA!E10243</f>
        <v>1667</v>
      </c>
    </row>
    <row r="10244" spans="1:5" x14ac:dyDescent="0.55000000000000004">
      <c r="A10244" t="str">
        <f>TEST_DATA!A10244</f>
        <v>27AAAAA10244Z5</v>
      </c>
      <c r="B10244" t="str">
        <f>TEST_DATA!B10244</f>
        <v>Apr-2020</v>
      </c>
      <c r="C10244">
        <f>TEST_DATA!C10244</f>
        <v>44608</v>
      </c>
      <c r="D10244" t="str">
        <f>TEST_DATA!D10244</f>
        <v>NON-NIL</v>
      </c>
      <c r="E10244">
        <f>TEST_DATA!E10244</f>
        <v>2149</v>
      </c>
    </row>
    <row r="10245" spans="1:5" x14ac:dyDescent="0.55000000000000004">
      <c r="A10245" t="str">
        <f>TEST_DATA!A10245</f>
        <v>27AAAAA10245Z5</v>
      </c>
      <c r="B10245" t="str">
        <f>TEST_DATA!B10245</f>
        <v>Aug-2017</v>
      </c>
      <c r="C10245">
        <f>TEST_DATA!C10245</f>
        <v>44343</v>
      </c>
      <c r="D10245" t="str">
        <f>TEST_DATA!D10245</f>
        <v>NON-NIL</v>
      </c>
      <c r="E10245">
        <f>TEST_DATA!E10245</f>
        <v>119</v>
      </c>
    </row>
    <row r="10246" spans="1:5" x14ac:dyDescent="0.55000000000000004">
      <c r="A10246" t="str">
        <f>TEST_DATA!A10246</f>
        <v>27AAAAA10246Z5</v>
      </c>
      <c r="B10246" t="str">
        <f>TEST_DATA!B10246</f>
        <v>Jan-2019</v>
      </c>
      <c r="C10246">
        <f>TEST_DATA!C10246</f>
        <v>44372</v>
      </c>
      <c r="D10246" t="str">
        <f>TEST_DATA!D10246</f>
        <v>NON-NIL</v>
      </c>
      <c r="E10246">
        <f>TEST_DATA!E10246</f>
        <v>856</v>
      </c>
    </row>
    <row r="10247" spans="1:5" x14ac:dyDescent="0.55000000000000004">
      <c r="A10247" t="str">
        <f>TEST_DATA!A10247</f>
        <v>27AAAAA10247Z5</v>
      </c>
      <c r="B10247" t="str">
        <f>TEST_DATA!B10247</f>
        <v>Aug-2017</v>
      </c>
      <c r="C10247">
        <f>TEST_DATA!C10247</f>
        <v>44561</v>
      </c>
      <c r="D10247" t="str">
        <f>TEST_DATA!D10247</f>
        <v>NON-NIL</v>
      </c>
      <c r="E10247">
        <f>TEST_DATA!E10247</f>
        <v>357</v>
      </c>
    </row>
    <row r="10248" spans="1:5" x14ac:dyDescent="0.55000000000000004">
      <c r="A10248" t="str">
        <f>TEST_DATA!A10248</f>
        <v>27AAAAA10248Z5</v>
      </c>
      <c r="B10248" t="str">
        <f>TEST_DATA!B10248</f>
        <v>Jun-2018</v>
      </c>
      <c r="C10248">
        <f>TEST_DATA!C10248</f>
        <v>42919</v>
      </c>
      <c r="D10248" t="str">
        <f>TEST_DATA!D10248</f>
        <v>NON-NIL</v>
      </c>
      <c r="E10248">
        <f>TEST_DATA!E10248</f>
        <v>894</v>
      </c>
    </row>
    <row r="10249" spans="1:5" x14ac:dyDescent="0.55000000000000004">
      <c r="A10249" t="str">
        <f>TEST_DATA!A10249</f>
        <v>27AAAAA10249Z5</v>
      </c>
      <c r="B10249" t="str">
        <f>TEST_DATA!B10249</f>
        <v>Dec-2017</v>
      </c>
      <c r="C10249">
        <f>TEST_DATA!C10249</f>
        <v>44363</v>
      </c>
      <c r="D10249" t="str">
        <f>TEST_DATA!D10249</f>
        <v>NON-NIL</v>
      </c>
      <c r="E10249">
        <f>TEST_DATA!E10249</f>
        <v>120</v>
      </c>
    </row>
    <row r="10250" spans="1:5" x14ac:dyDescent="0.55000000000000004">
      <c r="A10250" t="str">
        <f>TEST_DATA!A10250</f>
        <v>27AAAAA10250Z5</v>
      </c>
      <c r="B10250" t="str">
        <f>TEST_DATA!B10250</f>
        <v>May-2018</v>
      </c>
      <c r="C10250">
        <f>TEST_DATA!C10250</f>
        <v>43128</v>
      </c>
      <c r="D10250" t="str">
        <f>TEST_DATA!D10250</f>
        <v>NIL</v>
      </c>
      <c r="E10250">
        <f>TEST_DATA!E10250</f>
        <v>578</v>
      </c>
    </row>
    <row r="10251" spans="1:5" x14ac:dyDescent="0.55000000000000004">
      <c r="A10251" t="str">
        <f>TEST_DATA!A10251</f>
        <v>27AAAAA10251Z5</v>
      </c>
      <c r="B10251" t="str">
        <f>TEST_DATA!B10251</f>
        <v>Aug-2018</v>
      </c>
      <c r="C10251">
        <f>TEST_DATA!C10251</f>
        <v>43656</v>
      </c>
      <c r="D10251" t="str">
        <f>TEST_DATA!D10251</f>
        <v>NIL</v>
      </c>
      <c r="E10251">
        <f>TEST_DATA!E10251</f>
        <v>2183</v>
      </c>
    </row>
    <row r="10252" spans="1:5" x14ac:dyDescent="0.55000000000000004">
      <c r="A10252" t="str">
        <f>TEST_DATA!A10252</f>
        <v>27AAAAA10252Z5</v>
      </c>
      <c r="B10252" t="str">
        <f>TEST_DATA!B10252</f>
        <v>Sep-2018</v>
      </c>
      <c r="C10252">
        <f>TEST_DATA!C10252</f>
        <v>44210</v>
      </c>
      <c r="D10252" t="str">
        <f>TEST_DATA!D10252</f>
        <v>NON-NIL</v>
      </c>
      <c r="E10252">
        <f>TEST_DATA!E10252</f>
        <v>843</v>
      </c>
    </row>
    <row r="10253" spans="1:5" x14ac:dyDescent="0.55000000000000004">
      <c r="A10253" t="str">
        <f>TEST_DATA!A10253</f>
        <v>27AAAAA10253Z5</v>
      </c>
      <c r="B10253" t="str">
        <f>TEST_DATA!B10253</f>
        <v>Jan-2018</v>
      </c>
      <c r="C10253">
        <f>TEST_DATA!C10253</f>
        <v>43513</v>
      </c>
      <c r="D10253" t="str">
        <f>TEST_DATA!D10253</f>
        <v>NON-NIL</v>
      </c>
      <c r="E10253">
        <f>TEST_DATA!E10253</f>
        <v>1913</v>
      </c>
    </row>
    <row r="10254" spans="1:5" x14ac:dyDescent="0.55000000000000004">
      <c r="A10254" t="str">
        <f>TEST_DATA!A10254</f>
        <v>27AAAAA10254Z5</v>
      </c>
      <c r="B10254" t="str">
        <f>TEST_DATA!B10254</f>
        <v>Mar-2018</v>
      </c>
      <c r="C10254">
        <f>TEST_DATA!C10254</f>
        <v>44243</v>
      </c>
      <c r="D10254" t="str">
        <f>TEST_DATA!D10254</f>
        <v>NON-NIL</v>
      </c>
      <c r="E10254">
        <f>TEST_DATA!E10254</f>
        <v>1091</v>
      </c>
    </row>
    <row r="10255" spans="1:5" x14ac:dyDescent="0.55000000000000004">
      <c r="A10255" t="str">
        <f>TEST_DATA!A10255</f>
        <v>27AAAAA10255Z5</v>
      </c>
      <c r="B10255" t="str">
        <f>TEST_DATA!B10255</f>
        <v>Jul-2020</v>
      </c>
      <c r="C10255">
        <f>TEST_DATA!C10255</f>
        <v>44638</v>
      </c>
      <c r="D10255" t="str">
        <f>TEST_DATA!D10255</f>
        <v>NON-NIL</v>
      </c>
      <c r="E10255">
        <f>TEST_DATA!E10255</f>
        <v>152</v>
      </c>
    </row>
    <row r="10256" spans="1:5" x14ac:dyDescent="0.55000000000000004">
      <c r="A10256" t="str">
        <f>TEST_DATA!A10256</f>
        <v>27AAAAA10256Z5</v>
      </c>
      <c r="B10256" t="str">
        <f>TEST_DATA!B10256</f>
        <v>Feb-2018</v>
      </c>
      <c r="C10256">
        <f>TEST_DATA!C10256</f>
        <v>43364</v>
      </c>
      <c r="D10256" t="str">
        <f>TEST_DATA!D10256</f>
        <v>NIL</v>
      </c>
      <c r="E10256">
        <f>TEST_DATA!E10256</f>
        <v>1989</v>
      </c>
    </row>
    <row r="10257" spans="1:5" x14ac:dyDescent="0.55000000000000004">
      <c r="A10257" t="str">
        <f>TEST_DATA!A10257</f>
        <v>27AAAAA10257Z5</v>
      </c>
      <c r="B10257" t="str">
        <f>TEST_DATA!B10257</f>
        <v>Jan-2018</v>
      </c>
      <c r="C10257">
        <f>TEST_DATA!C10257</f>
        <v>44522</v>
      </c>
      <c r="D10257" t="str">
        <f>TEST_DATA!D10257</f>
        <v>NON-NIL</v>
      </c>
      <c r="E10257">
        <f>TEST_DATA!E10257</f>
        <v>1083</v>
      </c>
    </row>
    <row r="10258" spans="1:5" x14ac:dyDescent="0.55000000000000004">
      <c r="A10258" t="str">
        <f>TEST_DATA!A10258</f>
        <v>27AAAAA10258Z5</v>
      </c>
      <c r="B10258" t="str">
        <f>TEST_DATA!B10258</f>
        <v>Oct-2017</v>
      </c>
      <c r="C10258">
        <f>TEST_DATA!C10258</f>
        <v>43604</v>
      </c>
      <c r="D10258" t="str">
        <f>TEST_DATA!D10258</f>
        <v>NIL</v>
      </c>
      <c r="E10258">
        <f>TEST_DATA!E10258</f>
        <v>219</v>
      </c>
    </row>
    <row r="10259" spans="1:5" x14ac:dyDescent="0.55000000000000004">
      <c r="A10259" t="str">
        <f>TEST_DATA!A10259</f>
        <v>27AAAAA10259Z5</v>
      </c>
      <c r="B10259" t="str">
        <f>TEST_DATA!B10259</f>
        <v>Jul-2020</v>
      </c>
      <c r="C10259">
        <f>TEST_DATA!C10259</f>
        <v>44411</v>
      </c>
      <c r="D10259" t="str">
        <f>TEST_DATA!D10259</f>
        <v>NIL</v>
      </c>
      <c r="E10259">
        <f>TEST_DATA!E10259</f>
        <v>218</v>
      </c>
    </row>
    <row r="10260" spans="1:5" x14ac:dyDescent="0.55000000000000004">
      <c r="A10260" t="str">
        <f>TEST_DATA!A10260</f>
        <v>27AAAAA10260Z5</v>
      </c>
      <c r="B10260" t="str">
        <f>TEST_DATA!B10260</f>
        <v>Dec-2024</v>
      </c>
      <c r="C10260">
        <f>TEST_DATA!C10260</f>
        <v>43829</v>
      </c>
      <c r="D10260" t="str">
        <f>TEST_DATA!D10260</f>
        <v>NIL</v>
      </c>
      <c r="E10260">
        <f>TEST_DATA!E10260</f>
        <v>733</v>
      </c>
    </row>
    <row r="10261" spans="1:5" x14ac:dyDescent="0.55000000000000004">
      <c r="A10261" t="str">
        <f>TEST_DATA!A10261</f>
        <v>27AAAAA10261Z5</v>
      </c>
      <c r="B10261" t="str">
        <f>TEST_DATA!B10261</f>
        <v>May-2020</v>
      </c>
      <c r="C10261">
        <f>TEST_DATA!C10261</f>
        <v>44832</v>
      </c>
      <c r="D10261" t="str">
        <f>TEST_DATA!D10261</f>
        <v>NON-NIL</v>
      </c>
      <c r="E10261">
        <f>TEST_DATA!E10261</f>
        <v>183</v>
      </c>
    </row>
    <row r="10262" spans="1:5" x14ac:dyDescent="0.55000000000000004">
      <c r="A10262" t="str">
        <f>TEST_DATA!A10262</f>
        <v>27AAAAA10262Z5</v>
      </c>
      <c r="B10262" t="str">
        <f>TEST_DATA!B10262</f>
        <v>Jan-2019</v>
      </c>
      <c r="C10262">
        <f>TEST_DATA!C10262</f>
        <v>45650</v>
      </c>
      <c r="D10262" t="str">
        <f>TEST_DATA!D10262</f>
        <v>NIL</v>
      </c>
      <c r="E10262">
        <f>TEST_DATA!E10262</f>
        <v>2793</v>
      </c>
    </row>
    <row r="10263" spans="1:5" x14ac:dyDescent="0.55000000000000004">
      <c r="A10263" t="str">
        <f>TEST_DATA!A10263</f>
        <v>27AAAAA10263Z5</v>
      </c>
      <c r="B10263" t="str">
        <f>TEST_DATA!B10263</f>
        <v>Mar-2023</v>
      </c>
      <c r="C10263">
        <f>TEST_DATA!C10263</f>
        <v>44809</v>
      </c>
      <c r="D10263" t="str">
        <f>TEST_DATA!D10263</f>
        <v>NIL</v>
      </c>
      <c r="E10263">
        <f>TEST_DATA!E10263</f>
        <v>1604</v>
      </c>
    </row>
    <row r="10264" spans="1:5" x14ac:dyDescent="0.55000000000000004">
      <c r="A10264" t="str">
        <f>TEST_DATA!A10264</f>
        <v>27AAAAA10264Z5</v>
      </c>
      <c r="B10264" t="str">
        <f>TEST_DATA!B10264</f>
        <v>Apr-2018</v>
      </c>
      <c r="C10264">
        <f>TEST_DATA!C10264</f>
        <v>43977</v>
      </c>
      <c r="D10264" t="str">
        <f>TEST_DATA!D10264</f>
        <v>NON-NIL</v>
      </c>
      <c r="E10264">
        <f>TEST_DATA!E10264</f>
        <v>2424</v>
      </c>
    </row>
    <row r="10265" spans="1:5" x14ac:dyDescent="0.55000000000000004">
      <c r="A10265" t="str">
        <f>TEST_DATA!A10265</f>
        <v>27AAAAA10265Z5</v>
      </c>
      <c r="B10265" t="str">
        <f>TEST_DATA!B10265</f>
        <v>Dec-2024</v>
      </c>
      <c r="C10265">
        <f>TEST_DATA!C10265</f>
        <v>45356</v>
      </c>
      <c r="D10265" t="str">
        <f>TEST_DATA!D10265</f>
        <v>NON-NIL</v>
      </c>
      <c r="E10265">
        <f>TEST_DATA!E10265</f>
        <v>2317</v>
      </c>
    </row>
    <row r="10266" spans="1:5" x14ac:dyDescent="0.55000000000000004">
      <c r="A10266" t="str">
        <f>TEST_DATA!A10266</f>
        <v>27AAAAA10266Z5</v>
      </c>
      <c r="B10266" t="str">
        <f>TEST_DATA!B10266</f>
        <v>May-2020</v>
      </c>
      <c r="C10266">
        <f>TEST_DATA!C10266</f>
        <v>44792</v>
      </c>
      <c r="D10266" t="str">
        <f>TEST_DATA!D10266</f>
        <v>NIL</v>
      </c>
      <c r="E10266">
        <f>TEST_DATA!E10266</f>
        <v>2123</v>
      </c>
    </row>
    <row r="10267" spans="1:5" x14ac:dyDescent="0.55000000000000004">
      <c r="A10267" t="str">
        <f>TEST_DATA!A10267</f>
        <v>27AAAAA10267Z5</v>
      </c>
      <c r="B10267" t="str">
        <f>TEST_DATA!B10267</f>
        <v>Jan-2018</v>
      </c>
      <c r="C10267">
        <f>TEST_DATA!C10267</f>
        <v>43400</v>
      </c>
      <c r="D10267" t="str">
        <f>TEST_DATA!D10267</f>
        <v>NIL</v>
      </c>
      <c r="E10267">
        <f>TEST_DATA!E10267</f>
        <v>1749</v>
      </c>
    </row>
    <row r="10268" spans="1:5" x14ac:dyDescent="0.55000000000000004">
      <c r="A10268" t="str">
        <f>TEST_DATA!A10268</f>
        <v>27AAAAA10268Z5</v>
      </c>
      <c r="B10268" t="str">
        <f>TEST_DATA!B10268</f>
        <v>Sep-2017</v>
      </c>
      <c r="C10268">
        <f>TEST_DATA!C10268</f>
        <v>43456</v>
      </c>
      <c r="D10268" t="str">
        <f>TEST_DATA!D10268</f>
        <v>NON-NIL</v>
      </c>
      <c r="E10268">
        <f>TEST_DATA!E10268</f>
        <v>880</v>
      </c>
    </row>
    <row r="10269" spans="1:5" x14ac:dyDescent="0.55000000000000004">
      <c r="A10269" t="str">
        <f>TEST_DATA!A10269</f>
        <v>27AAAAA10269Z5</v>
      </c>
      <c r="B10269" t="str">
        <f>TEST_DATA!B10269</f>
        <v>Dec-2024</v>
      </c>
      <c r="C10269">
        <f>TEST_DATA!C10269</f>
        <v>44782</v>
      </c>
      <c r="D10269" t="str">
        <f>TEST_DATA!D10269</f>
        <v>NON-NIL</v>
      </c>
      <c r="E10269">
        <f>TEST_DATA!E10269</f>
        <v>2684</v>
      </c>
    </row>
    <row r="10270" spans="1:5" x14ac:dyDescent="0.55000000000000004">
      <c r="A10270" t="str">
        <f>TEST_DATA!A10270</f>
        <v>27AAAAA10270Z5</v>
      </c>
      <c r="B10270" t="str">
        <f>TEST_DATA!B10270</f>
        <v>Jun-2018</v>
      </c>
      <c r="C10270">
        <f>TEST_DATA!C10270</f>
        <v>43469</v>
      </c>
      <c r="D10270" t="str">
        <f>TEST_DATA!D10270</f>
        <v>NON-NIL</v>
      </c>
      <c r="E10270">
        <f>TEST_DATA!E10270</f>
        <v>2163</v>
      </c>
    </row>
    <row r="10271" spans="1:5" x14ac:dyDescent="0.55000000000000004">
      <c r="A10271" t="str">
        <f>TEST_DATA!A10271</f>
        <v>27AAAAA10271Z5</v>
      </c>
      <c r="B10271" t="str">
        <f>TEST_DATA!B10271</f>
        <v>Mar-2020</v>
      </c>
      <c r="C10271">
        <f>TEST_DATA!C10271</f>
        <v>44261</v>
      </c>
      <c r="D10271" t="str">
        <f>TEST_DATA!D10271</f>
        <v>NON-NIL</v>
      </c>
      <c r="E10271">
        <f>TEST_DATA!E10271</f>
        <v>93</v>
      </c>
    </row>
    <row r="10272" spans="1:5" x14ac:dyDescent="0.55000000000000004">
      <c r="A10272" t="str">
        <f>TEST_DATA!A10272</f>
        <v>27AAAAA10272Z5</v>
      </c>
      <c r="B10272" t="str">
        <f>TEST_DATA!B10272</f>
        <v>Apr-2021</v>
      </c>
      <c r="C10272">
        <f>TEST_DATA!C10272</f>
        <v>44874</v>
      </c>
      <c r="D10272" t="str">
        <f>TEST_DATA!D10272</f>
        <v>NIL</v>
      </c>
      <c r="E10272">
        <f>TEST_DATA!E10272</f>
        <v>1678</v>
      </c>
    </row>
    <row r="10273" spans="1:5" x14ac:dyDescent="0.55000000000000004">
      <c r="A10273" t="str">
        <f>TEST_DATA!A10273</f>
        <v>27AAAAA10273Z5</v>
      </c>
      <c r="B10273" t="str">
        <f>TEST_DATA!B10273</f>
        <v>Aug-2017</v>
      </c>
      <c r="C10273">
        <f>TEST_DATA!C10273</f>
        <v>43297</v>
      </c>
      <c r="D10273" t="str">
        <f>TEST_DATA!D10273</f>
        <v>NON-NIL</v>
      </c>
      <c r="E10273">
        <f>TEST_DATA!E10273</f>
        <v>118</v>
      </c>
    </row>
    <row r="10274" spans="1:5" x14ac:dyDescent="0.55000000000000004">
      <c r="A10274" t="str">
        <f>TEST_DATA!A10274</f>
        <v>27AAAAA10274Z5</v>
      </c>
      <c r="B10274" t="str">
        <f>TEST_DATA!B10274</f>
        <v>Jan-2021</v>
      </c>
      <c r="C10274">
        <f>TEST_DATA!C10274</f>
        <v>45118</v>
      </c>
      <c r="D10274" t="str">
        <f>TEST_DATA!D10274</f>
        <v>NON-NIL</v>
      </c>
      <c r="E10274">
        <f>TEST_DATA!E10274</f>
        <v>1368</v>
      </c>
    </row>
    <row r="10275" spans="1:5" x14ac:dyDescent="0.55000000000000004">
      <c r="A10275" t="str">
        <f>TEST_DATA!A10275</f>
        <v>27AAAAA10275Z5</v>
      </c>
      <c r="B10275" t="str">
        <f>TEST_DATA!B10275</f>
        <v>Aug-2018</v>
      </c>
      <c r="C10275">
        <f>TEST_DATA!C10275</f>
        <v>44465</v>
      </c>
      <c r="D10275" t="str">
        <f>TEST_DATA!D10275</f>
        <v>NON-NIL</v>
      </c>
      <c r="E10275">
        <f>TEST_DATA!E10275</f>
        <v>247</v>
      </c>
    </row>
    <row r="10276" spans="1:5" x14ac:dyDescent="0.55000000000000004">
      <c r="A10276" t="str">
        <f>TEST_DATA!A10276</f>
        <v>27AAAAA10276Z5</v>
      </c>
      <c r="B10276" t="str">
        <f>TEST_DATA!B10276</f>
        <v>Jan-2019</v>
      </c>
      <c r="C10276">
        <f>TEST_DATA!C10276</f>
        <v>43814</v>
      </c>
      <c r="D10276" t="str">
        <f>TEST_DATA!D10276</f>
        <v>NIL</v>
      </c>
      <c r="E10276">
        <f>TEST_DATA!E10276</f>
        <v>655</v>
      </c>
    </row>
    <row r="10277" spans="1:5" x14ac:dyDescent="0.55000000000000004">
      <c r="A10277" t="str">
        <f>TEST_DATA!A10277</f>
        <v>27AAAAA10277Z5</v>
      </c>
      <c r="B10277" t="str">
        <f>TEST_DATA!B10277</f>
        <v>Apr-2020</v>
      </c>
      <c r="C10277">
        <f>TEST_DATA!C10277</f>
        <v>44204</v>
      </c>
      <c r="D10277" t="str">
        <f>TEST_DATA!D10277</f>
        <v>NIL</v>
      </c>
      <c r="E10277">
        <f>TEST_DATA!E10277</f>
        <v>2944</v>
      </c>
    </row>
    <row r="10278" spans="1:5" x14ac:dyDescent="0.55000000000000004">
      <c r="A10278" t="str">
        <f>TEST_DATA!A10278</f>
        <v>27AAAAA10278Z5</v>
      </c>
      <c r="B10278" t="str">
        <f>TEST_DATA!B10278</f>
        <v>Jul-2018</v>
      </c>
      <c r="C10278">
        <f>TEST_DATA!C10278</f>
        <v>43111</v>
      </c>
      <c r="D10278" t="str">
        <f>TEST_DATA!D10278</f>
        <v>NIL</v>
      </c>
      <c r="E10278">
        <f>TEST_DATA!E10278</f>
        <v>2334</v>
      </c>
    </row>
    <row r="10279" spans="1:5" x14ac:dyDescent="0.55000000000000004">
      <c r="A10279" t="str">
        <f>TEST_DATA!A10279</f>
        <v>27AAAAA10279Z5</v>
      </c>
      <c r="B10279" t="str">
        <f>TEST_DATA!B10279</f>
        <v>Oct-2017</v>
      </c>
      <c r="C10279">
        <f>TEST_DATA!C10279</f>
        <v>43177</v>
      </c>
      <c r="D10279" t="str">
        <f>TEST_DATA!D10279</f>
        <v>NIL</v>
      </c>
      <c r="E10279">
        <f>TEST_DATA!E10279</f>
        <v>2015</v>
      </c>
    </row>
    <row r="10280" spans="1:5" x14ac:dyDescent="0.55000000000000004">
      <c r="A10280" t="str">
        <f>TEST_DATA!A10280</f>
        <v>27AAAAA10280Z5</v>
      </c>
      <c r="B10280" t="str">
        <f>TEST_DATA!B10280</f>
        <v>Sep-2018</v>
      </c>
      <c r="C10280">
        <f>TEST_DATA!C10280</f>
        <v>43436</v>
      </c>
      <c r="D10280" t="str">
        <f>TEST_DATA!D10280</f>
        <v>NON-NIL</v>
      </c>
      <c r="E10280">
        <f>TEST_DATA!E10280</f>
        <v>2450</v>
      </c>
    </row>
    <row r="10281" spans="1:5" x14ac:dyDescent="0.55000000000000004">
      <c r="A10281" t="str">
        <f>TEST_DATA!A10281</f>
        <v>27AAAAA10281Z5</v>
      </c>
      <c r="B10281" t="str">
        <f>TEST_DATA!B10281</f>
        <v>May-2020</v>
      </c>
      <c r="C10281">
        <f>TEST_DATA!C10281</f>
        <v>44897</v>
      </c>
      <c r="D10281" t="str">
        <f>TEST_DATA!D10281</f>
        <v>NON-NIL</v>
      </c>
      <c r="E10281">
        <f>TEST_DATA!E10281</f>
        <v>2753</v>
      </c>
    </row>
    <row r="10282" spans="1:5" x14ac:dyDescent="0.55000000000000004">
      <c r="A10282" t="str">
        <f>TEST_DATA!A10282</f>
        <v>27AAAAA10282Z5</v>
      </c>
      <c r="B10282" t="str">
        <f>TEST_DATA!B10282</f>
        <v>Oct-2017</v>
      </c>
      <c r="C10282">
        <f>TEST_DATA!C10282</f>
        <v>44350</v>
      </c>
      <c r="D10282" t="str">
        <f>TEST_DATA!D10282</f>
        <v>NIL</v>
      </c>
      <c r="E10282">
        <f>TEST_DATA!E10282</f>
        <v>1017</v>
      </c>
    </row>
    <row r="10283" spans="1:5" x14ac:dyDescent="0.55000000000000004">
      <c r="A10283" t="str">
        <f>TEST_DATA!A10283</f>
        <v>27AAAAA10283Z5</v>
      </c>
      <c r="B10283" t="str">
        <f>TEST_DATA!B10283</f>
        <v>Jan-2019</v>
      </c>
      <c r="C10283">
        <f>TEST_DATA!C10283</f>
        <v>45150</v>
      </c>
      <c r="D10283" t="str">
        <f>TEST_DATA!D10283</f>
        <v>NON-NIL</v>
      </c>
      <c r="E10283">
        <f>TEST_DATA!E10283</f>
        <v>36</v>
      </c>
    </row>
    <row r="10284" spans="1:5" x14ac:dyDescent="0.55000000000000004">
      <c r="A10284" t="str">
        <f>TEST_DATA!A10284</f>
        <v>27AAAAA10284Z5</v>
      </c>
      <c r="B10284" t="str">
        <f>TEST_DATA!B10284</f>
        <v>May-2018</v>
      </c>
      <c r="C10284">
        <f>TEST_DATA!C10284</f>
        <v>44337</v>
      </c>
      <c r="D10284" t="str">
        <f>TEST_DATA!D10284</f>
        <v>NIL</v>
      </c>
      <c r="E10284">
        <f>TEST_DATA!E10284</f>
        <v>2004</v>
      </c>
    </row>
    <row r="10285" spans="1:5" x14ac:dyDescent="0.55000000000000004">
      <c r="A10285" t="str">
        <f>TEST_DATA!A10285</f>
        <v>27AAAAA10285Z5</v>
      </c>
      <c r="B10285" t="str">
        <f>TEST_DATA!B10285</f>
        <v>Mar-2020</v>
      </c>
      <c r="C10285">
        <f>TEST_DATA!C10285</f>
        <v>43966</v>
      </c>
      <c r="D10285" t="str">
        <f>TEST_DATA!D10285</f>
        <v>NIL</v>
      </c>
      <c r="E10285">
        <f>TEST_DATA!E10285</f>
        <v>2572</v>
      </c>
    </row>
    <row r="10286" spans="1:5" x14ac:dyDescent="0.55000000000000004">
      <c r="A10286" t="str">
        <f>TEST_DATA!A10286</f>
        <v>27AAAAA10286Z5</v>
      </c>
      <c r="B10286" t="str">
        <f>TEST_DATA!B10286</f>
        <v>Apr-2021</v>
      </c>
      <c r="C10286">
        <f>TEST_DATA!C10286</f>
        <v>45122</v>
      </c>
      <c r="D10286" t="str">
        <f>TEST_DATA!D10286</f>
        <v>NON-NIL</v>
      </c>
      <c r="E10286">
        <f>TEST_DATA!E10286</f>
        <v>487</v>
      </c>
    </row>
    <row r="10287" spans="1:5" x14ac:dyDescent="0.55000000000000004">
      <c r="A10287" t="str">
        <f>TEST_DATA!A10287</f>
        <v>27AAAAA10287Z5</v>
      </c>
      <c r="B10287" t="str">
        <f>TEST_DATA!B10287</f>
        <v>Dec-2024</v>
      </c>
      <c r="C10287">
        <f>TEST_DATA!C10287</f>
        <v>43588</v>
      </c>
      <c r="D10287" t="str">
        <f>TEST_DATA!D10287</f>
        <v>NON-NIL</v>
      </c>
      <c r="E10287">
        <f>TEST_DATA!E10287</f>
        <v>1094</v>
      </c>
    </row>
    <row r="10288" spans="1:5" x14ac:dyDescent="0.55000000000000004">
      <c r="A10288" t="str">
        <f>TEST_DATA!A10288</f>
        <v>27AAAAA10288Z5</v>
      </c>
      <c r="B10288" t="str">
        <f>TEST_DATA!B10288</f>
        <v>Aug-2017</v>
      </c>
      <c r="C10288">
        <f>TEST_DATA!C10288</f>
        <v>43932</v>
      </c>
      <c r="D10288" t="str">
        <f>TEST_DATA!D10288</f>
        <v>NIL</v>
      </c>
      <c r="E10288">
        <f>TEST_DATA!E10288</f>
        <v>1863</v>
      </c>
    </row>
    <row r="10289" spans="1:5" x14ac:dyDescent="0.55000000000000004">
      <c r="A10289" t="str">
        <f>TEST_DATA!A10289</f>
        <v>27AAAAA10289Z5</v>
      </c>
      <c r="B10289" t="str">
        <f>TEST_DATA!B10289</f>
        <v>Jun-2019</v>
      </c>
      <c r="C10289">
        <f>TEST_DATA!C10289</f>
        <v>44305</v>
      </c>
      <c r="D10289" t="str">
        <f>TEST_DATA!D10289</f>
        <v>NON-NIL</v>
      </c>
      <c r="E10289">
        <f>TEST_DATA!E10289</f>
        <v>1807</v>
      </c>
    </row>
    <row r="10290" spans="1:5" x14ac:dyDescent="0.55000000000000004">
      <c r="A10290" t="str">
        <f>TEST_DATA!A10290</f>
        <v>27AAAAA10290Z5</v>
      </c>
      <c r="B10290" t="str">
        <f>TEST_DATA!B10290</f>
        <v>Jun-2019</v>
      </c>
      <c r="C10290">
        <f>TEST_DATA!C10290</f>
        <v>44567</v>
      </c>
      <c r="D10290" t="str">
        <f>TEST_DATA!D10290</f>
        <v>NIL</v>
      </c>
      <c r="E10290">
        <f>TEST_DATA!E10290</f>
        <v>43</v>
      </c>
    </row>
    <row r="10291" spans="1:5" x14ac:dyDescent="0.55000000000000004">
      <c r="A10291" t="str">
        <f>TEST_DATA!A10291</f>
        <v>27AAAAA10291Z5</v>
      </c>
      <c r="B10291" t="str">
        <f>TEST_DATA!B10291</f>
        <v>Feb-2018</v>
      </c>
      <c r="C10291">
        <f>TEST_DATA!C10291</f>
        <v>43437</v>
      </c>
      <c r="D10291" t="str">
        <f>TEST_DATA!D10291</f>
        <v>NON-NIL</v>
      </c>
      <c r="E10291">
        <f>TEST_DATA!E10291</f>
        <v>1894</v>
      </c>
    </row>
    <row r="10292" spans="1:5" x14ac:dyDescent="0.55000000000000004">
      <c r="A10292" t="str">
        <f>TEST_DATA!A10292</f>
        <v>27AAAAA10292Z5</v>
      </c>
      <c r="B10292" t="str">
        <f>TEST_DATA!B10292</f>
        <v>Jan-2018</v>
      </c>
      <c r="C10292">
        <f>TEST_DATA!C10292</f>
        <v>43803</v>
      </c>
      <c r="D10292" t="str">
        <f>TEST_DATA!D10292</f>
        <v>NON-NIL</v>
      </c>
      <c r="E10292">
        <f>TEST_DATA!E10292</f>
        <v>2703</v>
      </c>
    </row>
    <row r="10293" spans="1:5" x14ac:dyDescent="0.55000000000000004">
      <c r="A10293" t="str">
        <f>TEST_DATA!A10293</f>
        <v>27AAAAA10293Z5</v>
      </c>
      <c r="B10293" t="str">
        <f>TEST_DATA!B10293</f>
        <v>Apr-2018</v>
      </c>
      <c r="C10293">
        <f>TEST_DATA!C10293</f>
        <v>44330</v>
      </c>
      <c r="D10293" t="str">
        <f>TEST_DATA!D10293</f>
        <v>NIL</v>
      </c>
      <c r="E10293">
        <f>TEST_DATA!E10293</f>
        <v>1192</v>
      </c>
    </row>
    <row r="10294" spans="1:5" x14ac:dyDescent="0.55000000000000004">
      <c r="A10294" t="str">
        <f>TEST_DATA!A10294</f>
        <v>27AAAAA10294Z5</v>
      </c>
      <c r="B10294" t="str">
        <f>TEST_DATA!B10294</f>
        <v>Dec-2024</v>
      </c>
      <c r="C10294">
        <f>TEST_DATA!C10294</f>
        <v>44540</v>
      </c>
      <c r="D10294" t="str">
        <f>TEST_DATA!D10294</f>
        <v>NIL</v>
      </c>
      <c r="E10294">
        <f>TEST_DATA!E10294</f>
        <v>1962</v>
      </c>
    </row>
    <row r="10295" spans="1:5" x14ac:dyDescent="0.55000000000000004">
      <c r="A10295" t="str">
        <f>TEST_DATA!A10295</f>
        <v>27AAAAA10295Z5</v>
      </c>
      <c r="B10295" t="str">
        <f>TEST_DATA!B10295</f>
        <v>Dec-2017</v>
      </c>
      <c r="C10295">
        <f>TEST_DATA!C10295</f>
        <v>43969</v>
      </c>
      <c r="D10295" t="str">
        <f>TEST_DATA!D10295</f>
        <v>NIL</v>
      </c>
      <c r="E10295">
        <f>TEST_DATA!E10295</f>
        <v>2516</v>
      </c>
    </row>
    <row r="10296" spans="1:5" x14ac:dyDescent="0.55000000000000004">
      <c r="A10296" t="str">
        <f>TEST_DATA!A10296</f>
        <v>27AAAAA10296Z5</v>
      </c>
      <c r="B10296" t="str">
        <f>TEST_DATA!B10296</f>
        <v>Jul-2017</v>
      </c>
      <c r="C10296">
        <f>TEST_DATA!C10296</f>
        <v>43304</v>
      </c>
      <c r="D10296" t="str">
        <f>TEST_DATA!D10296</f>
        <v>NIL</v>
      </c>
      <c r="E10296">
        <f>TEST_DATA!E10296</f>
        <v>1850</v>
      </c>
    </row>
    <row r="10297" spans="1:5" x14ac:dyDescent="0.55000000000000004">
      <c r="A10297" t="str">
        <f>TEST_DATA!A10297</f>
        <v>27AAAAA10297Z5</v>
      </c>
      <c r="B10297" t="str">
        <f>TEST_DATA!B10297</f>
        <v>Dec-2019</v>
      </c>
      <c r="C10297">
        <f>TEST_DATA!C10297</f>
        <v>45538</v>
      </c>
      <c r="D10297" t="str">
        <f>TEST_DATA!D10297</f>
        <v>NIL</v>
      </c>
      <c r="E10297">
        <f>TEST_DATA!E10297</f>
        <v>2716</v>
      </c>
    </row>
    <row r="10298" spans="1:5" x14ac:dyDescent="0.55000000000000004">
      <c r="A10298" t="str">
        <f>TEST_DATA!A10298</f>
        <v>27AAAAA10298Z5</v>
      </c>
      <c r="B10298" t="str">
        <f>TEST_DATA!B10298</f>
        <v>Apr-2021</v>
      </c>
      <c r="C10298">
        <f>TEST_DATA!C10298</f>
        <v>45063</v>
      </c>
      <c r="D10298" t="str">
        <f>TEST_DATA!D10298</f>
        <v>NON-NIL</v>
      </c>
      <c r="E10298">
        <f>TEST_DATA!E10298</f>
        <v>1006</v>
      </c>
    </row>
    <row r="10299" spans="1:5" x14ac:dyDescent="0.55000000000000004">
      <c r="A10299" t="str">
        <f>TEST_DATA!A10299</f>
        <v>27AAAAA10299Z5</v>
      </c>
      <c r="B10299" t="str">
        <f>TEST_DATA!B10299</f>
        <v>Jan-2021</v>
      </c>
      <c r="C10299">
        <f>TEST_DATA!C10299</f>
        <v>43804</v>
      </c>
      <c r="D10299" t="str">
        <f>TEST_DATA!D10299</f>
        <v>NON-NIL</v>
      </c>
      <c r="E10299">
        <f>TEST_DATA!E10299</f>
        <v>2017</v>
      </c>
    </row>
    <row r="10300" spans="1:5" x14ac:dyDescent="0.55000000000000004">
      <c r="A10300" t="str">
        <f>TEST_DATA!A10300</f>
        <v>27AAAAA10300Z5</v>
      </c>
      <c r="B10300" t="str">
        <f>TEST_DATA!B10300</f>
        <v>Jan-2021</v>
      </c>
      <c r="C10300">
        <f>TEST_DATA!C10300</f>
        <v>45592</v>
      </c>
      <c r="D10300" t="str">
        <f>TEST_DATA!D10300</f>
        <v>NON-NIL</v>
      </c>
      <c r="E10300">
        <f>TEST_DATA!E10300</f>
        <v>2556</v>
      </c>
    </row>
    <row r="10301" spans="1:5" x14ac:dyDescent="0.55000000000000004">
      <c r="A10301" t="str">
        <f>TEST_DATA!A10301</f>
        <v>27AAAAA10301Z5</v>
      </c>
      <c r="B10301" t="str">
        <f>TEST_DATA!B10301</f>
        <v>Jun-2019</v>
      </c>
      <c r="C10301">
        <f>TEST_DATA!C10301</f>
        <v>44559</v>
      </c>
      <c r="D10301" t="str">
        <f>TEST_DATA!D10301</f>
        <v>NON-NIL</v>
      </c>
      <c r="E10301">
        <f>TEST_DATA!E10301</f>
        <v>1094</v>
      </c>
    </row>
    <row r="10302" spans="1:5" x14ac:dyDescent="0.55000000000000004">
      <c r="A10302" t="str">
        <f>TEST_DATA!A10302</f>
        <v>27AAAAA10302Z5</v>
      </c>
      <c r="B10302" t="str">
        <f>TEST_DATA!B10302</f>
        <v>Dec-2024</v>
      </c>
      <c r="C10302">
        <f>TEST_DATA!C10302</f>
        <v>43636</v>
      </c>
      <c r="D10302" t="str">
        <f>TEST_DATA!D10302</f>
        <v>NON-NIL</v>
      </c>
      <c r="E10302">
        <f>TEST_DATA!E10302</f>
        <v>2406</v>
      </c>
    </row>
    <row r="10303" spans="1:5" x14ac:dyDescent="0.55000000000000004">
      <c r="A10303" t="str">
        <f>TEST_DATA!A10303</f>
        <v>27AAAAA10303Z5</v>
      </c>
      <c r="B10303" t="str">
        <f>TEST_DATA!B10303</f>
        <v>Jan-2018</v>
      </c>
      <c r="C10303">
        <f>TEST_DATA!C10303</f>
        <v>42966</v>
      </c>
      <c r="D10303" t="str">
        <f>TEST_DATA!D10303</f>
        <v>NIL</v>
      </c>
      <c r="E10303">
        <f>TEST_DATA!E10303</f>
        <v>762</v>
      </c>
    </row>
    <row r="10304" spans="1:5" x14ac:dyDescent="0.55000000000000004">
      <c r="A10304" t="str">
        <f>TEST_DATA!A10304</f>
        <v>27AAAAA10304Z5</v>
      </c>
      <c r="B10304" t="str">
        <f>TEST_DATA!B10304</f>
        <v>May-2020</v>
      </c>
      <c r="C10304">
        <f>TEST_DATA!C10304</f>
        <v>43899</v>
      </c>
      <c r="D10304" t="str">
        <f>TEST_DATA!D10304</f>
        <v>NON-NIL</v>
      </c>
      <c r="E10304">
        <f>TEST_DATA!E10304</f>
        <v>2565</v>
      </c>
    </row>
    <row r="10305" spans="1:5" x14ac:dyDescent="0.55000000000000004">
      <c r="A10305" t="str">
        <f>TEST_DATA!A10305</f>
        <v>27AAAAA10305Z5</v>
      </c>
      <c r="B10305" t="str">
        <f>TEST_DATA!B10305</f>
        <v>Dec-2024</v>
      </c>
      <c r="C10305">
        <f>TEST_DATA!C10305</f>
        <v>44988</v>
      </c>
      <c r="D10305" t="str">
        <f>TEST_DATA!D10305</f>
        <v>NON-NIL</v>
      </c>
      <c r="E10305">
        <f>TEST_DATA!E10305</f>
        <v>20</v>
      </c>
    </row>
    <row r="10306" spans="1:5" x14ac:dyDescent="0.55000000000000004">
      <c r="A10306" t="str">
        <f>TEST_DATA!A10306</f>
        <v>27AAAAA10306Z5</v>
      </c>
      <c r="B10306" t="str">
        <f>TEST_DATA!B10306</f>
        <v>Mar-2023</v>
      </c>
      <c r="C10306">
        <f>TEST_DATA!C10306</f>
        <v>44867</v>
      </c>
      <c r="D10306" t="str">
        <f>TEST_DATA!D10306</f>
        <v>NIL</v>
      </c>
      <c r="E10306">
        <f>TEST_DATA!E10306</f>
        <v>1733</v>
      </c>
    </row>
    <row r="10307" spans="1:5" x14ac:dyDescent="0.55000000000000004">
      <c r="A10307" t="str">
        <f>TEST_DATA!A10307</f>
        <v>27AAAAA10307Z5</v>
      </c>
      <c r="B10307" t="str">
        <f>TEST_DATA!B10307</f>
        <v>Apr-2020</v>
      </c>
      <c r="C10307">
        <f>TEST_DATA!C10307</f>
        <v>43941</v>
      </c>
      <c r="D10307" t="str">
        <f>TEST_DATA!D10307</f>
        <v>NIL</v>
      </c>
      <c r="E10307">
        <f>TEST_DATA!E10307</f>
        <v>1481</v>
      </c>
    </row>
    <row r="10308" spans="1:5" x14ac:dyDescent="0.55000000000000004">
      <c r="A10308" t="str">
        <f>TEST_DATA!A10308</f>
        <v>27AAAAA10308Z5</v>
      </c>
      <c r="B10308" t="str">
        <f>TEST_DATA!B10308</f>
        <v>Dec-2017</v>
      </c>
      <c r="C10308">
        <f>TEST_DATA!C10308</f>
        <v>43340</v>
      </c>
      <c r="D10308" t="str">
        <f>TEST_DATA!D10308</f>
        <v>NIL</v>
      </c>
      <c r="E10308">
        <f>TEST_DATA!E10308</f>
        <v>533</v>
      </c>
    </row>
    <row r="10309" spans="1:5" x14ac:dyDescent="0.55000000000000004">
      <c r="A10309" t="str">
        <f>TEST_DATA!A10309</f>
        <v>27AAAAA10309Z5</v>
      </c>
      <c r="B10309" t="str">
        <f>TEST_DATA!B10309</f>
        <v>Apr-2020</v>
      </c>
      <c r="C10309">
        <f>TEST_DATA!C10309</f>
        <v>44654</v>
      </c>
      <c r="D10309" t="str">
        <f>TEST_DATA!D10309</f>
        <v>NON-NIL</v>
      </c>
      <c r="E10309">
        <f>TEST_DATA!E10309</f>
        <v>802</v>
      </c>
    </row>
    <row r="10310" spans="1:5" x14ac:dyDescent="0.55000000000000004">
      <c r="A10310" t="str">
        <f>TEST_DATA!A10310</f>
        <v>27AAAAA10310Z5</v>
      </c>
      <c r="B10310" t="str">
        <f>TEST_DATA!B10310</f>
        <v>Feb-2018</v>
      </c>
      <c r="C10310">
        <f>TEST_DATA!C10310</f>
        <v>42960</v>
      </c>
      <c r="D10310" t="str">
        <f>TEST_DATA!D10310</f>
        <v>NIL</v>
      </c>
      <c r="E10310">
        <f>TEST_DATA!E10310</f>
        <v>1007</v>
      </c>
    </row>
    <row r="10311" spans="1:5" x14ac:dyDescent="0.55000000000000004">
      <c r="A10311" t="str">
        <f>TEST_DATA!A10311</f>
        <v>27AAAAA10311Z5</v>
      </c>
      <c r="B10311" t="str">
        <f>TEST_DATA!B10311</f>
        <v>Jun-2018</v>
      </c>
      <c r="C10311">
        <f>TEST_DATA!C10311</f>
        <v>43735</v>
      </c>
      <c r="D10311" t="str">
        <f>TEST_DATA!D10311</f>
        <v>NON-NIL</v>
      </c>
      <c r="E10311">
        <f>TEST_DATA!E10311</f>
        <v>1084</v>
      </c>
    </row>
    <row r="10312" spans="1:5" x14ac:dyDescent="0.55000000000000004">
      <c r="A10312" t="str">
        <f>TEST_DATA!A10312</f>
        <v>27AAAAA10312Z5</v>
      </c>
      <c r="B10312" t="str">
        <f>TEST_DATA!B10312</f>
        <v>Jul-2017</v>
      </c>
      <c r="C10312">
        <f>TEST_DATA!C10312</f>
        <v>43418</v>
      </c>
      <c r="D10312" t="str">
        <f>TEST_DATA!D10312</f>
        <v>NIL</v>
      </c>
      <c r="E10312">
        <f>TEST_DATA!E10312</f>
        <v>1802</v>
      </c>
    </row>
    <row r="10313" spans="1:5" x14ac:dyDescent="0.55000000000000004">
      <c r="A10313" t="str">
        <f>TEST_DATA!A10313</f>
        <v>27AAAAA10313Z5</v>
      </c>
      <c r="B10313" t="str">
        <f>TEST_DATA!B10313</f>
        <v>Apr-2020</v>
      </c>
      <c r="C10313">
        <f>TEST_DATA!C10313</f>
        <v>44071</v>
      </c>
      <c r="D10313" t="str">
        <f>TEST_DATA!D10313</f>
        <v>NON-NIL</v>
      </c>
      <c r="E10313">
        <f>TEST_DATA!E10313</f>
        <v>1127</v>
      </c>
    </row>
    <row r="10314" spans="1:5" x14ac:dyDescent="0.55000000000000004">
      <c r="A10314" t="str">
        <f>TEST_DATA!A10314</f>
        <v>27AAAAA10314Z5</v>
      </c>
      <c r="B10314" t="str">
        <f>TEST_DATA!B10314</f>
        <v>Apr-2021</v>
      </c>
      <c r="C10314">
        <f>TEST_DATA!C10314</f>
        <v>43712</v>
      </c>
      <c r="D10314" t="str">
        <f>TEST_DATA!D10314</f>
        <v>NIL</v>
      </c>
      <c r="E10314">
        <f>TEST_DATA!E10314</f>
        <v>2796</v>
      </c>
    </row>
    <row r="10315" spans="1:5" x14ac:dyDescent="0.55000000000000004">
      <c r="A10315" t="str">
        <f>TEST_DATA!A10315</f>
        <v>27AAAAA10315Z5</v>
      </c>
      <c r="B10315" t="str">
        <f>TEST_DATA!B10315</f>
        <v>Sep-2018</v>
      </c>
      <c r="C10315">
        <f>TEST_DATA!C10315</f>
        <v>43343</v>
      </c>
      <c r="D10315" t="str">
        <f>TEST_DATA!D10315</f>
        <v>NIL</v>
      </c>
      <c r="E10315">
        <f>TEST_DATA!E10315</f>
        <v>105</v>
      </c>
    </row>
    <row r="10316" spans="1:5" x14ac:dyDescent="0.55000000000000004">
      <c r="A10316" t="str">
        <f>TEST_DATA!A10316</f>
        <v>27AAAAA10316Z5</v>
      </c>
      <c r="B10316" t="str">
        <f>TEST_DATA!B10316</f>
        <v>Oct-2017</v>
      </c>
      <c r="C10316">
        <f>TEST_DATA!C10316</f>
        <v>43215</v>
      </c>
      <c r="D10316" t="str">
        <f>TEST_DATA!D10316</f>
        <v>NON-NIL</v>
      </c>
      <c r="E10316">
        <f>TEST_DATA!E10316</f>
        <v>880</v>
      </c>
    </row>
    <row r="10317" spans="1:5" x14ac:dyDescent="0.55000000000000004">
      <c r="A10317" t="str">
        <f>TEST_DATA!A10317</f>
        <v>27AAAAA10317Z5</v>
      </c>
      <c r="B10317" t="str">
        <f>TEST_DATA!B10317</f>
        <v>Sep-2017</v>
      </c>
      <c r="C10317">
        <f>TEST_DATA!C10317</f>
        <v>44060</v>
      </c>
      <c r="D10317" t="str">
        <f>TEST_DATA!D10317</f>
        <v>NON-NIL</v>
      </c>
      <c r="E10317">
        <f>TEST_DATA!E10317</f>
        <v>17</v>
      </c>
    </row>
    <row r="10318" spans="1:5" x14ac:dyDescent="0.55000000000000004">
      <c r="A10318" t="str">
        <f>TEST_DATA!A10318</f>
        <v>27AAAAA10318Z5</v>
      </c>
      <c r="B10318" t="str">
        <f>TEST_DATA!B10318</f>
        <v>Jul-2017</v>
      </c>
      <c r="C10318">
        <f>TEST_DATA!C10318</f>
        <v>43515</v>
      </c>
      <c r="D10318" t="str">
        <f>TEST_DATA!D10318</f>
        <v>NIL</v>
      </c>
      <c r="E10318">
        <f>TEST_DATA!E10318</f>
        <v>821</v>
      </c>
    </row>
    <row r="10319" spans="1:5" x14ac:dyDescent="0.55000000000000004">
      <c r="A10319" t="str">
        <f>TEST_DATA!A10319</f>
        <v>27AAAAA10319Z5</v>
      </c>
      <c r="B10319" t="str">
        <f>TEST_DATA!B10319</f>
        <v>Sep-2017</v>
      </c>
      <c r="C10319">
        <f>TEST_DATA!C10319</f>
        <v>44277</v>
      </c>
      <c r="D10319" t="str">
        <f>TEST_DATA!D10319</f>
        <v>NIL</v>
      </c>
      <c r="E10319">
        <f>TEST_DATA!E10319</f>
        <v>2866</v>
      </c>
    </row>
    <row r="10320" spans="1:5" x14ac:dyDescent="0.55000000000000004">
      <c r="A10320" t="str">
        <f>TEST_DATA!A10320</f>
        <v>27AAAAA10320Z5</v>
      </c>
      <c r="B10320" t="str">
        <f>TEST_DATA!B10320</f>
        <v>Aug-2017</v>
      </c>
      <c r="C10320">
        <f>TEST_DATA!C10320</f>
        <v>44469</v>
      </c>
      <c r="D10320" t="str">
        <f>TEST_DATA!D10320</f>
        <v>NON-NIL</v>
      </c>
      <c r="E10320">
        <f>TEST_DATA!E10320</f>
        <v>2118</v>
      </c>
    </row>
    <row r="10321" spans="1:5" x14ac:dyDescent="0.55000000000000004">
      <c r="A10321" t="str">
        <f>TEST_DATA!A10321</f>
        <v>27AAAAA10321Z5</v>
      </c>
      <c r="B10321" t="str">
        <f>TEST_DATA!B10321</f>
        <v>Nov-2017</v>
      </c>
      <c r="C10321">
        <f>TEST_DATA!C10321</f>
        <v>43030</v>
      </c>
      <c r="D10321" t="str">
        <f>TEST_DATA!D10321</f>
        <v>NON-NIL</v>
      </c>
      <c r="E10321">
        <f>TEST_DATA!E10321</f>
        <v>2164</v>
      </c>
    </row>
    <row r="10322" spans="1:5" x14ac:dyDescent="0.55000000000000004">
      <c r="A10322" t="str">
        <f>TEST_DATA!A10322</f>
        <v>27AAAAA10322Z5</v>
      </c>
      <c r="B10322" t="str">
        <f>TEST_DATA!B10322</f>
        <v>Mar-2023</v>
      </c>
      <c r="C10322">
        <f>TEST_DATA!C10322</f>
        <v>43975</v>
      </c>
      <c r="D10322" t="str">
        <f>TEST_DATA!D10322</f>
        <v>NIL</v>
      </c>
      <c r="E10322">
        <f>TEST_DATA!E10322</f>
        <v>2320</v>
      </c>
    </row>
    <row r="10323" spans="1:5" x14ac:dyDescent="0.55000000000000004">
      <c r="A10323" t="str">
        <f>TEST_DATA!A10323</f>
        <v>27AAAAA10323Z5</v>
      </c>
      <c r="B10323" t="str">
        <f>TEST_DATA!B10323</f>
        <v>Feb-2018</v>
      </c>
      <c r="C10323">
        <f>TEST_DATA!C10323</f>
        <v>43031</v>
      </c>
      <c r="D10323" t="str">
        <f>TEST_DATA!D10323</f>
        <v>NON-NIL</v>
      </c>
      <c r="E10323">
        <f>TEST_DATA!E10323</f>
        <v>1217</v>
      </c>
    </row>
    <row r="10324" spans="1:5" x14ac:dyDescent="0.55000000000000004">
      <c r="A10324" t="str">
        <f>TEST_DATA!A10324</f>
        <v>27AAAAA10324Z5</v>
      </c>
      <c r="B10324" t="str">
        <f>TEST_DATA!B10324</f>
        <v>Jun-2019</v>
      </c>
      <c r="C10324">
        <f>TEST_DATA!C10324</f>
        <v>44645</v>
      </c>
      <c r="D10324" t="str">
        <f>TEST_DATA!D10324</f>
        <v>NON-NIL</v>
      </c>
      <c r="E10324">
        <f>TEST_DATA!E10324</f>
        <v>890</v>
      </c>
    </row>
    <row r="10325" spans="1:5" x14ac:dyDescent="0.55000000000000004">
      <c r="A10325" t="str">
        <f>TEST_DATA!A10325</f>
        <v>27AAAAA10325Z5</v>
      </c>
      <c r="B10325" t="str">
        <f>TEST_DATA!B10325</f>
        <v>Jun-2019</v>
      </c>
      <c r="C10325">
        <f>TEST_DATA!C10325</f>
        <v>44936</v>
      </c>
      <c r="D10325" t="str">
        <f>TEST_DATA!D10325</f>
        <v>NON-NIL</v>
      </c>
      <c r="E10325">
        <f>TEST_DATA!E10325</f>
        <v>1988</v>
      </c>
    </row>
    <row r="10326" spans="1:5" x14ac:dyDescent="0.55000000000000004">
      <c r="A10326" t="str">
        <f>TEST_DATA!A10326</f>
        <v>27AAAAA10326Z5</v>
      </c>
      <c r="B10326" t="str">
        <f>TEST_DATA!B10326</f>
        <v>Apr-2020</v>
      </c>
      <c r="C10326">
        <f>TEST_DATA!C10326</f>
        <v>44746</v>
      </c>
      <c r="D10326" t="str">
        <f>TEST_DATA!D10326</f>
        <v>NIL</v>
      </c>
      <c r="E10326">
        <f>TEST_DATA!E10326</f>
        <v>2403</v>
      </c>
    </row>
    <row r="10327" spans="1:5" x14ac:dyDescent="0.55000000000000004">
      <c r="A10327" t="str">
        <f>TEST_DATA!A10327</f>
        <v>27AAAAA10327Z5</v>
      </c>
      <c r="B10327" t="str">
        <f>TEST_DATA!B10327</f>
        <v>Apr-2021</v>
      </c>
      <c r="C10327">
        <f>TEST_DATA!C10327</f>
        <v>45618</v>
      </c>
      <c r="D10327" t="str">
        <f>TEST_DATA!D10327</f>
        <v>NIL</v>
      </c>
      <c r="E10327">
        <f>TEST_DATA!E10327</f>
        <v>1109</v>
      </c>
    </row>
    <row r="10328" spans="1:5" x14ac:dyDescent="0.55000000000000004">
      <c r="A10328" t="str">
        <f>TEST_DATA!A10328</f>
        <v>27AAAAA10328Z5</v>
      </c>
      <c r="B10328" t="str">
        <f>TEST_DATA!B10328</f>
        <v>Dec-2022</v>
      </c>
      <c r="C10328">
        <f>TEST_DATA!C10328</f>
        <v>44815</v>
      </c>
      <c r="D10328" t="str">
        <f>TEST_DATA!D10328</f>
        <v>NON-NIL</v>
      </c>
      <c r="E10328">
        <f>TEST_DATA!E10328</f>
        <v>969</v>
      </c>
    </row>
    <row r="10329" spans="1:5" x14ac:dyDescent="0.55000000000000004">
      <c r="A10329" t="str">
        <f>TEST_DATA!A10329</f>
        <v>27AAAAA10329Z5</v>
      </c>
      <c r="B10329" t="str">
        <f>TEST_DATA!B10329</f>
        <v>Jun-2019</v>
      </c>
      <c r="C10329">
        <f>TEST_DATA!C10329</f>
        <v>43895</v>
      </c>
      <c r="D10329" t="str">
        <f>TEST_DATA!D10329</f>
        <v>NON-NIL</v>
      </c>
      <c r="E10329">
        <f>TEST_DATA!E10329</f>
        <v>346</v>
      </c>
    </row>
    <row r="10330" spans="1:5" x14ac:dyDescent="0.55000000000000004">
      <c r="A10330" t="str">
        <f>TEST_DATA!A10330</f>
        <v>27AAAAA10330Z5</v>
      </c>
      <c r="B10330" t="str">
        <f>TEST_DATA!B10330</f>
        <v>Dec-2019</v>
      </c>
      <c r="C10330">
        <f>TEST_DATA!C10330</f>
        <v>44108</v>
      </c>
      <c r="D10330" t="str">
        <f>TEST_DATA!D10330</f>
        <v>NON-NIL</v>
      </c>
      <c r="E10330">
        <f>TEST_DATA!E10330</f>
        <v>595</v>
      </c>
    </row>
    <row r="10331" spans="1:5" x14ac:dyDescent="0.55000000000000004">
      <c r="A10331" t="str">
        <f>TEST_DATA!A10331</f>
        <v>27AAAAA10331Z5</v>
      </c>
      <c r="B10331" t="str">
        <f>TEST_DATA!B10331</f>
        <v>Mar-2023</v>
      </c>
      <c r="C10331">
        <f>TEST_DATA!C10331</f>
        <v>44235</v>
      </c>
      <c r="D10331" t="str">
        <f>TEST_DATA!D10331</f>
        <v>NIL</v>
      </c>
      <c r="E10331">
        <f>TEST_DATA!E10331</f>
        <v>1788</v>
      </c>
    </row>
    <row r="10332" spans="1:5" x14ac:dyDescent="0.55000000000000004">
      <c r="A10332" t="str">
        <f>TEST_DATA!A10332</f>
        <v>27AAAAA10332Z5</v>
      </c>
      <c r="B10332" t="str">
        <f>TEST_DATA!B10332</f>
        <v>Mar-2018</v>
      </c>
      <c r="C10332">
        <f>TEST_DATA!C10332</f>
        <v>43186</v>
      </c>
      <c r="D10332" t="str">
        <f>TEST_DATA!D10332</f>
        <v>NON-NIL</v>
      </c>
      <c r="E10332">
        <f>TEST_DATA!E10332</f>
        <v>403</v>
      </c>
    </row>
    <row r="10333" spans="1:5" x14ac:dyDescent="0.55000000000000004">
      <c r="A10333" t="str">
        <f>TEST_DATA!A10333</f>
        <v>27AAAAA10333Z5</v>
      </c>
      <c r="B10333" t="str">
        <f>TEST_DATA!B10333</f>
        <v>Jun-2019</v>
      </c>
      <c r="C10333">
        <f>TEST_DATA!C10333</f>
        <v>44872</v>
      </c>
      <c r="D10333" t="str">
        <f>TEST_DATA!D10333</f>
        <v>NIL</v>
      </c>
      <c r="E10333">
        <f>TEST_DATA!E10333</f>
        <v>1484</v>
      </c>
    </row>
    <row r="10334" spans="1:5" x14ac:dyDescent="0.55000000000000004">
      <c r="A10334" t="str">
        <f>TEST_DATA!A10334</f>
        <v>27AAAAA10334Z5</v>
      </c>
      <c r="B10334" t="str">
        <f>TEST_DATA!B10334</f>
        <v>Jun-2018</v>
      </c>
      <c r="C10334">
        <f>TEST_DATA!C10334</f>
        <v>44241</v>
      </c>
      <c r="D10334" t="str">
        <f>TEST_DATA!D10334</f>
        <v>NON-NIL</v>
      </c>
      <c r="E10334">
        <f>TEST_DATA!E10334</f>
        <v>2808</v>
      </c>
    </row>
    <row r="10335" spans="1:5" x14ac:dyDescent="0.55000000000000004">
      <c r="A10335" t="str">
        <f>TEST_DATA!A10335</f>
        <v>27AAAAA10335Z5</v>
      </c>
      <c r="B10335" t="str">
        <f>TEST_DATA!B10335</f>
        <v>Aug-2018</v>
      </c>
      <c r="C10335">
        <f>TEST_DATA!C10335</f>
        <v>44502</v>
      </c>
      <c r="D10335" t="str">
        <f>TEST_DATA!D10335</f>
        <v>NIL</v>
      </c>
      <c r="E10335">
        <f>TEST_DATA!E10335</f>
        <v>1378</v>
      </c>
    </row>
    <row r="10336" spans="1:5" x14ac:dyDescent="0.55000000000000004">
      <c r="A10336" t="str">
        <f>TEST_DATA!A10336</f>
        <v>27AAAAA10336Z5</v>
      </c>
      <c r="B10336" t="str">
        <f>TEST_DATA!B10336</f>
        <v>Dec-2024</v>
      </c>
      <c r="C10336">
        <f>TEST_DATA!C10336</f>
        <v>44852</v>
      </c>
      <c r="D10336" t="str">
        <f>TEST_DATA!D10336</f>
        <v>NIL</v>
      </c>
      <c r="E10336">
        <f>TEST_DATA!E10336</f>
        <v>998</v>
      </c>
    </row>
    <row r="10337" spans="1:5" x14ac:dyDescent="0.55000000000000004">
      <c r="A10337" t="str">
        <f>TEST_DATA!A10337</f>
        <v>27AAAAA10337Z5</v>
      </c>
      <c r="B10337" t="str">
        <f>TEST_DATA!B10337</f>
        <v>Aug-2017</v>
      </c>
      <c r="C10337">
        <f>TEST_DATA!C10337</f>
        <v>43968</v>
      </c>
      <c r="D10337" t="str">
        <f>TEST_DATA!D10337</f>
        <v>NIL</v>
      </c>
      <c r="E10337">
        <f>TEST_DATA!E10337</f>
        <v>2355</v>
      </c>
    </row>
    <row r="10338" spans="1:5" x14ac:dyDescent="0.55000000000000004">
      <c r="A10338" t="str">
        <f>TEST_DATA!A10338</f>
        <v>27AAAAA10338Z5</v>
      </c>
      <c r="B10338" t="str">
        <f>TEST_DATA!B10338</f>
        <v>Aug-2018</v>
      </c>
      <c r="C10338">
        <f>TEST_DATA!C10338</f>
        <v>44407</v>
      </c>
      <c r="D10338" t="str">
        <f>TEST_DATA!D10338</f>
        <v>NON-NIL</v>
      </c>
      <c r="E10338">
        <f>TEST_DATA!E10338</f>
        <v>1242</v>
      </c>
    </row>
    <row r="10339" spans="1:5" x14ac:dyDescent="0.55000000000000004">
      <c r="A10339" t="str">
        <f>TEST_DATA!A10339</f>
        <v>27AAAAA10339Z5</v>
      </c>
      <c r="B10339" t="str">
        <f>TEST_DATA!B10339</f>
        <v>Mar-2018</v>
      </c>
      <c r="C10339">
        <f>TEST_DATA!C10339</f>
        <v>44436</v>
      </c>
      <c r="D10339" t="str">
        <f>TEST_DATA!D10339</f>
        <v>NON-NIL</v>
      </c>
      <c r="E10339">
        <f>TEST_DATA!E10339</f>
        <v>1587</v>
      </c>
    </row>
    <row r="10340" spans="1:5" x14ac:dyDescent="0.55000000000000004">
      <c r="A10340" t="str">
        <f>TEST_DATA!A10340</f>
        <v>27AAAAA10340Z5</v>
      </c>
      <c r="B10340" t="str">
        <f>TEST_DATA!B10340</f>
        <v>Oct-2017</v>
      </c>
      <c r="C10340">
        <f>TEST_DATA!C10340</f>
        <v>44299</v>
      </c>
      <c r="D10340" t="str">
        <f>TEST_DATA!D10340</f>
        <v>NON-NIL</v>
      </c>
      <c r="E10340">
        <f>TEST_DATA!E10340</f>
        <v>61</v>
      </c>
    </row>
    <row r="10341" spans="1:5" x14ac:dyDescent="0.55000000000000004">
      <c r="A10341" t="str">
        <f>TEST_DATA!A10341</f>
        <v>27AAAAA10341Z5</v>
      </c>
      <c r="B10341" t="str">
        <f>TEST_DATA!B10341</f>
        <v>Dec-2022</v>
      </c>
      <c r="C10341">
        <f>TEST_DATA!C10341</f>
        <v>44670</v>
      </c>
      <c r="D10341" t="str">
        <f>TEST_DATA!D10341</f>
        <v>NON-NIL</v>
      </c>
      <c r="E10341">
        <f>TEST_DATA!E10341</f>
        <v>2396</v>
      </c>
    </row>
    <row r="10342" spans="1:5" x14ac:dyDescent="0.55000000000000004">
      <c r="A10342" t="str">
        <f>TEST_DATA!A10342</f>
        <v>27AAAAA10342Z5</v>
      </c>
      <c r="B10342" t="str">
        <f>TEST_DATA!B10342</f>
        <v>Jan-2021</v>
      </c>
      <c r="C10342">
        <f>TEST_DATA!C10342</f>
        <v>43937</v>
      </c>
      <c r="D10342" t="str">
        <f>TEST_DATA!D10342</f>
        <v>NON-NIL</v>
      </c>
      <c r="E10342">
        <f>TEST_DATA!E10342</f>
        <v>124</v>
      </c>
    </row>
    <row r="10343" spans="1:5" x14ac:dyDescent="0.55000000000000004">
      <c r="A10343" t="str">
        <f>TEST_DATA!A10343</f>
        <v>27AAAAA10343Z5</v>
      </c>
      <c r="B10343" t="str">
        <f>TEST_DATA!B10343</f>
        <v>Jun-2019</v>
      </c>
      <c r="C10343">
        <f>TEST_DATA!C10343</f>
        <v>45809</v>
      </c>
      <c r="D10343" t="str">
        <f>TEST_DATA!D10343</f>
        <v>NIL</v>
      </c>
      <c r="E10343">
        <f>TEST_DATA!E10343</f>
        <v>2680</v>
      </c>
    </row>
    <row r="10344" spans="1:5" x14ac:dyDescent="0.55000000000000004">
      <c r="A10344" t="str">
        <f>TEST_DATA!A10344</f>
        <v>27AAAAA10344Z5</v>
      </c>
      <c r="B10344" t="str">
        <f>TEST_DATA!B10344</f>
        <v>Mar-2018</v>
      </c>
      <c r="C10344">
        <f>TEST_DATA!C10344</f>
        <v>43507</v>
      </c>
      <c r="D10344" t="str">
        <f>TEST_DATA!D10344</f>
        <v>NON-NIL</v>
      </c>
      <c r="E10344">
        <f>TEST_DATA!E10344</f>
        <v>2915</v>
      </c>
    </row>
    <row r="10345" spans="1:5" x14ac:dyDescent="0.55000000000000004">
      <c r="A10345" t="str">
        <f>TEST_DATA!A10345</f>
        <v>27AAAAA10345Z5</v>
      </c>
      <c r="B10345" t="str">
        <f>TEST_DATA!B10345</f>
        <v>Apr-2018</v>
      </c>
      <c r="C10345">
        <f>TEST_DATA!C10345</f>
        <v>43001</v>
      </c>
      <c r="D10345" t="str">
        <f>TEST_DATA!D10345</f>
        <v>NIL</v>
      </c>
      <c r="E10345">
        <f>TEST_DATA!E10345</f>
        <v>1361</v>
      </c>
    </row>
    <row r="10346" spans="1:5" x14ac:dyDescent="0.55000000000000004">
      <c r="A10346" t="str">
        <f>TEST_DATA!A10346</f>
        <v>27AAAAA10346Z5</v>
      </c>
      <c r="B10346" t="str">
        <f>TEST_DATA!B10346</f>
        <v>Jul-2017</v>
      </c>
      <c r="C10346">
        <f>TEST_DATA!C10346</f>
        <v>43825</v>
      </c>
      <c r="D10346" t="str">
        <f>TEST_DATA!D10346</f>
        <v>NON-NIL</v>
      </c>
      <c r="E10346">
        <f>TEST_DATA!E10346</f>
        <v>2439</v>
      </c>
    </row>
    <row r="10347" spans="1:5" x14ac:dyDescent="0.55000000000000004">
      <c r="A10347" t="str">
        <f>TEST_DATA!A10347</f>
        <v>27AAAAA10347Z5</v>
      </c>
      <c r="B10347" t="str">
        <f>TEST_DATA!B10347</f>
        <v>Jun-2018</v>
      </c>
      <c r="C10347">
        <f>TEST_DATA!C10347</f>
        <v>43626</v>
      </c>
      <c r="D10347" t="str">
        <f>TEST_DATA!D10347</f>
        <v>NON-NIL</v>
      </c>
      <c r="E10347">
        <f>TEST_DATA!E10347</f>
        <v>2463</v>
      </c>
    </row>
    <row r="10348" spans="1:5" x14ac:dyDescent="0.55000000000000004">
      <c r="A10348" t="str">
        <f>TEST_DATA!A10348</f>
        <v>27AAAAA10348Z5</v>
      </c>
      <c r="B10348" t="str">
        <f>TEST_DATA!B10348</f>
        <v>Jul-2020</v>
      </c>
      <c r="C10348">
        <f>TEST_DATA!C10348</f>
        <v>44261</v>
      </c>
      <c r="D10348" t="str">
        <f>TEST_DATA!D10348</f>
        <v>NON-NIL</v>
      </c>
      <c r="E10348">
        <f>TEST_DATA!E10348</f>
        <v>1362</v>
      </c>
    </row>
    <row r="10349" spans="1:5" x14ac:dyDescent="0.55000000000000004">
      <c r="A10349" t="str">
        <f>TEST_DATA!A10349</f>
        <v>27AAAAA10349Z5</v>
      </c>
      <c r="B10349" t="str">
        <f>TEST_DATA!B10349</f>
        <v>Jun-2019</v>
      </c>
      <c r="C10349">
        <f>TEST_DATA!C10349</f>
        <v>45558</v>
      </c>
      <c r="D10349" t="str">
        <f>TEST_DATA!D10349</f>
        <v>NIL</v>
      </c>
      <c r="E10349">
        <f>TEST_DATA!E10349</f>
        <v>253</v>
      </c>
    </row>
    <row r="10350" spans="1:5" x14ac:dyDescent="0.55000000000000004">
      <c r="A10350" t="str">
        <f>TEST_DATA!A10350</f>
        <v>27AAAAA10350Z5</v>
      </c>
      <c r="B10350" t="str">
        <f>TEST_DATA!B10350</f>
        <v>Jun-2019</v>
      </c>
      <c r="C10350">
        <f>TEST_DATA!C10350</f>
        <v>44015</v>
      </c>
      <c r="D10350" t="str">
        <f>TEST_DATA!D10350</f>
        <v>NIL</v>
      </c>
      <c r="E10350">
        <f>TEST_DATA!E10350</f>
        <v>1829</v>
      </c>
    </row>
    <row r="10351" spans="1:5" x14ac:dyDescent="0.55000000000000004">
      <c r="A10351" t="str">
        <f>TEST_DATA!A10351</f>
        <v>27AAAAA10351Z5</v>
      </c>
      <c r="B10351" t="str">
        <f>TEST_DATA!B10351</f>
        <v>Sep-2018</v>
      </c>
      <c r="C10351">
        <f>TEST_DATA!C10351</f>
        <v>44506</v>
      </c>
      <c r="D10351" t="str">
        <f>TEST_DATA!D10351</f>
        <v>NON-NIL</v>
      </c>
      <c r="E10351">
        <f>TEST_DATA!E10351</f>
        <v>1228</v>
      </c>
    </row>
    <row r="10352" spans="1:5" x14ac:dyDescent="0.55000000000000004">
      <c r="A10352" t="str">
        <f>TEST_DATA!A10352</f>
        <v>27AAAAA10352Z5</v>
      </c>
      <c r="B10352" t="str">
        <f>TEST_DATA!B10352</f>
        <v>Sep-2018</v>
      </c>
      <c r="C10352">
        <f>TEST_DATA!C10352</f>
        <v>44489</v>
      </c>
      <c r="D10352" t="str">
        <f>TEST_DATA!D10352</f>
        <v>NON-NIL</v>
      </c>
      <c r="E10352">
        <f>TEST_DATA!E10352</f>
        <v>2570</v>
      </c>
    </row>
    <row r="10353" spans="1:5" x14ac:dyDescent="0.55000000000000004">
      <c r="A10353" t="str">
        <f>TEST_DATA!A10353</f>
        <v>27AAAAA10353Z5</v>
      </c>
      <c r="B10353" t="str">
        <f>TEST_DATA!B10353</f>
        <v>Jan-2019</v>
      </c>
      <c r="C10353">
        <f>TEST_DATA!C10353</f>
        <v>45485</v>
      </c>
      <c r="D10353" t="str">
        <f>TEST_DATA!D10353</f>
        <v>NON-NIL</v>
      </c>
      <c r="E10353">
        <f>TEST_DATA!E10353</f>
        <v>1524</v>
      </c>
    </row>
    <row r="10354" spans="1:5" x14ac:dyDescent="0.55000000000000004">
      <c r="A10354" t="str">
        <f>TEST_DATA!A10354</f>
        <v>27AAAAA10354Z5</v>
      </c>
      <c r="B10354" t="str">
        <f>TEST_DATA!B10354</f>
        <v>Mar-2020</v>
      </c>
      <c r="C10354">
        <f>TEST_DATA!C10354</f>
        <v>44199</v>
      </c>
      <c r="D10354" t="str">
        <f>TEST_DATA!D10354</f>
        <v>NON-NIL</v>
      </c>
      <c r="E10354">
        <f>TEST_DATA!E10354</f>
        <v>1162</v>
      </c>
    </row>
    <row r="10355" spans="1:5" x14ac:dyDescent="0.55000000000000004">
      <c r="A10355" t="str">
        <f>TEST_DATA!A10355</f>
        <v>27AAAAA10355Z5</v>
      </c>
      <c r="B10355" t="str">
        <f>TEST_DATA!B10355</f>
        <v>Dec-2024</v>
      </c>
      <c r="C10355">
        <f>TEST_DATA!C10355</f>
        <v>43947</v>
      </c>
      <c r="D10355" t="str">
        <f>TEST_DATA!D10355</f>
        <v>NIL</v>
      </c>
      <c r="E10355">
        <f>TEST_DATA!E10355</f>
        <v>888</v>
      </c>
    </row>
    <row r="10356" spans="1:5" x14ac:dyDescent="0.55000000000000004">
      <c r="A10356" t="str">
        <f>TEST_DATA!A10356</f>
        <v>27AAAAA10356Z5</v>
      </c>
      <c r="B10356" t="str">
        <f>TEST_DATA!B10356</f>
        <v>Jun-2019</v>
      </c>
      <c r="C10356">
        <f>TEST_DATA!C10356</f>
        <v>45298</v>
      </c>
      <c r="D10356" t="str">
        <f>TEST_DATA!D10356</f>
        <v>NIL</v>
      </c>
      <c r="E10356">
        <f>TEST_DATA!E10356</f>
        <v>1181</v>
      </c>
    </row>
    <row r="10357" spans="1:5" x14ac:dyDescent="0.55000000000000004">
      <c r="A10357" t="str">
        <f>TEST_DATA!A10357</f>
        <v>27AAAAA10357Z5</v>
      </c>
      <c r="B10357" t="str">
        <f>TEST_DATA!B10357</f>
        <v>Jan-2021</v>
      </c>
      <c r="C10357">
        <f>TEST_DATA!C10357</f>
        <v>44483</v>
      </c>
      <c r="D10357" t="str">
        <f>TEST_DATA!D10357</f>
        <v>NON-NIL</v>
      </c>
      <c r="E10357">
        <f>TEST_DATA!E10357</f>
        <v>2441</v>
      </c>
    </row>
    <row r="10358" spans="1:5" x14ac:dyDescent="0.55000000000000004">
      <c r="A10358" t="str">
        <f>TEST_DATA!A10358</f>
        <v>27AAAAA10358Z5</v>
      </c>
      <c r="B10358" t="str">
        <f>TEST_DATA!B10358</f>
        <v>Jan-2019</v>
      </c>
      <c r="C10358">
        <f>TEST_DATA!C10358</f>
        <v>43623</v>
      </c>
      <c r="D10358" t="str">
        <f>TEST_DATA!D10358</f>
        <v>NIL</v>
      </c>
      <c r="E10358">
        <f>TEST_DATA!E10358</f>
        <v>2021</v>
      </c>
    </row>
    <row r="10359" spans="1:5" x14ac:dyDescent="0.55000000000000004">
      <c r="A10359" t="str">
        <f>TEST_DATA!A10359</f>
        <v>27AAAAA10359Z5</v>
      </c>
      <c r="B10359" t="str">
        <f>TEST_DATA!B10359</f>
        <v>Aug-2017</v>
      </c>
      <c r="C10359">
        <f>TEST_DATA!C10359</f>
        <v>44372</v>
      </c>
      <c r="D10359" t="str">
        <f>TEST_DATA!D10359</f>
        <v>NON-NIL</v>
      </c>
      <c r="E10359">
        <f>TEST_DATA!E10359</f>
        <v>1355</v>
      </c>
    </row>
    <row r="10360" spans="1:5" x14ac:dyDescent="0.55000000000000004">
      <c r="A10360" t="str">
        <f>TEST_DATA!A10360</f>
        <v>27AAAAA10360Z5</v>
      </c>
      <c r="B10360" t="str">
        <f>TEST_DATA!B10360</f>
        <v>Dec-2024</v>
      </c>
      <c r="C10360">
        <f>TEST_DATA!C10360</f>
        <v>44957</v>
      </c>
      <c r="D10360" t="str">
        <f>TEST_DATA!D10360</f>
        <v>NON-NIL</v>
      </c>
      <c r="E10360">
        <f>TEST_DATA!E10360</f>
        <v>2242</v>
      </c>
    </row>
    <row r="10361" spans="1:5" x14ac:dyDescent="0.55000000000000004">
      <c r="A10361" t="str">
        <f>TEST_DATA!A10361</f>
        <v>27AAAAA10361Z5</v>
      </c>
      <c r="B10361" t="str">
        <f>TEST_DATA!B10361</f>
        <v>Dec-2022</v>
      </c>
      <c r="C10361">
        <f>TEST_DATA!C10361</f>
        <v>44737</v>
      </c>
      <c r="D10361" t="str">
        <f>TEST_DATA!D10361</f>
        <v>NON-NIL</v>
      </c>
      <c r="E10361">
        <f>TEST_DATA!E10361</f>
        <v>1891</v>
      </c>
    </row>
    <row r="10362" spans="1:5" x14ac:dyDescent="0.55000000000000004">
      <c r="A10362" t="str">
        <f>TEST_DATA!A10362</f>
        <v>27AAAAA10362Z5</v>
      </c>
      <c r="B10362" t="str">
        <f>TEST_DATA!B10362</f>
        <v>Dec-2024</v>
      </c>
      <c r="C10362">
        <f>TEST_DATA!C10362</f>
        <v>44552</v>
      </c>
      <c r="D10362" t="str">
        <f>TEST_DATA!D10362</f>
        <v>NIL</v>
      </c>
      <c r="E10362">
        <f>TEST_DATA!E10362</f>
        <v>1787</v>
      </c>
    </row>
    <row r="10363" spans="1:5" x14ac:dyDescent="0.55000000000000004">
      <c r="A10363" t="str">
        <f>TEST_DATA!A10363</f>
        <v>27AAAAA10363Z5</v>
      </c>
      <c r="B10363" t="str">
        <f>TEST_DATA!B10363</f>
        <v>Aug-2018</v>
      </c>
      <c r="C10363">
        <f>TEST_DATA!C10363</f>
        <v>43188</v>
      </c>
      <c r="D10363" t="str">
        <f>TEST_DATA!D10363</f>
        <v>NIL</v>
      </c>
      <c r="E10363">
        <f>TEST_DATA!E10363</f>
        <v>2776</v>
      </c>
    </row>
    <row r="10364" spans="1:5" x14ac:dyDescent="0.55000000000000004">
      <c r="A10364" t="str">
        <f>TEST_DATA!A10364</f>
        <v>27AAAAA10364Z5</v>
      </c>
      <c r="B10364" t="str">
        <f>TEST_DATA!B10364</f>
        <v>Mar-2020</v>
      </c>
      <c r="C10364">
        <f>TEST_DATA!C10364</f>
        <v>44529</v>
      </c>
      <c r="D10364" t="str">
        <f>TEST_DATA!D10364</f>
        <v>NON-NIL</v>
      </c>
      <c r="E10364">
        <f>TEST_DATA!E10364</f>
        <v>2699</v>
      </c>
    </row>
    <row r="10365" spans="1:5" x14ac:dyDescent="0.55000000000000004">
      <c r="A10365" t="str">
        <f>TEST_DATA!A10365</f>
        <v>27AAAAA10365Z5</v>
      </c>
      <c r="B10365" t="str">
        <f>TEST_DATA!B10365</f>
        <v>Mar-2023</v>
      </c>
      <c r="C10365">
        <f>TEST_DATA!C10365</f>
        <v>45467</v>
      </c>
      <c r="D10365" t="str">
        <f>TEST_DATA!D10365</f>
        <v>NIL</v>
      </c>
      <c r="E10365">
        <f>TEST_DATA!E10365</f>
        <v>630</v>
      </c>
    </row>
    <row r="10366" spans="1:5" x14ac:dyDescent="0.55000000000000004">
      <c r="A10366" t="str">
        <f>TEST_DATA!A10366</f>
        <v>27AAAAA10366Z5</v>
      </c>
      <c r="B10366" t="str">
        <f>TEST_DATA!B10366</f>
        <v>May-2018</v>
      </c>
      <c r="C10366">
        <f>TEST_DATA!C10366</f>
        <v>43662</v>
      </c>
      <c r="D10366" t="str">
        <f>TEST_DATA!D10366</f>
        <v>NIL</v>
      </c>
      <c r="E10366">
        <f>TEST_DATA!E10366</f>
        <v>1407</v>
      </c>
    </row>
    <row r="10367" spans="1:5" x14ac:dyDescent="0.55000000000000004">
      <c r="A10367" t="str">
        <f>TEST_DATA!A10367</f>
        <v>27AAAAA10367Z5</v>
      </c>
      <c r="B10367" t="str">
        <f>TEST_DATA!B10367</f>
        <v>Dec-2024</v>
      </c>
      <c r="C10367">
        <f>TEST_DATA!C10367</f>
        <v>43588</v>
      </c>
      <c r="D10367" t="str">
        <f>TEST_DATA!D10367</f>
        <v>NIL</v>
      </c>
      <c r="E10367">
        <f>TEST_DATA!E10367</f>
        <v>1844</v>
      </c>
    </row>
    <row r="10368" spans="1:5" x14ac:dyDescent="0.55000000000000004">
      <c r="A10368" t="str">
        <f>TEST_DATA!A10368</f>
        <v>27AAAAA10368Z5</v>
      </c>
      <c r="B10368" t="str">
        <f>TEST_DATA!B10368</f>
        <v>Aug-2018</v>
      </c>
      <c r="C10368">
        <f>TEST_DATA!C10368</f>
        <v>43831</v>
      </c>
      <c r="D10368" t="str">
        <f>TEST_DATA!D10368</f>
        <v>NON-NIL</v>
      </c>
      <c r="E10368">
        <f>TEST_DATA!E10368</f>
        <v>2556</v>
      </c>
    </row>
    <row r="10369" spans="1:5" x14ac:dyDescent="0.55000000000000004">
      <c r="A10369" t="str">
        <f>TEST_DATA!A10369</f>
        <v>27AAAAA10369Z5</v>
      </c>
      <c r="B10369" t="str">
        <f>TEST_DATA!B10369</f>
        <v>Jan-2021</v>
      </c>
      <c r="C10369">
        <f>TEST_DATA!C10369</f>
        <v>43551</v>
      </c>
      <c r="D10369" t="str">
        <f>TEST_DATA!D10369</f>
        <v>NON-NIL</v>
      </c>
      <c r="E10369">
        <f>TEST_DATA!E10369</f>
        <v>1233</v>
      </c>
    </row>
    <row r="10370" spans="1:5" x14ac:dyDescent="0.55000000000000004">
      <c r="A10370" t="str">
        <f>TEST_DATA!A10370</f>
        <v>27AAAAA10370Z5</v>
      </c>
      <c r="B10370" t="str">
        <f>TEST_DATA!B10370</f>
        <v>Oct-2017</v>
      </c>
      <c r="C10370">
        <f>TEST_DATA!C10370</f>
        <v>44519</v>
      </c>
      <c r="D10370" t="str">
        <f>TEST_DATA!D10370</f>
        <v>NIL</v>
      </c>
      <c r="E10370">
        <f>TEST_DATA!E10370</f>
        <v>626</v>
      </c>
    </row>
    <row r="10371" spans="1:5" x14ac:dyDescent="0.55000000000000004">
      <c r="A10371" t="str">
        <f>TEST_DATA!A10371</f>
        <v>27AAAAA10371Z5</v>
      </c>
      <c r="B10371" t="str">
        <f>TEST_DATA!B10371</f>
        <v>Jan-2019</v>
      </c>
      <c r="C10371">
        <f>TEST_DATA!C10371</f>
        <v>44070</v>
      </c>
      <c r="D10371" t="str">
        <f>TEST_DATA!D10371</f>
        <v>NON-NIL</v>
      </c>
      <c r="E10371">
        <f>TEST_DATA!E10371</f>
        <v>1627</v>
      </c>
    </row>
    <row r="10372" spans="1:5" x14ac:dyDescent="0.55000000000000004">
      <c r="A10372" t="str">
        <f>TEST_DATA!A10372</f>
        <v>27AAAAA10372Z5</v>
      </c>
      <c r="B10372" t="str">
        <f>TEST_DATA!B10372</f>
        <v>Jun-2018</v>
      </c>
      <c r="C10372">
        <f>TEST_DATA!C10372</f>
        <v>43321</v>
      </c>
      <c r="D10372" t="str">
        <f>TEST_DATA!D10372</f>
        <v>NIL</v>
      </c>
      <c r="E10372">
        <f>TEST_DATA!E10372</f>
        <v>1159</v>
      </c>
    </row>
    <row r="10373" spans="1:5" x14ac:dyDescent="0.55000000000000004">
      <c r="A10373" t="str">
        <f>TEST_DATA!A10373</f>
        <v>27AAAAA10373Z5</v>
      </c>
      <c r="B10373" t="str">
        <f>TEST_DATA!B10373</f>
        <v>Dec-2022</v>
      </c>
      <c r="C10373">
        <f>TEST_DATA!C10373</f>
        <v>44972</v>
      </c>
      <c r="D10373" t="str">
        <f>TEST_DATA!D10373</f>
        <v>NIL</v>
      </c>
      <c r="E10373">
        <f>TEST_DATA!E10373</f>
        <v>2840</v>
      </c>
    </row>
    <row r="10374" spans="1:5" x14ac:dyDescent="0.55000000000000004">
      <c r="A10374" t="str">
        <f>TEST_DATA!A10374</f>
        <v>27AAAAA10374Z5</v>
      </c>
      <c r="B10374" t="str">
        <f>TEST_DATA!B10374</f>
        <v>May-2020</v>
      </c>
      <c r="C10374">
        <f>TEST_DATA!C10374</f>
        <v>44244</v>
      </c>
      <c r="D10374" t="str">
        <f>TEST_DATA!D10374</f>
        <v>NON-NIL</v>
      </c>
      <c r="E10374">
        <f>TEST_DATA!E10374</f>
        <v>422</v>
      </c>
    </row>
    <row r="10375" spans="1:5" x14ac:dyDescent="0.55000000000000004">
      <c r="A10375" t="str">
        <f>TEST_DATA!A10375</f>
        <v>27AAAAA10375Z5</v>
      </c>
      <c r="B10375" t="str">
        <f>TEST_DATA!B10375</f>
        <v>Jan-2019</v>
      </c>
      <c r="C10375">
        <f>TEST_DATA!C10375</f>
        <v>43668</v>
      </c>
      <c r="D10375" t="str">
        <f>TEST_DATA!D10375</f>
        <v>NIL</v>
      </c>
      <c r="E10375">
        <f>TEST_DATA!E10375</f>
        <v>1388</v>
      </c>
    </row>
    <row r="10376" spans="1:5" x14ac:dyDescent="0.55000000000000004">
      <c r="A10376" t="str">
        <f>TEST_DATA!A10376</f>
        <v>27AAAAA10376Z5</v>
      </c>
      <c r="B10376" t="str">
        <f>TEST_DATA!B10376</f>
        <v>Apr-2018</v>
      </c>
      <c r="C10376">
        <f>TEST_DATA!C10376</f>
        <v>43663</v>
      </c>
      <c r="D10376" t="str">
        <f>TEST_DATA!D10376</f>
        <v>NON-NIL</v>
      </c>
      <c r="E10376">
        <f>TEST_DATA!E10376</f>
        <v>2276</v>
      </c>
    </row>
    <row r="10377" spans="1:5" x14ac:dyDescent="0.55000000000000004">
      <c r="A10377" t="str">
        <f>TEST_DATA!A10377</f>
        <v>27AAAAA10377Z5</v>
      </c>
      <c r="B10377" t="str">
        <f>TEST_DATA!B10377</f>
        <v>Feb-2018</v>
      </c>
      <c r="C10377">
        <f>TEST_DATA!C10377</f>
        <v>44535</v>
      </c>
      <c r="D10377" t="str">
        <f>TEST_DATA!D10377</f>
        <v>NON-NIL</v>
      </c>
      <c r="E10377">
        <f>TEST_DATA!E10377</f>
        <v>1446</v>
      </c>
    </row>
    <row r="10378" spans="1:5" x14ac:dyDescent="0.55000000000000004">
      <c r="A10378" t="str">
        <f>TEST_DATA!A10378</f>
        <v>27AAAAA10378Z5</v>
      </c>
      <c r="B10378" t="str">
        <f>TEST_DATA!B10378</f>
        <v>Jun-2018</v>
      </c>
      <c r="C10378">
        <f>TEST_DATA!C10378</f>
        <v>44191</v>
      </c>
      <c r="D10378" t="str">
        <f>TEST_DATA!D10378</f>
        <v>NON-NIL</v>
      </c>
      <c r="E10378">
        <f>TEST_DATA!E10378</f>
        <v>1489</v>
      </c>
    </row>
    <row r="10379" spans="1:5" x14ac:dyDescent="0.55000000000000004">
      <c r="A10379" t="str">
        <f>TEST_DATA!A10379</f>
        <v>27AAAAA10379Z5</v>
      </c>
      <c r="B10379" t="str">
        <f>TEST_DATA!B10379</f>
        <v>Aug-2018</v>
      </c>
      <c r="C10379">
        <f>TEST_DATA!C10379</f>
        <v>44558</v>
      </c>
      <c r="D10379" t="str">
        <f>TEST_DATA!D10379</f>
        <v>NIL</v>
      </c>
      <c r="E10379">
        <f>TEST_DATA!E10379</f>
        <v>503</v>
      </c>
    </row>
    <row r="10380" spans="1:5" x14ac:dyDescent="0.55000000000000004">
      <c r="A10380" t="str">
        <f>TEST_DATA!A10380</f>
        <v>27AAAAA10380Z5</v>
      </c>
      <c r="B10380" t="str">
        <f>TEST_DATA!B10380</f>
        <v>Aug-2018</v>
      </c>
      <c r="C10380">
        <f>TEST_DATA!C10380</f>
        <v>44060</v>
      </c>
      <c r="D10380" t="str">
        <f>TEST_DATA!D10380</f>
        <v>NIL</v>
      </c>
      <c r="E10380">
        <f>TEST_DATA!E10380</f>
        <v>833</v>
      </c>
    </row>
    <row r="10381" spans="1:5" x14ac:dyDescent="0.55000000000000004">
      <c r="A10381" t="str">
        <f>TEST_DATA!A10381</f>
        <v>27AAAAA10381Z5</v>
      </c>
      <c r="B10381" t="str">
        <f>TEST_DATA!B10381</f>
        <v>Jun-2018</v>
      </c>
      <c r="C10381">
        <f>TEST_DATA!C10381</f>
        <v>44543</v>
      </c>
      <c r="D10381" t="str">
        <f>TEST_DATA!D10381</f>
        <v>NON-NIL</v>
      </c>
      <c r="E10381">
        <f>TEST_DATA!E10381</f>
        <v>2864</v>
      </c>
    </row>
    <row r="10382" spans="1:5" x14ac:dyDescent="0.55000000000000004">
      <c r="A10382" t="str">
        <f>TEST_DATA!A10382</f>
        <v>27AAAAA10382Z5</v>
      </c>
      <c r="B10382" t="str">
        <f>TEST_DATA!B10382</f>
        <v>Mar-2023</v>
      </c>
      <c r="C10382">
        <f>TEST_DATA!C10382</f>
        <v>45164</v>
      </c>
      <c r="D10382" t="str">
        <f>TEST_DATA!D10382</f>
        <v>NON-NIL</v>
      </c>
      <c r="E10382">
        <f>TEST_DATA!E10382</f>
        <v>2084</v>
      </c>
    </row>
    <row r="10383" spans="1:5" x14ac:dyDescent="0.55000000000000004">
      <c r="A10383" t="str">
        <f>TEST_DATA!A10383</f>
        <v>27AAAAA10383Z5</v>
      </c>
      <c r="B10383" t="str">
        <f>TEST_DATA!B10383</f>
        <v>Aug-2017</v>
      </c>
      <c r="C10383">
        <f>TEST_DATA!C10383</f>
        <v>44064</v>
      </c>
      <c r="D10383" t="str">
        <f>TEST_DATA!D10383</f>
        <v>NON-NIL</v>
      </c>
      <c r="E10383">
        <f>TEST_DATA!E10383</f>
        <v>31</v>
      </c>
    </row>
    <row r="10384" spans="1:5" x14ac:dyDescent="0.55000000000000004">
      <c r="A10384" t="str">
        <f>TEST_DATA!A10384</f>
        <v>27AAAAA10384Z5</v>
      </c>
      <c r="B10384" t="str">
        <f>TEST_DATA!B10384</f>
        <v>Apr-2018</v>
      </c>
      <c r="C10384">
        <f>TEST_DATA!C10384</f>
        <v>44440</v>
      </c>
      <c r="D10384" t="str">
        <f>TEST_DATA!D10384</f>
        <v>NIL</v>
      </c>
      <c r="E10384">
        <f>TEST_DATA!E10384</f>
        <v>122</v>
      </c>
    </row>
    <row r="10385" spans="1:5" x14ac:dyDescent="0.55000000000000004">
      <c r="A10385" t="str">
        <f>TEST_DATA!A10385</f>
        <v>27AAAAA10385Z5</v>
      </c>
      <c r="B10385" t="str">
        <f>TEST_DATA!B10385</f>
        <v>Jun-2019</v>
      </c>
      <c r="C10385">
        <f>TEST_DATA!C10385</f>
        <v>45175</v>
      </c>
      <c r="D10385" t="str">
        <f>TEST_DATA!D10385</f>
        <v>NIL</v>
      </c>
      <c r="E10385">
        <f>TEST_DATA!E10385</f>
        <v>1203</v>
      </c>
    </row>
    <row r="10386" spans="1:5" x14ac:dyDescent="0.55000000000000004">
      <c r="A10386" t="str">
        <f>TEST_DATA!A10386</f>
        <v>27AAAAA10386Z5</v>
      </c>
      <c r="B10386" t="str">
        <f>TEST_DATA!B10386</f>
        <v>Jan-2018</v>
      </c>
      <c r="C10386">
        <f>TEST_DATA!C10386</f>
        <v>43079</v>
      </c>
      <c r="D10386" t="str">
        <f>TEST_DATA!D10386</f>
        <v>NON-NIL</v>
      </c>
      <c r="E10386">
        <f>TEST_DATA!E10386</f>
        <v>363</v>
      </c>
    </row>
    <row r="10387" spans="1:5" x14ac:dyDescent="0.55000000000000004">
      <c r="A10387" t="str">
        <f>TEST_DATA!A10387</f>
        <v>27AAAAA10387Z5</v>
      </c>
      <c r="B10387" t="str">
        <f>TEST_DATA!B10387</f>
        <v>Jun-2018</v>
      </c>
      <c r="C10387">
        <f>TEST_DATA!C10387</f>
        <v>43592</v>
      </c>
      <c r="D10387" t="str">
        <f>TEST_DATA!D10387</f>
        <v>NON-NIL</v>
      </c>
      <c r="E10387">
        <f>TEST_DATA!E10387</f>
        <v>2290</v>
      </c>
    </row>
    <row r="10388" spans="1:5" x14ac:dyDescent="0.55000000000000004">
      <c r="A10388" t="str">
        <f>TEST_DATA!A10388</f>
        <v>27AAAAA10388Z5</v>
      </c>
      <c r="B10388" t="str">
        <f>TEST_DATA!B10388</f>
        <v>May-2018</v>
      </c>
      <c r="C10388">
        <f>TEST_DATA!C10388</f>
        <v>44485</v>
      </c>
      <c r="D10388" t="str">
        <f>TEST_DATA!D10388</f>
        <v>NIL</v>
      </c>
      <c r="E10388">
        <f>TEST_DATA!E10388</f>
        <v>382</v>
      </c>
    </row>
    <row r="10389" spans="1:5" x14ac:dyDescent="0.55000000000000004">
      <c r="A10389" t="str">
        <f>TEST_DATA!A10389</f>
        <v>27AAAAA10389Z5</v>
      </c>
      <c r="B10389" t="str">
        <f>TEST_DATA!B10389</f>
        <v>May-2020</v>
      </c>
      <c r="C10389">
        <f>TEST_DATA!C10389</f>
        <v>44766</v>
      </c>
      <c r="D10389" t="str">
        <f>TEST_DATA!D10389</f>
        <v>NIL</v>
      </c>
      <c r="E10389">
        <f>TEST_DATA!E10389</f>
        <v>913</v>
      </c>
    </row>
    <row r="10390" spans="1:5" x14ac:dyDescent="0.55000000000000004">
      <c r="A10390" t="str">
        <f>TEST_DATA!A10390</f>
        <v>27AAAAA10390Z5</v>
      </c>
      <c r="B10390" t="str">
        <f>TEST_DATA!B10390</f>
        <v>Jul-2018</v>
      </c>
      <c r="C10390">
        <f>TEST_DATA!C10390</f>
        <v>44055</v>
      </c>
      <c r="D10390" t="str">
        <f>TEST_DATA!D10390</f>
        <v>NON-NIL</v>
      </c>
      <c r="E10390">
        <f>TEST_DATA!E10390</f>
        <v>189</v>
      </c>
    </row>
    <row r="10391" spans="1:5" x14ac:dyDescent="0.55000000000000004">
      <c r="A10391" t="str">
        <f>TEST_DATA!A10391</f>
        <v>27AAAAA10391Z5</v>
      </c>
      <c r="B10391" t="str">
        <f>TEST_DATA!B10391</f>
        <v>Mar-2021</v>
      </c>
      <c r="C10391">
        <f>TEST_DATA!C10391</f>
        <v>44459</v>
      </c>
      <c r="D10391" t="str">
        <f>TEST_DATA!D10391</f>
        <v>NIL</v>
      </c>
      <c r="E10391">
        <f>TEST_DATA!E10391</f>
        <v>2737</v>
      </c>
    </row>
    <row r="10392" spans="1:5" x14ac:dyDescent="0.55000000000000004">
      <c r="A10392" t="str">
        <f>TEST_DATA!A10392</f>
        <v>27AAAAA10392Z5</v>
      </c>
      <c r="B10392" t="str">
        <f>TEST_DATA!B10392</f>
        <v>Jun-2020</v>
      </c>
      <c r="C10392">
        <f>TEST_DATA!C10392</f>
        <v>44691</v>
      </c>
      <c r="D10392" t="str">
        <f>TEST_DATA!D10392</f>
        <v>NIL</v>
      </c>
      <c r="E10392">
        <f>TEST_DATA!E10392</f>
        <v>2144</v>
      </c>
    </row>
    <row r="10393" spans="1:5" x14ac:dyDescent="0.55000000000000004">
      <c r="A10393" t="str">
        <f>TEST_DATA!A10393</f>
        <v>27AAAAA10393Z5</v>
      </c>
      <c r="B10393" t="str">
        <f>TEST_DATA!B10393</f>
        <v>Mar-2020</v>
      </c>
      <c r="C10393">
        <f>TEST_DATA!C10393</f>
        <v>44891</v>
      </c>
      <c r="D10393" t="str">
        <f>TEST_DATA!D10393</f>
        <v>NON-NIL</v>
      </c>
      <c r="E10393">
        <f>TEST_DATA!E10393</f>
        <v>2646</v>
      </c>
    </row>
    <row r="10394" spans="1:5" x14ac:dyDescent="0.55000000000000004">
      <c r="A10394" t="str">
        <f>TEST_DATA!A10394</f>
        <v>27AAAAA10394Z5</v>
      </c>
      <c r="B10394" t="str">
        <f>TEST_DATA!B10394</f>
        <v>Jun-2020</v>
      </c>
      <c r="C10394">
        <f>TEST_DATA!C10394</f>
        <v>43881</v>
      </c>
      <c r="D10394" t="str">
        <f>TEST_DATA!D10394</f>
        <v>NIL</v>
      </c>
      <c r="E10394">
        <f>TEST_DATA!E10394</f>
        <v>136</v>
      </c>
    </row>
    <row r="10395" spans="1:5" x14ac:dyDescent="0.55000000000000004">
      <c r="A10395" t="str">
        <f>TEST_DATA!A10395</f>
        <v>27AAAAA10395Z5</v>
      </c>
      <c r="B10395" t="str">
        <f>TEST_DATA!B10395</f>
        <v>Jun-2018</v>
      </c>
      <c r="C10395">
        <f>TEST_DATA!C10395</f>
        <v>43678</v>
      </c>
      <c r="D10395" t="str">
        <f>TEST_DATA!D10395</f>
        <v>NIL</v>
      </c>
      <c r="E10395">
        <f>TEST_DATA!E10395</f>
        <v>2446</v>
      </c>
    </row>
    <row r="10396" spans="1:5" x14ac:dyDescent="0.55000000000000004">
      <c r="A10396" t="str">
        <f>TEST_DATA!A10396</f>
        <v>27AAAAA10396Z5</v>
      </c>
      <c r="B10396" t="str">
        <f>TEST_DATA!B10396</f>
        <v>Sep-2017</v>
      </c>
      <c r="C10396">
        <f>TEST_DATA!C10396</f>
        <v>43107</v>
      </c>
      <c r="D10396" t="str">
        <f>TEST_DATA!D10396</f>
        <v>NIL</v>
      </c>
      <c r="E10396">
        <f>TEST_DATA!E10396</f>
        <v>1513</v>
      </c>
    </row>
    <row r="10397" spans="1:5" x14ac:dyDescent="0.55000000000000004">
      <c r="A10397" t="str">
        <f>TEST_DATA!A10397</f>
        <v>27AAAAA10397Z5</v>
      </c>
      <c r="B10397" t="str">
        <f>TEST_DATA!B10397</f>
        <v>Dec-2022</v>
      </c>
      <c r="C10397">
        <f>TEST_DATA!C10397</f>
        <v>44304</v>
      </c>
      <c r="D10397" t="str">
        <f>TEST_DATA!D10397</f>
        <v>NIL</v>
      </c>
      <c r="E10397">
        <f>TEST_DATA!E10397</f>
        <v>179</v>
      </c>
    </row>
    <row r="10398" spans="1:5" x14ac:dyDescent="0.55000000000000004">
      <c r="A10398" t="str">
        <f>TEST_DATA!A10398</f>
        <v>27AAAAA10398Z5</v>
      </c>
      <c r="B10398" t="str">
        <f>TEST_DATA!B10398</f>
        <v>Dec-2017</v>
      </c>
      <c r="C10398">
        <f>TEST_DATA!C10398</f>
        <v>43748</v>
      </c>
      <c r="D10398" t="str">
        <f>TEST_DATA!D10398</f>
        <v>NON-NIL</v>
      </c>
      <c r="E10398">
        <f>TEST_DATA!E10398</f>
        <v>198</v>
      </c>
    </row>
    <row r="10399" spans="1:5" x14ac:dyDescent="0.55000000000000004">
      <c r="A10399" t="str">
        <f>TEST_DATA!A10399</f>
        <v>27AAAAA10399Z5</v>
      </c>
      <c r="B10399" t="str">
        <f>TEST_DATA!B10399</f>
        <v>Aug-2017</v>
      </c>
      <c r="C10399">
        <f>TEST_DATA!C10399</f>
        <v>44168</v>
      </c>
      <c r="D10399" t="str">
        <f>TEST_DATA!D10399</f>
        <v>NIL</v>
      </c>
      <c r="E10399">
        <f>TEST_DATA!E10399</f>
        <v>2809</v>
      </c>
    </row>
    <row r="10400" spans="1:5" x14ac:dyDescent="0.55000000000000004">
      <c r="A10400" t="str">
        <f>TEST_DATA!A10400</f>
        <v>27AAAAA10400Z5</v>
      </c>
      <c r="B10400" t="str">
        <f>TEST_DATA!B10400</f>
        <v>Jun-2020</v>
      </c>
      <c r="C10400">
        <f>TEST_DATA!C10400</f>
        <v>44317</v>
      </c>
      <c r="D10400" t="str">
        <f>TEST_DATA!D10400</f>
        <v>NIL</v>
      </c>
      <c r="E10400">
        <f>TEST_DATA!E10400</f>
        <v>2337</v>
      </c>
    </row>
    <row r="10401" spans="1:5" x14ac:dyDescent="0.55000000000000004">
      <c r="A10401" t="str">
        <f>TEST_DATA!A10401</f>
        <v>27AAAAA10401Z5</v>
      </c>
      <c r="B10401" t="str">
        <f>TEST_DATA!B10401</f>
        <v>Aug-2018</v>
      </c>
      <c r="C10401">
        <f>TEST_DATA!C10401</f>
        <v>43414</v>
      </c>
      <c r="D10401" t="str">
        <f>TEST_DATA!D10401</f>
        <v>NON-NIL</v>
      </c>
      <c r="E10401">
        <f>TEST_DATA!E10401</f>
        <v>2406</v>
      </c>
    </row>
    <row r="10402" spans="1:5" x14ac:dyDescent="0.55000000000000004">
      <c r="A10402" t="str">
        <f>TEST_DATA!A10402</f>
        <v>27AAAAA10402Z5</v>
      </c>
      <c r="B10402" t="str">
        <f>TEST_DATA!B10402</f>
        <v>Aug-2017</v>
      </c>
      <c r="C10402">
        <f>TEST_DATA!C10402</f>
        <v>43295</v>
      </c>
      <c r="D10402" t="str">
        <f>TEST_DATA!D10402</f>
        <v>NIL</v>
      </c>
      <c r="E10402">
        <f>TEST_DATA!E10402</f>
        <v>2726</v>
      </c>
    </row>
    <row r="10403" spans="1:5" x14ac:dyDescent="0.55000000000000004">
      <c r="A10403" t="str">
        <f>TEST_DATA!A10403</f>
        <v>27AAAAA10403Z5</v>
      </c>
      <c r="B10403" t="str">
        <f>TEST_DATA!B10403</f>
        <v>Jun-2020</v>
      </c>
      <c r="C10403">
        <f>TEST_DATA!C10403</f>
        <v>44314</v>
      </c>
      <c r="D10403" t="str">
        <f>TEST_DATA!D10403</f>
        <v>NON-NIL</v>
      </c>
      <c r="E10403">
        <f>TEST_DATA!E10403</f>
        <v>2124</v>
      </c>
    </row>
    <row r="10404" spans="1:5" x14ac:dyDescent="0.55000000000000004">
      <c r="A10404" t="str">
        <f>TEST_DATA!A10404</f>
        <v>27AAAAA10404Z5</v>
      </c>
      <c r="B10404" t="str">
        <f>TEST_DATA!B10404</f>
        <v>Dec-2017</v>
      </c>
      <c r="C10404">
        <f>TEST_DATA!C10404</f>
        <v>44258</v>
      </c>
      <c r="D10404" t="str">
        <f>TEST_DATA!D10404</f>
        <v>NIL</v>
      </c>
      <c r="E10404">
        <f>TEST_DATA!E10404</f>
        <v>2292</v>
      </c>
    </row>
    <row r="10405" spans="1:5" x14ac:dyDescent="0.55000000000000004">
      <c r="A10405" t="str">
        <f>TEST_DATA!A10405</f>
        <v>27AAAAA10405Z5</v>
      </c>
      <c r="B10405" t="str">
        <f>TEST_DATA!B10405</f>
        <v>Dec-2019</v>
      </c>
      <c r="C10405">
        <f>TEST_DATA!C10405</f>
        <v>44331</v>
      </c>
      <c r="D10405" t="str">
        <f>TEST_DATA!D10405</f>
        <v>NON-NIL</v>
      </c>
      <c r="E10405">
        <f>TEST_DATA!E10405</f>
        <v>1160</v>
      </c>
    </row>
    <row r="10406" spans="1:5" x14ac:dyDescent="0.55000000000000004">
      <c r="A10406" t="str">
        <f>TEST_DATA!A10406</f>
        <v>27AAAAA10406Z5</v>
      </c>
      <c r="B10406" t="str">
        <f>TEST_DATA!B10406</f>
        <v>Sep-2018</v>
      </c>
      <c r="C10406">
        <f>TEST_DATA!C10406</f>
        <v>43981</v>
      </c>
      <c r="D10406" t="str">
        <f>TEST_DATA!D10406</f>
        <v>NIL</v>
      </c>
      <c r="E10406">
        <f>TEST_DATA!E10406</f>
        <v>1688</v>
      </c>
    </row>
    <row r="10407" spans="1:5" x14ac:dyDescent="0.55000000000000004">
      <c r="A10407" t="str">
        <f>TEST_DATA!A10407</f>
        <v>27AAAAA10407Z5</v>
      </c>
      <c r="B10407" t="str">
        <f>TEST_DATA!B10407</f>
        <v>Mar-2021</v>
      </c>
      <c r="C10407">
        <f>TEST_DATA!C10407</f>
        <v>45320</v>
      </c>
      <c r="D10407" t="str">
        <f>TEST_DATA!D10407</f>
        <v>NON-NIL</v>
      </c>
      <c r="E10407">
        <f>TEST_DATA!E10407</f>
        <v>1655</v>
      </c>
    </row>
    <row r="10408" spans="1:5" x14ac:dyDescent="0.55000000000000004">
      <c r="A10408" t="str">
        <f>TEST_DATA!A10408</f>
        <v>27AAAAA10408Z5</v>
      </c>
      <c r="B10408" t="str">
        <f>TEST_DATA!B10408</f>
        <v>Feb-2018</v>
      </c>
      <c r="C10408">
        <f>TEST_DATA!C10408</f>
        <v>44448</v>
      </c>
      <c r="D10408" t="str">
        <f>TEST_DATA!D10408</f>
        <v>NON-NIL</v>
      </c>
      <c r="E10408">
        <f>TEST_DATA!E10408</f>
        <v>553</v>
      </c>
    </row>
    <row r="10409" spans="1:5" x14ac:dyDescent="0.55000000000000004">
      <c r="A10409" t="str">
        <f>TEST_DATA!A10409</f>
        <v>27AAAAA10409Z5</v>
      </c>
      <c r="B10409" t="str">
        <f>TEST_DATA!B10409</f>
        <v>Jan-2021</v>
      </c>
      <c r="C10409">
        <f>TEST_DATA!C10409</f>
        <v>43498</v>
      </c>
      <c r="D10409" t="str">
        <f>TEST_DATA!D10409</f>
        <v>NIL</v>
      </c>
      <c r="E10409">
        <f>TEST_DATA!E10409</f>
        <v>1224</v>
      </c>
    </row>
    <row r="10410" spans="1:5" x14ac:dyDescent="0.55000000000000004">
      <c r="A10410" t="str">
        <f>TEST_DATA!A10410</f>
        <v>27AAAAA10410Z5</v>
      </c>
      <c r="B10410" t="str">
        <f>TEST_DATA!B10410</f>
        <v>Jun-2019</v>
      </c>
      <c r="C10410">
        <f>TEST_DATA!C10410</f>
        <v>43845</v>
      </c>
      <c r="D10410" t="str">
        <f>TEST_DATA!D10410</f>
        <v>NIL</v>
      </c>
      <c r="E10410">
        <f>TEST_DATA!E10410</f>
        <v>1204</v>
      </c>
    </row>
    <row r="10411" spans="1:5" x14ac:dyDescent="0.55000000000000004">
      <c r="A10411" t="str">
        <f>TEST_DATA!A10411</f>
        <v>27AAAAA10411Z5</v>
      </c>
      <c r="B10411" t="str">
        <f>TEST_DATA!B10411</f>
        <v>Dec-2017</v>
      </c>
      <c r="C10411">
        <f>TEST_DATA!C10411</f>
        <v>44438</v>
      </c>
      <c r="D10411" t="str">
        <f>TEST_DATA!D10411</f>
        <v>NON-NIL</v>
      </c>
      <c r="E10411">
        <f>TEST_DATA!E10411</f>
        <v>1781</v>
      </c>
    </row>
    <row r="10412" spans="1:5" x14ac:dyDescent="0.55000000000000004">
      <c r="A10412" t="str">
        <f>TEST_DATA!A10412</f>
        <v>27AAAAA10412Z5</v>
      </c>
      <c r="B10412" t="str">
        <f>TEST_DATA!B10412</f>
        <v>Apr-2018</v>
      </c>
      <c r="C10412">
        <f>TEST_DATA!C10412</f>
        <v>43901</v>
      </c>
      <c r="D10412" t="str">
        <f>TEST_DATA!D10412</f>
        <v>NON-NIL</v>
      </c>
      <c r="E10412">
        <f>TEST_DATA!E10412</f>
        <v>609</v>
      </c>
    </row>
    <row r="10413" spans="1:5" x14ac:dyDescent="0.55000000000000004">
      <c r="A10413" t="str">
        <f>TEST_DATA!A10413</f>
        <v>27AAAAA10413Z5</v>
      </c>
      <c r="B10413" t="str">
        <f>TEST_DATA!B10413</f>
        <v>Jan-2021</v>
      </c>
      <c r="C10413">
        <f>TEST_DATA!C10413</f>
        <v>45157</v>
      </c>
      <c r="D10413" t="str">
        <f>TEST_DATA!D10413</f>
        <v>NON-NIL</v>
      </c>
      <c r="E10413">
        <f>TEST_DATA!E10413</f>
        <v>1125</v>
      </c>
    </row>
    <row r="10414" spans="1:5" x14ac:dyDescent="0.55000000000000004">
      <c r="A10414" t="str">
        <f>TEST_DATA!A10414</f>
        <v>27AAAAA10414Z5</v>
      </c>
      <c r="B10414" t="str">
        <f>TEST_DATA!B10414</f>
        <v>Mar-2023</v>
      </c>
      <c r="C10414">
        <f>TEST_DATA!C10414</f>
        <v>43588</v>
      </c>
      <c r="D10414" t="str">
        <f>TEST_DATA!D10414</f>
        <v>NON-NIL</v>
      </c>
      <c r="E10414">
        <f>TEST_DATA!E10414</f>
        <v>1896</v>
      </c>
    </row>
    <row r="10415" spans="1:5" x14ac:dyDescent="0.55000000000000004">
      <c r="A10415" t="str">
        <f>TEST_DATA!A10415</f>
        <v>27AAAAA10415Z5</v>
      </c>
      <c r="B10415" t="str">
        <f>TEST_DATA!B10415</f>
        <v>May-2020</v>
      </c>
      <c r="C10415">
        <f>TEST_DATA!C10415</f>
        <v>44228</v>
      </c>
      <c r="D10415" t="str">
        <f>TEST_DATA!D10415</f>
        <v>NIL</v>
      </c>
      <c r="E10415">
        <f>TEST_DATA!E10415</f>
        <v>2027</v>
      </c>
    </row>
    <row r="10416" spans="1:5" x14ac:dyDescent="0.55000000000000004">
      <c r="A10416" t="str">
        <f>TEST_DATA!A10416</f>
        <v>27AAAAA10416Z5</v>
      </c>
      <c r="B10416" t="str">
        <f>TEST_DATA!B10416</f>
        <v>Apr-2020</v>
      </c>
      <c r="C10416">
        <f>TEST_DATA!C10416</f>
        <v>44720</v>
      </c>
      <c r="D10416" t="str">
        <f>TEST_DATA!D10416</f>
        <v>NON-NIL</v>
      </c>
      <c r="E10416">
        <f>TEST_DATA!E10416</f>
        <v>981</v>
      </c>
    </row>
    <row r="10417" spans="1:5" x14ac:dyDescent="0.55000000000000004">
      <c r="A10417" t="str">
        <f>TEST_DATA!A10417</f>
        <v>27AAAAA10417Z5</v>
      </c>
      <c r="B10417" t="str">
        <f>TEST_DATA!B10417</f>
        <v>Sep-2018</v>
      </c>
      <c r="C10417">
        <f>TEST_DATA!C10417</f>
        <v>44133</v>
      </c>
      <c r="D10417" t="str">
        <f>TEST_DATA!D10417</f>
        <v>NON-NIL</v>
      </c>
      <c r="E10417">
        <f>TEST_DATA!E10417</f>
        <v>2122</v>
      </c>
    </row>
    <row r="10418" spans="1:5" x14ac:dyDescent="0.55000000000000004">
      <c r="A10418" t="str">
        <f>TEST_DATA!A10418</f>
        <v>27AAAAA10418Z5</v>
      </c>
      <c r="B10418" t="str">
        <f>TEST_DATA!B10418</f>
        <v>Sep-2017</v>
      </c>
      <c r="C10418">
        <f>TEST_DATA!C10418</f>
        <v>44315</v>
      </c>
      <c r="D10418" t="str">
        <f>TEST_DATA!D10418</f>
        <v>NON-NIL</v>
      </c>
      <c r="E10418">
        <f>TEST_DATA!E10418</f>
        <v>1817</v>
      </c>
    </row>
    <row r="10419" spans="1:5" x14ac:dyDescent="0.55000000000000004">
      <c r="A10419" t="str">
        <f>TEST_DATA!A10419</f>
        <v>27AAAAA10419Z5</v>
      </c>
      <c r="B10419" t="str">
        <f>TEST_DATA!B10419</f>
        <v>Dec-2022</v>
      </c>
      <c r="C10419">
        <f>TEST_DATA!C10419</f>
        <v>44704</v>
      </c>
      <c r="D10419" t="str">
        <f>TEST_DATA!D10419</f>
        <v>NON-NIL</v>
      </c>
      <c r="E10419">
        <f>TEST_DATA!E10419</f>
        <v>2496</v>
      </c>
    </row>
    <row r="10420" spans="1:5" x14ac:dyDescent="0.55000000000000004">
      <c r="A10420" t="str">
        <f>TEST_DATA!A10420</f>
        <v>27AAAAA10420Z5</v>
      </c>
      <c r="B10420" t="str">
        <f>TEST_DATA!B10420</f>
        <v>Mar-2020</v>
      </c>
      <c r="C10420">
        <f>TEST_DATA!C10420</f>
        <v>44176</v>
      </c>
      <c r="D10420" t="str">
        <f>TEST_DATA!D10420</f>
        <v>NON-NIL</v>
      </c>
      <c r="E10420">
        <f>TEST_DATA!E10420</f>
        <v>1589</v>
      </c>
    </row>
    <row r="10421" spans="1:5" x14ac:dyDescent="0.55000000000000004">
      <c r="A10421" t="str">
        <f>TEST_DATA!A10421</f>
        <v>27AAAAA10421Z5</v>
      </c>
      <c r="B10421" t="str">
        <f>TEST_DATA!B10421</f>
        <v>Jun-2019</v>
      </c>
      <c r="C10421">
        <f>TEST_DATA!C10421</f>
        <v>45292</v>
      </c>
      <c r="D10421" t="str">
        <f>TEST_DATA!D10421</f>
        <v>NIL</v>
      </c>
      <c r="E10421">
        <f>TEST_DATA!E10421</f>
        <v>1253</v>
      </c>
    </row>
    <row r="10422" spans="1:5" x14ac:dyDescent="0.55000000000000004">
      <c r="A10422" t="str">
        <f>TEST_DATA!A10422</f>
        <v>27AAAAA10422Z5</v>
      </c>
      <c r="B10422" t="str">
        <f>TEST_DATA!B10422</f>
        <v>Mar-2018</v>
      </c>
      <c r="C10422">
        <f>TEST_DATA!C10422</f>
        <v>43703</v>
      </c>
      <c r="D10422" t="str">
        <f>TEST_DATA!D10422</f>
        <v>NIL</v>
      </c>
      <c r="E10422">
        <f>TEST_DATA!E10422</f>
        <v>2330</v>
      </c>
    </row>
    <row r="10423" spans="1:5" x14ac:dyDescent="0.55000000000000004">
      <c r="A10423" t="str">
        <f>TEST_DATA!A10423</f>
        <v>27AAAAA10423Z5</v>
      </c>
      <c r="B10423" t="str">
        <f>TEST_DATA!B10423</f>
        <v>Apr-2020</v>
      </c>
      <c r="C10423">
        <f>TEST_DATA!C10423</f>
        <v>44516</v>
      </c>
      <c r="D10423" t="str">
        <f>TEST_DATA!D10423</f>
        <v>NIL</v>
      </c>
      <c r="E10423">
        <f>TEST_DATA!E10423</f>
        <v>376</v>
      </c>
    </row>
    <row r="10424" spans="1:5" x14ac:dyDescent="0.55000000000000004">
      <c r="A10424" t="str">
        <f>TEST_DATA!A10424</f>
        <v>27AAAAA10424Z5</v>
      </c>
      <c r="B10424" t="str">
        <f>TEST_DATA!B10424</f>
        <v>Apr-2021</v>
      </c>
      <c r="C10424">
        <f>TEST_DATA!C10424</f>
        <v>44805</v>
      </c>
      <c r="D10424" t="str">
        <f>TEST_DATA!D10424</f>
        <v>NON-NIL</v>
      </c>
      <c r="E10424">
        <f>TEST_DATA!E10424</f>
        <v>1790</v>
      </c>
    </row>
    <row r="10425" spans="1:5" x14ac:dyDescent="0.55000000000000004">
      <c r="A10425" t="str">
        <f>TEST_DATA!A10425</f>
        <v>27AAAAA10425Z5</v>
      </c>
      <c r="B10425" t="str">
        <f>TEST_DATA!B10425</f>
        <v>Jul-2018</v>
      </c>
      <c r="C10425">
        <f>TEST_DATA!C10425</f>
        <v>43553</v>
      </c>
      <c r="D10425" t="str">
        <f>TEST_DATA!D10425</f>
        <v>NIL</v>
      </c>
      <c r="E10425">
        <f>TEST_DATA!E10425</f>
        <v>802</v>
      </c>
    </row>
    <row r="10426" spans="1:5" x14ac:dyDescent="0.55000000000000004">
      <c r="A10426" t="str">
        <f>TEST_DATA!A10426</f>
        <v>27AAAAA10426Z5</v>
      </c>
      <c r="B10426" t="str">
        <f>TEST_DATA!B10426</f>
        <v>Apr-2020</v>
      </c>
      <c r="C10426">
        <f>TEST_DATA!C10426</f>
        <v>44402</v>
      </c>
      <c r="D10426" t="str">
        <f>TEST_DATA!D10426</f>
        <v>NIL</v>
      </c>
      <c r="E10426">
        <f>TEST_DATA!E10426</f>
        <v>625</v>
      </c>
    </row>
    <row r="10427" spans="1:5" x14ac:dyDescent="0.55000000000000004">
      <c r="A10427" t="str">
        <f>TEST_DATA!A10427</f>
        <v>27AAAAA10427Z5</v>
      </c>
      <c r="B10427" t="str">
        <f>TEST_DATA!B10427</f>
        <v>May-2020</v>
      </c>
      <c r="C10427">
        <f>TEST_DATA!C10427</f>
        <v>44606</v>
      </c>
      <c r="D10427" t="str">
        <f>TEST_DATA!D10427</f>
        <v>NIL</v>
      </c>
      <c r="E10427">
        <f>TEST_DATA!E10427</f>
        <v>2275</v>
      </c>
    </row>
    <row r="10428" spans="1:5" x14ac:dyDescent="0.55000000000000004">
      <c r="A10428" t="str">
        <f>TEST_DATA!A10428</f>
        <v>27AAAAA10428Z5</v>
      </c>
      <c r="B10428" t="str">
        <f>TEST_DATA!B10428</f>
        <v>Mar-2020</v>
      </c>
      <c r="C10428">
        <f>TEST_DATA!C10428</f>
        <v>44599</v>
      </c>
      <c r="D10428" t="str">
        <f>TEST_DATA!D10428</f>
        <v>NON-NIL</v>
      </c>
      <c r="E10428">
        <f>TEST_DATA!E10428</f>
        <v>2413</v>
      </c>
    </row>
    <row r="10429" spans="1:5" x14ac:dyDescent="0.55000000000000004">
      <c r="A10429" t="str">
        <f>TEST_DATA!A10429</f>
        <v>27AAAAA10429Z5</v>
      </c>
      <c r="B10429" t="str">
        <f>TEST_DATA!B10429</f>
        <v>Jul-2018</v>
      </c>
      <c r="C10429">
        <f>TEST_DATA!C10429</f>
        <v>43716</v>
      </c>
      <c r="D10429" t="str">
        <f>TEST_DATA!D10429</f>
        <v>NON-NIL</v>
      </c>
      <c r="E10429">
        <f>TEST_DATA!E10429</f>
        <v>2734</v>
      </c>
    </row>
    <row r="10430" spans="1:5" x14ac:dyDescent="0.55000000000000004">
      <c r="A10430" t="str">
        <f>TEST_DATA!A10430</f>
        <v>27AAAAA10430Z5</v>
      </c>
      <c r="B10430" t="str">
        <f>TEST_DATA!B10430</f>
        <v>Apr-2021</v>
      </c>
      <c r="C10430">
        <f>TEST_DATA!C10430</f>
        <v>45593</v>
      </c>
      <c r="D10430" t="str">
        <f>TEST_DATA!D10430</f>
        <v>NIL</v>
      </c>
      <c r="E10430">
        <f>TEST_DATA!E10430</f>
        <v>498</v>
      </c>
    </row>
    <row r="10431" spans="1:5" x14ac:dyDescent="0.55000000000000004">
      <c r="A10431" t="str">
        <f>TEST_DATA!A10431</f>
        <v>27AAAAA10431Z5</v>
      </c>
      <c r="B10431" t="str">
        <f>TEST_DATA!B10431</f>
        <v>Jun-2020</v>
      </c>
      <c r="C10431">
        <f>TEST_DATA!C10431</f>
        <v>44203</v>
      </c>
      <c r="D10431" t="str">
        <f>TEST_DATA!D10431</f>
        <v>NIL</v>
      </c>
      <c r="E10431">
        <f>TEST_DATA!E10431</f>
        <v>2361</v>
      </c>
    </row>
    <row r="10432" spans="1:5" x14ac:dyDescent="0.55000000000000004">
      <c r="A10432" t="str">
        <f>TEST_DATA!A10432</f>
        <v>27AAAAA10432Z5</v>
      </c>
      <c r="B10432" t="str">
        <f>TEST_DATA!B10432</f>
        <v>Apr-2021</v>
      </c>
      <c r="C10432">
        <f>TEST_DATA!C10432</f>
        <v>44063</v>
      </c>
      <c r="D10432" t="str">
        <f>TEST_DATA!D10432</f>
        <v>NIL</v>
      </c>
      <c r="E10432">
        <f>TEST_DATA!E10432</f>
        <v>2723</v>
      </c>
    </row>
    <row r="10433" spans="1:5" x14ac:dyDescent="0.55000000000000004">
      <c r="A10433" t="str">
        <f>TEST_DATA!A10433</f>
        <v>27AAAAA10433Z5</v>
      </c>
      <c r="B10433" t="str">
        <f>TEST_DATA!B10433</f>
        <v>Mar-2021</v>
      </c>
      <c r="C10433">
        <f>TEST_DATA!C10433</f>
        <v>44024</v>
      </c>
      <c r="D10433" t="str">
        <f>TEST_DATA!D10433</f>
        <v>NON-NIL</v>
      </c>
      <c r="E10433">
        <f>TEST_DATA!E10433</f>
        <v>1571</v>
      </c>
    </row>
    <row r="10434" spans="1:5" x14ac:dyDescent="0.55000000000000004">
      <c r="A10434" t="str">
        <f>TEST_DATA!A10434</f>
        <v>27AAAAA10434Z5</v>
      </c>
      <c r="B10434" t="str">
        <f>TEST_DATA!B10434</f>
        <v>Dec-2019</v>
      </c>
      <c r="C10434">
        <f>TEST_DATA!C10434</f>
        <v>45475</v>
      </c>
      <c r="D10434" t="str">
        <f>TEST_DATA!D10434</f>
        <v>NIL</v>
      </c>
      <c r="E10434">
        <f>TEST_DATA!E10434</f>
        <v>760</v>
      </c>
    </row>
    <row r="10435" spans="1:5" x14ac:dyDescent="0.55000000000000004">
      <c r="A10435" t="str">
        <f>TEST_DATA!A10435</f>
        <v>27AAAAA10435Z5</v>
      </c>
      <c r="B10435" t="str">
        <f>TEST_DATA!B10435</f>
        <v>Dec-2024</v>
      </c>
      <c r="C10435">
        <f>TEST_DATA!C10435</f>
        <v>43680</v>
      </c>
      <c r="D10435" t="str">
        <f>TEST_DATA!D10435</f>
        <v>NIL</v>
      </c>
      <c r="E10435">
        <f>TEST_DATA!E10435</f>
        <v>1915</v>
      </c>
    </row>
    <row r="10436" spans="1:5" x14ac:dyDescent="0.55000000000000004">
      <c r="A10436" t="str">
        <f>TEST_DATA!A10436</f>
        <v>27AAAAA10436Z5</v>
      </c>
      <c r="B10436" t="str">
        <f>TEST_DATA!B10436</f>
        <v>Jan-2018</v>
      </c>
      <c r="C10436">
        <f>TEST_DATA!C10436</f>
        <v>43388</v>
      </c>
      <c r="D10436" t="str">
        <f>TEST_DATA!D10436</f>
        <v>NON-NIL</v>
      </c>
      <c r="E10436">
        <f>TEST_DATA!E10436</f>
        <v>2895</v>
      </c>
    </row>
    <row r="10437" spans="1:5" x14ac:dyDescent="0.55000000000000004">
      <c r="A10437" t="str">
        <f>TEST_DATA!A10437</f>
        <v>27AAAAA10437Z5</v>
      </c>
      <c r="B10437" t="str">
        <f>TEST_DATA!B10437</f>
        <v>Dec-2019</v>
      </c>
      <c r="C10437">
        <f>TEST_DATA!C10437</f>
        <v>44571</v>
      </c>
      <c r="D10437" t="str">
        <f>TEST_DATA!D10437</f>
        <v>NIL</v>
      </c>
      <c r="E10437">
        <f>TEST_DATA!E10437</f>
        <v>1584</v>
      </c>
    </row>
    <row r="10438" spans="1:5" x14ac:dyDescent="0.55000000000000004">
      <c r="A10438" t="str">
        <f>TEST_DATA!A10438</f>
        <v>27AAAAA10438Z5</v>
      </c>
      <c r="B10438" t="str">
        <f>TEST_DATA!B10438</f>
        <v>Jun-2020</v>
      </c>
      <c r="C10438">
        <f>TEST_DATA!C10438</f>
        <v>43962</v>
      </c>
      <c r="D10438" t="str">
        <f>TEST_DATA!D10438</f>
        <v>NIL</v>
      </c>
      <c r="E10438">
        <f>TEST_DATA!E10438</f>
        <v>2108</v>
      </c>
    </row>
    <row r="10439" spans="1:5" x14ac:dyDescent="0.55000000000000004">
      <c r="A10439" t="str">
        <f>TEST_DATA!A10439</f>
        <v>27AAAAA10439Z5</v>
      </c>
      <c r="B10439" t="str">
        <f>TEST_DATA!B10439</f>
        <v>Aug-2018</v>
      </c>
      <c r="C10439">
        <f>TEST_DATA!C10439</f>
        <v>43924</v>
      </c>
      <c r="D10439" t="str">
        <f>TEST_DATA!D10439</f>
        <v>NON-NIL</v>
      </c>
      <c r="E10439">
        <f>TEST_DATA!E10439</f>
        <v>2895</v>
      </c>
    </row>
    <row r="10440" spans="1:5" x14ac:dyDescent="0.55000000000000004">
      <c r="A10440" t="str">
        <f>TEST_DATA!A10440</f>
        <v>27AAAAA10440Z5</v>
      </c>
      <c r="B10440" t="str">
        <f>TEST_DATA!B10440</f>
        <v>Dec-2024</v>
      </c>
      <c r="C10440">
        <f>TEST_DATA!C10440</f>
        <v>45599</v>
      </c>
      <c r="D10440" t="str">
        <f>TEST_DATA!D10440</f>
        <v>NON-NIL</v>
      </c>
      <c r="E10440">
        <f>TEST_DATA!E10440</f>
        <v>2030</v>
      </c>
    </row>
    <row r="10441" spans="1:5" x14ac:dyDescent="0.55000000000000004">
      <c r="A10441" t="str">
        <f>TEST_DATA!A10441</f>
        <v>27AAAAA10441Z5</v>
      </c>
      <c r="B10441" t="str">
        <f>TEST_DATA!B10441</f>
        <v>Jun-2019</v>
      </c>
      <c r="C10441">
        <f>TEST_DATA!C10441</f>
        <v>44467</v>
      </c>
      <c r="D10441" t="str">
        <f>TEST_DATA!D10441</f>
        <v>NIL</v>
      </c>
      <c r="E10441">
        <f>TEST_DATA!E10441</f>
        <v>1087</v>
      </c>
    </row>
    <row r="10442" spans="1:5" x14ac:dyDescent="0.55000000000000004">
      <c r="A10442" t="str">
        <f>TEST_DATA!A10442</f>
        <v>27AAAAA10442Z5</v>
      </c>
      <c r="B10442" t="str">
        <f>TEST_DATA!B10442</f>
        <v>Apr-2021</v>
      </c>
      <c r="C10442">
        <f>TEST_DATA!C10442</f>
        <v>44816</v>
      </c>
      <c r="D10442" t="str">
        <f>TEST_DATA!D10442</f>
        <v>NON-NIL</v>
      </c>
      <c r="E10442">
        <f>TEST_DATA!E10442</f>
        <v>2392</v>
      </c>
    </row>
    <row r="10443" spans="1:5" x14ac:dyDescent="0.55000000000000004">
      <c r="A10443" t="str">
        <f>TEST_DATA!A10443</f>
        <v>27AAAAA10443Z5</v>
      </c>
      <c r="B10443" t="str">
        <f>TEST_DATA!B10443</f>
        <v>Jul-2018</v>
      </c>
      <c r="C10443">
        <f>TEST_DATA!C10443</f>
        <v>44322</v>
      </c>
      <c r="D10443" t="str">
        <f>TEST_DATA!D10443</f>
        <v>NON-NIL</v>
      </c>
      <c r="E10443">
        <f>TEST_DATA!E10443</f>
        <v>2767</v>
      </c>
    </row>
    <row r="10444" spans="1:5" x14ac:dyDescent="0.55000000000000004">
      <c r="A10444" t="str">
        <f>TEST_DATA!A10444</f>
        <v>27AAAAA10444Z5</v>
      </c>
      <c r="B10444" t="str">
        <f>TEST_DATA!B10444</f>
        <v>Mar-2021</v>
      </c>
      <c r="C10444">
        <f>TEST_DATA!C10444</f>
        <v>45306</v>
      </c>
      <c r="D10444" t="str">
        <f>TEST_DATA!D10444</f>
        <v>NON-NIL</v>
      </c>
      <c r="E10444">
        <f>TEST_DATA!E10444</f>
        <v>2669</v>
      </c>
    </row>
    <row r="10445" spans="1:5" x14ac:dyDescent="0.55000000000000004">
      <c r="A10445" t="str">
        <f>TEST_DATA!A10445</f>
        <v>27AAAAA10445Z5</v>
      </c>
      <c r="B10445" t="str">
        <f>TEST_DATA!B10445</f>
        <v>Dec-2022</v>
      </c>
      <c r="C10445">
        <f>TEST_DATA!C10445</f>
        <v>44989</v>
      </c>
      <c r="D10445" t="str">
        <f>TEST_DATA!D10445</f>
        <v>NON-NIL</v>
      </c>
      <c r="E10445">
        <f>TEST_DATA!E10445</f>
        <v>2057</v>
      </c>
    </row>
    <row r="10446" spans="1:5" x14ac:dyDescent="0.55000000000000004">
      <c r="A10446" t="str">
        <f>TEST_DATA!A10446</f>
        <v>27AAAAA10446Z5</v>
      </c>
      <c r="B10446" t="str">
        <f>TEST_DATA!B10446</f>
        <v>Jul-2018</v>
      </c>
      <c r="C10446">
        <f>TEST_DATA!C10446</f>
        <v>44067</v>
      </c>
      <c r="D10446" t="str">
        <f>TEST_DATA!D10446</f>
        <v>NIL</v>
      </c>
      <c r="E10446">
        <f>TEST_DATA!E10446</f>
        <v>221</v>
      </c>
    </row>
    <row r="10447" spans="1:5" x14ac:dyDescent="0.55000000000000004">
      <c r="A10447" t="str">
        <f>TEST_DATA!A10447</f>
        <v>27AAAAA10447Z5</v>
      </c>
      <c r="B10447" t="str">
        <f>TEST_DATA!B10447</f>
        <v>Dec-2024</v>
      </c>
      <c r="C10447">
        <f>TEST_DATA!C10447</f>
        <v>44910</v>
      </c>
      <c r="D10447" t="str">
        <f>TEST_DATA!D10447</f>
        <v>NON-NIL</v>
      </c>
      <c r="E10447">
        <f>TEST_DATA!E10447</f>
        <v>274</v>
      </c>
    </row>
    <row r="10448" spans="1:5" x14ac:dyDescent="0.55000000000000004">
      <c r="A10448" t="str">
        <f>TEST_DATA!A10448</f>
        <v>27AAAAA10448Z5</v>
      </c>
      <c r="B10448" t="str">
        <f>TEST_DATA!B10448</f>
        <v>Mar-2023</v>
      </c>
      <c r="C10448">
        <f>TEST_DATA!C10448</f>
        <v>44005</v>
      </c>
      <c r="D10448" t="str">
        <f>TEST_DATA!D10448</f>
        <v>NON-NIL</v>
      </c>
      <c r="E10448">
        <f>TEST_DATA!E10448</f>
        <v>2609</v>
      </c>
    </row>
    <row r="10449" spans="1:5" x14ac:dyDescent="0.55000000000000004">
      <c r="A10449" t="str">
        <f>TEST_DATA!A10449</f>
        <v>27AAAAA10449Z5</v>
      </c>
      <c r="B10449" t="str">
        <f>TEST_DATA!B10449</f>
        <v>Jan-2021</v>
      </c>
      <c r="C10449">
        <f>TEST_DATA!C10449</f>
        <v>45427</v>
      </c>
      <c r="D10449" t="str">
        <f>TEST_DATA!D10449</f>
        <v>NON-NIL</v>
      </c>
      <c r="E10449">
        <f>TEST_DATA!E10449</f>
        <v>1069</v>
      </c>
    </row>
    <row r="10450" spans="1:5" x14ac:dyDescent="0.55000000000000004">
      <c r="A10450" t="str">
        <f>TEST_DATA!A10450</f>
        <v>27AAAAA10450Z5</v>
      </c>
      <c r="B10450" t="str">
        <f>TEST_DATA!B10450</f>
        <v>May-2020</v>
      </c>
      <c r="C10450">
        <f>TEST_DATA!C10450</f>
        <v>44354</v>
      </c>
      <c r="D10450" t="str">
        <f>TEST_DATA!D10450</f>
        <v>NON-NIL</v>
      </c>
      <c r="E10450">
        <f>TEST_DATA!E10450</f>
        <v>879</v>
      </c>
    </row>
    <row r="10451" spans="1:5" x14ac:dyDescent="0.55000000000000004">
      <c r="A10451" t="str">
        <f>TEST_DATA!A10451</f>
        <v>27AAAAA10451Z5</v>
      </c>
      <c r="B10451" t="str">
        <f>TEST_DATA!B10451</f>
        <v>Aug-2018</v>
      </c>
      <c r="C10451">
        <f>TEST_DATA!C10451</f>
        <v>43376</v>
      </c>
      <c r="D10451" t="str">
        <f>TEST_DATA!D10451</f>
        <v>NIL</v>
      </c>
      <c r="E10451">
        <f>TEST_DATA!E10451</f>
        <v>1912</v>
      </c>
    </row>
    <row r="10452" spans="1:5" x14ac:dyDescent="0.55000000000000004">
      <c r="A10452" t="str">
        <f>TEST_DATA!A10452</f>
        <v>27AAAAA10452Z5</v>
      </c>
      <c r="B10452" t="str">
        <f>TEST_DATA!B10452</f>
        <v>Aug-2017</v>
      </c>
      <c r="C10452">
        <f>TEST_DATA!C10452</f>
        <v>43669</v>
      </c>
      <c r="D10452" t="str">
        <f>TEST_DATA!D10452</f>
        <v>NON-NIL</v>
      </c>
      <c r="E10452">
        <f>TEST_DATA!E10452</f>
        <v>439</v>
      </c>
    </row>
    <row r="10453" spans="1:5" x14ac:dyDescent="0.55000000000000004">
      <c r="A10453" t="str">
        <f>TEST_DATA!A10453</f>
        <v>27AAAAA10453Z5</v>
      </c>
      <c r="B10453" t="str">
        <f>TEST_DATA!B10453</f>
        <v>Mar-2018</v>
      </c>
      <c r="C10453">
        <f>TEST_DATA!C10453</f>
        <v>43806</v>
      </c>
      <c r="D10453" t="str">
        <f>TEST_DATA!D10453</f>
        <v>NON-NIL</v>
      </c>
      <c r="E10453">
        <f>TEST_DATA!E10453</f>
        <v>790</v>
      </c>
    </row>
    <row r="10454" spans="1:5" x14ac:dyDescent="0.55000000000000004">
      <c r="A10454" t="str">
        <f>TEST_DATA!A10454</f>
        <v>27AAAAA10454Z5</v>
      </c>
      <c r="B10454" t="str">
        <f>TEST_DATA!B10454</f>
        <v>Dec-2024</v>
      </c>
      <c r="C10454">
        <f>TEST_DATA!C10454</f>
        <v>44495</v>
      </c>
      <c r="D10454" t="str">
        <f>TEST_DATA!D10454</f>
        <v>NON-NIL</v>
      </c>
      <c r="E10454">
        <f>TEST_DATA!E10454</f>
        <v>727</v>
      </c>
    </row>
    <row r="10455" spans="1:5" x14ac:dyDescent="0.55000000000000004">
      <c r="A10455" t="str">
        <f>TEST_DATA!A10455</f>
        <v>27AAAAA10455Z5</v>
      </c>
      <c r="B10455" t="str">
        <f>TEST_DATA!B10455</f>
        <v>Aug-2017</v>
      </c>
      <c r="C10455">
        <f>TEST_DATA!C10455</f>
        <v>43042</v>
      </c>
      <c r="D10455" t="str">
        <f>TEST_DATA!D10455</f>
        <v>NON-NIL</v>
      </c>
      <c r="E10455">
        <f>TEST_DATA!E10455</f>
        <v>618</v>
      </c>
    </row>
    <row r="10456" spans="1:5" x14ac:dyDescent="0.55000000000000004">
      <c r="A10456" t="str">
        <f>TEST_DATA!A10456</f>
        <v>27AAAAA10456Z5</v>
      </c>
      <c r="B10456" t="str">
        <f>TEST_DATA!B10456</f>
        <v>Sep-2017</v>
      </c>
      <c r="C10456">
        <f>TEST_DATA!C10456</f>
        <v>44319</v>
      </c>
      <c r="D10456" t="str">
        <f>TEST_DATA!D10456</f>
        <v>NON-NIL</v>
      </c>
      <c r="E10456">
        <f>TEST_DATA!E10456</f>
        <v>1814</v>
      </c>
    </row>
    <row r="10457" spans="1:5" x14ac:dyDescent="0.55000000000000004">
      <c r="A10457" t="str">
        <f>TEST_DATA!A10457</f>
        <v>27AAAAA10457Z5</v>
      </c>
      <c r="B10457" t="str">
        <f>TEST_DATA!B10457</f>
        <v>Mar-2018</v>
      </c>
      <c r="C10457">
        <f>TEST_DATA!C10457</f>
        <v>43850</v>
      </c>
      <c r="D10457" t="str">
        <f>TEST_DATA!D10457</f>
        <v>NIL</v>
      </c>
      <c r="E10457">
        <f>TEST_DATA!E10457</f>
        <v>1510</v>
      </c>
    </row>
    <row r="10458" spans="1:5" x14ac:dyDescent="0.55000000000000004">
      <c r="A10458" t="str">
        <f>TEST_DATA!A10458</f>
        <v>27AAAAA10458Z5</v>
      </c>
      <c r="B10458" t="str">
        <f>TEST_DATA!B10458</f>
        <v>Nov-2017</v>
      </c>
      <c r="C10458">
        <f>TEST_DATA!C10458</f>
        <v>43020</v>
      </c>
      <c r="D10458" t="str">
        <f>TEST_DATA!D10458</f>
        <v>NIL</v>
      </c>
      <c r="E10458">
        <f>TEST_DATA!E10458</f>
        <v>1334</v>
      </c>
    </row>
    <row r="10459" spans="1:5" x14ac:dyDescent="0.55000000000000004">
      <c r="A10459" t="str">
        <f>TEST_DATA!A10459</f>
        <v>27AAAAA10459Z5</v>
      </c>
      <c r="B10459" t="str">
        <f>TEST_DATA!B10459</f>
        <v>Sep-2017</v>
      </c>
      <c r="C10459">
        <f>TEST_DATA!C10459</f>
        <v>44210</v>
      </c>
      <c r="D10459" t="str">
        <f>TEST_DATA!D10459</f>
        <v>NIL</v>
      </c>
      <c r="E10459">
        <f>TEST_DATA!E10459</f>
        <v>2341</v>
      </c>
    </row>
    <row r="10460" spans="1:5" x14ac:dyDescent="0.55000000000000004">
      <c r="A10460" t="str">
        <f>TEST_DATA!A10460</f>
        <v>27AAAAA10460Z5</v>
      </c>
      <c r="B10460" t="str">
        <f>TEST_DATA!B10460</f>
        <v>Jun-2019</v>
      </c>
      <c r="C10460">
        <f>TEST_DATA!C10460</f>
        <v>44889</v>
      </c>
      <c r="D10460" t="str">
        <f>TEST_DATA!D10460</f>
        <v>NIL</v>
      </c>
      <c r="E10460">
        <f>TEST_DATA!E10460</f>
        <v>1393</v>
      </c>
    </row>
    <row r="10461" spans="1:5" x14ac:dyDescent="0.55000000000000004">
      <c r="A10461" t="str">
        <f>TEST_DATA!A10461</f>
        <v>27AAAAA10461Z5</v>
      </c>
      <c r="B10461" t="str">
        <f>TEST_DATA!B10461</f>
        <v>Aug-2018</v>
      </c>
      <c r="C10461">
        <f>TEST_DATA!C10461</f>
        <v>43683</v>
      </c>
      <c r="D10461" t="str">
        <f>TEST_DATA!D10461</f>
        <v>NIL</v>
      </c>
      <c r="E10461">
        <f>TEST_DATA!E10461</f>
        <v>964</v>
      </c>
    </row>
    <row r="10462" spans="1:5" x14ac:dyDescent="0.55000000000000004">
      <c r="A10462" t="str">
        <f>TEST_DATA!A10462</f>
        <v>27AAAAA10462Z5</v>
      </c>
      <c r="B10462" t="str">
        <f>TEST_DATA!B10462</f>
        <v>Feb-2018</v>
      </c>
      <c r="C10462">
        <f>TEST_DATA!C10462</f>
        <v>43565</v>
      </c>
      <c r="D10462" t="str">
        <f>TEST_DATA!D10462</f>
        <v>NON-NIL</v>
      </c>
      <c r="E10462">
        <f>TEST_DATA!E10462</f>
        <v>203</v>
      </c>
    </row>
    <row r="10463" spans="1:5" x14ac:dyDescent="0.55000000000000004">
      <c r="A10463" t="str">
        <f>TEST_DATA!A10463</f>
        <v>27AAAAA10463Z5</v>
      </c>
      <c r="B10463" t="str">
        <f>TEST_DATA!B10463</f>
        <v>Dec-2019</v>
      </c>
      <c r="C10463">
        <f>TEST_DATA!C10463</f>
        <v>43824</v>
      </c>
      <c r="D10463" t="str">
        <f>TEST_DATA!D10463</f>
        <v>NON-NIL</v>
      </c>
      <c r="E10463">
        <f>TEST_DATA!E10463</f>
        <v>768</v>
      </c>
    </row>
    <row r="10464" spans="1:5" x14ac:dyDescent="0.55000000000000004">
      <c r="A10464" t="str">
        <f>TEST_DATA!A10464</f>
        <v>27AAAAA10464Z5</v>
      </c>
      <c r="B10464" t="str">
        <f>TEST_DATA!B10464</f>
        <v>Dec-2017</v>
      </c>
      <c r="C10464">
        <f>TEST_DATA!C10464</f>
        <v>43297</v>
      </c>
      <c r="D10464" t="str">
        <f>TEST_DATA!D10464</f>
        <v>NON-NIL</v>
      </c>
      <c r="E10464">
        <f>TEST_DATA!E10464</f>
        <v>1733</v>
      </c>
    </row>
    <row r="10465" spans="1:5" x14ac:dyDescent="0.55000000000000004">
      <c r="A10465" t="str">
        <f>TEST_DATA!A10465</f>
        <v>27AAAAA10465Z5</v>
      </c>
      <c r="B10465" t="str">
        <f>TEST_DATA!B10465</f>
        <v>Aug-2018</v>
      </c>
      <c r="C10465">
        <f>TEST_DATA!C10465</f>
        <v>44371</v>
      </c>
      <c r="D10465" t="str">
        <f>TEST_DATA!D10465</f>
        <v>NIL</v>
      </c>
      <c r="E10465">
        <f>TEST_DATA!E10465</f>
        <v>762</v>
      </c>
    </row>
    <row r="10466" spans="1:5" x14ac:dyDescent="0.55000000000000004">
      <c r="A10466" t="str">
        <f>TEST_DATA!A10466</f>
        <v>27AAAAA10466Z5</v>
      </c>
      <c r="B10466" t="str">
        <f>TEST_DATA!B10466</f>
        <v>Mar-2023</v>
      </c>
      <c r="C10466">
        <f>TEST_DATA!C10466</f>
        <v>45472</v>
      </c>
      <c r="D10466" t="str">
        <f>TEST_DATA!D10466</f>
        <v>NIL</v>
      </c>
      <c r="E10466">
        <f>TEST_DATA!E10466</f>
        <v>1143</v>
      </c>
    </row>
    <row r="10467" spans="1:5" x14ac:dyDescent="0.55000000000000004">
      <c r="A10467" t="str">
        <f>TEST_DATA!A10467</f>
        <v>27AAAAA10467Z5</v>
      </c>
      <c r="B10467" t="str">
        <f>TEST_DATA!B10467</f>
        <v>Nov-2017</v>
      </c>
      <c r="C10467">
        <f>TEST_DATA!C10467</f>
        <v>43341</v>
      </c>
      <c r="D10467" t="str">
        <f>TEST_DATA!D10467</f>
        <v>NIL</v>
      </c>
      <c r="E10467">
        <f>TEST_DATA!E10467</f>
        <v>2244</v>
      </c>
    </row>
    <row r="10468" spans="1:5" x14ac:dyDescent="0.55000000000000004">
      <c r="A10468" t="str">
        <f>TEST_DATA!A10468</f>
        <v>27AAAAA10468Z5</v>
      </c>
      <c r="B10468" t="str">
        <f>TEST_DATA!B10468</f>
        <v>Oct-2017</v>
      </c>
      <c r="C10468">
        <f>TEST_DATA!C10468</f>
        <v>42920</v>
      </c>
      <c r="D10468" t="str">
        <f>TEST_DATA!D10468</f>
        <v>NON-NIL</v>
      </c>
      <c r="E10468">
        <f>TEST_DATA!E10468</f>
        <v>166</v>
      </c>
    </row>
    <row r="10469" spans="1:5" x14ac:dyDescent="0.55000000000000004">
      <c r="A10469" t="str">
        <f>TEST_DATA!A10469</f>
        <v>27AAAAA10469Z5</v>
      </c>
      <c r="B10469" t="str">
        <f>TEST_DATA!B10469</f>
        <v>Jan-2021</v>
      </c>
      <c r="C10469">
        <f>TEST_DATA!C10469</f>
        <v>45536</v>
      </c>
      <c r="D10469" t="str">
        <f>TEST_DATA!D10469</f>
        <v>NIL</v>
      </c>
      <c r="E10469">
        <f>TEST_DATA!E10469</f>
        <v>2011</v>
      </c>
    </row>
    <row r="10470" spans="1:5" x14ac:dyDescent="0.55000000000000004">
      <c r="A10470" t="str">
        <f>TEST_DATA!A10470</f>
        <v>27AAAAA10470Z5</v>
      </c>
      <c r="B10470" t="str">
        <f>TEST_DATA!B10470</f>
        <v>Aug-2017</v>
      </c>
      <c r="C10470">
        <f>TEST_DATA!C10470</f>
        <v>42995</v>
      </c>
      <c r="D10470" t="str">
        <f>TEST_DATA!D10470</f>
        <v>NON-NIL</v>
      </c>
      <c r="E10470">
        <f>TEST_DATA!E10470</f>
        <v>618</v>
      </c>
    </row>
    <row r="10471" spans="1:5" x14ac:dyDescent="0.55000000000000004">
      <c r="A10471" t="str">
        <f>TEST_DATA!A10471</f>
        <v>27AAAAA10471Z5</v>
      </c>
      <c r="B10471" t="str">
        <f>TEST_DATA!B10471</f>
        <v>Nov-2017</v>
      </c>
      <c r="C10471">
        <f>TEST_DATA!C10471</f>
        <v>44152</v>
      </c>
      <c r="D10471" t="str">
        <f>TEST_DATA!D10471</f>
        <v>NIL</v>
      </c>
      <c r="E10471">
        <f>TEST_DATA!E10471</f>
        <v>2165</v>
      </c>
    </row>
    <row r="10472" spans="1:5" x14ac:dyDescent="0.55000000000000004">
      <c r="A10472" t="str">
        <f>TEST_DATA!A10472</f>
        <v>27AAAAA10472Z5</v>
      </c>
      <c r="B10472" t="str">
        <f>TEST_DATA!B10472</f>
        <v>Mar-2018</v>
      </c>
      <c r="C10472">
        <f>TEST_DATA!C10472</f>
        <v>43632</v>
      </c>
      <c r="D10472" t="str">
        <f>TEST_DATA!D10472</f>
        <v>NON-NIL</v>
      </c>
      <c r="E10472">
        <f>TEST_DATA!E10472</f>
        <v>2680</v>
      </c>
    </row>
    <row r="10473" spans="1:5" x14ac:dyDescent="0.55000000000000004">
      <c r="A10473" t="str">
        <f>TEST_DATA!A10473</f>
        <v>27AAAAA10473Z5</v>
      </c>
      <c r="B10473" t="str">
        <f>TEST_DATA!B10473</f>
        <v>Mar-2021</v>
      </c>
      <c r="C10473">
        <f>TEST_DATA!C10473</f>
        <v>44676</v>
      </c>
      <c r="D10473" t="str">
        <f>TEST_DATA!D10473</f>
        <v>NON-NIL</v>
      </c>
      <c r="E10473">
        <f>TEST_DATA!E10473</f>
        <v>1482</v>
      </c>
    </row>
    <row r="10474" spans="1:5" x14ac:dyDescent="0.55000000000000004">
      <c r="A10474" t="str">
        <f>TEST_DATA!A10474</f>
        <v>27AAAAA10474Z5</v>
      </c>
      <c r="B10474" t="str">
        <f>TEST_DATA!B10474</f>
        <v>Apr-2020</v>
      </c>
      <c r="C10474">
        <f>TEST_DATA!C10474</f>
        <v>43873</v>
      </c>
      <c r="D10474" t="str">
        <f>TEST_DATA!D10474</f>
        <v>NON-NIL</v>
      </c>
      <c r="E10474">
        <f>TEST_DATA!E10474</f>
        <v>543</v>
      </c>
    </row>
    <row r="10475" spans="1:5" x14ac:dyDescent="0.55000000000000004">
      <c r="A10475" t="str">
        <f>TEST_DATA!A10475</f>
        <v>27AAAAA10475Z5</v>
      </c>
      <c r="B10475" t="str">
        <f>TEST_DATA!B10475</f>
        <v>Jan-2019</v>
      </c>
      <c r="C10475">
        <f>TEST_DATA!C10475</f>
        <v>43543</v>
      </c>
      <c r="D10475" t="str">
        <f>TEST_DATA!D10475</f>
        <v>NIL</v>
      </c>
      <c r="E10475">
        <f>TEST_DATA!E10475</f>
        <v>1439</v>
      </c>
    </row>
    <row r="10476" spans="1:5" x14ac:dyDescent="0.55000000000000004">
      <c r="A10476" t="str">
        <f>TEST_DATA!A10476</f>
        <v>27AAAAA10476Z5</v>
      </c>
      <c r="B10476" t="str">
        <f>TEST_DATA!B10476</f>
        <v>Apr-2020</v>
      </c>
      <c r="C10476">
        <f>TEST_DATA!C10476</f>
        <v>44710</v>
      </c>
      <c r="D10476" t="str">
        <f>TEST_DATA!D10476</f>
        <v>NIL</v>
      </c>
      <c r="E10476">
        <f>TEST_DATA!E10476</f>
        <v>463</v>
      </c>
    </row>
    <row r="10477" spans="1:5" x14ac:dyDescent="0.55000000000000004">
      <c r="A10477" t="str">
        <f>TEST_DATA!A10477</f>
        <v>27AAAAA10477Z5</v>
      </c>
      <c r="B10477" t="str">
        <f>TEST_DATA!B10477</f>
        <v>Apr-2021</v>
      </c>
      <c r="C10477">
        <f>TEST_DATA!C10477</f>
        <v>44653</v>
      </c>
      <c r="D10477" t="str">
        <f>TEST_DATA!D10477</f>
        <v>NIL</v>
      </c>
      <c r="E10477">
        <f>TEST_DATA!E10477</f>
        <v>1296</v>
      </c>
    </row>
    <row r="10478" spans="1:5" x14ac:dyDescent="0.55000000000000004">
      <c r="A10478" t="str">
        <f>TEST_DATA!A10478</f>
        <v>27AAAAA10478Z5</v>
      </c>
      <c r="B10478" t="str">
        <f>TEST_DATA!B10478</f>
        <v>Dec-2024</v>
      </c>
      <c r="C10478">
        <f>TEST_DATA!C10478</f>
        <v>45529</v>
      </c>
      <c r="D10478" t="str">
        <f>TEST_DATA!D10478</f>
        <v>NIL</v>
      </c>
      <c r="E10478">
        <f>TEST_DATA!E10478</f>
        <v>183</v>
      </c>
    </row>
    <row r="10479" spans="1:5" x14ac:dyDescent="0.55000000000000004">
      <c r="A10479" t="str">
        <f>TEST_DATA!A10479</f>
        <v>27AAAAA10479Z5</v>
      </c>
      <c r="B10479" t="str">
        <f>TEST_DATA!B10479</f>
        <v>Apr-2018</v>
      </c>
      <c r="C10479">
        <f>TEST_DATA!C10479</f>
        <v>42929</v>
      </c>
      <c r="D10479" t="str">
        <f>TEST_DATA!D10479</f>
        <v>NON-NIL</v>
      </c>
      <c r="E10479">
        <f>TEST_DATA!E10479</f>
        <v>1962</v>
      </c>
    </row>
    <row r="10480" spans="1:5" x14ac:dyDescent="0.55000000000000004">
      <c r="A10480" t="str">
        <f>TEST_DATA!A10480</f>
        <v>27AAAAA10480Z5</v>
      </c>
      <c r="B10480" t="str">
        <f>TEST_DATA!B10480</f>
        <v>Jan-2021</v>
      </c>
      <c r="C10480">
        <f>TEST_DATA!C10480</f>
        <v>44966</v>
      </c>
      <c r="D10480" t="str">
        <f>TEST_DATA!D10480</f>
        <v>NIL</v>
      </c>
      <c r="E10480">
        <f>TEST_DATA!E10480</f>
        <v>904</v>
      </c>
    </row>
    <row r="10481" spans="1:5" x14ac:dyDescent="0.55000000000000004">
      <c r="A10481" t="str">
        <f>TEST_DATA!A10481</f>
        <v>27AAAAA10481Z5</v>
      </c>
      <c r="B10481" t="str">
        <f>TEST_DATA!B10481</f>
        <v>Aug-2017</v>
      </c>
      <c r="C10481">
        <f>TEST_DATA!C10481</f>
        <v>43793</v>
      </c>
      <c r="D10481" t="str">
        <f>TEST_DATA!D10481</f>
        <v>NIL</v>
      </c>
      <c r="E10481">
        <f>TEST_DATA!E10481</f>
        <v>44</v>
      </c>
    </row>
    <row r="10482" spans="1:5" x14ac:dyDescent="0.55000000000000004">
      <c r="A10482" t="str">
        <f>TEST_DATA!A10482</f>
        <v>27AAAAA10482Z5</v>
      </c>
      <c r="B10482" t="str">
        <f>TEST_DATA!B10482</f>
        <v>Apr-2020</v>
      </c>
      <c r="C10482">
        <f>TEST_DATA!C10482</f>
        <v>44144</v>
      </c>
      <c r="D10482" t="str">
        <f>TEST_DATA!D10482</f>
        <v>NIL</v>
      </c>
      <c r="E10482">
        <f>TEST_DATA!E10482</f>
        <v>445</v>
      </c>
    </row>
    <row r="10483" spans="1:5" x14ac:dyDescent="0.55000000000000004">
      <c r="A10483" t="str">
        <f>TEST_DATA!A10483</f>
        <v>27AAAAA10483Z5</v>
      </c>
      <c r="B10483" t="str">
        <f>TEST_DATA!B10483</f>
        <v>Jul-2018</v>
      </c>
      <c r="C10483">
        <f>TEST_DATA!C10483</f>
        <v>44042</v>
      </c>
      <c r="D10483" t="str">
        <f>TEST_DATA!D10483</f>
        <v>NON-NIL</v>
      </c>
      <c r="E10483">
        <f>TEST_DATA!E10483</f>
        <v>1177</v>
      </c>
    </row>
    <row r="10484" spans="1:5" x14ac:dyDescent="0.55000000000000004">
      <c r="A10484" t="str">
        <f>TEST_DATA!A10484</f>
        <v>27AAAAA10484Z5</v>
      </c>
      <c r="B10484" t="str">
        <f>TEST_DATA!B10484</f>
        <v>May-2018</v>
      </c>
      <c r="C10484">
        <f>TEST_DATA!C10484</f>
        <v>43328</v>
      </c>
      <c r="D10484" t="str">
        <f>TEST_DATA!D10484</f>
        <v>NON-NIL</v>
      </c>
      <c r="E10484">
        <f>TEST_DATA!E10484</f>
        <v>451</v>
      </c>
    </row>
    <row r="10485" spans="1:5" x14ac:dyDescent="0.55000000000000004">
      <c r="A10485" t="str">
        <f>TEST_DATA!A10485</f>
        <v>27AAAAA10485Z5</v>
      </c>
      <c r="B10485" t="str">
        <f>TEST_DATA!B10485</f>
        <v>Apr-2018</v>
      </c>
      <c r="C10485">
        <f>TEST_DATA!C10485</f>
        <v>43832</v>
      </c>
      <c r="D10485" t="str">
        <f>TEST_DATA!D10485</f>
        <v>NIL</v>
      </c>
      <c r="E10485">
        <f>TEST_DATA!E10485</f>
        <v>634</v>
      </c>
    </row>
    <row r="10486" spans="1:5" x14ac:dyDescent="0.55000000000000004">
      <c r="A10486" t="str">
        <f>TEST_DATA!A10486</f>
        <v>27AAAAA10486Z5</v>
      </c>
      <c r="B10486" t="str">
        <f>TEST_DATA!B10486</f>
        <v>Aug-2017</v>
      </c>
      <c r="C10486">
        <f>TEST_DATA!C10486</f>
        <v>43497</v>
      </c>
      <c r="D10486" t="str">
        <f>TEST_DATA!D10486</f>
        <v>NIL</v>
      </c>
      <c r="E10486">
        <f>TEST_DATA!E10486</f>
        <v>338</v>
      </c>
    </row>
    <row r="10487" spans="1:5" x14ac:dyDescent="0.55000000000000004">
      <c r="A10487" t="str">
        <f>TEST_DATA!A10487</f>
        <v>27AAAAA10487Z5</v>
      </c>
      <c r="B10487" t="str">
        <f>TEST_DATA!B10487</f>
        <v>Apr-2020</v>
      </c>
      <c r="C10487">
        <f>TEST_DATA!C10487</f>
        <v>44089</v>
      </c>
      <c r="D10487" t="str">
        <f>TEST_DATA!D10487</f>
        <v>NON-NIL</v>
      </c>
      <c r="E10487">
        <f>TEST_DATA!E10487</f>
        <v>1155</v>
      </c>
    </row>
    <row r="10488" spans="1:5" x14ac:dyDescent="0.55000000000000004">
      <c r="A10488" t="str">
        <f>TEST_DATA!A10488</f>
        <v>27AAAAA10488Z5</v>
      </c>
      <c r="B10488" t="str">
        <f>TEST_DATA!B10488</f>
        <v>Feb-2018</v>
      </c>
      <c r="C10488">
        <f>TEST_DATA!C10488</f>
        <v>44555</v>
      </c>
      <c r="D10488" t="str">
        <f>TEST_DATA!D10488</f>
        <v>NIL</v>
      </c>
      <c r="E10488">
        <f>TEST_DATA!E10488</f>
        <v>735</v>
      </c>
    </row>
    <row r="10489" spans="1:5" x14ac:dyDescent="0.55000000000000004">
      <c r="A10489" t="str">
        <f>TEST_DATA!A10489</f>
        <v>27AAAAA10489Z5</v>
      </c>
      <c r="B10489" t="str">
        <f>TEST_DATA!B10489</f>
        <v>Aug-2018</v>
      </c>
      <c r="C10489">
        <f>TEST_DATA!C10489</f>
        <v>43787</v>
      </c>
      <c r="D10489" t="str">
        <f>TEST_DATA!D10489</f>
        <v>NON-NIL</v>
      </c>
      <c r="E10489">
        <f>TEST_DATA!E10489</f>
        <v>1439</v>
      </c>
    </row>
    <row r="10490" spans="1:5" x14ac:dyDescent="0.55000000000000004">
      <c r="A10490" t="str">
        <f>TEST_DATA!A10490</f>
        <v>27AAAAA10490Z5</v>
      </c>
      <c r="B10490" t="str">
        <f>TEST_DATA!B10490</f>
        <v>Jul-2018</v>
      </c>
      <c r="C10490">
        <f>TEST_DATA!C10490</f>
        <v>43005</v>
      </c>
      <c r="D10490" t="str">
        <f>TEST_DATA!D10490</f>
        <v>NIL</v>
      </c>
      <c r="E10490">
        <f>TEST_DATA!E10490</f>
        <v>907</v>
      </c>
    </row>
    <row r="10491" spans="1:5" x14ac:dyDescent="0.55000000000000004">
      <c r="A10491" t="str">
        <f>TEST_DATA!A10491</f>
        <v>27AAAAA10491Z5</v>
      </c>
      <c r="B10491" t="str">
        <f>TEST_DATA!B10491</f>
        <v>Jan-2018</v>
      </c>
      <c r="C10491">
        <f>TEST_DATA!C10491</f>
        <v>43739</v>
      </c>
      <c r="D10491" t="str">
        <f>TEST_DATA!D10491</f>
        <v>NIL</v>
      </c>
      <c r="E10491">
        <f>TEST_DATA!E10491</f>
        <v>1695</v>
      </c>
    </row>
    <row r="10492" spans="1:5" x14ac:dyDescent="0.55000000000000004">
      <c r="A10492" t="str">
        <f>TEST_DATA!A10492</f>
        <v>27AAAAA10492Z5</v>
      </c>
      <c r="B10492" t="str">
        <f>TEST_DATA!B10492</f>
        <v>Jun-2018</v>
      </c>
      <c r="C10492">
        <f>TEST_DATA!C10492</f>
        <v>43612</v>
      </c>
      <c r="D10492" t="str">
        <f>TEST_DATA!D10492</f>
        <v>NIL</v>
      </c>
      <c r="E10492">
        <f>TEST_DATA!E10492</f>
        <v>1714</v>
      </c>
    </row>
    <row r="10493" spans="1:5" x14ac:dyDescent="0.55000000000000004">
      <c r="A10493" t="str">
        <f>TEST_DATA!A10493</f>
        <v>27AAAAA10493Z5</v>
      </c>
      <c r="B10493" t="str">
        <f>TEST_DATA!B10493</f>
        <v>Mar-2021</v>
      </c>
      <c r="C10493">
        <f>TEST_DATA!C10493</f>
        <v>44062</v>
      </c>
      <c r="D10493" t="str">
        <f>TEST_DATA!D10493</f>
        <v>NON-NIL</v>
      </c>
      <c r="E10493">
        <f>TEST_DATA!E10493</f>
        <v>1858</v>
      </c>
    </row>
    <row r="10494" spans="1:5" x14ac:dyDescent="0.55000000000000004">
      <c r="A10494" t="str">
        <f>TEST_DATA!A10494</f>
        <v>27AAAAA10494Z5</v>
      </c>
      <c r="B10494" t="str">
        <f>TEST_DATA!B10494</f>
        <v>May-2018</v>
      </c>
      <c r="C10494">
        <f>TEST_DATA!C10494</f>
        <v>43596</v>
      </c>
      <c r="D10494" t="str">
        <f>TEST_DATA!D10494</f>
        <v>NON-NIL</v>
      </c>
      <c r="E10494">
        <f>TEST_DATA!E10494</f>
        <v>613</v>
      </c>
    </row>
    <row r="10495" spans="1:5" x14ac:dyDescent="0.55000000000000004">
      <c r="A10495" t="str">
        <f>TEST_DATA!A10495</f>
        <v>27AAAAA10495Z5</v>
      </c>
      <c r="B10495" t="str">
        <f>TEST_DATA!B10495</f>
        <v>Aug-2018</v>
      </c>
      <c r="C10495">
        <f>TEST_DATA!C10495</f>
        <v>43852</v>
      </c>
      <c r="D10495" t="str">
        <f>TEST_DATA!D10495</f>
        <v>NIL</v>
      </c>
      <c r="E10495">
        <f>TEST_DATA!E10495</f>
        <v>221</v>
      </c>
    </row>
    <row r="10496" spans="1:5" x14ac:dyDescent="0.55000000000000004">
      <c r="A10496" t="str">
        <f>TEST_DATA!A10496</f>
        <v>27AAAAA10496Z5</v>
      </c>
      <c r="B10496" t="str">
        <f>TEST_DATA!B10496</f>
        <v>Jun-2020</v>
      </c>
      <c r="C10496">
        <f>TEST_DATA!C10496</f>
        <v>44326</v>
      </c>
      <c r="D10496" t="str">
        <f>TEST_DATA!D10496</f>
        <v>NON-NIL</v>
      </c>
      <c r="E10496">
        <f>TEST_DATA!E10496</f>
        <v>2576</v>
      </c>
    </row>
    <row r="10497" spans="1:5" x14ac:dyDescent="0.55000000000000004">
      <c r="A10497" t="str">
        <f>TEST_DATA!A10497</f>
        <v>27AAAAA10497Z5</v>
      </c>
      <c r="B10497" t="str">
        <f>TEST_DATA!B10497</f>
        <v>Dec-2024</v>
      </c>
      <c r="C10497">
        <f>TEST_DATA!C10497</f>
        <v>45403</v>
      </c>
      <c r="D10497" t="str">
        <f>TEST_DATA!D10497</f>
        <v>NIL</v>
      </c>
      <c r="E10497">
        <f>TEST_DATA!E10497</f>
        <v>589</v>
      </c>
    </row>
    <row r="10498" spans="1:5" x14ac:dyDescent="0.55000000000000004">
      <c r="A10498" t="str">
        <f>TEST_DATA!A10498</f>
        <v>27AAAAA10498Z5</v>
      </c>
      <c r="B10498" t="str">
        <f>TEST_DATA!B10498</f>
        <v>Sep-2018</v>
      </c>
      <c r="C10498">
        <f>TEST_DATA!C10498</f>
        <v>44399</v>
      </c>
      <c r="D10498" t="str">
        <f>TEST_DATA!D10498</f>
        <v>NON-NIL</v>
      </c>
      <c r="E10498">
        <f>TEST_DATA!E10498</f>
        <v>461</v>
      </c>
    </row>
    <row r="10499" spans="1:5" x14ac:dyDescent="0.55000000000000004">
      <c r="A10499" t="str">
        <f>TEST_DATA!A10499</f>
        <v>27AAAAA10499Z5</v>
      </c>
      <c r="B10499" t="str">
        <f>TEST_DATA!B10499</f>
        <v>Jul-2017</v>
      </c>
      <c r="C10499">
        <f>TEST_DATA!C10499</f>
        <v>42932</v>
      </c>
      <c r="D10499" t="str">
        <f>TEST_DATA!D10499</f>
        <v>NON-NIL</v>
      </c>
      <c r="E10499">
        <f>TEST_DATA!E10499</f>
        <v>2806</v>
      </c>
    </row>
    <row r="10500" spans="1:5" x14ac:dyDescent="0.55000000000000004">
      <c r="A10500" t="str">
        <f>TEST_DATA!A10500</f>
        <v>27AAAAA10500Z5</v>
      </c>
      <c r="B10500" t="str">
        <f>TEST_DATA!B10500</f>
        <v>Aug-2018</v>
      </c>
      <c r="C10500">
        <f>TEST_DATA!C10500</f>
        <v>44043</v>
      </c>
      <c r="D10500" t="str">
        <f>TEST_DATA!D10500</f>
        <v>NON-NIL</v>
      </c>
      <c r="E10500">
        <f>TEST_DATA!E10500</f>
        <v>170</v>
      </c>
    </row>
    <row r="10501" spans="1:5" x14ac:dyDescent="0.55000000000000004">
      <c r="A10501" t="str">
        <f>TEST_DATA!A10501</f>
        <v>27AAAAA10501Z5</v>
      </c>
      <c r="B10501" t="str">
        <f>TEST_DATA!B10501</f>
        <v>Aug-2018</v>
      </c>
      <c r="C10501">
        <f>TEST_DATA!C10501</f>
        <v>44102</v>
      </c>
      <c r="D10501" t="str">
        <f>TEST_DATA!D10501</f>
        <v>NIL</v>
      </c>
      <c r="E10501">
        <f>TEST_DATA!E10501</f>
        <v>1307</v>
      </c>
    </row>
    <row r="10502" spans="1:5" x14ac:dyDescent="0.55000000000000004">
      <c r="A10502" t="str">
        <f>TEST_DATA!A10502</f>
        <v>27AAAAA10502Z5</v>
      </c>
      <c r="B10502" t="str">
        <f>TEST_DATA!B10502</f>
        <v>Sep-2018</v>
      </c>
      <c r="C10502">
        <f>TEST_DATA!C10502</f>
        <v>43072</v>
      </c>
      <c r="D10502" t="str">
        <f>TEST_DATA!D10502</f>
        <v>NIL</v>
      </c>
      <c r="E10502">
        <f>TEST_DATA!E10502</f>
        <v>728</v>
      </c>
    </row>
    <row r="10503" spans="1:5" x14ac:dyDescent="0.55000000000000004">
      <c r="A10503" t="str">
        <f>TEST_DATA!A10503</f>
        <v>27AAAAA10503Z5</v>
      </c>
      <c r="B10503" t="str">
        <f>TEST_DATA!B10503</f>
        <v>Sep-2017</v>
      </c>
      <c r="C10503">
        <f>TEST_DATA!C10503</f>
        <v>44346</v>
      </c>
      <c r="D10503" t="str">
        <f>TEST_DATA!D10503</f>
        <v>NIL</v>
      </c>
      <c r="E10503">
        <f>TEST_DATA!E10503</f>
        <v>1569</v>
      </c>
    </row>
    <row r="10504" spans="1:5" x14ac:dyDescent="0.55000000000000004">
      <c r="A10504" t="str">
        <f>TEST_DATA!A10504</f>
        <v>27AAAAA10504Z5</v>
      </c>
      <c r="B10504" t="str">
        <f>TEST_DATA!B10504</f>
        <v>Sep-2018</v>
      </c>
      <c r="C10504">
        <f>TEST_DATA!C10504</f>
        <v>44326</v>
      </c>
      <c r="D10504" t="str">
        <f>TEST_DATA!D10504</f>
        <v>NIL</v>
      </c>
      <c r="E10504">
        <f>TEST_DATA!E10504</f>
        <v>738</v>
      </c>
    </row>
    <row r="10505" spans="1:5" x14ac:dyDescent="0.55000000000000004">
      <c r="A10505" t="str">
        <f>TEST_DATA!A10505</f>
        <v>27AAAAA10505Z5</v>
      </c>
      <c r="B10505" t="str">
        <f>TEST_DATA!B10505</f>
        <v>Feb-2018</v>
      </c>
      <c r="C10505">
        <f>TEST_DATA!C10505</f>
        <v>43664</v>
      </c>
      <c r="D10505" t="str">
        <f>TEST_DATA!D10505</f>
        <v>NIL</v>
      </c>
      <c r="E10505">
        <f>TEST_DATA!E10505</f>
        <v>2352</v>
      </c>
    </row>
    <row r="10506" spans="1:5" x14ac:dyDescent="0.55000000000000004">
      <c r="A10506" t="str">
        <f>TEST_DATA!A10506</f>
        <v>27AAAAA10506Z5</v>
      </c>
      <c r="B10506" t="str">
        <f>TEST_DATA!B10506</f>
        <v>Apr-2021</v>
      </c>
      <c r="C10506">
        <f>TEST_DATA!C10506</f>
        <v>44406</v>
      </c>
      <c r="D10506" t="str">
        <f>TEST_DATA!D10506</f>
        <v>NIL</v>
      </c>
      <c r="E10506">
        <f>TEST_DATA!E10506</f>
        <v>68</v>
      </c>
    </row>
    <row r="10507" spans="1:5" x14ac:dyDescent="0.55000000000000004">
      <c r="A10507" t="str">
        <f>TEST_DATA!A10507</f>
        <v>27AAAAA10507Z5</v>
      </c>
      <c r="B10507" t="str">
        <f>TEST_DATA!B10507</f>
        <v>May-2020</v>
      </c>
      <c r="C10507">
        <f>TEST_DATA!C10507</f>
        <v>44589</v>
      </c>
      <c r="D10507" t="str">
        <f>TEST_DATA!D10507</f>
        <v>NON-NIL</v>
      </c>
      <c r="E10507">
        <f>TEST_DATA!E10507</f>
        <v>2169</v>
      </c>
    </row>
    <row r="10508" spans="1:5" x14ac:dyDescent="0.55000000000000004">
      <c r="A10508" t="str">
        <f>TEST_DATA!A10508</f>
        <v>27AAAAA10508Z5</v>
      </c>
      <c r="B10508" t="str">
        <f>TEST_DATA!B10508</f>
        <v>Apr-2018</v>
      </c>
      <c r="C10508">
        <f>TEST_DATA!C10508</f>
        <v>44420</v>
      </c>
      <c r="D10508" t="str">
        <f>TEST_DATA!D10508</f>
        <v>NON-NIL</v>
      </c>
      <c r="E10508">
        <f>TEST_DATA!E10508</f>
        <v>335</v>
      </c>
    </row>
    <row r="10509" spans="1:5" x14ac:dyDescent="0.55000000000000004">
      <c r="A10509" t="str">
        <f>TEST_DATA!A10509</f>
        <v>27AAAAA10509Z5</v>
      </c>
      <c r="B10509" t="str">
        <f>TEST_DATA!B10509</f>
        <v>Mar-2023</v>
      </c>
      <c r="C10509">
        <f>TEST_DATA!C10509</f>
        <v>45180</v>
      </c>
      <c r="D10509" t="str">
        <f>TEST_DATA!D10509</f>
        <v>NON-NIL</v>
      </c>
      <c r="E10509">
        <f>TEST_DATA!E10509</f>
        <v>1937</v>
      </c>
    </row>
    <row r="10510" spans="1:5" x14ac:dyDescent="0.55000000000000004">
      <c r="A10510" t="str">
        <f>TEST_DATA!A10510</f>
        <v>27AAAAA10510Z5</v>
      </c>
      <c r="B10510" t="str">
        <f>TEST_DATA!B10510</f>
        <v>Dec-2022</v>
      </c>
      <c r="C10510">
        <f>TEST_DATA!C10510</f>
        <v>43695</v>
      </c>
      <c r="D10510" t="str">
        <f>TEST_DATA!D10510</f>
        <v>NON-NIL</v>
      </c>
      <c r="E10510">
        <f>TEST_DATA!E10510</f>
        <v>2382</v>
      </c>
    </row>
    <row r="10511" spans="1:5" x14ac:dyDescent="0.55000000000000004">
      <c r="A10511" t="str">
        <f>TEST_DATA!A10511</f>
        <v>27AAAAA10511Z5</v>
      </c>
      <c r="B10511" t="str">
        <f>TEST_DATA!B10511</f>
        <v>Apr-2018</v>
      </c>
      <c r="C10511">
        <f>TEST_DATA!C10511</f>
        <v>43302</v>
      </c>
      <c r="D10511" t="str">
        <f>TEST_DATA!D10511</f>
        <v>NIL</v>
      </c>
      <c r="E10511">
        <f>TEST_DATA!E10511</f>
        <v>443</v>
      </c>
    </row>
    <row r="10512" spans="1:5" x14ac:dyDescent="0.55000000000000004">
      <c r="A10512" t="str">
        <f>TEST_DATA!A10512</f>
        <v>27AAAAA10512Z5</v>
      </c>
      <c r="B10512" t="str">
        <f>TEST_DATA!B10512</f>
        <v>Jul-2020</v>
      </c>
      <c r="C10512">
        <f>TEST_DATA!C10512</f>
        <v>44912</v>
      </c>
      <c r="D10512" t="str">
        <f>TEST_DATA!D10512</f>
        <v>NIL</v>
      </c>
      <c r="E10512">
        <f>TEST_DATA!E10512</f>
        <v>131</v>
      </c>
    </row>
    <row r="10513" spans="1:5" x14ac:dyDescent="0.55000000000000004">
      <c r="A10513" t="str">
        <f>TEST_DATA!A10513</f>
        <v>27AAAAA10513Z5</v>
      </c>
      <c r="B10513" t="str">
        <f>TEST_DATA!B10513</f>
        <v>Nov-2017</v>
      </c>
      <c r="C10513">
        <f>TEST_DATA!C10513</f>
        <v>43472</v>
      </c>
      <c r="D10513" t="str">
        <f>TEST_DATA!D10513</f>
        <v>NIL</v>
      </c>
      <c r="E10513">
        <f>TEST_DATA!E10513</f>
        <v>1621</v>
      </c>
    </row>
    <row r="10514" spans="1:5" x14ac:dyDescent="0.55000000000000004">
      <c r="A10514" t="str">
        <f>TEST_DATA!A10514</f>
        <v>27AAAAA10514Z5</v>
      </c>
      <c r="B10514" t="str">
        <f>TEST_DATA!B10514</f>
        <v>Jun-2020</v>
      </c>
      <c r="C10514">
        <f>TEST_DATA!C10514</f>
        <v>44373</v>
      </c>
      <c r="D10514" t="str">
        <f>TEST_DATA!D10514</f>
        <v>NON-NIL</v>
      </c>
      <c r="E10514">
        <f>TEST_DATA!E10514</f>
        <v>2164</v>
      </c>
    </row>
    <row r="10515" spans="1:5" x14ac:dyDescent="0.55000000000000004">
      <c r="A10515" t="str">
        <f>TEST_DATA!A10515</f>
        <v>27AAAAA10515Z5</v>
      </c>
      <c r="B10515" t="str">
        <f>TEST_DATA!B10515</f>
        <v>Apr-2021</v>
      </c>
      <c r="C10515">
        <f>TEST_DATA!C10515</f>
        <v>44835</v>
      </c>
      <c r="D10515" t="str">
        <f>TEST_DATA!D10515</f>
        <v>NON-NIL</v>
      </c>
      <c r="E10515">
        <f>TEST_DATA!E10515</f>
        <v>452</v>
      </c>
    </row>
    <row r="10516" spans="1:5" x14ac:dyDescent="0.55000000000000004">
      <c r="A10516" t="str">
        <f>TEST_DATA!A10516</f>
        <v>27AAAAA10516Z5</v>
      </c>
      <c r="B10516" t="str">
        <f>TEST_DATA!B10516</f>
        <v>Mar-2020</v>
      </c>
      <c r="C10516">
        <f>TEST_DATA!C10516</f>
        <v>43881</v>
      </c>
      <c r="D10516" t="str">
        <f>TEST_DATA!D10516</f>
        <v>NIL</v>
      </c>
      <c r="E10516">
        <f>TEST_DATA!E10516</f>
        <v>2952</v>
      </c>
    </row>
    <row r="10517" spans="1:5" x14ac:dyDescent="0.55000000000000004">
      <c r="A10517" t="str">
        <f>TEST_DATA!A10517</f>
        <v>27AAAAA10517Z5</v>
      </c>
      <c r="B10517" t="str">
        <f>TEST_DATA!B10517</f>
        <v>Aug-2017</v>
      </c>
      <c r="C10517">
        <f>TEST_DATA!C10517</f>
        <v>43540</v>
      </c>
      <c r="D10517" t="str">
        <f>TEST_DATA!D10517</f>
        <v>NIL</v>
      </c>
      <c r="E10517">
        <f>TEST_DATA!E10517</f>
        <v>2672</v>
      </c>
    </row>
    <row r="10518" spans="1:5" x14ac:dyDescent="0.55000000000000004">
      <c r="A10518" t="str">
        <f>TEST_DATA!A10518</f>
        <v>27AAAAA10518Z5</v>
      </c>
      <c r="B10518" t="str">
        <f>TEST_DATA!B10518</f>
        <v>Dec-2024</v>
      </c>
      <c r="C10518">
        <f>TEST_DATA!C10518</f>
        <v>43731</v>
      </c>
      <c r="D10518" t="str">
        <f>TEST_DATA!D10518</f>
        <v>NON-NIL</v>
      </c>
      <c r="E10518">
        <f>TEST_DATA!E10518</f>
        <v>2908</v>
      </c>
    </row>
    <row r="10519" spans="1:5" x14ac:dyDescent="0.55000000000000004">
      <c r="A10519" t="str">
        <f>TEST_DATA!A10519</f>
        <v>27AAAAA10519Z5</v>
      </c>
      <c r="B10519" t="str">
        <f>TEST_DATA!B10519</f>
        <v>Apr-2018</v>
      </c>
      <c r="C10519">
        <f>TEST_DATA!C10519</f>
        <v>44031</v>
      </c>
      <c r="D10519" t="str">
        <f>TEST_DATA!D10519</f>
        <v>NIL</v>
      </c>
      <c r="E10519">
        <f>TEST_DATA!E10519</f>
        <v>1294</v>
      </c>
    </row>
    <row r="10520" spans="1:5" x14ac:dyDescent="0.55000000000000004">
      <c r="A10520" t="str">
        <f>TEST_DATA!A10520</f>
        <v>27AAAAA10520Z5</v>
      </c>
      <c r="B10520" t="str">
        <f>TEST_DATA!B10520</f>
        <v>Oct-2017</v>
      </c>
      <c r="C10520">
        <f>TEST_DATA!C10520</f>
        <v>43019</v>
      </c>
      <c r="D10520" t="str">
        <f>TEST_DATA!D10520</f>
        <v>NIL</v>
      </c>
      <c r="E10520">
        <f>TEST_DATA!E10520</f>
        <v>779</v>
      </c>
    </row>
    <row r="10521" spans="1:5" x14ac:dyDescent="0.55000000000000004">
      <c r="A10521" t="str">
        <f>TEST_DATA!A10521</f>
        <v>27AAAAA10521Z5</v>
      </c>
      <c r="B10521" t="str">
        <f>TEST_DATA!B10521</f>
        <v>Apr-2018</v>
      </c>
      <c r="C10521">
        <f>TEST_DATA!C10521</f>
        <v>43718</v>
      </c>
      <c r="D10521" t="str">
        <f>TEST_DATA!D10521</f>
        <v>NON-NIL</v>
      </c>
      <c r="E10521">
        <f>TEST_DATA!E10521</f>
        <v>2963</v>
      </c>
    </row>
    <row r="10522" spans="1:5" x14ac:dyDescent="0.55000000000000004">
      <c r="A10522" t="str">
        <f>TEST_DATA!A10522</f>
        <v>27AAAAA10522Z5</v>
      </c>
      <c r="B10522" t="str">
        <f>TEST_DATA!B10522</f>
        <v>Feb-2018</v>
      </c>
      <c r="C10522">
        <f>TEST_DATA!C10522</f>
        <v>43376</v>
      </c>
      <c r="D10522" t="str">
        <f>TEST_DATA!D10522</f>
        <v>NON-NIL</v>
      </c>
      <c r="E10522">
        <f>TEST_DATA!E10522</f>
        <v>831</v>
      </c>
    </row>
    <row r="10523" spans="1:5" x14ac:dyDescent="0.55000000000000004">
      <c r="A10523" t="str">
        <f>TEST_DATA!A10523</f>
        <v>27AAAAA10523Z5</v>
      </c>
      <c r="B10523" t="str">
        <f>TEST_DATA!B10523</f>
        <v>Mar-2021</v>
      </c>
      <c r="C10523">
        <f>TEST_DATA!C10523</f>
        <v>44441</v>
      </c>
      <c r="D10523" t="str">
        <f>TEST_DATA!D10523</f>
        <v>NIL</v>
      </c>
      <c r="E10523">
        <f>TEST_DATA!E10523</f>
        <v>1293</v>
      </c>
    </row>
    <row r="10524" spans="1:5" x14ac:dyDescent="0.55000000000000004">
      <c r="A10524" t="str">
        <f>TEST_DATA!A10524</f>
        <v>27AAAAA10524Z5</v>
      </c>
      <c r="B10524" t="str">
        <f>TEST_DATA!B10524</f>
        <v>Jan-2019</v>
      </c>
      <c r="C10524">
        <f>TEST_DATA!C10524</f>
        <v>44974</v>
      </c>
      <c r="D10524" t="str">
        <f>TEST_DATA!D10524</f>
        <v>NON-NIL</v>
      </c>
      <c r="E10524">
        <f>TEST_DATA!E10524</f>
        <v>792</v>
      </c>
    </row>
    <row r="10525" spans="1:5" x14ac:dyDescent="0.55000000000000004">
      <c r="A10525" t="str">
        <f>TEST_DATA!A10525</f>
        <v>27AAAAA10525Z5</v>
      </c>
      <c r="B10525" t="str">
        <f>TEST_DATA!B10525</f>
        <v>Sep-2018</v>
      </c>
      <c r="C10525">
        <f>TEST_DATA!C10525</f>
        <v>44351</v>
      </c>
      <c r="D10525" t="str">
        <f>TEST_DATA!D10525</f>
        <v>NIL</v>
      </c>
      <c r="E10525">
        <f>TEST_DATA!E10525</f>
        <v>11</v>
      </c>
    </row>
    <row r="10526" spans="1:5" x14ac:dyDescent="0.55000000000000004">
      <c r="A10526" t="str">
        <f>TEST_DATA!A10526</f>
        <v>27AAAAA10526Z5</v>
      </c>
      <c r="B10526" t="str">
        <f>TEST_DATA!B10526</f>
        <v>Mar-2020</v>
      </c>
      <c r="C10526">
        <f>TEST_DATA!C10526</f>
        <v>44408</v>
      </c>
      <c r="D10526" t="str">
        <f>TEST_DATA!D10526</f>
        <v>NIL</v>
      </c>
      <c r="E10526">
        <f>TEST_DATA!E10526</f>
        <v>1661</v>
      </c>
    </row>
    <row r="10527" spans="1:5" x14ac:dyDescent="0.55000000000000004">
      <c r="A10527" t="str">
        <f>TEST_DATA!A10527</f>
        <v>27AAAAA10527Z5</v>
      </c>
      <c r="B10527" t="str">
        <f>TEST_DATA!B10527</f>
        <v>Mar-2021</v>
      </c>
      <c r="C10527">
        <f>TEST_DATA!C10527</f>
        <v>44545</v>
      </c>
      <c r="D10527" t="str">
        <f>TEST_DATA!D10527</f>
        <v>NIL</v>
      </c>
      <c r="E10527">
        <f>TEST_DATA!E10527</f>
        <v>1846</v>
      </c>
    </row>
    <row r="10528" spans="1:5" x14ac:dyDescent="0.55000000000000004">
      <c r="A10528" t="str">
        <f>TEST_DATA!A10528</f>
        <v>27AAAAA10528Z5</v>
      </c>
      <c r="B10528" t="str">
        <f>TEST_DATA!B10528</f>
        <v>Sep-2018</v>
      </c>
      <c r="C10528">
        <f>TEST_DATA!C10528</f>
        <v>42984</v>
      </c>
      <c r="D10528" t="str">
        <f>TEST_DATA!D10528</f>
        <v>NIL</v>
      </c>
      <c r="E10528">
        <f>TEST_DATA!E10528</f>
        <v>392</v>
      </c>
    </row>
    <row r="10529" spans="1:5" x14ac:dyDescent="0.55000000000000004">
      <c r="A10529" t="str">
        <f>TEST_DATA!A10529</f>
        <v>27AAAAA10529Z5</v>
      </c>
      <c r="B10529" t="str">
        <f>TEST_DATA!B10529</f>
        <v>Apr-2021</v>
      </c>
      <c r="C10529">
        <f>TEST_DATA!C10529</f>
        <v>45360</v>
      </c>
      <c r="D10529" t="str">
        <f>TEST_DATA!D10529</f>
        <v>NIL</v>
      </c>
      <c r="E10529">
        <f>TEST_DATA!E10529</f>
        <v>1104</v>
      </c>
    </row>
    <row r="10530" spans="1:5" x14ac:dyDescent="0.55000000000000004">
      <c r="A10530" t="str">
        <f>TEST_DATA!A10530</f>
        <v>27AAAAA10530Z5</v>
      </c>
      <c r="B10530" t="str">
        <f>TEST_DATA!B10530</f>
        <v>Sep-2018</v>
      </c>
      <c r="C10530">
        <f>TEST_DATA!C10530</f>
        <v>43042</v>
      </c>
      <c r="D10530" t="str">
        <f>TEST_DATA!D10530</f>
        <v>NIL</v>
      </c>
      <c r="E10530">
        <f>TEST_DATA!E10530</f>
        <v>753</v>
      </c>
    </row>
    <row r="10531" spans="1:5" x14ac:dyDescent="0.55000000000000004">
      <c r="A10531" t="str">
        <f>TEST_DATA!A10531</f>
        <v>27AAAAA10531Z5</v>
      </c>
      <c r="B10531" t="str">
        <f>TEST_DATA!B10531</f>
        <v>May-2018</v>
      </c>
      <c r="C10531">
        <f>TEST_DATA!C10531</f>
        <v>44358</v>
      </c>
      <c r="D10531" t="str">
        <f>TEST_DATA!D10531</f>
        <v>NIL</v>
      </c>
      <c r="E10531">
        <f>TEST_DATA!E10531</f>
        <v>2260</v>
      </c>
    </row>
    <row r="10532" spans="1:5" x14ac:dyDescent="0.55000000000000004">
      <c r="A10532" t="str">
        <f>TEST_DATA!A10532</f>
        <v>27AAAAA10532Z5</v>
      </c>
      <c r="B10532" t="str">
        <f>TEST_DATA!B10532</f>
        <v>Dec-2024</v>
      </c>
      <c r="C10532">
        <f>TEST_DATA!C10532</f>
        <v>44383</v>
      </c>
      <c r="D10532" t="str">
        <f>TEST_DATA!D10532</f>
        <v>NIL</v>
      </c>
      <c r="E10532">
        <f>TEST_DATA!E10532</f>
        <v>2570</v>
      </c>
    </row>
    <row r="10533" spans="1:5" x14ac:dyDescent="0.55000000000000004">
      <c r="A10533" t="str">
        <f>TEST_DATA!A10533</f>
        <v>27AAAAA10533Z5</v>
      </c>
      <c r="B10533" t="str">
        <f>TEST_DATA!B10533</f>
        <v>Dec-2022</v>
      </c>
      <c r="C10533">
        <f>TEST_DATA!C10533</f>
        <v>45781</v>
      </c>
      <c r="D10533" t="str">
        <f>TEST_DATA!D10533</f>
        <v>NON-NIL</v>
      </c>
      <c r="E10533">
        <f>TEST_DATA!E10533</f>
        <v>379</v>
      </c>
    </row>
    <row r="10534" spans="1:5" x14ac:dyDescent="0.55000000000000004">
      <c r="A10534" t="str">
        <f>TEST_DATA!A10534</f>
        <v>27AAAAA10534Z5</v>
      </c>
      <c r="B10534" t="str">
        <f>TEST_DATA!B10534</f>
        <v>Sep-2018</v>
      </c>
      <c r="C10534">
        <f>TEST_DATA!C10534</f>
        <v>44231</v>
      </c>
      <c r="D10534" t="str">
        <f>TEST_DATA!D10534</f>
        <v>NON-NIL</v>
      </c>
      <c r="E10534">
        <f>TEST_DATA!E10534</f>
        <v>1559</v>
      </c>
    </row>
    <row r="10535" spans="1:5" x14ac:dyDescent="0.55000000000000004">
      <c r="A10535" t="str">
        <f>TEST_DATA!A10535</f>
        <v>27AAAAA10535Z5</v>
      </c>
      <c r="B10535" t="str">
        <f>TEST_DATA!B10535</f>
        <v>Jun-2019</v>
      </c>
      <c r="C10535">
        <f>TEST_DATA!C10535</f>
        <v>43910</v>
      </c>
      <c r="D10535" t="str">
        <f>TEST_DATA!D10535</f>
        <v>NON-NIL</v>
      </c>
      <c r="E10535">
        <f>TEST_DATA!E10535</f>
        <v>1550</v>
      </c>
    </row>
    <row r="10536" spans="1:5" x14ac:dyDescent="0.55000000000000004">
      <c r="A10536" t="str">
        <f>TEST_DATA!A10536</f>
        <v>27AAAAA10536Z5</v>
      </c>
      <c r="B10536" t="str">
        <f>TEST_DATA!B10536</f>
        <v>Apr-2020</v>
      </c>
      <c r="C10536">
        <f>TEST_DATA!C10536</f>
        <v>44741</v>
      </c>
      <c r="D10536" t="str">
        <f>TEST_DATA!D10536</f>
        <v>NON-NIL</v>
      </c>
      <c r="E10536">
        <f>TEST_DATA!E10536</f>
        <v>150</v>
      </c>
    </row>
    <row r="10537" spans="1:5" x14ac:dyDescent="0.55000000000000004">
      <c r="A10537" t="str">
        <f>TEST_DATA!A10537</f>
        <v>27AAAAA10537Z5</v>
      </c>
      <c r="B10537" t="str">
        <f>TEST_DATA!B10537</f>
        <v>Jun-2018</v>
      </c>
      <c r="C10537">
        <f>TEST_DATA!C10537</f>
        <v>44154</v>
      </c>
      <c r="D10537" t="str">
        <f>TEST_DATA!D10537</f>
        <v>NIL</v>
      </c>
      <c r="E10537">
        <f>TEST_DATA!E10537</f>
        <v>2021</v>
      </c>
    </row>
    <row r="10538" spans="1:5" x14ac:dyDescent="0.55000000000000004">
      <c r="A10538" t="str">
        <f>TEST_DATA!A10538</f>
        <v>27AAAAA10538Z5</v>
      </c>
      <c r="B10538" t="str">
        <f>TEST_DATA!B10538</f>
        <v>Jan-2021</v>
      </c>
      <c r="C10538">
        <f>TEST_DATA!C10538</f>
        <v>44435</v>
      </c>
      <c r="D10538" t="str">
        <f>TEST_DATA!D10538</f>
        <v>NIL</v>
      </c>
      <c r="E10538">
        <f>TEST_DATA!E10538</f>
        <v>125</v>
      </c>
    </row>
    <row r="10539" spans="1:5" x14ac:dyDescent="0.55000000000000004">
      <c r="A10539" t="str">
        <f>TEST_DATA!A10539</f>
        <v>27AAAAA10539Z5</v>
      </c>
      <c r="B10539" t="str">
        <f>TEST_DATA!B10539</f>
        <v>Mar-2021</v>
      </c>
      <c r="C10539">
        <f>TEST_DATA!C10539</f>
        <v>43749</v>
      </c>
      <c r="D10539" t="str">
        <f>TEST_DATA!D10539</f>
        <v>NIL</v>
      </c>
      <c r="E10539">
        <f>TEST_DATA!E10539</f>
        <v>2808</v>
      </c>
    </row>
    <row r="10540" spans="1:5" x14ac:dyDescent="0.55000000000000004">
      <c r="A10540" t="str">
        <f>TEST_DATA!A10540</f>
        <v>27AAAAA10540Z5</v>
      </c>
      <c r="B10540" t="str">
        <f>TEST_DATA!B10540</f>
        <v>Jun-2018</v>
      </c>
      <c r="C10540">
        <f>TEST_DATA!C10540</f>
        <v>44393</v>
      </c>
      <c r="D10540" t="str">
        <f>TEST_DATA!D10540</f>
        <v>NON-NIL</v>
      </c>
      <c r="E10540">
        <f>TEST_DATA!E10540</f>
        <v>2415</v>
      </c>
    </row>
    <row r="10541" spans="1:5" x14ac:dyDescent="0.55000000000000004">
      <c r="A10541" t="str">
        <f>TEST_DATA!A10541</f>
        <v>27AAAAA10541Z5</v>
      </c>
      <c r="B10541" t="str">
        <f>TEST_DATA!B10541</f>
        <v>Sep-2017</v>
      </c>
      <c r="C10541">
        <f>TEST_DATA!C10541</f>
        <v>44503</v>
      </c>
      <c r="D10541" t="str">
        <f>TEST_DATA!D10541</f>
        <v>NON-NIL</v>
      </c>
      <c r="E10541">
        <f>TEST_DATA!E10541</f>
        <v>2484</v>
      </c>
    </row>
    <row r="10542" spans="1:5" x14ac:dyDescent="0.55000000000000004">
      <c r="A10542" t="str">
        <f>TEST_DATA!A10542</f>
        <v>27AAAAA10542Z5</v>
      </c>
      <c r="B10542" t="str">
        <f>TEST_DATA!B10542</f>
        <v>Mar-2021</v>
      </c>
      <c r="C10542">
        <f>TEST_DATA!C10542</f>
        <v>45711</v>
      </c>
      <c r="D10542" t="str">
        <f>TEST_DATA!D10542</f>
        <v>NIL</v>
      </c>
      <c r="E10542">
        <f>TEST_DATA!E10542</f>
        <v>1013</v>
      </c>
    </row>
    <row r="10543" spans="1:5" x14ac:dyDescent="0.55000000000000004">
      <c r="A10543" t="str">
        <f>TEST_DATA!A10543</f>
        <v>27AAAAA10543Z5</v>
      </c>
      <c r="B10543" t="str">
        <f>TEST_DATA!B10543</f>
        <v>Jul-2020</v>
      </c>
      <c r="C10543">
        <f>TEST_DATA!C10543</f>
        <v>43981</v>
      </c>
      <c r="D10543" t="str">
        <f>TEST_DATA!D10543</f>
        <v>NON-NIL</v>
      </c>
      <c r="E10543">
        <f>TEST_DATA!E10543</f>
        <v>2411</v>
      </c>
    </row>
    <row r="10544" spans="1:5" x14ac:dyDescent="0.55000000000000004">
      <c r="A10544" t="str">
        <f>TEST_DATA!A10544</f>
        <v>27AAAAA10544Z5</v>
      </c>
      <c r="B10544" t="str">
        <f>TEST_DATA!B10544</f>
        <v>Jan-2018</v>
      </c>
      <c r="C10544">
        <f>TEST_DATA!C10544</f>
        <v>43686</v>
      </c>
      <c r="D10544" t="str">
        <f>TEST_DATA!D10544</f>
        <v>NON-NIL</v>
      </c>
      <c r="E10544">
        <f>TEST_DATA!E10544</f>
        <v>2636</v>
      </c>
    </row>
    <row r="10545" spans="1:5" x14ac:dyDescent="0.55000000000000004">
      <c r="A10545" t="str">
        <f>TEST_DATA!A10545</f>
        <v>27AAAAA10545Z5</v>
      </c>
      <c r="B10545" t="str">
        <f>TEST_DATA!B10545</f>
        <v>Jan-2019</v>
      </c>
      <c r="C10545">
        <f>TEST_DATA!C10545</f>
        <v>43580</v>
      </c>
      <c r="D10545" t="str">
        <f>TEST_DATA!D10545</f>
        <v>NON-NIL</v>
      </c>
      <c r="E10545">
        <f>TEST_DATA!E10545</f>
        <v>2960</v>
      </c>
    </row>
    <row r="10546" spans="1:5" x14ac:dyDescent="0.55000000000000004">
      <c r="A10546" t="str">
        <f>TEST_DATA!A10546</f>
        <v>27AAAAA10546Z5</v>
      </c>
      <c r="B10546" t="str">
        <f>TEST_DATA!B10546</f>
        <v>Apr-2018</v>
      </c>
      <c r="C10546">
        <f>TEST_DATA!C10546</f>
        <v>43005</v>
      </c>
      <c r="D10546" t="str">
        <f>TEST_DATA!D10546</f>
        <v>NON-NIL</v>
      </c>
      <c r="E10546">
        <f>TEST_DATA!E10546</f>
        <v>1435</v>
      </c>
    </row>
    <row r="10547" spans="1:5" x14ac:dyDescent="0.55000000000000004">
      <c r="A10547" t="str">
        <f>TEST_DATA!A10547</f>
        <v>27AAAAA10547Z5</v>
      </c>
      <c r="B10547" t="str">
        <f>TEST_DATA!B10547</f>
        <v>Jul-2020</v>
      </c>
      <c r="C10547">
        <f>TEST_DATA!C10547</f>
        <v>44437</v>
      </c>
      <c r="D10547" t="str">
        <f>TEST_DATA!D10547</f>
        <v>NON-NIL</v>
      </c>
      <c r="E10547">
        <f>TEST_DATA!E10547</f>
        <v>611</v>
      </c>
    </row>
    <row r="10548" spans="1:5" x14ac:dyDescent="0.55000000000000004">
      <c r="A10548" t="str">
        <f>TEST_DATA!A10548</f>
        <v>27AAAAA10548Z5</v>
      </c>
      <c r="B10548" t="str">
        <f>TEST_DATA!B10548</f>
        <v>Jan-2021</v>
      </c>
      <c r="C10548">
        <f>TEST_DATA!C10548</f>
        <v>44834</v>
      </c>
      <c r="D10548" t="str">
        <f>TEST_DATA!D10548</f>
        <v>NIL</v>
      </c>
      <c r="E10548">
        <f>TEST_DATA!E10548</f>
        <v>1509</v>
      </c>
    </row>
    <row r="10549" spans="1:5" x14ac:dyDescent="0.55000000000000004">
      <c r="A10549" t="str">
        <f>TEST_DATA!A10549</f>
        <v>27AAAAA10549Z5</v>
      </c>
      <c r="B10549" t="str">
        <f>TEST_DATA!B10549</f>
        <v>Sep-2018</v>
      </c>
      <c r="C10549">
        <f>TEST_DATA!C10549</f>
        <v>42960</v>
      </c>
      <c r="D10549" t="str">
        <f>TEST_DATA!D10549</f>
        <v>NON-NIL</v>
      </c>
      <c r="E10549">
        <f>TEST_DATA!E10549</f>
        <v>1565</v>
      </c>
    </row>
    <row r="10550" spans="1:5" x14ac:dyDescent="0.55000000000000004">
      <c r="A10550" t="str">
        <f>TEST_DATA!A10550</f>
        <v>27AAAAA10550Z5</v>
      </c>
      <c r="B10550" t="str">
        <f>TEST_DATA!B10550</f>
        <v>Mar-2023</v>
      </c>
      <c r="C10550">
        <f>TEST_DATA!C10550</f>
        <v>44976</v>
      </c>
      <c r="D10550" t="str">
        <f>TEST_DATA!D10550</f>
        <v>NIL</v>
      </c>
      <c r="E10550">
        <f>TEST_DATA!E10550</f>
        <v>2361</v>
      </c>
    </row>
    <row r="10551" spans="1:5" x14ac:dyDescent="0.55000000000000004">
      <c r="A10551" t="str">
        <f>TEST_DATA!A10551</f>
        <v>27AAAAA10551Z5</v>
      </c>
      <c r="B10551" t="str">
        <f>TEST_DATA!B10551</f>
        <v>Mar-2018</v>
      </c>
      <c r="C10551">
        <f>TEST_DATA!C10551</f>
        <v>43719</v>
      </c>
      <c r="D10551" t="str">
        <f>TEST_DATA!D10551</f>
        <v>NIL</v>
      </c>
      <c r="E10551">
        <f>TEST_DATA!E10551</f>
        <v>50</v>
      </c>
    </row>
    <row r="10552" spans="1:5" x14ac:dyDescent="0.55000000000000004">
      <c r="A10552" t="str">
        <f>TEST_DATA!A10552</f>
        <v>27AAAAA10552Z5</v>
      </c>
      <c r="B10552" t="str">
        <f>TEST_DATA!B10552</f>
        <v>Jan-2019</v>
      </c>
      <c r="C10552">
        <f>TEST_DATA!C10552</f>
        <v>45669</v>
      </c>
      <c r="D10552" t="str">
        <f>TEST_DATA!D10552</f>
        <v>NON-NIL</v>
      </c>
      <c r="E10552">
        <f>TEST_DATA!E10552</f>
        <v>1742</v>
      </c>
    </row>
    <row r="10553" spans="1:5" x14ac:dyDescent="0.55000000000000004">
      <c r="A10553" t="str">
        <f>TEST_DATA!A10553</f>
        <v>27AAAAA10553Z5</v>
      </c>
      <c r="B10553" t="str">
        <f>TEST_DATA!B10553</f>
        <v>Nov-2017</v>
      </c>
      <c r="C10553">
        <f>TEST_DATA!C10553</f>
        <v>44253</v>
      </c>
      <c r="D10553" t="str">
        <f>TEST_DATA!D10553</f>
        <v>NIL</v>
      </c>
      <c r="E10553">
        <f>TEST_DATA!E10553</f>
        <v>1843</v>
      </c>
    </row>
    <row r="10554" spans="1:5" x14ac:dyDescent="0.55000000000000004">
      <c r="A10554" t="str">
        <f>TEST_DATA!A10554</f>
        <v>27AAAAA10554Z5</v>
      </c>
      <c r="B10554" t="str">
        <f>TEST_DATA!B10554</f>
        <v>Oct-2017</v>
      </c>
      <c r="C10554">
        <f>TEST_DATA!C10554</f>
        <v>44106</v>
      </c>
      <c r="D10554" t="str">
        <f>TEST_DATA!D10554</f>
        <v>NIL</v>
      </c>
      <c r="E10554">
        <f>TEST_DATA!E10554</f>
        <v>1682</v>
      </c>
    </row>
    <row r="10555" spans="1:5" x14ac:dyDescent="0.55000000000000004">
      <c r="A10555" t="str">
        <f>TEST_DATA!A10555</f>
        <v>27AAAAA10555Z5</v>
      </c>
      <c r="B10555" t="str">
        <f>TEST_DATA!B10555</f>
        <v>Jul-2017</v>
      </c>
      <c r="C10555">
        <f>TEST_DATA!C10555</f>
        <v>44473</v>
      </c>
      <c r="D10555" t="str">
        <f>TEST_DATA!D10555</f>
        <v>NIL</v>
      </c>
      <c r="E10555">
        <f>TEST_DATA!E10555</f>
        <v>2586</v>
      </c>
    </row>
    <row r="10556" spans="1:5" x14ac:dyDescent="0.55000000000000004">
      <c r="A10556" t="str">
        <f>TEST_DATA!A10556</f>
        <v>27AAAAA10556Z5</v>
      </c>
      <c r="B10556" t="str">
        <f>TEST_DATA!B10556</f>
        <v>Jun-2020</v>
      </c>
      <c r="C10556">
        <f>TEST_DATA!C10556</f>
        <v>44615</v>
      </c>
      <c r="D10556" t="str">
        <f>TEST_DATA!D10556</f>
        <v>NIL</v>
      </c>
      <c r="E10556">
        <f>TEST_DATA!E10556</f>
        <v>496</v>
      </c>
    </row>
    <row r="10557" spans="1:5" x14ac:dyDescent="0.55000000000000004">
      <c r="A10557" t="str">
        <f>TEST_DATA!A10557</f>
        <v>27AAAAA10557Z5</v>
      </c>
      <c r="B10557" t="str">
        <f>TEST_DATA!B10557</f>
        <v>Dec-2019</v>
      </c>
      <c r="C10557">
        <f>TEST_DATA!C10557</f>
        <v>45252</v>
      </c>
      <c r="D10557" t="str">
        <f>TEST_DATA!D10557</f>
        <v>NIL</v>
      </c>
      <c r="E10557">
        <f>TEST_DATA!E10557</f>
        <v>481</v>
      </c>
    </row>
    <row r="10558" spans="1:5" x14ac:dyDescent="0.55000000000000004">
      <c r="A10558" t="str">
        <f>TEST_DATA!A10558</f>
        <v>27AAAAA10558Z5</v>
      </c>
      <c r="B10558" t="str">
        <f>TEST_DATA!B10558</f>
        <v>Jul-2017</v>
      </c>
      <c r="C10558">
        <f>TEST_DATA!C10558</f>
        <v>44158</v>
      </c>
      <c r="D10558" t="str">
        <f>TEST_DATA!D10558</f>
        <v>NIL</v>
      </c>
      <c r="E10558">
        <f>TEST_DATA!E10558</f>
        <v>1785</v>
      </c>
    </row>
    <row r="10559" spans="1:5" x14ac:dyDescent="0.55000000000000004">
      <c r="A10559" t="str">
        <f>TEST_DATA!A10559</f>
        <v>27AAAAA10559Z5</v>
      </c>
      <c r="B10559" t="str">
        <f>TEST_DATA!B10559</f>
        <v>Dec-2022</v>
      </c>
      <c r="C10559">
        <f>TEST_DATA!C10559</f>
        <v>43479</v>
      </c>
      <c r="D10559" t="str">
        <f>TEST_DATA!D10559</f>
        <v>NIL</v>
      </c>
      <c r="E10559">
        <f>TEST_DATA!E10559</f>
        <v>2414</v>
      </c>
    </row>
    <row r="10560" spans="1:5" x14ac:dyDescent="0.55000000000000004">
      <c r="A10560" t="str">
        <f>TEST_DATA!A10560</f>
        <v>27AAAAA10560Z5</v>
      </c>
      <c r="B10560" t="str">
        <f>TEST_DATA!B10560</f>
        <v>Mar-2018</v>
      </c>
      <c r="C10560">
        <f>TEST_DATA!C10560</f>
        <v>44087</v>
      </c>
      <c r="D10560" t="str">
        <f>TEST_DATA!D10560</f>
        <v>NIL</v>
      </c>
      <c r="E10560">
        <f>TEST_DATA!E10560</f>
        <v>2276</v>
      </c>
    </row>
    <row r="10561" spans="1:5" x14ac:dyDescent="0.55000000000000004">
      <c r="A10561" t="str">
        <f>TEST_DATA!A10561</f>
        <v>27AAAAA10561Z5</v>
      </c>
      <c r="B10561" t="str">
        <f>TEST_DATA!B10561</f>
        <v>Sep-2017</v>
      </c>
      <c r="C10561">
        <f>TEST_DATA!C10561</f>
        <v>44255</v>
      </c>
      <c r="D10561" t="str">
        <f>TEST_DATA!D10561</f>
        <v>NON-NIL</v>
      </c>
      <c r="E10561">
        <f>TEST_DATA!E10561</f>
        <v>200</v>
      </c>
    </row>
    <row r="10562" spans="1:5" x14ac:dyDescent="0.55000000000000004">
      <c r="A10562" t="str">
        <f>TEST_DATA!A10562</f>
        <v>27AAAAA10562Z5</v>
      </c>
      <c r="B10562" t="str">
        <f>TEST_DATA!B10562</f>
        <v>Aug-2017</v>
      </c>
      <c r="C10562">
        <f>TEST_DATA!C10562</f>
        <v>43319</v>
      </c>
      <c r="D10562" t="str">
        <f>TEST_DATA!D10562</f>
        <v>NIL</v>
      </c>
      <c r="E10562">
        <f>TEST_DATA!E10562</f>
        <v>2046</v>
      </c>
    </row>
    <row r="10563" spans="1:5" x14ac:dyDescent="0.55000000000000004">
      <c r="A10563" t="str">
        <f>TEST_DATA!A10563</f>
        <v>27AAAAA10563Z5</v>
      </c>
      <c r="B10563" t="str">
        <f>TEST_DATA!B10563</f>
        <v>Jul-2020</v>
      </c>
      <c r="C10563">
        <f>TEST_DATA!C10563</f>
        <v>44662</v>
      </c>
      <c r="D10563" t="str">
        <f>TEST_DATA!D10563</f>
        <v>NIL</v>
      </c>
      <c r="E10563">
        <f>TEST_DATA!E10563</f>
        <v>2160</v>
      </c>
    </row>
    <row r="10564" spans="1:5" x14ac:dyDescent="0.55000000000000004">
      <c r="A10564" t="str">
        <f>TEST_DATA!A10564</f>
        <v>27AAAAA10564Z5</v>
      </c>
      <c r="B10564" t="str">
        <f>TEST_DATA!B10564</f>
        <v>Jul-2017</v>
      </c>
      <c r="C10564">
        <f>TEST_DATA!C10564</f>
        <v>43622</v>
      </c>
      <c r="D10564" t="str">
        <f>TEST_DATA!D10564</f>
        <v>NON-NIL</v>
      </c>
      <c r="E10564">
        <f>TEST_DATA!E10564</f>
        <v>1904</v>
      </c>
    </row>
    <row r="10565" spans="1:5" x14ac:dyDescent="0.55000000000000004">
      <c r="A10565" t="str">
        <f>TEST_DATA!A10565</f>
        <v>27AAAAA10565Z5</v>
      </c>
      <c r="B10565" t="str">
        <f>TEST_DATA!B10565</f>
        <v>Dec-2022</v>
      </c>
      <c r="C10565">
        <f>TEST_DATA!C10565</f>
        <v>45476</v>
      </c>
      <c r="D10565" t="str">
        <f>TEST_DATA!D10565</f>
        <v>NON-NIL</v>
      </c>
      <c r="E10565">
        <f>TEST_DATA!E10565</f>
        <v>203</v>
      </c>
    </row>
    <row r="10566" spans="1:5" x14ac:dyDescent="0.55000000000000004">
      <c r="A10566" t="str">
        <f>TEST_DATA!A10566</f>
        <v>27AAAAA10566Z5</v>
      </c>
      <c r="B10566" t="str">
        <f>TEST_DATA!B10566</f>
        <v>Sep-2017</v>
      </c>
      <c r="C10566">
        <f>TEST_DATA!C10566</f>
        <v>43485</v>
      </c>
      <c r="D10566" t="str">
        <f>TEST_DATA!D10566</f>
        <v>NON-NIL</v>
      </c>
      <c r="E10566">
        <f>TEST_DATA!E10566</f>
        <v>549</v>
      </c>
    </row>
    <row r="10567" spans="1:5" x14ac:dyDescent="0.55000000000000004">
      <c r="A10567" t="str">
        <f>TEST_DATA!A10567</f>
        <v>27AAAAA10567Z5</v>
      </c>
      <c r="B10567" t="str">
        <f>TEST_DATA!B10567</f>
        <v>Jul-2020</v>
      </c>
      <c r="C10567">
        <f>TEST_DATA!C10567</f>
        <v>44620</v>
      </c>
      <c r="D10567" t="str">
        <f>TEST_DATA!D10567</f>
        <v>NIL</v>
      </c>
      <c r="E10567">
        <f>TEST_DATA!E10567</f>
        <v>411</v>
      </c>
    </row>
    <row r="10568" spans="1:5" x14ac:dyDescent="0.55000000000000004">
      <c r="A10568" t="str">
        <f>TEST_DATA!A10568</f>
        <v>27AAAAA10568Z5</v>
      </c>
      <c r="B10568" t="str">
        <f>TEST_DATA!B10568</f>
        <v>Oct-2017</v>
      </c>
      <c r="C10568">
        <f>TEST_DATA!C10568</f>
        <v>44070</v>
      </c>
      <c r="D10568" t="str">
        <f>TEST_DATA!D10568</f>
        <v>NON-NIL</v>
      </c>
      <c r="E10568">
        <f>TEST_DATA!E10568</f>
        <v>1748</v>
      </c>
    </row>
    <row r="10569" spans="1:5" x14ac:dyDescent="0.55000000000000004">
      <c r="A10569" t="str">
        <f>TEST_DATA!A10569</f>
        <v>27AAAAA10569Z5</v>
      </c>
      <c r="B10569" t="str">
        <f>TEST_DATA!B10569</f>
        <v>May-2020</v>
      </c>
      <c r="C10569">
        <f>TEST_DATA!C10569</f>
        <v>44652</v>
      </c>
      <c r="D10569" t="str">
        <f>TEST_DATA!D10569</f>
        <v>NON-NIL</v>
      </c>
      <c r="E10569">
        <f>TEST_DATA!E10569</f>
        <v>1777</v>
      </c>
    </row>
    <row r="10570" spans="1:5" x14ac:dyDescent="0.55000000000000004">
      <c r="A10570" t="str">
        <f>TEST_DATA!A10570</f>
        <v>27AAAAA10570Z5</v>
      </c>
      <c r="B10570" t="str">
        <f>TEST_DATA!B10570</f>
        <v>Jul-2017</v>
      </c>
      <c r="C10570">
        <f>TEST_DATA!C10570</f>
        <v>43922</v>
      </c>
      <c r="D10570" t="str">
        <f>TEST_DATA!D10570</f>
        <v>NON-NIL</v>
      </c>
      <c r="E10570">
        <f>TEST_DATA!E10570</f>
        <v>828</v>
      </c>
    </row>
    <row r="10571" spans="1:5" x14ac:dyDescent="0.55000000000000004">
      <c r="A10571" t="str">
        <f>TEST_DATA!A10571</f>
        <v>27AAAAA10571Z5</v>
      </c>
      <c r="B10571" t="str">
        <f>TEST_DATA!B10571</f>
        <v>May-2020</v>
      </c>
      <c r="C10571">
        <f>TEST_DATA!C10571</f>
        <v>44482</v>
      </c>
      <c r="D10571" t="str">
        <f>TEST_DATA!D10571</f>
        <v>NON-NIL</v>
      </c>
      <c r="E10571">
        <f>TEST_DATA!E10571</f>
        <v>1598</v>
      </c>
    </row>
    <row r="10572" spans="1:5" x14ac:dyDescent="0.55000000000000004">
      <c r="A10572" t="str">
        <f>TEST_DATA!A10572</f>
        <v>27AAAAA10572Z5</v>
      </c>
      <c r="B10572" t="str">
        <f>TEST_DATA!B10572</f>
        <v>Jul-2020</v>
      </c>
      <c r="C10572">
        <f>TEST_DATA!C10572</f>
        <v>44060</v>
      </c>
      <c r="D10572" t="str">
        <f>TEST_DATA!D10572</f>
        <v>NIL</v>
      </c>
      <c r="E10572">
        <f>TEST_DATA!E10572</f>
        <v>611</v>
      </c>
    </row>
    <row r="10573" spans="1:5" x14ac:dyDescent="0.55000000000000004">
      <c r="A10573" t="str">
        <f>TEST_DATA!A10573</f>
        <v>27AAAAA10573Z5</v>
      </c>
      <c r="B10573" t="str">
        <f>TEST_DATA!B10573</f>
        <v>Aug-2017</v>
      </c>
      <c r="C10573">
        <f>TEST_DATA!C10573</f>
        <v>43642</v>
      </c>
      <c r="D10573" t="str">
        <f>TEST_DATA!D10573</f>
        <v>NIL</v>
      </c>
      <c r="E10573">
        <f>TEST_DATA!E10573</f>
        <v>838</v>
      </c>
    </row>
    <row r="10574" spans="1:5" x14ac:dyDescent="0.55000000000000004">
      <c r="A10574" t="str">
        <f>TEST_DATA!A10574</f>
        <v>27AAAAA10574Z5</v>
      </c>
      <c r="B10574" t="str">
        <f>TEST_DATA!B10574</f>
        <v>Jun-2018</v>
      </c>
      <c r="C10574">
        <f>TEST_DATA!C10574</f>
        <v>43738</v>
      </c>
      <c r="D10574" t="str">
        <f>TEST_DATA!D10574</f>
        <v>NIL</v>
      </c>
      <c r="E10574">
        <f>TEST_DATA!E10574</f>
        <v>2987</v>
      </c>
    </row>
    <row r="10575" spans="1:5" x14ac:dyDescent="0.55000000000000004">
      <c r="A10575" t="str">
        <f>TEST_DATA!A10575</f>
        <v>27AAAAA10575Z5</v>
      </c>
      <c r="B10575" t="str">
        <f>TEST_DATA!B10575</f>
        <v>Dec-2022</v>
      </c>
      <c r="C10575">
        <f>TEST_DATA!C10575</f>
        <v>45796</v>
      </c>
      <c r="D10575" t="str">
        <f>TEST_DATA!D10575</f>
        <v>NON-NIL</v>
      </c>
      <c r="E10575">
        <f>TEST_DATA!E10575</f>
        <v>1156</v>
      </c>
    </row>
    <row r="10576" spans="1:5" x14ac:dyDescent="0.55000000000000004">
      <c r="A10576" t="str">
        <f>TEST_DATA!A10576</f>
        <v>27AAAAA10576Z5</v>
      </c>
      <c r="B10576" t="str">
        <f>TEST_DATA!B10576</f>
        <v>Jan-2021</v>
      </c>
      <c r="C10576">
        <f>TEST_DATA!C10576</f>
        <v>45639</v>
      </c>
      <c r="D10576" t="str">
        <f>TEST_DATA!D10576</f>
        <v>NIL</v>
      </c>
      <c r="E10576">
        <f>TEST_DATA!E10576</f>
        <v>1440</v>
      </c>
    </row>
    <row r="10577" spans="1:5" x14ac:dyDescent="0.55000000000000004">
      <c r="A10577" t="str">
        <f>TEST_DATA!A10577</f>
        <v>27AAAAA10577Z5</v>
      </c>
      <c r="B10577" t="str">
        <f>TEST_DATA!B10577</f>
        <v>Aug-2017</v>
      </c>
      <c r="C10577">
        <f>TEST_DATA!C10577</f>
        <v>43016</v>
      </c>
      <c r="D10577" t="str">
        <f>TEST_DATA!D10577</f>
        <v>NON-NIL</v>
      </c>
      <c r="E10577">
        <f>TEST_DATA!E10577</f>
        <v>1461</v>
      </c>
    </row>
    <row r="10578" spans="1:5" x14ac:dyDescent="0.55000000000000004">
      <c r="A10578" t="str">
        <f>TEST_DATA!A10578</f>
        <v>27AAAAA10578Z5</v>
      </c>
      <c r="B10578" t="str">
        <f>TEST_DATA!B10578</f>
        <v>Oct-2017</v>
      </c>
      <c r="C10578">
        <f>TEST_DATA!C10578</f>
        <v>43786</v>
      </c>
      <c r="D10578" t="str">
        <f>TEST_DATA!D10578</f>
        <v>NON-NIL</v>
      </c>
      <c r="E10578">
        <f>TEST_DATA!E10578</f>
        <v>1088</v>
      </c>
    </row>
    <row r="10579" spans="1:5" x14ac:dyDescent="0.55000000000000004">
      <c r="A10579" t="str">
        <f>TEST_DATA!A10579</f>
        <v>27AAAAA10579Z5</v>
      </c>
      <c r="B10579" t="str">
        <f>TEST_DATA!B10579</f>
        <v>Dec-2024</v>
      </c>
      <c r="C10579">
        <f>TEST_DATA!C10579</f>
        <v>45616</v>
      </c>
      <c r="D10579" t="str">
        <f>TEST_DATA!D10579</f>
        <v>NON-NIL</v>
      </c>
      <c r="E10579">
        <f>TEST_DATA!E10579</f>
        <v>2617</v>
      </c>
    </row>
    <row r="10580" spans="1:5" x14ac:dyDescent="0.55000000000000004">
      <c r="A10580" t="str">
        <f>TEST_DATA!A10580</f>
        <v>27AAAAA10580Z5</v>
      </c>
      <c r="B10580" t="str">
        <f>TEST_DATA!B10580</f>
        <v>Jan-2019</v>
      </c>
      <c r="C10580">
        <f>TEST_DATA!C10580</f>
        <v>44240</v>
      </c>
      <c r="D10580" t="str">
        <f>TEST_DATA!D10580</f>
        <v>NON-NIL</v>
      </c>
      <c r="E10580">
        <f>TEST_DATA!E10580</f>
        <v>2217</v>
      </c>
    </row>
    <row r="10581" spans="1:5" x14ac:dyDescent="0.55000000000000004">
      <c r="A10581" t="str">
        <f>TEST_DATA!A10581</f>
        <v>27AAAAA10581Z5</v>
      </c>
      <c r="B10581" t="str">
        <f>TEST_DATA!B10581</f>
        <v>Oct-2017</v>
      </c>
      <c r="C10581">
        <f>TEST_DATA!C10581</f>
        <v>44045</v>
      </c>
      <c r="D10581" t="str">
        <f>TEST_DATA!D10581</f>
        <v>NIL</v>
      </c>
      <c r="E10581">
        <f>TEST_DATA!E10581</f>
        <v>2993</v>
      </c>
    </row>
    <row r="10582" spans="1:5" x14ac:dyDescent="0.55000000000000004">
      <c r="A10582" t="str">
        <f>TEST_DATA!A10582</f>
        <v>27AAAAA10582Z5</v>
      </c>
      <c r="B10582" t="str">
        <f>TEST_DATA!B10582</f>
        <v>Oct-2017</v>
      </c>
      <c r="C10582">
        <f>TEST_DATA!C10582</f>
        <v>43920</v>
      </c>
      <c r="D10582" t="str">
        <f>TEST_DATA!D10582</f>
        <v>NON-NIL</v>
      </c>
      <c r="E10582">
        <f>TEST_DATA!E10582</f>
        <v>1073</v>
      </c>
    </row>
    <row r="10583" spans="1:5" x14ac:dyDescent="0.55000000000000004">
      <c r="A10583" t="str">
        <f>TEST_DATA!A10583</f>
        <v>27AAAAA10583Z5</v>
      </c>
      <c r="B10583" t="str">
        <f>TEST_DATA!B10583</f>
        <v>Jun-2019</v>
      </c>
      <c r="C10583">
        <f>TEST_DATA!C10583</f>
        <v>45306</v>
      </c>
      <c r="D10583" t="str">
        <f>TEST_DATA!D10583</f>
        <v>NON-NIL</v>
      </c>
      <c r="E10583">
        <f>TEST_DATA!E10583</f>
        <v>2044</v>
      </c>
    </row>
    <row r="10584" spans="1:5" x14ac:dyDescent="0.55000000000000004">
      <c r="A10584" t="str">
        <f>TEST_DATA!A10584</f>
        <v>27AAAAA10584Z5</v>
      </c>
      <c r="B10584" t="str">
        <f>TEST_DATA!B10584</f>
        <v>Sep-2018</v>
      </c>
      <c r="C10584">
        <f>TEST_DATA!C10584</f>
        <v>44160</v>
      </c>
      <c r="D10584" t="str">
        <f>TEST_DATA!D10584</f>
        <v>NIL</v>
      </c>
      <c r="E10584">
        <f>TEST_DATA!E10584</f>
        <v>1531</v>
      </c>
    </row>
    <row r="10585" spans="1:5" x14ac:dyDescent="0.55000000000000004">
      <c r="A10585" t="str">
        <f>TEST_DATA!A10585</f>
        <v>27AAAAA10585Z5</v>
      </c>
      <c r="B10585" t="str">
        <f>TEST_DATA!B10585</f>
        <v>Mar-2023</v>
      </c>
      <c r="C10585">
        <f>TEST_DATA!C10585</f>
        <v>44830</v>
      </c>
      <c r="D10585" t="str">
        <f>TEST_DATA!D10585</f>
        <v>NON-NIL</v>
      </c>
      <c r="E10585">
        <f>TEST_DATA!E10585</f>
        <v>885</v>
      </c>
    </row>
    <row r="10586" spans="1:5" x14ac:dyDescent="0.55000000000000004">
      <c r="A10586" t="str">
        <f>TEST_DATA!A10586</f>
        <v>27AAAAA10586Z5</v>
      </c>
      <c r="B10586" t="str">
        <f>TEST_DATA!B10586</f>
        <v>Dec-2019</v>
      </c>
      <c r="C10586">
        <f>TEST_DATA!C10586</f>
        <v>44429</v>
      </c>
      <c r="D10586" t="str">
        <f>TEST_DATA!D10586</f>
        <v>NON-NIL</v>
      </c>
      <c r="E10586">
        <f>TEST_DATA!E10586</f>
        <v>1583</v>
      </c>
    </row>
    <row r="10587" spans="1:5" x14ac:dyDescent="0.55000000000000004">
      <c r="A10587" t="str">
        <f>TEST_DATA!A10587</f>
        <v>27AAAAA10587Z5</v>
      </c>
      <c r="B10587" t="str">
        <f>TEST_DATA!B10587</f>
        <v>Apr-2020</v>
      </c>
      <c r="C10587">
        <f>TEST_DATA!C10587</f>
        <v>44792</v>
      </c>
      <c r="D10587" t="str">
        <f>TEST_DATA!D10587</f>
        <v>NIL</v>
      </c>
      <c r="E10587">
        <f>TEST_DATA!E10587</f>
        <v>726</v>
      </c>
    </row>
    <row r="10588" spans="1:5" x14ac:dyDescent="0.55000000000000004">
      <c r="A10588" t="str">
        <f>TEST_DATA!A10588</f>
        <v>27AAAAA10588Z5</v>
      </c>
      <c r="B10588" t="str">
        <f>TEST_DATA!B10588</f>
        <v>Jun-2018</v>
      </c>
      <c r="C10588">
        <f>TEST_DATA!C10588</f>
        <v>43213</v>
      </c>
      <c r="D10588" t="str">
        <f>TEST_DATA!D10588</f>
        <v>NIL</v>
      </c>
      <c r="E10588">
        <f>TEST_DATA!E10588</f>
        <v>328</v>
      </c>
    </row>
    <row r="10589" spans="1:5" x14ac:dyDescent="0.55000000000000004">
      <c r="A10589" t="str">
        <f>TEST_DATA!A10589</f>
        <v>27AAAAA10589Z5</v>
      </c>
      <c r="B10589" t="str">
        <f>TEST_DATA!B10589</f>
        <v>Apr-2020</v>
      </c>
      <c r="C10589">
        <f>TEST_DATA!C10589</f>
        <v>44240</v>
      </c>
      <c r="D10589" t="str">
        <f>TEST_DATA!D10589</f>
        <v>NIL</v>
      </c>
      <c r="E10589">
        <f>TEST_DATA!E10589</f>
        <v>2855</v>
      </c>
    </row>
    <row r="10590" spans="1:5" x14ac:dyDescent="0.55000000000000004">
      <c r="A10590" t="str">
        <f>TEST_DATA!A10590</f>
        <v>27AAAAA10590Z5</v>
      </c>
      <c r="B10590" t="str">
        <f>TEST_DATA!B10590</f>
        <v>Jul-2018</v>
      </c>
      <c r="C10590">
        <f>TEST_DATA!C10590</f>
        <v>43437</v>
      </c>
      <c r="D10590" t="str">
        <f>TEST_DATA!D10590</f>
        <v>NON-NIL</v>
      </c>
      <c r="E10590">
        <f>TEST_DATA!E10590</f>
        <v>2623</v>
      </c>
    </row>
    <row r="10591" spans="1:5" x14ac:dyDescent="0.55000000000000004">
      <c r="A10591" t="str">
        <f>TEST_DATA!A10591</f>
        <v>27AAAAA10591Z5</v>
      </c>
      <c r="B10591" t="str">
        <f>TEST_DATA!B10591</f>
        <v>Mar-2020</v>
      </c>
      <c r="C10591">
        <f>TEST_DATA!C10591</f>
        <v>44083</v>
      </c>
      <c r="D10591" t="str">
        <f>TEST_DATA!D10591</f>
        <v>NIL</v>
      </c>
      <c r="E10591">
        <f>TEST_DATA!E10591</f>
        <v>1562</v>
      </c>
    </row>
    <row r="10592" spans="1:5" x14ac:dyDescent="0.55000000000000004">
      <c r="A10592" t="str">
        <f>TEST_DATA!A10592</f>
        <v>27AAAAA10592Z5</v>
      </c>
      <c r="B10592" t="str">
        <f>TEST_DATA!B10592</f>
        <v>Apr-2021</v>
      </c>
      <c r="C10592">
        <f>TEST_DATA!C10592</f>
        <v>45476</v>
      </c>
      <c r="D10592" t="str">
        <f>TEST_DATA!D10592</f>
        <v>NIL</v>
      </c>
      <c r="E10592">
        <f>TEST_DATA!E10592</f>
        <v>2364</v>
      </c>
    </row>
    <row r="10593" spans="1:5" x14ac:dyDescent="0.55000000000000004">
      <c r="A10593" t="str">
        <f>TEST_DATA!A10593</f>
        <v>27AAAAA10593Z5</v>
      </c>
      <c r="B10593" t="str">
        <f>TEST_DATA!B10593</f>
        <v>Sep-2017</v>
      </c>
      <c r="C10593">
        <f>TEST_DATA!C10593</f>
        <v>44081</v>
      </c>
      <c r="D10593" t="str">
        <f>TEST_DATA!D10593</f>
        <v>NON-NIL</v>
      </c>
      <c r="E10593">
        <f>TEST_DATA!E10593</f>
        <v>2397</v>
      </c>
    </row>
    <row r="10594" spans="1:5" x14ac:dyDescent="0.55000000000000004">
      <c r="A10594" t="str">
        <f>TEST_DATA!A10594</f>
        <v>27AAAAA10594Z5</v>
      </c>
      <c r="B10594" t="str">
        <f>TEST_DATA!B10594</f>
        <v>Mar-2020</v>
      </c>
      <c r="C10594">
        <f>TEST_DATA!C10594</f>
        <v>44218</v>
      </c>
      <c r="D10594" t="str">
        <f>TEST_DATA!D10594</f>
        <v>NIL</v>
      </c>
      <c r="E10594">
        <f>TEST_DATA!E10594</f>
        <v>1513</v>
      </c>
    </row>
    <row r="10595" spans="1:5" x14ac:dyDescent="0.55000000000000004">
      <c r="A10595" t="str">
        <f>TEST_DATA!A10595</f>
        <v>27AAAAA10595Z5</v>
      </c>
      <c r="B10595" t="str">
        <f>TEST_DATA!B10595</f>
        <v>Feb-2018</v>
      </c>
      <c r="C10595">
        <f>TEST_DATA!C10595</f>
        <v>44306</v>
      </c>
      <c r="D10595" t="str">
        <f>TEST_DATA!D10595</f>
        <v>NIL</v>
      </c>
      <c r="E10595">
        <f>TEST_DATA!E10595</f>
        <v>871</v>
      </c>
    </row>
    <row r="10596" spans="1:5" x14ac:dyDescent="0.55000000000000004">
      <c r="A10596" t="str">
        <f>TEST_DATA!A10596</f>
        <v>27AAAAA10596Z5</v>
      </c>
      <c r="B10596" t="str">
        <f>TEST_DATA!B10596</f>
        <v>May-2020</v>
      </c>
      <c r="C10596">
        <f>TEST_DATA!C10596</f>
        <v>43987</v>
      </c>
      <c r="D10596" t="str">
        <f>TEST_DATA!D10596</f>
        <v>NIL</v>
      </c>
      <c r="E10596">
        <f>TEST_DATA!E10596</f>
        <v>2273</v>
      </c>
    </row>
    <row r="10597" spans="1:5" x14ac:dyDescent="0.55000000000000004">
      <c r="A10597" t="str">
        <f>TEST_DATA!A10597</f>
        <v>27AAAAA10597Z5</v>
      </c>
      <c r="B10597" t="str">
        <f>TEST_DATA!B10597</f>
        <v>Jan-2019</v>
      </c>
      <c r="C10597">
        <f>TEST_DATA!C10597</f>
        <v>45746</v>
      </c>
      <c r="D10597" t="str">
        <f>TEST_DATA!D10597</f>
        <v>NIL</v>
      </c>
      <c r="E10597">
        <f>TEST_DATA!E10597</f>
        <v>162</v>
      </c>
    </row>
    <row r="10598" spans="1:5" x14ac:dyDescent="0.55000000000000004">
      <c r="A10598" t="str">
        <f>TEST_DATA!A10598</f>
        <v>27AAAAA10598Z5</v>
      </c>
      <c r="B10598" t="str">
        <f>TEST_DATA!B10598</f>
        <v>May-2018</v>
      </c>
      <c r="C10598">
        <f>TEST_DATA!C10598</f>
        <v>44230</v>
      </c>
      <c r="D10598" t="str">
        <f>TEST_DATA!D10598</f>
        <v>NON-NIL</v>
      </c>
      <c r="E10598">
        <f>TEST_DATA!E10598</f>
        <v>2172</v>
      </c>
    </row>
    <row r="10599" spans="1:5" x14ac:dyDescent="0.55000000000000004">
      <c r="A10599" t="str">
        <f>TEST_DATA!A10599</f>
        <v>27AAAAA10599Z5</v>
      </c>
      <c r="B10599" t="str">
        <f>TEST_DATA!B10599</f>
        <v>Nov-2017</v>
      </c>
      <c r="C10599">
        <f>TEST_DATA!C10599</f>
        <v>43972</v>
      </c>
      <c r="D10599" t="str">
        <f>TEST_DATA!D10599</f>
        <v>NON-NIL</v>
      </c>
      <c r="E10599">
        <f>TEST_DATA!E10599</f>
        <v>1531</v>
      </c>
    </row>
    <row r="10600" spans="1:5" x14ac:dyDescent="0.55000000000000004">
      <c r="A10600" t="str">
        <f>TEST_DATA!A10600</f>
        <v>27AAAAA10600Z5</v>
      </c>
      <c r="B10600" t="str">
        <f>TEST_DATA!B10600</f>
        <v>Feb-2018</v>
      </c>
      <c r="C10600">
        <f>TEST_DATA!C10600</f>
        <v>43399</v>
      </c>
      <c r="D10600" t="str">
        <f>TEST_DATA!D10600</f>
        <v>NON-NIL</v>
      </c>
      <c r="E10600">
        <f>TEST_DATA!E10600</f>
        <v>1357</v>
      </c>
    </row>
    <row r="10601" spans="1:5" x14ac:dyDescent="0.55000000000000004">
      <c r="A10601" t="str">
        <f>TEST_DATA!A10601</f>
        <v>27AAAAA10601Z5</v>
      </c>
      <c r="B10601" t="str">
        <f>TEST_DATA!B10601</f>
        <v>Dec-2017</v>
      </c>
      <c r="C10601">
        <f>TEST_DATA!C10601</f>
        <v>43784</v>
      </c>
      <c r="D10601" t="str">
        <f>TEST_DATA!D10601</f>
        <v>NIL</v>
      </c>
      <c r="E10601">
        <f>TEST_DATA!E10601</f>
        <v>218</v>
      </c>
    </row>
    <row r="10602" spans="1:5" x14ac:dyDescent="0.55000000000000004">
      <c r="A10602" t="str">
        <f>TEST_DATA!A10602</f>
        <v>27AAAAA10602Z5</v>
      </c>
      <c r="B10602" t="str">
        <f>TEST_DATA!B10602</f>
        <v>Nov-2017</v>
      </c>
      <c r="C10602">
        <f>TEST_DATA!C10602</f>
        <v>44142</v>
      </c>
      <c r="D10602" t="str">
        <f>TEST_DATA!D10602</f>
        <v>NON-NIL</v>
      </c>
      <c r="E10602">
        <f>TEST_DATA!E10602</f>
        <v>2248</v>
      </c>
    </row>
    <row r="10603" spans="1:5" x14ac:dyDescent="0.55000000000000004">
      <c r="A10603" t="str">
        <f>TEST_DATA!A10603</f>
        <v>27AAAAA10603Z5</v>
      </c>
      <c r="B10603" t="str">
        <f>TEST_DATA!B10603</f>
        <v>Jan-2019</v>
      </c>
      <c r="C10603">
        <f>TEST_DATA!C10603</f>
        <v>44504</v>
      </c>
      <c r="D10603" t="str">
        <f>TEST_DATA!D10603</f>
        <v>NON-NIL</v>
      </c>
      <c r="E10603">
        <f>TEST_DATA!E10603</f>
        <v>2065</v>
      </c>
    </row>
    <row r="10604" spans="1:5" x14ac:dyDescent="0.55000000000000004">
      <c r="A10604" t="str">
        <f>TEST_DATA!A10604</f>
        <v>27AAAAA10604Z5</v>
      </c>
      <c r="B10604" t="str">
        <f>TEST_DATA!B10604</f>
        <v>Oct-2017</v>
      </c>
      <c r="C10604">
        <f>TEST_DATA!C10604</f>
        <v>43149</v>
      </c>
      <c r="D10604" t="str">
        <f>TEST_DATA!D10604</f>
        <v>NIL</v>
      </c>
      <c r="E10604">
        <f>TEST_DATA!E10604</f>
        <v>2287</v>
      </c>
    </row>
    <row r="10605" spans="1:5" x14ac:dyDescent="0.55000000000000004">
      <c r="A10605" t="str">
        <f>TEST_DATA!A10605</f>
        <v>27AAAAA10605Z5</v>
      </c>
      <c r="B10605" t="str">
        <f>TEST_DATA!B10605</f>
        <v>Dec-2017</v>
      </c>
      <c r="C10605">
        <f>TEST_DATA!C10605</f>
        <v>43742</v>
      </c>
      <c r="D10605" t="str">
        <f>TEST_DATA!D10605</f>
        <v>NIL</v>
      </c>
      <c r="E10605">
        <f>TEST_DATA!E10605</f>
        <v>1189</v>
      </c>
    </row>
    <row r="10606" spans="1:5" x14ac:dyDescent="0.55000000000000004">
      <c r="A10606" t="str">
        <f>TEST_DATA!A10606</f>
        <v>27AAAAA10606Z5</v>
      </c>
      <c r="B10606" t="str">
        <f>TEST_DATA!B10606</f>
        <v>Jan-2021</v>
      </c>
      <c r="C10606">
        <f>TEST_DATA!C10606</f>
        <v>44974</v>
      </c>
      <c r="D10606" t="str">
        <f>TEST_DATA!D10606</f>
        <v>NIL</v>
      </c>
      <c r="E10606">
        <f>TEST_DATA!E10606</f>
        <v>1851</v>
      </c>
    </row>
    <row r="10607" spans="1:5" x14ac:dyDescent="0.55000000000000004">
      <c r="A10607" t="str">
        <f>TEST_DATA!A10607</f>
        <v>27AAAAA10607Z5</v>
      </c>
      <c r="B10607" t="str">
        <f>TEST_DATA!B10607</f>
        <v>Feb-2018</v>
      </c>
      <c r="C10607">
        <f>TEST_DATA!C10607</f>
        <v>44085</v>
      </c>
      <c r="D10607" t="str">
        <f>TEST_DATA!D10607</f>
        <v>NIL</v>
      </c>
      <c r="E10607">
        <f>TEST_DATA!E10607</f>
        <v>522</v>
      </c>
    </row>
    <row r="10608" spans="1:5" x14ac:dyDescent="0.55000000000000004">
      <c r="A10608" t="str">
        <f>TEST_DATA!A10608</f>
        <v>27AAAAA10608Z5</v>
      </c>
      <c r="B10608" t="str">
        <f>TEST_DATA!B10608</f>
        <v>Nov-2017</v>
      </c>
      <c r="C10608">
        <f>TEST_DATA!C10608</f>
        <v>44102</v>
      </c>
      <c r="D10608" t="str">
        <f>TEST_DATA!D10608</f>
        <v>NIL</v>
      </c>
      <c r="E10608">
        <f>TEST_DATA!E10608</f>
        <v>338</v>
      </c>
    </row>
    <row r="10609" spans="1:5" x14ac:dyDescent="0.55000000000000004">
      <c r="A10609" t="str">
        <f>TEST_DATA!A10609</f>
        <v>27AAAAA10609Z5</v>
      </c>
      <c r="B10609" t="str">
        <f>TEST_DATA!B10609</f>
        <v>Sep-2018</v>
      </c>
      <c r="C10609">
        <f>TEST_DATA!C10609</f>
        <v>44237</v>
      </c>
      <c r="D10609" t="str">
        <f>TEST_DATA!D10609</f>
        <v>NON-NIL</v>
      </c>
      <c r="E10609">
        <f>TEST_DATA!E10609</f>
        <v>2091</v>
      </c>
    </row>
    <row r="10610" spans="1:5" x14ac:dyDescent="0.55000000000000004">
      <c r="A10610" t="str">
        <f>TEST_DATA!A10610</f>
        <v>27AAAAA10610Z5</v>
      </c>
      <c r="B10610" t="str">
        <f>TEST_DATA!B10610</f>
        <v>Aug-2018</v>
      </c>
      <c r="C10610">
        <f>TEST_DATA!C10610</f>
        <v>43604</v>
      </c>
      <c r="D10610" t="str">
        <f>TEST_DATA!D10610</f>
        <v>NIL</v>
      </c>
      <c r="E10610">
        <f>TEST_DATA!E10610</f>
        <v>1000</v>
      </c>
    </row>
    <row r="10611" spans="1:5" x14ac:dyDescent="0.55000000000000004">
      <c r="A10611" t="str">
        <f>TEST_DATA!A10611</f>
        <v>27AAAAA10611Z5</v>
      </c>
      <c r="B10611" t="str">
        <f>TEST_DATA!B10611</f>
        <v>Mar-2020</v>
      </c>
      <c r="C10611">
        <f>TEST_DATA!C10611</f>
        <v>44398</v>
      </c>
      <c r="D10611" t="str">
        <f>TEST_DATA!D10611</f>
        <v>NON-NIL</v>
      </c>
      <c r="E10611">
        <f>TEST_DATA!E10611</f>
        <v>1529</v>
      </c>
    </row>
    <row r="10612" spans="1:5" x14ac:dyDescent="0.55000000000000004">
      <c r="A10612" t="str">
        <f>TEST_DATA!A10612</f>
        <v>27AAAAA10612Z5</v>
      </c>
      <c r="B10612" t="str">
        <f>TEST_DATA!B10612</f>
        <v>Dec-2022</v>
      </c>
      <c r="C10612">
        <f>TEST_DATA!C10612</f>
        <v>43693</v>
      </c>
      <c r="D10612" t="str">
        <f>TEST_DATA!D10612</f>
        <v>NON-NIL</v>
      </c>
      <c r="E10612">
        <f>TEST_DATA!E10612</f>
        <v>1333</v>
      </c>
    </row>
    <row r="10613" spans="1:5" x14ac:dyDescent="0.55000000000000004">
      <c r="A10613" t="str">
        <f>TEST_DATA!A10613</f>
        <v>27AAAAA10613Z5</v>
      </c>
      <c r="B10613" t="str">
        <f>TEST_DATA!B10613</f>
        <v>Jan-2019</v>
      </c>
      <c r="C10613">
        <f>TEST_DATA!C10613</f>
        <v>45493</v>
      </c>
      <c r="D10613" t="str">
        <f>TEST_DATA!D10613</f>
        <v>NON-NIL</v>
      </c>
      <c r="E10613">
        <f>TEST_DATA!E10613</f>
        <v>2304</v>
      </c>
    </row>
    <row r="10614" spans="1:5" x14ac:dyDescent="0.55000000000000004">
      <c r="A10614" t="str">
        <f>TEST_DATA!A10614</f>
        <v>27AAAAA10614Z5</v>
      </c>
      <c r="B10614" t="str">
        <f>TEST_DATA!B10614</f>
        <v>Sep-2017</v>
      </c>
      <c r="C10614">
        <f>TEST_DATA!C10614</f>
        <v>43856</v>
      </c>
      <c r="D10614" t="str">
        <f>TEST_DATA!D10614</f>
        <v>NON-NIL</v>
      </c>
      <c r="E10614">
        <f>TEST_DATA!E10614</f>
        <v>834</v>
      </c>
    </row>
    <row r="10615" spans="1:5" x14ac:dyDescent="0.55000000000000004">
      <c r="A10615" t="str">
        <f>TEST_DATA!A10615</f>
        <v>27AAAAA10615Z5</v>
      </c>
      <c r="B10615" t="str">
        <f>TEST_DATA!B10615</f>
        <v>Sep-2017</v>
      </c>
      <c r="C10615">
        <f>TEST_DATA!C10615</f>
        <v>43174</v>
      </c>
      <c r="D10615" t="str">
        <f>TEST_DATA!D10615</f>
        <v>NON-NIL</v>
      </c>
      <c r="E10615">
        <f>TEST_DATA!E10615</f>
        <v>867</v>
      </c>
    </row>
    <row r="10616" spans="1:5" x14ac:dyDescent="0.55000000000000004">
      <c r="A10616" t="str">
        <f>TEST_DATA!A10616</f>
        <v>27AAAAA10616Z5</v>
      </c>
      <c r="B10616" t="str">
        <f>TEST_DATA!B10616</f>
        <v>Apr-2018</v>
      </c>
      <c r="C10616">
        <f>TEST_DATA!C10616</f>
        <v>44229</v>
      </c>
      <c r="D10616" t="str">
        <f>TEST_DATA!D10616</f>
        <v>NON-NIL</v>
      </c>
      <c r="E10616">
        <f>TEST_DATA!E10616</f>
        <v>845</v>
      </c>
    </row>
    <row r="10617" spans="1:5" x14ac:dyDescent="0.55000000000000004">
      <c r="A10617" t="str">
        <f>TEST_DATA!A10617</f>
        <v>27AAAAA10617Z5</v>
      </c>
      <c r="B10617" t="str">
        <f>TEST_DATA!B10617</f>
        <v>Jun-2018</v>
      </c>
      <c r="C10617">
        <f>TEST_DATA!C10617</f>
        <v>43424</v>
      </c>
      <c r="D10617" t="str">
        <f>TEST_DATA!D10617</f>
        <v>NIL</v>
      </c>
      <c r="E10617">
        <f>TEST_DATA!E10617</f>
        <v>281</v>
      </c>
    </row>
    <row r="10618" spans="1:5" x14ac:dyDescent="0.55000000000000004">
      <c r="A10618" t="str">
        <f>TEST_DATA!A10618</f>
        <v>27AAAAA10618Z5</v>
      </c>
      <c r="B10618" t="str">
        <f>TEST_DATA!B10618</f>
        <v>Jul-2020</v>
      </c>
      <c r="C10618">
        <f>TEST_DATA!C10618</f>
        <v>44507</v>
      </c>
      <c r="D10618" t="str">
        <f>TEST_DATA!D10618</f>
        <v>NON-NIL</v>
      </c>
      <c r="E10618">
        <f>TEST_DATA!E10618</f>
        <v>1440</v>
      </c>
    </row>
    <row r="10619" spans="1:5" x14ac:dyDescent="0.55000000000000004">
      <c r="A10619" t="str">
        <f>TEST_DATA!A10619</f>
        <v>27AAAAA10619Z5</v>
      </c>
      <c r="B10619" t="str">
        <f>TEST_DATA!B10619</f>
        <v>Aug-2017</v>
      </c>
      <c r="C10619">
        <f>TEST_DATA!C10619</f>
        <v>44120</v>
      </c>
      <c r="D10619" t="str">
        <f>TEST_DATA!D10619</f>
        <v>NIL</v>
      </c>
      <c r="E10619">
        <f>TEST_DATA!E10619</f>
        <v>1881</v>
      </c>
    </row>
    <row r="10620" spans="1:5" x14ac:dyDescent="0.55000000000000004">
      <c r="A10620" t="str">
        <f>TEST_DATA!A10620</f>
        <v>27AAAAA10620Z5</v>
      </c>
      <c r="B10620" t="str">
        <f>TEST_DATA!B10620</f>
        <v>Dec-2017</v>
      </c>
      <c r="C10620">
        <f>TEST_DATA!C10620</f>
        <v>43019</v>
      </c>
      <c r="D10620" t="str">
        <f>TEST_DATA!D10620</f>
        <v>NON-NIL</v>
      </c>
      <c r="E10620">
        <f>TEST_DATA!E10620</f>
        <v>2111</v>
      </c>
    </row>
    <row r="10621" spans="1:5" x14ac:dyDescent="0.55000000000000004">
      <c r="A10621" t="str">
        <f>TEST_DATA!A10621</f>
        <v>27AAAAA10621Z5</v>
      </c>
      <c r="B10621" t="str">
        <f>TEST_DATA!B10621</f>
        <v>Aug-2017</v>
      </c>
      <c r="C10621">
        <f>TEST_DATA!C10621</f>
        <v>44418</v>
      </c>
      <c r="D10621" t="str">
        <f>TEST_DATA!D10621</f>
        <v>NIL</v>
      </c>
      <c r="E10621">
        <f>TEST_DATA!E10621</f>
        <v>1558</v>
      </c>
    </row>
    <row r="10622" spans="1:5" x14ac:dyDescent="0.55000000000000004">
      <c r="A10622" t="str">
        <f>TEST_DATA!A10622</f>
        <v>27AAAAA10622Z5</v>
      </c>
      <c r="B10622" t="str">
        <f>TEST_DATA!B10622</f>
        <v>Mar-2020</v>
      </c>
      <c r="C10622">
        <f>TEST_DATA!C10622</f>
        <v>44595</v>
      </c>
      <c r="D10622" t="str">
        <f>TEST_DATA!D10622</f>
        <v>NON-NIL</v>
      </c>
      <c r="E10622">
        <f>TEST_DATA!E10622</f>
        <v>2636</v>
      </c>
    </row>
    <row r="10623" spans="1:5" x14ac:dyDescent="0.55000000000000004">
      <c r="A10623" t="str">
        <f>TEST_DATA!A10623</f>
        <v>27AAAAA10623Z5</v>
      </c>
      <c r="B10623" t="str">
        <f>TEST_DATA!B10623</f>
        <v>Jun-2018</v>
      </c>
      <c r="C10623">
        <f>TEST_DATA!C10623</f>
        <v>43772</v>
      </c>
      <c r="D10623" t="str">
        <f>TEST_DATA!D10623</f>
        <v>NIL</v>
      </c>
      <c r="E10623">
        <f>TEST_DATA!E10623</f>
        <v>2505</v>
      </c>
    </row>
    <row r="10624" spans="1:5" x14ac:dyDescent="0.55000000000000004">
      <c r="A10624" t="str">
        <f>TEST_DATA!A10624</f>
        <v>27AAAAA10624Z5</v>
      </c>
      <c r="B10624" t="str">
        <f>TEST_DATA!B10624</f>
        <v>Mar-2018</v>
      </c>
      <c r="C10624">
        <f>TEST_DATA!C10624</f>
        <v>43320</v>
      </c>
      <c r="D10624" t="str">
        <f>TEST_DATA!D10624</f>
        <v>NIL</v>
      </c>
      <c r="E10624">
        <f>TEST_DATA!E10624</f>
        <v>2361</v>
      </c>
    </row>
    <row r="10625" spans="1:5" x14ac:dyDescent="0.55000000000000004">
      <c r="A10625" t="str">
        <f>TEST_DATA!A10625</f>
        <v>27AAAAA10625Z5</v>
      </c>
      <c r="B10625" t="str">
        <f>TEST_DATA!B10625</f>
        <v>Oct-2017</v>
      </c>
      <c r="C10625">
        <f>TEST_DATA!C10625</f>
        <v>43750</v>
      </c>
      <c r="D10625" t="str">
        <f>TEST_DATA!D10625</f>
        <v>NON-NIL</v>
      </c>
      <c r="E10625">
        <f>TEST_DATA!E10625</f>
        <v>1886</v>
      </c>
    </row>
    <row r="10626" spans="1:5" x14ac:dyDescent="0.55000000000000004">
      <c r="A10626" t="str">
        <f>TEST_DATA!A10626</f>
        <v>27AAAAA10626Z5</v>
      </c>
      <c r="B10626" t="str">
        <f>TEST_DATA!B10626</f>
        <v>Jul-2017</v>
      </c>
      <c r="C10626">
        <f>TEST_DATA!C10626</f>
        <v>43983</v>
      </c>
      <c r="D10626" t="str">
        <f>TEST_DATA!D10626</f>
        <v>NON-NIL</v>
      </c>
      <c r="E10626">
        <f>TEST_DATA!E10626</f>
        <v>1329</v>
      </c>
    </row>
    <row r="10627" spans="1:5" x14ac:dyDescent="0.55000000000000004">
      <c r="A10627" t="str">
        <f>TEST_DATA!A10627</f>
        <v>27AAAAA10627Z5</v>
      </c>
      <c r="B10627" t="str">
        <f>TEST_DATA!B10627</f>
        <v>Jul-2017</v>
      </c>
      <c r="C10627">
        <f>TEST_DATA!C10627</f>
        <v>43735</v>
      </c>
      <c r="D10627" t="str">
        <f>TEST_DATA!D10627</f>
        <v>NON-NIL</v>
      </c>
      <c r="E10627">
        <f>TEST_DATA!E10627</f>
        <v>933</v>
      </c>
    </row>
    <row r="10628" spans="1:5" x14ac:dyDescent="0.55000000000000004">
      <c r="A10628" t="str">
        <f>TEST_DATA!A10628</f>
        <v>27AAAAA10628Z5</v>
      </c>
      <c r="B10628" t="str">
        <f>TEST_DATA!B10628</f>
        <v>Mar-2021</v>
      </c>
      <c r="C10628">
        <f>TEST_DATA!C10628</f>
        <v>45838</v>
      </c>
      <c r="D10628" t="str">
        <f>TEST_DATA!D10628</f>
        <v>NON-NIL</v>
      </c>
      <c r="E10628">
        <f>TEST_DATA!E10628</f>
        <v>1089</v>
      </c>
    </row>
    <row r="10629" spans="1:5" x14ac:dyDescent="0.55000000000000004">
      <c r="A10629" t="str">
        <f>TEST_DATA!A10629</f>
        <v>27AAAAA10629Z5</v>
      </c>
      <c r="B10629" t="str">
        <f>TEST_DATA!B10629</f>
        <v>Apr-2021</v>
      </c>
      <c r="C10629">
        <f>TEST_DATA!C10629</f>
        <v>43900</v>
      </c>
      <c r="D10629" t="str">
        <f>TEST_DATA!D10629</f>
        <v>NIL</v>
      </c>
      <c r="E10629">
        <f>TEST_DATA!E10629</f>
        <v>2936</v>
      </c>
    </row>
    <row r="10630" spans="1:5" x14ac:dyDescent="0.55000000000000004">
      <c r="A10630" t="str">
        <f>TEST_DATA!A10630</f>
        <v>27AAAAA10630Z5</v>
      </c>
      <c r="B10630" t="str">
        <f>TEST_DATA!B10630</f>
        <v>Sep-2017</v>
      </c>
      <c r="C10630">
        <f>TEST_DATA!C10630</f>
        <v>42949</v>
      </c>
      <c r="D10630" t="str">
        <f>TEST_DATA!D10630</f>
        <v>NON-NIL</v>
      </c>
      <c r="E10630">
        <f>TEST_DATA!E10630</f>
        <v>597</v>
      </c>
    </row>
    <row r="10631" spans="1:5" x14ac:dyDescent="0.55000000000000004">
      <c r="A10631" t="str">
        <f>TEST_DATA!A10631</f>
        <v>27AAAAA10631Z5</v>
      </c>
      <c r="B10631" t="str">
        <f>TEST_DATA!B10631</f>
        <v>Mar-2023</v>
      </c>
      <c r="C10631">
        <f>TEST_DATA!C10631</f>
        <v>45459</v>
      </c>
      <c r="D10631" t="str">
        <f>TEST_DATA!D10631</f>
        <v>NON-NIL</v>
      </c>
      <c r="E10631">
        <f>TEST_DATA!E10631</f>
        <v>1066</v>
      </c>
    </row>
    <row r="10632" spans="1:5" x14ac:dyDescent="0.55000000000000004">
      <c r="A10632" t="str">
        <f>TEST_DATA!A10632</f>
        <v>27AAAAA10632Z5</v>
      </c>
      <c r="B10632" t="str">
        <f>TEST_DATA!B10632</f>
        <v>Apr-2020</v>
      </c>
      <c r="C10632">
        <f>TEST_DATA!C10632</f>
        <v>44226</v>
      </c>
      <c r="D10632" t="str">
        <f>TEST_DATA!D10632</f>
        <v>NON-NIL</v>
      </c>
      <c r="E10632">
        <f>TEST_DATA!E10632</f>
        <v>1140</v>
      </c>
    </row>
    <row r="10633" spans="1:5" x14ac:dyDescent="0.55000000000000004">
      <c r="A10633" t="str">
        <f>TEST_DATA!A10633</f>
        <v>27AAAAA10633Z5</v>
      </c>
      <c r="B10633" t="str">
        <f>TEST_DATA!B10633</f>
        <v>Dec-2022</v>
      </c>
      <c r="C10633">
        <f>TEST_DATA!C10633</f>
        <v>44081</v>
      </c>
      <c r="D10633" t="str">
        <f>TEST_DATA!D10633</f>
        <v>NIL</v>
      </c>
      <c r="E10633">
        <f>TEST_DATA!E10633</f>
        <v>5</v>
      </c>
    </row>
    <row r="10634" spans="1:5" x14ac:dyDescent="0.55000000000000004">
      <c r="A10634" t="str">
        <f>TEST_DATA!A10634</f>
        <v>27AAAAA10634Z5</v>
      </c>
      <c r="B10634" t="str">
        <f>TEST_DATA!B10634</f>
        <v>Oct-2017</v>
      </c>
      <c r="C10634">
        <f>TEST_DATA!C10634</f>
        <v>43991</v>
      </c>
      <c r="D10634" t="str">
        <f>TEST_DATA!D10634</f>
        <v>NIL</v>
      </c>
      <c r="E10634">
        <f>TEST_DATA!E10634</f>
        <v>2068</v>
      </c>
    </row>
    <row r="10635" spans="1:5" x14ac:dyDescent="0.55000000000000004">
      <c r="A10635" t="str">
        <f>TEST_DATA!A10635</f>
        <v>27AAAAA10635Z5</v>
      </c>
      <c r="B10635" t="str">
        <f>TEST_DATA!B10635</f>
        <v>Dec-2019</v>
      </c>
      <c r="C10635">
        <f>TEST_DATA!C10635</f>
        <v>45168</v>
      </c>
      <c r="D10635" t="str">
        <f>TEST_DATA!D10635</f>
        <v>NIL</v>
      </c>
      <c r="E10635">
        <f>TEST_DATA!E10635</f>
        <v>877</v>
      </c>
    </row>
    <row r="10636" spans="1:5" x14ac:dyDescent="0.55000000000000004">
      <c r="A10636" t="str">
        <f>TEST_DATA!A10636</f>
        <v>27AAAAA10636Z5</v>
      </c>
      <c r="B10636" t="str">
        <f>TEST_DATA!B10636</f>
        <v>Nov-2017</v>
      </c>
      <c r="C10636">
        <f>TEST_DATA!C10636</f>
        <v>44478</v>
      </c>
      <c r="D10636" t="str">
        <f>TEST_DATA!D10636</f>
        <v>NIL</v>
      </c>
      <c r="E10636">
        <f>TEST_DATA!E10636</f>
        <v>1514</v>
      </c>
    </row>
    <row r="10637" spans="1:5" x14ac:dyDescent="0.55000000000000004">
      <c r="A10637" t="str">
        <f>TEST_DATA!A10637</f>
        <v>27AAAAA10637Z5</v>
      </c>
      <c r="B10637" t="str">
        <f>TEST_DATA!B10637</f>
        <v>Sep-2018</v>
      </c>
      <c r="C10637">
        <f>TEST_DATA!C10637</f>
        <v>43574</v>
      </c>
      <c r="D10637" t="str">
        <f>TEST_DATA!D10637</f>
        <v>NIL</v>
      </c>
      <c r="E10637">
        <f>TEST_DATA!E10637</f>
        <v>2165</v>
      </c>
    </row>
    <row r="10638" spans="1:5" x14ac:dyDescent="0.55000000000000004">
      <c r="A10638" t="str">
        <f>TEST_DATA!A10638</f>
        <v>27AAAAA10638Z5</v>
      </c>
      <c r="B10638" t="str">
        <f>TEST_DATA!B10638</f>
        <v>Apr-2018</v>
      </c>
      <c r="C10638">
        <f>TEST_DATA!C10638</f>
        <v>44548</v>
      </c>
      <c r="D10638" t="str">
        <f>TEST_DATA!D10638</f>
        <v>NIL</v>
      </c>
      <c r="E10638">
        <f>TEST_DATA!E10638</f>
        <v>412</v>
      </c>
    </row>
    <row r="10639" spans="1:5" x14ac:dyDescent="0.55000000000000004">
      <c r="A10639" t="str">
        <f>TEST_DATA!A10639</f>
        <v>27AAAAA10639Z5</v>
      </c>
      <c r="B10639" t="str">
        <f>TEST_DATA!B10639</f>
        <v>Sep-2017</v>
      </c>
      <c r="C10639">
        <f>TEST_DATA!C10639</f>
        <v>43582</v>
      </c>
      <c r="D10639" t="str">
        <f>TEST_DATA!D10639</f>
        <v>NON-NIL</v>
      </c>
      <c r="E10639">
        <f>TEST_DATA!E10639</f>
        <v>153</v>
      </c>
    </row>
    <row r="10640" spans="1:5" x14ac:dyDescent="0.55000000000000004">
      <c r="A10640" t="str">
        <f>TEST_DATA!A10640</f>
        <v>27AAAAA10640Z5</v>
      </c>
      <c r="B10640" t="str">
        <f>TEST_DATA!B10640</f>
        <v>Mar-2023</v>
      </c>
      <c r="C10640">
        <f>TEST_DATA!C10640</f>
        <v>44238</v>
      </c>
      <c r="D10640" t="str">
        <f>TEST_DATA!D10640</f>
        <v>NON-NIL</v>
      </c>
      <c r="E10640">
        <f>TEST_DATA!E10640</f>
        <v>1876</v>
      </c>
    </row>
    <row r="10641" spans="1:5" x14ac:dyDescent="0.55000000000000004">
      <c r="A10641" t="str">
        <f>TEST_DATA!A10641</f>
        <v>27AAAAA10641Z5</v>
      </c>
      <c r="B10641" t="str">
        <f>TEST_DATA!B10641</f>
        <v>Jun-2018</v>
      </c>
      <c r="C10641">
        <f>TEST_DATA!C10641</f>
        <v>43727</v>
      </c>
      <c r="D10641" t="str">
        <f>TEST_DATA!D10641</f>
        <v>NIL</v>
      </c>
      <c r="E10641">
        <f>TEST_DATA!E10641</f>
        <v>2633</v>
      </c>
    </row>
    <row r="10642" spans="1:5" x14ac:dyDescent="0.55000000000000004">
      <c r="A10642" t="str">
        <f>TEST_DATA!A10642</f>
        <v>27AAAAA10642Z5</v>
      </c>
      <c r="B10642" t="str">
        <f>TEST_DATA!B10642</f>
        <v>Sep-2017</v>
      </c>
      <c r="C10642">
        <f>TEST_DATA!C10642</f>
        <v>43760</v>
      </c>
      <c r="D10642" t="str">
        <f>TEST_DATA!D10642</f>
        <v>NON-NIL</v>
      </c>
      <c r="E10642">
        <f>TEST_DATA!E10642</f>
        <v>2814</v>
      </c>
    </row>
    <row r="10643" spans="1:5" x14ac:dyDescent="0.55000000000000004">
      <c r="A10643" t="str">
        <f>TEST_DATA!A10643</f>
        <v>27AAAAA10643Z5</v>
      </c>
      <c r="B10643" t="str">
        <f>TEST_DATA!B10643</f>
        <v>Dec-2017</v>
      </c>
      <c r="C10643">
        <f>TEST_DATA!C10643</f>
        <v>43704</v>
      </c>
      <c r="D10643" t="str">
        <f>TEST_DATA!D10643</f>
        <v>NIL</v>
      </c>
      <c r="E10643">
        <f>TEST_DATA!E10643</f>
        <v>1236</v>
      </c>
    </row>
    <row r="10644" spans="1:5" x14ac:dyDescent="0.55000000000000004">
      <c r="A10644" t="str">
        <f>TEST_DATA!A10644</f>
        <v>27AAAAA10644Z5</v>
      </c>
      <c r="B10644" t="str">
        <f>TEST_DATA!B10644</f>
        <v>Dec-2022</v>
      </c>
      <c r="C10644">
        <f>TEST_DATA!C10644</f>
        <v>44835</v>
      </c>
      <c r="D10644" t="str">
        <f>TEST_DATA!D10644</f>
        <v>NON-NIL</v>
      </c>
      <c r="E10644">
        <f>TEST_DATA!E10644</f>
        <v>1162</v>
      </c>
    </row>
    <row r="10645" spans="1:5" x14ac:dyDescent="0.55000000000000004">
      <c r="A10645" t="str">
        <f>TEST_DATA!A10645</f>
        <v>27AAAAA10645Z5</v>
      </c>
      <c r="B10645" t="str">
        <f>TEST_DATA!B10645</f>
        <v>Aug-2018</v>
      </c>
      <c r="C10645">
        <f>TEST_DATA!C10645</f>
        <v>43250</v>
      </c>
      <c r="D10645" t="str">
        <f>TEST_DATA!D10645</f>
        <v>NIL</v>
      </c>
      <c r="E10645">
        <f>TEST_DATA!E10645</f>
        <v>728</v>
      </c>
    </row>
    <row r="10646" spans="1:5" x14ac:dyDescent="0.55000000000000004">
      <c r="A10646" t="str">
        <f>TEST_DATA!A10646</f>
        <v>27AAAAA10646Z5</v>
      </c>
      <c r="B10646" t="str">
        <f>TEST_DATA!B10646</f>
        <v>Oct-2017</v>
      </c>
      <c r="C10646">
        <f>TEST_DATA!C10646</f>
        <v>43389</v>
      </c>
      <c r="D10646" t="str">
        <f>TEST_DATA!D10646</f>
        <v>NON-NIL</v>
      </c>
      <c r="E10646">
        <f>TEST_DATA!E10646</f>
        <v>2904</v>
      </c>
    </row>
    <row r="10647" spans="1:5" x14ac:dyDescent="0.55000000000000004">
      <c r="A10647" t="str">
        <f>TEST_DATA!A10647</f>
        <v>27AAAAA10647Z5</v>
      </c>
      <c r="B10647" t="str">
        <f>TEST_DATA!B10647</f>
        <v>Mar-2018</v>
      </c>
      <c r="C10647">
        <f>TEST_DATA!C10647</f>
        <v>44541</v>
      </c>
      <c r="D10647" t="str">
        <f>TEST_DATA!D10647</f>
        <v>NON-NIL</v>
      </c>
      <c r="E10647">
        <f>TEST_DATA!E10647</f>
        <v>2551</v>
      </c>
    </row>
    <row r="10648" spans="1:5" x14ac:dyDescent="0.55000000000000004">
      <c r="A10648" t="str">
        <f>TEST_DATA!A10648</f>
        <v>27AAAAA10648Z5</v>
      </c>
      <c r="B10648" t="str">
        <f>TEST_DATA!B10648</f>
        <v>Jul-2020</v>
      </c>
      <c r="C10648">
        <f>TEST_DATA!C10648</f>
        <v>44178</v>
      </c>
      <c r="D10648" t="str">
        <f>TEST_DATA!D10648</f>
        <v>NIL</v>
      </c>
      <c r="E10648">
        <f>TEST_DATA!E10648</f>
        <v>2718</v>
      </c>
    </row>
    <row r="10649" spans="1:5" x14ac:dyDescent="0.55000000000000004">
      <c r="A10649" t="str">
        <f>TEST_DATA!A10649</f>
        <v>27AAAAA10649Z5</v>
      </c>
      <c r="B10649" t="str">
        <f>TEST_DATA!B10649</f>
        <v>Feb-2018</v>
      </c>
      <c r="C10649">
        <f>TEST_DATA!C10649</f>
        <v>44083</v>
      </c>
      <c r="D10649" t="str">
        <f>TEST_DATA!D10649</f>
        <v>NON-NIL</v>
      </c>
      <c r="E10649">
        <f>TEST_DATA!E10649</f>
        <v>16</v>
      </c>
    </row>
    <row r="10650" spans="1:5" x14ac:dyDescent="0.55000000000000004">
      <c r="A10650" t="str">
        <f>TEST_DATA!A10650</f>
        <v>27AAAAA10650Z5</v>
      </c>
      <c r="B10650" t="str">
        <f>TEST_DATA!B10650</f>
        <v>Jan-2019</v>
      </c>
      <c r="C10650">
        <f>TEST_DATA!C10650</f>
        <v>43807</v>
      </c>
      <c r="D10650" t="str">
        <f>TEST_DATA!D10650</f>
        <v>NON-NIL</v>
      </c>
      <c r="E10650">
        <f>TEST_DATA!E10650</f>
        <v>1008</v>
      </c>
    </row>
    <row r="10651" spans="1:5" x14ac:dyDescent="0.55000000000000004">
      <c r="A10651" t="str">
        <f>TEST_DATA!A10651</f>
        <v>27AAAAA10651Z5</v>
      </c>
      <c r="B10651" t="str">
        <f>TEST_DATA!B10651</f>
        <v>Jun-2020</v>
      </c>
      <c r="C10651">
        <f>TEST_DATA!C10651</f>
        <v>44435</v>
      </c>
      <c r="D10651" t="str">
        <f>TEST_DATA!D10651</f>
        <v>NIL</v>
      </c>
      <c r="E10651">
        <f>TEST_DATA!E10651</f>
        <v>1131</v>
      </c>
    </row>
    <row r="10652" spans="1:5" x14ac:dyDescent="0.55000000000000004">
      <c r="A10652" t="str">
        <f>TEST_DATA!A10652</f>
        <v>27AAAAA10652Z5</v>
      </c>
      <c r="B10652" t="str">
        <f>TEST_DATA!B10652</f>
        <v>Jul-2018</v>
      </c>
      <c r="C10652">
        <f>TEST_DATA!C10652</f>
        <v>43701</v>
      </c>
      <c r="D10652" t="str">
        <f>TEST_DATA!D10652</f>
        <v>NIL</v>
      </c>
      <c r="E10652">
        <f>TEST_DATA!E10652</f>
        <v>2556</v>
      </c>
    </row>
    <row r="10653" spans="1:5" x14ac:dyDescent="0.55000000000000004">
      <c r="A10653" t="str">
        <f>TEST_DATA!A10653</f>
        <v>27AAAAA10653Z5</v>
      </c>
      <c r="B10653" t="str">
        <f>TEST_DATA!B10653</f>
        <v>May-2018</v>
      </c>
      <c r="C10653">
        <f>TEST_DATA!C10653</f>
        <v>43447</v>
      </c>
      <c r="D10653" t="str">
        <f>TEST_DATA!D10653</f>
        <v>NON-NIL</v>
      </c>
      <c r="E10653">
        <f>TEST_DATA!E10653</f>
        <v>2806</v>
      </c>
    </row>
    <row r="10654" spans="1:5" x14ac:dyDescent="0.55000000000000004">
      <c r="A10654" t="str">
        <f>TEST_DATA!A10654</f>
        <v>27AAAAA10654Z5</v>
      </c>
      <c r="B10654" t="str">
        <f>TEST_DATA!B10654</f>
        <v>Aug-2017</v>
      </c>
      <c r="C10654">
        <f>TEST_DATA!C10654</f>
        <v>44393</v>
      </c>
      <c r="D10654" t="str">
        <f>TEST_DATA!D10654</f>
        <v>NIL</v>
      </c>
      <c r="E10654">
        <f>TEST_DATA!E10654</f>
        <v>1708</v>
      </c>
    </row>
    <row r="10655" spans="1:5" x14ac:dyDescent="0.55000000000000004">
      <c r="A10655" t="str">
        <f>TEST_DATA!A10655</f>
        <v>27AAAAA10655Z5</v>
      </c>
      <c r="B10655" t="str">
        <f>TEST_DATA!B10655</f>
        <v>Aug-2017</v>
      </c>
      <c r="C10655">
        <f>TEST_DATA!C10655</f>
        <v>44547</v>
      </c>
      <c r="D10655" t="str">
        <f>TEST_DATA!D10655</f>
        <v>NIL</v>
      </c>
      <c r="E10655">
        <f>TEST_DATA!E10655</f>
        <v>2337</v>
      </c>
    </row>
    <row r="10656" spans="1:5" x14ac:dyDescent="0.55000000000000004">
      <c r="A10656" t="str">
        <f>TEST_DATA!A10656</f>
        <v>27AAAAA10656Z5</v>
      </c>
      <c r="B10656" t="str">
        <f>TEST_DATA!B10656</f>
        <v>Jun-2019</v>
      </c>
      <c r="C10656">
        <f>TEST_DATA!C10656</f>
        <v>43781</v>
      </c>
      <c r="D10656" t="str">
        <f>TEST_DATA!D10656</f>
        <v>NIL</v>
      </c>
      <c r="E10656">
        <f>TEST_DATA!E10656</f>
        <v>1808</v>
      </c>
    </row>
    <row r="10657" spans="1:5" x14ac:dyDescent="0.55000000000000004">
      <c r="A10657" t="str">
        <f>TEST_DATA!A10657</f>
        <v>27AAAAA10657Z5</v>
      </c>
      <c r="B10657" t="str">
        <f>TEST_DATA!B10657</f>
        <v>Mar-2020</v>
      </c>
      <c r="C10657">
        <f>TEST_DATA!C10657</f>
        <v>44563</v>
      </c>
      <c r="D10657" t="str">
        <f>TEST_DATA!D10657</f>
        <v>NIL</v>
      </c>
      <c r="E10657">
        <f>TEST_DATA!E10657</f>
        <v>1602</v>
      </c>
    </row>
    <row r="10658" spans="1:5" x14ac:dyDescent="0.55000000000000004">
      <c r="A10658" t="str">
        <f>TEST_DATA!A10658</f>
        <v>27AAAAA10658Z5</v>
      </c>
      <c r="B10658" t="str">
        <f>TEST_DATA!B10658</f>
        <v>Jan-2018</v>
      </c>
      <c r="C10658">
        <f>TEST_DATA!C10658</f>
        <v>43607</v>
      </c>
      <c r="D10658" t="str">
        <f>TEST_DATA!D10658</f>
        <v>NIL</v>
      </c>
      <c r="E10658">
        <f>TEST_DATA!E10658</f>
        <v>305</v>
      </c>
    </row>
    <row r="10659" spans="1:5" x14ac:dyDescent="0.55000000000000004">
      <c r="A10659" t="str">
        <f>TEST_DATA!A10659</f>
        <v>27AAAAA10659Z5</v>
      </c>
      <c r="B10659" t="str">
        <f>TEST_DATA!B10659</f>
        <v>Mar-2018</v>
      </c>
      <c r="C10659">
        <f>TEST_DATA!C10659</f>
        <v>44212</v>
      </c>
      <c r="D10659" t="str">
        <f>TEST_DATA!D10659</f>
        <v>NIL</v>
      </c>
      <c r="E10659">
        <f>TEST_DATA!E10659</f>
        <v>726</v>
      </c>
    </row>
    <row r="10660" spans="1:5" x14ac:dyDescent="0.55000000000000004">
      <c r="A10660" t="str">
        <f>TEST_DATA!A10660</f>
        <v>27AAAAA10660Z5</v>
      </c>
      <c r="B10660" t="str">
        <f>TEST_DATA!B10660</f>
        <v>Jul-2017</v>
      </c>
      <c r="C10660">
        <f>TEST_DATA!C10660</f>
        <v>43266</v>
      </c>
      <c r="D10660" t="str">
        <f>TEST_DATA!D10660</f>
        <v>NIL</v>
      </c>
      <c r="E10660">
        <f>TEST_DATA!E10660</f>
        <v>1192</v>
      </c>
    </row>
    <row r="10661" spans="1:5" x14ac:dyDescent="0.55000000000000004">
      <c r="A10661" t="str">
        <f>TEST_DATA!A10661</f>
        <v>27AAAAA10661Z5</v>
      </c>
      <c r="B10661" t="str">
        <f>TEST_DATA!B10661</f>
        <v>May-2020</v>
      </c>
      <c r="C10661">
        <f>TEST_DATA!C10661</f>
        <v>44049</v>
      </c>
      <c r="D10661" t="str">
        <f>TEST_DATA!D10661</f>
        <v>NON-NIL</v>
      </c>
      <c r="E10661">
        <f>TEST_DATA!E10661</f>
        <v>1384</v>
      </c>
    </row>
    <row r="10662" spans="1:5" x14ac:dyDescent="0.55000000000000004">
      <c r="A10662" t="str">
        <f>TEST_DATA!A10662</f>
        <v>27AAAAA10662Z5</v>
      </c>
      <c r="B10662" t="str">
        <f>TEST_DATA!B10662</f>
        <v>Jul-2018</v>
      </c>
      <c r="C10662">
        <f>TEST_DATA!C10662</f>
        <v>43054</v>
      </c>
      <c r="D10662" t="str">
        <f>TEST_DATA!D10662</f>
        <v>NON-NIL</v>
      </c>
      <c r="E10662">
        <f>TEST_DATA!E10662</f>
        <v>2107</v>
      </c>
    </row>
    <row r="10663" spans="1:5" x14ac:dyDescent="0.55000000000000004">
      <c r="A10663" t="str">
        <f>TEST_DATA!A10663</f>
        <v>27AAAAA10663Z5</v>
      </c>
      <c r="B10663" t="str">
        <f>TEST_DATA!B10663</f>
        <v>Aug-2017</v>
      </c>
      <c r="C10663">
        <f>TEST_DATA!C10663</f>
        <v>44160</v>
      </c>
      <c r="D10663" t="str">
        <f>TEST_DATA!D10663</f>
        <v>NON-NIL</v>
      </c>
      <c r="E10663">
        <f>TEST_DATA!E10663</f>
        <v>1786</v>
      </c>
    </row>
    <row r="10664" spans="1:5" x14ac:dyDescent="0.55000000000000004">
      <c r="A10664" t="str">
        <f>TEST_DATA!A10664</f>
        <v>27AAAAA10664Z5</v>
      </c>
      <c r="B10664" t="str">
        <f>TEST_DATA!B10664</f>
        <v>Mar-2018</v>
      </c>
      <c r="C10664">
        <f>TEST_DATA!C10664</f>
        <v>44277</v>
      </c>
      <c r="D10664" t="str">
        <f>TEST_DATA!D10664</f>
        <v>NIL</v>
      </c>
      <c r="E10664">
        <f>TEST_DATA!E10664</f>
        <v>2165</v>
      </c>
    </row>
    <row r="10665" spans="1:5" x14ac:dyDescent="0.55000000000000004">
      <c r="A10665" t="str">
        <f>TEST_DATA!A10665</f>
        <v>27AAAAA10665Z5</v>
      </c>
      <c r="B10665" t="str">
        <f>TEST_DATA!B10665</f>
        <v>Jan-2021</v>
      </c>
      <c r="C10665">
        <f>TEST_DATA!C10665</f>
        <v>44841</v>
      </c>
      <c r="D10665" t="str">
        <f>TEST_DATA!D10665</f>
        <v>NON-NIL</v>
      </c>
      <c r="E10665">
        <f>TEST_DATA!E10665</f>
        <v>499</v>
      </c>
    </row>
    <row r="10666" spans="1:5" x14ac:dyDescent="0.55000000000000004">
      <c r="A10666" t="str">
        <f>TEST_DATA!A10666</f>
        <v>27AAAAA10666Z5</v>
      </c>
      <c r="B10666" t="str">
        <f>TEST_DATA!B10666</f>
        <v>Jan-2018</v>
      </c>
      <c r="C10666">
        <f>TEST_DATA!C10666</f>
        <v>43364</v>
      </c>
      <c r="D10666" t="str">
        <f>TEST_DATA!D10666</f>
        <v>NIL</v>
      </c>
      <c r="E10666">
        <f>TEST_DATA!E10666</f>
        <v>1780</v>
      </c>
    </row>
    <row r="10667" spans="1:5" x14ac:dyDescent="0.55000000000000004">
      <c r="A10667" t="str">
        <f>TEST_DATA!A10667</f>
        <v>27AAAAA10667Z5</v>
      </c>
      <c r="B10667" t="str">
        <f>TEST_DATA!B10667</f>
        <v>Jul-2018</v>
      </c>
      <c r="C10667">
        <f>TEST_DATA!C10667</f>
        <v>43653</v>
      </c>
      <c r="D10667" t="str">
        <f>TEST_DATA!D10667</f>
        <v>NIL</v>
      </c>
      <c r="E10667">
        <f>TEST_DATA!E10667</f>
        <v>575</v>
      </c>
    </row>
    <row r="10668" spans="1:5" x14ac:dyDescent="0.55000000000000004">
      <c r="A10668" t="str">
        <f>TEST_DATA!A10668</f>
        <v>27AAAAA10668Z5</v>
      </c>
      <c r="B10668" t="str">
        <f>TEST_DATA!B10668</f>
        <v>Jun-2019</v>
      </c>
      <c r="C10668">
        <f>TEST_DATA!C10668</f>
        <v>44860</v>
      </c>
      <c r="D10668" t="str">
        <f>TEST_DATA!D10668</f>
        <v>NIL</v>
      </c>
      <c r="E10668">
        <f>TEST_DATA!E10668</f>
        <v>1346</v>
      </c>
    </row>
    <row r="10669" spans="1:5" x14ac:dyDescent="0.55000000000000004">
      <c r="A10669" t="str">
        <f>TEST_DATA!A10669</f>
        <v>27AAAAA10669Z5</v>
      </c>
      <c r="B10669" t="str">
        <f>TEST_DATA!B10669</f>
        <v>Dec-2024</v>
      </c>
      <c r="C10669">
        <f>TEST_DATA!C10669</f>
        <v>45231</v>
      </c>
      <c r="D10669" t="str">
        <f>TEST_DATA!D10669</f>
        <v>NON-NIL</v>
      </c>
      <c r="E10669">
        <f>TEST_DATA!E10669</f>
        <v>2260</v>
      </c>
    </row>
    <row r="10670" spans="1:5" x14ac:dyDescent="0.55000000000000004">
      <c r="A10670" t="str">
        <f>TEST_DATA!A10670</f>
        <v>27AAAAA10670Z5</v>
      </c>
      <c r="B10670" t="str">
        <f>TEST_DATA!B10670</f>
        <v>Oct-2017</v>
      </c>
      <c r="C10670">
        <f>TEST_DATA!C10670</f>
        <v>43816</v>
      </c>
      <c r="D10670" t="str">
        <f>TEST_DATA!D10670</f>
        <v>NIL</v>
      </c>
      <c r="E10670">
        <f>TEST_DATA!E10670</f>
        <v>2731</v>
      </c>
    </row>
    <row r="10671" spans="1:5" x14ac:dyDescent="0.55000000000000004">
      <c r="A10671" t="str">
        <f>TEST_DATA!A10671</f>
        <v>27AAAAA10671Z5</v>
      </c>
      <c r="B10671" t="str">
        <f>TEST_DATA!B10671</f>
        <v>Jun-2018</v>
      </c>
      <c r="C10671">
        <f>TEST_DATA!C10671</f>
        <v>44405</v>
      </c>
      <c r="D10671" t="str">
        <f>TEST_DATA!D10671</f>
        <v>NON-NIL</v>
      </c>
      <c r="E10671">
        <f>TEST_DATA!E10671</f>
        <v>2247</v>
      </c>
    </row>
    <row r="10672" spans="1:5" x14ac:dyDescent="0.55000000000000004">
      <c r="A10672" t="str">
        <f>TEST_DATA!A10672</f>
        <v>27AAAAA10672Z5</v>
      </c>
      <c r="B10672" t="str">
        <f>TEST_DATA!B10672</f>
        <v>Dec-2017</v>
      </c>
      <c r="C10672">
        <f>TEST_DATA!C10672</f>
        <v>44075</v>
      </c>
      <c r="D10672" t="str">
        <f>TEST_DATA!D10672</f>
        <v>NIL</v>
      </c>
      <c r="E10672">
        <f>TEST_DATA!E10672</f>
        <v>2883</v>
      </c>
    </row>
    <row r="10673" spans="1:5" x14ac:dyDescent="0.55000000000000004">
      <c r="A10673" t="str">
        <f>TEST_DATA!A10673</f>
        <v>27AAAAA10673Z5</v>
      </c>
      <c r="B10673" t="str">
        <f>TEST_DATA!B10673</f>
        <v>May-2018</v>
      </c>
      <c r="C10673">
        <f>TEST_DATA!C10673</f>
        <v>43280</v>
      </c>
      <c r="D10673" t="str">
        <f>TEST_DATA!D10673</f>
        <v>NON-NIL</v>
      </c>
      <c r="E10673">
        <f>TEST_DATA!E10673</f>
        <v>2427</v>
      </c>
    </row>
    <row r="10674" spans="1:5" x14ac:dyDescent="0.55000000000000004">
      <c r="A10674" t="str">
        <f>TEST_DATA!A10674</f>
        <v>27AAAAA10674Z5</v>
      </c>
      <c r="B10674" t="str">
        <f>TEST_DATA!B10674</f>
        <v>Dec-2017</v>
      </c>
      <c r="C10674">
        <f>TEST_DATA!C10674</f>
        <v>43265</v>
      </c>
      <c r="D10674" t="str">
        <f>TEST_DATA!D10674</f>
        <v>NIL</v>
      </c>
      <c r="E10674">
        <f>TEST_DATA!E10674</f>
        <v>2395</v>
      </c>
    </row>
    <row r="10675" spans="1:5" x14ac:dyDescent="0.55000000000000004">
      <c r="A10675" t="str">
        <f>TEST_DATA!A10675</f>
        <v>27AAAAA10675Z5</v>
      </c>
      <c r="B10675" t="str">
        <f>TEST_DATA!B10675</f>
        <v>Mar-2023</v>
      </c>
      <c r="C10675">
        <f>TEST_DATA!C10675</f>
        <v>43941</v>
      </c>
      <c r="D10675" t="str">
        <f>TEST_DATA!D10675</f>
        <v>NIL</v>
      </c>
      <c r="E10675">
        <f>TEST_DATA!E10675</f>
        <v>2664</v>
      </c>
    </row>
    <row r="10676" spans="1:5" x14ac:dyDescent="0.55000000000000004">
      <c r="A10676" t="str">
        <f>TEST_DATA!A10676</f>
        <v>27AAAAA10676Z5</v>
      </c>
      <c r="B10676" t="str">
        <f>TEST_DATA!B10676</f>
        <v>Apr-2018</v>
      </c>
      <c r="C10676">
        <f>TEST_DATA!C10676</f>
        <v>43244</v>
      </c>
      <c r="D10676" t="str">
        <f>TEST_DATA!D10676</f>
        <v>NON-NIL</v>
      </c>
      <c r="E10676">
        <f>TEST_DATA!E10676</f>
        <v>2063</v>
      </c>
    </row>
    <row r="10677" spans="1:5" x14ac:dyDescent="0.55000000000000004">
      <c r="A10677" t="str">
        <f>TEST_DATA!A10677</f>
        <v>27AAAAA10677Z5</v>
      </c>
      <c r="B10677" t="str">
        <f>TEST_DATA!B10677</f>
        <v>Oct-2017</v>
      </c>
      <c r="C10677">
        <f>TEST_DATA!C10677</f>
        <v>43511</v>
      </c>
      <c r="D10677" t="str">
        <f>TEST_DATA!D10677</f>
        <v>NIL</v>
      </c>
      <c r="E10677">
        <f>TEST_DATA!E10677</f>
        <v>1164</v>
      </c>
    </row>
    <row r="10678" spans="1:5" x14ac:dyDescent="0.55000000000000004">
      <c r="A10678" t="str">
        <f>TEST_DATA!A10678</f>
        <v>27AAAAA10678Z5</v>
      </c>
      <c r="B10678" t="str">
        <f>TEST_DATA!B10678</f>
        <v>Jul-2017</v>
      </c>
      <c r="C10678">
        <f>TEST_DATA!C10678</f>
        <v>44455</v>
      </c>
      <c r="D10678" t="str">
        <f>TEST_DATA!D10678</f>
        <v>NIL</v>
      </c>
      <c r="E10678">
        <f>TEST_DATA!E10678</f>
        <v>886</v>
      </c>
    </row>
    <row r="10679" spans="1:5" x14ac:dyDescent="0.55000000000000004">
      <c r="A10679" t="str">
        <f>TEST_DATA!A10679</f>
        <v>27AAAAA10679Z5</v>
      </c>
      <c r="B10679" t="str">
        <f>TEST_DATA!B10679</f>
        <v>Dec-2022</v>
      </c>
      <c r="C10679">
        <f>TEST_DATA!C10679</f>
        <v>45568</v>
      </c>
      <c r="D10679" t="str">
        <f>TEST_DATA!D10679</f>
        <v>NON-NIL</v>
      </c>
      <c r="E10679">
        <f>TEST_DATA!E10679</f>
        <v>2840</v>
      </c>
    </row>
    <row r="10680" spans="1:5" x14ac:dyDescent="0.55000000000000004">
      <c r="A10680" t="str">
        <f>TEST_DATA!A10680</f>
        <v>27AAAAA10680Z5</v>
      </c>
      <c r="B10680" t="str">
        <f>TEST_DATA!B10680</f>
        <v>Jul-2020</v>
      </c>
      <c r="C10680">
        <f>TEST_DATA!C10680</f>
        <v>44643</v>
      </c>
      <c r="D10680" t="str">
        <f>TEST_DATA!D10680</f>
        <v>NIL</v>
      </c>
      <c r="E10680">
        <f>TEST_DATA!E10680</f>
        <v>2377</v>
      </c>
    </row>
    <row r="10681" spans="1:5" x14ac:dyDescent="0.55000000000000004">
      <c r="A10681" t="str">
        <f>TEST_DATA!A10681</f>
        <v>27AAAAA10681Z5</v>
      </c>
      <c r="B10681" t="str">
        <f>TEST_DATA!B10681</f>
        <v>Oct-2017</v>
      </c>
      <c r="C10681">
        <f>TEST_DATA!C10681</f>
        <v>43499</v>
      </c>
      <c r="D10681" t="str">
        <f>TEST_DATA!D10681</f>
        <v>NIL</v>
      </c>
      <c r="E10681">
        <f>TEST_DATA!E10681</f>
        <v>1688</v>
      </c>
    </row>
    <row r="10682" spans="1:5" x14ac:dyDescent="0.55000000000000004">
      <c r="A10682" t="str">
        <f>TEST_DATA!A10682</f>
        <v>27AAAAA10682Z5</v>
      </c>
      <c r="B10682" t="str">
        <f>TEST_DATA!B10682</f>
        <v>May-2018</v>
      </c>
      <c r="C10682">
        <f>TEST_DATA!C10682</f>
        <v>43232</v>
      </c>
      <c r="D10682" t="str">
        <f>TEST_DATA!D10682</f>
        <v>NIL</v>
      </c>
      <c r="E10682">
        <f>TEST_DATA!E10682</f>
        <v>494</v>
      </c>
    </row>
    <row r="10683" spans="1:5" x14ac:dyDescent="0.55000000000000004">
      <c r="A10683" t="str">
        <f>TEST_DATA!A10683</f>
        <v>27AAAAA10683Z5</v>
      </c>
      <c r="B10683" t="str">
        <f>TEST_DATA!B10683</f>
        <v>Dec-2022</v>
      </c>
      <c r="C10683">
        <f>TEST_DATA!C10683</f>
        <v>44130</v>
      </c>
      <c r="D10683" t="str">
        <f>TEST_DATA!D10683</f>
        <v>NIL</v>
      </c>
      <c r="E10683">
        <f>TEST_DATA!E10683</f>
        <v>442</v>
      </c>
    </row>
    <row r="10684" spans="1:5" x14ac:dyDescent="0.55000000000000004">
      <c r="A10684" t="str">
        <f>TEST_DATA!A10684</f>
        <v>27AAAAA10684Z5</v>
      </c>
      <c r="B10684" t="str">
        <f>TEST_DATA!B10684</f>
        <v>Sep-2018</v>
      </c>
      <c r="C10684">
        <f>TEST_DATA!C10684</f>
        <v>43535</v>
      </c>
      <c r="D10684" t="str">
        <f>TEST_DATA!D10684</f>
        <v>NIL</v>
      </c>
      <c r="E10684">
        <f>TEST_DATA!E10684</f>
        <v>623</v>
      </c>
    </row>
    <row r="10685" spans="1:5" x14ac:dyDescent="0.55000000000000004">
      <c r="A10685" t="str">
        <f>TEST_DATA!A10685</f>
        <v>27AAAAA10685Z5</v>
      </c>
      <c r="B10685" t="str">
        <f>TEST_DATA!B10685</f>
        <v>Aug-2017</v>
      </c>
      <c r="C10685">
        <f>TEST_DATA!C10685</f>
        <v>44185</v>
      </c>
      <c r="D10685" t="str">
        <f>TEST_DATA!D10685</f>
        <v>NON-NIL</v>
      </c>
      <c r="E10685">
        <f>TEST_DATA!E10685</f>
        <v>2874</v>
      </c>
    </row>
    <row r="10686" spans="1:5" x14ac:dyDescent="0.55000000000000004">
      <c r="A10686" t="str">
        <f>TEST_DATA!A10686</f>
        <v>27AAAAA10686Z5</v>
      </c>
      <c r="B10686" t="str">
        <f>TEST_DATA!B10686</f>
        <v>Apr-2018</v>
      </c>
      <c r="C10686">
        <f>TEST_DATA!C10686</f>
        <v>43809</v>
      </c>
      <c r="D10686" t="str">
        <f>TEST_DATA!D10686</f>
        <v>NON-NIL</v>
      </c>
      <c r="E10686">
        <f>TEST_DATA!E10686</f>
        <v>1651</v>
      </c>
    </row>
    <row r="10687" spans="1:5" x14ac:dyDescent="0.55000000000000004">
      <c r="A10687" t="str">
        <f>TEST_DATA!A10687</f>
        <v>27AAAAA10687Z5</v>
      </c>
      <c r="B10687" t="str">
        <f>TEST_DATA!B10687</f>
        <v>Jun-2018</v>
      </c>
      <c r="C10687">
        <f>TEST_DATA!C10687</f>
        <v>44195</v>
      </c>
      <c r="D10687" t="str">
        <f>TEST_DATA!D10687</f>
        <v>NON-NIL</v>
      </c>
      <c r="E10687">
        <f>TEST_DATA!E10687</f>
        <v>2227</v>
      </c>
    </row>
    <row r="10688" spans="1:5" x14ac:dyDescent="0.55000000000000004">
      <c r="A10688" t="str">
        <f>TEST_DATA!A10688</f>
        <v>27AAAAA10688Z5</v>
      </c>
      <c r="B10688" t="str">
        <f>TEST_DATA!B10688</f>
        <v>Sep-2017</v>
      </c>
      <c r="C10688">
        <f>TEST_DATA!C10688</f>
        <v>44332</v>
      </c>
      <c r="D10688" t="str">
        <f>TEST_DATA!D10688</f>
        <v>NIL</v>
      </c>
      <c r="E10688">
        <f>TEST_DATA!E10688</f>
        <v>1897</v>
      </c>
    </row>
    <row r="10689" spans="1:5" x14ac:dyDescent="0.55000000000000004">
      <c r="A10689" t="str">
        <f>TEST_DATA!A10689</f>
        <v>27AAAAA10689Z5</v>
      </c>
      <c r="B10689" t="str">
        <f>TEST_DATA!B10689</f>
        <v>Dec-2017</v>
      </c>
      <c r="C10689">
        <f>TEST_DATA!C10689</f>
        <v>44553</v>
      </c>
      <c r="D10689" t="str">
        <f>TEST_DATA!D10689</f>
        <v>NIL</v>
      </c>
      <c r="E10689">
        <f>TEST_DATA!E10689</f>
        <v>1012</v>
      </c>
    </row>
    <row r="10690" spans="1:5" x14ac:dyDescent="0.55000000000000004">
      <c r="A10690" t="str">
        <f>TEST_DATA!A10690</f>
        <v>27AAAAA10690Z5</v>
      </c>
      <c r="B10690" t="str">
        <f>TEST_DATA!B10690</f>
        <v>Jun-2020</v>
      </c>
      <c r="C10690">
        <f>TEST_DATA!C10690</f>
        <v>44620</v>
      </c>
      <c r="D10690" t="str">
        <f>TEST_DATA!D10690</f>
        <v>NON-NIL</v>
      </c>
      <c r="E10690">
        <f>TEST_DATA!E10690</f>
        <v>2736</v>
      </c>
    </row>
    <row r="10691" spans="1:5" x14ac:dyDescent="0.55000000000000004">
      <c r="A10691" t="str">
        <f>TEST_DATA!A10691</f>
        <v>27AAAAA10691Z5</v>
      </c>
      <c r="B10691" t="str">
        <f>TEST_DATA!B10691</f>
        <v>May-2018</v>
      </c>
      <c r="C10691">
        <f>TEST_DATA!C10691</f>
        <v>44159</v>
      </c>
      <c r="D10691" t="str">
        <f>TEST_DATA!D10691</f>
        <v>NIL</v>
      </c>
      <c r="E10691">
        <f>TEST_DATA!E10691</f>
        <v>1705</v>
      </c>
    </row>
    <row r="10692" spans="1:5" x14ac:dyDescent="0.55000000000000004">
      <c r="A10692" t="str">
        <f>TEST_DATA!A10692</f>
        <v>27AAAAA10692Z5</v>
      </c>
      <c r="B10692" t="str">
        <f>TEST_DATA!B10692</f>
        <v>Apr-2018</v>
      </c>
      <c r="C10692">
        <f>TEST_DATA!C10692</f>
        <v>43476</v>
      </c>
      <c r="D10692" t="str">
        <f>TEST_DATA!D10692</f>
        <v>NIL</v>
      </c>
      <c r="E10692">
        <f>TEST_DATA!E10692</f>
        <v>1283</v>
      </c>
    </row>
    <row r="10693" spans="1:5" x14ac:dyDescent="0.55000000000000004">
      <c r="A10693" t="str">
        <f>TEST_DATA!A10693</f>
        <v>27AAAAA10693Z5</v>
      </c>
      <c r="B10693" t="str">
        <f>TEST_DATA!B10693</f>
        <v>Jan-2018</v>
      </c>
      <c r="C10693">
        <f>TEST_DATA!C10693</f>
        <v>44546</v>
      </c>
      <c r="D10693" t="str">
        <f>TEST_DATA!D10693</f>
        <v>NIL</v>
      </c>
      <c r="E10693">
        <f>TEST_DATA!E10693</f>
        <v>2946</v>
      </c>
    </row>
    <row r="10694" spans="1:5" x14ac:dyDescent="0.55000000000000004">
      <c r="A10694" t="str">
        <f>TEST_DATA!A10694</f>
        <v>27AAAAA10694Z5</v>
      </c>
      <c r="B10694" t="str">
        <f>TEST_DATA!B10694</f>
        <v>Oct-2017</v>
      </c>
      <c r="C10694">
        <f>TEST_DATA!C10694</f>
        <v>44063</v>
      </c>
      <c r="D10694" t="str">
        <f>TEST_DATA!D10694</f>
        <v>NIL</v>
      </c>
      <c r="E10694">
        <f>TEST_DATA!E10694</f>
        <v>389</v>
      </c>
    </row>
    <row r="10695" spans="1:5" x14ac:dyDescent="0.55000000000000004">
      <c r="A10695" t="str">
        <f>TEST_DATA!A10695</f>
        <v>27AAAAA10695Z5</v>
      </c>
      <c r="B10695" t="str">
        <f>TEST_DATA!B10695</f>
        <v>Oct-2017</v>
      </c>
      <c r="C10695">
        <f>TEST_DATA!C10695</f>
        <v>43307</v>
      </c>
      <c r="D10695" t="str">
        <f>TEST_DATA!D10695</f>
        <v>NIL</v>
      </c>
      <c r="E10695">
        <f>TEST_DATA!E10695</f>
        <v>2119</v>
      </c>
    </row>
    <row r="10696" spans="1:5" x14ac:dyDescent="0.55000000000000004">
      <c r="A10696" t="str">
        <f>TEST_DATA!A10696</f>
        <v>27AAAAA10696Z5</v>
      </c>
      <c r="B10696" t="str">
        <f>TEST_DATA!B10696</f>
        <v>May-2018</v>
      </c>
      <c r="C10696">
        <f>TEST_DATA!C10696</f>
        <v>43198</v>
      </c>
      <c r="D10696" t="str">
        <f>TEST_DATA!D10696</f>
        <v>NIL</v>
      </c>
      <c r="E10696">
        <f>TEST_DATA!E10696</f>
        <v>419</v>
      </c>
    </row>
    <row r="10697" spans="1:5" x14ac:dyDescent="0.55000000000000004">
      <c r="A10697" t="str">
        <f>TEST_DATA!A10697</f>
        <v>27AAAAA10697Z5</v>
      </c>
      <c r="B10697" t="str">
        <f>TEST_DATA!B10697</f>
        <v>Jun-2018</v>
      </c>
      <c r="C10697">
        <f>TEST_DATA!C10697</f>
        <v>43741</v>
      </c>
      <c r="D10697" t="str">
        <f>TEST_DATA!D10697</f>
        <v>NIL</v>
      </c>
      <c r="E10697">
        <f>TEST_DATA!E10697</f>
        <v>965</v>
      </c>
    </row>
    <row r="10698" spans="1:5" x14ac:dyDescent="0.55000000000000004">
      <c r="A10698" t="str">
        <f>TEST_DATA!A10698</f>
        <v>27AAAAA10698Z5</v>
      </c>
      <c r="B10698" t="str">
        <f>TEST_DATA!B10698</f>
        <v>Apr-2018</v>
      </c>
      <c r="C10698">
        <f>TEST_DATA!C10698</f>
        <v>43291</v>
      </c>
      <c r="D10698" t="str">
        <f>TEST_DATA!D10698</f>
        <v>NON-NIL</v>
      </c>
      <c r="E10698">
        <f>TEST_DATA!E10698</f>
        <v>2929</v>
      </c>
    </row>
    <row r="10699" spans="1:5" x14ac:dyDescent="0.55000000000000004">
      <c r="A10699" t="str">
        <f>TEST_DATA!A10699</f>
        <v>27AAAAA10699Z5</v>
      </c>
      <c r="B10699" t="str">
        <f>TEST_DATA!B10699</f>
        <v>Jul-2017</v>
      </c>
      <c r="C10699">
        <f>TEST_DATA!C10699</f>
        <v>44406</v>
      </c>
      <c r="D10699" t="str">
        <f>TEST_DATA!D10699</f>
        <v>NIL</v>
      </c>
      <c r="E10699">
        <f>TEST_DATA!E10699</f>
        <v>604</v>
      </c>
    </row>
    <row r="10700" spans="1:5" x14ac:dyDescent="0.55000000000000004">
      <c r="A10700" t="str">
        <f>TEST_DATA!A10700</f>
        <v>27AAAAA10700Z5</v>
      </c>
      <c r="B10700" t="str">
        <f>TEST_DATA!B10700</f>
        <v>Dec-2024</v>
      </c>
      <c r="C10700">
        <f>TEST_DATA!C10700</f>
        <v>44497</v>
      </c>
      <c r="D10700" t="str">
        <f>TEST_DATA!D10700</f>
        <v>NON-NIL</v>
      </c>
      <c r="E10700">
        <f>TEST_DATA!E10700</f>
        <v>713</v>
      </c>
    </row>
    <row r="10701" spans="1:5" x14ac:dyDescent="0.55000000000000004">
      <c r="A10701" t="str">
        <f>TEST_DATA!A10701</f>
        <v>27AAAAA10701Z5</v>
      </c>
      <c r="B10701" t="str">
        <f>TEST_DATA!B10701</f>
        <v>Jul-2018</v>
      </c>
      <c r="C10701">
        <f>TEST_DATA!C10701</f>
        <v>43893</v>
      </c>
      <c r="D10701" t="str">
        <f>TEST_DATA!D10701</f>
        <v>NIL</v>
      </c>
      <c r="E10701">
        <f>TEST_DATA!E10701</f>
        <v>2579</v>
      </c>
    </row>
    <row r="10702" spans="1:5" x14ac:dyDescent="0.55000000000000004">
      <c r="A10702" t="str">
        <f>TEST_DATA!A10702</f>
        <v>27AAAAA10702Z5</v>
      </c>
      <c r="B10702" t="str">
        <f>TEST_DATA!B10702</f>
        <v>Feb-2018</v>
      </c>
      <c r="C10702">
        <f>TEST_DATA!C10702</f>
        <v>44515</v>
      </c>
      <c r="D10702" t="str">
        <f>TEST_DATA!D10702</f>
        <v>NIL</v>
      </c>
      <c r="E10702">
        <f>TEST_DATA!E10702</f>
        <v>41</v>
      </c>
    </row>
    <row r="10703" spans="1:5" x14ac:dyDescent="0.55000000000000004">
      <c r="A10703" t="str">
        <f>TEST_DATA!A10703</f>
        <v>27AAAAA10703Z5</v>
      </c>
      <c r="B10703" t="str">
        <f>TEST_DATA!B10703</f>
        <v>Nov-2017</v>
      </c>
      <c r="C10703">
        <f>TEST_DATA!C10703</f>
        <v>43558</v>
      </c>
      <c r="D10703" t="str">
        <f>TEST_DATA!D10703</f>
        <v>NIL</v>
      </c>
      <c r="E10703">
        <f>TEST_DATA!E10703</f>
        <v>1036</v>
      </c>
    </row>
    <row r="10704" spans="1:5" x14ac:dyDescent="0.55000000000000004">
      <c r="A10704" t="str">
        <f>TEST_DATA!A10704</f>
        <v>27AAAAA10704Z5</v>
      </c>
      <c r="B10704" t="str">
        <f>TEST_DATA!B10704</f>
        <v>Dec-2017</v>
      </c>
      <c r="C10704">
        <f>TEST_DATA!C10704</f>
        <v>43412</v>
      </c>
      <c r="D10704" t="str">
        <f>TEST_DATA!D10704</f>
        <v>NON-NIL</v>
      </c>
      <c r="E10704">
        <f>TEST_DATA!E10704</f>
        <v>1806</v>
      </c>
    </row>
    <row r="10705" spans="1:5" x14ac:dyDescent="0.55000000000000004">
      <c r="A10705" t="str">
        <f>TEST_DATA!A10705</f>
        <v>27AAAAA10705Z5</v>
      </c>
      <c r="B10705" t="str">
        <f>TEST_DATA!B10705</f>
        <v>Apr-2021</v>
      </c>
      <c r="C10705">
        <f>TEST_DATA!C10705</f>
        <v>43627</v>
      </c>
      <c r="D10705" t="str">
        <f>TEST_DATA!D10705</f>
        <v>NON-NIL</v>
      </c>
      <c r="E10705">
        <f>TEST_DATA!E10705</f>
        <v>1941</v>
      </c>
    </row>
    <row r="10706" spans="1:5" x14ac:dyDescent="0.55000000000000004">
      <c r="A10706" t="str">
        <f>TEST_DATA!A10706</f>
        <v>27AAAAA10706Z5</v>
      </c>
      <c r="B10706" t="str">
        <f>TEST_DATA!B10706</f>
        <v>Jul-2018</v>
      </c>
      <c r="C10706">
        <f>TEST_DATA!C10706</f>
        <v>42977</v>
      </c>
      <c r="D10706" t="str">
        <f>TEST_DATA!D10706</f>
        <v>NON-NIL</v>
      </c>
      <c r="E10706">
        <f>TEST_DATA!E10706</f>
        <v>551</v>
      </c>
    </row>
    <row r="10707" spans="1:5" x14ac:dyDescent="0.55000000000000004">
      <c r="A10707" t="str">
        <f>TEST_DATA!A10707</f>
        <v>27AAAAA10707Z5</v>
      </c>
      <c r="B10707" t="str">
        <f>TEST_DATA!B10707</f>
        <v>Apr-2020</v>
      </c>
      <c r="C10707">
        <f>TEST_DATA!C10707</f>
        <v>44236</v>
      </c>
      <c r="D10707" t="str">
        <f>TEST_DATA!D10707</f>
        <v>NON-NIL</v>
      </c>
      <c r="E10707">
        <f>TEST_DATA!E10707</f>
        <v>2620</v>
      </c>
    </row>
    <row r="10708" spans="1:5" x14ac:dyDescent="0.55000000000000004">
      <c r="A10708" t="str">
        <f>TEST_DATA!A10708</f>
        <v>27AAAAA10708Z5</v>
      </c>
      <c r="B10708" t="str">
        <f>TEST_DATA!B10708</f>
        <v>Jul-2020</v>
      </c>
      <c r="C10708">
        <f>TEST_DATA!C10708</f>
        <v>44704</v>
      </c>
      <c r="D10708" t="str">
        <f>TEST_DATA!D10708</f>
        <v>NON-NIL</v>
      </c>
      <c r="E10708">
        <f>TEST_DATA!E10708</f>
        <v>1924</v>
      </c>
    </row>
    <row r="10709" spans="1:5" x14ac:dyDescent="0.55000000000000004">
      <c r="A10709" t="str">
        <f>TEST_DATA!A10709</f>
        <v>27AAAAA10709Z5</v>
      </c>
      <c r="B10709" t="str">
        <f>TEST_DATA!B10709</f>
        <v>Apr-2018</v>
      </c>
      <c r="C10709">
        <f>TEST_DATA!C10709</f>
        <v>43023</v>
      </c>
      <c r="D10709" t="str">
        <f>TEST_DATA!D10709</f>
        <v>NON-NIL</v>
      </c>
      <c r="E10709">
        <f>TEST_DATA!E10709</f>
        <v>1993</v>
      </c>
    </row>
    <row r="10710" spans="1:5" x14ac:dyDescent="0.55000000000000004">
      <c r="A10710" t="str">
        <f>TEST_DATA!A10710</f>
        <v>27AAAAA10710Z5</v>
      </c>
      <c r="B10710" t="str">
        <f>TEST_DATA!B10710</f>
        <v>Mar-2023</v>
      </c>
      <c r="C10710">
        <f>TEST_DATA!C10710</f>
        <v>44015</v>
      </c>
      <c r="D10710" t="str">
        <f>TEST_DATA!D10710</f>
        <v>NIL</v>
      </c>
      <c r="E10710">
        <f>TEST_DATA!E10710</f>
        <v>162</v>
      </c>
    </row>
    <row r="10711" spans="1:5" x14ac:dyDescent="0.55000000000000004">
      <c r="A10711" t="str">
        <f>TEST_DATA!A10711</f>
        <v>27AAAAA10711Z5</v>
      </c>
      <c r="B10711" t="str">
        <f>TEST_DATA!B10711</f>
        <v>Sep-2018</v>
      </c>
      <c r="C10711">
        <f>TEST_DATA!C10711</f>
        <v>44248</v>
      </c>
      <c r="D10711" t="str">
        <f>TEST_DATA!D10711</f>
        <v>NON-NIL</v>
      </c>
      <c r="E10711">
        <f>TEST_DATA!E10711</f>
        <v>731</v>
      </c>
    </row>
    <row r="10712" spans="1:5" x14ac:dyDescent="0.55000000000000004">
      <c r="A10712" t="str">
        <f>TEST_DATA!A10712</f>
        <v>27AAAAA10712Z5</v>
      </c>
      <c r="B10712" t="str">
        <f>TEST_DATA!B10712</f>
        <v>Apr-2021</v>
      </c>
      <c r="C10712">
        <f>TEST_DATA!C10712</f>
        <v>44662</v>
      </c>
      <c r="D10712" t="str">
        <f>TEST_DATA!D10712</f>
        <v>NIL</v>
      </c>
      <c r="E10712">
        <f>TEST_DATA!E10712</f>
        <v>83</v>
      </c>
    </row>
    <row r="10713" spans="1:5" x14ac:dyDescent="0.55000000000000004">
      <c r="A10713" t="str">
        <f>TEST_DATA!A10713</f>
        <v>27AAAAA10713Z5</v>
      </c>
      <c r="B10713" t="str">
        <f>TEST_DATA!B10713</f>
        <v>Feb-2018</v>
      </c>
      <c r="C10713">
        <f>TEST_DATA!C10713</f>
        <v>43364</v>
      </c>
      <c r="D10713" t="str">
        <f>TEST_DATA!D10713</f>
        <v>NIL</v>
      </c>
      <c r="E10713">
        <f>TEST_DATA!E10713</f>
        <v>1517</v>
      </c>
    </row>
    <row r="10714" spans="1:5" x14ac:dyDescent="0.55000000000000004">
      <c r="A10714" t="str">
        <f>TEST_DATA!A10714</f>
        <v>27AAAAA10714Z5</v>
      </c>
      <c r="B10714" t="str">
        <f>TEST_DATA!B10714</f>
        <v>Mar-2023</v>
      </c>
      <c r="C10714">
        <f>TEST_DATA!C10714</f>
        <v>43765</v>
      </c>
      <c r="D10714" t="str">
        <f>TEST_DATA!D10714</f>
        <v>NIL</v>
      </c>
      <c r="E10714">
        <f>TEST_DATA!E10714</f>
        <v>2817</v>
      </c>
    </row>
    <row r="10715" spans="1:5" x14ac:dyDescent="0.55000000000000004">
      <c r="A10715" t="str">
        <f>TEST_DATA!A10715</f>
        <v>27AAAAA10715Z5</v>
      </c>
      <c r="B10715" t="str">
        <f>TEST_DATA!B10715</f>
        <v>Jun-2020</v>
      </c>
      <c r="C10715">
        <f>TEST_DATA!C10715</f>
        <v>44840</v>
      </c>
      <c r="D10715" t="str">
        <f>TEST_DATA!D10715</f>
        <v>NIL</v>
      </c>
      <c r="E10715">
        <f>TEST_DATA!E10715</f>
        <v>1161</v>
      </c>
    </row>
    <row r="10716" spans="1:5" x14ac:dyDescent="0.55000000000000004">
      <c r="A10716" t="str">
        <f>TEST_DATA!A10716</f>
        <v>27AAAAA10716Z5</v>
      </c>
      <c r="B10716" t="str">
        <f>TEST_DATA!B10716</f>
        <v>Apr-2021</v>
      </c>
      <c r="C10716">
        <f>TEST_DATA!C10716</f>
        <v>45358</v>
      </c>
      <c r="D10716" t="str">
        <f>TEST_DATA!D10716</f>
        <v>NIL</v>
      </c>
      <c r="E10716">
        <f>TEST_DATA!E10716</f>
        <v>1411</v>
      </c>
    </row>
    <row r="10717" spans="1:5" x14ac:dyDescent="0.55000000000000004">
      <c r="A10717" t="str">
        <f>TEST_DATA!A10717</f>
        <v>27AAAAA10717Z5</v>
      </c>
      <c r="B10717" t="str">
        <f>TEST_DATA!B10717</f>
        <v>Mar-2018</v>
      </c>
      <c r="C10717">
        <f>TEST_DATA!C10717</f>
        <v>43291</v>
      </c>
      <c r="D10717" t="str">
        <f>TEST_DATA!D10717</f>
        <v>NON-NIL</v>
      </c>
      <c r="E10717">
        <f>TEST_DATA!E10717</f>
        <v>1418</v>
      </c>
    </row>
    <row r="10718" spans="1:5" x14ac:dyDescent="0.55000000000000004">
      <c r="A10718" t="str">
        <f>TEST_DATA!A10718</f>
        <v>27AAAAA10718Z5</v>
      </c>
      <c r="B10718" t="str">
        <f>TEST_DATA!B10718</f>
        <v>Apr-2018</v>
      </c>
      <c r="C10718">
        <f>TEST_DATA!C10718</f>
        <v>43049</v>
      </c>
      <c r="D10718" t="str">
        <f>TEST_DATA!D10718</f>
        <v>NON-NIL</v>
      </c>
      <c r="E10718">
        <f>TEST_DATA!E10718</f>
        <v>2729</v>
      </c>
    </row>
    <row r="10719" spans="1:5" x14ac:dyDescent="0.55000000000000004">
      <c r="A10719" t="str">
        <f>TEST_DATA!A10719</f>
        <v>27AAAAA10719Z5</v>
      </c>
      <c r="B10719" t="str">
        <f>TEST_DATA!B10719</f>
        <v>Dec-2019</v>
      </c>
      <c r="C10719">
        <f>TEST_DATA!C10719</f>
        <v>44315</v>
      </c>
      <c r="D10719" t="str">
        <f>TEST_DATA!D10719</f>
        <v>NIL</v>
      </c>
      <c r="E10719">
        <f>TEST_DATA!E10719</f>
        <v>1988</v>
      </c>
    </row>
    <row r="10720" spans="1:5" x14ac:dyDescent="0.55000000000000004">
      <c r="A10720" t="str">
        <f>TEST_DATA!A10720</f>
        <v>27AAAAA10720Z5</v>
      </c>
      <c r="B10720" t="str">
        <f>TEST_DATA!B10720</f>
        <v>Mar-2023</v>
      </c>
      <c r="C10720">
        <f>TEST_DATA!C10720</f>
        <v>45245</v>
      </c>
      <c r="D10720" t="str">
        <f>TEST_DATA!D10720</f>
        <v>NIL</v>
      </c>
      <c r="E10720">
        <f>TEST_DATA!E10720</f>
        <v>2379</v>
      </c>
    </row>
    <row r="10721" spans="1:5" x14ac:dyDescent="0.55000000000000004">
      <c r="A10721" t="str">
        <f>TEST_DATA!A10721</f>
        <v>27AAAAA10721Z5</v>
      </c>
      <c r="B10721" t="str">
        <f>TEST_DATA!B10721</f>
        <v>Dec-2019</v>
      </c>
      <c r="C10721">
        <f>TEST_DATA!C10721</f>
        <v>44772</v>
      </c>
      <c r="D10721" t="str">
        <f>TEST_DATA!D10721</f>
        <v>NIL</v>
      </c>
      <c r="E10721">
        <f>TEST_DATA!E10721</f>
        <v>899</v>
      </c>
    </row>
    <row r="10722" spans="1:5" x14ac:dyDescent="0.55000000000000004">
      <c r="A10722" t="str">
        <f>TEST_DATA!A10722</f>
        <v>27AAAAA10722Z5</v>
      </c>
      <c r="B10722" t="str">
        <f>TEST_DATA!B10722</f>
        <v>Dec-2019</v>
      </c>
      <c r="C10722">
        <f>TEST_DATA!C10722</f>
        <v>43889</v>
      </c>
      <c r="D10722" t="str">
        <f>TEST_DATA!D10722</f>
        <v>NIL</v>
      </c>
      <c r="E10722">
        <f>TEST_DATA!E10722</f>
        <v>2094</v>
      </c>
    </row>
    <row r="10723" spans="1:5" x14ac:dyDescent="0.55000000000000004">
      <c r="A10723" t="str">
        <f>TEST_DATA!A10723</f>
        <v>27AAAAA10723Z5</v>
      </c>
      <c r="B10723" t="str">
        <f>TEST_DATA!B10723</f>
        <v>Mar-2020</v>
      </c>
      <c r="C10723">
        <f>TEST_DATA!C10723</f>
        <v>44221</v>
      </c>
      <c r="D10723" t="str">
        <f>TEST_DATA!D10723</f>
        <v>NON-NIL</v>
      </c>
      <c r="E10723">
        <f>TEST_DATA!E10723</f>
        <v>2654</v>
      </c>
    </row>
    <row r="10724" spans="1:5" x14ac:dyDescent="0.55000000000000004">
      <c r="A10724" t="str">
        <f>TEST_DATA!A10724</f>
        <v>27AAAAA10724Z5</v>
      </c>
      <c r="B10724" t="str">
        <f>TEST_DATA!B10724</f>
        <v>Jan-2018</v>
      </c>
      <c r="C10724">
        <f>TEST_DATA!C10724</f>
        <v>44290</v>
      </c>
      <c r="D10724" t="str">
        <f>TEST_DATA!D10724</f>
        <v>NIL</v>
      </c>
      <c r="E10724">
        <f>TEST_DATA!E10724</f>
        <v>1881</v>
      </c>
    </row>
    <row r="10725" spans="1:5" x14ac:dyDescent="0.55000000000000004">
      <c r="A10725" t="str">
        <f>TEST_DATA!A10725</f>
        <v>27AAAAA10725Z5</v>
      </c>
      <c r="B10725" t="str">
        <f>TEST_DATA!B10725</f>
        <v>Dec-2019</v>
      </c>
      <c r="C10725">
        <f>TEST_DATA!C10725</f>
        <v>45212</v>
      </c>
      <c r="D10725" t="str">
        <f>TEST_DATA!D10725</f>
        <v>NIL</v>
      </c>
      <c r="E10725">
        <f>TEST_DATA!E10725</f>
        <v>1958</v>
      </c>
    </row>
    <row r="10726" spans="1:5" x14ac:dyDescent="0.55000000000000004">
      <c r="A10726" t="str">
        <f>TEST_DATA!A10726</f>
        <v>27AAAAA10726Z5</v>
      </c>
      <c r="B10726" t="str">
        <f>TEST_DATA!B10726</f>
        <v>Dec-2024</v>
      </c>
      <c r="C10726">
        <f>TEST_DATA!C10726</f>
        <v>43628</v>
      </c>
      <c r="D10726" t="str">
        <f>TEST_DATA!D10726</f>
        <v>NON-NIL</v>
      </c>
      <c r="E10726">
        <f>TEST_DATA!E10726</f>
        <v>739</v>
      </c>
    </row>
    <row r="10727" spans="1:5" x14ac:dyDescent="0.55000000000000004">
      <c r="A10727" t="str">
        <f>TEST_DATA!A10727</f>
        <v>27AAAAA10727Z5</v>
      </c>
      <c r="B10727" t="str">
        <f>TEST_DATA!B10727</f>
        <v>May-2020</v>
      </c>
      <c r="C10727">
        <f>TEST_DATA!C10727</f>
        <v>44306</v>
      </c>
      <c r="D10727" t="str">
        <f>TEST_DATA!D10727</f>
        <v>NON-NIL</v>
      </c>
      <c r="E10727">
        <f>TEST_DATA!E10727</f>
        <v>1870</v>
      </c>
    </row>
    <row r="10728" spans="1:5" x14ac:dyDescent="0.55000000000000004">
      <c r="A10728" t="str">
        <f>TEST_DATA!A10728</f>
        <v>27AAAAA10728Z5</v>
      </c>
      <c r="B10728" t="str">
        <f>TEST_DATA!B10728</f>
        <v>Mar-2021</v>
      </c>
      <c r="C10728">
        <f>TEST_DATA!C10728</f>
        <v>44412</v>
      </c>
      <c r="D10728" t="str">
        <f>TEST_DATA!D10728</f>
        <v>NIL</v>
      </c>
      <c r="E10728">
        <f>TEST_DATA!E10728</f>
        <v>2134</v>
      </c>
    </row>
    <row r="10729" spans="1:5" x14ac:dyDescent="0.55000000000000004">
      <c r="A10729" t="str">
        <f>TEST_DATA!A10729</f>
        <v>27AAAAA10729Z5</v>
      </c>
      <c r="B10729" t="str">
        <f>TEST_DATA!B10729</f>
        <v>Apr-2020</v>
      </c>
      <c r="C10729">
        <f>TEST_DATA!C10729</f>
        <v>44583</v>
      </c>
      <c r="D10729" t="str">
        <f>TEST_DATA!D10729</f>
        <v>NIL</v>
      </c>
      <c r="E10729">
        <f>TEST_DATA!E10729</f>
        <v>289</v>
      </c>
    </row>
    <row r="10730" spans="1:5" x14ac:dyDescent="0.55000000000000004">
      <c r="A10730" t="str">
        <f>TEST_DATA!A10730</f>
        <v>27AAAAA10730Z5</v>
      </c>
      <c r="B10730" t="str">
        <f>TEST_DATA!B10730</f>
        <v>Dec-2022</v>
      </c>
      <c r="C10730">
        <f>TEST_DATA!C10730</f>
        <v>43796</v>
      </c>
      <c r="D10730" t="str">
        <f>TEST_DATA!D10730</f>
        <v>NON-NIL</v>
      </c>
      <c r="E10730">
        <f>TEST_DATA!E10730</f>
        <v>2792</v>
      </c>
    </row>
    <row r="10731" spans="1:5" x14ac:dyDescent="0.55000000000000004">
      <c r="A10731" t="str">
        <f>TEST_DATA!A10731</f>
        <v>27AAAAA10731Z5</v>
      </c>
      <c r="B10731" t="str">
        <f>TEST_DATA!B10731</f>
        <v>Mar-2020</v>
      </c>
      <c r="C10731">
        <f>TEST_DATA!C10731</f>
        <v>44214</v>
      </c>
      <c r="D10731" t="str">
        <f>TEST_DATA!D10731</f>
        <v>NIL</v>
      </c>
      <c r="E10731">
        <f>TEST_DATA!E10731</f>
        <v>2665</v>
      </c>
    </row>
    <row r="10732" spans="1:5" x14ac:dyDescent="0.55000000000000004">
      <c r="A10732" t="str">
        <f>TEST_DATA!A10732</f>
        <v>27AAAAA10732Z5</v>
      </c>
      <c r="B10732" t="str">
        <f>TEST_DATA!B10732</f>
        <v>Jan-2018</v>
      </c>
      <c r="C10732">
        <f>TEST_DATA!C10732</f>
        <v>43569</v>
      </c>
      <c r="D10732" t="str">
        <f>TEST_DATA!D10732</f>
        <v>NIL</v>
      </c>
      <c r="E10732">
        <f>TEST_DATA!E10732</f>
        <v>1279</v>
      </c>
    </row>
    <row r="10733" spans="1:5" x14ac:dyDescent="0.55000000000000004">
      <c r="A10733" t="str">
        <f>TEST_DATA!A10733</f>
        <v>27AAAAA10733Z5</v>
      </c>
      <c r="B10733" t="str">
        <f>TEST_DATA!B10733</f>
        <v>Jul-2020</v>
      </c>
      <c r="C10733">
        <f>TEST_DATA!C10733</f>
        <v>44788</v>
      </c>
      <c r="D10733" t="str">
        <f>TEST_DATA!D10733</f>
        <v>NIL</v>
      </c>
      <c r="E10733">
        <f>TEST_DATA!E10733</f>
        <v>1417</v>
      </c>
    </row>
    <row r="10734" spans="1:5" x14ac:dyDescent="0.55000000000000004">
      <c r="A10734" t="str">
        <f>TEST_DATA!A10734</f>
        <v>27AAAAA10734Z5</v>
      </c>
      <c r="B10734" t="str">
        <f>TEST_DATA!B10734</f>
        <v>Jul-2017</v>
      </c>
      <c r="C10734">
        <f>TEST_DATA!C10734</f>
        <v>43878</v>
      </c>
      <c r="D10734" t="str">
        <f>TEST_DATA!D10734</f>
        <v>NIL</v>
      </c>
      <c r="E10734">
        <f>TEST_DATA!E10734</f>
        <v>2030</v>
      </c>
    </row>
    <row r="10735" spans="1:5" x14ac:dyDescent="0.55000000000000004">
      <c r="A10735" t="str">
        <f>TEST_DATA!A10735</f>
        <v>27AAAAA10735Z5</v>
      </c>
      <c r="B10735" t="str">
        <f>TEST_DATA!B10735</f>
        <v>Jan-2019</v>
      </c>
      <c r="C10735">
        <f>TEST_DATA!C10735</f>
        <v>45001</v>
      </c>
      <c r="D10735" t="str">
        <f>TEST_DATA!D10735</f>
        <v>NIL</v>
      </c>
      <c r="E10735">
        <f>TEST_DATA!E10735</f>
        <v>2962</v>
      </c>
    </row>
    <row r="10736" spans="1:5" x14ac:dyDescent="0.55000000000000004">
      <c r="A10736" t="str">
        <f>TEST_DATA!A10736</f>
        <v>27AAAAA10736Z5</v>
      </c>
      <c r="B10736" t="str">
        <f>TEST_DATA!B10736</f>
        <v>Dec-2019</v>
      </c>
      <c r="C10736">
        <f>TEST_DATA!C10736</f>
        <v>45725</v>
      </c>
      <c r="D10736" t="str">
        <f>TEST_DATA!D10736</f>
        <v>NON-NIL</v>
      </c>
      <c r="E10736">
        <f>TEST_DATA!E10736</f>
        <v>2319</v>
      </c>
    </row>
    <row r="10737" spans="1:5" x14ac:dyDescent="0.55000000000000004">
      <c r="A10737" t="str">
        <f>TEST_DATA!A10737</f>
        <v>27AAAAA10737Z5</v>
      </c>
      <c r="B10737" t="str">
        <f>TEST_DATA!B10737</f>
        <v>Apr-2018</v>
      </c>
      <c r="C10737">
        <f>TEST_DATA!C10737</f>
        <v>44265</v>
      </c>
      <c r="D10737" t="str">
        <f>TEST_DATA!D10737</f>
        <v>NON-NIL</v>
      </c>
      <c r="E10737">
        <f>TEST_DATA!E10737</f>
        <v>810</v>
      </c>
    </row>
    <row r="10738" spans="1:5" x14ac:dyDescent="0.55000000000000004">
      <c r="A10738" t="str">
        <f>TEST_DATA!A10738</f>
        <v>27AAAAA10738Z5</v>
      </c>
      <c r="B10738" t="str">
        <f>TEST_DATA!B10738</f>
        <v>Apr-2021</v>
      </c>
      <c r="C10738">
        <f>TEST_DATA!C10738</f>
        <v>44885</v>
      </c>
      <c r="D10738" t="str">
        <f>TEST_DATA!D10738</f>
        <v>NON-NIL</v>
      </c>
      <c r="E10738">
        <f>TEST_DATA!E10738</f>
        <v>1547</v>
      </c>
    </row>
    <row r="10739" spans="1:5" x14ac:dyDescent="0.55000000000000004">
      <c r="A10739" t="str">
        <f>TEST_DATA!A10739</f>
        <v>27AAAAA10739Z5</v>
      </c>
      <c r="B10739" t="str">
        <f>TEST_DATA!B10739</f>
        <v>Jun-2019</v>
      </c>
      <c r="C10739">
        <f>TEST_DATA!C10739</f>
        <v>45170</v>
      </c>
      <c r="D10739" t="str">
        <f>TEST_DATA!D10739</f>
        <v>NON-NIL</v>
      </c>
      <c r="E10739">
        <f>TEST_DATA!E10739</f>
        <v>513</v>
      </c>
    </row>
    <row r="10740" spans="1:5" x14ac:dyDescent="0.55000000000000004">
      <c r="A10740" t="str">
        <f>TEST_DATA!A10740</f>
        <v>27AAAAA10740Z5</v>
      </c>
      <c r="B10740" t="str">
        <f>TEST_DATA!B10740</f>
        <v>Mar-2021</v>
      </c>
      <c r="C10740">
        <f>TEST_DATA!C10740</f>
        <v>43755</v>
      </c>
      <c r="D10740" t="str">
        <f>TEST_DATA!D10740</f>
        <v>NIL</v>
      </c>
      <c r="E10740">
        <f>TEST_DATA!E10740</f>
        <v>2239</v>
      </c>
    </row>
    <row r="10741" spans="1:5" x14ac:dyDescent="0.55000000000000004">
      <c r="A10741" t="str">
        <f>TEST_DATA!A10741</f>
        <v>27AAAAA10741Z5</v>
      </c>
      <c r="B10741" t="str">
        <f>TEST_DATA!B10741</f>
        <v>Jul-2017</v>
      </c>
      <c r="C10741">
        <f>TEST_DATA!C10741</f>
        <v>43583</v>
      </c>
      <c r="D10741" t="str">
        <f>TEST_DATA!D10741</f>
        <v>NON-NIL</v>
      </c>
      <c r="E10741">
        <f>TEST_DATA!E10741</f>
        <v>298</v>
      </c>
    </row>
    <row r="10742" spans="1:5" x14ac:dyDescent="0.55000000000000004">
      <c r="A10742" t="str">
        <f>TEST_DATA!A10742</f>
        <v>27AAAAA10742Z5</v>
      </c>
      <c r="B10742" t="str">
        <f>TEST_DATA!B10742</f>
        <v>Apr-2020</v>
      </c>
      <c r="C10742">
        <f>TEST_DATA!C10742</f>
        <v>44357</v>
      </c>
      <c r="D10742" t="str">
        <f>TEST_DATA!D10742</f>
        <v>NON-NIL</v>
      </c>
      <c r="E10742">
        <f>TEST_DATA!E10742</f>
        <v>1470</v>
      </c>
    </row>
    <row r="10743" spans="1:5" x14ac:dyDescent="0.55000000000000004">
      <c r="A10743" t="str">
        <f>TEST_DATA!A10743</f>
        <v>27AAAAA10743Z5</v>
      </c>
      <c r="B10743" t="str">
        <f>TEST_DATA!B10743</f>
        <v>Mar-2018</v>
      </c>
      <c r="C10743">
        <f>TEST_DATA!C10743</f>
        <v>44449</v>
      </c>
      <c r="D10743" t="str">
        <f>TEST_DATA!D10743</f>
        <v>NIL</v>
      </c>
      <c r="E10743">
        <f>TEST_DATA!E10743</f>
        <v>667</v>
      </c>
    </row>
    <row r="10744" spans="1:5" x14ac:dyDescent="0.55000000000000004">
      <c r="A10744" t="str">
        <f>TEST_DATA!A10744</f>
        <v>27AAAAA10744Z5</v>
      </c>
      <c r="B10744" t="str">
        <f>TEST_DATA!B10744</f>
        <v>Dec-2024</v>
      </c>
      <c r="C10744">
        <f>TEST_DATA!C10744</f>
        <v>44984</v>
      </c>
      <c r="D10744" t="str">
        <f>TEST_DATA!D10744</f>
        <v>NON-NIL</v>
      </c>
      <c r="E10744">
        <f>TEST_DATA!E10744</f>
        <v>1378</v>
      </c>
    </row>
    <row r="10745" spans="1:5" x14ac:dyDescent="0.55000000000000004">
      <c r="A10745" t="str">
        <f>TEST_DATA!A10745</f>
        <v>27AAAAA10745Z5</v>
      </c>
      <c r="B10745" t="str">
        <f>TEST_DATA!B10745</f>
        <v>Oct-2017</v>
      </c>
      <c r="C10745">
        <f>TEST_DATA!C10745</f>
        <v>43318</v>
      </c>
      <c r="D10745" t="str">
        <f>TEST_DATA!D10745</f>
        <v>NIL</v>
      </c>
      <c r="E10745">
        <f>TEST_DATA!E10745</f>
        <v>2899</v>
      </c>
    </row>
    <row r="10746" spans="1:5" x14ac:dyDescent="0.55000000000000004">
      <c r="A10746" t="str">
        <f>TEST_DATA!A10746</f>
        <v>27AAAAA10746Z5</v>
      </c>
      <c r="B10746" t="str">
        <f>TEST_DATA!B10746</f>
        <v>Aug-2017</v>
      </c>
      <c r="C10746">
        <f>TEST_DATA!C10746</f>
        <v>44437</v>
      </c>
      <c r="D10746" t="str">
        <f>TEST_DATA!D10746</f>
        <v>NON-NIL</v>
      </c>
      <c r="E10746">
        <f>TEST_DATA!E10746</f>
        <v>2508</v>
      </c>
    </row>
    <row r="10747" spans="1:5" x14ac:dyDescent="0.55000000000000004">
      <c r="A10747" t="str">
        <f>TEST_DATA!A10747</f>
        <v>27AAAAA10747Z5</v>
      </c>
      <c r="B10747" t="str">
        <f>TEST_DATA!B10747</f>
        <v>Sep-2017</v>
      </c>
      <c r="C10747">
        <f>TEST_DATA!C10747</f>
        <v>43635</v>
      </c>
      <c r="D10747" t="str">
        <f>TEST_DATA!D10747</f>
        <v>NON-NIL</v>
      </c>
      <c r="E10747">
        <f>TEST_DATA!E10747</f>
        <v>394</v>
      </c>
    </row>
    <row r="10748" spans="1:5" x14ac:dyDescent="0.55000000000000004">
      <c r="A10748" t="str">
        <f>TEST_DATA!A10748</f>
        <v>27AAAAA10748Z5</v>
      </c>
      <c r="B10748" t="str">
        <f>TEST_DATA!B10748</f>
        <v>Mar-2020</v>
      </c>
      <c r="C10748">
        <f>TEST_DATA!C10748</f>
        <v>44677</v>
      </c>
      <c r="D10748" t="str">
        <f>TEST_DATA!D10748</f>
        <v>NIL</v>
      </c>
      <c r="E10748">
        <f>TEST_DATA!E10748</f>
        <v>2701</v>
      </c>
    </row>
    <row r="10749" spans="1:5" x14ac:dyDescent="0.55000000000000004">
      <c r="A10749" t="str">
        <f>TEST_DATA!A10749</f>
        <v>27AAAAA10749Z5</v>
      </c>
      <c r="B10749" t="str">
        <f>TEST_DATA!B10749</f>
        <v>Jul-2020</v>
      </c>
      <c r="C10749">
        <f>TEST_DATA!C10749</f>
        <v>44556</v>
      </c>
      <c r="D10749" t="str">
        <f>TEST_DATA!D10749</f>
        <v>NIL</v>
      </c>
      <c r="E10749">
        <f>TEST_DATA!E10749</f>
        <v>2883</v>
      </c>
    </row>
    <row r="10750" spans="1:5" x14ac:dyDescent="0.55000000000000004">
      <c r="A10750" t="str">
        <f>TEST_DATA!A10750</f>
        <v>27AAAAA10750Z5</v>
      </c>
      <c r="B10750" t="str">
        <f>TEST_DATA!B10750</f>
        <v>Oct-2017</v>
      </c>
      <c r="C10750">
        <f>TEST_DATA!C10750</f>
        <v>42970</v>
      </c>
      <c r="D10750" t="str">
        <f>TEST_DATA!D10750</f>
        <v>NON-NIL</v>
      </c>
      <c r="E10750">
        <f>TEST_DATA!E10750</f>
        <v>2039</v>
      </c>
    </row>
    <row r="10751" spans="1:5" x14ac:dyDescent="0.55000000000000004">
      <c r="A10751" t="str">
        <f>TEST_DATA!A10751</f>
        <v>27AAAAA10751Z5</v>
      </c>
      <c r="B10751" t="str">
        <f>TEST_DATA!B10751</f>
        <v>Apr-2018</v>
      </c>
      <c r="C10751">
        <f>TEST_DATA!C10751</f>
        <v>43618</v>
      </c>
      <c r="D10751" t="str">
        <f>TEST_DATA!D10751</f>
        <v>NIL</v>
      </c>
      <c r="E10751">
        <f>TEST_DATA!E10751</f>
        <v>2754</v>
      </c>
    </row>
    <row r="10752" spans="1:5" x14ac:dyDescent="0.55000000000000004">
      <c r="A10752" t="str">
        <f>TEST_DATA!A10752</f>
        <v>27AAAAA10752Z5</v>
      </c>
      <c r="B10752" t="str">
        <f>TEST_DATA!B10752</f>
        <v>Feb-2018</v>
      </c>
      <c r="C10752">
        <f>TEST_DATA!C10752</f>
        <v>43795</v>
      </c>
      <c r="D10752" t="str">
        <f>TEST_DATA!D10752</f>
        <v>NIL</v>
      </c>
      <c r="E10752">
        <f>TEST_DATA!E10752</f>
        <v>1646</v>
      </c>
    </row>
    <row r="10753" spans="1:5" x14ac:dyDescent="0.55000000000000004">
      <c r="A10753" t="str">
        <f>TEST_DATA!A10753</f>
        <v>27AAAAA10753Z5</v>
      </c>
      <c r="B10753" t="str">
        <f>TEST_DATA!B10753</f>
        <v>Mar-2021</v>
      </c>
      <c r="C10753">
        <f>TEST_DATA!C10753</f>
        <v>44922</v>
      </c>
      <c r="D10753" t="str">
        <f>TEST_DATA!D10753</f>
        <v>NIL</v>
      </c>
      <c r="E10753">
        <f>TEST_DATA!E10753</f>
        <v>1372</v>
      </c>
    </row>
    <row r="10754" spans="1:5" x14ac:dyDescent="0.55000000000000004">
      <c r="A10754" t="str">
        <f>TEST_DATA!A10754</f>
        <v>27AAAAA10754Z5</v>
      </c>
      <c r="B10754" t="str">
        <f>TEST_DATA!B10754</f>
        <v>Jan-2021</v>
      </c>
      <c r="C10754">
        <f>TEST_DATA!C10754</f>
        <v>43590</v>
      </c>
      <c r="D10754" t="str">
        <f>TEST_DATA!D10754</f>
        <v>NON-NIL</v>
      </c>
      <c r="E10754">
        <f>TEST_DATA!E10754</f>
        <v>265</v>
      </c>
    </row>
    <row r="10755" spans="1:5" x14ac:dyDescent="0.55000000000000004">
      <c r="A10755" t="str">
        <f>TEST_DATA!A10755</f>
        <v>27AAAAA10755Z5</v>
      </c>
      <c r="B10755" t="str">
        <f>TEST_DATA!B10755</f>
        <v>Jan-2019</v>
      </c>
      <c r="C10755">
        <f>TEST_DATA!C10755</f>
        <v>44438</v>
      </c>
      <c r="D10755" t="str">
        <f>TEST_DATA!D10755</f>
        <v>NON-NIL</v>
      </c>
      <c r="E10755">
        <f>TEST_DATA!E10755</f>
        <v>583</v>
      </c>
    </row>
    <row r="10756" spans="1:5" x14ac:dyDescent="0.55000000000000004">
      <c r="A10756" t="str">
        <f>TEST_DATA!A10756</f>
        <v>27AAAAA10756Z5</v>
      </c>
      <c r="B10756" t="str">
        <f>TEST_DATA!B10756</f>
        <v>Nov-2017</v>
      </c>
      <c r="C10756">
        <f>TEST_DATA!C10756</f>
        <v>43402</v>
      </c>
      <c r="D10756" t="str">
        <f>TEST_DATA!D10756</f>
        <v>NON-NIL</v>
      </c>
      <c r="E10756">
        <f>TEST_DATA!E10756</f>
        <v>550</v>
      </c>
    </row>
    <row r="10757" spans="1:5" x14ac:dyDescent="0.55000000000000004">
      <c r="A10757" t="str">
        <f>TEST_DATA!A10757</f>
        <v>27AAAAA10757Z5</v>
      </c>
      <c r="B10757" t="str">
        <f>TEST_DATA!B10757</f>
        <v>Aug-2018</v>
      </c>
      <c r="C10757">
        <f>TEST_DATA!C10757</f>
        <v>44354</v>
      </c>
      <c r="D10757" t="str">
        <f>TEST_DATA!D10757</f>
        <v>NON-NIL</v>
      </c>
      <c r="E10757">
        <f>TEST_DATA!E10757</f>
        <v>2057</v>
      </c>
    </row>
    <row r="10758" spans="1:5" x14ac:dyDescent="0.55000000000000004">
      <c r="A10758" t="str">
        <f>TEST_DATA!A10758</f>
        <v>27AAAAA10758Z5</v>
      </c>
      <c r="B10758" t="str">
        <f>TEST_DATA!B10758</f>
        <v>Apr-2021</v>
      </c>
      <c r="C10758">
        <f>TEST_DATA!C10758</f>
        <v>45375</v>
      </c>
      <c r="D10758" t="str">
        <f>TEST_DATA!D10758</f>
        <v>NIL</v>
      </c>
      <c r="E10758">
        <f>TEST_DATA!E10758</f>
        <v>2905</v>
      </c>
    </row>
    <row r="10759" spans="1:5" x14ac:dyDescent="0.55000000000000004">
      <c r="A10759" t="str">
        <f>TEST_DATA!A10759</f>
        <v>27AAAAA10759Z5</v>
      </c>
      <c r="B10759" t="str">
        <f>TEST_DATA!B10759</f>
        <v>Jan-2018</v>
      </c>
      <c r="C10759">
        <f>TEST_DATA!C10759</f>
        <v>44306</v>
      </c>
      <c r="D10759" t="str">
        <f>TEST_DATA!D10759</f>
        <v>NIL</v>
      </c>
      <c r="E10759">
        <f>TEST_DATA!E10759</f>
        <v>886</v>
      </c>
    </row>
    <row r="10760" spans="1:5" x14ac:dyDescent="0.55000000000000004">
      <c r="A10760" t="str">
        <f>TEST_DATA!A10760</f>
        <v>27AAAAA10760Z5</v>
      </c>
      <c r="B10760" t="str">
        <f>TEST_DATA!B10760</f>
        <v>May-2020</v>
      </c>
      <c r="C10760">
        <f>TEST_DATA!C10760</f>
        <v>44060</v>
      </c>
      <c r="D10760" t="str">
        <f>TEST_DATA!D10760</f>
        <v>NIL</v>
      </c>
      <c r="E10760">
        <f>TEST_DATA!E10760</f>
        <v>2113</v>
      </c>
    </row>
    <row r="10761" spans="1:5" x14ac:dyDescent="0.55000000000000004">
      <c r="A10761" t="str">
        <f>TEST_DATA!A10761</f>
        <v>27AAAAA10761Z5</v>
      </c>
      <c r="B10761" t="str">
        <f>TEST_DATA!B10761</f>
        <v>Sep-2017</v>
      </c>
      <c r="C10761">
        <f>TEST_DATA!C10761</f>
        <v>43820</v>
      </c>
      <c r="D10761" t="str">
        <f>TEST_DATA!D10761</f>
        <v>NIL</v>
      </c>
      <c r="E10761">
        <f>TEST_DATA!E10761</f>
        <v>2155</v>
      </c>
    </row>
    <row r="10762" spans="1:5" x14ac:dyDescent="0.55000000000000004">
      <c r="A10762" t="str">
        <f>TEST_DATA!A10762</f>
        <v>27AAAAA10762Z5</v>
      </c>
      <c r="B10762" t="str">
        <f>TEST_DATA!B10762</f>
        <v>Dec-2022</v>
      </c>
      <c r="C10762">
        <f>TEST_DATA!C10762</f>
        <v>45801</v>
      </c>
      <c r="D10762" t="str">
        <f>TEST_DATA!D10762</f>
        <v>NIL</v>
      </c>
      <c r="E10762">
        <f>TEST_DATA!E10762</f>
        <v>1447</v>
      </c>
    </row>
    <row r="10763" spans="1:5" x14ac:dyDescent="0.55000000000000004">
      <c r="A10763" t="str">
        <f>TEST_DATA!A10763</f>
        <v>27AAAAA10763Z5</v>
      </c>
      <c r="B10763" t="str">
        <f>TEST_DATA!B10763</f>
        <v>Mar-2023</v>
      </c>
      <c r="C10763">
        <f>TEST_DATA!C10763</f>
        <v>44724</v>
      </c>
      <c r="D10763" t="str">
        <f>TEST_DATA!D10763</f>
        <v>NON-NIL</v>
      </c>
      <c r="E10763">
        <f>TEST_DATA!E10763</f>
        <v>2793</v>
      </c>
    </row>
    <row r="10764" spans="1:5" x14ac:dyDescent="0.55000000000000004">
      <c r="A10764" t="str">
        <f>TEST_DATA!A10764</f>
        <v>27AAAAA10764Z5</v>
      </c>
      <c r="B10764" t="str">
        <f>TEST_DATA!B10764</f>
        <v>Mar-2023</v>
      </c>
      <c r="C10764">
        <f>TEST_DATA!C10764</f>
        <v>44777</v>
      </c>
      <c r="D10764" t="str">
        <f>TEST_DATA!D10764</f>
        <v>NIL</v>
      </c>
      <c r="E10764">
        <f>TEST_DATA!E10764</f>
        <v>491</v>
      </c>
    </row>
    <row r="10765" spans="1:5" x14ac:dyDescent="0.55000000000000004">
      <c r="A10765" t="str">
        <f>TEST_DATA!A10765</f>
        <v>27AAAAA10765Z5</v>
      </c>
      <c r="B10765" t="str">
        <f>TEST_DATA!B10765</f>
        <v>Sep-2017</v>
      </c>
      <c r="C10765">
        <f>TEST_DATA!C10765</f>
        <v>43247</v>
      </c>
      <c r="D10765" t="str">
        <f>TEST_DATA!D10765</f>
        <v>NON-NIL</v>
      </c>
      <c r="E10765">
        <f>TEST_DATA!E10765</f>
        <v>1299</v>
      </c>
    </row>
    <row r="10766" spans="1:5" x14ac:dyDescent="0.55000000000000004">
      <c r="A10766" t="str">
        <f>TEST_DATA!A10766</f>
        <v>27AAAAA10766Z5</v>
      </c>
      <c r="B10766" t="str">
        <f>TEST_DATA!B10766</f>
        <v>Mar-2020</v>
      </c>
      <c r="C10766">
        <f>TEST_DATA!C10766</f>
        <v>44697</v>
      </c>
      <c r="D10766" t="str">
        <f>TEST_DATA!D10766</f>
        <v>NIL</v>
      </c>
      <c r="E10766">
        <f>TEST_DATA!E10766</f>
        <v>2039</v>
      </c>
    </row>
    <row r="10767" spans="1:5" x14ac:dyDescent="0.55000000000000004">
      <c r="A10767" t="str">
        <f>TEST_DATA!A10767</f>
        <v>27AAAAA10767Z5</v>
      </c>
      <c r="B10767" t="str">
        <f>TEST_DATA!B10767</f>
        <v>Dec-2024</v>
      </c>
      <c r="C10767">
        <f>TEST_DATA!C10767</f>
        <v>44356</v>
      </c>
      <c r="D10767" t="str">
        <f>TEST_DATA!D10767</f>
        <v>NIL</v>
      </c>
      <c r="E10767">
        <f>TEST_DATA!E10767</f>
        <v>359</v>
      </c>
    </row>
    <row r="10768" spans="1:5" x14ac:dyDescent="0.55000000000000004">
      <c r="A10768" t="str">
        <f>TEST_DATA!A10768</f>
        <v>27AAAAA10768Z5</v>
      </c>
      <c r="B10768" t="str">
        <f>TEST_DATA!B10768</f>
        <v>Apr-2018</v>
      </c>
      <c r="C10768">
        <f>TEST_DATA!C10768</f>
        <v>44158</v>
      </c>
      <c r="D10768" t="str">
        <f>TEST_DATA!D10768</f>
        <v>NIL</v>
      </c>
      <c r="E10768">
        <f>TEST_DATA!E10768</f>
        <v>977</v>
      </c>
    </row>
    <row r="10769" spans="1:5" x14ac:dyDescent="0.55000000000000004">
      <c r="A10769" t="str">
        <f>TEST_DATA!A10769</f>
        <v>27AAAAA10769Z5</v>
      </c>
      <c r="B10769" t="str">
        <f>TEST_DATA!B10769</f>
        <v>Oct-2017</v>
      </c>
      <c r="C10769">
        <f>TEST_DATA!C10769</f>
        <v>42950</v>
      </c>
      <c r="D10769" t="str">
        <f>TEST_DATA!D10769</f>
        <v>NON-NIL</v>
      </c>
      <c r="E10769">
        <f>TEST_DATA!E10769</f>
        <v>663</v>
      </c>
    </row>
    <row r="10770" spans="1:5" x14ac:dyDescent="0.55000000000000004">
      <c r="A10770" t="str">
        <f>TEST_DATA!A10770</f>
        <v>27AAAAA10770Z5</v>
      </c>
      <c r="B10770" t="str">
        <f>TEST_DATA!B10770</f>
        <v>Feb-2018</v>
      </c>
      <c r="C10770">
        <f>TEST_DATA!C10770</f>
        <v>43027</v>
      </c>
      <c r="D10770" t="str">
        <f>TEST_DATA!D10770</f>
        <v>NON-NIL</v>
      </c>
      <c r="E10770">
        <f>TEST_DATA!E10770</f>
        <v>2998</v>
      </c>
    </row>
    <row r="10771" spans="1:5" x14ac:dyDescent="0.55000000000000004">
      <c r="A10771" t="str">
        <f>TEST_DATA!A10771</f>
        <v>27AAAAA10771Z5</v>
      </c>
      <c r="B10771" t="str">
        <f>TEST_DATA!B10771</f>
        <v>Mar-2021</v>
      </c>
      <c r="C10771">
        <f>TEST_DATA!C10771</f>
        <v>44835</v>
      </c>
      <c r="D10771" t="str">
        <f>TEST_DATA!D10771</f>
        <v>NON-NIL</v>
      </c>
      <c r="E10771">
        <f>TEST_DATA!E10771</f>
        <v>2757</v>
      </c>
    </row>
    <row r="10772" spans="1:5" x14ac:dyDescent="0.55000000000000004">
      <c r="A10772" t="str">
        <f>TEST_DATA!A10772</f>
        <v>27AAAAA10772Z5</v>
      </c>
      <c r="B10772" t="str">
        <f>TEST_DATA!B10772</f>
        <v>Dec-2022</v>
      </c>
      <c r="C10772">
        <f>TEST_DATA!C10772</f>
        <v>43573</v>
      </c>
      <c r="D10772" t="str">
        <f>TEST_DATA!D10772</f>
        <v>NIL</v>
      </c>
      <c r="E10772">
        <f>TEST_DATA!E10772</f>
        <v>962</v>
      </c>
    </row>
    <row r="10773" spans="1:5" x14ac:dyDescent="0.55000000000000004">
      <c r="A10773" t="str">
        <f>TEST_DATA!A10773</f>
        <v>27AAAAA10773Z5</v>
      </c>
      <c r="B10773" t="str">
        <f>TEST_DATA!B10773</f>
        <v>Dec-2022</v>
      </c>
      <c r="C10773">
        <f>TEST_DATA!C10773</f>
        <v>45647</v>
      </c>
      <c r="D10773" t="str">
        <f>TEST_DATA!D10773</f>
        <v>NIL</v>
      </c>
      <c r="E10773">
        <f>TEST_DATA!E10773</f>
        <v>2086</v>
      </c>
    </row>
    <row r="10774" spans="1:5" x14ac:dyDescent="0.55000000000000004">
      <c r="A10774" t="str">
        <f>TEST_DATA!A10774</f>
        <v>27AAAAA10774Z5</v>
      </c>
      <c r="B10774" t="str">
        <f>TEST_DATA!B10774</f>
        <v>Apr-2021</v>
      </c>
      <c r="C10774">
        <f>TEST_DATA!C10774</f>
        <v>43542</v>
      </c>
      <c r="D10774" t="str">
        <f>TEST_DATA!D10774</f>
        <v>NIL</v>
      </c>
      <c r="E10774">
        <f>TEST_DATA!E10774</f>
        <v>2887</v>
      </c>
    </row>
    <row r="10775" spans="1:5" x14ac:dyDescent="0.55000000000000004">
      <c r="A10775" t="str">
        <f>TEST_DATA!A10775</f>
        <v>27AAAAA10775Z5</v>
      </c>
      <c r="B10775" t="str">
        <f>TEST_DATA!B10775</f>
        <v>Aug-2018</v>
      </c>
      <c r="C10775">
        <f>TEST_DATA!C10775</f>
        <v>43526</v>
      </c>
      <c r="D10775" t="str">
        <f>TEST_DATA!D10775</f>
        <v>NON-NIL</v>
      </c>
      <c r="E10775">
        <f>TEST_DATA!E10775</f>
        <v>2929</v>
      </c>
    </row>
    <row r="10776" spans="1:5" x14ac:dyDescent="0.55000000000000004">
      <c r="A10776" t="str">
        <f>TEST_DATA!A10776</f>
        <v>27AAAAA10776Z5</v>
      </c>
      <c r="B10776" t="str">
        <f>TEST_DATA!B10776</f>
        <v>Sep-2017</v>
      </c>
      <c r="C10776">
        <f>TEST_DATA!C10776</f>
        <v>44304</v>
      </c>
      <c r="D10776" t="str">
        <f>TEST_DATA!D10776</f>
        <v>NIL</v>
      </c>
      <c r="E10776">
        <f>TEST_DATA!E10776</f>
        <v>182</v>
      </c>
    </row>
    <row r="10777" spans="1:5" x14ac:dyDescent="0.55000000000000004">
      <c r="A10777" t="str">
        <f>TEST_DATA!A10777</f>
        <v>27AAAAA10777Z5</v>
      </c>
      <c r="B10777" t="str">
        <f>TEST_DATA!B10777</f>
        <v>Nov-2017</v>
      </c>
      <c r="C10777">
        <f>TEST_DATA!C10777</f>
        <v>43055</v>
      </c>
      <c r="D10777" t="str">
        <f>TEST_DATA!D10777</f>
        <v>NIL</v>
      </c>
      <c r="E10777">
        <f>TEST_DATA!E10777</f>
        <v>1247</v>
      </c>
    </row>
    <row r="10778" spans="1:5" x14ac:dyDescent="0.55000000000000004">
      <c r="A10778" t="str">
        <f>TEST_DATA!A10778</f>
        <v>27AAAAA10778Z5</v>
      </c>
      <c r="B10778" t="str">
        <f>TEST_DATA!B10778</f>
        <v>Sep-2017</v>
      </c>
      <c r="C10778">
        <f>TEST_DATA!C10778</f>
        <v>44363</v>
      </c>
      <c r="D10778" t="str">
        <f>TEST_DATA!D10778</f>
        <v>NON-NIL</v>
      </c>
      <c r="E10778">
        <f>TEST_DATA!E10778</f>
        <v>97</v>
      </c>
    </row>
    <row r="10779" spans="1:5" x14ac:dyDescent="0.55000000000000004">
      <c r="A10779" t="str">
        <f>TEST_DATA!A10779</f>
        <v>27AAAAA10779Z5</v>
      </c>
      <c r="B10779" t="str">
        <f>TEST_DATA!B10779</f>
        <v>Dec-2019</v>
      </c>
      <c r="C10779">
        <f>TEST_DATA!C10779</f>
        <v>43823</v>
      </c>
      <c r="D10779" t="str">
        <f>TEST_DATA!D10779</f>
        <v>NON-NIL</v>
      </c>
      <c r="E10779">
        <f>TEST_DATA!E10779</f>
        <v>186</v>
      </c>
    </row>
    <row r="10780" spans="1:5" x14ac:dyDescent="0.55000000000000004">
      <c r="A10780" t="str">
        <f>TEST_DATA!A10780</f>
        <v>27AAAAA10780Z5</v>
      </c>
      <c r="B10780" t="str">
        <f>TEST_DATA!B10780</f>
        <v>Nov-2017</v>
      </c>
      <c r="C10780">
        <f>TEST_DATA!C10780</f>
        <v>43977</v>
      </c>
      <c r="D10780" t="str">
        <f>TEST_DATA!D10780</f>
        <v>NON-NIL</v>
      </c>
      <c r="E10780">
        <f>TEST_DATA!E10780</f>
        <v>1731</v>
      </c>
    </row>
    <row r="10781" spans="1:5" x14ac:dyDescent="0.55000000000000004">
      <c r="A10781" t="str">
        <f>TEST_DATA!A10781</f>
        <v>27AAAAA10781Z5</v>
      </c>
      <c r="B10781" t="str">
        <f>TEST_DATA!B10781</f>
        <v>Sep-2017</v>
      </c>
      <c r="C10781">
        <f>TEST_DATA!C10781</f>
        <v>43786</v>
      </c>
      <c r="D10781" t="str">
        <f>TEST_DATA!D10781</f>
        <v>NON-NIL</v>
      </c>
      <c r="E10781">
        <f>TEST_DATA!E10781</f>
        <v>2182</v>
      </c>
    </row>
    <row r="10782" spans="1:5" x14ac:dyDescent="0.55000000000000004">
      <c r="A10782" t="str">
        <f>TEST_DATA!A10782</f>
        <v>27AAAAA10782Z5</v>
      </c>
      <c r="B10782" t="str">
        <f>TEST_DATA!B10782</f>
        <v>Sep-2018</v>
      </c>
      <c r="C10782">
        <f>TEST_DATA!C10782</f>
        <v>44230</v>
      </c>
      <c r="D10782" t="str">
        <f>TEST_DATA!D10782</f>
        <v>NIL</v>
      </c>
      <c r="E10782">
        <f>TEST_DATA!E10782</f>
        <v>752</v>
      </c>
    </row>
    <row r="10783" spans="1:5" x14ac:dyDescent="0.55000000000000004">
      <c r="A10783" t="str">
        <f>TEST_DATA!A10783</f>
        <v>27AAAAA10783Z5</v>
      </c>
      <c r="B10783" t="str">
        <f>TEST_DATA!B10783</f>
        <v>Mar-2021</v>
      </c>
      <c r="C10783">
        <f>TEST_DATA!C10783</f>
        <v>43729</v>
      </c>
      <c r="D10783" t="str">
        <f>TEST_DATA!D10783</f>
        <v>NON-NIL</v>
      </c>
      <c r="E10783">
        <f>TEST_DATA!E10783</f>
        <v>2326</v>
      </c>
    </row>
    <row r="10784" spans="1:5" x14ac:dyDescent="0.55000000000000004">
      <c r="A10784" t="str">
        <f>TEST_DATA!A10784</f>
        <v>27AAAAA10784Z5</v>
      </c>
      <c r="B10784" t="str">
        <f>TEST_DATA!B10784</f>
        <v>Apr-2020</v>
      </c>
      <c r="C10784">
        <f>TEST_DATA!C10784</f>
        <v>44810</v>
      </c>
      <c r="D10784" t="str">
        <f>TEST_DATA!D10784</f>
        <v>NIL</v>
      </c>
      <c r="E10784">
        <f>TEST_DATA!E10784</f>
        <v>858</v>
      </c>
    </row>
    <row r="10785" spans="1:5" x14ac:dyDescent="0.55000000000000004">
      <c r="A10785" t="str">
        <f>TEST_DATA!A10785</f>
        <v>27AAAAA10785Z5</v>
      </c>
      <c r="B10785" t="str">
        <f>TEST_DATA!B10785</f>
        <v>Jun-2020</v>
      </c>
      <c r="C10785">
        <f>TEST_DATA!C10785</f>
        <v>44093</v>
      </c>
      <c r="D10785" t="str">
        <f>TEST_DATA!D10785</f>
        <v>NIL</v>
      </c>
      <c r="E10785">
        <f>TEST_DATA!E10785</f>
        <v>1147</v>
      </c>
    </row>
    <row r="10786" spans="1:5" x14ac:dyDescent="0.55000000000000004">
      <c r="A10786" t="str">
        <f>TEST_DATA!A10786</f>
        <v>27AAAAA10786Z5</v>
      </c>
      <c r="B10786" t="str">
        <f>TEST_DATA!B10786</f>
        <v>Jan-2018</v>
      </c>
      <c r="C10786">
        <f>TEST_DATA!C10786</f>
        <v>44236</v>
      </c>
      <c r="D10786" t="str">
        <f>TEST_DATA!D10786</f>
        <v>NON-NIL</v>
      </c>
      <c r="E10786">
        <f>TEST_DATA!E10786</f>
        <v>2720</v>
      </c>
    </row>
    <row r="10787" spans="1:5" x14ac:dyDescent="0.55000000000000004">
      <c r="A10787" t="str">
        <f>TEST_DATA!A10787</f>
        <v>27AAAAA10787Z5</v>
      </c>
      <c r="B10787" t="str">
        <f>TEST_DATA!B10787</f>
        <v>Jan-2019</v>
      </c>
      <c r="C10787">
        <f>TEST_DATA!C10787</f>
        <v>44513</v>
      </c>
      <c r="D10787" t="str">
        <f>TEST_DATA!D10787</f>
        <v>NIL</v>
      </c>
      <c r="E10787">
        <f>TEST_DATA!E10787</f>
        <v>2966</v>
      </c>
    </row>
    <row r="10788" spans="1:5" x14ac:dyDescent="0.55000000000000004">
      <c r="A10788" t="str">
        <f>TEST_DATA!A10788</f>
        <v>27AAAAA10788Z5</v>
      </c>
      <c r="B10788" t="str">
        <f>TEST_DATA!B10788</f>
        <v>Jan-2018</v>
      </c>
      <c r="C10788">
        <f>TEST_DATA!C10788</f>
        <v>43545</v>
      </c>
      <c r="D10788" t="str">
        <f>TEST_DATA!D10788</f>
        <v>NON-NIL</v>
      </c>
      <c r="E10788">
        <f>TEST_DATA!E10788</f>
        <v>531</v>
      </c>
    </row>
    <row r="10789" spans="1:5" x14ac:dyDescent="0.55000000000000004">
      <c r="A10789" t="str">
        <f>TEST_DATA!A10789</f>
        <v>27AAAAA10789Z5</v>
      </c>
      <c r="B10789" t="str">
        <f>TEST_DATA!B10789</f>
        <v>Oct-2017</v>
      </c>
      <c r="C10789">
        <f>TEST_DATA!C10789</f>
        <v>43005</v>
      </c>
      <c r="D10789" t="str">
        <f>TEST_DATA!D10789</f>
        <v>NON-NIL</v>
      </c>
      <c r="E10789">
        <f>TEST_DATA!E10789</f>
        <v>1479</v>
      </c>
    </row>
    <row r="10790" spans="1:5" x14ac:dyDescent="0.55000000000000004">
      <c r="A10790" t="str">
        <f>TEST_DATA!A10790</f>
        <v>27AAAAA10790Z5</v>
      </c>
      <c r="B10790" t="str">
        <f>TEST_DATA!B10790</f>
        <v>Sep-2017</v>
      </c>
      <c r="C10790">
        <f>TEST_DATA!C10790</f>
        <v>43009</v>
      </c>
      <c r="D10790" t="str">
        <f>TEST_DATA!D10790</f>
        <v>NIL</v>
      </c>
      <c r="E10790">
        <f>TEST_DATA!E10790</f>
        <v>1205</v>
      </c>
    </row>
    <row r="10791" spans="1:5" x14ac:dyDescent="0.55000000000000004">
      <c r="A10791" t="str">
        <f>TEST_DATA!A10791</f>
        <v>27AAAAA10791Z5</v>
      </c>
      <c r="B10791" t="str">
        <f>TEST_DATA!B10791</f>
        <v>Dec-2022</v>
      </c>
      <c r="C10791">
        <f>TEST_DATA!C10791</f>
        <v>45084</v>
      </c>
      <c r="D10791" t="str">
        <f>TEST_DATA!D10791</f>
        <v>NIL</v>
      </c>
      <c r="E10791">
        <f>TEST_DATA!E10791</f>
        <v>268</v>
      </c>
    </row>
    <row r="10792" spans="1:5" x14ac:dyDescent="0.55000000000000004">
      <c r="A10792" t="str">
        <f>TEST_DATA!A10792</f>
        <v>27AAAAA10792Z5</v>
      </c>
      <c r="B10792" t="str">
        <f>TEST_DATA!B10792</f>
        <v>Jul-2017</v>
      </c>
      <c r="C10792">
        <f>TEST_DATA!C10792</f>
        <v>44205</v>
      </c>
      <c r="D10792" t="str">
        <f>TEST_DATA!D10792</f>
        <v>NON-NIL</v>
      </c>
      <c r="E10792">
        <f>TEST_DATA!E10792</f>
        <v>452</v>
      </c>
    </row>
    <row r="10793" spans="1:5" x14ac:dyDescent="0.55000000000000004">
      <c r="A10793" t="str">
        <f>TEST_DATA!A10793</f>
        <v>27AAAAA10793Z5</v>
      </c>
      <c r="B10793" t="str">
        <f>TEST_DATA!B10793</f>
        <v>Jan-2018</v>
      </c>
      <c r="C10793">
        <f>TEST_DATA!C10793</f>
        <v>43166</v>
      </c>
      <c r="D10793" t="str">
        <f>TEST_DATA!D10793</f>
        <v>NIL</v>
      </c>
      <c r="E10793">
        <f>TEST_DATA!E10793</f>
        <v>1377</v>
      </c>
    </row>
    <row r="10794" spans="1:5" x14ac:dyDescent="0.55000000000000004">
      <c r="A10794" t="str">
        <f>TEST_DATA!A10794</f>
        <v>27AAAAA10794Z5</v>
      </c>
      <c r="B10794" t="str">
        <f>TEST_DATA!B10794</f>
        <v>Jun-2018</v>
      </c>
      <c r="C10794">
        <f>TEST_DATA!C10794</f>
        <v>43600</v>
      </c>
      <c r="D10794" t="str">
        <f>TEST_DATA!D10794</f>
        <v>NON-NIL</v>
      </c>
      <c r="E10794">
        <f>TEST_DATA!E10794</f>
        <v>2339</v>
      </c>
    </row>
    <row r="10795" spans="1:5" x14ac:dyDescent="0.55000000000000004">
      <c r="A10795" t="str">
        <f>TEST_DATA!A10795</f>
        <v>27AAAAA10795Z5</v>
      </c>
      <c r="B10795" t="str">
        <f>TEST_DATA!B10795</f>
        <v>Apr-2018</v>
      </c>
      <c r="C10795">
        <f>TEST_DATA!C10795</f>
        <v>43189</v>
      </c>
      <c r="D10795" t="str">
        <f>TEST_DATA!D10795</f>
        <v>NIL</v>
      </c>
      <c r="E10795">
        <f>TEST_DATA!E10795</f>
        <v>2952</v>
      </c>
    </row>
    <row r="10796" spans="1:5" x14ac:dyDescent="0.55000000000000004">
      <c r="A10796" t="str">
        <f>TEST_DATA!A10796</f>
        <v>27AAAAA10796Z5</v>
      </c>
      <c r="B10796" t="str">
        <f>TEST_DATA!B10796</f>
        <v>Jan-2019</v>
      </c>
      <c r="C10796">
        <f>TEST_DATA!C10796</f>
        <v>44067</v>
      </c>
      <c r="D10796" t="str">
        <f>TEST_DATA!D10796</f>
        <v>NIL</v>
      </c>
      <c r="E10796">
        <f>TEST_DATA!E10796</f>
        <v>2781</v>
      </c>
    </row>
    <row r="10797" spans="1:5" x14ac:dyDescent="0.55000000000000004">
      <c r="A10797" t="str">
        <f>TEST_DATA!A10797</f>
        <v>27AAAAA10797Z5</v>
      </c>
      <c r="B10797" t="str">
        <f>TEST_DATA!B10797</f>
        <v>Feb-2018</v>
      </c>
      <c r="C10797">
        <f>TEST_DATA!C10797</f>
        <v>44139</v>
      </c>
      <c r="D10797" t="str">
        <f>TEST_DATA!D10797</f>
        <v>NON-NIL</v>
      </c>
      <c r="E10797">
        <f>TEST_DATA!E10797</f>
        <v>1733</v>
      </c>
    </row>
    <row r="10798" spans="1:5" x14ac:dyDescent="0.55000000000000004">
      <c r="A10798" t="str">
        <f>TEST_DATA!A10798</f>
        <v>27AAAAA10798Z5</v>
      </c>
      <c r="B10798" t="str">
        <f>TEST_DATA!B10798</f>
        <v>Mar-2021</v>
      </c>
      <c r="C10798">
        <f>TEST_DATA!C10798</f>
        <v>45367</v>
      </c>
      <c r="D10798" t="str">
        <f>TEST_DATA!D10798</f>
        <v>NIL</v>
      </c>
      <c r="E10798">
        <f>TEST_DATA!E10798</f>
        <v>2690</v>
      </c>
    </row>
    <row r="10799" spans="1:5" x14ac:dyDescent="0.55000000000000004">
      <c r="A10799" t="str">
        <f>TEST_DATA!A10799</f>
        <v>27AAAAA10799Z5</v>
      </c>
      <c r="B10799" t="str">
        <f>TEST_DATA!B10799</f>
        <v>Sep-2017</v>
      </c>
      <c r="C10799">
        <f>TEST_DATA!C10799</f>
        <v>43918</v>
      </c>
      <c r="D10799" t="str">
        <f>TEST_DATA!D10799</f>
        <v>NON-NIL</v>
      </c>
      <c r="E10799">
        <f>TEST_DATA!E10799</f>
        <v>314</v>
      </c>
    </row>
    <row r="10800" spans="1:5" x14ac:dyDescent="0.55000000000000004">
      <c r="A10800" t="str">
        <f>TEST_DATA!A10800</f>
        <v>27AAAAA10800Z5</v>
      </c>
      <c r="B10800" t="str">
        <f>TEST_DATA!B10800</f>
        <v>Jul-2020</v>
      </c>
      <c r="C10800">
        <f>TEST_DATA!C10800</f>
        <v>44901</v>
      </c>
      <c r="D10800" t="str">
        <f>TEST_DATA!D10800</f>
        <v>NON-NIL</v>
      </c>
      <c r="E10800">
        <f>TEST_DATA!E10800</f>
        <v>2929</v>
      </c>
    </row>
    <row r="10801" spans="1:5" x14ac:dyDescent="0.55000000000000004">
      <c r="A10801" t="str">
        <f>TEST_DATA!A10801</f>
        <v>27AAAAA10801Z5</v>
      </c>
      <c r="B10801" t="str">
        <f>TEST_DATA!B10801</f>
        <v>Dec-2019</v>
      </c>
      <c r="C10801">
        <f>TEST_DATA!C10801</f>
        <v>45325</v>
      </c>
      <c r="D10801" t="str">
        <f>TEST_DATA!D10801</f>
        <v>NON-NIL</v>
      </c>
      <c r="E10801">
        <f>TEST_DATA!E10801</f>
        <v>1734</v>
      </c>
    </row>
    <row r="10802" spans="1:5" x14ac:dyDescent="0.55000000000000004">
      <c r="A10802" t="str">
        <f>TEST_DATA!A10802</f>
        <v>27AAAAA10802Z5</v>
      </c>
      <c r="B10802" t="str">
        <f>TEST_DATA!B10802</f>
        <v>Jan-2019</v>
      </c>
      <c r="C10802">
        <f>TEST_DATA!C10802</f>
        <v>45259</v>
      </c>
      <c r="D10802" t="str">
        <f>TEST_DATA!D10802</f>
        <v>NON-NIL</v>
      </c>
      <c r="E10802">
        <f>TEST_DATA!E10802</f>
        <v>260</v>
      </c>
    </row>
    <row r="10803" spans="1:5" x14ac:dyDescent="0.55000000000000004">
      <c r="A10803" t="str">
        <f>TEST_DATA!A10803</f>
        <v>27AAAAA10803Z5</v>
      </c>
      <c r="B10803" t="str">
        <f>TEST_DATA!B10803</f>
        <v>Jan-2018</v>
      </c>
      <c r="C10803">
        <f>TEST_DATA!C10803</f>
        <v>43941</v>
      </c>
      <c r="D10803" t="str">
        <f>TEST_DATA!D10803</f>
        <v>NON-NIL</v>
      </c>
      <c r="E10803">
        <f>TEST_DATA!E10803</f>
        <v>1903</v>
      </c>
    </row>
    <row r="10804" spans="1:5" x14ac:dyDescent="0.55000000000000004">
      <c r="A10804" t="str">
        <f>TEST_DATA!A10804</f>
        <v>27AAAAA10804Z5</v>
      </c>
      <c r="B10804" t="str">
        <f>TEST_DATA!B10804</f>
        <v>Jun-2020</v>
      </c>
      <c r="C10804">
        <f>TEST_DATA!C10804</f>
        <v>43987</v>
      </c>
      <c r="D10804" t="str">
        <f>TEST_DATA!D10804</f>
        <v>NIL</v>
      </c>
      <c r="E10804">
        <f>TEST_DATA!E10804</f>
        <v>872</v>
      </c>
    </row>
    <row r="10805" spans="1:5" x14ac:dyDescent="0.55000000000000004">
      <c r="A10805" t="str">
        <f>TEST_DATA!A10805</f>
        <v>27AAAAA10805Z5</v>
      </c>
      <c r="B10805" t="str">
        <f>TEST_DATA!B10805</f>
        <v>Apr-2020</v>
      </c>
      <c r="C10805">
        <f>TEST_DATA!C10805</f>
        <v>44003</v>
      </c>
      <c r="D10805" t="str">
        <f>TEST_DATA!D10805</f>
        <v>NIL</v>
      </c>
      <c r="E10805">
        <f>TEST_DATA!E10805</f>
        <v>2517</v>
      </c>
    </row>
    <row r="10806" spans="1:5" x14ac:dyDescent="0.55000000000000004">
      <c r="A10806" t="str">
        <f>TEST_DATA!A10806</f>
        <v>27AAAAA10806Z5</v>
      </c>
      <c r="B10806" t="str">
        <f>TEST_DATA!B10806</f>
        <v>Sep-2018</v>
      </c>
      <c r="C10806">
        <f>TEST_DATA!C10806</f>
        <v>44234</v>
      </c>
      <c r="D10806" t="str">
        <f>TEST_DATA!D10806</f>
        <v>NIL</v>
      </c>
      <c r="E10806">
        <f>TEST_DATA!E10806</f>
        <v>170</v>
      </c>
    </row>
    <row r="10807" spans="1:5" x14ac:dyDescent="0.55000000000000004">
      <c r="A10807" t="str">
        <f>TEST_DATA!A10807</f>
        <v>27AAAAA10807Z5</v>
      </c>
      <c r="B10807" t="str">
        <f>TEST_DATA!B10807</f>
        <v>Mar-2018</v>
      </c>
      <c r="C10807">
        <f>TEST_DATA!C10807</f>
        <v>43954</v>
      </c>
      <c r="D10807" t="str">
        <f>TEST_DATA!D10807</f>
        <v>NON-NIL</v>
      </c>
      <c r="E10807">
        <f>TEST_DATA!E10807</f>
        <v>920</v>
      </c>
    </row>
    <row r="10808" spans="1:5" x14ac:dyDescent="0.55000000000000004">
      <c r="A10808" t="str">
        <f>TEST_DATA!A10808</f>
        <v>27AAAAA10808Z5</v>
      </c>
      <c r="B10808" t="str">
        <f>TEST_DATA!B10808</f>
        <v>Aug-2017</v>
      </c>
      <c r="C10808">
        <f>TEST_DATA!C10808</f>
        <v>43480</v>
      </c>
      <c r="D10808" t="str">
        <f>TEST_DATA!D10808</f>
        <v>NON-NIL</v>
      </c>
      <c r="E10808">
        <f>TEST_DATA!E10808</f>
        <v>478</v>
      </c>
    </row>
    <row r="10809" spans="1:5" x14ac:dyDescent="0.55000000000000004">
      <c r="A10809" t="str">
        <f>TEST_DATA!A10809</f>
        <v>27AAAAA10809Z5</v>
      </c>
      <c r="B10809" t="str">
        <f>TEST_DATA!B10809</f>
        <v>Mar-2020</v>
      </c>
      <c r="C10809">
        <f>TEST_DATA!C10809</f>
        <v>44348</v>
      </c>
      <c r="D10809" t="str">
        <f>TEST_DATA!D10809</f>
        <v>NON-NIL</v>
      </c>
      <c r="E10809">
        <f>TEST_DATA!E10809</f>
        <v>1399</v>
      </c>
    </row>
    <row r="10810" spans="1:5" x14ac:dyDescent="0.55000000000000004">
      <c r="A10810" t="str">
        <f>TEST_DATA!A10810</f>
        <v>27AAAAA10810Z5</v>
      </c>
      <c r="B10810" t="str">
        <f>TEST_DATA!B10810</f>
        <v>Jan-2021</v>
      </c>
      <c r="C10810">
        <f>TEST_DATA!C10810</f>
        <v>45519</v>
      </c>
      <c r="D10810" t="str">
        <f>TEST_DATA!D10810</f>
        <v>NON-NIL</v>
      </c>
      <c r="E10810">
        <f>TEST_DATA!E10810</f>
        <v>2088</v>
      </c>
    </row>
    <row r="10811" spans="1:5" x14ac:dyDescent="0.55000000000000004">
      <c r="A10811" t="str">
        <f>TEST_DATA!A10811</f>
        <v>27AAAAA10811Z5</v>
      </c>
      <c r="B10811" t="str">
        <f>TEST_DATA!B10811</f>
        <v>Apr-2021</v>
      </c>
      <c r="C10811">
        <f>TEST_DATA!C10811</f>
        <v>43812</v>
      </c>
      <c r="D10811" t="str">
        <f>TEST_DATA!D10811</f>
        <v>NON-NIL</v>
      </c>
      <c r="E10811">
        <f>TEST_DATA!E10811</f>
        <v>2966</v>
      </c>
    </row>
    <row r="10812" spans="1:5" x14ac:dyDescent="0.55000000000000004">
      <c r="A10812" t="str">
        <f>TEST_DATA!A10812</f>
        <v>27AAAAA10812Z5</v>
      </c>
      <c r="B10812" t="str">
        <f>TEST_DATA!B10812</f>
        <v>Feb-2018</v>
      </c>
      <c r="C10812">
        <f>TEST_DATA!C10812</f>
        <v>43491</v>
      </c>
      <c r="D10812" t="str">
        <f>TEST_DATA!D10812</f>
        <v>NIL</v>
      </c>
      <c r="E10812">
        <f>TEST_DATA!E10812</f>
        <v>2205</v>
      </c>
    </row>
    <row r="10813" spans="1:5" x14ac:dyDescent="0.55000000000000004">
      <c r="A10813" t="str">
        <f>TEST_DATA!A10813</f>
        <v>27AAAAA10813Z5</v>
      </c>
      <c r="B10813" t="str">
        <f>TEST_DATA!B10813</f>
        <v>Dec-2019</v>
      </c>
      <c r="C10813">
        <f>TEST_DATA!C10813</f>
        <v>43591</v>
      </c>
      <c r="D10813" t="str">
        <f>TEST_DATA!D10813</f>
        <v>NON-NIL</v>
      </c>
      <c r="E10813">
        <f>TEST_DATA!E10813</f>
        <v>2370</v>
      </c>
    </row>
    <row r="10814" spans="1:5" x14ac:dyDescent="0.55000000000000004">
      <c r="A10814" t="str">
        <f>TEST_DATA!A10814</f>
        <v>27AAAAA10814Z5</v>
      </c>
      <c r="B10814" t="str">
        <f>TEST_DATA!B10814</f>
        <v>Jun-2020</v>
      </c>
      <c r="C10814">
        <f>TEST_DATA!C10814</f>
        <v>44655</v>
      </c>
      <c r="D10814" t="str">
        <f>TEST_DATA!D10814</f>
        <v>NON-NIL</v>
      </c>
      <c r="E10814">
        <f>TEST_DATA!E10814</f>
        <v>2981</v>
      </c>
    </row>
    <row r="10815" spans="1:5" x14ac:dyDescent="0.55000000000000004">
      <c r="A10815" t="str">
        <f>TEST_DATA!A10815</f>
        <v>27AAAAA10815Z5</v>
      </c>
      <c r="B10815" t="str">
        <f>TEST_DATA!B10815</f>
        <v>Jun-2020</v>
      </c>
      <c r="C10815">
        <f>TEST_DATA!C10815</f>
        <v>43913</v>
      </c>
      <c r="D10815" t="str">
        <f>TEST_DATA!D10815</f>
        <v>NIL</v>
      </c>
      <c r="E10815">
        <f>TEST_DATA!E10815</f>
        <v>2565</v>
      </c>
    </row>
    <row r="10816" spans="1:5" x14ac:dyDescent="0.55000000000000004">
      <c r="A10816" t="str">
        <f>TEST_DATA!A10816</f>
        <v>27AAAAA10816Z5</v>
      </c>
      <c r="B10816" t="str">
        <f>TEST_DATA!B10816</f>
        <v>May-2020</v>
      </c>
      <c r="C10816">
        <f>TEST_DATA!C10816</f>
        <v>44050</v>
      </c>
      <c r="D10816" t="str">
        <f>TEST_DATA!D10816</f>
        <v>NON-NIL</v>
      </c>
      <c r="E10816">
        <f>TEST_DATA!E10816</f>
        <v>1984</v>
      </c>
    </row>
    <row r="10817" spans="1:5" x14ac:dyDescent="0.55000000000000004">
      <c r="A10817" t="str">
        <f>TEST_DATA!A10817</f>
        <v>27AAAAA10817Z5</v>
      </c>
      <c r="B10817" t="str">
        <f>TEST_DATA!B10817</f>
        <v>Apr-2021</v>
      </c>
      <c r="C10817">
        <f>TEST_DATA!C10817</f>
        <v>44772</v>
      </c>
      <c r="D10817" t="str">
        <f>TEST_DATA!D10817</f>
        <v>NON-NIL</v>
      </c>
      <c r="E10817">
        <f>TEST_DATA!E10817</f>
        <v>2538</v>
      </c>
    </row>
    <row r="10818" spans="1:5" x14ac:dyDescent="0.55000000000000004">
      <c r="A10818" t="str">
        <f>TEST_DATA!A10818</f>
        <v>27AAAAA10818Z5</v>
      </c>
      <c r="B10818" t="str">
        <f>TEST_DATA!B10818</f>
        <v>Jan-2018</v>
      </c>
      <c r="C10818">
        <f>TEST_DATA!C10818</f>
        <v>44081</v>
      </c>
      <c r="D10818" t="str">
        <f>TEST_DATA!D10818</f>
        <v>NIL</v>
      </c>
      <c r="E10818">
        <f>TEST_DATA!E10818</f>
        <v>2209</v>
      </c>
    </row>
    <row r="10819" spans="1:5" x14ac:dyDescent="0.55000000000000004">
      <c r="A10819" t="str">
        <f>TEST_DATA!A10819</f>
        <v>27AAAAA10819Z5</v>
      </c>
      <c r="B10819" t="str">
        <f>TEST_DATA!B10819</f>
        <v>May-2020</v>
      </c>
      <c r="C10819">
        <f>TEST_DATA!C10819</f>
        <v>44497</v>
      </c>
      <c r="D10819" t="str">
        <f>TEST_DATA!D10819</f>
        <v>NIL</v>
      </c>
      <c r="E10819">
        <f>TEST_DATA!E10819</f>
        <v>2710</v>
      </c>
    </row>
    <row r="10820" spans="1:5" x14ac:dyDescent="0.55000000000000004">
      <c r="A10820" t="str">
        <f>TEST_DATA!A10820</f>
        <v>27AAAAA10820Z5</v>
      </c>
      <c r="B10820" t="str">
        <f>TEST_DATA!B10820</f>
        <v>Jul-2018</v>
      </c>
      <c r="C10820">
        <f>TEST_DATA!C10820</f>
        <v>44392</v>
      </c>
      <c r="D10820" t="str">
        <f>TEST_DATA!D10820</f>
        <v>NIL</v>
      </c>
      <c r="E10820">
        <f>TEST_DATA!E10820</f>
        <v>135</v>
      </c>
    </row>
    <row r="10821" spans="1:5" x14ac:dyDescent="0.55000000000000004">
      <c r="A10821" t="str">
        <f>TEST_DATA!A10821</f>
        <v>27AAAAA10821Z5</v>
      </c>
      <c r="B10821" t="str">
        <f>TEST_DATA!B10821</f>
        <v>Jun-2018</v>
      </c>
      <c r="C10821">
        <f>TEST_DATA!C10821</f>
        <v>43488</v>
      </c>
      <c r="D10821" t="str">
        <f>TEST_DATA!D10821</f>
        <v>NON-NIL</v>
      </c>
      <c r="E10821">
        <f>TEST_DATA!E10821</f>
        <v>2461</v>
      </c>
    </row>
    <row r="10822" spans="1:5" x14ac:dyDescent="0.55000000000000004">
      <c r="A10822" t="str">
        <f>TEST_DATA!A10822</f>
        <v>27AAAAA10822Z5</v>
      </c>
      <c r="B10822" t="str">
        <f>TEST_DATA!B10822</f>
        <v>Jan-2018</v>
      </c>
      <c r="C10822">
        <f>TEST_DATA!C10822</f>
        <v>44488</v>
      </c>
      <c r="D10822" t="str">
        <f>TEST_DATA!D10822</f>
        <v>NIL</v>
      </c>
      <c r="E10822">
        <f>TEST_DATA!E10822</f>
        <v>2390</v>
      </c>
    </row>
    <row r="10823" spans="1:5" x14ac:dyDescent="0.55000000000000004">
      <c r="A10823" t="str">
        <f>TEST_DATA!A10823</f>
        <v>27AAAAA10823Z5</v>
      </c>
      <c r="B10823" t="str">
        <f>TEST_DATA!B10823</f>
        <v>Dec-2017</v>
      </c>
      <c r="C10823">
        <f>TEST_DATA!C10823</f>
        <v>43834</v>
      </c>
      <c r="D10823" t="str">
        <f>TEST_DATA!D10823</f>
        <v>NIL</v>
      </c>
      <c r="E10823">
        <f>TEST_DATA!E10823</f>
        <v>2761</v>
      </c>
    </row>
    <row r="10824" spans="1:5" x14ac:dyDescent="0.55000000000000004">
      <c r="A10824" t="str">
        <f>TEST_DATA!A10824</f>
        <v>27AAAAA10824Z5</v>
      </c>
      <c r="B10824" t="str">
        <f>TEST_DATA!B10824</f>
        <v>Mar-2020</v>
      </c>
      <c r="C10824">
        <f>TEST_DATA!C10824</f>
        <v>44478</v>
      </c>
      <c r="D10824" t="str">
        <f>TEST_DATA!D10824</f>
        <v>NON-NIL</v>
      </c>
      <c r="E10824">
        <f>TEST_DATA!E10824</f>
        <v>127</v>
      </c>
    </row>
    <row r="10825" spans="1:5" x14ac:dyDescent="0.55000000000000004">
      <c r="A10825" t="str">
        <f>TEST_DATA!A10825</f>
        <v>27AAAAA10825Z5</v>
      </c>
      <c r="B10825" t="str">
        <f>TEST_DATA!B10825</f>
        <v>Aug-2018</v>
      </c>
      <c r="C10825">
        <f>TEST_DATA!C10825</f>
        <v>43383</v>
      </c>
      <c r="D10825" t="str">
        <f>TEST_DATA!D10825</f>
        <v>NON-NIL</v>
      </c>
      <c r="E10825">
        <f>TEST_DATA!E10825</f>
        <v>1722</v>
      </c>
    </row>
    <row r="10826" spans="1:5" x14ac:dyDescent="0.55000000000000004">
      <c r="A10826" t="str">
        <f>TEST_DATA!A10826</f>
        <v>27AAAAA10826Z5</v>
      </c>
      <c r="B10826" t="str">
        <f>TEST_DATA!B10826</f>
        <v>Dec-2024</v>
      </c>
      <c r="C10826">
        <f>TEST_DATA!C10826</f>
        <v>45334</v>
      </c>
      <c r="D10826" t="str">
        <f>TEST_DATA!D10826</f>
        <v>NIL</v>
      </c>
      <c r="E10826">
        <f>TEST_DATA!E10826</f>
        <v>574</v>
      </c>
    </row>
    <row r="10827" spans="1:5" x14ac:dyDescent="0.55000000000000004">
      <c r="A10827" t="str">
        <f>TEST_DATA!A10827</f>
        <v>27AAAAA10827Z5</v>
      </c>
      <c r="B10827" t="str">
        <f>TEST_DATA!B10827</f>
        <v>Aug-2017</v>
      </c>
      <c r="C10827">
        <f>TEST_DATA!C10827</f>
        <v>44430</v>
      </c>
      <c r="D10827" t="str">
        <f>TEST_DATA!D10827</f>
        <v>NON-NIL</v>
      </c>
      <c r="E10827">
        <f>TEST_DATA!E10827</f>
        <v>2600</v>
      </c>
    </row>
    <row r="10828" spans="1:5" x14ac:dyDescent="0.55000000000000004">
      <c r="A10828" t="str">
        <f>TEST_DATA!A10828</f>
        <v>27AAAAA10828Z5</v>
      </c>
      <c r="B10828" t="str">
        <f>TEST_DATA!B10828</f>
        <v>Sep-2017</v>
      </c>
      <c r="C10828">
        <f>TEST_DATA!C10828</f>
        <v>44489</v>
      </c>
      <c r="D10828" t="str">
        <f>TEST_DATA!D10828</f>
        <v>NON-NIL</v>
      </c>
      <c r="E10828">
        <f>TEST_DATA!E10828</f>
        <v>807</v>
      </c>
    </row>
    <row r="10829" spans="1:5" x14ac:dyDescent="0.55000000000000004">
      <c r="A10829" t="str">
        <f>TEST_DATA!A10829</f>
        <v>27AAAAA10829Z5</v>
      </c>
      <c r="B10829" t="str">
        <f>TEST_DATA!B10829</f>
        <v>Sep-2018</v>
      </c>
      <c r="C10829">
        <f>TEST_DATA!C10829</f>
        <v>44061</v>
      </c>
      <c r="D10829" t="str">
        <f>TEST_DATA!D10829</f>
        <v>NON-NIL</v>
      </c>
      <c r="E10829">
        <f>TEST_DATA!E10829</f>
        <v>761</v>
      </c>
    </row>
    <row r="10830" spans="1:5" x14ac:dyDescent="0.55000000000000004">
      <c r="A10830" t="str">
        <f>TEST_DATA!A10830</f>
        <v>27AAAAA10830Z5</v>
      </c>
      <c r="B10830" t="str">
        <f>TEST_DATA!B10830</f>
        <v>Aug-2017</v>
      </c>
      <c r="C10830">
        <f>TEST_DATA!C10830</f>
        <v>44323</v>
      </c>
      <c r="D10830" t="str">
        <f>TEST_DATA!D10830</f>
        <v>NON-NIL</v>
      </c>
      <c r="E10830">
        <f>TEST_DATA!E10830</f>
        <v>1470</v>
      </c>
    </row>
    <row r="10831" spans="1:5" x14ac:dyDescent="0.55000000000000004">
      <c r="A10831" t="str">
        <f>TEST_DATA!A10831</f>
        <v>27AAAAA10831Z5</v>
      </c>
      <c r="B10831" t="str">
        <f>TEST_DATA!B10831</f>
        <v>Jun-2020</v>
      </c>
      <c r="C10831">
        <f>TEST_DATA!C10831</f>
        <v>44544</v>
      </c>
      <c r="D10831" t="str">
        <f>TEST_DATA!D10831</f>
        <v>NON-NIL</v>
      </c>
      <c r="E10831">
        <f>TEST_DATA!E10831</f>
        <v>897</v>
      </c>
    </row>
    <row r="10832" spans="1:5" x14ac:dyDescent="0.55000000000000004">
      <c r="A10832" t="str">
        <f>TEST_DATA!A10832</f>
        <v>27AAAAA10832Z5</v>
      </c>
      <c r="B10832" t="str">
        <f>TEST_DATA!B10832</f>
        <v>Jun-2020</v>
      </c>
      <c r="C10832">
        <f>TEST_DATA!C10832</f>
        <v>44485</v>
      </c>
      <c r="D10832" t="str">
        <f>TEST_DATA!D10832</f>
        <v>NON-NIL</v>
      </c>
      <c r="E10832">
        <f>TEST_DATA!E10832</f>
        <v>1156</v>
      </c>
    </row>
    <row r="10833" spans="1:5" x14ac:dyDescent="0.55000000000000004">
      <c r="A10833" t="str">
        <f>TEST_DATA!A10833</f>
        <v>27AAAAA10833Z5</v>
      </c>
      <c r="B10833" t="str">
        <f>TEST_DATA!B10833</f>
        <v>Mar-2021</v>
      </c>
      <c r="C10833">
        <f>TEST_DATA!C10833</f>
        <v>43613</v>
      </c>
      <c r="D10833" t="str">
        <f>TEST_DATA!D10833</f>
        <v>NON-NIL</v>
      </c>
      <c r="E10833">
        <f>TEST_DATA!E10833</f>
        <v>2114</v>
      </c>
    </row>
    <row r="10834" spans="1:5" x14ac:dyDescent="0.55000000000000004">
      <c r="A10834" t="str">
        <f>TEST_DATA!A10834</f>
        <v>27AAAAA10834Z5</v>
      </c>
      <c r="B10834" t="str">
        <f>TEST_DATA!B10834</f>
        <v>Jul-2020</v>
      </c>
      <c r="C10834">
        <f>TEST_DATA!C10834</f>
        <v>44677</v>
      </c>
      <c r="D10834" t="str">
        <f>TEST_DATA!D10834</f>
        <v>NON-NIL</v>
      </c>
      <c r="E10834">
        <f>TEST_DATA!E10834</f>
        <v>1916</v>
      </c>
    </row>
    <row r="10835" spans="1:5" x14ac:dyDescent="0.55000000000000004">
      <c r="A10835" t="str">
        <f>TEST_DATA!A10835</f>
        <v>27AAAAA10835Z5</v>
      </c>
      <c r="B10835" t="str">
        <f>TEST_DATA!B10835</f>
        <v>Jul-2020</v>
      </c>
      <c r="C10835">
        <f>TEST_DATA!C10835</f>
        <v>44861</v>
      </c>
      <c r="D10835" t="str">
        <f>TEST_DATA!D10835</f>
        <v>NIL</v>
      </c>
      <c r="E10835">
        <f>TEST_DATA!E10835</f>
        <v>2639</v>
      </c>
    </row>
    <row r="10836" spans="1:5" x14ac:dyDescent="0.55000000000000004">
      <c r="A10836" t="str">
        <f>TEST_DATA!A10836</f>
        <v>27AAAAA10836Z5</v>
      </c>
      <c r="B10836" t="str">
        <f>TEST_DATA!B10836</f>
        <v>Jul-2020</v>
      </c>
      <c r="C10836">
        <f>TEST_DATA!C10836</f>
        <v>44108</v>
      </c>
      <c r="D10836" t="str">
        <f>TEST_DATA!D10836</f>
        <v>NIL</v>
      </c>
      <c r="E10836">
        <f>TEST_DATA!E10836</f>
        <v>128</v>
      </c>
    </row>
    <row r="10837" spans="1:5" x14ac:dyDescent="0.55000000000000004">
      <c r="A10837" t="str">
        <f>TEST_DATA!A10837</f>
        <v>27AAAAA10837Z5</v>
      </c>
      <c r="B10837" t="str">
        <f>TEST_DATA!B10837</f>
        <v>Jan-2021</v>
      </c>
      <c r="C10837">
        <f>TEST_DATA!C10837</f>
        <v>43624</v>
      </c>
      <c r="D10837" t="str">
        <f>TEST_DATA!D10837</f>
        <v>NON-NIL</v>
      </c>
      <c r="E10837">
        <f>TEST_DATA!E10837</f>
        <v>572</v>
      </c>
    </row>
    <row r="10838" spans="1:5" x14ac:dyDescent="0.55000000000000004">
      <c r="A10838" t="str">
        <f>TEST_DATA!A10838</f>
        <v>27AAAAA10838Z5</v>
      </c>
      <c r="B10838" t="str">
        <f>TEST_DATA!B10838</f>
        <v>Jun-2020</v>
      </c>
      <c r="C10838">
        <f>TEST_DATA!C10838</f>
        <v>43849</v>
      </c>
      <c r="D10838" t="str">
        <f>TEST_DATA!D10838</f>
        <v>NON-NIL</v>
      </c>
      <c r="E10838">
        <f>TEST_DATA!E10838</f>
        <v>88</v>
      </c>
    </row>
    <row r="10839" spans="1:5" x14ac:dyDescent="0.55000000000000004">
      <c r="A10839" t="str">
        <f>TEST_DATA!A10839</f>
        <v>27AAAAA10839Z5</v>
      </c>
      <c r="B10839" t="str">
        <f>TEST_DATA!B10839</f>
        <v>Mar-2021</v>
      </c>
      <c r="C10839">
        <f>TEST_DATA!C10839</f>
        <v>44737</v>
      </c>
      <c r="D10839" t="str">
        <f>TEST_DATA!D10839</f>
        <v>NON-NIL</v>
      </c>
      <c r="E10839">
        <f>TEST_DATA!E10839</f>
        <v>278</v>
      </c>
    </row>
    <row r="10840" spans="1:5" x14ac:dyDescent="0.55000000000000004">
      <c r="A10840" t="str">
        <f>TEST_DATA!A10840</f>
        <v>27AAAAA10840Z5</v>
      </c>
      <c r="B10840" t="str">
        <f>TEST_DATA!B10840</f>
        <v>Oct-2017</v>
      </c>
      <c r="C10840">
        <f>TEST_DATA!C10840</f>
        <v>44519</v>
      </c>
      <c r="D10840" t="str">
        <f>TEST_DATA!D10840</f>
        <v>NIL</v>
      </c>
      <c r="E10840">
        <f>TEST_DATA!E10840</f>
        <v>1208</v>
      </c>
    </row>
    <row r="10841" spans="1:5" x14ac:dyDescent="0.55000000000000004">
      <c r="A10841" t="str">
        <f>TEST_DATA!A10841</f>
        <v>27AAAAA10841Z5</v>
      </c>
      <c r="B10841" t="str">
        <f>TEST_DATA!B10841</f>
        <v>Jul-2018</v>
      </c>
      <c r="C10841">
        <f>TEST_DATA!C10841</f>
        <v>43133</v>
      </c>
      <c r="D10841" t="str">
        <f>TEST_DATA!D10841</f>
        <v>NON-NIL</v>
      </c>
      <c r="E10841">
        <f>TEST_DATA!E10841</f>
        <v>1503</v>
      </c>
    </row>
    <row r="10842" spans="1:5" x14ac:dyDescent="0.55000000000000004">
      <c r="A10842" t="str">
        <f>TEST_DATA!A10842</f>
        <v>27AAAAA10842Z5</v>
      </c>
      <c r="B10842" t="str">
        <f>TEST_DATA!B10842</f>
        <v>Jun-2020</v>
      </c>
      <c r="C10842">
        <f>TEST_DATA!C10842</f>
        <v>44838</v>
      </c>
      <c r="D10842" t="str">
        <f>TEST_DATA!D10842</f>
        <v>NIL</v>
      </c>
      <c r="E10842">
        <f>TEST_DATA!E10842</f>
        <v>1144</v>
      </c>
    </row>
    <row r="10843" spans="1:5" x14ac:dyDescent="0.55000000000000004">
      <c r="A10843" t="str">
        <f>TEST_DATA!A10843</f>
        <v>27AAAAA10843Z5</v>
      </c>
      <c r="B10843" t="str">
        <f>TEST_DATA!B10843</f>
        <v>Oct-2017</v>
      </c>
      <c r="C10843">
        <f>TEST_DATA!C10843</f>
        <v>42964</v>
      </c>
      <c r="D10843" t="str">
        <f>TEST_DATA!D10843</f>
        <v>NON-NIL</v>
      </c>
      <c r="E10843">
        <f>TEST_DATA!E10843</f>
        <v>2260</v>
      </c>
    </row>
    <row r="10844" spans="1:5" x14ac:dyDescent="0.55000000000000004">
      <c r="A10844" t="str">
        <f>TEST_DATA!A10844</f>
        <v>27AAAAA10844Z5</v>
      </c>
      <c r="B10844" t="str">
        <f>TEST_DATA!B10844</f>
        <v>Aug-2018</v>
      </c>
      <c r="C10844">
        <f>TEST_DATA!C10844</f>
        <v>43754</v>
      </c>
      <c r="D10844" t="str">
        <f>TEST_DATA!D10844</f>
        <v>NON-NIL</v>
      </c>
      <c r="E10844">
        <f>TEST_DATA!E10844</f>
        <v>335</v>
      </c>
    </row>
    <row r="10845" spans="1:5" x14ac:dyDescent="0.55000000000000004">
      <c r="A10845" t="str">
        <f>TEST_DATA!A10845</f>
        <v>27AAAAA10845Z5</v>
      </c>
      <c r="B10845" t="str">
        <f>TEST_DATA!B10845</f>
        <v>Jun-2019</v>
      </c>
      <c r="C10845">
        <f>TEST_DATA!C10845</f>
        <v>45179</v>
      </c>
      <c r="D10845" t="str">
        <f>TEST_DATA!D10845</f>
        <v>NON-NIL</v>
      </c>
      <c r="E10845">
        <f>TEST_DATA!E10845</f>
        <v>1119</v>
      </c>
    </row>
    <row r="10846" spans="1:5" x14ac:dyDescent="0.55000000000000004">
      <c r="A10846" t="str">
        <f>TEST_DATA!A10846</f>
        <v>27AAAAA10846Z5</v>
      </c>
      <c r="B10846" t="str">
        <f>TEST_DATA!B10846</f>
        <v>Nov-2017</v>
      </c>
      <c r="C10846">
        <f>TEST_DATA!C10846</f>
        <v>43804</v>
      </c>
      <c r="D10846" t="str">
        <f>TEST_DATA!D10846</f>
        <v>NIL</v>
      </c>
      <c r="E10846">
        <f>TEST_DATA!E10846</f>
        <v>1197</v>
      </c>
    </row>
    <row r="10847" spans="1:5" x14ac:dyDescent="0.55000000000000004">
      <c r="A10847" t="str">
        <f>TEST_DATA!A10847</f>
        <v>27AAAAA10847Z5</v>
      </c>
      <c r="B10847" t="str">
        <f>TEST_DATA!B10847</f>
        <v>Apr-2018</v>
      </c>
      <c r="C10847">
        <f>TEST_DATA!C10847</f>
        <v>43936</v>
      </c>
      <c r="D10847" t="str">
        <f>TEST_DATA!D10847</f>
        <v>NIL</v>
      </c>
      <c r="E10847">
        <f>TEST_DATA!E10847</f>
        <v>2849</v>
      </c>
    </row>
    <row r="10848" spans="1:5" x14ac:dyDescent="0.55000000000000004">
      <c r="A10848" t="str">
        <f>TEST_DATA!A10848</f>
        <v>27AAAAA10848Z5</v>
      </c>
      <c r="B10848" t="str">
        <f>TEST_DATA!B10848</f>
        <v>Mar-2018</v>
      </c>
      <c r="C10848">
        <f>TEST_DATA!C10848</f>
        <v>44069</v>
      </c>
      <c r="D10848" t="str">
        <f>TEST_DATA!D10848</f>
        <v>NON-NIL</v>
      </c>
      <c r="E10848">
        <f>TEST_DATA!E10848</f>
        <v>1925</v>
      </c>
    </row>
    <row r="10849" spans="1:5" x14ac:dyDescent="0.55000000000000004">
      <c r="A10849" t="str">
        <f>TEST_DATA!A10849</f>
        <v>27AAAAA10849Z5</v>
      </c>
      <c r="B10849" t="str">
        <f>TEST_DATA!B10849</f>
        <v>Sep-2017</v>
      </c>
      <c r="C10849">
        <f>TEST_DATA!C10849</f>
        <v>43152</v>
      </c>
      <c r="D10849" t="str">
        <f>TEST_DATA!D10849</f>
        <v>NIL</v>
      </c>
      <c r="E10849">
        <f>TEST_DATA!E10849</f>
        <v>481</v>
      </c>
    </row>
    <row r="10850" spans="1:5" x14ac:dyDescent="0.55000000000000004">
      <c r="A10850" t="str">
        <f>TEST_DATA!A10850</f>
        <v>27AAAAA10850Z5</v>
      </c>
      <c r="B10850" t="str">
        <f>TEST_DATA!B10850</f>
        <v>Jun-2019</v>
      </c>
      <c r="C10850">
        <f>TEST_DATA!C10850</f>
        <v>45363</v>
      </c>
      <c r="D10850" t="str">
        <f>TEST_DATA!D10850</f>
        <v>NON-NIL</v>
      </c>
      <c r="E10850">
        <f>TEST_DATA!E10850</f>
        <v>56</v>
      </c>
    </row>
    <row r="10851" spans="1:5" x14ac:dyDescent="0.55000000000000004">
      <c r="A10851" t="str">
        <f>TEST_DATA!A10851</f>
        <v>27AAAAA10851Z5</v>
      </c>
      <c r="B10851" t="str">
        <f>TEST_DATA!B10851</f>
        <v>Feb-2018</v>
      </c>
      <c r="C10851">
        <f>TEST_DATA!C10851</f>
        <v>43413</v>
      </c>
      <c r="D10851" t="str">
        <f>TEST_DATA!D10851</f>
        <v>NIL</v>
      </c>
      <c r="E10851">
        <f>TEST_DATA!E10851</f>
        <v>1336</v>
      </c>
    </row>
    <row r="10852" spans="1:5" x14ac:dyDescent="0.55000000000000004">
      <c r="A10852" t="str">
        <f>TEST_DATA!A10852</f>
        <v>27AAAAA10852Z5</v>
      </c>
      <c r="B10852" t="str">
        <f>TEST_DATA!B10852</f>
        <v>Sep-2018</v>
      </c>
      <c r="C10852">
        <f>TEST_DATA!C10852</f>
        <v>44507</v>
      </c>
      <c r="D10852" t="str">
        <f>TEST_DATA!D10852</f>
        <v>NIL</v>
      </c>
      <c r="E10852">
        <f>TEST_DATA!E10852</f>
        <v>2838</v>
      </c>
    </row>
    <row r="10853" spans="1:5" x14ac:dyDescent="0.55000000000000004">
      <c r="A10853" t="str">
        <f>TEST_DATA!A10853</f>
        <v>27AAAAA10853Z5</v>
      </c>
      <c r="B10853" t="str">
        <f>TEST_DATA!B10853</f>
        <v>Apr-2018</v>
      </c>
      <c r="C10853">
        <f>TEST_DATA!C10853</f>
        <v>44267</v>
      </c>
      <c r="D10853" t="str">
        <f>TEST_DATA!D10853</f>
        <v>NON-NIL</v>
      </c>
      <c r="E10853">
        <f>TEST_DATA!E10853</f>
        <v>918</v>
      </c>
    </row>
    <row r="10854" spans="1:5" x14ac:dyDescent="0.55000000000000004">
      <c r="A10854" t="str">
        <f>TEST_DATA!A10854</f>
        <v>27AAAAA10854Z5</v>
      </c>
      <c r="B10854" t="str">
        <f>TEST_DATA!B10854</f>
        <v>Apr-2021</v>
      </c>
      <c r="C10854">
        <f>TEST_DATA!C10854</f>
        <v>43585</v>
      </c>
      <c r="D10854" t="str">
        <f>TEST_DATA!D10854</f>
        <v>NON-NIL</v>
      </c>
      <c r="E10854">
        <f>TEST_DATA!E10854</f>
        <v>1000</v>
      </c>
    </row>
    <row r="10855" spans="1:5" x14ac:dyDescent="0.55000000000000004">
      <c r="A10855" t="str">
        <f>TEST_DATA!A10855</f>
        <v>27AAAAA10855Z5</v>
      </c>
      <c r="B10855" t="str">
        <f>TEST_DATA!B10855</f>
        <v>Nov-2017</v>
      </c>
      <c r="C10855">
        <f>TEST_DATA!C10855</f>
        <v>43547</v>
      </c>
      <c r="D10855" t="str">
        <f>TEST_DATA!D10855</f>
        <v>NON-NIL</v>
      </c>
      <c r="E10855">
        <f>TEST_DATA!E10855</f>
        <v>2700</v>
      </c>
    </row>
    <row r="10856" spans="1:5" x14ac:dyDescent="0.55000000000000004">
      <c r="A10856" t="str">
        <f>TEST_DATA!A10856</f>
        <v>27AAAAA10856Z5</v>
      </c>
      <c r="B10856" t="str">
        <f>TEST_DATA!B10856</f>
        <v>Aug-2018</v>
      </c>
      <c r="C10856">
        <f>TEST_DATA!C10856</f>
        <v>44499</v>
      </c>
      <c r="D10856" t="str">
        <f>TEST_DATA!D10856</f>
        <v>NON-NIL</v>
      </c>
      <c r="E10856">
        <f>TEST_DATA!E10856</f>
        <v>2692</v>
      </c>
    </row>
    <row r="10857" spans="1:5" x14ac:dyDescent="0.55000000000000004">
      <c r="A10857" t="str">
        <f>TEST_DATA!A10857</f>
        <v>27AAAAA10857Z5</v>
      </c>
      <c r="B10857" t="str">
        <f>TEST_DATA!B10857</f>
        <v>Dec-2024</v>
      </c>
      <c r="C10857">
        <f>TEST_DATA!C10857</f>
        <v>44516</v>
      </c>
      <c r="D10857" t="str">
        <f>TEST_DATA!D10857</f>
        <v>NIL</v>
      </c>
      <c r="E10857">
        <f>TEST_DATA!E10857</f>
        <v>875</v>
      </c>
    </row>
    <row r="10858" spans="1:5" x14ac:dyDescent="0.55000000000000004">
      <c r="A10858" t="str">
        <f>TEST_DATA!A10858</f>
        <v>27AAAAA10858Z5</v>
      </c>
      <c r="B10858" t="str">
        <f>TEST_DATA!B10858</f>
        <v>May-2020</v>
      </c>
      <c r="C10858">
        <f>TEST_DATA!C10858</f>
        <v>43947</v>
      </c>
      <c r="D10858" t="str">
        <f>TEST_DATA!D10858</f>
        <v>NON-NIL</v>
      </c>
      <c r="E10858">
        <f>TEST_DATA!E10858</f>
        <v>932</v>
      </c>
    </row>
    <row r="10859" spans="1:5" x14ac:dyDescent="0.55000000000000004">
      <c r="A10859" t="str">
        <f>TEST_DATA!A10859</f>
        <v>27AAAAA10859Z5</v>
      </c>
      <c r="B10859" t="str">
        <f>TEST_DATA!B10859</f>
        <v>Jun-2019</v>
      </c>
      <c r="C10859">
        <f>TEST_DATA!C10859</f>
        <v>43880</v>
      </c>
      <c r="D10859" t="str">
        <f>TEST_DATA!D10859</f>
        <v>NON-NIL</v>
      </c>
      <c r="E10859">
        <f>TEST_DATA!E10859</f>
        <v>1811</v>
      </c>
    </row>
    <row r="10860" spans="1:5" x14ac:dyDescent="0.55000000000000004">
      <c r="A10860" t="str">
        <f>TEST_DATA!A10860</f>
        <v>27AAAAA10860Z5</v>
      </c>
      <c r="B10860" t="str">
        <f>TEST_DATA!B10860</f>
        <v>Apr-2020</v>
      </c>
      <c r="C10860">
        <f>TEST_DATA!C10860</f>
        <v>44855</v>
      </c>
      <c r="D10860" t="str">
        <f>TEST_DATA!D10860</f>
        <v>NIL</v>
      </c>
      <c r="E10860">
        <f>TEST_DATA!E10860</f>
        <v>1069</v>
      </c>
    </row>
    <row r="10861" spans="1:5" x14ac:dyDescent="0.55000000000000004">
      <c r="A10861" t="str">
        <f>TEST_DATA!A10861</f>
        <v>27AAAAA10861Z5</v>
      </c>
      <c r="B10861" t="str">
        <f>TEST_DATA!B10861</f>
        <v>Jul-2018</v>
      </c>
      <c r="C10861">
        <f>TEST_DATA!C10861</f>
        <v>44091</v>
      </c>
      <c r="D10861" t="str">
        <f>TEST_DATA!D10861</f>
        <v>NIL</v>
      </c>
      <c r="E10861">
        <f>TEST_DATA!E10861</f>
        <v>1161</v>
      </c>
    </row>
    <row r="10862" spans="1:5" x14ac:dyDescent="0.55000000000000004">
      <c r="A10862" t="str">
        <f>TEST_DATA!A10862</f>
        <v>27AAAAA10862Z5</v>
      </c>
      <c r="B10862" t="str">
        <f>TEST_DATA!B10862</f>
        <v>Sep-2018</v>
      </c>
      <c r="C10862">
        <f>TEST_DATA!C10862</f>
        <v>42962</v>
      </c>
      <c r="D10862" t="str">
        <f>TEST_DATA!D10862</f>
        <v>NON-NIL</v>
      </c>
      <c r="E10862">
        <f>TEST_DATA!E10862</f>
        <v>2160</v>
      </c>
    </row>
    <row r="10863" spans="1:5" x14ac:dyDescent="0.55000000000000004">
      <c r="A10863" t="str">
        <f>TEST_DATA!A10863</f>
        <v>27AAAAA10863Z5</v>
      </c>
      <c r="B10863" t="str">
        <f>TEST_DATA!B10863</f>
        <v>Oct-2017</v>
      </c>
      <c r="C10863">
        <f>TEST_DATA!C10863</f>
        <v>43132</v>
      </c>
      <c r="D10863" t="str">
        <f>TEST_DATA!D10863</f>
        <v>NIL</v>
      </c>
      <c r="E10863">
        <f>TEST_DATA!E10863</f>
        <v>242</v>
      </c>
    </row>
    <row r="10864" spans="1:5" x14ac:dyDescent="0.55000000000000004">
      <c r="A10864" t="str">
        <f>TEST_DATA!A10864</f>
        <v>27AAAAA10864Z5</v>
      </c>
      <c r="B10864" t="str">
        <f>TEST_DATA!B10864</f>
        <v>Sep-2017</v>
      </c>
      <c r="C10864">
        <f>TEST_DATA!C10864</f>
        <v>43964</v>
      </c>
      <c r="D10864" t="str">
        <f>TEST_DATA!D10864</f>
        <v>NON-NIL</v>
      </c>
      <c r="E10864">
        <f>TEST_DATA!E10864</f>
        <v>1181</v>
      </c>
    </row>
    <row r="10865" spans="1:5" x14ac:dyDescent="0.55000000000000004">
      <c r="A10865" t="str">
        <f>TEST_DATA!A10865</f>
        <v>27AAAAA10865Z5</v>
      </c>
      <c r="B10865" t="str">
        <f>TEST_DATA!B10865</f>
        <v>Feb-2018</v>
      </c>
      <c r="C10865">
        <f>TEST_DATA!C10865</f>
        <v>43195</v>
      </c>
      <c r="D10865" t="str">
        <f>TEST_DATA!D10865</f>
        <v>NIL</v>
      </c>
      <c r="E10865">
        <f>TEST_DATA!E10865</f>
        <v>342</v>
      </c>
    </row>
    <row r="10866" spans="1:5" x14ac:dyDescent="0.55000000000000004">
      <c r="A10866" t="str">
        <f>TEST_DATA!A10866</f>
        <v>27AAAAA10866Z5</v>
      </c>
      <c r="B10866" t="str">
        <f>TEST_DATA!B10866</f>
        <v>Dec-2022</v>
      </c>
      <c r="C10866">
        <f>TEST_DATA!C10866</f>
        <v>44548</v>
      </c>
      <c r="D10866" t="str">
        <f>TEST_DATA!D10866</f>
        <v>NON-NIL</v>
      </c>
      <c r="E10866">
        <f>TEST_DATA!E10866</f>
        <v>2823</v>
      </c>
    </row>
    <row r="10867" spans="1:5" x14ac:dyDescent="0.55000000000000004">
      <c r="A10867" t="str">
        <f>TEST_DATA!A10867</f>
        <v>27AAAAA10867Z5</v>
      </c>
      <c r="B10867" t="str">
        <f>TEST_DATA!B10867</f>
        <v>Jul-2018</v>
      </c>
      <c r="C10867">
        <f>TEST_DATA!C10867</f>
        <v>43678</v>
      </c>
      <c r="D10867" t="str">
        <f>TEST_DATA!D10867</f>
        <v>NIL</v>
      </c>
      <c r="E10867">
        <f>TEST_DATA!E10867</f>
        <v>2089</v>
      </c>
    </row>
    <row r="10868" spans="1:5" x14ac:dyDescent="0.55000000000000004">
      <c r="A10868" t="str">
        <f>TEST_DATA!A10868</f>
        <v>27AAAAA10868Z5</v>
      </c>
      <c r="B10868" t="str">
        <f>TEST_DATA!B10868</f>
        <v>Apr-2021</v>
      </c>
      <c r="C10868">
        <f>TEST_DATA!C10868</f>
        <v>43976</v>
      </c>
      <c r="D10868" t="str">
        <f>TEST_DATA!D10868</f>
        <v>NIL</v>
      </c>
      <c r="E10868">
        <f>TEST_DATA!E10868</f>
        <v>1899</v>
      </c>
    </row>
    <row r="10869" spans="1:5" x14ac:dyDescent="0.55000000000000004">
      <c r="A10869" t="str">
        <f>TEST_DATA!A10869</f>
        <v>27AAAAA10869Z5</v>
      </c>
      <c r="B10869" t="str">
        <f>TEST_DATA!B10869</f>
        <v>Jun-2018</v>
      </c>
      <c r="C10869">
        <f>TEST_DATA!C10869</f>
        <v>44134</v>
      </c>
      <c r="D10869" t="str">
        <f>TEST_DATA!D10869</f>
        <v>NIL</v>
      </c>
      <c r="E10869">
        <f>TEST_DATA!E10869</f>
        <v>1944</v>
      </c>
    </row>
    <row r="10870" spans="1:5" x14ac:dyDescent="0.55000000000000004">
      <c r="A10870" t="str">
        <f>TEST_DATA!A10870</f>
        <v>27AAAAA10870Z5</v>
      </c>
      <c r="B10870" t="str">
        <f>TEST_DATA!B10870</f>
        <v>Aug-2017</v>
      </c>
      <c r="C10870">
        <f>TEST_DATA!C10870</f>
        <v>42961</v>
      </c>
      <c r="D10870" t="str">
        <f>TEST_DATA!D10870</f>
        <v>NIL</v>
      </c>
      <c r="E10870">
        <f>TEST_DATA!E10870</f>
        <v>1110</v>
      </c>
    </row>
    <row r="10871" spans="1:5" x14ac:dyDescent="0.55000000000000004">
      <c r="A10871" t="str">
        <f>TEST_DATA!A10871</f>
        <v>27AAAAA10871Z5</v>
      </c>
      <c r="B10871" t="str">
        <f>TEST_DATA!B10871</f>
        <v>Feb-2018</v>
      </c>
      <c r="C10871">
        <f>TEST_DATA!C10871</f>
        <v>44471</v>
      </c>
      <c r="D10871" t="str">
        <f>TEST_DATA!D10871</f>
        <v>NON-NIL</v>
      </c>
      <c r="E10871">
        <f>TEST_DATA!E10871</f>
        <v>1109</v>
      </c>
    </row>
    <row r="10872" spans="1:5" x14ac:dyDescent="0.55000000000000004">
      <c r="A10872" t="str">
        <f>TEST_DATA!A10872</f>
        <v>27AAAAA10872Z5</v>
      </c>
      <c r="B10872" t="str">
        <f>TEST_DATA!B10872</f>
        <v>Jan-2018</v>
      </c>
      <c r="C10872">
        <f>TEST_DATA!C10872</f>
        <v>44409</v>
      </c>
      <c r="D10872" t="str">
        <f>TEST_DATA!D10872</f>
        <v>NIL</v>
      </c>
      <c r="E10872">
        <f>TEST_DATA!E10872</f>
        <v>1450</v>
      </c>
    </row>
    <row r="10873" spans="1:5" x14ac:dyDescent="0.55000000000000004">
      <c r="A10873" t="str">
        <f>TEST_DATA!A10873</f>
        <v>27AAAAA10873Z5</v>
      </c>
      <c r="B10873" t="str">
        <f>TEST_DATA!B10873</f>
        <v>Dec-2024</v>
      </c>
      <c r="C10873">
        <f>TEST_DATA!C10873</f>
        <v>45027</v>
      </c>
      <c r="D10873" t="str">
        <f>TEST_DATA!D10873</f>
        <v>NON-NIL</v>
      </c>
      <c r="E10873">
        <f>TEST_DATA!E10873</f>
        <v>1212</v>
      </c>
    </row>
    <row r="10874" spans="1:5" x14ac:dyDescent="0.55000000000000004">
      <c r="A10874" t="str">
        <f>TEST_DATA!A10874</f>
        <v>27AAAAA10874Z5</v>
      </c>
      <c r="B10874" t="str">
        <f>TEST_DATA!B10874</f>
        <v>Jul-2017</v>
      </c>
      <c r="C10874">
        <f>TEST_DATA!C10874</f>
        <v>44543</v>
      </c>
      <c r="D10874" t="str">
        <f>TEST_DATA!D10874</f>
        <v>NON-NIL</v>
      </c>
      <c r="E10874">
        <f>TEST_DATA!E10874</f>
        <v>860</v>
      </c>
    </row>
    <row r="10875" spans="1:5" x14ac:dyDescent="0.55000000000000004">
      <c r="A10875" t="str">
        <f>TEST_DATA!A10875</f>
        <v>27AAAAA10875Z5</v>
      </c>
      <c r="B10875" t="str">
        <f>TEST_DATA!B10875</f>
        <v>Jul-2018</v>
      </c>
      <c r="C10875">
        <f>TEST_DATA!C10875</f>
        <v>43199</v>
      </c>
      <c r="D10875" t="str">
        <f>TEST_DATA!D10875</f>
        <v>NON-NIL</v>
      </c>
      <c r="E10875">
        <f>TEST_DATA!E10875</f>
        <v>374</v>
      </c>
    </row>
    <row r="10876" spans="1:5" x14ac:dyDescent="0.55000000000000004">
      <c r="A10876" t="str">
        <f>TEST_DATA!A10876</f>
        <v>27AAAAA10876Z5</v>
      </c>
      <c r="B10876" t="str">
        <f>TEST_DATA!B10876</f>
        <v>Dec-2024</v>
      </c>
      <c r="C10876">
        <f>TEST_DATA!C10876</f>
        <v>44100</v>
      </c>
      <c r="D10876" t="str">
        <f>TEST_DATA!D10876</f>
        <v>NIL</v>
      </c>
      <c r="E10876">
        <f>TEST_DATA!E10876</f>
        <v>505</v>
      </c>
    </row>
    <row r="10877" spans="1:5" x14ac:dyDescent="0.55000000000000004">
      <c r="A10877" t="str">
        <f>TEST_DATA!A10877</f>
        <v>27AAAAA10877Z5</v>
      </c>
      <c r="B10877" t="str">
        <f>TEST_DATA!B10877</f>
        <v>Sep-2017</v>
      </c>
      <c r="C10877">
        <f>TEST_DATA!C10877</f>
        <v>43606</v>
      </c>
      <c r="D10877" t="str">
        <f>TEST_DATA!D10877</f>
        <v>NON-NIL</v>
      </c>
      <c r="E10877">
        <f>TEST_DATA!E10877</f>
        <v>447</v>
      </c>
    </row>
    <row r="10878" spans="1:5" x14ac:dyDescent="0.55000000000000004">
      <c r="A10878" t="str">
        <f>TEST_DATA!A10878</f>
        <v>27AAAAA10878Z5</v>
      </c>
      <c r="B10878" t="str">
        <f>TEST_DATA!B10878</f>
        <v>May-2020</v>
      </c>
      <c r="C10878">
        <f>TEST_DATA!C10878</f>
        <v>43967</v>
      </c>
      <c r="D10878" t="str">
        <f>TEST_DATA!D10878</f>
        <v>NIL</v>
      </c>
      <c r="E10878">
        <f>TEST_DATA!E10878</f>
        <v>2424</v>
      </c>
    </row>
    <row r="10879" spans="1:5" x14ac:dyDescent="0.55000000000000004">
      <c r="A10879" t="str">
        <f>TEST_DATA!A10879</f>
        <v>27AAAAA10879Z5</v>
      </c>
      <c r="B10879" t="str">
        <f>TEST_DATA!B10879</f>
        <v>Dec-2022</v>
      </c>
      <c r="C10879">
        <f>TEST_DATA!C10879</f>
        <v>43576</v>
      </c>
      <c r="D10879" t="str">
        <f>TEST_DATA!D10879</f>
        <v>NIL</v>
      </c>
      <c r="E10879">
        <f>TEST_DATA!E10879</f>
        <v>113</v>
      </c>
    </row>
    <row r="10880" spans="1:5" x14ac:dyDescent="0.55000000000000004">
      <c r="A10880" t="str">
        <f>TEST_DATA!A10880</f>
        <v>27AAAAA10880Z5</v>
      </c>
      <c r="B10880" t="str">
        <f>TEST_DATA!B10880</f>
        <v>Jul-2018</v>
      </c>
      <c r="C10880">
        <f>TEST_DATA!C10880</f>
        <v>42940</v>
      </c>
      <c r="D10880" t="str">
        <f>TEST_DATA!D10880</f>
        <v>NON-NIL</v>
      </c>
      <c r="E10880">
        <f>TEST_DATA!E10880</f>
        <v>419</v>
      </c>
    </row>
    <row r="10881" spans="1:5" x14ac:dyDescent="0.55000000000000004">
      <c r="A10881" t="str">
        <f>TEST_DATA!A10881</f>
        <v>27AAAAA10881Z5</v>
      </c>
      <c r="B10881" t="str">
        <f>TEST_DATA!B10881</f>
        <v>Feb-2018</v>
      </c>
      <c r="C10881">
        <f>TEST_DATA!C10881</f>
        <v>44426</v>
      </c>
      <c r="D10881" t="str">
        <f>TEST_DATA!D10881</f>
        <v>NON-NIL</v>
      </c>
      <c r="E10881">
        <f>TEST_DATA!E10881</f>
        <v>2660</v>
      </c>
    </row>
    <row r="10882" spans="1:5" x14ac:dyDescent="0.55000000000000004">
      <c r="A10882" t="str">
        <f>TEST_DATA!A10882</f>
        <v>27AAAAA10882Z5</v>
      </c>
      <c r="B10882" t="str">
        <f>TEST_DATA!B10882</f>
        <v>Mar-2020</v>
      </c>
      <c r="C10882">
        <f>TEST_DATA!C10882</f>
        <v>44248</v>
      </c>
      <c r="D10882" t="str">
        <f>TEST_DATA!D10882</f>
        <v>NIL</v>
      </c>
      <c r="E10882">
        <f>TEST_DATA!E10882</f>
        <v>135</v>
      </c>
    </row>
    <row r="10883" spans="1:5" x14ac:dyDescent="0.55000000000000004">
      <c r="A10883" t="str">
        <f>TEST_DATA!A10883</f>
        <v>27AAAAA10883Z5</v>
      </c>
      <c r="B10883" t="str">
        <f>TEST_DATA!B10883</f>
        <v>Jun-2018</v>
      </c>
      <c r="C10883">
        <f>TEST_DATA!C10883</f>
        <v>43180</v>
      </c>
      <c r="D10883" t="str">
        <f>TEST_DATA!D10883</f>
        <v>NIL</v>
      </c>
      <c r="E10883">
        <f>TEST_DATA!E10883</f>
        <v>308</v>
      </c>
    </row>
    <row r="10884" spans="1:5" x14ac:dyDescent="0.55000000000000004">
      <c r="A10884" t="str">
        <f>TEST_DATA!A10884</f>
        <v>27AAAAA10884Z5</v>
      </c>
      <c r="B10884" t="str">
        <f>TEST_DATA!B10884</f>
        <v>Jun-2020</v>
      </c>
      <c r="C10884">
        <f>TEST_DATA!C10884</f>
        <v>44464</v>
      </c>
      <c r="D10884" t="str">
        <f>TEST_DATA!D10884</f>
        <v>NON-NIL</v>
      </c>
      <c r="E10884">
        <f>TEST_DATA!E10884</f>
        <v>671</v>
      </c>
    </row>
    <row r="10885" spans="1:5" x14ac:dyDescent="0.55000000000000004">
      <c r="A10885" t="str">
        <f>TEST_DATA!A10885</f>
        <v>27AAAAA10885Z5</v>
      </c>
      <c r="B10885" t="str">
        <f>TEST_DATA!B10885</f>
        <v>May-2020</v>
      </c>
      <c r="C10885">
        <f>TEST_DATA!C10885</f>
        <v>44699</v>
      </c>
      <c r="D10885" t="str">
        <f>TEST_DATA!D10885</f>
        <v>NON-NIL</v>
      </c>
      <c r="E10885">
        <f>TEST_DATA!E10885</f>
        <v>2678</v>
      </c>
    </row>
    <row r="10886" spans="1:5" x14ac:dyDescent="0.55000000000000004">
      <c r="A10886" t="str">
        <f>TEST_DATA!A10886</f>
        <v>27AAAAA10886Z5</v>
      </c>
      <c r="B10886" t="str">
        <f>TEST_DATA!B10886</f>
        <v>Feb-2018</v>
      </c>
      <c r="C10886">
        <f>TEST_DATA!C10886</f>
        <v>44449</v>
      </c>
      <c r="D10886" t="str">
        <f>TEST_DATA!D10886</f>
        <v>NON-NIL</v>
      </c>
      <c r="E10886">
        <f>TEST_DATA!E10886</f>
        <v>819</v>
      </c>
    </row>
    <row r="10887" spans="1:5" x14ac:dyDescent="0.55000000000000004">
      <c r="A10887" t="str">
        <f>TEST_DATA!A10887</f>
        <v>27AAAAA10887Z5</v>
      </c>
      <c r="B10887" t="str">
        <f>TEST_DATA!B10887</f>
        <v>Dec-2019</v>
      </c>
      <c r="C10887">
        <f>TEST_DATA!C10887</f>
        <v>44553</v>
      </c>
      <c r="D10887" t="str">
        <f>TEST_DATA!D10887</f>
        <v>NIL</v>
      </c>
      <c r="E10887">
        <f>TEST_DATA!E10887</f>
        <v>1294</v>
      </c>
    </row>
    <row r="10888" spans="1:5" x14ac:dyDescent="0.55000000000000004">
      <c r="A10888" t="str">
        <f>TEST_DATA!A10888</f>
        <v>27AAAAA10888Z5</v>
      </c>
      <c r="B10888" t="str">
        <f>TEST_DATA!B10888</f>
        <v>Mar-2021</v>
      </c>
      <c r="C10888">
        <f>TEST_DATA!C10888</f>
        <v>45204</v>
      </c>
      <c r="D10888" t="str">
        <f>TEST_DATA!D10888</f>
        <v>NIL</v>
      </c>
      <c r="E10888">
        <f>TEST_DATA!E10888</f>
        <v>506</v>
      </c>
    </row>
    <row r="10889" spans="1:5" x14ac:dyDescent="0.55000000000000004">
      <c r="A10889" t="str">
        <f>TEST_DATA!A10889</f>
        <v>27AAAAA10889Z5</v>
      </c>
      <c r="B10889" t="str">
        <f>TEST_DATA!B10889</f>
        <v>Dec-2022</v>
      </c>
      <c r="C10889">
        <f>TEST_DATA!C10889</f>
        <v>45142</v>
      </c>
      <c r="D10889" t="str">
        <f>TEST_DATA!D10889</f>
        <v>NIL</v>
      </c>
      <c r="E10889">
        <f>TEST_DATA!E10889</f>
        <v>2807</v>
      </c>
    </row>
    <row r="10890" spans="1:5" x14ac:dyDescent="0.55000000000000004">
      <c r="A10890" t="str">
        <f>TEST_DATA!A10890</f>
        <v>27AAAAA10890Z5</v>
      </c>
      <c r="B10890" t="str">
        <f>TEST_DATA!B10890</f>
        <v>May-2018</v>
      </c>
      <c r="C10890">
        <f>TEST_DATA!C10890</f>
        <v>44285</v>
      </c>
      <c r="D10890" t="str">
        <f>TEST_DATA!D10890</f>
        <v>NON-NIL</v>
      </c>
      <c r="E10890">
        <f>TEST_DATA!E10890</f>
        <v>1106</v>
      </c>
    </row>
    <row r="10891" spans="1:5" x14ac:dyDescent="0.55000000000000004">
      <c r="A10891" t="str">
        <f>TEST_DATA!A10891</f>
        <v>27AAAAA10891Z5</v>
      </c>
      <c r="B10891" t="str">
        <f>TEST_DATA!B10891</f>
        <v>Jan-2021</v>
      </c>
      <c r="C10891">
        <f>TEST_DATA!C10891</f>
        <v>44046</v>
      </c>
      <c r="D10891" t="str">
        <f>TEST_DATA!D10891</f>
        <v>NON-NIL</v>
      </c>
      <c r="E10891">
        <f>TEST_DATA!E10891</f>
        <v>2874</v>
      </c>
    </row>
    <row r="10892" spans="1:5" x14ac:dyDescent="0.55000000000000004">
      <c r="A10892" t="str">
        <f>TEST_DATA!A10892</f>
        <v>27AAAAA10892Z5</v>
      </c>
      <c r="B10892" t="str">
        <f>TEST_DATA!B10892</f>
        <v>Sep-2017</v>
      </c>
      <c r="C10892">
        <f>TEST_DATA!C10892</f>
        <v>44010</v>
      </c>
      <c r="D10892" t="str">
        <f>TEST_DATA!D10892</f>
        <v>NON-NIL</v>
      </c>
      <c r="E10892">
        <f>TEST_DATA!E10892</f>
        <v>1349</v>
      </c>
    </row>
    <row r="10893" spans="1:5" x14ac:dyDescent="0.55000000000000004">
      <c r="A10893" t="str">
        <f>TEST_DATA!A10893</f>
        <v>27AAAAA10893Z5</v>
      </c>
      <c r="B10893" t="str">
        <f>TEST_DATA!B10893</f>
        <v>May-2018</v>
      </c>
      <c r="C10893">
        <f>TEST_DATA!C10893</f>
        <v>43346</v>
      </c>
      <c r="D10893" t="str">
        <f>TEST_DATA!D10893</f>
        <v>NON-NIL</v>
      </c>
      <c r="E10893">
        <f>TEST_DATA!E10893</f>
        <v>1297</v>
      </c>
    </row>
    <row r="10894" spans="1:5" x14ac:dyDescent="0.55000000000000004">
      <c r="A10894" t="str">
        <f>TEST_DATA!A10894</f>
        <v>27AAAAA10894Z5</v>
      </c>
      <c r="B10894" t="str">
        <f>TEST_DATA!B10894</f>
        <v>Dec-2019</v>
      </c>
      <c r="C10894">
        <f>TEST_DATA!C10894</f>
        <v>44097</v>
      </c>
      <c r="D10894" t="str">
        <f>TEST_DATA!D10894</f>
        <v>NON-NIL</v>
      </c>
      <c r="E10894">
        <f>TEST_DATA!E10894</f>
        <v>2170</v>
      </c>
    </row>
    <row r="10895" spans="1:5" x14ac:dyDescent="0.55000000000000004">
      <c r="A10895" t="str">
        <f>TEST_DATA!A10895</f>
        <v>27AAAAA10895Z5</v>
      </c>
      <c r="B10895" t="str">
        <f>TEST_DATA!B10895</f>
        <v>Nov-2017</v>
      </c>
      <c r="C10895">
        <f>TEST_DATA!C10895</f>
        <v>44391</v>
      </c>
      <c r="D10895" t="str">
        <f>TEST_DATA!D10895</f>
        <v>NON-NIL</v>
      </c>
      <c r="E10895">
        <f>TEST_DATA!E10895</f>
        <v>245</v>
      </c>
    </row>
    <row r="10896" spans="1:5" x14ac:dyDescent="0.55000000000000004">
      <c r="A10896" t="str">
        <f>TEST_DATA!A10896</f>
        <v>27AAAAA10896Z5</v>
      </c>
      <c r="B10896" t="str">
        <f>TEST_DATA!B10896</f>
        <v>Dec-2019</v>
      </c>
      <c r="C10896">
        <f>TEST_DATA!C10896</f>
        <v>43902</v>
      </c>
      <c r="D10896" t="str">
        <f>TEST_DATA!D10896</f>
        <v>NON-NIL</v>
      </c>
      <c r="E10896">
        <f>TEST_DATA!E10896</f>
        <v>2506</v>
      </c>
    </row>
    <row r="10897" spans="1:5" x14ac:dyDescent="0.55000000000000004">
      <c r="A10897" t="str">
        <f>TEST_DATA!A10897</f>
        <v>27AAAAA10897Z5</v>
      </c>
      <c r="B10897" t="str">
        <f>TEST_DATA!B10897</f>
        <v>Mar-2020</v>
      </c>
      <c r="C10897">
        <f>TEST_DATA!C10897</f>
        <v>44467</v>
      </c>
      <c r="D10897" t="str">
        <f>TEST_DATA!D10897</f>
        <v>NIL</v>
      </c>
      <c r="E10897">
        <f>TEST_DATA!E10897</f>
        <v>749</v>
      </c>
    </row>
    <row r="10898" spans="1:5" x14ac:dyDescent="0.55000000000000004">
      <c r="A10898" t="str">
        <f>TEST_DATA!A10898</f>
        <v>27AAAAA10898Z5</v>
      </c>
      <c r="B10898" t="str">
        <f>TEST_DATA!B10898</f>
        <v>Apr-2021</v>
      </c>
      <c r="C10898">
        <f>TEST_DATA!C10898</f>
        <v>44250</v>
      </c>
      <c r="D10898" t="str">
        <f>TEST_DATA!D10898</f>
        <v>NIL</v>
      </c>
      <c r="E10898">
        <f>TEST_DATA!E10898</f>
        <v>798</v>
      </c>
    </row>
    <row r="10899" spans="1:5" x14ac:dyDescent="0.55000000000000004">
      <c r="A10899" t="str">
        <f>TEST_DATA!A10899</f>
        <v>27AAAAA10899Z5</v>
      </c>
      <c r="B10899" t="str">
        <f>TEST_DATA!B10899</f>
        <v>Jun-2018</v>
      </c>
      <c r="C10899">
        <f>TEST_DATA!C10899</f>
        <v>44053</v>
      </c>
      <c r="D10899" t="str">
        <f>TEST_DATA!D10899</f>
        <v>NON-NIL</v>
      </c>
      <c r="E10899">
        <f>TEST_DATA!E10899</f>
        <v>2429</v>
      </c>
    </row>
    <row r="10900" spans="1:5" x14ac:dyDescent="0.55000000000000004">
      <c r="A10900" t="str">
        <f>TEST_DATA!A10900</f>
        <v>27AAAAA10900Z5</v>
      </c>
      <c r="B10900" t="str">
        <f>TEST_DATA!B10900</f>
        <v>Feb-2018</v>
      </c>
      <c r="C10900">
        <f>TEST_DATA!C10900</f>
        <v>43629</v>
      </c>
      <c r="D10900" t="str">
        <f>TEST_DATA!D10900</f>
        <v>NIL</v>
      </c>
      <c r="E10900">
        <f>TEST_DATA!E10900</f>
        <v>2841</v>
      </c>
    </row>
    <row r="10901" spans="1:5" x14ac:dyDescent="0.55000000000000004">
      <c r="A10901" t="str">
        <f>TEST_DATA!A10901</f>
        <v>27AAAAA10901Z5</v>
      </c>
      <c r="B10901" t="str">
        <f>TEST_DATA!B10901</f>
        <v>Jan-2018</v>
      </c>
      <c r="C10901">
        <f>TEST_DATA!C10901</f>
        <v>44288</v>
      </c>
      <c r="D10901" t="str">
        <f>TEST_DATA!D10901</f>
        <v>NON-NIL</v>
      </c>
      <c r="E10901">
        <f>TEST_DATA!E10901</f>
        <v>2641</v>
      </c>
    </row>
    <row r="10902" spans="1:5" x14ac:dyDescent="0.55000000000000004">
      <c r="A10902" t="str">
        <f>TEST_DATA!A10902</f>
        <v>27AAAAA10902Z5</v>
      </c>
      <c r="B10902" t="str">
        <f>TEST_DATA!B10902</f>
        <v>Dec-2017</v>
      </c>
      <c r="C10902">
        <f>TEST_DATA!C10902</f>
        <v>43957</v>
      </c>
      <c r="D10902" t="str">
        <f>TEST_DATA!D10902</f>
        <v>NIL</v>
      </c>
      <c r="E10902">
        <f>TEST_DATA!E10902</f>
        <v>1376</v>
      </c>
    </row>
    <row r="10903" spans="1:5" x14ac:dyDescent="0.55000000000000004">
      <c r="A10903" t="str">
        <f>TEST_DATA!A10903</f>
        <v>27AAAAA10903Z5</v>
      </c>
      <c r="B10903" t="str">
        <f>TEST_DATA!B10903</f>
        <v>Jul-2017</v>
      </c>
      <c r="C10903">
        <f>TEST_DATA!C10903</f>
        <v>43932</v>
      </c>
      <c r="D10903" t="str">
        <f>TEST_DATA!D10903</f>
        <v>NON-NIL</v>
      </c>
      <c r="E10903">
        <f>TEST_DATA!E10903</f>
        <v>186</v>
      </c>
    </row>
    <row r="10904" spans="1:5" x14ac:dyDescent="0.55000000000000004">
      <c r="A10904" t="str">
        <f>TEST_DATA!A10904</f>
        <v>27AAAAA10904Z5</v>
      </c>
      <c r="B10904" t="str">
        <f>TEST_DATA!B10904</f>
        <v>Mar-2023</v>
      </c>
      <c r="C10904">
        <f>TEST_DATA!C10904</f>
        <v>45502</v>
      </c>
      <c r="D10904" t="str">
        <f>TEST_DATA!D10904</f>
        <v>NIL</v>
      </c>
      <c r="E10904">
        <f>TEST_DATA!E10904</f>
        <v>2399</v>
      </c>
    </row>
    <row r="10905" spans="1:5" x14ac:dyDescent="0.55000000000000004">
      <c r="A10905" t="str">
        <f>TEST_DATA!A10905</f>
        <v>27AAAAA10905Z5</v>
      </c>
      <c r="B10905" t="str">
        <f>TEST_DATA!B10905</f>
        <v>Jun-2020</v>
      </c>
      <c r="C10905">
        <f>TEST_DATA!C10905</f>
        <v>44754</v>
      </c>
      <c r="D10905" t="str">
        <f>TEST_DATA!D10905</f>
        <v>NIL</v>
      </c>
      <c r="E10905">
        <f>TEST_DATA!E10905</f>
        <v>1477</v>
      </c>
    </row>
    <row r="10906" spans="1:5" x14ac:dyDescent="0.55000000000000004">
      <c r="A10906" t="str">
        <f>TEST_DATA!A10906</f>
        <v>27AAAAA10906Z5</v>
      </c>
      <c r="B10906" t="str">
        <f>TEST_DATA!B10906</f>
        <v>Mar-2018</v>
      </c>
      <c r="C10906">
        <f>TEST_DATA!C10906</f>
        <v>44531</v>
      </c>
      <c r="D10906" t="str">
        <f>TEST_DATA!D10906</f>
        <v>NON-NIL</v>
      </c>
      <c r="E10906">
        <f>TEST_DATA!E10906</f>
        <v>538</v>
      </c>
    </row>
    <row r="10907" spans="1:5" x14ac:dyDescent="0.55000000000000004">
      <c r="A10907" t="str">
        <f>TEST_DATA!A10907</f>
        <v>27AAAAA10907Z5</v>
      </c>
      <c r="B10907" t="str">
        <f>TEST_DATA!B10907</f>
        <v>Jun-2018</v>
      </c>
      <c r="C10907">
        <f>TEST_DATA!C10907</f>
        <v>43287</v>
      </c>
      <c r="D10907" t="str">
        <f>TEST_DATA!D10907</f>
        <v>NON-NIL</v>
      </c>
      <c r="E10907">
        <f>TEST_DATA!E10907</f>
        <v>2882</v>
      </c>
    </row>
    <row r="10908" spans="1:5" x14ac:dyDescent="0.55000000000000004">
      <c r="A10908" t="str">
        <f>TEST_DATA!A10908</f>
        <v>27AAAAA10908Z5</v>
      </c>
      <c r="B10908" t="str">
        <f>TEST_DATA!B10908</f>
        <v>Jul-2020</v>
      </c>
      <c r="C10908">
        <f>TEST_DATA!C10908</f>
        <v>44800</v>
      </c>
      <c r="D10908" t="str">
        <f>TEST_DATA!D10908</f>
        <v>NON-NIL</v>
      </c>
      <c r="E10908">
        <f>TEST_DATA!E10908</f>
        <v>2001</v>
      </c>
    </row>
    <row r="10909" spans="1:5" x14ac:dyDescent="0.55000000000000004">
      <c r="A10909" t="str">
        <f>TEST_DATA!A10909</f>
        <v>27AAAAA10909Z5</v>
      </c>
      <c r="B10909" t="str">
        <f>TEST_DATA!B10909</f>
        <v>Jan-2019</v>
      </c>
      <c r="C10909">
        <f>TEST_DATA!C10909</f>
        <v>44502</v>
      </c>
      <c r="D10909" t="str">
        <f>TEST_DATA!D10909</f>
        <v>NON-NIL</v>
      </c>
      <c r="E10909">
        <f>TEST_DATA!E10909</f>
        <v>1120</v>
      </c>
    </row>
    <row r="10910" spans="1:5" x14ac:dyDescent="0.55000000000000004">
      <c r="A10910" t="str">
        <f>TEST_DATA!A10910</f>
        <v>27AAAAA10910Z5</v>
      </c>
      <c r="B10910" t="str">
        <f>TEST_DATA!B10910</f>
        <v>Mar-2020</v>
      </c>
      <c r="C10910">
        <f>TEST_DATA!C10910</f>
        <v>44630</v>
      </c>
      <c r="D10910" t="str">
        <f>TEST_DATA!D10910</f>
        <v>NON-NIL</v>
      </c>
      <c r="E10910">
        <f>TEST_DATA!E10910</f>
        <v>2405</v>
      </c>
    </row>
    <row r="10911" spans="1:5" x14ac:dyDescent="0.55000000000000004">
      <c r="A10911" t="str">
        <f>TEST_DATA!A10911</f>
        <v>27AAAAA10911Z5</v>
      </c>
      <c r="B10911" t="str">
        <f>TEST_DATA!B10911</f>
        <v>Feb-2018</v>
      </c>
      <c r="C10911">
        <f>TEST_DATA!C10911</f>
        <v>42986</v>
      </c>
      <c r="D10911" t="str">
        <f>TEST_DATA!D10911</f>
        <v>NON-NIL</v>
      </c>
      <c r="E10911">
        <f>TEST_DATA!E10911</f>
        <v>1749</v>
      </c>
    </row>
    <row r="10912" spans="1:5" x14ac:dyDescent="0.55000000000000004">
      <c r="A10912" t="str">
        <f>TEST_DATA!A10912</f>
        <v>27AAAAA10912Z5</v>
      </c>
      <c r="B10912" t="str">
        <f>TEST_DATA!B10912</f>
        <v>Apr-2018</v>
      </c>
      <c r="C10912">
        <f>TEST_DATA!C10912</f>
        <v>43025</v>
      </c>
      <c r="D10912" t="str">
        <f>TEST_DATA!D10912</f>
        <v>NIL</v>
      </c>
      <c r="E10912">
        <f>TEST_DATA!E10912</f>
        <v>1780</v>
      </c>
    </row>
    <row r="10913" spans="1:5" x14ac:dyDescent="0.55000000000000004">
      <c r="A10913" t="str">
        <f>TEST_DATA!A10913</f>
        <v>27AAAAA10913Z5</v>
      </c>
      <c r="B10913" t="str">
        <f>TEST_DATA!B10913</f>
        <v>Jul-2017</v>
      </c>
      <c r="C10913">
        <f>TEST_DATA!C10913</f>
        <v>43708</v>
      </c>
      <c r="D10913" t="str">
        <f>TEST_DATA!D10913</f>
        <v>NIL</v>
      </c>
      <c r="E10913">
        <f>TEST_DATA!E10913</f>
        <v>1598</v>
      </c>
    </row>
    <row r="10914" spans="1:5" x14ac:dyDescent="0.55000000000000004">
      <c r="A10914" t="str">
        <f>TEST_DATA!A10914</f>
        <v>27AAAAA10914Z5</v>
      </c>
      <c r="B10914" t="str">
        <f>TEST_DATA!B10914</f>
        <v>Apr-2018</v>
      </c>
      <c r="C10914">
        <f>TEST_DATA!C10914</f>
        <v>44035</v>
      </c>
      <c r="D10914" t="str">
        <f>TEST_DATA!D10914</f>
        <v>NON-NIL</v>
      </c>
      <c r="E10914">
        <f>TEST_DATA!E10914</f>
        <v>515</v>
      </c>
    </row>
    <row r="10915" spans="1:5" x14ac:dyDescent="0.55000000000000004">
      <c r="A10915" t="str">
        <f>TEST_DATA!A10915</f>
        <v>27AAAAA10915Z5</v>
      </c>
      <c r="B10915" t="str">
        <f>TEST_DATA!B10915</f>
        <v>Jan-2021</v>
      </c>
      <c r="C10915">
        <f>TEST_DATA!C10915</f>
        <v>45339</v>
      </c>
      <c r="D10915" t="str">
        <f>TEST_DATA!D10915</f>
        <v>NON-NIL</v>
      </c>
      <c r="E10915">
        <f>TEST_DATA!E10915</f>
        <v>1495</v>
      </c>
    </row>
    <row r="10916" spans="1:5" x14ac:dyDescent="0.55000000000000004">
      <c r="A10916" t="str">
        <f>TEST_DATA!A10916</f>
        <v>27AAAAA10916Z5</v>
      </c>
      <c r="B10916" t="str">
        <f>TEST_DATA!B10916</f>
        <v>Apr-2021</v>
      </c>
      <c r="C10916">
        <f>TEST_DATA!C10916</f>
        <v>44317</v>
      </c>
      <c r="D10916" t="str">
        <f>TEST_DATA!D10916</f>
        <v>NON-NIL</v>
      </c>
      <c r="E10916">
        <f>TEST_DATA!E10916</f>
        <v>1894</v>
      </c>
    </row>
    <row r="10917" spans="1:5" x14ac:dyDescent="0.55000000000000004">
      <c r="A10917" t="str">
        <f>TEST_DATA!A10917</f>
        <v>27AAAAA10917Z5</v>
      </c>
      <c r="B10917" t="str">
        <f>TEST_DATA!B10917</f>
        <v>Mar-2020</v>
      </c>
      <c r="C10917">
        <f>TEST_DATA!C10917</f>
        <v>44297</v>
      </c>
      <c r="D10917" t="str">
        <f>TEST_DATA!D10917</f>
        <v>NON-NIL</v>
      </c>
      <c r="E10917">
        <f>TEST_DATA!E10917</f>
        <v>2668</v>
      </c>
    </row>
    <row r="10918" spans="1:5" x14ac:dyDescent="0.55000000000000004">
      <c r="A10918" t="str">
        <f>TEST_DATA!A10918</f>
        <v>27AAAAA10918Z5</v>
      </c>
      <c r="B10918" t="str">
        <f>TEST_DATA!B10918</f>
        <v>Mar-2023</v>
      </c>
      <c r="C10918">
        <f>TEST_DATA!C10918</f>
        <v>44654</v>
      </c>
      <c r="D10918" t="str">
        <f>TEST_DATA!D10918</f>
        <v>NON-NIL</v>
      </c>
      <c r="E10918">
        <f>TEST_DATA!E10918</f>
        <v>84</v>
      </c>
    </row>
    <row r="10919" spans="1:5" x14ac:dyDescent="0.55000000000000004">
      <c r="A10919" t="str">
        <f>TEST_DATA!A10919</f>
        <v>27AAAAA10919Z5</v>
      </c>
      <c r="B10919" t="str">
        <f>TEST_DATA!B10919</f>
        <v>Mar-2020</v>
      </c>
      <c r="C10919">
        <f>TEST_DATA!C10919</f>
        <v>44037</v>
      </c>
      <c r="D10919" t="str">
        <f>TEST_DATA!D10919</f>
        <v>NIL</v>
      </c>
      <c r="E10919">
        <f>TEST_DATA!E10919</f>
        <v>496</v>
      </c>
    </row>
    <row r="10920" spans="1:5" x14ac:dyDescent="0.55000000000000004">
      <c r="A10920" t="str">
        <f>TEST_DATA!A10920</f>
        <v>27AAAAA10920Z5</v>
      </c>
      <c r="B10920" t="str">
        <f>TEST_DATA!B10920</f>
        <v>Jul-2017</v>
      </c>
      <c r="C10920">
        <f>TEST_DATA!C10920</f>
        <v>43437</v>
      </c>
      <c r="D10920" t="str">
        <f>TEST_DATA!D10920</f>
        <v>NIL</v>
      </c>
      <c r="E10920">
        <f>TEST_DATA!E10920</f>
        <v>1916</v>
      </c>
    </row>
    <row r="10921" spans="1:5" x14ac:dyDescent="0.55000000000000004">
      <c r="A10921" t="str">
        <f>TEST_DATA!A10921</f>
        <v>27AAAAA10921Z5</v>
      </c>
      <c r="B10921" t="str">
        <f>TEST_DATA!B10921</f>
        <v>Dec-2017</v>
      </c>
      <c r="C10921">
        <f>TEST_DATA!C10921</f>
        <v>43655</v>
      </c>
      <c r="D10921" t="str">
        <f>TEST_DATA!D10921</f>
        <v>NON-NIL</v>
      </c>
      <c r="E10921">
        <f>TEST_DATA!E10921</f>
        <v>1450</v>
      </c>
    </row>
    <row r="10922" spans="1:5" x14ac:dyDescent="0.55000000000000004">
      <c r="A10922" t="str">
        <f>TEST_DATA!A10922</f>
        <v>27AAAAA10922Z5</v>
      </c>
      <c r="B10922" t="str">
        <f>TEST_DATA!B10922</f>
        <v>Jan-2021</v>
      </c>
      <c r="C10922">
        <f>TEST_DATA!C10922</f>
        <v>44277</v>
      </c>
      <c r="D10922" t="str">
        <f>TEST_DATA!D10922</f>
        <v>NON-NIL</v>
      </c>
      <c r="E10922">
        <f>TEST_DATA!E10922</f>
        <v>178</v>
      </c>
    </row>
    <row r="10923" spans="1:5" x14ac:dyDescent="0.55000000000000004">
      <c r="A10923" t="str">
        <f>TEST_DATA!A10923</f>
        <v>27AAAAA10923Z5</v>
      </c>
      <c r="B10923" t="str">
        <f>TEST_DATA!B10923</f>
        <v>Sep-2017</v>
      </c>
      <c r="C10923">
        <f>TEST_DATA!C10923</f>
        <v>44464</v>
      </c>
      <c r="D10923" t="str">
        <f>TEST_DATA!D10923</f>
        <v>NON-NIL</v>
      </c>
      <c r="E10923">
        <f>TEST_DATA!E10923</f>
        <v>247</v>
      </c>
    </row>
    <row r="10924" spans="1:5" x14ac:dyDescent="0.55000000000000004">
      <c r="A10924" t="str">
        <f>TEST_DATA!A10924</f>
        <v>27AAAAA10924Z5</v>
      </c>
      <c r="B10924" t="str">
        <f>TEST_DATA!B10924</f>
        <v>Mar-2020</v>
      </c>
      <c r="C10924">
        <f>TEST_DATA!C10924</f>
        <v>44286</v>
      </c>
      <c r="D10924" t="str">
        <f>TEST_DATA!D10924</f>
        <v>NIL</v>
      </c>
      <c r="E10924">
        <f>TEST_DATA!E10924</f>
        <v>2589</v>
      </c>
    </row>
    <row r="10925" spans="1:5" x14ac:dyDescent="0.55000000000000004">
      <c r="A10925" t="str">
        <f>TEST_DATA!A10925</f>
        <v>27AAAAA10925Z5</v>
      </c>
      <c r="B10925" t="str">
        <f>TEST_DATA!B10925</f>
        <v>Jan-2021</v>
      </c>
      <c r="C10925">
        <f>TEST_DATA!C10925</f>
        <v>44501</v>
      </c>
      <c r="D10925" t="str">
        <f>TEST_DATA!D10925</f>
        <v>NON-NIL</v>
      </c>
      <c r="E10925">
        <f>TEST_DATA!E10925</f>
        <v>127</v>
      </c>
    </row>
    <row r="10926" spans="1:5" x14ac:dyDescent="0.55000000000000004">
      <c r="A10926" t="str">
        <f>TEST_DATA!A10926</f>
        <v>27AAAAA10926Z5</v>
      </c>
      <c r="B10926" t="str">
        <f>TEST_DATA!B10926</f>
        <v>Sep-2018</v>
      </c>
      <c r="C10926">
        <f>TEST_DATA!C10926</f>
        <v>44071</v>
      </c>
      <c r="D10926" t="str">
        <f>TEST_DATA!D10926</f>
        <v>NIL</v>
      </c>
      <c r="E10926">
        <f>TEST_DATA!E10926</f>
        <v>1626</v>
      </c>
    </row>
    <row r="10927" spans="1:5" x14ac:dyDescent="0.55000000000000004">
      <c r="A10927" t="str">
        <f>TEST_DATA!A10927</f>
        <v>27AAAAA10927Z5</v>
      </c>
      <c r="B10927" t="str">
        <f>TEST_DATA!B10927</f>
        <v>Nov-2017</v>
      </c>
      <c r="C10927">
        <f>TEST_DATA!C10927</f>
        <v>43655</v>
      </c>
      <c r="D10927" t="str">
        <f>TEST_DATA!D10927</f>
        <v>NIL</v>
      </c>
      <c r="E10927">
        <f>TEST_DATA!E10927</f>
        <v>2894</v>
      </c>
    </row>
    <row r="10928" spans="1:5" x14ac:dyDescent="0.55000000000000004">
      <c r="A10928" t="str">
        <f>TEST_DATA!A10928</f>
        <v>27AAAAA10928Z5</v>
      </c>
      <c r="B10928" t="str">
        <f>TEST_DATA!B10928</f>
        <v>Jan-2019</v>
      </c>
      <c r="C10928">
        <f>TEST_DATA!C10928</f>
        <v>44681</v>
      </c>
      <c r="D10928" t="str">
        <f>TEST_DATA!D10928</f>
        <v>NIL</v>
      </c>
      <c r="E10928">
        <f>TEST_DATA!E10928</f>
        <v>509</v>
      </c>
    </row>
    <row r="10929" spans="1:5" x14ac:dyDescent="0.55000000000000004">
      <c r="A10929" t="str">
        <f>TEST_DATA!A10929</f>
        <v>27AAAAA10929Z5</v>
      </c>
      <c r="B10929" t="str">
        <f>TEST_DATA!B10929</f>
        <v>Jun-2020</v>
      </c>
      <c r="C10929">
        <f>TEST_DATA!C10929</f>
        <v>44638</v>
      </c>
      <c r="D10929" t="str">
        <f>TEST_DATA!D10929</f>
        <v>NIL</v>
      </c>
      <c r="E10929">
        <f>TEST_DATA!E10929</f>
        <v>891</v>
      </c>
    </row>
    <row r="10930" spans="1:5" x14ac:dyDescent="0.55000000000000004">
      <c r="A10930" t="str">
        <f>TEST_DATA!A10930</f>
        <v>27AAAAA10930Z5</v>
      </c>
      <c r="B10930" t="str">
        <f>TEST_DATA!B10930</f>
        <v>Nov-2017</v>
      </c>
      <c r="C10930">
        <f>TEST_DATA!C10930</f>
        <v>43678</v>
      </c>
      <c r="D10930" t="str">
        <f>TEST_DATA!D10930</f>
        <v>NIL</v>
      </c>
      <c r="E10930">
        <f>TEST_DATA!E10930</f>
        <v>2658</v>
      </c>
    </row>
    <row r="10931" spans="1:5" x14ac:dyDescent="0.55000000000000004">
      <c r="A10931" t="str">
        <f>TEST_DATA!A10931</f>
        <v>27AAAAA10931Z5</v>
      </c>
      <c r="B10931" t="str">
        <f>TEST_DATA!B10931</f>
        <v>Dec-2022</v>
      </c>
      <c r="C10931">
        <f>TEST_DATA!C10931</f>
        <v>44412</v>
      </c>
      <c r="D10931" t="str">
        <f>TEST_DATA!D10931</f>
        <v>NON-NIL</v>
      </c>
      <c r="E10931">
        <f>TEST_DATA!E10931</f>
        <v>1009</v>
      </c>
    </row>
    <row r="10932" spans="1:5" x14ac:dyDescent="0.55000000000000004">
      <c r="A10932" t="str">
        <f>TEST_DATA!A10932</f>
        <v>27AAAAA10932Z5</v>
      </c>
      <c r="B10932" t="str">
        <f>TEST_DATA!B10932</f>
        <v>Jun-2020</v>
      </c>
      <c r="C10932">
        <f>TEST_DATA!C10932</f>
        <v>44872</v>
      </c>
      <c r="D10932" t="str">
        <f>TEST_DATA!D10932</f>
        <v>NON-NIL</v>
      </c>
      <c r="E10932">
        <f>TEST_DATA!E10932</f>
        <v>1095</v>
      </c>
    </row>
    <row r="10933" spans="1:5" x14ac:dyDescent="0.55000000000000004">
      <c r="A10933" t="str">
        <f>TEST_DATA!A10933</f>
        <v>27AAAAA10933Z5</v>
      </c>
      <c r="B10933" t="str">
        <f>TEST_DATA!B10933</f>
        <v>Nov-2017</v>
      </c>
      <c r="C10933">
        <f>TEST_DATA!C10933</f>
        <v>43858</v>
      </c>
      <c r="D10933" t="str">
        <f>TEST_DATA!D10933</f>
        <v>NON-NIL</v>
      </c>
      <c r="E10933">
        <f>TEST_DATA!E10933</f>
        <v>636</v>
      </c>
    </row>
    <row r="10934" spans="1:5" x14ac:dyDescent="0.55000000000000004">
      <c r="A10934" t="str">
        <f>TEST_DATA!A10934</f>
        <v>27AAAAA10934Z5</v>
      </c>
      <c r="B10934" t="str">
        <f>TEST_DATA!B10934</f>
        <v>Jun-2020</v>
      </c>
      <c r="C10934">
        <f>TEST_DATA!C10934</f>
        <v>44328</v>
      </c>
      <c r="D10934" t="str">
        <f>TEST_DATA!D10934</f>
        <v>NON-NIL</v>
      </c>
      <c r="E10934">
        <f>TEST_DATA!E10934</f>
        <v>371</v>
      </c>
    </row>
    <row r="10935" spans="1:5" x14ac:dyDescent="0.55000000000000004">
      <c r="A10935" t="str">
        <f>TEST_DATA!A10935</f>
        <v>27AAAAA10935Z5</v>
      </c>
      <c r="B10935" t="str">
        <f>TEST_DATA!B10935</f>
        <v>Apr-2021</v>
      </c>
      <c r="C10935">
        <f>TEST_DATA!C10935</f>
        <v>45511</v>
      </c>
      <c r="D10935" t="str">
        <f>TEST_DATA!D10935</f>
        <v>NON-NIL</v>
      </c>
      <c r="E10935">
        <f>TEST_DATA!E10935</f>
        <v>2334</v>
      </c>
    </row>
    <row r="10936" spans="1:5" x14ac:dyDescent="0.55000000000000004">
      <c r="A10936" t="str">
        <f>TEST_DATA!A10936</f>
        <v>27AAAAA10936Z5</v>
      </c>
      <c r="B10936" t="str">
        <f>TEST_DATA!B10936</f>
        <v>Aug-2018</v>
      </c>
      <c r="C10936">
        <f>TEST_DATA!C10936</f>
        <v>44403</v>
      </c>
      <c r="D10936" t="str">
        <f>TEST_DATA!D10936</f>
        <v>NON-NIL</v>
      </c>
      <c r="E10936">
        <f>TEST_DATA!E10936</f>
        <v>1376</v>
      </c>
    </row>
    <row r="10937" spans="1:5" x14ac:dyDescent="0.55000000000000004">
      <c r="A10937" t="str">
        <f>TEST_DATA!A10937</f>
        <v>27AAAAA10937Z5</v>
      </c>
      <c r="B10937" t="str">
        <f>TEST_DATA!B10937</f>
        <v>Apr-2021</v>
      </c>
      <c r="C10937">
        <f>TEST_DATA!C10937</f>
        <v>44720</v>
      </c>
      <c r="D10937" t="str">
        <f>TEST_DATA!D10937</f>
        <v>NON-NIL</v>
      </c>
      <c r="E10937">
        <f>TEST_DATA!E10937</f>
        <v>2913</v>
      </c>
    </row>
    <row r="10938" spans="1:5" x14ac:dyDescent="0.55000000000000004">
      <c r="A10938" t="str">
        <f>TEST_DATA!A10938</f>
        <v>27AAAAA10938Z5</v>
      </c>
      <c r="B10938" t="str">
        <f>TEST_DATA!B10938</f>
        <v>Apr-2020</v>
      </c>
      <c r="C10938">
        <f>TEST_DATA!C10938</f>
        <v>44556</v>
      </c>
      <c r="D10938" t="str">
        <f>TEST_DATA!D10938</f>
        <v>NON-NIL</v>
      </c>
      <c r="E10938">
        <f>TEST_DATA!E10938</f>
        <v>2076</v>
      </c>
    </row>
    <row r="10939" spans="1:5" x14ac:dyDescent="0.55000000000000004">
      <c r="A10939" t="str">
        <f>TEST_DATA!A10939</f>
        <v>27AAAAA10939Z5</v>
      </c>
      <c r="B10939" t="str">
        <f>TEST_DATA!B10939</f>
        <v>Dec-2024</v>
      </c>
      <c r="C10939">
        <f>TEST_DATA!C10939</f>
        <v>43941</v>
      </c>
      <c r="D10939" t="str">
        <f>TEST_DATA!D10939</f>
        <v>NIL</v>
      </c>
      <c r="E10939">
        <f>TEST_DATA!E10939</f>
        <v>1837</v>
      </c>
    </row>
    <row r="10940" spans="1:5" x14ac:dyDescent="0.55000000000000004">
      <c r="A10940" t="str">
        <f>TEST_DATA!A10940</f>
        <v>27AAAAA10940Z5</v>
      </c>
      <c r="B10940" t="str">
        <f>TEST_DATA!B10940</f>
        <v>Jan-2021</v>
      </c>
      <c r="C10940">
        <f>TEST_DATA!C10940</f>
        <v>44256</v>
      </c>
      <c r="D10940" t="str">
        <f>TEST_DATA!D10940</f>
        <v>NIL</v>
      </c>
      <c r="E10940">
        <f>TEST_DATA!E10940</f>
        <v>2019</v>
      </c>
    </row>
    <row r="10941" spans="1:5" x14ac:dyDescent="0.55000000000000004">
      <c r="A10941" t="str">
        <f>TEST_DATA!A10941</f>
        <v>27AAAAA10941Z5</v>
      </c>
      <c r="B10941" t="str">
        <f>TEST_DATA!B10941</f>
        <v>Jul-2020</v>
      </c>
      <c r="C10941">
        <f>TEST_DATA!C10941</f>
        <v>44420</v>
      </c>
      <c r="D10941" t="str">
        <f>TEST_DATA!D10941</f>
        <v>NIL</v>
      </c>
      <c r="E10941">
        <f>TEST_DATA!E10941</f>
        <v>1799</v>
      </c>
    </row>
    <row r="10942" spans="1:5" x14ac:dyDescent="0.55000000000000004">
      <c r="A10942" t="str">
        <f>TEST_DATA!A10942</f>
        <v>27AAAAA10942Z5</v>
      </c>
      <c r="B10942" t="str">
        <f>TEST_DATA!B10942</f>
        <v>Jan-2021</v>
      </c>
      <c r="C10942">
        <f>TEST_DATA!C10942</f>
        <v>43902</v>
      </c>
      <c r="D10942" t="str">
        <f>TEST_DATA!D10942</f>
        <v>NIL</v>
      </c>
      <c r="E10942">
        <f>TEST_DATA!E10942</f>
        <v>543</v>
      </c>
    </row>
    <row r="10943" spans="1:5" x14ac:dyDescent="0.55000000000000004">
      <c r="A10943" t="str">
        <f>TEST_DATA!A10943</f>
        <v>27AAAAA10943Z5</v>
      </c>
      <c r="B10943" t="str">
        <f>TEST_DATA!B10943</f>
        <v>Mar-2023</v>
      </c>
      <c r="C10943">
        <f>TEST_DATA!C10943</f>
        <v>44060</v>
      </c>
      <c r="D10943" t="str">
        <f>TEST_DATA!D10943</f>
        <v>NON-NIL</v>
      </c>
      <c r="E10943">
        <f>TEST_DATA!E10943</f>
        <v>96</v>
      </c>
    </row>
    <row r="10944" spans="1:5" x14ac:dyDescent="0.55000000000000004">
      <c r="A10944" t="str">
        <f>TEST_DATA!A10944</f>
        <v>27AAAAA10944Z5</v>
      </c>
      <c r="B10944" t="str">
        <f>TEST_DATA!B10944</f>
        <v>Dec-2017</v>
      </c>
      <c r="C10944">
        <f>TEST_DATA!C10944</f>
        <v>43353</v>
      </c>
      <c r="D10944" t="str">
        <f>TEST_DATA!D10944</f>
        <v>NIL</v>
      </c>
      <c r="E10944">
        <f>TEST_DATA!E10944</f>
        <v>1614</v>
      </c>
    </row>
    <row r="10945" spans="1:5" x14ac:dyDescent="0.55000000000000004">
      <c r="A10945" t="str">
        <f>TEST_DATA!A10945</f>
        <v>27AAAAA10945Z5</v>
      </c>
      <c r="B10945" t="str">
        <f>TEST_DATA!B10945</f>
        <v>Mar-2023</v>
      </c>
      <c r="C10945">
        <f>TEST_DATA!C10945</f>
        <v>43995</v>
      </c>
      <c r="D10945" t="str">
        <f>TEST_DATA!D10945</f>
        <v>NON-NIL</v>
      </c>
      <c r="E10945">
        <f>TEST_DATA!E10945</f>
        <v>1587</v>
      </c>
    </row>
    <row r="10946" spans="1:5" x14ac:dyDescent="0.55000000000000004">
      <c r="A10946" t="str">
        <f>TEST_DATA!A10946</f>
        <v>27AAAAA10946Z5</v>
      </c>
      <c r="B10946" t="str">
        <f>TEST_DATA!B10946</f>
        <v>Oct-2017</v>
      </c>
      <c r="C10946">
        <f>TEST_DATA!C10946</f>
        <v>43862</v>
      </c>
      <c r="D10946" t="str">
        <f>TEST_DATA!D10946</f>
        <v>NON-NIL</v>
      </c>
      <c r="E10946">
        <f>TEST_DATA!E10946</f>
        <v>1108</v>
      </c>
    </row>
    <row r="10947" spans="1:5" x14ac:dyDescent="0.55000000000000004">
      <c r="A10947" t="str">
        <f>TEST_DATA!A10947</f>
        <v>27AAAAA10947Z5</v>
      </c>
      <c r="B10947" t="str">
        <f>TEST_DATA!B10947</f>
        <v>Jul-2020</v>
      </c>
      <c r="C10947">
        <f>TEST_DATA!C10947</f>
        <v>43893</v>
      </c>
      <c r="D10947" t="str">
        <f>TEST_DATA!D10947</f>
        <v>NON-NIL</v>
      </c>
      <c r="E10947">
        <f>TEST_DATA!E10947</f>
        <v>165</v>
      </c>
    </row>
    <row r="10948" spans="1:5" x14ac:dyDescent="0.55000000000000004">
      <c r="A10948" t="str">
        <f>TEST_DATA!A10948</f>
        <v>27AAAAA10948Z5</v>
      </c>
      <c r="B10948" t="str">
        <f>TEST_DATA!B10948</f>
        <v>Mar-2018</v>
      </c>
      <c r="C10948">
        <f>TEST_DATA!C10948</f>
        <v>44408</v>
      </c>
      <c r="D10948" t="str">
        <f>TEST_DATA!D10948</f>
        <v>NON-NIL</v>
      </c>
      <c r="E10948">
        <f>TEST_DATA!E10948</f>
        <v>1377</v>
      </c>
    </row>
    <row r="10949" spans="1:5" x14ac:dyDescent="0.55000000000000004">
      <c r="A10949" t="str">
        <f>TEST_DATA!A10949</f>
        <v>27AAAAA10949Z5</v>
      </c>
      <c r="B10949" t="str">
        <f>TEST_DATA!B10949</f>
        <v>Jun-2020</v>
      </c>
      <c r="C10949">
        <f>TEST_DATA!C10949</f>
        <v>44581</v>
      </c>
      <c r="D10949" t="str">
        <f>TEST_DATA!D10949</f>
        <v>NIL</v>
      </c>
      <c r="E10949">
        <f>TEST_DATA!E10949</f>
        <v>330</v>
      </c>
    </row>
    <row r="10950" spans="1:5" x14ac:dyDescent="0.55000000000000004">
      <c r="A10950" t="str">
        <f>TEST_DATA!A10950</f>
        <v>27AAAAA10950Z5</v>
      </c>
      <c r="B10950" t="str">
        <f>TEST_DATA!B10950</f>
        <v>Dec-2017</v>
      </c>
      <c r="C10950">
        <f>TEST_DATA!C10950</f>
        <v>44048</v>
      </c>
      <c r="D10950" t="str">
        <f>TEST_DATA!D10950</f>
        <v>NON-NIL</v>
      </c>
      <c r="E10950">
        <f>TEST_DATA!E10950</f>
        <v>947</v>
      </c>
    </row>
    <row r="10951" spans="1:5" x14ac:dyDescent="0.55000000000000004">
      <c r="A10951" t="str">
        <f>TEST_DATA!A10951</f>
        <v>27AAAAA10951Z5</v>
      </c>
      <c r="B10951" t="str">
        <f>TEST_DATA!B10951</f>
        <v>Jun-2019</v>
      </c>
      <c r="C10951">
        <f>TEST_DATA!C10951</f>
        <v>43791</v>
      </c>
      <c r="D10951" t="str">
        <f>TEST_DATA!D10951</f>
        <v>NIL</v>
      </c>
      <c r="E10951">
        <f>TEST_DATA!E10951</f>
        <v>65</v>
      </c>
    </row>
    <row r="10952" spans="1:5" x14ac:dyDescent="0.55000000000000004">
      <c r="A10952" t="str">
        <f>TEST_DATA!A10952</f>
        <v>27AAAAA10952Z5</v>
      </c>
      <c r="B10952" t="str">
        <f>TEST_DATA!B10952</f>
        <v>Jun-2018</v>
      </c>
      <c r="C10952">
        <f>TEST_DATA!C10952</f>
        <v>42930</v>
      </c>
      <c r="D10952" t="str">
        <f>TEST_DATA!D10952</f>
        <v>NIL</v>
      </c>
      <c r="E10952">
        <f>TEST_DATA!E10952</f>
        <v>2897</v>
      </c>
    </row>
    <row r="10953" spans="1:5" x14ac:dyDescent="0.55000000000000004">
      <c r="A10953" t="str">
        <f>TEST_DATA!A10953</f>
        <v>27AAAAA10953Z5</v>
      </c>
      <c r="B10953" t="str">
        <f>TEST_DATA!B10953</f>
        <v>Mar-2023</v>
      </c>
      <c r="C10953">
        <f>TEST_DATA!C10953</f>
        <v>44003</v>
      </c>
      <c r="D10953" t="str">
        <f>TEST_DATA!D10953</f>
        <v>NIL</v>
      </c>
      <c r="E10953">
        <f>TEST_DATA!E10953</f>
        <v>155</v>
      </c>
    </row>
    <row r="10954" spans="1:5" x14ac:dyDescent="0.55000000000000004">
      <c r="A10954" t="str">
        <f>TEST_DATA!A10954</f>
        <v>27AAAAA10954Z5</v>
      </c>
      <c r="B10954" t="str">
        <f>TEST_DATA!B10954</f>
        <v>Jan-2019</v>
      </c>
      <c r="C10954">
        <f>TEST_DATA!C10954</f>
        <v>44661</v>
      </c>
      <c r="D10954" t="str">
        <f>TEST_DATA!D10954</f>
        <v>NON-NIL</v>
      </c>
      <c r="E10954">
        <f>TEST_DATA!E10954</f>
        <v>2407</v>
      </c>
    </row>
    <row r="10955" spans="1:5" x14ac:dyDescent="0.55000000000000004">
      <c r="A10955" t="str">
        <f>TEST_DATA!A10955</f>
        <v>27AAAAA10955Z5</v>
      </c>
      <c r="B10955" t="str">
        <f>TEST_DATA!B10955</f>
        <v>Jun-2018</v>
      </c>
      <c r="C10955">
        <f>TEST_DATA!C10955</f>
        <v>43264</v>
      </c>
      <c r="D10955" t="str">
        <f>TEST_DATA!D10955</f>
        <v>NIL</v>
      </c>
      <c r="E10955">
        <f>TEST_DATA!E10955</f>
        <v>1811</v>
      </c>
    </row>
    <row r="10956" spans="1:5" x14ac:dyDescent="0.55000000000000004">
      <c r="A10956" t="str">
        <f>TEST_DATA!A10956</f>
        <v>27AAAAA10956Z5</v>
      </c>
      <c r="B10956" t="str">
        <f>TEST_DATA!B10956</f>
        <v>Mar-2021</v>
      </c>
      <c r="C10956">
        <f>TEST_DATA!C10956</f>
        <v>45186</v>
      </c>
      <c r="D10956" t="str">
        <f>TEST_DATA!D10956</f>
        <v>NON-NIL</v>
      </c>
      <c r="E10956">
        <f>TEST_DATA!E10956</f>
        <v>1972</v>
      </c>
    </row>
    <row r="10957" spans="1:5" x14ac:dyDescent="0.55000000000000004">
      <c r="A10957" t="str">
        <f>TEST_DATA!A10957</f>
        <v>27AAAAA10957Z5</v>
      </c>
      <c r="B10957" t="str">
        <f>TEST_DATA!B10957</f>
        <v>Apr-2021</v>
      </c>
      <c r="C10957">
        <f>TEST_DATA!C10957</f>
        <v>44583</v>
      </c>
      <c r="D10957" t="str">
        <f>TEST_DATA!D10957</f>
        <v>NIL</v>
      </c>
      <c r="E10957">
        <f>TEST_DATA!E10957</f>
        <v>844</v>
      </c>
    </row>
    <row r="10958" spans="1:5" x14ac:dyDescent="0.55000000000000004">
      <c r="A10958" t="str">
        <f>TEST_DATA!A10958</f>
        <v>27AAAAA10958Z5</v>
      </c>
      <c r="B10958" t="str">
        <f>TEST_DATA!B10958</f>
        <v>Apr-2020</v>
      </c>
      <c r="C10958">
        <f>TEST_DATA!C10958</f>
        <v>44261</v>
      </c>
      <c r="D10958" t="str">
        <f>TEST_DATA!D10958</f>
        <v>NON-NIL</v>
      </c>
      <c r="E10958">
        <f>TEST_DATA!E10958</f>
        <v>2863</v>
      </c>
    </row>
    <row r="10959" spans="1:5" x14ac:dyDescent="0.55000000000000004">
      <c r="A10959" t="str">
        <f>TEST_DATA!A10959</f>
        <v>27AAAAA10959Z5</v>
      </c>
      <c r="B10959" t="str">
        <f>TEST_DATA!B10959</f>
        <v>Mar-2018</v>
      </c>
      <c r="C10959">
        <f>TEST_DATA!C10959</f>
        <v>43361</v>
      </c>
      <c r="D10959" t="str">
        <f>TEST_DATA!D10959</f>
        <v>NIL</v>
      </c>
      <c r="E10959">
        <f>TEST_DATA!E10959</f>
        <v>2616</v>
      </c>
    </row>
    <row r="10960" spans="1:5" x14ac:dyDescent="0.55000000000000004">
      <c r="A10960" t="str">
        <f>TEST_DATA!A10960</f>
        <v>27AAAAA10960Z5</v>
      </c>
      <c r="B10960" t="str">
        <f>TEST_DATA!B10960</f>
        <v>Dec-2024</v>
      </c>
      <c r="C10960">
        <f>TEST_DATA!C10960</f>
        <v>45337</v>
      </c>
      <c r="D10960" t="str">
        <f>TEST_DATA!D10960</f>
        <v>NIL</v>
      </c>
      <c r="E10960">
        <f>TEST_DATA!E10960</f>
        <v>2995</v>
      </c>
    </row>
    <row r="10961" spans="1:5" x14ac:dyDescent="0.55000000000000004">
      <c r="A10961" t="str">
        <f>TEST_DATA!A10961</f>
        <v>27AAAAA10961Z5</v>
      </c>
      <c r="B10961" t="str">
        <f>TEST_DATA!B10961</f>
        <v>Apr-2021</v>
      </c>
      <c r="C10961">
        <f>TEST_DATA!C10961</f>
        <v>44011</v>
      </c>
      <c r="D10961" t="str">
        <f>TEST_DATA!D10961</f>
        <v>NON-NIL</v>
      </c>
      <c r="E10961">
        <f>TEST_DATA!E10961</f>
        <v>2130</v>
      </c>
    </row>
    <row r="10962" spans="1:5" x14ac:dyDescent="0.55000000000000004">
      <c r="A10962" t="str">
        <f>TEST_DATA!A10962</f>
        <v>27AAAAA10962Z5</v>
      </c>
      <c r="B10962" t="str">
        <f>TEST_DATA!B10962</f>
        <v>Jan-2018</v>
      </c>
      <c r="C10962">
        <f>TEST_DATA!C10962</f>
        <v>44162</v>
      </c>
      <c r="D10962" t="str">
        <f>TEST_DATA!D10962</f>
        <v>NON-NIL</v>
      </c>
      <c r="E10962">
        <f>TEST_DATA!E10962</f>
        <v>2369</v>
      </c>
    </row>
    <row r="10963" spans="1:5" x14ac:dyDescent="0.55000000000000004">
      <c r="A10963" t="str">
        <f>TEST_DATA!A10963</f>
        <v>27AAAAA10963Z5</v>
      </c>
      <c r="B10963" t="str">
        <f>TEST_DATA!B10963</f>
        <v>Dec-2017</v>
      </c>
      <c r="C10963">
        <f>TEST_DATA!C10963</f>
        <v>43080</v>
      </c>
      <c r="D10963" t="str">
        <f>TEST_DATA!D10963</f>
        <v>NON-NIL</v>
      </c>
      <c r="E10963">
        <f>TEST_DATA!E10963</f>
        <v>490</v>
      </c>
    </row>
    <row r="10964" spans="1:5" x14ac:dyDescent="0.55000000000000004">
      <c r="A10964" t="str">
        <f>TEST_DATA!A10964</f>
        <v>27AAAAA10964Z5</v>
      </c>
      <c r="B10964" t="str">
        <f>TEST_DATA!B10964</f>
        <v>Aug-2017</v>
      </c>
      <c r="C10964">
        <f>TEST_DATA!C10964</f>
        <v>42941</v>
      </c>
      <c r="D10964" t="str">
        <f>TEST_DATA!D10964</f>
        <v>NIL</v>
      </c>
      <c r="E10964">
        <f>TEST_DATA!E10964</f>
        <v>1553</v>
      </c>
    </row>
    <row r="10965" spans="1:5" x14ac:dyDescent="0.55000000000000004">
      <c r="A10965" t="str">
        <f>TEST_DATA!A10965</f>
        <v>27AAAAA10965Z5</v>
      </c>
      <c r="B10965" t="str">
        <f>TEST_DATA!B10965</f>
        <v>Jul-2017</v>
      </c>
      <c r="C10965">
        <f>TEST_DATA!C10965</f>
        <v>43919</v>
      </c>
      <c r="D10965" t="str">
        <f>TEST_DATA!D10965</f>
        <v>NON-NIL</v>
      </c>
      <c r="E10965">
        <f>TEST_DATA!E10965</f>
        <v>676</v>
      </c>
    </row>
    <row r="10966" spans="1:5" x14ac:dyDescent="0.55000000000000004">
      <c r="A10966" t="str">
        <f>TEST_DATA!A10966</f>
        <v>27AAAAA10966Z5</v>
      </c>
      <c r="B10966" t="str">
        <f>TEST_DATA!B10966</f>
        <v>Sep-2017</v>
      </c>
      <c r="C10966">
        <f>TEST_DATA!C10966</f>
        <v>43444</v>
      </c>
      <c r="D10966" t="str">
        <f>TEST_DATA!D10966</f>
        <v>NIL</v>
      </c>
      <c r="E10966">
        <f>TEST_DATA!E10966</f>
        <v>2572</v>
      </c>
    </row>
    <row r="10967" spans="1:5" x14ac:dyDescent="0.55000000000000004">
      <c r="A10967" t="str">
        <f>TEST_DATA!A10967</f>
        <v>27AAAAA10967Z5</v>
      </c>
      <c r="B10967" t="str">
        <f>TEST_DATA!B10967</f>
        <v>May-2020</v>
      </c>
      <c r="C10967">
        <f>TEST_DATA!C10967</f>
        <v>44345</v>
      </c>
      <c r="D10967" t="str">
        <f>TEST_DATA!D10967</f>
        <v>NON-NIL</v>
      </c>
      <c r="E10967">
        <f>TEST_DATA!E10967</f>
        <v>2331</v>
      </c>
    </row>
    <row r="10968" spans="1:5" x14ac:dyDescent="0.55000000000000004">
      <c r="A10968" t="str">
        <f>TEST_DATA!A10968</f>
        <v>27AAAAA10968Z5</v>
      </c>
      <c r="B10968" t="str">
        <f>TEST_DATA!B10968</f>
        <v>Jun-2020</v>
      </c>
      <c r="C10968">
        <f>TEST_DATA!C10968</f>
        <v>44614</v>
      </c>
      <c r="D10968" t="str">
        <f>TEST_DATA!D10968</f>
        <v>NON-NIL</v>
      </c>
      <c r="E10968">
        <f>TEST_DATA!E10968</f>
        <v>887</v>
      </c>
    </row>
    <row r="10969" spans="1:5" x14ac:dyDescent="0.55000000000000004">
      <c r="A10969" t="str">
        <f>TEST_DATA!A10969</f>
        <v>27AAAAA10969Z5</v>
      </c>
      <c r="B10969" t="str">
        <f>TEST_DATA!B10969</f>
        <v>Mar-2023</v>
      </c>
      <c r="C10969">
        <f>TEST_DATA!C10969</f>
        <v>45500</v>
      </c>
      <c r="D10969" t="str">
        <f>TEST_DATA!D10969</f>
        <v>NIL</v>
      </c>
      <c r="E10969">
        <f>TEST_DATA!E10969</f>
        <v>1479</v>
      </c>
    </row>
    <row r="10970" spans="1:5" x14ac:dyDescent="0.55000000000000004">
      <c r="A10970" t="str">
        <f>TEST_DATA!A10970</f>
        <v>27AAAAA10970Z5</v>
      </c>
      <c r="B10970" t="str">
        <f>TEST_DATA!B10970</f>
        <v>Dec-2024</v>
      </c>
      <c r="C10970">
        <f>TEST_DATA!C10970</f>
        <v>44926</v>
      </c>
      <c r="D10970" t="str">
        <f>TEST_DATA!D10970</f>
        <v>NON-NIL</v>
      </c>
      <c r="E10970">
        <f>TEST_DATA!E10970</f>
        <v>1018</v>
      </c>
    </row>
    <row r="10971" spans="1:5" x14ac:dyDescent="0.55000000000000004">
      <c r="A10971" t="str">
        <f>TEST_DATA!A10971</f>
        <v>27AAAAA10971Z5</v>
      </c>
      <c r="B10971" t="str">
        <f>TEST_DATA!B10971</f>
        <v>Oct-2017</v>
      </c>
      <c r="C10971">
        <f>TEST_DATA!C10971</f>
        <v>42970</v>
      </c>
      <c r="D10971" t="str">
        <f>TEST_DATA!D10971</f>
        <v>NON-NIL</v>
      </c>
      <c r="E10971">
        <f>TEST_DATA!E10971</f>
        <v>743</v>
      </c>
    </row>
    <row r="10972" spans="1:5" x14ac:dyDescent="0.55000000000000004">
      <c r="A10972" t="str">
        <f>TEST_DATA!A10972</f>
        <v>27AAAAA10972Z5</v>
      </c>
      <c r="B10972" t="str">
        <f>TEST_DATA!B10972</f>
        <v>Jul-2017</v>
      </c>
      <c r="C10972">
        <f>TEST_DATA!C10972</f>
        <v>44064</v>
      </c>
      <c r="D10972" t="str">
        <f>TEST_DATA!D10972</f>
        <v>NIL</v>
      </c>
      <c r="E10972">
        <f>TEST_DATA!E10972</f>
        <v>268</v>
      </c>
    </row>
    <row r="10973" spans="1:5" x14ac:dyDescent="0.55000000000000004">
      <c r="A10973" t="str">
        <f>TEST_DATA!A10973</f>
        <v>27AAAAA10973Z5</v>
      </c>
      <c r="B10973" t="str">
        <f>TEST_DATA!B10973</f>
        <v>Dec-2019</v>
      </c>
      <c r="C10973">
        <f>TEST_DATA!C10973</f>
        <v>45322</v>
      </c>
      <c r="D10973" t="str">
        <f>TEST_DATA!D10973</f>
        <v>NIL</v>
      </c>
      <c r="E10973">
        <f>TEST_DATA!E10973</f>
        <v>124</v>
      </c>
    </row>
    <row r="10974" spans="1:5" x14ac:dyDescent="0.55000000000000004">
      <c r="A10974" t="str">
        <f>TEST_DATA!A10974</f>
        <v>27AAAAA10974Z5</v>
      </c>
      <c r="B10974" t="str">
        <f>TEST_DATA!B10974</f>
        <v>Jun-2020</v>
      </c>
      <c r="C10974">
        <f>TEST_DATA!C10974</f>
        <v>44571</v>
      </c>
      <c r="D10974" t="str">
        <f>TEST_DATA!D10974</f>
        <v>NIL</v>
      </c>
      <c r="E10974">
        <f>TEST_DATA!E10974</f>
        <v>1950</v>
      </c>
    </row>
    <row r="10975" spans="1:5" x14ac:dyDescent="0.55000000000000004">
      <c r="A10975" t="str">
        <f>TEST_DATA!A10975</f>
        <v>27AAAAA10975Z5</v>
      </c>
      <c r="B10975" t="str">
        <f>TEST_DATA!B10975</f>
        <v>Apr-2020</v>
      </c>
      <c r="C10975">
        <f>TEST_DATA!C10975</f>
        <v>44260</v>
      </c>
      <c r="D10975" t="str">
        <f>TEST_DATA!D10975</f>
        <v>NIL</v>
      </c>
      <c r="E10975">
        <f>TEST_DATA!E10975</f>
        <v>1913</v>
      </c>
    </row>
    <row r="10976" spans="1:5" x14ac:dyDescent="0.55000000000000004">
      <c r="A10976" t="str">
        <f>TEST_DATA!A10976</f>
        <v>27AAAAA10976Z5</v>
      </c>
      <c r="B10976" t="str">
        <f>TEST_DATA!B10976</f>
        <v>Sep-2018</v>
      </c>
      <c r="C10976">
        <f>TEST_DATA!C10976</f>
        <v>43383</v>
      </c>
      <c r="D10976" t="str">
        <f>TEST_DATA!D10976</f>
        <v>NIL</v>
      </c>
      <c r="E10976">
        <f>TEST_DATA!E10976</f>
        <v>533</v>
      </c>
    </row>
    <row r="10977" spans="1:5" x14ac:dyDescent="0.55000000000000004">
      <c r="A10977" t="str">
        <f>TEST_DATA!A10977</f>
        <v>27AAAAA10977Z5</v>
      </c>
      <c r="B10977" t="str">
        <f>TEST_DATA!B10977</f>
        <v>Apr-2020</v>
      </c>
      <c r="C10977">
        <f>TEST_DATA!C10977</f>
        <v>44806</v>
      </c>
      <c r="D10977" t="str">
        <f>TEST_DATA!D10977</f>
        <v>NIL</v>
      </c>
      <c r="E10977">
        <f>TEST_DATA!E10977</f>
        <v>1127</v>
      </c>
    </row>
    <row r="10978" spans="1:5" x14ac:dyDescent="0.55000000000000004">
      <c r="A10978" t="str">
        <f>TEST_DATA!A10978</f>
        <v>27AAAAA10978Z5</v>
      </c>
      <c r="B10978" t="str">
        <f>TEST_DATA!B10978</f>
        <v>Sep-2017</v>
      </c>
      <c r="C10978">
        <f>TEST_DATA!C10978</f>
        <v>44436</v>
      </c>
      <c r="D10978" t="str">
        <f>TEST_DATA!D10978</f>
        <v>NON-NIL</v>
      </c>
      <c r="E10978">
        <f>TEST_DATA!E10978</f>
        <v>2118</v>
      </c>
    </row>
    <row r="10979" spans="1:5" x14ac:dyDescent="0.55000000000000004">
      <c r="A10979" t="str">
        <f>TEST_DATA!A10979</f>
        <v>27AAAAA10979Z5</v>
      </c>
      <c r="B10979" t="str">
        <f>TEST_DATA!B10979</f>
        <v>May-2018</v>
      </c>
      <c r="C10979">
        <f>TEST_DATA!C10979</f>
        <v>43022</v>
      </c>
      <c r="D10979" t="str">
        <f>TEST_DATA!D10979</f>
        <v>NIL</v>
      </c>
      <c r="E10979">
        <f>TEST_DATA!E10979</f>
        <v>2803</v>
      </c>
    </row>
    <row r="10980" spans="1:5" x14ac:dyDescent="0.55000000000000004">
      <c r="A10980" t="str">
        <f>TEST_DATA!A10980</f>
        <v>27AAAAA10980Z5</v>
      </c>
      <c r="B10980" t="str">
        <f>TEST_DATA!B10980</f>
        <v>Jul-2020</v>
      </c>
      <c r="C10980">
        <f>TEST_DATA!C10980</f>
        <v>44760</v>
      </c>
      <c r="D10980" t="str">
        <f>TEST_DATA!D10980</f>
        <v>NON-NIL</v>
      </c>
      <c r="E10980">
        <f>TEST_DATA!E10980</f>
        <v>2484</v>
      </c>
    </row>
    <row r="10981" spans="1:5" x14ac:dyDescent="0.55000000000000004">
      <c r="A10981" t="str">
        <f>TEST_DATA!A10981</f>
        <v>27AAAAA10981Z5</v>
      </c>
      <c r="B10981" t="str">
        <f>TEST_DATA!B10981</f>
        <v>May-2020</v>
      </c>
      <c r="C10981">
        <f>TEST_DATA!C10981</f>
        <v>43885</v>
      </c>
      <c r="D10981" t="str">
        <f>TEST_DATA!D10981</f>
        <v>NIL</v>
      </c>
      <c r="E10981">
        <f>TEST_DATA!E10981</f>
        <v>1687</v>
      </c>
    </row>
    <row r="10982" spans="1:5" x14ac:dyDescent="0.55000000000000004">
      <c r="A10982" t="str">
        <f>TEST_DATA!A10982</f>
        <v>27AAAAA10982Z5</v>
      </c>
      <c r="B10982" t="str">
        <f>TEST_DATA!B10982</f>
        <v>Dec-2019</v>
      </c>
      <c r="C10982">
        <f>TEST_DATA!C10982</f>
        <v>43541</v>
      </c>
      <c r="D10982" t="str">
        <f>TEST_DATA!D10982</f>
        <v>NIL</v>
      </c>
      <c r="E10982">
        <f>TEST_DATA!E10982</f>
        <v>2488</v>
      </c>
    </row>
    <row r="10983" spans="1:5" x14ac:dyDescent="0.55000000000000004">
      <c r="A10983" t="str">
        <f>TEST_DATA!A10983</f>
        <v>27AAAAA10983Z5</v>
      </c>
      <c r="B10983" t="str">
        <f>TEST_DATA!B10983</f>
        <v>Aug-2017</v>
      </c>
      <c r="C10983">
        <f>TEST_DATA!C10983</f>
        <v>43883</v>
      </c>
      <c r="D10983" t="str">
        <f>TEST_DATA!D10983</f>
        <v>NIL</v>
      </c>
      <c r="E10983">
        <f>TEST_DATA!E10983</f>
        <v>707</v>
      </c>
    </row>
    <row r="10984" spans="1:5" x14ac:dyDescent="0.55000000000000004">
      <c r="A10984" t="str">
        <f>TEST_DATA!A10984</f>
        <v>27AAAAA10984Z5</v>
      </c>
      <c r="B10984" t="str">
        <f>TEST_DATA!B10984</f>
        <v>Jul-2017</v>
      </c>
      <c r="C10984">
        <f>TEST_DATA!C10984</f>
        <v>44065</v>
      </c>
      <c r="D10984" t="str">
        <f>TEST_DATA!D10984</f>
        <v>NON-NIL</v>
      </c>
      <c r="E10984">
        <f>TEST_DATA!E10984</f>
        <v>349</v>
      </c>
    </row>
    <row r="10985" spans="1:5" x14ac:dyDescent="0.55000000000000004">
      <c r="A10985" t="str">
        <f>TEST_DATA!A10985</f>
        <v>27AAAAA10985Z5</v>
      </c>
      <c r="B10985" t="str">
        <f>TEST_DATA!B10985</f>
        <v>Mar-2023</v>
      </c>
      <c r="C10985">
        <f>TEST_DATA!C10985</f>
        <v>44107</v>
      </c>
      <c r="D10985" t="str">
        <f>TEST_DATA!D10985</f>
        <v>NIL</v>
      </c>
      <c r="E10985">
        <f>TEST_DATA!E10985</f>
        <v>2139</v>
      </c>
    </row>
    <row r="10986" spans="1:5" x14ac:dyDescent="0.55000000000000004">
      <c r="A10986" t="str">
        <f>TEST_DATA!A10986</f>
        <v>27AAAAA10986Z5</v>
      </c>
      <c r="B10986" t="str">
        <f>TEST_DATA!B10986</f>
        <v>Mar-2020</v>
      </c>
      <c r="C10986">
        <f>TEST_DATA!C10986</f>
        <v>44402</v>
      </c>
      <c r="D10986" t="str">
        <f>TEST_DATA!D10986</f>
        <v>NON-NIL</v>
      </c>
      <c r="E10986">
        <f>TEST_DATA!E10986</f>
        <v>737</v>
      </c>
    </row>
    <row r="10987" spans="1:5" x14ac:dyDescent="0.55000000000000004">
      <c r="A10987" t="str">
        <f>TEST_DATA!A10987</f>
        <v>27AAAAA10987Z5</v>
      </c>
      <c r="B10987" t="str">
        <f>TEST_DATA!B10987</f>
        <v>Feb-2018</v>
      </c>
      <c r="C10987">
        <f>TEST_DATA!C10987</f>
        <v>44138</v>
      </c>
      <c r="D10987" t="str">
        <f>TEST_DATA!D10987</f>
        <v>NON-NIL</v>
      </c>
      <c r="E10987">
        <f>TEST_DATA!E10987</f>
        <v>2335</v>
      </c>
    </row>
    <row r="10988" spans="1:5" x14ac:dyDescent="0.55000000000000004">
      <c r="A10988" t="str">
        <f>TEST_DATA!A10988</f>
        <v>27AAAAA10988Z5</v>
      </c>
      <c r="B10988" t="str">
        <f>TEST_DATA!B10988</f>
        <v>Aug-2018</v>
      </c>
      <c r="C10988">
        <f>TEST_DATA!C10988</f>
        <v>44498</v>
      </c>
      <c r="D10988" t="str">
        <f>TEST_DATA!D10988</f>
        <v>NIL</v>
      </c>
      <c r="E10988">
        <f>TEST_DATA!E10988</f>
        <v>538</v>
      </c>
    </row>
    <row r="10989" spans="1:5" x14ac:dyDescent="0.55000000000000004">
      <c r="A10989" t="str">
        <f>TEST_DATA!A10989</f>
        <v>27AAAAA10989Z5</v>
      </c>
      <c r="B10989" t="str">
        <f>TEST_DATA!B10989</f>
        <v>Feb-2018</v>
      </c>
      <c r="C10989">
        <f>TEST_DATA!C10989</f>
        <v>43346</v>
      </c>
      <c r="D10989" t="str">
        <f>TEST_DATA!D10989</f>
        <v>NIL</v>
      </c>
      <c r="E10989">
        <f>TEST_DATA!E10989</f>
        <v>1342</v>
      </c>
    </row>
    <row r="10990" spans="1:5" x14ac:dyDescent="0.55000000000000004">
      <c r="A10990" t="str">
        <f>TEST_DATA!A10990</f>
        <v>27AAAAA10990Z5</v>
      </c>
      <c r="B10990" t="str">
        <f>TEST_DATA!B10990</f>
        <v>Apr-2021</v>
      </c>
      <c r="C10990">
        <f>TEST_DATA!C10990</f>
        <v>45579</v>
      </c>
      <c r="D10990" t="str">
        <f>TEST_DATA!D10990</f>
        <v>NON-NIL</v>
      </c>
      <c r="E10990">
        <f>TEST_DATA!E10990</f>
        <v>1436</v>
      </c>
    </row>
    <row r="10991" spans="1:5" x14ac:dyDescent="0.55000000000000004">
      <c r="A10991" t="str">
        <f>TEST_DATA!A10991</f>
        <v>27AAAAA10991Z5</v>
      </c>
      <c r="B10991" t="str">
        <f>TEST_DATA!B10991</f>
        <v>Oct-2017</v>
      </c>
      <c r="C10991">
        <f>TEST_DATA!C10991</f>
        <v>43859</v>
      </c>
      <c r="D10991" t="str">
        <f>TEST_DATA!D10991</f>
        <v>NON-NIL</v>
      </c>
      <c r="E10991">
        <f>TEST_DATA!E10991</f>
        <v>1824</v>
      </c>
    </row>
    <row r="10992" spans="1:5" x14ac:dyDescent="0.55000000000000004">
      <c r="A10992" t="str">
        <f>TEST_DATA!A10992</f>
        <v>27AAAAA10992Z5</v>
      </c>
      <c r="B10992" t="str">
        <f>TEST_DATA!B10992</f>
        <v>Apr-2021</v>
      </c>
      <c r="C10992">
        <f>TEST_DATA!C10992</f>
        <v>43587</v>
      </c>
      <c r="D10992" t="str">
        <f>TEST_DATA!D10992</f>
        <v>NIL</v>
      </c>
      <c r="E10992">
        <f>TEST_DATA!E10992</f>
        <v>685</v>
      </c>
    </row>
    <row r="10993" spans="1:5" x14ac:dyDescent="0.55000000000000004">
      <c r="A10993" t="str">
        <f>TEST_DATA!A10993</f>
        <v>27AAAAA10993Z5</v>
      </c>
      <c r="B10993" t="str">
        <f>TEST_DATA!B10993</f>
        <v>Jan-2018</v>
      </c>
      <c r="C10993">
        <f>TEST_DATA!C10993</f>
        <v>42945</v>
      </c>
      <c r="D10993" t="str">
        <f>TEST_DATA!D10993</f>
        <v>NIL</v>
      </c>
      <c r="E10993">
        <f>TEST_DATA!E10993</f>
        <v>1777</v>
      </c>
    </row>
    <row r="10994" spans="1:5" x14ac:dyDescent="0.55000000000000004">
      <c r="A10994" t="str">
        <f>TEST_DATA!A10994</f>
        <v>27AAAAA10994Z5</v>
      </c>
      <c r="B10994" t="str">
        <f>TEST_DATA!B10994</f>
        <v>Mar-2023</v>
      </c>
      <c r="C10994">
        <f>TEST_DATA!C10994</f>
        <v>43478</v>
      </c>
      <c r="D10994" t="str">
        <f>TEST_DATA!D10994</f>
        <v>NON-NIL</v>
      </c>
      <c r="E10994">
        <f>TEST_DATA!E10994</f>
        <v>274</v>
      </c>
    </row>
    <row r="10995" spans="1:5" x14ac:dyDescent="0.55000000000000004">
      <c r="A10995" t="str">
        <f>TEST_DATA!A10995</f>
        <v>27AAAAA10995Z5</v>
      </c>
      <c r="B10995" t="str">
        <f>TEST_DATA!B10995</f>
        <v>Sep-2018</v>
      </c>
      <c r="C10995">
        <f>TEST_DATA!C10995</f>
        <v>43605</v>
      </c>
      <c r="D10995" t="str">
        <f>TEST_DATA!D10995</f>
        <v>NIL</v>
      </c>
      <c r="E10995">
        <f>TEST_DATA!E10995</f>
        <v>693</v>
      </c>
    </row>
    <row r="10996" spans="1:5" x14ac:dyDescent="0.55000000000000004">
      <c r="A10996" t="str">
        <f>TEST_DATA!A10996</f>
        <v>27AAAAA10996Z5</v>
      </c>
      <c r="B10996" t="str">
        <f>TEST_DATA!B10996</f>
        <v>Apr-2021</v>
      </c>
      <c r="C10996">
        <f>TEST_DATA!C10996</f>
        <v>44611</v>
      </c>
      <c r="D10996" t="str">
        <f>TEST_DATA!D10996</f>
        <v>NIL</v>
      </c>
      <c r="E10996">
        <f>TEST_DATA!E10996</f>
        <v>905</v>
      </c>
    </row>
    <row r="10997" spans="1:5" x14ac:dyDescent="0.55000000000000004">
      <c r="A10997" t="str">
        <f>TEST_DATA!A10997</f>
        <v>27AAAAA10997Z5</v>
      </c>
      <c r="B10997" t="str">
        <f>TEST_DATA!B10997</f>
        <v>Jul-2017</v>
      </c>
      <c r="C10997">
        <f>TEST_DATA!C10997</f>
        <v>43013</v>
      </c>
      <c r="D10997" t="str">
        <f>TEST_DATA!D10997</f>
        <v>NON-NIL</v>
      </c>
      <c r="E10997">
        <f>TEST_DATA!E10997</f>
        <v>2102</v>
      </c>
    </row>
    <row r="10998" spans="1:5" x14ac:dyDescent="0.55000000000000004">
      <c r="A10998" t="str">
        <f>TEST_DATA!A10998</f>
        <v>27AAAAA10998Z5</v>
      </c>
      <c r="B10998" t="str">
        <f>TEST_DATA!B10998</f>
        <v>May-2020</v>
      </c>
      <c r="C10998">
        <f>TEST_DATA!C10998</f>
        <v>44697</v>
      </c>
      <c r="D10998" t="str">
        <f>TEST_DATA!D10998</f>
        <v>NON-NIL</v>
      </c>
      <c r="E10998">
        <f>TEST_DATA!E10998</f>
        <v>2660</v>
      </c>
    </row>
    <row r="10999" spans="1:5" x14ac:dyDescent="0.55000000000000004">
      <c r="A10999" t="str">
        <f>TEST_DATA!A10999</f>
        <v>27AAAAA10999Z5</v>
      </c>
      <c r="B10999" t="str">
        <f>TEST_DATA!B10999</f>
        <v>Jun-2018</v>
      </c>
      <c r="C10999">
        <f>TEST_DATA!C10999</f>
        <v>43973</v>
      </c>
      <c r="D10999" t="str">
        <f>TEST_DATA!D10999</f>
        <v>NON-NIL</v>
      </c>
      <c r="E10999">
        <f>TEST_DATA!E10999</f>
        <v>1329</v>
      </c>
    </row>
    <row r="11000" spans="1:5" x14ac:dyDescent="0.55000000000000004">
      <c r="A11000" t="str">
        <f>TEST_DATA!A11000</f>
        <v>27AAAAA11000Z5</v>
      </c>
      <c r="B11000" t="str">
        <f>TEST_DATA!B11000</f>
        <v>May-2018</v>
      </c>
      <c r="C11000">
        <f>TEST_DATA!C11000</f>
        <v>44315</v>
      </c>
      <c r="D11000" t="str">
        <f>TEST_DATA!D11000</f>
        <v>NON-NIL</v>
      </c>
      <c r="E11000">
        <f>TEST_DATA!E11000</f>
        <v>20</v>
      </c>
    </row>
    <row r="11001" spans="1:5" x14ac:dyDescent="0.55000000000000004">
      <c r="A11001" t="str">
        <f>TEST_DATA!A11001</f>
        <v>27AAAAA11001Z5</v>
      </c>
      <c r="B11001" t="str">
        <f>TEST_DATA!B11001</f>
        <v>Mar-2020</v>
      </c>
      <c r="C11001">
        <f>TEST_DATA!C11001</f>
        <v>44524</v>
      </c>
      <c r="D11001" t="str">
        <f>TEST_DATA!D11001</f>
        <v>NIL</v>
      </c>
      <c r="E11001">
        <f>TEST_DATA!E11001</f>
        <v>1243</v>
      </c>
    </row>
    <row r="11002" spans="1:5" x14ac:dyDescent="0.55000000000000004">
      <c r="A11002" t="str">
        <f>TEST_DATA!A11002</f>
        <v>27AAAAA11002Z5</v>
      </c>
      <c r="B11002" t="str">
        <f>TEST_DATA!B11002</f>
        <v>May-2018</v>
      </c>
      <c r="C11002">
        <f>TEST_DATA!C11002</f>
        <v>43005</v>
      </c>
      <c r="D11002" t="str">
        <f>TEST_DATA!D11002</f>
        <v>NON-NIL</v>
      </c>
      <c r="E11002">
        <f>TEST_DATA!E11002</f>
        <v>2533</v>
      </c>
    </row>
    <row r="11003" spans="1:5" x14ac:dyDescent="0.55000000000000004">
      <c r="A11003" t="str">
        <f>TEST_DATA!A11003</f>
        <v>27AAAAA11003Z5</v>
      </c>
      <c r="B11003" t="str">
        <f>TEST_DATA!B11003</f>
        <v>Dec-2022</v>
      </c>
      <c r="C11003">
        <f>TEST_DATA!C11003</f>
        <v>45258</v>
      </c>
      <c r="D11003" t="str">
        <f>TEST_DATA!D11003</f>
        <v>NIL</v>
      </c>
      <c r="E11003">
        <f>TEST_DATA!E11003</f>
        <v>1016</v>
      </c>
    </row>
    <row r="11004" spans="1:5" x14ac:dyDescent="0.55000000000000004">
      <c r="A11004" t="str">
        <f>TEST_DATA!A11004</f>
        <v>27AAAAA11004Z5</v>
      </c>
      <c r="B11004" t="str">
        <f>TEST_DATA!B11004</f>
        <v>Jul-2018</v>
      </c>
      <c r="C11004">
        <f>TEST_DATA!C11004</f>
        <v>43761</v>
      </c>
      <c r="D11004" t="str">
        <f>TEST_DATA!D11004</f>
        <v>NON-NIL</v>
      </c>
      <c r="E11004">
        <f>TEST_DATA!E11004</f>
        <v>2773</v>
      </c>
    </row>
    <row r="11005" spans="1:5" x14ac:dyDescent="0.55000000000000004">
      <c r="A11005" t="str">
        <f>TEST_DATA!A11005</f>
        <v>27AAAAA11005Z5</v>
      </c>
      <c r="B11005" t="str">
        <f>TEST_DATA!B11005</f>
        <v>Jul-2018</v>
      </c>
      <c r="C11005">
        <f>TEST_DATA!C11005</f>
        <v>43179</v>
      </c>
      <c r="D11005" t="str">
        <f>TEST_DATA!D11005</f>
        <v>NON-NIL</v>
      </c>
      <c r="E11005">
        <f>TEST_DATA!E11005</f>
        <v>729</v>
      </c>
    </row>
    <row r="11006" spans="1:5" x14ac:dyDescent="0.55000000000000004">
      <c r="A11006" t="str">
        <f>TEST_DATA!A11006</f>
        <v>27AAAAA11006Z5</v>
      </c>
      <c r="B11006" t="str">
        <f>TEST_DATA!B11006</f>
        <v>Jun-2019</v>
      </c>
      <c r="C11006">
        <f>TEST_DATA!C11006</f>
        <v>45224</v>
      </c>
      <c r="D11006" t="str">
        <f>TEST_DATA!D11006</f>
        <v>NON-NIL</v>
      </c>
      <c r="E11006">
        <f>TEST_DATA!E11006</f>
        <v>427</v>
      </c>
    </row>
    <row r="11007" spans="1:5" x14ac:dyDescent="0.55000000000000004">
      <c r="A11007" t="str">
        <f>TEST_DATA!A11007</f>
        <v>27AAAAA11007Z5</v>
      </c>
      <c r="B11007" t="str">
        <f>TEST_DATA!B11007</f>
        <v>Dec-2019</v>
      </c>
      <c r="C11007">
        <f>TEST_DATA!C11007</f>
        <v>43977</v>
      </c>
      <c r="D11007" t="str">
        <f>TEST_DATA!D11007</f>
        <v>NON-NIL</v>
      </c>
      <c r="E11007">
        <f>TEST_DATA!E11007</f>
        <v>2825</v>
      </c>
    </row>
    <row r="11008" spans="1:5" x14ac:dyDescent="0.55000000000000004">
      <c r="A11008" t="str">
        <f>TEST_DATA!A11008</f>
        <v>27AAAAA11008Z5</v>
      </c>
      <c r="B11008" t="str">
        <f>TEST_DATA!B11008</f>
        <v>Nov-2017</v>
      </c>
      <c r="C11008">
        <f>TEST_DATA!C11008</f>
        <v>42997</v>
      </c>
      <c r="D11008" t="str">
        <f>TEST_DATA!D11008</f>
        <v>NON-NIL</v>
      </c>
      <c r="E11008">
        <f>TEST_DATA!E11008</f>
        <v>925</v>
      </c>
    </row>
    <row r="11009" spans="1:5" x14ac:dyDescent="0.55000000000000004">
      <c r="A11009" t="str">
        <f>TEST_DATA!A11009</f>
        <v>27AAAAA11009Z5</v>
      </c>
      <c r="B11009" t="str">
        <f>TEST_DATA!B11009</f>
        <v>May-2020</v>
      </c>
      <c r="C11009">
        <f>TEST_DATA!C11009</f>
        <v>44384</v>
      </c>
      <c r="D11009" t="str">
        <f>TEST_DATA!D11009</f>
        <v>NON-NIL</v>
      </c>
      <c r="E11009">
        <f>TEST_DATA!E11009</f>
        <v>188</v>
      </c>
    </row>
    <row r="11010" spans="1:5" x14ac:dyDescent="0.55000000000000004">
      <c r="A11010" t="str">
        <f>TEST_DATA!A11010</f>
        <v>27AAAAA11010Z5</v>
      </c>
      <c r="B11010" t="str">
        <f>TEST_DATA!B11010</f>
        <v>Jun-2020</v>
      </c>
      <c r="C11010">
        <f>TEST_DATA!C11010</f>
        <v>44361</v>
      </c>
      <c r="D11010" t="str">
        <f>TEST_DATA!D11010</f>
        <v>NON-NIL</v>
      </c>
      <c r="E11010">
        <f>TEST_DATA!E11010</f>
        <v>598</v>
      </c>
    </row>
    <row r="11011" spans="1:5" x14ac:dyDescent="0.55000000000000004">
      <c r="A11011" t="str">
        <f>TEST_DATA!A11011</f>
        <v>27AAAAA11011Z5</v>
      </c>
      <c r="B11011" t="str">
        <f>TEST_DATA!B11011</f>
        <v>Oct-2017</v>
      </c>
      <c r="C11011">
        <f>TEST_DATA!C11011</f>
        <v>43914</v>
      </c>
      <c r="D11011" t="str">
        <f>TEST_DATA!D11011</f>
        <v>NON-NIL</v>
      </c>
      <c r="E11011">
        <f>TEST_DATA!E11011</f>
        <v>1068</v>
      </c>
    </row>
    <row r="11012" spans="1:5" x14ac:dyDescent="0.55000000000000004">
      <c r="A11012" t="str">
        <f>TEST_DATA!A11012</f>
        <v>27AAAAA11012Z5</v>
      </c>
      <c r="B11012" t="str">
        <f>TEST_DATA!B11012</f>
        <v>Jun-2020</v>
      </c>
      <c r="C11012">
        <f>TEST_DATA!C11012</f>
        <v>44227</v>
      </c>
      <c r="D11012" t="str">
        <f>TEST_DATA!D11012</f>
        <v>NON-NIL</v>
      </c>
      <c r="E11012">
        <f>TEST_DATA!E11012</f>
        <v>2477</v>
      </c>
    </row>
    <row r="11013" spans="1:5" x14ac:dyDescent="0.55000000000000004">
      <c r="A11013" t="str">
        <f>TEST_DATA!A11013</f>
        <v>27AAAAA11013Z5</v>
      </c>
      <c r="B11013" t="str">
        <f>TEST_DATA!B11013</f>
        <v>Mar-2023</v>
      </c>
      <c r="C11013">
        <f>TEST_DATA!C11013</f>
        <v>44290</v>
      </c>
      <c r="D11013" t="str">
        <f>TEST_DATA!D11013</f>
        <v>NON-NIL</v>
      </c>
      <c r="E11013">
        <f>TEST_DATA!E11013</f>
        <v>436</v>
      </c>
    </row>
    <row r="11014" spans="1:5" x14ac:dyDescent="0.55000000000000004">
      <c r="A11014" t="str">
        <f>TEST_DATA!A11014</f>
        <v>27AAAAA11014Z5</v>
      </c>
      <c r="B11014" t="str">
        <f>TEST_DATA!B11014</f>
        <v>Aug-2018</v>
      </c>
      <c r="C11014">
        <f>TEST_DATA!C11014</f>
        <v>44522</v>
      </c>
      <c r="D11014" t="str">
        <f>TEST_DATA!D11014</f>
        <v>NON-NIL</v>
      </c>
      <c r="E11014">
        <f>TEST_DATA!E11014</f>
        <v>1839</v>
      </c>
    </row>
    <row r="11015" spans="1:5" x14ac:dyDescent="0.55000000000000004">
      <c r="A11015" t="str">
        <f>TEST_DATA!A11015</f>
        <v>27AAAAA11015Z5</v>
      </c>
      <c r="B11015" t="str">
        <f>TEST_DATA!B11015</f>
        <v>Mar-2018</v>
      </c>
      <c r="C11015">
        <f>TEST_DATA!C11015</f>
        <v>42985</v>
      </c>
      <c r="D11015" t="str">
        <f>TEST_DATA!D11015</f>
        <v>NON-NIL</v>
      </c>
      <c r="E11015">
        <f>TEST_DATA!E11015</f>
        <v>2277</v>
      </c>
    </row>
    <row r="11016" spans="1:5" x14ac:dyDescent="0.55000000000000004">
      <c r="A11016" t="str">
        <f>TEST_DATA!A11016</f>
        <v>27AAAAA11016Z5</v>
      </c>
      <c r="B11016" t="str">
        <f>TEST_DATA!B11016</f>
        <v>Dec-2024</v>
      </c>
      <c r="C11016">
        <f>TEST_DATA!C11016</f>
        <v>45758</v>
      </c>
      <c r="D11016" t="str">
        <f>TEST_DATA!D11016</f>
        <v>NON-NIL</v>
      </c>
      <c r="E11016">
        <f>TEST_DATA!E11016</f>
        <v>2308</v>
      </c>
    </row>
    <row r="11017" spans="1:5" x14ac:dyDescent="0.55000000000000004">
      <c r="A11017" t="str">
        <f>TEST_DATA!A11017</f>
        <v>27AAAAA11017Z5</v>
      </c>
      <c r="B11017" t="str">
        <f>TEST_DATA!B11017</f>
        <v>Jun-2019</v>
      </c>
      <c r="C11017">
        <f>TEST_DATA!C11017</f>
        <v>44940</v>
      </c>
      <c r="D11017" t="str">
        <f>TEST_DATA!D11017</f>
        <v>NON-NIL</v>
      </c>
      <c r="E11017">
        <f>TEST_DATA!E11017</f>
        <v>1828</v>
      </c>
    </row>
    <row r="11018" spans="1:5" x14ac:dyDescent="0.55000000000000004">
      <c r="A11018" t="str">
        <f>TEST_DATA!A11018</f>
        <v>27AAAAA11018Z5</v>
      </c>
      <c r="B11018" t="str">
        <f>TEST_DATA!B11018</f>
        <v>Mar-2018</v>
      </c>
      <c r="C11018">
        <f>TEST_DATA!C11018</f>
        <v>44187</v>
      </c>
      <c r="D11018" t="str">
        <f>TEST_DATA!D11018</f>
        <v>NIL</v>
      </c>
      <c r="E11018">
        <f>TEST_DATA!E11018</f>
        <v>352</v>
      </c>
    </row>
    <row r="11019" spans="1:5" x14ac:dyDescent="0.55000000000000004">
      <c r="A11019" t="str">
        <f>TEST_DATA!A11019</f>
        <v>27AAAAA11019Z5</v>
      </c>
      <c r="B11019" t="str">
        <f>TEST_DATA!B11019</f>
        <v>Aug-2017</v>
      </c>
      <c r="C11019">
        <f>TEST_DATA!C11019</f>
        <v>43726</v>
      </c>
      <c r="D11019" t="str">
        <f>TEST_DATA!D11019</f>
        <v>NON-NIL</v>
      </c>
      <c r="E11019">
        <f>TEST_DATA!E11019</f>
        <v>1874</v>
      </c>
    </row>
    <row r="11020" spans="1:5" x14ac:dyDescent="0.55000000000000004">
      <c r="A11020" t="str">
        <f>TEST_DATA!A11020</f>
        <v>27AAAAA11020Z5</v>
      </c>
      <c r="B11020" t="str">
        <f>TEST_DATA!B11020</f>
        <v>May-2020</v>
      </c>
      <c r="C11020">
        <f>TEST_DATA!C11020</f>
        <v>44140</v>
      </c>
      <c r="D11020" t="str">
        <f>TEST_DATA!D11020</f>
        <v>NON-NIL</v>
      </c>
      <c r="E11020">
        <f>TEST_DATA!E11020</f>
        <v>1186</v>
      </c>
    </row>
    <row r="11021" spans="1:5" x14ac:dyDescent="0.55000000000000004">
      <c r="A11021" t="str">
        <f>TEST_DATA!A11021</f>
        <v>27AAAAA11021Z5</v>
      </c>
      <c r="B11021" t="str">
        <f>TEST_DATA!B11021</f>
        <v>Sep-2017</v>
      </c>
      <c r="C11021">
        <f>TEST_DATA!C11021</f>
        <v>43949</v>
      </c>
      <c r="D11021" t="str">
        <f>TEST_DATA!D11021</f>
        <v>NON-NIL</v>
      </c>
      <c r="E11021">
        <f>TEST_DATA!E11021</f>
        <v>2559</v>
      </c>
    </row>
    <row r="11022" spans="1:5" x14ac:dyDescent="0.55000000000000004">
      <c r="A11022" t="str">
        <f>TEST_DATA!A11022</f>
        <v>27AAAAA11022Z5</v>
      </c>
      <c r="B11022" t="str">
        <f>TEST_DATA!B11022</f>
        <v>Feb-2018</v>
      </c>
      <c r="C11022">
        <f>TEST_DATA!C11022</f>
        <v>44254</v>
      </c>
      <c r="D11022" t="str">
        <f>TEST_DATA!D11022</f>
        <v>NON-NIL</v>
      </c>
      <c r="E11022">
        <f>TEST_DATA!E11022</f>
        <v>2203</v>
      </c>
    </row>
    <row r="11023" spans="1:5" x14ac:dyDescent="0.55000000000000004">
      <c r="A11023" t="str">
        <f>TEST_DATA!A11023</f>
        <v>27AAAAA11023Z5</v>
      </c>
      <c r="B11023" t="str">
        <f>TEST_DATA!B11023</f>
        <v>Apr-2020</v>
      </c>
      <c r="C11023">
        <f>TEST_DATA!C11023</f>
        <v>44480</v>
      </c>
      <c r="D11023" t="str">
        <f>TEST_DATA!D11023</f>
        <v>NIL</v>
      </c>
      <c r="E11023">
        <f>TEST_DATA!E11023</f>
        <v>1861</v>
      </c>
    </row>
    <row r="11024" spans="1:5" x14ac:dyDescent="0.55000000000000004">
      <c r="A11024" t="str">
        <f>TEST_DATA!A11024</f>
        <v>27AAAAA11024Z5</v>
      </c>
      <c r="B11024" t="str">
        <f>TEST_DATA!B11024</f>
        <v>Jan-2019</v>
      </c>
      <c r="C11024">
        <f>TEST_DATA!C11024</f>
        <v>43680</v>
      </c>
      <c r="D11024" t="str">
        <f>TEST_DATA!D11024</f>
        <v>NIL</v>
      </c>
      <c r="E11024">
        <f>TEST_DATA!E11024</f>
        <v>655</v>
      </c>
    </row>
    <row r="11025" spans="1:5" x14ac:dyDescent="0.55000000000000004">
      <c r="A11025" t="str">
        <f>TEST_DATA!A11025</f>
        <v>27AAAAA11025Z5</v>
      </c>
      <c r="B11025" t="str">
        <f>TEST_DATA!B11025</f>
        <v>Mar-2018</v>
      </c>
      <c r="C11025">
        <f>TEST_DATA!C11025</f>
        <v>44094</v>
      </c>
      <c r="D11025" t="str">
        <f>TEST_DATA!D11025</f>
        <v>NIL</v>
      </c>
      <c r="E11025">
        <f>TEST_DATA!E11025</f>
        <v>448</v>
      </c>
    </row>
    <row r="11026" spans="1:5" x14ac:dyDescent="0.55000000000000004">
      <c r="A11026" t="str">
        <f>TEST_DATA!A11026</f>
        <v>27AAAAA11026Z5</v>
      </c>
      <c r="B11026" t="str">
        <f>TEST_DATA!B11026</f>
        <v>Aug-2018</v>
      </c>
      <c r="C11026">
        <f>TEST_DATA!C11026</f>
        <v>44433</v>
      </c>
      <c r="D11026" t="str">
        <f>TEST_DATA!D11026</f>
        <v>NON-NIL</v>
      </c>
      <c r="E11026">
        <f>TEST_DATA!E11026</f>
        <v>1459</v>
      </c>
    </row>
    <row r="11027" spans="1:5" x14ac:dyDescent="0.55000000000000004">
      <c r="A11027" t="str">
        <f>TEST_DATA!A11027</f>
        <v>27AAAAA11027Z5</v>
      </c>
      <c r="B11027" t="str">
        <f>TEST_DATA!B11027</f>
        <v>Jun-2020</v>
      </c>
      <c r="C11027">
        <f>TEST_DATA!C11027</f>
        <v>44899</v>
      </c>
      <c r="D11027" t="str">
        <f>TEST_DATA!D11027</f>
        <v>NIL</v>
      </c>
      <c r="E11027">
        <f>TEST_DATA!E11027</f>
        <v>1059</v>
      </c>
    </row>
    <row r="11028" spans="1:5" x14ac:dyDescent="0.55000000000000004">
      <c r="A11028" t="str">
        <f>TEST_DATA!A11028</f>
        <v>27AAAAA11028Z5</v>
      </c>
      <c r="B11028" t="str">
        <f>TEST_DATA!B11028</f>
        <v>Feb-2018</v>
      </c>
      <c r="C11028">
        <f>TEST_DATA!C11028</f>
        <v>43815</v>
      </c>
      <c r="D11028" t="str">
        <f>TEST_DATA!D11028</f>
        <v>NIL</v>
      </c>
      <c r="E11028">
        <f>TEST_DATA!E11028</f>
        <v>1107</v>
      </c>
    </row>
    <row r="11029" spans="1:5" x14ac:dyDescent="0.55000000000000004">
      <c r="A11029" t="str">
        <f>TEST_DATA!A11029</f>
        <v>27AAAAA11029Z5</v>
      </c>
      <c r="B11029" t="str">
        <f>TEST_DATA!B11029</f>
        <v>Sep-2018</v>
      </c>
      <c r="C11029">
        <f>TEST_DATA!C11029</f>
        <v>42922</v>
      </c>
      <c r="D11029" t="str">
        <f>TEST_DATA!D11029</f>
        <v>NON-NIL</v>
      </c>
      <c r="E11029">
        <f>TEST_DATA!E11029</f>
        <v>160</v>
      </c>
    </row>
    <row r="11030" spans="1:5" x14ac:dyDescent="0.55000000000000004">
      <c r="A11030" t="str">
        <f>TEST_DATA!A11030</f>
        <v>27AAAAA11030Z5</v>
      </c>
      <c r="B11030" t="str">
        <f>TEST_DATA!B11030</f>
        <v>Jan-2019</v>
      </c>
      <c r="C11030">
        <f>TEST_DATA!C11030</f>
        <v>44288</v>
      </c>
      <c r="D11030" t="str">
        <f>TEST_DATA!D11030</f>
        <v>NON-NIL</v>
      </c>
      <c r="E11030">
        <f>TEST_DATA!E11030</f>
        <v>1411</v>
      </c>
    </row>
    <row r="11031" spans="1:5" x14ac:dyDescent="0.55000000000000004">
      <c r="A11031" t="str">
        <f>TEST_DATA!A11031</f>
        <v>27AAAAA11031Z5</v>
      </c>
      <c r="B11031" t="str">
        <f>TEST_DATA!B11031</f>
        <v>Sep-2017</v>
      </c>
      <c r="C11031">
        <f>TEST_DATA!C11031</f>
        <v>44559</v>
      </c>
      <c r="D11031" t="str">
        <f>TEST_DATA!D11031</f>
        <v>NON-NIL</v>
      </c>
      <c r="E11031">
        <f>TEST_DATA!E11031</f>
        <v>1528</v>
      </c>
    </row>
    <row r="11032" spans="1:5" x14ac:dyDescent="0.55000000000000004">
      <c r="A11032" t="str">
        <f>TEST_DATA!A11032</f>
        <v>27AAAAA11032Z5</v>
      </c>
      <c r="B11032" t="str">
        <f>TEST_DATA!B11032</f>
        <v>Jul-2018</v>
      </c>
      <c r="C11032">
        <f>TEST_DATA!C11032</f>
        <v>44527</v>
      </c>
      <c r="D11032" t="str">
        <f>TEST_DATA!D11032</f>
        <v>NIL</v>
      </c>
      <c r="E11032">
        <f>TEST_DATA!E11032</f>
        <v>1769</v>
      </c>
    </row>
    <row r="11033" spans="1:5" x14ac:dyDescent="0.55000000000000004">
      <c r="A11033" t="str">
        <f>TEST_DATA!A11033</f>
        <v>27AAAAA11033Z5</v>
      </c>
      <c r="B11033" t="str">
        <f>TEST_DATA!B11033</f>
        <v>Dec-2024</v>
      </c>
      <c r="C11033">
        <f>TEST_DATA!C11033</f>
        <v>44037</v>
      </c>
      <c r="D11033" t="str">
        <f>TEST_DATA!D11033</f>
        <v>NIL</v>
      </c>
      <c r="E11033">
        <f>TEST_DATA!E11033</f>
        <v>903</v>
      </c>
    </row>
    <row r="11034" spans="1:5" x14ac:dyDescent="0.55000000000000004">
      <c r="A11034" t="str">
        <f>TEST_DATA!A11034</f>
        <v>27AAAAA11034Z5</v>
      </c>
      <c r="B11034" t="str">
        <f>TEST_DATA!B11034</f>
        <v>Jun-2020</v>
      </c>
      <c r="C11034">
        <f>TEST_DATA!C11034</f>
        <v>44156</v>
      </c>
      <c r="D11034" t="str">
        <f>TEST_DATA!D11034</f>
        <v>NON-NIL</v>
      </c>
      <c r="E11034">
        <f>TEST_DATA!E11034</f>
        <v>853</v>
      </c>
    </row>
    <row r="11035" spans="1:5" x14ac:dyDescent="0.55000000000000004">
      <c r="A11035" t="str">
        <f>TEST_DATA!A11035</f>
        <v>27AAAAA11035Z5</v>
      </c>
      <c r="B11035" t="str">
        <f>TEST_DATA!B11035</f>
        <v>May-2018</v>
      </c>
      <c r="C11035">
        <f>TEST_DATA!C11035</f>
        <v>44506</v>
      </c>
      <c r="D11035" t="str">
        <f>TEST_DATA!D11035</f>
        <v>NON-NIL</v>
      </c>
      <c r="E11035">
        <f>TEST_DATA!E11035</f>
        <v>482</v>
      </c>
    </row>
    <row r="11036" spans="1:5" x14ac:dyDescent="0.55000000000000004">
      <c r="A11036" t="str">
        <f>TEST_DATA!A11036</f>
        <v>27AAAAA11036Z5</v>
      </c>
      <c r="B11036" t="str">
        <f>TEST_DATA!B11036</f>
        <v>Nov-2017</v>
      </c>
      <c r="C11036">
        <f>TEST_DATA!C11036</f>
        <v>43662</v>
      </c>
      <c r="D11036" t="str">
        <f>TEST_DATA!D11036</f>
        <v>NON-NIL</v>
      </c>
      <c r="E11036">
        <f>TEST_DATA!E11036</f>
        <v>1981</v>
      </c>
    </row>
    <row r="11037" spans="1:5" x14ac:dyDescent="0.55000000000000004">
      <c r="A11037" t="str">
        <f>TEST_DATA!A11037</f>
        <v>27AAAAA11037Z5</v>
      </c>
      <c r="B11037" t="str">
        <f>TEST_DATA!B11037</f>
        <v>Dec-2017</v>
      </c>
      <c r="C11037">
        <f>TEST_DATA!C11037</f>
        <v>43065</v>
      </c>
      <c r="D11037" t="str">
        <f>TEST_DATA!D11037</f>
        <v>NIL</v>
      </c>
      <c r="E11037">
        <f>TEST_DATA!E11037</f>
        <v>1020</v>
      </c>
    </row>
    <row r="11038" spans="1:5" x14ac:dyDescent="0.55000000000000004">
      <c r="A11038" t="str">
        <f>TEST_DATA!A11038</f>
        <v>27AAAAA11038Z5</v>
      </c>
      <c r="B11038" t="str">
        <f>TEST_DATA!B11038</f>
        <v>Jul-2017</v>
      </c>
      <c r="C11038">
        <f>TEST_DATA!C11038</f>
        <v>42972</v>
      </c>
      <c r="D11038" t="str">
        <f>TEST_DATA!D11038</f>
        <v>NON-NIL</v>
      </c>
      <c r="E11038">
        <f>TEST_DATA!E11038</f>
        <v>1875</v>
      </c>
    </row>
    <row r="11039" spans="1:5" x14ac:dyDescent="0.55000000000000004">
      <c r="A11039" t="str">
        <f>TEST_DATA!A11039</f>
        <v>27AAAAA11039Z5</v>
      </c>
      <c r="B11039" t="str">
        <f>TEST_DATA!B11039</f>
        <v>Jun-2020</v>
      </c>
      <c r="C11039">
        <f>TEST_DATA!C11039</f>
        <v>44867</v>
      </c>
      <c r="D11039" t="str">
        <f>TEST_DATA!D11039</f>
        <v>NON-NIL</v>
      </c>
      <c r="E11039">
        <f>TEST_DATA!E11039</f>
        <v>2404</v>
      </c>
    </row>
    <row r="11040" spans="1:5" x14ac:dyDescent="0.55000000000000004">
      <c r="A11040" t="str">
        <f>TEST_DATA!A11040</f>
        <v>27AAAAA11040Z5</v>
      </c>
      <c r="B11040" t="str">
        <f>TEST_DATA!B11040</f>
        <v>Oct-2017</v>
      </c>
      <c r="C11040">
        <f>TEST_DATA!C11040</f>
        <v>43669</v>
      </c>
      <c r="D11040" t="str">
        <f>TEST_DATA!D11040</f>
        <v>NIL</v>
      </c>
      <c r="E11040">
        <f>TEST_DATA!E11040</f>
        <v>581</v>
      </c>
    </row>
    <row r="11041" spans="1:5" x14ac:dyDescent="0.55000000000000004">
      <c r="A11041" t="str">
        <f>TEST_DATA!A11041</f>
        <v>27AAAAA11041Z5</v>
      </c>
      <c r="B11041" t="str">
        <f>TEST_DATA!B11041</f>
        <v>Jul-2020</v>
      </c>
      <c r="C11041">
        <f>TEST_DATA!C11041</f>
        <v>44455</v>
      </c>
      <c r="D11041" t="str">
        <f>TEST_DATA!D11041</f>
        <v>NIL</v>
      </c>
      <c r="E11041">
        <f>TEST_DATA!E11041</f>
        <v>1394</v>
      </c>
    </row>
    <row r="11042" spans="1:5" x14ac:dyDescent="0.55000000000000004">
      <c r="A11042" t="str">
        <f>TEST_DATA!A11042</f>
        <v>27AAAAA11042Z5</v>
      </c>
      <c r="B11042" t="str">
        <f>TEST_DATA!B11042</f>
        <v>Mar-2021</v>
      </c>
      <c r="C11042">
        <f>TEST_DATA!C11042</f>
        <v>45056</v>
      </c>
      <c r="D11042" t="str">
        <f>TEST_DATA!D11042</f>
        <v>NON-NIL</v>
      </c>
      <c r="E11042">
        <f>TEST_DATA!E11042</f>
        <v>80</v>
      </c>
    </row>
    <row r="11043" spans="1:5" x14ac:dyDescent="0.55000000000000004">
      <c r="A11043" t="str">
        <f>TEST_DATA!A11043</f>
        <v>27AAAAA11043Z5</v>
      </c>
      <c r="B11043" t="str">
        <f>TEST_DATA!B11043</f>
        <v>Jul-2017</v>
      </c>
      <c r="C11043">
        <f>TEST_DATA!C11043</f>
        <v>44105</v>
      </c>
      <c r="D11043" t="str">
        <f>TEST_DATA!D11043</f>
        <v>NIL</v>
      </c>
      <c r="E11043">
        <f>TEST_DATA!E11043</f>
        <v>1366</v>
      </c>
    </row>
    <row r="11044" spans="1:5" x14ac:dyDescent="0.55000000000000004">
      <c r="A11044" t="str">
        <f>TEST_DATA!A11044</f>
        <v>27AAAAA11044Z5</v>
      </c>
      <c r="B11044" t="str">
        <f>TEST_DATA!B11044</f>
        <v>Jan-2019</v>
      </c>
      <c r="C11044">
        <f>TEST_DATA!C11044</f>
        <v>45668</v>
      </c>
      <c r="D11044" t="str">
        <f>TEST_DATA!D11044</f>
        <v>NIL</v>
      </c>
      <c r="E11044">
        <f>TEST_DATA!E11044</f>
        <v>1668</v>
      </c>
    </row>
    <row r="11045" spans="1:5" x14ac:dyDescent="0.55000000000000004">
      <c r="A11045" t="str">
        <f>TEST_DATA!A11045</f>
        <v>27AAAAA11045Z5</v>
      </c>
      <c r="B11045" t="str">
        <f>TEST_DATA!B11045</f>
        <v>May-2020</v>
      </c>
      <c r="C11045">
        <f>TEST_DATA!C11045</f>
        <v>43925</v>
      </c>
      <c r="D11045" t="str">
        <f>TEST_DATA!D11045</f>
        <v>NIL</v>
      </c>
      <c r="E11045">
        <f>TEST_DATA!E11045</f>
        <v>126</v>
      </c>
    </row>
    <row r="11046" spans="1:5" x14ac:dyDescent="0.55000000000000004">
      <c r="A11046" t="str">
        <f>TEST_DATA!A11046</f>
        <v>27AAAAA11046Z5</v>
      </c>
      <c r="B11046" t="str">
        <f>TEST_DATA!B11046</f>
        <v>Jan-2018</v>
      </c>
      <c r="C11046">
        <f>TEST_DATA!C11046</f>
        <v>43467</v>
      </c>
      <c r="D11046" t="str">
        <f>TEST_DATA!D11046</f>
        <v>NIL</v>
      </c>
      <c r="E11046">
        <f>TEST_DATA!E11046</f>
        <v>1007</v>
      </c>
    </row>
    <row r="11047" spans="1:5" x14ac:dyDescent="0.55000000000000004">
      <c r="A11047" t="str">
        <f>TEST_DATA!A11047</f>
        <v>27AAAAA11047Z5</v>
      </c>
      <c r="B11047" t="str">
        <f>TEST_DATA!B11047</f>
        <v>Dec-2022</v>
      </c>
      <c r="C11047">
        <f>TEST_DATA!C11047</f>
        <v>45127</v>
      </c>
      <c r="D11047" t="str">
        <f>TEST_DATA!D11047</f>
        <v>NON-NIL</v>
      </c>
      <c r="E11047">
        <f>TEST_DATA!E11047</f>
        <v>2679</v>
      </c>
    </row>
    <row r="11048" spans="1:5" x14ac:dyDescent="0.55000000000000004">
      <c r="A11048" t="str">
        <f>TEST_DATA!A11048</f>
        <v>27AAAAA11048Z5</v>
      </c>
      <c r="B11048" t="str">
        <f>TEST_DATA!B11048</f>
        <v>Jan-2018</v>
      </c>
      <c r="C11048">
        <f>TEST_DATA!C11048</f>
        <v>43173</v>
      </c>
      <c r="D11048" t="str">
        <f>TEST_DATA!D11048</f>
        <v>NON-NIL</v>
      </c>
      <c r="E11048">
        <f>TEST_DATA!E11048</f>
        <v>1776</v>
      </c>
    </row>
    <row r="11049" spans="1:5" x14ac:dyDescent="0.55000000000000004">
      <c r="A11049" t="str">
        <f>TEST_DATA!A11049</f>
        <v>27AAAAA11049Z5</v>
      </c>
      <c r="B11049" t="str">
        <f>TEST_DATA!B11049</f>
        <v>Jan-2021</v>
      </c>
      <c r="C11049">
        <f>TEST_DATA!C11049</f>
        <v>45661</v>
      </c>
      <c r="D11049" t="str">
        <f>TEST_DATA!D11049</f>
        <v>NON-NIL</v>
      </c>
      <c r="E11049">
        <f>TEST_DATA!E11049</f>
        <v>2525</v>
      </c>
    </row>
    <row r="11050" spans="1:5" x14ac:dyDescent="0.55000000000000004">
      <c r="A11050" t="str">
        <f>TEST_DATA!A11050</f>
        <v>27AAAAA11050Z5</v>
      </c>
      <c r="B11050" t="str">
        <f>TEST_DATA!B11050</f>
        <v>Dec-2024</v>
      </c>
      <c r="C11050">
        <f>TEST_DATA!C11050</f>
        <v>45283</v>
      </c>
      <c r="D11050" t="str">
        <f>TEST_DATA!D11050</f>
        <v>NON-NIL</v>
      </c>
      <c r="E11050">
        <f>TEST_DATA!E11050</f>
        <v>113</v>
      </c>
    </row>
    <row r="11051" spans="1:5" x14ac:dyDescent="0.55000000000000004">
      <c r="A11051" t="str">
        <f>TEST_DATA!A11051</f>
        <v>27AAAAA11051Z5</v>
      </c>
      <c r="B11051" t="str">
        <f>TEST_DATA!B11051</f>
        <v>Jan-2021</v>
      </c>
      <c r="C11051">
        <f>TEST_DATA!C11051</f>
        <v>45507</v>
      </c>
      <c r="D11051" t="str">
        <f>TEST_DATA!D11051</f>
        <v>NIL</v>
      </c>
      <c r="E11051">
        <f>TEST_DATA!E11051</f>
        <v>1745</v>
      </c>
    </row>
    <row r="11052" spans="1:5" x14ac:dyDescent="0.55000000000000004">
      <c r="A11052" t="str">
        <f>TEST_DATA!A11052</f>
        <v>27AAAAA11052Z5</v>
      </c>
      <c r="B11052" t="str">
        <f>TEST_DATA!B11052</f>
        <v>Aug-2017</v>
      </c>
      <c r="C11052">
        <f>TEST_DATA!C11052</f>
        <v>42967</v>
      </c>
      <c r="D11052" t="str">
        <f>TEST_DATA!D11052</f>
        <v>NON-NIL</v>
      </c>
      <c r="E11052">
        <f>TEST_DATA!E11052</f>
        <v>1115</v>
      </c>
    </row>
    <row r="11053" spans="1:5" x14ac:dyDescent="0.55000000000000004">
      <c r="A11053" t="str">
        <f>TEST_DATA!A11053</f>
        <v>27AAAAA11053Z5</v>
      </c>
      <c r="B11053" t="str">
        <f>TEST_DATA!B11053</f>
        <v>Jul-2018</v>
      </c>
      <c r="C11053">
        <f>TEST_DATA!C11053</f>
        <v>43120</v>
      </c>
      <c r="D11053" t="str">
        <f>TEST_DATA!D11053</f>
        <v>NON-NIL</v>
      </c>
      <c r="E11053">
        <f>TEST_DATA!E11053</f>
        <v>981</v>
      </c>
    </row>
    <row r="11054" spans="1:5" x14ac:dyDescent="0.55000000000000004">
      <c r="A11054" t="str">
        <f>TEST_DATA!A11054</f>
        <v>27AAAAA11054Z5</v>
      </c>
      <c r="B11054" t="str">
        <f>TEST_DATA!B11054</f>
        <v>Feb-2018</v>
      </c>
      <c r="C11054">
        <f>TEST_DATA!C11054</f>
        <v>43828</v>
      </c>
      <c r="D11054" t="str">
        <f>TEST_DATA!D11054</f>
        <v>NIL</v>
      </c>
      <c r="E11054">
        <f>TEST_DATA!E11054</f>
        <v>208</v>
      </c>
    </row>
    <row r="11055" spans="1:5" x14ac:dyDescent="0.55000000000000004">
      <c r="A11055" t="str">
        <f>TEST_DATA!A11055</f>
        <v>27AAAAA11055Z5</v>
      </c>
      <c r="B11055" t="str">
        <f>TEST_DATA!B11055</f>
        <v>Apr-2021</v>
      </c>
      <c r="C11055">
        <f>TEST_DATA!C11055</f>
        <v>44603</v>
      </c>
      <c r="D11055" t="str">
        <f>TEST_DATA!D11055</f>
        <v>NIL</v>
      </c>
      <c r="E11055">
        <f>TEST_DATA!E11055</f>
        <v>2988</v>
      </c>
    </row>
    <row r="11056" spans="1:5" x14ac:dyDescent="0.55000000000000004">
      <c r="A11056" t="str">
        <f>TEST_DATA!A11056</f>
        <v>27AAAAA11056Z5</v>
      </c>
      <c r="B11056" t="str">
        <f>TEST_DATA!B11056</f>
        <v>Mar-2023</v>
      </c>
      <c r="C11056">
        <f>TEST_DATA!C11056</f>
        <v>45465</v>
      </c>
      <c r="D11056" t="str">
        <f>TEST_DATA!D11056</f>
        <v>NON-NIL</v>
      </c>
      <c r="E11056">
        <f>TEST_DATA!E11056</f>
        <v>1162</v>
      </c>
    </row>
    <row r="11057" spans="1:5" x14ac:dyDescent="0.55000000000000004">
      <c r="A11057" t="str">
        <f>TEST_DATA!A11057</f>
        <v>27AAAAA11057Z5</v>
      </c>
      <c r="B11057" t="str">
        <f>TEST_DATA!B11057</f>
        <v>Jan-2018</v>
      </c>
      <c r="C11057">
        <f>TEST_DATA!C11057</f>
        <v>43710</v>
      </c>
      <c r="D11057" t="str">
        <f>TEST_DATA!D11057</f>
        <v>NON-NIL</v>
      </c>
      <c r="E11057">
        <f>TEST_DATA!E11057</f>
        <v>337</v>
      </c>
    </row>
    <row r="11058" spans="1:5" x14ac:dyDescent="0.55000000000000004">
      <c r="A11058" t="str">
        <f>TEST_DATA!A11058</f>
        <v>27AAAAA11058Z5</v>
      </c>
      <c r="B11058" t="str">
        <f>TEST_DATA!B11058</f>
        <v>Jun-2020</v>
      </c>
      <c r="C11058">
        <f>TEST_DATA!C11058</f>
        <v>44612</v>
      </c>
      <c r="D11058" t="str">
        <f>TEST_DATA!D11058</f>
        <v>NIL</v>
      </c>
      <c r="E11058">
        <f>TEST_DATA!E11058</f>
        <v>2063</v>
      </c>
    </row>
    <row r="11059" spans="1:5" x14ac:dyDescent="0.55000000000000004">
      <c r="A11059" t="str">
        <f>TEST_DATA!A11059</f>
        <v>27AAAAA11059Z5</v>
      </c>
      <c r="B11059" t="str">
        <f>TEST_DATA!B11059</f>
        <v>Jul-2020</v>
      </c>
      <c r="C11059">
        <f>TEST_DATA!C11059</f>
        <v>44769</v>
      </c>
      <c r="D11059" t="str">
        <f>TEST_DATA!D11059</f>
        <v>NON-NIL</v>
      </c>
      <c r="E11059">
        <f>TEST_DATA!E11059</f>
        <v>763</v>
      </c>
    </row>
    <row r="11060" spans="1:5" x14ac:dyDescent="0.55000000000000004">
      <c r="A11060" t="str">
        <f>TEST_DATA!A11060</f>
        <v>27AAAAA11060Z5</v>
      </c>
      <c r="B11060" t="str">
        <f>TEST_DATA!B11060</f>
        <v>Mar-2023</v>
      </c>
      <c r="C11060">
        <f>TEST_DATA!C11060</f>
        <v>43790</v>
      </c>
      <c r="D11060" t="str">
        <f>TEST_DATA!D11060</f>
        <v>NON-NIL</v>
      </c>
      <c r="E11060">
        <f>TEST_DATA!E11060</f>
        <v>1957</v>
      </c>
    </row>
    <row r="11061" spans="1:5" x14ac:dyDescent="0.55000000000000004">
      <c r="A11061" t="str">
        <f>TEST_DATA!A11061</f>
        <v>27AAAAA11061Z5</v>
      </c>
      <c r="B11061" t="str">
        <f>TEST_DATA!B11061</f>
        <v>Jul-2020</v>
      </c>
      <c r="C11061">
        <f>TEST_DATA!C11061</f>
        <v>44834</v>
      </c>
      <c r="D11061" t="str">
        <f>TEST_DATA!D11061</f>
        <v>NON-NIL</v>
      </c>
      <c r="E11061">
        <f>TEST_DATA!E11061</f>
        <v>25</v>
      </c>
    </row>
    <row r="11062" spans="1:5" x14ac:dyDescent="0.55000000000000004">
      <c r="A11062" t="str">
        <f>TEST_DATA!A11062</f>
        <v>27AAAAA11062Z5</v>
      </c>
      <c r="B11062" t="str">
        <f>TEST_DATA!B11062</f>
        <v>Jan-2021</v>
      </c>
      <c r="C11062">
        <f>TEST_DATA!C11062</f>
        <v>44797</v>
      </c>
      <c r="D11062" t="str">
        <f>TEST_DATA!D11062</f>
        <v>NON-NIL</v>
      </c>
      <c r="E11062">
        <f>TEST_DATA!E11062</f>
        <v>1534</v>
      </c>
    </row>
    <row r="11063" spans="1:5" x14ac:dyDescent="0.55000000000000004">
      <c r="A11063" t="str">
        <f>TEST_DATA!A11063</f>
        <v>27AAAAA11063Z5</v>
      </c>
      <c r="B11063" t="str">
        <f>TEST_DATA!B11063</f>
        <v>Dec-2022</v>
      </c>
      <c r="C11063">
        <f>TEST_DATA!C11063</f>
        <v>45520</v>
      </c>
      <c r="D11063" t="str">
        <f>TEST_DATA!D11063</f>
        <v>NON-NIL</v>
      </c>
      <c r="E11063">
        <f>TEST_DATA!E11063</f>
        <v>1757</v>
      </c>
    </row>
    <row r="11064" spans="1:5" x14ac:dyDescent="0.55000000000000004">
      <c r="A11064" t="str">
        <f>TEST_DATA!A11064</f>
        <v>27AAAAA11064Z5</v>
      </c>
      <c r="B11064" t="str">
        <f>TEST_DATA!B11064</f>
        <v>Oct-2017</v>
      </c>
      <c r="C11064">
        <f>TEST_DATA!C11064</f>
        <v>43989</v>
      </c>
      <c r="D11064" t="str">
        <f>TEST_DATA!D11064</f>
        <v>NIL</v>
      </c>
      <c r="E11064">
        <f>TEST_DATA!E11064</f>
        <v>1189</v>
      </c>
    </row>
    <row r="11065" spans="1:5" x14ac:dyDescent="0.55000000000000004">
      <c r="A11065" t="str">
        <f>TEST_DATA!A11065</f>
        <v>27AAAAA11065Z5</v>
      </c>
      <c r="B11065" t="str">
        <f>TEST_DATA!B11065</f>
        <v>Mar-2021</v>
      </c>
      <c r="C11065">
        <f>TEST_DATA!C11065</f>
        <v>45674</v>
      </c>
      <c r="D11065" t="str">
        <f>TEST_DATA!D11065</f>
        <v>NON-NIL</v>
      </c>
      <c r="E11065">
        <f>TEST_DATA!E11065</f>
        <v>1259</v>
      </c>
    </row>
    <row r="11066" spans="1:5" x14ac:dyDescent="0.55000000000000004">
      <c r="A11066" t="str">
        <f>TEST_DATA!A11066</f>
        <v>27AAAAA11066Z5</v>
      </c>
      <c r="B11066" t="str">
        <f>TEST_DATA!B11066</f>
        <v>Sep-2017</v>
      </c>
      <c r="C11066">
        <f>TEST_DATA!C11066</f>
        <v>43478</v>
      </c>
      <c r="D11066" t="str">
        <f>TEST_DATA!D11066</f>
        <v>NIL</v>
      </c>
      <c r="E11066">
        <f>TEST_DATA!E11066</f>
        <v>2003</v>
      </c>
    </row>
    <row r="11067" spans="1:5" x14ac:dyDescent="0.55000000000000004">
      <c r="A11067" t="str">
        <f>TEST_DATA!A11067</f>
        <v>27AAAAA11067Z5</v>
      </c>
      <c r="B11067" t="str">
        <f>TEST_DATA!B11067</f>
        <v>Jun-2019</v>
      </c>
      <c r="C11067">
        <f>TEST_DATA!C11067</f>
        <v>44946</v>
      </c>
      <c r="D11067" t="str">
        <f>TEST_DATA!D11067</f>
        <v>NIL</v>
      </c>
      <c r="E11067">
        <f>TEST_DATA!E11067</f>
        <v>2571</v>
      </c>
    </row>
    <row r="11068" spans="1:5" x14ac:dyDescent="0.55000000000000004">
      <c r="A11068" t="str">
        <f>TEST_DATA!A11068</f>
        <v>27AAAAA11068Z5</v>
      </c>
      <c r="B11068" t="str">
        <f>TEST_DATA!B11068</f>
        <v>Sep-2017</v>
      </c>
      <c r="C11068">
        <f>TEST_DATA!C11068</f>
        <v>43430</v>
      </c>
      <c r="D11068" t="str">
        <f>TEST_DATA!D11068</f>
        <v>NIL</v>
      </c>
      <c r="E11068">
        <f>TEST_DATA!E11068</f>
        <v>2972</v>
      </c>
    </row>
    <row r="11069" spans="1:5" x14ac:dyDescent="0.55000000000000004">
      <c r="A11069" t="str">
        <f>TEST_DATA!A11069</f>
        <v>27AAAAA11069Z5</v>
      </c>
      <c r="B11069" t="str">
        <f>TEST_DATA!B11069</f>
        <v>Jan-2021</v>
      </c>
      <c r="C11069">
        <f>TEST_DATA!C11069</f>
        <v>45526</v>
      </c>
      <c r="D11069" t="str">
        <f>TEST_DATA!D11069</f>
        <v>NON-NIL</v>
      </c>
      <c r="E11069">
        <f>TEST_DATA!E11069</f>
        <v>709</v>
      </c>
    </row>
    <row r="11070" spans="1:5" x14ac:dyDescent="0.55000000000000004">
      <c r="A11070" t="str">
        <f>TEST_DATA!A11070</f>
        <v>27AAAAA11070Z5</v>
      </c>
      <c r="B11070" t="str">
        <f>TEST_DATA!B11070</f>
        <v>Aug-2018</v>
      </c>
      <c r="C11070">
        <f>TEST_DATA!C11070</f>
        <v>43341</v>
      </c>
      <c r="D11070" t="str">
        <f>TEST_DATA!D11070</f>
        <v>NON-NIL</v>
      </c>
      <c r="E11070">
        <f>TEST_DATA!E11070</f>
        <v>2810</v>
      </c>
    </row>
    <row r="11071" spans="1:5" x14ac:dyDescent="0.55000000000000004">
      <c r="A11071" t="str">
        <f>TEST_DATA!A11071</f>
        <v>27AAAAA11071Z5</v>
      </c>
      <c r="B11071" t="str">
        <f>TEST_DATA!B11071</f>
        <v>Mar-2020</v>
      </c>
      <c r="C11071">
        <f>TEST_DATA!C11071</f>
        <v>44183</v>
      </c>
      <c r="D11071" t="str">
        <f>TEST_DATA!D11071</f>
        <v>NIL</v>
      </c>
      <c r="E11071">
        <f>TEST_DATA!E11071</f>
        <v>2592</v>
      </c>
    </row>
    <row r="11072" spans="1:5" x14ac:dyDescent="0.55000000000000004">
      <c r="A11072" t="str">
        <f>TEST_DATA!A11072</f>
        <v>27AAAAA11072Z5</v>
      </c>
      <c r="B11072" t="str">
        <f>TEST_DATA!B11072</f>
        <v>Dec-2017</v>
      </c>
      <c r="C11072">
        <f>TEST_DATA!C11072</f>
        <v>43196</v>
      </c>
      <c r="D11072" t="str">
        <f>TEST_DATA!D11072</f>
        <v>NIL</v>
      </c>
      <c r="E11072">
        <f>TEST_DATA!E11072</f>
        <v>2923</v>
      </c>
    </row>
    <row r="11073" spans="1:5" x14ac:dyDescent="0.55000000000000004">
      <c r="A11073" t="str">
        <f>TEST_DATA!A11073</f>
        <v>27AAAAA11073Z5</v>
      </c>
      <c r="B11073" t="str">
        <f>TEST_DATA!B11073</f>
        <v>Feb-2018</v>
      </c>
      <c r="C11073">
        <f>TEST_DATA!C11073</f>
        <v>44097</v>
      </c>
      <c r="D11073" t="str">
        <f>TEST_DATA!D11073</f>
        <v>NIL</v>
      </c>
      <c r="E11073">
        <f>TEST_DATA!E11073</f>
        <v>502</v>
      </c>
    </row>
    <row r="11074" spans="1:5" x14ac:dyDescent="0.55000000000000004">
      <c r="A11074" t="str">
        <f>TEST_DATA!A11074</f>
        <v>27AAAAA11074Z5</v>
      </c>
      <c r="B11074" t="str">
        <f>TEST_DATA!B11074</f>
        <v>May-2018</v>
      </c>
      <c r="C11074">
        <f>TEST_DATA!C11074</f>
        <v>44070</v>
      </c>
      <c r="D11074" t="str">
        <f>TEST_DATA!D11074</f>
        <v>NIL</v>
      </c>
      <c r="E11074">
        <f>TEST_DATA!E11074</f>
        <v>58</v>
      </c>
    </row>
    <row r="11075" spans="1:5" x14ac:dyDescent="0.55000000000000004">
      <c r="A11075" t="str">
        <f>TEST_DATA!A11075</f>
        <v>27AAAAA11075Z5</v>
      </c>
      <c r="B11075" t="str">
        <f>TEST_DATA!B11075</f>
        <v>Sep-2018</v>
      </c>
      <c r="C11075">
        <f>TEST_DATA!C11075</f>
        <v>44347</v>
      </c>
      <c r="D11075" t="str">
        <f>TEST_DATA!D11075</f>
        <v>NIL</v>
      </c>
      <c r="E11075">
        <f>TEST_DATA!E11075</f>
        <v>866</v>
      </c>
    </row>
    <row r="11076" spans="1:5" x14ac:dyDescent="0.55000000000000004">
      <c r="A11076" t="str">
        <f>TEST_DATA!A11076</f>
        <v>27AAAAA11076Z5</v>
      </c>
      <c r="B11076" t="str">
        <f>TEST_DATA!B11076</f>
        <v>Mar-2023</v>
      </c>
      <c r="C11076">
        <f>TEST_DATA!C11076</f>
        <v>44033</v>
      </c>
      <c r="D11076" t="str">
        <f>TEST_DATA!D11076</f>
        <v>NIL</v>
      </c>
      <c r="E11076">
        <f>TEST_DATA!E11076</f>
        <v>1185</v>
      </c>
    </row>
    <row r="11077" spans="1:5" x14ac:dyDescent="0.55000000000000004">
      <c r="A11077" t="str">
        <f>TEST_DATA!A11077</f>
        <v>27AAAAA11077Z5</v>
      </c>
      <c r="B11077" t="str">
        <f>TEST_DATA!B11077</f>
        <v>Jul-2020</v>
      </c>
      <c r="C11077">
        <f>TEST_DATA!C11077</f>
        <v>44390</v>
      </c>
      <c r="D11077" t="str">
        <f>TEST_DATA!D11077</f>
        <v>NON-NIL</v>
      </c>
      <c r="E11077">
        <f>TEST_DATA!E11077</f>
        <v>1438</v>
      </c>
    </row>
    <row r="11078" spans="1:5" x14ac:dyDescent="0.55000000000000004">
      <c r="A11078" t="str">
        <f>TEST_DATA!A11078</f>
        <v>27AAAAA11078Z5</v>
      </c>
      <c r="B11078" t="str">
        <f>TEST_DATA!B11078</f>
        <v>Aug-2018</v>
      </c>
      <c r="C11078">
        <f>TEST_DATA!C11078</f>
        <v>43845</v>
      </c>
      <c r="D11078" t="str">
        <f>TEST_DATA!D11078</f>
        <v>NON-NIL</v>
      </c>
      <c r="E11078">
        <f>TEST_DATA!E11078</f>
        <v>291</v>
      </c>
    </row>
    <row r="11079" spans="1:5" x14ac:dyDescent="0.55000000000000004">
      <c r="A11079" t="str">
        <f>TEST_DATA!A11079</f>
        <v>27AAAAA11079Z5</v>
      </c>
      <c r="B11079" t="str">
        <f>TEST_DATA!B11079</f>
        <v>Jun-2018</v>
      </c>
      <c r="C11079">
        <f>TEST_DATA!C11079</f>
        <v>44282</v>
      </c>
      <c r="D11079" t="str">
        <f>TEST_DATA!D11079</f>
        <v>NON-NIL</v>
      </c>
      <c r="E11079">
        <f>TEST_DATA!E11079</f>
        <v>452</v>
      </c>
    </row>
    <row r="11080" spans="1:5" x14ac:dyDescent="0.55000000000000004">
      <c r="A11080" t="str">
        <f>TEST_DATA!A11080</f>
        <v>27AAAAA11080Z5</v>
      </c>
      <c r="B11080" t="str">
        <f>TEST_DATA!B11080</f>
        <v>Jan-2021</v>
      </c>
      <c r="C11080">
        <f>TEST_DATA!C11080</f>
        <v>45369</v>
      </c>
      <c r="D11080" t="str">
        <f>TEST_DATA!D11080</f>
        <v>NON-NIL</v>
      </c>
      <c r="E11080">
        <f>TEST_DATA!E11080</f>
        <v>1599</v>
      </c>
    </row>
    <row r="11081" spans="1:5" x14ac:dyDescent="0.55000000000000004">
      <c r="A11081" t="str">
        <f>TEST_DATA!A11081</f>
        <v>27AAAAA11081Z5</v>
      </c>
      <c r="B11081" t="str">
        <f>TEST_DATA!B11081</f>
        <v>Jul-2017</v>
      </c>
      <c r="C11081">
        <f>TEST_DATA!C11081</f>
        <v>43524</v>
      </c>
      <c r="D11081" t="str">
        <f>TEST_DATA!D11081</f>
        <v>NON-NIL</v>
      </c>
      <c r="E11081">
        <f>TEST_DATA!E11081</f>
        <v>1710</v>
      </c>
    </row>
    <row r="11082" spans="1:5" x14ac:dyDescent="0.55000000000000004">
      <c r="A11082" t="str">
        <f>TEST_DATA!A11082</f>
        <v>27AAAAA11082Z5</v>
      </c>
      <c r="B11082" t="str">
        <f>TEST_DATA!B11082</f>
        <v>Dec-2019</v>
      </c>
      <c r="C11082">
        <f>TEST_DATA!C11082</f>
        <v>44410</v>
      </c>
      <c r="D11082" t="str">
        <f>TEST_DATA!D11082</f>
        <v>NIL</v>
      </c>
      <c r="E11082">
        <f>TEST_DATA!E11082</f>
        <v>404</v>
      </c>
    </row>
    <row r="11083" spans="1:5" x14ac:dyDescent="0.55000000000000004">
      <c r="A11083" t="str">
        <f>TEST_DATA!A11083</f>
        <v>27AAAAA11083Z5</v>
      </c>
      <c r="B11083" t="str">
        <f>TEST_DATA!B11083</f>
        <v>Jul-2018</v>
      </c>
      <c r="C11083">
        <f>TEST_DATA!C11083</f>
        <v>44321</v>
      </c>
      <c r="D11083" t="str">
        <f>TEST_DATA!D11083</f>
        <v>NON-NIL</v>
      </c>
      <c r="E11083">
        <f>TEST_DATA!E11083</f>
        <v>1517</v>
      </c>
    </row>
    <row r="11084" spans="1:5" x14ac:dyDescent="0.55000000000000004">
      <c r="A11084" t="str">
        <f>TEST_DATA!A11084</f>
        <v>27AAAAA11084Z5</v>
      </c>
      <c r="B11084" t="str">
        <f>TEST_DATA!B11084</f>
        <v>Sep-2018</v>
      </c>
      <c r="C11084">
        <f>TEST_DATA!C11084</f>
        <v>44254</v>
      </c>
      <c r="D11084" t="str">
        <f>TEST_DATA!D11084</f>
        <v>NON-NIL</v>
      </c>
      <c r="E11084">
        <f>TEST_DATA!E11084</f>
        <v>2013</v>
      </c>
    </row>
    <row r="11085" spans="1:5" x14ac:dyDescent="0.55000000000000004">
      <c r="A11085" t="str">
        <f>TEST_DATA!A11085</f>
        <v>27AAAAA11085Z5</v>
      </c>
      <c r="B11085" t="str">
        <f>TEST_DATA!B11085</f>
        <v>Apr-2021</v>
      </c>
      <c r="C11085">
        <f>TEST_DATA!C11085</f>
        <v>45309</v>
      </c>
      <c r="D11085" t="str">
        <f>TEST_DATA!D11085</f>
        <v>NON-NIL</v>
      </c>
      <c r="E11085">
        <f>TEST_DATA!E11085</f>
        <v>1525</v>
      </c>
    </row>
    <row r="11086" spans="1:5" x14ac:dyDescent="0.55000000000000004">
      <c r="A11086" t="str">
        <f>TEST_DATA!A11086</f>
        <v>27AAAAA11086Z5</v>
      </c>
      <c r="B11086" t="str">
        <f>TEST_DATA!B11086</f>
        <v>Dec-2022</v>
      </c>
      <c r="C11086">
        <f>TEST_DATA!C11086</f>
        <v>45406</v>
      </c>
      <c r="D11086" t="str">
        <f>TEST_DATA!D11086</f>
        <v>NON-NIL</v>
      </c>
      <c r="E11086">
        <f>TEST_DATA!E11086</f>
        <v>1576</v>
      </c>
    </row>
    <row r="11087" spans="1:5" x14ac:dyDescent="0.55000000000000004">
      <c r="A11087" t="str">
        <f>TEST_DATA!A11087</f>
        <v>27AAAAA11087Z5</v>
      </c>
      <c r="B11087" t="str">
        <f>TEST_DATA!B11087</f>
        <v>Jul-2018</v>
      </c>
      <c r="C11087">
        <f>TEST_DATA!C11087</f>
        <v>43432</v>
      </c>
      <c r="D11087" t="str">
        <f>TEST_DATA!D11087</f>
        <v>NON-NIL</v>
      </c>
      <c r="E11087">
        <f>TEST_DATA!E11087</f>
        <v>1614</v>
      </c>
    </row>
    <row r="11088" spans="1:5" x14ac:dyDescent="0.55000000000000004">
      <c r="A11088" t="str">
        <f>TEST_DATA!A11088</f>
        <v>27AAAAA11088Z5</v>
      </c>
      <c r="B11088" t="str">
        <f>TEST_DATA!B11088</f>
        <v>Aug-2017</v>
      </c>
      <c r="C11088">
        <f>TEST_DATA!C11088</f>
        <v>44068</v>
      </c>
      <c r="D11088" t="str">
        <f>TEST_DATA!D11088</f>
        <v>NON-NIL</v>
      </c>
      <c r="E11088">
        <f>TEST_DATA!E11088</f>
        <v>514</v>
      </c>
    </row>
    <row r="11089" spans="1:5" x14ac:dyDescent="0.55000000000000004">
      <c r="A11089" t="str">
        <f>TEST_DATA!A11089</f>
        <v>27AAAAA11089Z5</v>
      </c>
      <c r="B11089" t="str">
        <f>TEST_DATA!B11089</f>
        <v>Jul-2017</v>
      </c>
      <c r="C11089">
        <f>TEST_DATA!C11089</f>
        <v>43941</v>
      </c>
      <c r="D11089" t="str">
        <f>TEST_DATA!D11089</f>
        <v>NON-NIL</v>
      </c>
      <c r="E11089">
        <f>TEST_DATA!E11089</f>
        <v>2624</v>
      </c>
    </row>
    <row r="11090" spans="1:5" x14ac:dyDescent="0.55000000000000004">
      <c r="A11090" t="str">
        <f>TEST_DATA!A11090</f>
        <v>27AAAAA11090Z5</v>
      </c>
      <c r="B11090" t="str">
        <f>TEST_DATA!B11090</f>
        <v>Nov-2017</v>
      </c>
      <c r="C11090">
        <f>TEST_DATA!C11090</f>
        <v>44117</v>
      </c>
      <c r="D11090" t="str">
        <f>TEST_DATA!D11090</f>
        <v>NON-NIL</v>
      </c>
      <c r="E11090">
        <f>TEST_DATA!E11090</f>
        <v>1273</v>
      </c>
    </row>
    <row r="11091" spans="1:5" x14ac:dyDescent="0.55000000000000004">
      <c r="A11091" t="str">
        <f>TEST_DATA!A11091</f>
        <v>27AAAAA11091Z5</v>
      </c>
      <c r="B11091" t="str">
        <f>TEST_DATA!B11091</f>
        <v>May-2018</v>
      </c>
      <c r="C11091">
        <f>TEST_DATA!C11091</f>
        <v>43573</v>
      </c>
      <c r="D11091" t="str">
        <f>TEST_DATA!D11091</f>
        <v>NIL</v>
      </c>
      <c r="E11091">
        <f>TEST_DATA!E11091</f>
        <v>289</v>
      </c>
    </row>
    <row r="11092" spans="1:5" x14ac:dyDescent="0.55000000000000004">
      <c r="A11092" t="str">
        <f>TEST_DATA!A11092</f>
        <v>27AAAAA11092Z5</v>
      </c>
      <c r="B11092" t="str">
        <f>TEST_DATA!B11092</f>
        <v>Jan-2019</v>
      </c>
      <c r="C11092">
        <f>TEST_DATA!C11092</f>
        <v>44955</v>
      </c>
      <c r="D11092" t="str">
        <f>TEST_DATA!D11092</f>
        <v>NIL</v>
      </c>
      <c r="E11092">
        <f>TEST_DATA!E11092</f>
        <v>1177</v>
      </c>
    </row>
    <row r="11093" spans="1:5" x14ac:dyDescent="0.55000000000000004">
      <c r="A11093" t="str">
        <f>TEST_DATA!A11093</f>
        <v>27AAAAA11093Z5</v>
      </c>
      <c r="B11093" t="str">
        <f>TEST_DATA!B11093</f>
        <v>Mar-2020</v>
      </c>
      <c r="C11093">
        <f>TEST_DATA!C11093</f>
        <v>44894</v>
      </c>
      <c r="D11093" t="str">
        <f>TEST_DATA!D11093</f>
        <v>NON-NIL</v>
      </c>
      <c r="E11093">
        <f>TEST_DATA!E11093</f>
        <v>2167</v>
      </c>
    </row>
    <row r="11094" spans="1:5" x14ac:dyDescent="0.55000000000000004">
      <c r="A11094" t="str">
        <f>TEST_DATA!A11094</f>
        <v>27AAAAA11094Z5</v>
      </c>
      <c r="B11094" t="str">
        <f>TEST_DATA!B11094</f>
        <v>Nov-2017</v>
      </c>
      <c r="C11094">
        <f>TEST_DATA!C11094</f>
        <v>44132</v>
      </c>
      <c r="D11094" t="str">
        <f>TEST_DATA!D11094</f>
        <v>NON-NIL</v>
      </c>
      <c r="E11094">
        <f>TEST_DATA!E11094</f>
        <v>588</v>
      </c>
    </row>
    <row r="11095" spans="1:5" x14ac:dyDescent="0.55000000000000004">
      <c r="A11095" t="str">
        <f>TEST_DATA!A11095</f>
        <v>27AAAAA11095Z5</v>
      </c>
      <c r="B11095" t="str">
        <f>TEST_DATA!B11095</f>
        <v>Sep-2018</v>
      </c>
      <c r="C11095">
        <f>TEST_DATA!C11095</f>
        <v>43655</v>
      </c>
      <c r="D11095" t="str">
        <f>TEST_DATA!D11095</f>
        <v>NON-NIL</v>
      </c>
      <c r="E11095">
        <f>TEST_DATA!E11095</f>
        <v>1129</v>
      </c>
    </row>
    <row r="11096" spans="1:5" x14ac:dyDescent="0.55000000000000004">
      <c r="A11096" t="str">
        <f>TEST_DATA!A11096</f>
        <v>27AAAAA11096Z5</v>
      </c>
      <c r="B11096" t="str">
        <f>TEST_DATA!B11096</f>
        <v>Nov-2017</v>
      </c>
      <c r="C11096">
        <f>TEST_DATA!C11096</f>
        <v>43258</v>
      </c>
      <c r="D11096" t="str">
        <f>TEST_DATA!D11096</f>
        <v>NIL</v>
      </c>
      <c r="E11096">
        <f>TEST_DATA!E11096</f>
        <v>1765</v>
      </c>
    </row>
    <row r="11097" spans="1:5" x14ac:dyDescent="0.55000000000000004">
      <c r="A11097" t="str">
        <f>TEST_DATA!A11097</f>
        <v>27AAAAA11097Z5</v>
      </c>
      <c r="B11097" t="str">
        <f>TEST_DATA!B11097</f>
        <v>Sep-2017</v>
      </c>
      <c r="C11097">
        <f>TEST_DATA!C11097</f>
        <v>44323</v>
      </c>
      <c r="D11097" t="str">
        <f>TEST_DATA!D11097</f>
        <v>NON-NIL</v>
      </c>
      <c r="E11097">
        <f>TEST_DATA!E11097</f>
        <v>2835</v>
      </c>
    </row>
    <row r="11098" spans="1:5" x14ac:dyDescent="0.55000000000000004">
      <c r="A11098" t="str">
        <f>TEST_DATA!A11098</f>
        <v>27AAAAA11098Z5</v>
      </c>
      <c r="B11098" t="str">
        <f>TEST_DATA!B11098</f>
        <v>Aug-2017</v>
      </c>
      <c r="C11098">
        <f>TEST_DATA!C11098</f>
        <v>43765</v>
      </c>
      <c r="D11098" t="str">
        <f>TEST_DATA!D11098</f>
        <v>NIL</v>
      </c>
      <c r="E11098">
        <f>TEST_DATA!E11098</f>
        <v>2436</v>
      </c>
    </row>
    <row r="11099" spans="1:5" x14ac:dyDescent="0.55000000000000004">
      <c r="A11099" t="str">
        <f>TEST_DATA!A11099</f>
        <v>27AAAAA11099Z5</v>
      </c>
      <c r="B11099" t="str">
        <f>TEST_DATA!B11099</f>
        <v>Dec-2022</v>
      </c>
      <c r="C11099">
        <f>TEST_DATA!C11099</f>
        <v>45662</v>
      </c>
      <c r="D11099" t="str">
        <f>TEST_DATA!D11099</f>
        <v>NON-NIL</v>
      </c>
      <c r="E11099">
        <f>TEST_DATA!E11099</f>
        <v>2782</v>
      </c>
    </row>
    <row r="11100" spans="1:5" x14ac:dyDescent="0.55000000000000004">
      <c r="A11100" t="str">
        <f>TEST_DATA!A11100</f>
        <v>27AAAAA11100Z5</v>
      </c>
      <c r="B11100" t="str">
        <f>TEST_DATA!B11100</f>
        <v>Feb-2018</v>
      </c>
      <c r="C11100">
        <f>TEST_DATA!C11100</f>
        <v>44238</v>
      </c>
      <c r="D11100" t="str">
        <f>TEST_DATA!D11100</f>
        <v>NON-NIL</v>
      </c>
      <c r="E11100">
        <f>TEST_DATA!E11100</f>
        <v>2808</v>
      </c>
    </row>
    <row r="11101" spans="1:5" x14ac:dyDescent="0.55000000000000004">
      <c r="A11101" t="str">
        <f>TEST_DATA!A11101</f>
        <v>27AAAAA11101Z5</v>
      </c>
      <c r="B11101" t="str">
        <f>TEST_DATA!B11101</f>
        <v>Mar-2018</v>
      </c>
      <c r="C11101">
        <f>TEST_DATA!C11101</f>
        <v>42988</v>
      </c>
      <c r="D11101" t="str">
        <f>TEST_DATA!D11101</f>
        <v>NIL</v>
      </c>
      <c r="E11101">
        <f>TEST_DATA!E11101</f>
        <v>1556</v>
      </c>
    </row>
    <row r="11102" spans="1:5" x14ac:dyDescent="0.55000000000000004">
      <c r="A11102" t="str">
        <f>TEST_DATA!A11102</f>
        <v>27AAAAA11102Z5</v>
      </c>
      <c r="B11102" t="str">
        <f>TEST_DATA!B11102</f>
        <v>Apr-2021</v>
      </c>
      <c r="C11102">
        <f>TEST_DATA!C11102</f>
        <v>45427</v>
      </c>
      <c r="D11102" t="str">
        <f>TEST_DATA!D11102</f>
        <v>NIL</v>
      </c>
      <c r="E11102">
        <f>TEST_DATA!E11102</f>
        <v>1250</v>
      </c>
    </row>
    <row r="11103" spans="1:5" x14ac:dyDescent="0.55000000000000004">
      <c r="A11103" t="str">
        <f>TEST_DATA!A11103</f>
        <v>27AAAAA11103Z5</v>
      </c>
      <c r="B11103" t="str">
        <f>TEST_DATA!B11103</f>
        <v>Aug-2018</v>
      </c>
      <c r="C11103">
        <f>TEST_DATA!C11103</f>
        <v>43801</v>
      </c>
      <c r="D11103" t="str">
        <f>TEST_DATA!D11103</f>
        <v>NIL</v>
      </c>
      <c r="E11103">
        <f>TEST_DATA!E11103</f>
        <v>2392</v>
      </c>
    </row>
    <row r="11104" spans="1:5" x14ac:dyDescent="0.55000000000000004">
      <c r="A11104" t="str">
        <f>TEST_DATA!A11104</f>
        <v>27AAAAA11104Z5</v>
      </c>
      <c r="B11104" t="str">
        <f>TEST_DATA!B11104</f>
        <v>Aug-2017</v>
      </c>
      <c r="C11104">
        <f>TEST_DATA!C11104</f>
        <v>43420</v>
      </c>
      <c r="D11104" t="str">
        <f>TEST_DATA!D11104</f>
        <v>NIL</v>
      </c>
      <c r="E11104">
        <f>TEST_DATA!E11104</f>
        <v>359</v>
      </c>
    </row>
    <row r="11105" spans="1:5" x14ac:dyDescent="0.55000000000000004">
      <c r="A11105" t="str">
        <f>TEST_DATA!A11105</f>
        <v>27AAAAA11105Z5</v>
      </c>
      <c r="B11105" t="str">
        <f>TEST_DATA!B11105</f>
        <v>Mar-2018</v>
      </c>
      <c r="C11105">
        <f>TEST_DATA!C11105</f>
        <v>43423</v>
      </c>
      <c r="D11105" t="str">
        <f>TEST_DATA!D11105</f>
        <v>NIL</v>
      </c>
      <c r="E11105">
        <f>TEST_DATA!E11105</f>
        <v>794</v>
      </c>
    </row>
    <row r="11106" spans="1:5" x14ac:dyDescent="0.55000000000000004">
      <c r="A11106" t="str">
        <f>TEST_DATA!A11106</f>
        <v>27AAAAA11106Z5</v>
      </c>
      <c r="B11106" t="str">
        <f>TEST_DATA!B11106</f>
        <v>Sep-2017</v>
      </c>
      <c r="C11106">
        <f>TEST_DATA!C11106</f>
        <v>44031</v>
      </c>
      <c r="D11106" t="str">
        <f>TEST_DATA!D11106</f>
        <v>NIL</v>
      </c>
      <c r="E11106">
        <f>TEST_DATA!E11106</f>
        <v>2321</v>
      </c>
    </row>
    <row r="11107" spans="1:5" x14ac:dyDescent="0.55000000000000004">
      <c r="A11107" t="str">
        <f>TEST_DATA!A11107</f>
        <v>27AAAAA11107Z5</v>
      </c>
      <c r="B11107" t="str">
        <f>TEST_DATA!B11107</f>
        <v>Dec-2022</v>
      </c>
      <c r="C11107">
        <f>TEST_DATA!C11107</f>
        <v>44445</v>
      </c>
      <c r="D11107" t="str">
        <f>TEST_DATA!D11107</f>
        <v>NIL</v>
      </c>
      <c r="E11107">
        <f>TEST_DATA!E11107</f>
        <v>81</v>
      </c>
    </row>
    <row r="11108" spans="1:5" x14ac:dyDescent="0.55000000000000004">
      <c r="A11108" t="str">
        <f>TEST_DATA!A11108</f>
        <v>27AAAAA11108Z5</v>
      </c>
      <c r="B11108" t="str">
        <f>TEST_DATA!B11108</f>
        <v>Dec-2024</v>
      </c>
      <c r="C11108">
        <f>TEST_DATA!C11108</f>
        <v>43789</v>
      </c>
      <c r="D11108" t="str">
        <f>TEST_DATA!D11108</f>
        <v>NIL</v>
      </c>
      <c r="E11108">
        <f>TEST_DATA!E11108</f>
        <v>458</v>
      </c>
    </row>
    <row r="11109" spans="1:5" x14ac:dyDescent="0.55000000000000004">
      <c r="A11109" t="str">
        <f>TEST_DATA!A11109</f>
        <v>27AAAAA11109Z5</v>
      </c>
      <c r="B11109" t="str">
        <f>TEST_DATA!B11109</f>
        <v>Apr-2021</v>
      </c>
      <c r="C11109">
        <f>TEST_DATA!C11109</f>
        <v>45548</v>
      </c>
      <c r="D11109" t="str">
        <f>TEST_DATA!D11109</f>
        <v>NON-NIL</v>
      </c>
      <c r="E11109">
        <f>TEST_DATA!E11109</f>
        <v>2738</v>
      </c>
    </row>
    <row r="11110" spans="1:5" x14ac:dyDescent="0.55000000000000004">
      <c r="A11110" t="str">
        <f>TEST_DATA!A11110</f>
        <v>27AAAAA11110Z5</v>
      </c>
      <c r="B11110" t="str">
        <f>TEST_DATA!B11110</f>
        <v>Jul-2017</v>
      </c>
      <c r="C11110">
        <f>TEST_DATA!C11110</f>
        <v>43737</v>
      </c>
      <c r="D11110" t="str">
        <f>TEST_DATA!D11110</f>
        <v>NON-NIL</v>
      </c>
      <c r="E11110">
        <f>TEST_DATA!E11110</f>
        <v>1030</v>
      </c>
    </row>
    <row r="11111" spans="1:5" x14ac:dyDescent="0.55000000000000004">
      <c r="A11111" t="str">
        <f>TEST_DATA!A11111</f>
        <v>27AAAAA11111Z5</v>
      </c>
      <c r="B11111" t="str">
        <f>TEST_DATA!B11111</f>
        <v>Jun-2019</v>
      </c>
      <c r="C11111">
        <f>TEST_DATA!C11111</f>
        <v>45644</v>
      </c>
      <c r="D11111" t="str">
        <f>TEST_DATA!D11111</f>
        <v>NON-NIL</v>
      </c>
      <c r="E11111">
        <f>TEST_DATA!E11111</f>
        <v>1405</v>
      </c>
    </row>
    <row r="11112" spans="1:5" x14ac:dyDescent="0.55000000000000004">
      <c r="A11112" t="str">
        <f>TEST_DATA!A11112</f>
        <v>27AAAAA11112Z5</v>
      </c>
      <c r="B11112" t="str">
        <f>TEST_DATA!B11112</f>
        <v>Jun-2019</v>
      </c>
      <c r="C11112">
        <f>TEST_DATA!C11112</f>
        <v>45506</v>
      </c>
      <c r="D11112" t="str">
        <f>TEST_DATA!D11112</f>
        <v>NON-NIL</v>
      </c>
      <c r="E11112">
        <f>TEST_DATA!E11112</f>
        <v>1521</v>
      </c>
    </row>
    <row r="11113" spans="1:5" x14ac:dyDescent="0.55000000000000004">
      <c r="A11113" t="str">
        <f>TEST_DATA!A11113</f>
        <v>27AAAAA11113Z5</v>
      </c>
      <c r="B11113" t="str">
        <f>TEST_DATA!B11113</f>
        <v>Nov-2017</v>
      </c>
      <c r="C11113">
        <f>TEST_DATA!C11113</f>
        <v>44343</v>
      </c>
      <c r="D11113" t="str">
        <f>TEST_DATA!D11113</f>
        <v>NON-NIL</v>
      </c>
      <c r="E11113">
        <f>TEST_DATA!E11113</f>
        <v>1456</v>
      </c>
    </row>
    <row r="11114" spans="1:5" x14ac:dyDescent="0.55000000000000004">
      <c r="A11114" t="str">
        <f>TEST_DATA!A11114</f>
        <v>27AAAAA11114Z5</v>
      </c>
      <c r="B11114" t="str">
        <f>TEST_DATA!B11114</f>
        <v>Nov-2017</v>
      </c>
      <c r="C11114">
        <f>TEST_DATA!C11114</f>
        <v>44083</v>
      </c>
      <c r="D11114" t="str">
        <f>TEST_DATA!D11114</f>
        <v>NON-NIL</v>
      </c>
      <c r="E11114">
        <f>TEST_DATA!E11114</f>
        <v>427</v>
      </c>
    </row>
    <row r="11115" spans="1:5" x14ac:dyDescent="0.55000000000000004">
      <c r="A11115" t="str">
        <f>TEST_DATA!A11115</f>
        <v>27AAAAA11115Z5</v>
      </c>
      <c r="B11115" t="str">
        <f>TEST_DATA!B11115</f>
        <v>May-2018</v>
      </c>
      <c r="C11115">
        <f>TEST_DATA!C11115</f>
        <v>43070</v>
      </c>
      <c r="D11115" t="str">
        <f>TEST_DATA!D11115</f>
        <v>NON-NIL</v>
      </c>
      <c r="E11115">
        <f>TEST_DATA!E11115</f>
        <v>789</v>
      </c>
    </row>
    <row r="11116" spans="1:5" x14ac:dyDescent="0.55000000000000004">
      <c r="A11116" t="str">
        <f>TEST_DATA!A11116</f>
        <v>27AAAAA11116Z5</v>
      </c>
      <c r="B11116" t="str">
        <f>TEST_DATA!B11116</f>
        <v>Aug-2018</v>
      </c>
      <c r="C11116">
        <f>TEST_DATA!C11116</f>
        <v>44163</v>
      </c>
      <c r="D11116" t="str">
        <f>TEST_DATA!D11116</f>
        <v>NON-NIL</v>
      </c>
      <c r="E11116">
        <f>TEST_DATA!E11116</f>
        <v>1036</v>
      </c>
    </row>
    <row r="11117" spans="1:5" x14ac:dyDescent="0.55000000000000004">
      <c r="A11117" t="str">
        <f>TEST_DATA!A11117</f>
        <v>27AAAAA11117Z5</v>
      </c>
      <c r="B11117" t="str">
        <f>TEST_DATA!B11117</f>
        <v>Jun-2018</v>
      </c>
      <c r="C11117">
        <f>TEST_DATA!C11117</f>
        <v>43848</v>
      </c>
      <c r="D11117" t="str">
        <f>TEST_DATA!D11117</f>
        <v>NIL</v>
      </c>
      <c r="E11117">
        <f>TEST_DATA!E11117</f>
        <v>1299</v>
      </c>
    </row>
    <row r="11118" spans="1:5" x14ac:dyDescent="0.55000000000000004">
      <c r="A11118" t="str">
        <f>TEST_DATA!A11118</f>
        <v>27AAAAA11118Z5</v>
      </c>
      <c r="B11118" t="str">
        <f>TEST_DATA!B11118</f>
        <v>Sep-2017</v>
      </c>
      <c r="C11118">
        <f>TEST_DATA!C11118</f>
        <v>43844</v>
      </c>
      <c r="D11118" t="str">
        <f>TEST_DATA!D11118</f>
        <v>NIL</v>
      </c>
      <c r="E11118">
        <f>TEST_DATA!E11118</f>
        <v>2663</v>
      </c>
    </row>
    <row r="11119" spans="1:5" x14ac:dyDescent="0.55000000000000004">
      <c r="A11119" t="str">
        <f>TEST_DATA!A11119</f>
        <v>27AAAAA11119Z5</v>
      </c>
      <c r="B11119" t="str">
        <f>TEST_DATA!B11119</f>
        <v>Jun-2019</v>
      </c>
      <c r="C11119">
        <f>TEST_DATA!C11119</f>
        <v>45334</v>
      </c>
      <c r="D11119" t="str">
        <f>TEST_DATA!D11119</f>
        <v>NIL</v>
      </c>
      <c r="E11119">
        <f>TEST_DATA!E11119</f>
        <v>2689</v>
      </c>
    </row>
    <row r="11120" spans="1:5" x14ac:dyDescent="0.55000000000000004">
      <c r="A11120" t="str">
        <f>TEST_DATA!A11120</f>
        <v>27AAAAA11120Z5</v>
      </c>
      <c r="B11120" t="str">
        <f>TEST_DATA!B11120</f>
        <v>Feb-2018</v>
      </c>
      <c r="C11120">
        <f>TEST_DATA!C11120</f>
        <v>43589</v>
      </c>
      <c r="D11120" t="str">
        <f>TEST_DATA!D11120</f>
        <v>NON-NIL</v>
      </c>
      <c r="E11120">
        <f>TEST_DATA!E11120</f>
        <v>1627</v>
      </c>
    </row>
    <row r="11121" spans="1:5" x14ac:dyDescent="0.55000000000000004">
      <c r="A11121" t="str">
        <f>TEST_DATA!A11121</f>
        <v>27AAAAA11121Z5</v>
      </c>
      <c r="B11121" t="str">
        <f>TEST_DATA!B11121</f>
        <v>Aug-2018</v>
      </c>
      <c r="C11121">
        <f>TEST_DATA!C11121</f>
        <v>44181</v>
      </c>
      <c r="D11121" t="str">
        <f>TEST_DATA!D11121</f>
        <v>NON-NIL</v>
      </c>
      <c r="E11121">
        <f>TEST_DATA!E11121</f>
        <v>1013</v>
      </c>
    </row>
    <row r="11122" spans="1:5" x14ac:dyDescent="0.55000000000000004">
      <c r="A11122" t="str">
        <f>TEST_DATA!A11122</f>
        <v>27AAAAA11122Z5</v>
      </c>
      <c r="B11122" t="str">
        <f>TEST_DATA!B11122</f>
        <v>Jun-2020</v>
      </c>
      <c r="C11122">
        <f>TEST_DATA!C11122</f>
        <v>44247</v>
      </c>
      <c r="D11122" t="str">
        <f>TEST_DATA!D11122</f>
        <v>NON-NIL</v>
      </c>
      <c r="E11122">
        <f>TEST_DATA!E11122</f>
        <v>2910</v>
      </c>
    </row>
    <row r="11123" spans="1:5" x14ac:dyDescent="0.55000000000000004">
      <c r="A11123" t="str">
        <f>TEST_DATA!A11123</f>
        <v>27AAAAA11123Z5</v>
      </c>
      <c r="B11123" t="str">
        <f>TEST_DATA!B11123</f>
        <v>Dec-2024</v>
      </c>
      <c r="C11123">
        <f>TEST_DATA!C11123</f>
        <v>45666</v>
      </c>
      <c r="D11123" t="str">
        <f>TEST_DATA!D11123</f>
        <v>NON-NIL</v>
      </c>
      <c r="E11123">
        <f>TEST_DATA!E11123</f>
        <v>2720</v>
      </c>
    </row>
    <row r="11124" spans="1:5" x14ac:dyDescent="0.55000000000000004">
      <c r="A11124" t="str">
        <f>TEST_DATA!A11124</f>
        <v>27AAAAA11124Z5</v>
      </c>
      <c r="B11124" t="str">
        <f>TEST_DATA!B11124</f>
        <v>Mar-2018</v>
      </c>
      <c r="C11124">
        <f>TEST_DATA!C11124</f>
        <v>43056</v>
      </c>
      <c r="D11124" t="str">
        <f>TEST_DATA!D11124</f>
        <v>NON-NIL</v>
      </c>
      <c r="E11124">
        <f>TEST_DATA!E11124</f>
        <v>2676</v>
      </c>
    </row>
    <row r="11125" spans="1:5" x14ac:dyDescent="0.55000000000000004">
      <c r="A11125" t="str">
        <f>TEST_DATA!A11125</f>
        <v>27AAAAA11125Z5</v>
      </c>
      <c r="B11125" t="str">
        <f>TEST_DATA!B11125</f>
        <v>Dec-2019</v>
      </c>
      <c r="C11125">
        <f>TEST_DATA!C11125</f>
        <v>44042</v>
      </c>
      <c r="D11125" t="str">
        <f>TEST_DATA!D11125</f>
        <v>NON-NIL</v>
      </c>
      <c r="E11125">
        <f>TEST_DATA!E11125</f>
        <v>2795</v>
      </c>
    </row>
    <row r="11126" spans="1:5" x14ac:dyDescent="0.55000000000000004">
      <c r="A11126" t="str">
        <f>TEST_DATA!A11126</f>
        <v>27AAAAA11126Z5</v>
      </c>
      <c r="B11126" t="str">
        <f>TEST_DATA!B11126</f>
        <v>Jul-2018</v>
      </c>
      <c r="C11126">
        <f>TEST_DATA!C11126</f>
        <v>43011</v>
      </c>
      <c r="D11126" t="str">
        <f>TEST_DATA!D11126</f>
        <v>NIL</v>
      </c>
      <c r="E11126">
        <f>TEST_DATA!E11126</f>
        <v>2457</v>
      </c>
    </row>
    <row r="11127" spans="1:5" x14ac:dyDescent="0.55000000000000004">
      <c r="A11127" t="str">
        <f>TEST_DATA!A11127</f>
        <v>27AAAAA11127Z5</v>
      </c>
      <c r="B11127" t="str">
        <f>TEST_DATA!B11127</f>
        <v>Apr-2020</v>
      </c>
      <c r="C11127">
        <f>TEST_DATA!C11127</f>
        <v>44058</v>
      </c>
      <c r="D11127" t="str">
        <f>TEST_DATA!D11127</f>
        <v>NON-NIL</v>
      </c>
      <c r="E11127">
        <f>TEST_DATA!E11127</f>
        <v>528</v>
      </c>
    </row>
    <row r="11128" spans="1:5" x14ac:dyDescent="0.55000000000000004">
      <c r="A11128" t="str">
        <f>TEST_DATA!A11128</f>
        <v>27AAAAA11128Z5</v>
      </c>
      <c r="B11128" t="str">
        <f>TEST_DATA!B11128</f>
        <v>Mar-2018</v>
      </c>
      <c r="C11128">
        <f>TEST_DATA!C11128</f>
        <v>43786</v>
      </c>
      <c r="D11128" t="str">
        <f>TEST_DATA!D11128</f>
        <v>NON-NIL</v>
      </c>
      <c r="E11128">
        <f>TEST_DATA!E11128</f>
        <v>2596</v>
      </c>
    </row>
    <row r="11129" spans="1:5" x14ac:dyDescent="0.55000000000000004">
      <c r="A11129" t="str">
        <f>TEST_DATA!A11129</f>
        <v>27AAAAA11129Z5</v>
      </c>
      <c r="B11129" t="str">
        <f>TEST_DATA!B11129</f>
        <v>Jan-2019</v>
      </c>
      <c r="C11129">
        <f>TEST_DATA!C11129</f>
        <v>45190</v>
      </c>
      <c r="D11129" t="str">
        <f>TEST_DATA!D11129</f>
        <v>NIL</v>
      </c>
      <c r="E11129">
        <f>TEST_DATA!E11129</f>
        <v>2424</v>
      </c>
    </row>
    <row r="11130" spans="1:5" x14ac:dyDescent="0.55000000000000004">
      <c r="A11130" t="str">
        <f>TEST_DATA!A11130</f>
        <v>27AAAAA11130Z5</v>
      </c>
      <c r="B11130" t="str">
        <f>TEST_DATA!B11130</f>
        <v>Jan-2018</v>
      </c>
      <c r="C11130">
        <f>TEST_DATA!C11130</f>
        <v>43722</v>
      </c>
      <c r="D11130" t="str">
        <f>TEST_DATA!D11130</f>
        <v>NON-NIL</v>
      </c>
      <c r="E11130">
        <f>TEST_DATA!E11130</f>
        <v>562</v>
      </c>
    </row>
    <row r="11131" spans="1:5" x14ac:dyDescent="0.55000000000000004">
      <c r="A11131" t="str">
        <f>TEST_DATA!A11131</f>
        <v>27AAAAA11131Z5</v>
      </c>
      <c r="B11131" t="str">
        <f>TEST_DATA!B11131</f>
        <v>Aug-2018</v>
      </c>
      <c r="C11131">
        <f>TEST_DATA!C11131</f>
        <v>43992</v>
      </c>
      <c r="D11131" t="str">
        <f>TEST_DATA!D11131</f>
        <v>NON-NIL</v>
      </c>
      <c r="E11131">
        <f>TEST_DATA!E11131</f>
        <v>478</v>
      </c>
    </row>
    <row r="11132" spans="1:5" x14ac:dyDescent="0.55000000000000004">
      <c r="A11132" t="str">
        <f>TEST_DATA!A11132</f>
        <v>27AAAAA11132Z5</v>
      </c>
      <c r="B11132" t="str">
        <f>TEST_DATA!B11132</f>
        <v>Jan-2019</v>
      </c>
      <c r="C11132">
        <f>TEST_DATA!C11132</f>
        <v>45340</v>
      </c>
      <c r="D11132" t="str">
        <f>TEST_DATA!D11132</f>
        <v>NIL</v>
      </c>
      <c r="E11132">
        <f>TEST_DATA!E11132</f>
        <v>1778</v>
      </c>
    </row>
    <row r="11133" spans="1:5" x14ac:dyDescent="0.55000000000000004">
      <c r="A11133" t="str">
        <f>TEST_DATA!A11133</f>
        <v>27AAAAA11133Z5</v>
      </c>
      <c r="B11133" t="str">
        <f>TEST_DATA!B11133</f>
        <v>Jan-2019</v>
      </c>
      <c r="C11133">
        <f>TEST_DATA!C11133</f>
        <v>45778</v>
      </c>
      <c r="D11133" t="str">
        <f>TEST_DATA!D11133</f>
        <v>NIL</v>
      </c>
      <c r="E11133">
        <f>TEST_DATA!E11133</f>
        <v>370</v>
      </c>
    </row>
    <row r="11134" spans="1:5" x14ac:dyDescent="0.55000000000000004">
      <c r="A11134" t="str">
        <f>TEST_DATA!A11134</f>
        <v>27AAAAA11134Z5</v>
      </c>
      <c r="B11134" t="str">
        <f>TEST_DATA!B11134</f>
        <v>Dec-2022</v>
      </c>
      <c r="C11134">
        <f>TEST_DATA!C11134</f>
        <v>43482</v>
      </c>
      <c r="D11134" t="str">
        <f>TEST_DATA!D11134</f>
        <v>NIL</v>
      </c>
      <c r="E11134">
        <f>TEST_DATA!E11134</f>
        <v>2682</v>
      </c>
    </row>
    <row r="11135" spans="1:5" x14ac:dyDescent="0.55000000000000004">
      <c r="A11135" t="str">
        <f>TEST_DATA!A11135</f>
        <v>27AAAAA11135Z5</v>
      </c>
      <c r="B11135" t="str">
        <f>TEST_DATA!B11135</f>
        <v>Dec-2022</v>
      </c>
      <c r="C11135">
        <f>TEST_DATA!C11135</f>
        <v>45491</v>
      </c>
      <c r="D11135" t="str">
        <f>TEST_DATA!D11135</f>
        <v>NIL</v>
      </c>
      <c r="E11135">
        <f>TEST_DATA!E11135</f>
        <v>2485</v>
      </c>
    </row>
    <row r="11136" spans="1:5" x14ac:dyDescent="0.55000000000000004">
      <c r="A11136" t="str">
        <f>TEST_DATA!A11136</f>
        <v>27AAAAA11136Z5</v>
      </c>
      <c r="B11136" t="str">
        <f>TEST_DATA!B11136</f>
        <v>Mar-2021</v>
      </c>
      <c r="C11136">
        <f>TEST_DATA!C11136</f>
        <v>43704</v>
      </c>
      <c r="D11136" t="str">
        <f>TEST_DATA!D11136</f>
        <v>NON-NIL</v>
      </c>
      <c r="E11136">
        <f>TEST_DATA!E11136</f>
        <v>2950</v>
      </c>
    </row>
    <row r="11137" spans="1:5" x14ac:dyDescent="0.55000000000000004">
      <c r="A11137" t="str">
        <f>TEST_DATA!A11137</f>
        <v>27AAAAA11137Z5</v>
      </c>
      <c r="B11137" t="str">
        <f>TEST_DATA!B11137</f>
        <v>Jan-2021</v>
      </c>
      <c r="C11137">
        <f>TEST_DATA!C11137</f>
        <v>43987</v>
      </c>
      <c r="D11137" t="str">
        <f>TEST_DATA!D11137</f>
        <v>NIL</v>
      </c>
      <c r="E11137">
        <f>TEST_DATA!E11137</f>
        <v>769</v>
      </c>
    </row>
    <row r="11138" spans="1:5" x14ac:dyDescent="0.55000000000000004">
      <c r="A11138" t="str">
        <f>TEST_DATA!A11138</f>
        <v>27AAAAA11138Z5</v>
      </c>
      <c r="B11138" t="str">
        <f>TEST_DATA!B11138</f>
        <v>Dec-2019</v>
      </c>
      <c r="C11138">
        <f>TEST_DATA!C11138</f>
        <v>45326</v>
      </c>
      <c r="D11138" t="str">
        <f>TEST_DATA!D11138</f>
        <v>NIL</v>
      </c>
      <c r="E11138">
        <f>TEST_DATA!E11138</f>
        <v>413</v>
      </c>
    </row>
    <row r="11139" spans="1:5" x14ac:dyDescent="0.55000000000000004">
      <c r="A11139" t="str">
        <f>TEST_DATA!A11139</f>
        <v>27AAAAA11139Z5</v>
      </c>
      <c r="B11139" t="str">
        <f>TEST_DATA!B11139</f>
        <v>Nov-2017</v>
      </c>
      <c r="C11139">
        <f>TEST_DATA!C11139</f>
        <v>43171</v>
      </c>
      <c r="D11139" t="str">
        <f>TEST_DATA!D11139</f>
        <v>NON-NIL</v>
      </c>
      <c r="E11139">
        <f>TEST_DATA!E11139</f>
        <v>2608</v>
      </c>
    </row>
    <row r="11140" spans="1:5" x14ac:dyDescent="0.55000000000000004">
      <c r="A11140" t="str">
        <f>TEST_DATA!A11140</f>
        <v>27AAAAA11140Z5</v>
      </c>
      <c r="B11140" t="str">
        <f>TEST_DATA!B11140</f>
        <v>Sep-2017</v>
      </c>
      <c r="C11140">
        <f>TEST_DATA!C11140</f>
        <v>44088</v>
      </c>
      <c r="D11140" t="str">
        <f>TEST_DATA!D11140</f>
        <v>NIL</v>
      </c>
      <c r="E11140">
        <f>TEST_DATA!E11140</f>
        <v>2596</v>
      </c>
    </row>
    <row r="11141" spans="1:5" x14ac:dyDescent="0.55000000000000004">
      <c r="A11141" t="str">
        <f>TEST_DATA!A11141</f>
        <v>27AAAAA11141Z5</v>
      </c>
      <c r="B11141" t="str">
        <f>TEST_DATA!B11141</f>
        <v>Mar-2018</v>
      </c>
      <c r="C11141">
        <f>TEST_DATA!C11141</f>
        <v>43637</v>
      </c>
      <c r="D11141" t="str">
        <f>TEST_DATA!D11141</f>
        <v>NON-NIL</v>
      </c>
      <c r="E11141">
        <f>TEST_DATA!E11141</f>
        <v>702</v>
      </c>
    </row>
    <row r="11142" spans="1:5" x14ac:dyDescent="0.55000000000000004">
      <c r="A11142" t="str">
        <f>TEST_DATA!A11142</f>
        <v>27AAAAA11142Z5</v>
      </c>
      <c r="B11142" t="str">
        <f>TEST_DATA!B11142</f>
        <v>Dec-2022</v>
      </c>
      <c r="C11142">
        <f>TEST_DATA!C11142</f>
        <v>44714</v>
      </c>
      <c r="D11142" t="str">
        <f>TEST_DATA!D11142</f>
        <v>NON-NIL</v>
      </c>
      <c r="E11142">
        <f>TEST_DATA!E11142</f>
        <v>1708</v>
      </c>
    </row>
    <row r="11143" spans="1:5" x14ac:dyDescent="0.55000000000000004">
      <c r="A11143" t="str">
        <f>TEST_DATA!A11143</f>
        <v>27AAAAA11143Z5</v>
      </c>
      <c r="B11143" t="str">
        <f>TEST_DATA!B11143</f>
        <v>Jul-2020</v>
      </c>
      <c r="C11143">
        <f>TEST_DATA!C11143</f>
        <v>44205</v>
      </c>
      <c r="D11143" t="str">
        <f>TEST_DATA!D11143</f>
        <v>NIL</v>
      </c>
      <c r="E11143">
        <f>TEST_DATA!E11143</f>
        <v>146</v>
      </c>
    </row>
    <row r="11144" spans="1:5" x14ac:dyDescent="0.55000000000000004">
      <c r="A11144" t="str">
        <f>TEST_DATA!A11144</f>
        <v>27AAAAA11144Z5</v>
      </c>
      <c r="B11144" t="str">
        <f>TEST_DATA!B11144</f>
        <v>Oct-2017</v>
      </c>
      <c r="C11144">
        <f>TEST_DATA!C11144</f>
        <v>43717</v>
      </c>
      <c r="D11144" t="str">
        <f>TEST_DATA!D11144</f>
        <v>NON-NIL</v>
      </c>
      <c r="E11144">
        <f>TEST_DATA!E11144</f>
        <v>1740</v>
      </c>
    </row>
    <row r="11145" spans="1:5" x14ac:dyDescent="0.55000000000000004">
      <c r="A11145" t="str">
        <f>TEST_DATA!A11145</f>
        <v>27AAAAA11145Z5</v>
      </c>
      <c r="B11145" t="str">
        <f>TEST_DATA!B11145</f>
        <v>Aug-2018</v>
      </c>
      <c r="C11145">
        <f>TEST_DATA!C11145</f>
        <v>43361</v>
      </c>
      <c r="D11145" t="str">
        <f>TEST_DATA!D11145</f>
        <v>NIL</v>
      </c>
      <c r="E11145">
        <f>TEST_DATA!E11145</f>
        <v>2464</v>
      </c>
    </row>
    <row r="11146" spans="1:5" x14ac:dyDescent="0.55000000000000004">
      <c r="A11146" t="str">
        <f>TEST_DATA!A11146</f>
        <v>27AAAAA11146Z5</v>
      </c>
      <c r="B11146" t="str">
        <f>TEST_DATA!B11146</f>
        <v>Jan-2018</v>
      </c>
      <c r="C11146">
        <f>TEST_DATA!C11146</f>
        <v>44305</v>
      </c>
      <c r="D11146" t="str">
        <f>TEST_DATA!D11146</f>
        <v>NON-NIL</v>
      </c>
      <c r="E11146">
        <f>TEST_DATA!E11146</f>
        <v>149</v>
      </c>
    </row>
    <row r="11147" spans="1:5" x14ac:dyDescent="0.55000000000000004">
      <c r="A11147" t="str">
        <f>TEST_DATA!A11147</f>
        <v>27AAAAA11147Z5</v>
      </c>
      <c r="B11147" t="str">
        <f>TEST_DATA!B11147</f>
        <v>Jun-2019</v>
      </c>
      <c r="C11147">
        <f>TEST_DATA!C11147</f>
        <v>44103</v>
      </c>
      <c r="D11147" t="str">
        <f>TEST_DATA!D11147</f>
        <v>NON-NIL</v>
      </c>
      <c r="E11147">
        <f>TEST_DATA!E11147</f>
        <v>772</v>
      </c>
    </row>
    <row r="11148" spans="1:5" x14ac:dyDescent="0.55000000000000004">
      <c r="A11148" t="str">
        <f>TEST_DATA!A11148</f>
        <v>27AAAAA11148Z5</v>
      </c>
      <c r="B11148" t="str">
        <f>TEST_DATA!B11148</f>
        <v>Jan-2021</v>
      </c>
      <c r="C11148">
        <f>TEST_DATA!C11148</f>
        <v>44004</v>
      </c>
      <c r="D11148" t="str">
        <f>TEST_DATA!D11148</f>
        <v>NON-NIL</v>
      </c>
      <c r="E11148">
        <f>TEST_DATA!E11148</f>
        <v>525</v>
      </c>
    </row>
    <row r="11149" spans="1:5" x14ac:dyDescent="0.55000000000000004">
      <c r="A11149" t="str">
        <f>TEST_DATA!A11149</f>
        <v>27AAAAA11149Z5</v>
      </c>
      <c r="B11149" t="str">
        <f>TEST_DATA!B11149</f>
        <v>May-2018</v>
      </c>
      <c r="C11149">
        <f>TEST_DATA!C11149</f>
        <v>43409</v>
      </c>
      <c r="D11149" t="str">
        <f>TEST_DATA!D11149</f>
        <v>NIL</v>
      </c>
      <c r="E11149">
        <f>TEST_DATA!E11149</f>
        <v>1132</v>
      </c>
    </row>
    <row r="11150" spans="1:5" x14ac:dyDescent="0.55000000000000004">
      <c r="A11150" t="str">
        <f>TEST_DATA!A11150</f>
        <v>27AAAAA11150Z5</v>
      </c>
      <c r="B11150" t="str">
        <f>TEST_DATA!B11150</f>
        <v>Jul-2017</v>
      </c>
      <c r="C11150">
        <f>TEST_DATA!C11150</f>
        <v>43398</v>
      </c>
      <c r="D11150" t="str">
        <f>TEST_DATA!D11150</f>
        <v>NIL</v>
      </c>
      <c r="E11150">
        <f>TEST_DATA!E11150</f>
        <v>2634</v>
      </c>
    </row>
    <row r="11151" spans="1:5" x14ac:dyDescent="0.55000000000000004">
      <c r="A11151" t="str">
        <f>TEST_DATA!A11151</f>
        <v>27AAAAA11151Z5</v>
      </c>
      <c r="B11151" t="str">
        <f>TEST_DATA!B11151</f>
        <v>Jan-2019</v>
      </c>
      <c r="C11151">
        <f>TEST_DATA!C11151</f>
        <v>44751</v>
      </c>
      <c r="D11151" t="str">
        <f>TEST_DATA!D11151</f>
        <v>NON-NIL</v>
      </c>
      <c r="E11151">
        <f>TEST_DATA!E11151</f>
        <v>2438</v>
      </c>
    </row>
    <row r="11152" spans="1:5" x14ac:dyDescent="0.55000000000000004">
      <c r="A11152" t="str">
        <f>TEST_DATA!A11152</f>
        <v>27AAAAA11152Z5</v>
      </c>
      <c r="B11152" t="str">
        <f>TEST_DATA!B11152</f>
        <v>Mar-2021</v>
      </c>
      <c r="C11152">
        <f>TEST_DATA!C11152</f>
        <v>45624</v>
      </c>
      <c r="D11152" t="str">
        <f>TEST_DATA!D11152</f>
        <v>NON-NIL</v>
      </c>
      <c r="E11152">
        <f>TEST_DATA!E11152</f>
        <v>268</v>
      </c>
    </row>
    <row r="11153" spans="1:5" x14ac:dyDescent="0.55000000000000004">
      <c r="A11153" t="str">
        <f>TEST_DATA!A11153</f>
        <v>27AAAAA11153Z5</v>
      </c>
      <c r="B11153" t="str">
        <f>TEST_DATA!B11153</f>
        <v>Jun-2020</v>
      </c>
      <c r="C11153">
        <f>TEST_DATA!C11153</f>
        <v>44391</v>
      </c>
      <c r="D11153" t="str">
        <f>TEST_DATA!D11153</f>
        <v>NIL</v>
      </c>
      <c r="E11153">
        <f>TEST_DATA!E11153</f>
        <v>251</v>
      </c>
    </row>
    <row r="11154" spans="1:5" x14ac:dyDescent="0.55000000000000004">
      <c r="A11154" t="str">
        <f>TEST_DATA!A11154</f>
        <v>27AAAAA11154Z5</v>
      </c>
      <c r="B11154" t="str">
        <f>TEST_DATA!B11154</f>
        <v>Nov-2017</v>
      </c>
      <c r="C11154">
        <f>TEST_DATA!C11154</f>
        <v>43496</v>
      </c>
      <c r="D11154" t="str">
        <f>TEST_DATA!D11154</f>
        <v>NON-NIL</v>
      </c>
      <c r="E11154">
        <f>TEST_DATA!E11154</f>
        <v>776</v>
      </c>
    </row>
    <row r="11155" spans="1:5" x14ac:dyDescent="0.55000000000000004">
      <c r="A11155" t="str">
        <f>TEST_DATA!A11155</f>
        <v>27AAAAA11155Z5</v>
      </c>
      <c r="B11155" t="str">
        <f>TEST_DATA!B11155</f>
        <v>Mar-2021</v>
      </c>
      <c r="C11155">
        <f>TEST_DATA!C11155</f>
        <v>44885</v>
      </c>
      <c r="D11155" t="str">
        <f>TEST_DATA!D11155</f>
        <v>NIL</v>
      </c>
      <c r="E11155">
        <f>TEST_DATA!E11155</f>
        <v>1998</v>
      </c>
    </row>
    <row r="11156" spans="1:5" x14ac:dyDescent="0.55000000000000004">
      <c r="A11156" t="str">
        <f>TEST_DATA!A11156</f>
        <v>27AAAAA11156Z5</v>
      </c>
      <c r="B11156" t="str">
        <f>TEST_DATA!B11156</f>
        <v>Mar-2018</v>
      </c>
      <c r="C11156">
        <f>TEST_DATA!C11156</f>
        <v>43672</v>
      </c>
      <c r="D11156" t="str">
        <f>TEST_DATA!D11156</f>
        <v>NIL</v>
      </c>
      <c r="E11156">
        <f>TEST_DATA!E11156</f>
        <v>2458</v>
      </c>
    </row>
    <row r="11157" spans="1:5" x14ac:dyDescent="0.55000000000000004">
      <c r="A11157" t="str">
        <f>TEST_DATA!A11157</f>
        <v>27AAAAA11157Z5</v>
      </c>
      <c r="B11157" t="str">
        <f>TEST_DATA!B11157</f>
        <v>Jan-2018</v>
      </c>
      <c r="C11157">
        <f>TEST_DATA!C11157</f>
        <v>44427</v>
      </c>
      <c r="D11157" t="str">
        <f>TEST_DATA!D11157</f>
        <v>NIL</v>
      </c>
      <c r="E11157">
        <f>TEST_DATA!E11157</f>
        <v>754</v>
      </c>
    </row>
    <row r="11158" spans="1:5" x14ac:dyDescent="0.55000000000000004">
      <c r="A11158" t="str">
        <f>TEST_DATA!A11158</f>
        <v>27AAAAA11158Z5</v>
      </c>
      <c r="B11158" t="str">
        <f>TEST_DATA!B11158</f>
        <v>Jun-2019</v>
      </c>
      <c r="C11158">
        <f>TEST_DATA!C11158</f>
        <v>43687</v>
      </c>
      <c r="D11158" t="str">
        <f>TEST_DATA!D11158</f>
        <v>NON-NIL</v>
      </c>
      <c r="E11158">
        <f>TEST_DATA!E11158</f>
        <v>100</v>
      </c>
    </row>
    <row r="11159" spans="1:5" x14ac:dyDescent="0.55000000000000004">
      <c r="A11159" t="str">
        <f>TEST_DATA!A11159</f>
        <v>27AAAAA11159Z5</v>
      </c>
      <c r="B11159" t="str">
        <f>TEST_DATA!B11159</f>
        <v>Nov-2017</v>
      </c>
      <c r="C11159">
        <f>TEST_DATA!C11159</f>
        <v>43459</v>
      </c>
      <c r="D11159" t="str">
        <f>TEST_DATA!D11159</f>
        <v>NON-NIL</v>
      </c>
      <c r="E11159">
        <f>TEST_DATA!E11159</f>
        <v>16</v>
      </c>
    </row>
    <row r="11160" spans="1:5" x14ac:dyDescent="0.55000000000000004">
      <c r="A11160" t="str">
        <f>TEST_DATA!A11160</f>
        <v>27AAAAA11160Z5</v>
      </c>
      <c r="B11160" t="str">
        <f>TEST_DATA!B11160</f>
        <v>Apr-2018</v>
      </c>
      <c r="C11160">
        <f>TEST_DATA!C11160</f>
        <v>44530</v>
      </c>
      <c r="D11160" t="str">
        <f>TEST_DATA!D11160</f>
        <v>NIL</v>
      </c>
      <c r="E11160">
        <f>TEST_DATA!E11160</f>
        <v>352</v>
      </c>
    </row>
    <row r="11161" spans="1:5" x14ac:dyDescent="0.55000000000000004">
      <c r="A11161" t="str">
        <f>TEST_DATA!A11161</f>
        <v>27AAAAA11161Z5</v>
      </c>
      <c r="B11161" t="str">
        <f>TEST_DATA!B11161</f>
        <v>Jul-2017</v>
      </c>
      <c r="C11161">
        <f>TEST_DATA!C11161</f>
        <v>44186</v>
      </c>
      <c r="D11161" t="str">
        <f>TEST_DATA!D11161</f>
        <v>NIL</v>
      </c>
      <c r="E11161">
        <f>TEST_DATA!E11161</f>
        <v>1917</v>
      </c>
    </row>
    <row r="11162" spans="1:5" x14ac:dyDescent="0.55000000000000004">
      <c r="A11162" t="str">
        <f>TEST_DATA!A11162</f>
        <v>27AAAAA11162Z5</v>
      </c>
      <c r="B11162" t="str">
        <f>TEST_DATA!B11162</f>
        <v>Jan-2019</v>
      </c>
      <c r="C11162">
        <f>TEST_DATA!C11162</f>
        <v>43860</v>
      </c>
      <c r="D11162" t="str">
        <f>TEST_DATA!D11162</f>
        <v>NIL</v>
      </c>
      <c r="E11162">
        <f>TEST_DATA!E11162</f>
        <v>965</v>
      </c>
    </row>
    <row r="11163" spans="1:5" x14ac:dyDescent="0.55000000000000004">
      <c r="A11163" t="str">
        <f>TEST_DATA!A11163</f>
        <v>27AAAAA11163Z5</v>
      </c>
      <c r="B11163" t="str">
        <f>TEST_DATA!B11163</f>
        <v>Jun-2020</v>
      </c>
      <c r="C11163">
        <f>TEST_DATA!C11163</f>
        <v>44503</v>
      </c>
      <c r="D11163" t="str">
        <f>TEST_DATA!D11163</f>
        <v>NIL</v>
      </c>
      <c r="E11163">
        <f>TEST_DATA!E11163</f>
        <v>529</v>
      </c>
    </row>
    <row r="11164" spans="1:5" x14ac:dyDescent="0.55000000000000004">
      <c r="A11164" t="str">
        <f>TEST_DATA!A11164</f>
        <v>27AAAAA11164Z5</v>
      </c>
      <c r="B11164" t="str">
        <f>TEST_DATA!B11164</f>
        <v>Mar-2021</v>
      </c>
      <c r="C11164">
        <f>TEST_DATA!C11164</f>
        <v>45468</v>
      </c>
      <c r="D11164" t="str">
        <f>TEST_DATA!D11164</f>
        <v>NON-NIL</v>
      </c>
      <c r="E11164">
        <f>TEST_DATA!E11164</f>
        <v>2578</v>
      </c>
    </row>
    <row r="11165" spans="1:5" x14ac:dyDescent="0.55000000000000004">
      <c r="A11165" t="str">
        <f>TEST_DATA!A11165</f>
        <v>27AAAAA11165Z5</v>
      </c>
      <c r="B11165" t="str">
        <f>TEST_DATA!B11165</f>
        <v>May-2020</v>
      </c>
      <c r="C11165">
        <f>TEST_DATA!C11165</f>
        <v>44282</v>
      </c>
      <c r="D11165" t="str">
        <f>TEST_DATA!D11165</f>
        <v>NON-NIL</v>
      </c>
      <c r="E11165">
        <f>TEST_DATA!E11165</f>
        <v>1786</v>
      </c>
    </row>
    <row r="11166" spans="1:5" x14ac:dyDescent="0.55000000000000004">
      <c r="A11166" t="str">
        <f>TEST_DATA!A11166</f>
        <v>27AAAAA11166Z5</v>
      </c>
      <c r="B11166" t="str">
        <f>TEST_DATA!B11166</f>
        <v>Jun-2018</v>
      </c>
      <c r="C11166">
        <f>TEST_DATA!C11166</f>
        <v>43619</v>
      </c>
      <c r="D11166" t="str">
        <f>TEST_DATA!D11166</f>
        <v>NON-NIL</v>
      </c>
      <c r="E11166">
        <f>TEST_DATA!E11166</f>
        <v>1805</v>
      </c>
    </row>
    <row r="11167" spans="1:5" x14ac:dyDescent="0.55000000000000004">
      <c r="A11167" t="str">
        <f>TEST_DATA!A11167</f>
        <v>27AAAAA11167Z5</v>
      </c>
      <c r="B11167" t="str">
        <f>TEST_DATA!B11167</f>
        <v>Jul-2018</v>
      </c>
      <c r="C11167">
        <f>TEST_DATA!C11167</f>
        <v>43049</v>
      </c>
      <c r="D11167" t="str">
        <f>TEST_DATA!D11167</f>
        <v>NON-NIL</v>
      </c>
      <c r="E11167">
        <f>TEST_DATA!E11167</f>
        <v>521</v>
      </c>
    </row>
    <row r="11168" spans="1:5" x14ac:dyDescent="0.55000000000000004">
      <c r="A11168" t="str">
        <f>TEST_DATA!A11168</f>
        <v>27AAAAA11168Z5</v>
      </c>
      <c r="B11168" t="str">
        <f>TEST_DATA!B11168</f>
        <v>Sep-2018</v>
      </c>
      <c r="C11168">
        <f>TEST_DATA!C11168</f>
        <v>43648</v>
      </c>
      <c r="D11168" t="str">
        <f>TEST_DATA!D11168</f>
        <v>NON-NIL</v>
      </c>
      <c r="E11168">
        <f>TEST_DATA!E11168</f>
        <v>922</v>
      </c>
    </row>
    <row r="11169" spans="1:5" x14ac:dyDescent="0.55000000000000004">
      <c r="A11169" t="str">
        <f>TEST_DATA!A11169</f>
        <v>27AAAAA11169Z5</v>
      </c>
      <c r="B11169" t="str">
        <f>TEST_DATA!B11169</f>
        <v>May-2018</v>
      </c>
      <c r="C11169">
        <f>TEST_DATA!C11169</f>
        <v>43573</v>
      </c>
      <c r="D11169" t="str">
        <f>TEST_DATA!D11169</f>
        <v>NON-NIL</v>
      </c>
      <c r="E11169">
        <f>TEST_DATA!E11169</f>
        <v>2283</v>
      </c>
    </row>
    <row r="11170" spans="1:5" x14ac:dyDescent="0.55000000000000004">
      <c r="A11170" t="str">
        <f>TEST_DATA!A11170</f>
        <v>27AAAAA11170Z5</v>
      </c>
      <c r="B11170" t="str">
        <f>TEST_DATA!B11170</f>
        <v>Oct-2017</v>
      </c>
      <c r="C11170">
        <f>TEST_DATA!C11170</f>
        <v>43507</v>
      </c>
      <c r="D11170" t="str">
        <f>TEST_DATA!D11170</f>
        <v>NON-NIL</v>
      </c>
      <c r="E11170">
        <f>TEST_DATA!E11170</f>
        <v>398</v>
      </c>
    </row>
    <row r="11171" spans="1:5" x14ac:dyDescent="0.55000000000000004">
      <c r="A11171" t="str">
        <f>TEST_DATA!A11171</f>
        <v>27AAAAA11171Z5</v>
      </c>
      <c r="B11171" t="str">
        <f>TEST_DATA!B11171</f>
        <v>Dec-2017</v>
      </c>
      <c r="C11171">
        <f>TEST_DATA!C11171</f>
        <v>43714</v>
      </c>
      <c r="D11171" t="str">
        <f>TEST_DATA!D11171</f>
        <v>NON-NIL</v>
      </c>
      <c r="E11171">
        <f>TEST_DATA!E11171</f>
        <v>1753</v>
      </c>
    </row>
    <row r="11172" spans="1:5" x14ac:dyDescent="0.55000000000000004">
      <c r="A11172" t="str">
        <f>TEST_DATA!A11172</f>
        <v>27AAAAA11172Z5</v>
      </c>
      <c r="B11172" t="str">
        <f>TEST_DATA!B11172</f>
        <v>Oct-2017</v>
      </c>
      <c r="C11172">
        <f>TEST_DATA!C11172</f>
        <v>43612</v>
      </c>
      <c r="D11172" t="str">
        <f>TEST_DATA!D11172</f>
        <v>NIL</v>
      </c>
      <c r="E11172">
        <f>TEST_DATA!E11172</f>
        <v>2376</v>
      </c>
    </row>
    <row r="11173" spans="1:5" x14ac:dyDescent="0.55000000000000004">
      <c r="A11173" t="str">
        <f>TEST_DATA!A11173</f>
        <v>27AAAAA11173Z5</v>
      </c>
      <c r="B11173" t="str">
        <f>TEST_DATA!B11173</f>
        <v>Jan-2018</v>
      </c>
      <c r="C11173">
        <f>TEST_DATA!C11173</f>
        <v>44552</v>
      </c>
      <c r="D11173" t="str">
        <f>TEST_DATA!D11173</f>
        <v>NIL</v>
      </c>
      <c r="E11173">
        <f>TEST_DATA!E11173</f>
        <v>2487</v>
      </c>
    </row>
    <row r="11174" spans="1:5" x14ac:dyDescent="0.55000000000000004">
      <c r="A11174" t="str">
        <f>TEST_DATA!A11174</f>
        <v>27AAAAA11174Z5</v>
      </c>
      <c r="B11174" t="str">
        <f>TEST_DATA!B11174</f>
        <v>Mar-2018</v>
      </c>
      <c r="C11174">
        <f>TEST_DATA!C11174</f>
        <v>43284</v>
      </c>
      <c r="D11174" t="str">
        <f>TEST_DATA!D11174</f>
        <v>NON-NIL</v>
      </c>
      <c r="E11174">
        <f>TEST_DATA!E11174</f>
        <v>2899</v>
      </c>
    </row>
    <row r="11175" spans="1:5" x14ac:dyDescent="0.55000000000000004">
      <c r="A11175" t="str">
        <f>TEST_DATA!A11175</f>
        <v>27AAAAA11175Z5</v>
      </c>
      <c r="B11175" t="str">
        <f>TEST_DATA!B11175</f>
        <v>Aug-2017</v>
      </c>
      <c r="C11175">
        <f>TEST_DATA!C11175</f>
        <v>43201</v>
      </c>
      <c r="D11175" t="str">
        <f>TEST_DATA!D11175</f>
        <v>NIL</v>
      </c>
      <c r="E11175">
        <f>TEST_DATA!E11175</f>
        <v>1416</v>
      </c>
    </row>
    <row r="11176" spans="1:5" x14ac:dyDescent="0.55000000000000004">
      <c r="A11176" t="str">
        <f>TEST_DATA!A11176</f>
        <v>27AAAAA11176Z5</v>
      </c>
      <c r="B11176" t="str">
        <f>TEST_DATA!B11176</f>
        <v>Aug-2017</v>
      </c>
      <c r="C11176">
        <f>TEST_DATA!C11176</f>
        <v>44231</v>
      </c>
      <c r="D11176" t="str">
        <f>TEST_DATA!D11176</f>
        <v>NIL</v>
      </c>
      <c r="E11176">
        <f>TEST_DATA!E11176</f>
        <v>850</v>
      </c>
    </row>
    <row r="11177" spans="1:5" x14ac:dyDescent="0.55000000000000004">
      <c r="A11177" t="str">
        <f>TEST_DATA!A11177</f>
        <v>27AAAAA11177Z5</v>
      </c>
      <c r="B11177" t="str">
        <f>TEST_DATA!B11177</f>
        <v>Dec-2024</v>
      </c>
      <c r="C11177">
        <f>TEST_DATA!C11177</f>
        <v>44509</v>
      </c>
      <c r="D11177" t="str">
        <f>TEST_DATA!D11177</f>
        <v>NIL</v>
      </c>
      <c r="E11177">
        <f>TEST_DATA!E11177</f>
        <v>2607</v>
      </c>
    </row>
    <row r="11178" spans="1:5" x14ac:dyDescent="0.55000000000000004">
      <c r="A11178" t="str">
        <f>TEST_DATA!A11178</f>
        <v>27AAAAA11178Z5</v>
      </c>
      <c r="B11178" t="str">
        <f>TEST_DATA!B11178</f>
        <v>Feb-2018</v>
      </c>
      <c r="C11178">
        <f>TEST_DATA!C11178</f>
        <v>44083</v>
      </c>
      <c r="D11178" t="str">
        <f>TEST_DATA!D11178</f>
        <v>NIL</v>
      </c>
      <c r="E11178">
        <f>TEST_DATA!E11178</f>
        <v>1788</v>
      </c>
    </row>
    <row r="11179" spans="1:5" x14ac:dyDescent="0.55000000000000004">
      <c r="A11179" t="str">
        <f>TEST_DATA!A11179</f>
        <v>27AAAAA11179Z5</v>
      </c>
      <c r="B11179" t="str">
        <f>TEST_DATA!B11179</f>
        <v>Dec-2017</v>
      </c>
      <c r="C11179">
        <f>TEST_DATA!C11179</f>
        <v>43884</v>
      </c>
      <c r="D11179" t="str">
        <f>TEST_DATA!D11179</f>
        <v>NON-NIL</v>
      </c>
      <c r="E11179">
        <f>TEST_DATA!E11179</f>
        <v>2065</v>
      </c>
    </row>
    <row r="11180" spans="1:5" x14ac:dyDescent="0.55000000000000004">
      <c r="A11180" t="str">
        <f>TEST_DATA!A11180</f>
        <v>27AAAAA11180Z5</v>
      </c>
      <c r="B11180" t="str">
        <f>TEST_DATA!B11180</f>
        <v>Dec-2017</v>
      </c>
      <c r="C11180">
        <f>TEST_DATA!C11180</f>
        <v>43506</v>
      </c>
      <c r="D11180" t="str">
        <f>TEST_DATA!D11180</f>
        <v>NON-NIL</v>
      </c>
      <c r="E11180">
        <f>TEST_DATA!E11180</f>
        <v>1938</v>
      </c>
    </row>
    <row r="11181" spans="1:5" x14ac:dyDescent="0.55000000000000004">
      <c r="A11181" t="str">
        <f>TEST_DATA!A11181</f>
        <v>27AAAAA11181Z5</v>
      </c>
      <c r="B11181" t="str">
        <f>TEST_DATA!B11181</f>
        <v>Jan-2018</v>
      </c>
      <c r="C11181">
        <f>TEST_DATA!C11181</f>
        <v>43357</v>
      </c>
      <c r="D11181" t="str">
        <f>TEST_DATA!D11181</f>
        <v>NIL</v>
      </c>
      <c r="E11181">
        <f>TEST_DATA!E11181</f>
        <v>539</v>
      </c>
    </row>
    <row r="11182" spans="1:5" x14ac:dyDescent="0.55000000000000004">
      <c r="A11182" t="str">
        <f>TEST_DATA!A11182</f>
        <v>27AAAAA11182Z5</v>
      </c>
      <c r="B11182" t="str">
        <f>TEST_DATA!B11182</f>
        <v>Apr-2020</v>
      </c>
      <c r="C11182">
        <f>TEST_DATA!C11182</f>
        <v>43919</v>
      </c>
      <c r="D11182" t="str">
        <f>TEST_DATA!D11182</f>
        <v>NIL</v>
      </c>
      <c r="E11182">
        <f>TEST_DATA!E11182</f>
        <v>1842</v>
      </c>
    </row>
    <row r="11183" spans="1:5" x14ac:dyDescent="0.55000000000000004">
      <c r="A11183" t="str">
        <f>TEST_DATA!A11183</f>
        <v>27AAAAA11183Z5</v>
      </c>
      <c r="B11183" t="str">
        <f>TEST_DATA!B11183</f>
        <v>Oct-2017</v>
      </c>
      <c r="C11183">
        <f>TEST_DATA!C11183</f>
        <v>44327</v>
      </c>
      <c r="D11183" t="str">
        <f>TEST_DATA!D11183</f>
        <v>NIL</v>
      </c>
      <c r="E11183">
        <f>TEST_DATA!E11183</f>
        <v>606</v>
      </c>
    </row>
    <row r="11184" spans="1:5" x14ac:dyDescent="0.55000000000000004">
      <c r="A11184" t="str">
        <f>TEST_DATA!A11184</f>
        <v>27AAAAA11184Z5</v>
      </c>
      <c r="B11184" t="str">
        <f>TEST_DATA!B11184</f>
        <v>Sep-2018</v>
      </c>
      <c r="C11184">
        <f>TEST_DATA!C11184</f>
        <v>43626</v>
      </c>
      <c r="D11184" t="str">
        <f>TEST_DATA!D11184</f>
        <v>NIL</v>
      </c>
      <c r="E11184">
        <f>TEST_DATA!E11184</f>
        <v>2323</v>
      </c>
    </row>
    <row r="11185" spans="1:5" x14ac:dyDescent="0.55000000000000004">
      <c r="A11185" t="str">
        <f>TEST_DATA!A11185</f>
        <v>27AAAAA11185Z5</v>
      </c>
      <c r="B11185" t="str">
        <f>TEST_DATA!B11185</f>
        <v>Jul-2020</v>
      </c>
      <c r="C11185">
        <f>TEST_DATA!C11185</f>
        <v>44573</v>
      </c>
      <c r="D11185" t="str">
        <f>TEST_DATA!D11185</f>
        <v>NON-NIL</v>
      </c>
      <c r="E11185">
        <f>TEST_DATA!E11185</f>
        <v>1892</v>
      </c>
    </row>
    <row r="11186" spans="1:5" x14ac:dyDescent="0.55000000000000004">
      <c r="A11186" t="str">
        <f>TEST_DATA!A11186</f>
        <v>27AAAAA11186Z5</v>
      </c>
      <c r="B11186" t="str">
        <f>TEST_DATA!B11186</f>
        <v>Jun-2020</v>
      </c>
      <c r="C11186">
        <f>TEST_DATA!C11186</f>
        <v>44010</v>
      </c>
      <c r="D11186" t="str">
        <f>TEST_DATA!D11186</f>
        <v>NON-NIL</v>
      </c>
      <c r="E11186">
        <f>TEST_DATA!E11186</f>
        <v>740</v>
      </c>
    </row>
    <row r="11187" spans="1:5" x14ac:dyDescent="0.55000000000000004">
      <c r="A11187" t="str">
        <f>TEST_DATA!A11187</f>
        <v>27AAAAA11187Z5</v>
      </c>
      <c r="B11187" t="str">
        <f>TEST_DATA!B11187</f>
        <v>Sep-2017</v>
      </c>
      <c r="C11187">
        <f>TEST_DATA!C11187</f>
        <v>44534</v>
      </c>
      <c r="D11187" t="str">
        <f>TEST_DATA!D11187</f>
        <v>NIL</v>
      </c>
      <c r="E11187">
        <f>TEST_DATA!E11187</f>
        <v>1726</v>
      </c>
    </row>
    <row r="11188" spans="1:5" x14ac:dyDescent="0.55000000000000004">
      <c r="A11188" t="str">
        <f>TEST_DATA!A11188</f>
        <v>27AAAAA11188Z5</v>
      </c>
      <c r="B11188" t="str">
        <f>TEST_DATA!B11188</f>
        <v>Jun-2020</v>
      </c>
      <c r="C11188">
        <f>TEST_DATA!C11188</f>
        <v>44213</v>
      </c>
      <c r="D11188" t="str">
        <f>TEST_DATA!D11188</f>
        <v>NIL</v>
      </c>
      <c r="E11188">
        <f>TEST_DATA!E11188</f>
        <v>137</v>
      </c>
    </row>
    <row r="11189" spans="1:5" x14ac:dyDescent="0.55000000000000004">
      <c r="A11189" t="str">
        <f>TEST_DATA!A11189</f>
        <v>27AAAAA11189Z5</v>
      </c>
      <c r="B11189" t="str">
        <f>TEST_DATA!B11189</f>
        <v>Dec-2022</v>
      </c>
      <c r="C11189">
        <f>TEST_DATA!C11189</f>
        <v>45069</v>
      </c>
      <c r="D11189" t="str">
        <f>TEST_DATA!D11189</f>
        <v>NON-NIL</v>
      </c>
      <c r="E11189">
        <f>TEST_DATA!E11189</f>
        <v>2449</v>
      </c>
    </row>
    <row r="11190" spans="1:5" x14ac:dyDescent="0.55000000000000004">
      <c r="A11190" t="str">
        <f>TEST_DATA!A11190</f>
        <v>27AAAAA11190Z5</v>
      </c>
      <c r="B11190" t="str">
        <f>TEST_DATA!B11190</f>
        <v>Sep-2017</v>
      </c>
      <c r="C11190">
        <f>TEST_DATA!C11190</f>
        <v>43010</v>
      </c>
      <c r="D11190" t="str">
        <f>TEST_DATA!D11190</f>
        <v>NIL</v>
      </c>
      <c r="E11190">
        <f>TEST_DATA!E11190</f>
        <v>2937</v>
      </c>
    </row>
    <row r="11191" spans="1:5" x14ac:dyDescent="0.55000000000000004">
      <c r="A11191" t="str">
        <f>TEST_DATA!A11191</f>
        <v>27AAAAA11191Z5</v>
      </c>
      <c r="B11191" t="str">
        <f>TEST_DATA!B11191</f>
        <v>Mar-2018</v>
      </c>
      <c r="C11191">
        <f>TEST_DATA!C11191</f>
        <v>43431</v>
      </c>
      <c r="D11191" t="str">
        <f>TEST_DATA!D11191</f>
        <v>NIL</v>
      </c>
      <c r="E11191">
        <f>TEST_DATA!E11191</f>
        <v>1613</v>
      </c>
    </row>
    <row r="11192" spans="1:5" x14ac:dyDescent="0.55000000000000004">
      <c r="A11192" t="str">
        <f>TEST_DATA!A11192</f>
        <v>27AAAAA11192Z5</v>
      </c>
      <c r="B11192" t="str">
        <f>TEST_DATA!B11192</f>
        <v>Mar-2018</v>
      </c>
      <c r="C11192">
        <f>TEST_DATA!C11192</f>
        <v>43358</v>
      </c>
      <c r="D11192" t="str">
        <f>TEST_DATA!D11192</f>
        <v>NON-NIL</v>
      </c>
      <c r="E11192">
        <f>TEST_DATA!E11192</f>
        <v>1093</v>
      </c>
    </row>
    <row r="11193" spans="1:5" x14ac:dyDescent="0.55000000000000004">
      <c r="A11193" t="str">
        <f>TEST_DATA!A11193</f>
        <v>27AAAAA11193Z5</v>
      </c>
      <c r="B11193" t="str">
        <f>TEST_DATA!B11193</f>
        <v>Apr-2018</v>
      </c>
      <c r="C11193">
        <f>TEST_DATA!C11193</f>
        <v>43431</v>
      </c>
      <c r="D11193" t="str">
        <f>TEST_DATA!D11193</f>
        <v>NIL</v>
      </c>
      <c r="E11193">
        <f>TEST_DATA!E11193</f>
        <v>656</v>
      </c>
    </row>
    <row r="11194" spans="1:5" x14ac:dyDescent="0.55000000000000004">
      <c r="A11194" t="str">
        <f>TEST_DATA!A11194</f>
        <v>27AAAAA11194Z5</v>
      </c>
      <c r="B11194" t="str">
        <f>TEST_DATA!B11194</f>
        <v>Jan-2021</v>
      </c>
      <c r="C11194">
        <f>TEST_DATA!C11194</f>
        <v>45773</v>
      </c>
      <c r="D11194" t="str">
        <f>TEST_DATA!D11194</f>
        <v>NON-NIL</v>
      </c>
      <c r="E11194">
        <f>TEST_DATA!E11194</f>
        <v>2409</v>
      </c>
    </row>
    <row r="11195" spans="1:5" x14ac:dyDescent="0.55000000000000004">
      <c r="A11195" t="str">
        <f>TEST_DATA!A11195</f>
        <v>27AAAAA11195Z5</v>
      </c>
      <c r="B11195" t="str">
        <f>TEST_DATA!B11195</f>
        <v>Sep-2017</v>
      </c>
      <c r="C11195">
        <f>TEST_DATA!C11195</f>
        <v>43434</v>
      </c>
      <c r="D11195" t="str">
        <f>TEST_DATA!D11195</f>
        <v>NIL</v>
      </c>
      <c r="E11195">
        <f>TEST_DATA!E11195</f>
        <v>640</v>
      </c>
    </row>
    <row r="11196" spans="1:5" x14ac:dyDescent="0.55000000000000004">
      <c r="A11196" t="str">
        <f>TEST_DATA!A11196</f>
        <v>27AAAAA11196Z5</v>
      </c>
      <c r="B11196" t="str">
        <f>TEST_DATA!B11196</f>
        <v>Jul-2020</v>
      </c>
      <c r="C11196">
        <f>TEST_DATA!C11196</f>
        <v>43846</v>
      </c>
      <c r="D11196" t="str">
        <f>TEST_DATA!D11196</f>
        <v>NIL</v>
      </c>
      <c r="E11196">
        <f>TEST_DATA!E11196</f>
        <v>1898</v>
      </c>
    </row>
    <row r="11197" spans="1:5" x14ac:dyDescent="0.55000000000000004">
      <c r="A11197" t="str">
        <f>TEST_DATA!A11197</f>
        <v>27AAAAA11197Z5</v>
      </c>
      <c r="B11197" t="str">
        <f>TEST_DATA!B11197</f>
        <v>May-2020</v>
      </c>
      <c r="C11197">
        <f>TEST_DATA!C11197</f>
        <v>44138</v>
      </c>
      <c r="D11197" t="str">
        <f>TEST_DATA!D11197</f>
        <v>NIL</v>
      </c>
      <c r="E11197">
        <f>TEST_DATA!E11197</f>
        <v>1808</v>
      </c>
    </row>
    <row r="11198" spans="1:5" x14ac:dyDescent="0.55000000000000004">
      <c r="A11198" t="str">
        <f>TEST_DATA!A11198</f>
        <v>27AAAAA11198Z5</v>
      </c>
      <c r="B11198" t="str">
        <f>TEST_DATA!B11198</f>
        <v>Jul-2018</v>
      </c>
      <c r="C11198">
        <f>TEST_DATA!C11198</f>
        <v>44387</v>
      </c>
      <c r="D11198" t="str">
        <f>TEST_DATA!D11198</f>
        <v>NIL</v>
      </c>
      <c r="E11198">
        <f>TEST_DATA!E11198</f>
        <v>1307</v>
      </c>
    </row>
    <row r="11199" spans="1:5" x14ac:dyDescent="0.55000000000000004">
      <c r="A11199" t="str">
        <f>TEST_DATA!A11199</f>
        <v>27AAAAA11199Z5</v>
      </c>
      <c r="B11199" t="str">
        <f>TEST_DATA!B11199</f>
        <v>Dec-2017</v>
      </c>
      <c r="C11199">
        <f>TEST_DATA!C11199</f>
        <v>43862</v>
      </c>
      <c r="D11199" t="str">
        <f>TEST_DATA!D11199</f>
        <v>NIL</v>
      </c>
      <c r="E11199">
        <f>TEST_DATA!E11199</f>
        <v>2569</v>
      </c>
    </row>
    <row r="11200" spans="1:5" x14ac:dyDescent="0.55000000000000004">
      <c r="A11200" t="str">
        <f>TEST_DATA!A11200</f>
        <v>27AAAAA11200Z5</v>
      </c>
      <c r="B11200" t="str">
        <f>TEST_DATA!B11200</f>
        <v>Jun-2019</v>
      </c>
      <c r="C11200">
        <f>TEST_DATA!C11200</f>
        <v>45292</v>
      </c>
      <c r="D11200" t="str">
        <f>TEST_DATA!D11200</f>
        <v>NON-NIL</v>
      </c>
      <c r="E11200">
        <f>TEST_DATA!E11200</f>
        <v>2738</v>
      </c>
    </row>
    <row r="11201" spans="1:5" x14ac:dyDescent="0.55000000000000004">
      <c r="A11201" t="str">
        <f>TEST_DATA!A11201</f>
        <v>27AAAAA11201Z5</v>
      </c>
      <c r="B11201" t="str">
        <f>TEST_DATA!B11201</f>
        <v>Jan-2019</v>
      </c>
      <c r="C11201">
        <f>TEST_DATA!C11201</f>
        <v>43901</v>
      </c>
      <c r="D11201" t="str">
        <f>TEST_DATA!D11201</f>
        <v>NIL</v>
      </c>
      <c r="E11201">
        <f>TEST_DATA!E11201</f>
        <v>2464</v>
      </c>
    </row>
    <row r="11202" spans="1:5" x14ac:dyDescent="0.55000000000000004">
      <c r="A11202" t="str">
        <f>TEST_DATA!A11202</f>
        <v>27AAAAA11202Z5</v>
      </c>
      <c r="B11202" t="str">
        <f>TEST_DATA!B11202</f>
        <v>Jan-2018</v>
      </c>
      <c r="C11202">
        <f>TEST_DATA!C11202</f>
        <v>43302</v>
      </c>
      <c r="D11202" t="str">
        <f>TEST_DATA!D11202</f>
        <v>NON-NIL</v>
      </c>
      <c r="E11202">
        <f>TEST_DATA!E11202</f>
        <v>893</v>
      </c>
    </row>
    <row r="11203" spans="1:5" x14ac:dyDescent="0.55000000000000004">
      <c r="A11203" t="str">
        <f>TEST_DATA!A11203</f>
        <v>27AAAAA11203Z5</v>
      </c>
      <c r="B11203" t="str">
        <f>TEST_DATA!B11203</f>
        <v>Aug-2017</v>
      </c>
      <c r="C11203">
        <f>TEST_DATA!C11203</f>
        <v>42946</v>
      </c>
      <c r="D11203" t="str">
        <f>TEST_DATA!D11203</f>
        <v>NIL</v>
      </c>
      <c r="E11203">
        <f>TEST_DATA!E11203</f>
        <v>2408</v>
      </c>
    </row>
    <row r="11204" spans="1:5" x14ac:dyDescent="0.55000000000000004">
      <c r="A11204" t="str">
        <f>TEST_DATA!A11204</f>
        <v>27AAAAA11204Z5</v>
      </c>
      <c r="B11204" t="str">
        <f>TEST_DATA!B11204</f>
        <v>Aug-2017</v>
      </c>
      <c r="C11204">
        <f>TEST_DATA!C11204</f>
        <v>43039</v>
      </c>
      <c r="D11204" t="str">
        <f>TEST_DATA!D11204</f>
        <v>NON-NIL</v>
      </c>
      <c r="E11204">
        <f>TEST_DATA!E11204</f>
        <v>867</v>
      </c>
    </row>
    <row r="11205" spans="1:5" x14ac:dyDescent="0.55000000000000004">
      <c r="A11205" t="str">
        <f>TEST_DATA!A11205</f>
        <v>27AAAAA11205Z5</v>
      </c>
      <c r="B11205" t="str">
        <f>TEST_DATA!B11205</f>
        <v>May-2020</v>
      </c>
      <c r="C11205">
        <f>TEST_DATA!C11205</f>
        <v>44118</v>
      </c>
      <c r="D11205" t="str">
        <f>TEST_DATA!D11205</f>
        <v>NON-NIL</v>
      </c>
      <c r="E11205">
        <f>TEST_DATA!E11205</f>
        <v>2107</v>
      </c>
    </row>
    <row r="11206" spans="1:5" x14ac:dyDescent="0.55000000000000004">
      <c r="A11206" t="str">
        <f>TEST_DATA!A11206</f>
        <v>27AAAAA11206Z5</v>
      </c>
      <c r="B11206" t="str">
        <f>TEST_DATA!B11206</f>
        <v>Jan-2021</v>
      </c>
      <c r="C11206">
        <f>TEST_DATA!C11206</f>
        <v>45203</v>
      </c>
      <c r="D11206" t="str">
        <f>TEST_DATA!D11206</f>
        <v>NON-NIL</v>
      </c>
      <c r="E11206">
        <f>TEST_DATA!E11206</f>
        <v>1826</v>
      </c>
    </row>
    <row r="11207" spans="1:5" x14ac:dyDescent="0.55000000000000004">
      <c r="A11207" t="str">
        <f>TEST_DATA!A11207</f>
        <v>27AAAAA11207Z5</v>
      </c>
      <c r="B11207" t="str">
        <f>TEST_DATA!B11207</f>
        <v>Dec-2024</v>
      </c>
      <c r="C11207">
        <f>TEST_DATA!C11207</f>
        <v>44820</v>
      </c>
      <c r="D11207" t="str">
        <f>TEST_DATA!D11207</f>
        <v>NON-NIL</v>
      </c>
      <c r="E11207">
        <f>TEST_DATA!E11207</f>
        <v>1648</v>
      </c>
    </row>
    <row r="11208" spans="1:5" x14ac:dyDescent="0.55000000000000004">
      <c r="A11208" t="str">
        <f>TEST_DATA!A11208</f>
        <v>27AAAAA11208Z5</v>
      </c>
      <c r="B11208" t="str">
        <f>TEST_DATA!B11208</f>
        <v>Jun-2018</v>
      </c>
      <c r="C11208">
        <f>TEST_DATA!C11208</f>
        <v>44046</v>
      </c>
      <c r="D11208" t="str">
        <f>TEST_DATA!D11208</f>
        <v>NON-NIL</v>
      </c>
      <c r="E11208">
        <f>TEST_DATA!E11208</f>
        <v>493</v>
      </c>
    </row>
    <row r="11209" spans="1:5" x14ac:dyDescent="0.55000000000000004">
      <c r="A11209" t="str">
        <f>TEST_DATA!A11209</f>
        <v>27AAAAA11209Z5</v>
      </c>
      <c r="B11209" t="str">
        <f>TEST_DATA!B11209</f>
        <v>Jan-2019</v>
      </c>
      <c r="C11209">
        <f>TEST_DATA!C11209</f>
        <v>44144</v>
      </c>
      <c r="D11209" t="str">
        <f>TEST_DATA!D11209</f>
        <v>NON-NIL</v>
      </c>
      <c r="E11209">
        <f>TEST_DATA!E11209</f>
        <v>1894</v>
      </c>
    </row>
    <row r="11210" spans="1:5" x14ac:dyDescent="0.55000000000000004">
      <c r="A11210" t="str">
        <f>TEST_DATA!A11210</f>
        <v>27AAAAA11210Z5</v>
      </c>
      <c r="B11210" t="str">
        <f>TEST_DATA!B11210</f>
        <v>May-2020</v>
      </c>
      <c r="C11210">
        <f>TEST_DATA!C11210</f>
        <v>43887</v>
      </c>
      <c r="D11210" t="str">
        <f>TEST_DATA!D11210</f>
        <v>NIL</v>
      </c>
      <c r="E11210">
        <f>TEST_DATA!E11210</f>
        <v>1184</v>
      </c>
    </row>
    <row r="11211" spans="1:5" x14ac:dyDescent="0.55000000000000004">
      <c r="A11211" t="str">
        <f>TEST_DATA!A11211</f>
        <v>27AAAAA11211Z5</v>
      </c>
      <c r="B11211" t="str">
        <f>TEST_DATA!B11211</f>
        <v>Mar-2018</v>
      </c>
      <c r="C11211">
        <f>TEST_DATA!C11211</f>
        <v>43779</v>
      </c>
      <c r="D11211" t="str">
        <f>TEST_DATA!D11211</f>
        <v>NIL</v>
      </c>
      <c r="E11211">
        <f>TEST_DATA!E11211</f>
        <v>902</v>
      </c>
    </row>
    <row r="11212" spans="1:5" x14ac:dyDescent="0.55000000000000004">
      <c r="A11212" t="str">
        <f>TEST_DATA!A11212</f>
        <v>27AAAAA11212Z5</v>
      </c>
      <c r="B11212" t="str">
        <f>TEST_DATA!B11212</f>
        <v>Dec-2017</v>
      </c>
      <c r="C11212">
        <f>TEST_DATA!C11212</f>
        <v>44374</v>
      </c>
      <c r="D11212" t="str">
        <f>TEST_DATA!D11212</f>
        <v>NON-NIL</v>
      </c>
      <c r="E11212">
        <f>TEST_DATA!E11212</f>
        <v>1550</v>
      </c>
    </row>
    <row r="11213" spans="1:5" x14ac:dyDescent="0.55000000000000004">
      <c r="A11213" t="str">
        <f>TEST_DATA!A11213</f>
        <v>27AAAAA11213Z5</v>
      </c>
      <c r="B11213" t="str">
        <f>TEST_DATA!B11213</f>
        <v>Jun-2018</v>
      </c>
      <c r="C11213">
        <f>TEST_DATA!C11213</f>
        <v>44245</v>
      </c>
      <c r="D11213" t="str">
        <f>TEST_DATA!D11213</f>
        <v>NON-NIL</v>
      </c>
      <c r="E11213">
        <f>TEST_DATA!E11213</f>
        <v>2164</v>
      </c>
    </row>
    <row r="11214" spans="1:5" x14ac:dyDescent="0.55000000000000004">
      <c r="A11214" t="str">
        <f>TEST_DATA!A11214</f>
        <v>27AAAAA11214Z5</v>
      </c>
      <c r="B11214" t="str">
        <f>TEST_DATA!B11214</f>
        <v>Apr-2018</v>
      </c>
      <c r="C11214">
        <f>TEST_DATA!C11214</f>
        <v>44496</v>
      </c>
      <c r="D11214" t="str">
        <f>TEST_DATA!D11214</f>
        <v>NIL</v>
      </c>
      <c r="E11214">
        <f>TEST_DATA!E11214</f>
        <v>1368</v>
      </c>
    </row>
    <row r="11215" spans="1:5" x14ac:dyDescent="0.55000000000000004">
      <c r="A11215" t="str">
        <f>TEST_DATA!A11215</f>
        <v>27AAAAA11215Z5</v>
      </c>
      <c r="B11215" t="str">
        <f>TEST_DATA!B11215</f>
        <v>Apr-2018</v>
      </c>
      <c r="C11215">
        <f>TEST_DATA!C11215</f>
        <v>44450</v>
      </c>
      <c r="D11215" t="str">
        <f>TEST_DATA!D11215</f>
        <v>NON-NIL</v>
      </c>
      <c r="E11215">
        <f>TEST_DATA!E11215</f>
        <v>822</v>
      </c>
    </row>
    <row r="11216" spans="1:5" x14ac:dyDescent="0.55000000000000004">
      <c r="A11216" t="str">
        <f>TEST_DATA!A11216</f>
        <v>27AAAAA11216Z5</v>
      </c>
      <c r="B11216" t="str">
        <f>TEST_DATA!B11216</f>
        <v>May-2018</v>
      </c>
      <c r="C11216">
        <f>TEST_DATA!C11216</f>
        <v>43164</v>
      </c>
      <c r="D11216" t="str">
        <f>TEST_DATA!D11216</f>
        <v>NON-NIL</v>
      </c>
      <c r="E11216">
        <f>TEST_DATA!E11216</f>
        <v>1280</v>
      </c>
    </row>
    <row r="11217" spans="1:5" x14ac:dyDescent="0.55000000000000004">
      <c r="A11217" t="str">
        <f>TEST_DATA!A11217</f>
        <v>27AAAAA11217Z5</v>
      </c>
      <c r="B11217" t="str">
        <f>TEST_DATA!B11217</f>
        <v>Jan-2019</v>
      </c>
      <c r="C11217">
        <f>TEST_DATA!C11217</f>
        <v>44301</v>
      </c>
      <c r="D11217" t="str">
        <f>TEST_DATA!D11217</f>
        <v>NON-NIL</v>
      </c>
      <c r="E11217">
        <f>TEST_DATA!E11217</f>
        <v>278</v>
      </c>
    </row>
    <row r="11218" spans="1:5" x14ac:dyDescent="0.55000000000000004">
      <c r="A11218" t="str">
        <f>TEST_DATA!A11218</f>
        <v>27AAAAA11218Z5</v>
      </c>
      <c r="B11218" t="str">
        <f>TEST_DATA!B11218</f>
        <v>Dec-2022</v>
      </c>
      <c r="C11218">
        <f>TEST_DATA!C11218</f>
        <v>45574</v>
      </c>
      <c r="D11218" t="str">
        <f>TEST_DATA!D11218</f>
        <v>NON-NIL</v>
      </c>
      <c r="E11218">
        <f>TEST_DATA!E11218</f>
        <v>443</v>
      </c>
    </row>
    <row r="11219" spans="1:5" x14ac:dyDescent="0.55000000000000004">
      <c r="A11219" t="str">
        <f>TEST_DATA!A11219</f>
        <v>27AAAAA11219Z5</v>
      </c>
      <c r="B11219" t="str">
        <f>TEST_DATA!B11219</f>
        <v>Apr-2021</v>
      </c>
      <c r="C11219">
        <f>TEST_DATA!C11219</f>
        <v>45512</v>
      </c>
      <c r="D11219" t="str">
        <f>TEST_DATA!D11219</f>
        <v>NON-NIL</v>
      </c>
      <c r="E11219">
        <f>TEST_DATA!E11219</f>
        <v>2330</v>
      </c>
    </row>
    <row r="11220" spans="1:5" x14ac:dyDescent="0.55000000000000004">
      <c r="A11220" t="str">
        <f>TEST_DATA!A11220</f>
        <v>27AAAAA11220Z5</v>
      </c>
      <c r="B11220" t="str">
        <f>TEST_DATA!B11220</f>
        <v>Jun-2020</v>
      </c>
      <c r="C11220">
        <f>TEST_DATA!C11220</f>
        <v>44622</v>
      </c>
      <c r="D11220" t="str">
        <f>TEST_DATA!D11220</f>
        <v>NON-NIL</v>
      </c>
      <c r="E11220">
        <f>TEST_DATA!E11220</f>
        <v>2882</v>
      </c>
    </row>
    <row r="11221" spans="1:5" x14ac:dyDescent="0.55000000000000004">
      <c r="A11221" t="str">
        <f>TEST_DATA!A11221</f>
        <v>27AAAAA11221Z5</v>
      </c>
      <c r="B11221" t="str">
        <f>TEST_DATA!B11221</f>
        <v>Dec-2022</v>
      </c>
      <c r="C11221">
        <f>TEST_DATA!C11221</f>
        <v>45785</v>
      </c>
      <c r="D11221" t="str">
        <f>TEST_DATA!D11221</f>
        <v>NON-NIL</v>
      </c>
      <c r="E11221">
        <f>TEST_DATA!E11221</f>
        <v>2375</v>
      </c>
    </row>
    <row r="11222" spans="1:5" x14ac:dyDescent="0.55000000000000004">
      <c r="A11222" t="str">
        <f>TEST_DATA!A11222</f>
        <v>27AAAAA11222Z5</v>
      </c>
      <c r="B11222" t="str">
        <f>TEST_DATA!B11222</f>
        <v>Aug-2018</v>
      </c>
      <c r="C11222">
        <f>TEST_DATA!C11222</f>
        <v>43587</v>
      </c>
      <c r="D11222" t="str">
        <f>TEST_DATA!D11222</f>
        <v>NON-NIL</v>
      </c>
      <c r="E11222">
        <f>TEST_DATA!E11222</f>
        <v>51</v>
      </c>
    </row>
    <row r="11223" spans="1:5" x14ac:dyDescent="0.55000000000000004">
      <c r="A11223" t="str">
        <f>TEST_DATA!A11223</f>
        <v>27AAAAA11223Z5</v>
      </c>
      <c r="B11223" t="str">
        <f>TEST_DATA!B11223</f>
        <v>Aug-2017</v>
      </c>
      <c r="C11223">
        <f>TEST_DATA!C11223</f>
        <v>44525</v>
      </c>
      <c r="D11223" t="str">
        <f>TEST_DATA!D11223</f>
        <v>NIL</v>
      </c>
      <c r="E11223">
        <f>TEST_DATA!E11223</f>
        <v>2889</v>
      </c>
    </row>
    <row r="11224" spans="1:5" x14ac:dyDescent="0.55000000000000004">
      <c r="A11224" t="str">
        <f>TEST_DATA!A11224</f>
        <v>27AAAAA11224Z5</v>
      </c>
      <c r="B11224" t="str">
        <f>TEST_DATA!B11224</f>
        <v>Feb-2018</v>
      </c>
      <c r="C11224">
        <f>TEST_DATA!C11224</f>
        <v>43833</v>
      </c>
      <c r="D11224" t="str">
        <f>TEST_DATA!D11224</f>
        <v>NON-NIL</v>
      </c>
      <c r="E11224">
        <f>TEST_DATA!E11224</f>
        <v>628</v>
      </c>
    </row>
    <row r="11225" spans="1:5" x14ac:dyDescent="0.55000000000000004">
      <c r="A11225" t="str">
        <f>TEST_DATA!A11225</f>
        <v>27AAAAA11225Z5</v>
      </c>
      <c r="B11225" t="str">
        <f>TEST_DATA!B11225</f>
        <v>Dec-2017</v>
      </c>
      <c r="C11225">
        <f>TEST_DATA!C11225</f>
        <v>44083</v>
      </c>
      <c r="D11225" t="str">
        <f>TEST_DATA!D11225</f>
        <v>NON-NIL</v>
      </c>
      <c r="E11225">
        <f>TEST_DATA!E11225</f>
        <v>1114</v>
      </c>
    </row>
    <row r="11226" spans="1:5" x14ac:dyDescent="0.55000000000000004">
      <c r="A11226" t="str">
        <f>TEST_DATA!A11226</f>
        <v>27AAAAA11226Z5</v>
      </c>
      <c r="B11226" t="str">
        <f>TEST_DATA!B11226</f>
        <v>Jun-2019</v>
      </c>
      <c r="C11226">
        <f>TEST_DATA!C11226</f>
        <v>44515</v>
      </c>
      <c r="D11226" t="str">
        <f>TEST_DATA!D11226</f>
        <v>NIL</v>
      </c>
      <c r="E11226">
        <f>TEST_DATA!E11226</f>
        <v>361</v>
      </c>
    </row>
    <row r="11227" spans="1:5" x14ac:dyDescent="0.55000000000000004">
      <c r="A11227" t="str">
        <f>TEST_DATA!A11227</f>
        <v>27AAAAA11227Z5</v>
      </c>
      <c r="B11227" t="str">
        <f>TEST_DATA!B11227</f>
        <v>Jul-2017</v>
      </c>
      <c r="C11227">
        <f>TEST_DATA!C11227</f>
        <v>44071</v>
      </c>
      <c r="D11227" t="str">
        <f>TEST_DATA!D11227</f>
        <v>NIL</v>
      </c>
      <c r="E11227">
        <f>TEST_DATA!E11227</f>
        <v>753</v>
      </c>
    </row>
    <row r="11228" spans="1:5" x14ac:dyDescent="0.55000000000000004">
      <c r="A11228" t="str">
        <f>TEST_DATA!A11228</f>
        <v>27AAAAA11228Z5</v>
      </c>
      <c r="B11228" t="str">
        <f>TEST_DATA!B11228</f>
        <v>Dec-2024</v>
      </c>
      <c r="C11228">
        <f>TEST_DATA!C11228</f>
        <v>43989</v>
      </c>
      <c r="D11228" t="str">
        <f>TEST_DATA!D11228</f>
        <v>NON-NIL</v>
      </c>
      <c r="E11228">
        <f>TEST_DATA!E11228</f>
        <v>379</v>
      </c>
    </row>
    <row r="11229" spans="1:5" x14ac:dyDescent="0.55000000000000004">
      <c r="A11229" t="str">
        <f>TEST_DATA!A11229</f>
        <v>27AAAAA11229Z5</v>
      </c>
      <c r="B11229" t="str">
        <f>TEST_DATA!B11229</f>
        <v>Jan-2021</v>
      </c>
      <c r="C11229">
        <f>TEST_DATA!C11229</f>
        <v>44553</v>
      </c>
      <c r="D11229" t="str">
        <f>TEST_DATA!D11229</f>
        <v>NON-NIL</v>
      </c>
      <c r="E11229">
        <f>TEST_DATA!E11229</f>
        <v>1446</v>
      </c>
    </row>
    <row r="11230" spans="1:5" x14ac:dyDescent="0.55000000000000004">
      <c r="A11230" t="str">
        <f>TEST_DATA!A11230</f>
        <v>27AAAAA11230Z5</v>
      </c>
      <c r="B11230" t="str">
        <f>TEST_DATA!B11230</f>
        <v>Jan-2019</v>
      </c>
      <c r="C11230">
        <f>TEST_DATA!C11230</f>
        <v>44974</v>
      </c>
      <c r="D11230" t="str">
        <f>TEST_DATA!D11230</f>
        <v>NIL</v>
      </c>
      <c r="E11230">
        <f>TEST_DATA!E11230</f>
        <v>1856</v>
      </c>
    </row>
    <row r="11231" spans="1:5" x14ac:dyDescent="0.55000000000000004">
      <c r="A11231" t="str">
        <f>TEST_DATA!A11231</f>
        <v>27AAAAA11231Z5</v>
      </c>
      <c r="B11231" t="str">
        <f>TEST_DATA!B11231</f>
        <v>May-2020</v>
      </c>
      <c r="C11231">
        <f>TEST_DATA!C11231</f>
        <v>44098</v>
      </c>
      <c r="D11231" t="str">
        <f>TEST_DATA!D11231</f>
        <v>NIL</v>
      </c>
      <c r="E11231">
        <f>TEST_DATA!E11231</f>
        <v>1985</v>
      </c>
    </row>
    <row r="11232" spans="1:5" x14ac:dyDescent="0.55000000000000004">
      <c r="A11232" t="str">
        <f>TEST_DATA!A11232</f>
        <v>27AAAAA11232Z5</v>
      </c>
      <c r="B11232" t="str">
        <f>TEST_DATA!B11232</f>
        <v>Jul-2018</v>
      </c>
      <c r="C11232">
        <f>TEST_DATA!C11232</f>
        <v>43763</v>
      </c>
      <c r="D11232" t="str">
        <f>TEST_DATA!D11232</f>
        <v>NIL</v>
      </c>
      <c r="E11232">
        <f>TEST_DATA!E11232</f>
        <v>1118</v>
      </c>
    </row>
    <row r="11233" spans="1:5" x14ac:dyDescent="0.55000000000000004">
      <c r="A11233" t="str">
        <f>TEST_DATA!A11233</f>
        <v>27AAAAA11233Z5</v>
      </c>
      <c r="B11233" t="str">
        <f>TEST_DATA!B11233</f>
        <v>Sep-2017</v>
      </c>
      <c r="C11233">
        <f>TEST_DATA!C11233</f>
        <v>43500</v>
      </c>
      <c r="D11233" t="str">
        <f>TEST_DATA!D11233</f>
        <v>NIL</v>
      </c>
      <c r="E11233">
        <f>TEST_DATA!E11233</f>
        <v>1759</v>
      </c>
    </row>
    <row r="11234" spans="1:5" x14ac:dyDescent="0.55000000000000004">
      <c r="A11234" t="str">
        <f>TEST_DATA!A11234</f>
        <v>27AAAAA11234Z5</v>
      </c>
      <c r="B11234" t="str">
        <f>TEST_DATA!B11234</f>
        <v>Apr-2018</v>
      </c>
      <c r="C11234">
        <f>TEST_DATA!C11234</f>
        <v>43355</v>
      </c>
      <c r="D11234" t="str">
        <f>TEST_DATA!D11234</f>
        <v>NIL</v>
      </c>
      <c r="E11234">
        <f>TEST_DATA!E11234</f>
        <v>757</v>
      </c>
    </row>
    <row r="11235" spans="1:5" x14ac:dyDescent="0.55000000000000004">
      <c r="A11235" t="str">
        <f>TEST_DATA!A11235</f>
        <v>27AAAAA11235Z5</v>
      </c>
      <c r="B11235" t="str">
        <f>TEST_DATA!B11235</f>
        <v>Apr-2020</v>
      </c>
      <c r="C11235">
        <f>TEST_DATA!C11235</f>
        <v>44797</v>
      </c>
      <c r="D11235" t="str">
        <f>TEST_DATA!D11235</f>
        <v>NIL</v>
      </c>
      <c r="E11235">
        <f>TEST_DATA!E11235</f>
        <v>2232</v>
      </c>
    </row>
    <row r="11236" spans="1:5" x14ac:dyDescent="0.55000000000000004">
      <c r="A11236" t="str">
        <f>TEST_DATA!A11236</f>
        <v>27AAAAA11236Z5</v>
      </c>
      <c r="B11236" t="str">
        <f>TEST_DATA!B11236</f>
        <v>Sep-2017</v>
      </c>
      <c r="C11236">
        <f>TEST_DATA!C11236</f>
        <v>43368</v>
      </c>
      <c r="D11236" t="str">
        <f>TEST_DATA!D11236</f>
        <v>NON-NIL</v>
      </c>
      <c r="E11236">
        <f>TEST_DATA!E11236</f>
        <v>635</v>
      </c>
    </row>
    <row r="11237" spans="1:5" x14ac:dyDescent="0.55000000000000004">
      <c r="A11237" t="str">
        <f>TEST_DATA!A11237</f>
        <v>27AAAAA11237Z5</v>
      </c>
      <c r="B11237" t="str">
        <f>TEST_DATA!B11237</f>
        <v>Dec-2017</v>
      </c>
      <c r="C11237">
        <f>TEST_DATA!C11237</f>
        <v>44126</v>
      </c>
      <c r="D11237" t="str">
        <f>TEST_DATA!D11237</f>
        <v>NIL</v>
      </c>
      <c r="E11237">
        <f>TEST_DATA!E11237</f>
        <v>499</v>
      </c>
    </row>
    <row r="11238" spans="1:5" x14ac:dyDescent="0.55000000000000004">
      <c r="A11238" t="str">
        <f>TEST_DATA!A11238</f>
        <v>27AAAAA11238Z5</v>
      </c>
      <c r="B11238" t="str">
        <f>TEST_DATA!B11238</f>
        <v>Jul-2017</v>
      </c>
      <c r="C11238">
        <f>TEST_DATA!C11238</f>
        <v>44186</v>
      </c>
      <c r="D11238" t="str">
        <f>TEST_DATA!D11238</f>
        <v>NIL</v>
      </c>
      <c r="E11238">
        <f>TEST_DATA!E11238</f>
        <v>1481</v>
      </c>
    </row>
    <row r="11239" spans="1:5" x14ac:dyDescent="0.55000000000000004">
      <c r="A11239" t="str">
        <f>TEST_DATA!A11239</f>
        <v>27AAAAA11239Z5</v>
      </c>
      <c r="B11239" t="str">
        <f>TEST_DATA!B11239</f>
        <v>May-2020</v>
      </c>
      <c r="C11239">
        <f>TEST_DATA!C11239</f>
        <v>44135</v>
      </c>
      <c r="D11239" t="str">
        <f>TEST_DATA!D11239</f>
        <v>NON-NIL</v>
      </c>
      <c r="E11239">
        <f>TEST_DATA!E11239</f>
        <v>2749</v>
      </c>
    </row>
    <row r="11240" spans="1:5" x14ac:dyDescent="0.55000000000000004">
      <c r="A11240" t="str">
        <f>TEST_DATA!A11240</f>
        <v>27AAAAA11240Z5</v>
      </c>
      <c r="B11240" t="str">
        <f>TEST_DATA!B11240</f>
        <v>Jan-2018</v>
      </c>
      <c r="C11240">
        <f>TEST_DATA!C11240</f>
        <v>44158</v>
      </c>
      <c r="D11240" t="str">
        <f>TEST_DATA!D11240</f>
        <v>NIL</v>
      </c>
      <c r="E11240">
        <f>TEST_DATA!E11240</f>
        <v>680</v>
      </c>
    </row>
    <row r="11241" spans="1:5" x14ac:dyDescent="0.55000000000000004">
      <c r="A11241" t="str">
        <f>TEST_DATA!A11241</f>
        <v>27AAAAA11241Z5</v>
      </c>
      <c r="B11241" t="str">
        <f>TEST_DATA!B11241</f>
        <v>Apr-2020</v>
      </c>
      <c r="C11241">
        <f>TEST_DATA!C11241</f>
        <v>44587</v>
      </c>
      <c r="D11241" t="str">
        <f>TEST_DATA!D11241</f>
        <v>NIL</v>
      </c>
      <c r="E11241">
        <f>TEST_DATA!E11241</f>
        <v>356</v>
      </c>
    </row>
    <row r="11242" spans="1:5" x14ac:dyDescent="0.55000000000000004">
      <c r="A11242" t="str">
        <f>TEST_DATA!A11242</f>
        <v>27AAAAA11242Z5</v>
      </c>
      <c r="B11242" t="str">
        <f>TEST_DATA!B11242</f>
        <v>Jul-2020</v>
      </c>
      <c r="C11242">
        <f>TEST_DATA!C11242</f>
        <v>44456</v>
      </c>
      <c r="D11242" t="str">
        <f>TEST_DATA!D11242</f>
        <v>NON-NIL</v>
      </c>
      <c r="E11242">
        <f>TEST_DATA!E11242</f>
        <v>545</v>
      </c>
    </row>
    <row r="11243" spans="1:5" x14ac:dyDescent="0.55000000000000004">
      <c r="A11243" t="str">
        <f>TEST_DATA!A11243</f>
        <v>27AAAAA11243Z5</v>
      </c>
      <c r="B11243" t="str">
        <f>TEST_DATA!B11243</f>
        <v>Dec-2019</v>
      </c>
      <c r="C11243">
        <f>TEST_DATA!C11243</f>
        <v>44532</v>
      </c>
      <c r="D11243" t="str">
        <f>TEST_DATA!D11243</f>
        <v>NIL</v>
      </c>
      <c r="E11243">
        <f>TEST_DATA!E11243</f>
        <v>1887</v>
      </c>
    </row>
    <row r="11244" spans="1:5" x14ac:dyDescent="0.55000000000000004">
      <c r="A11244" t="str">
        <f>TEST_DATA!A11244</f>
        <v>27AAAAA11244Z5</v>
      </c>
      <c r="B11244" t="str">
        <f>TEST_DATA!B11244</f>
        <v>Apr-2021</v>
      </c>
      <c r="C11244">
        <f>TEST_DATA!C11244</f>
        <v>45237</v>
      </c>
      <c r="D11244" t="str">
        <f>TEST_DATA!D11244</f>
        <v>NON-NIL</v>
      </c>
      <c r="E11244">
        <f>TEST_DATA!E11244</f>
        <v>811</v>
      </c>
    </row>
    <row r="11245" spans="1:5" x14ac:dyDescent="0.55000000000000004">
      <c r="A11245" t="str">
        <f>TEST_DATA!A11245</f>
        <v>27AAAAA11245Z5</v>
      </c>
      <c r="B11245" t="str">
        <f>TEST_DATA!B11245</f>
        <v>Apr-2020</v>
      </c>
      <c r="C11245">
        <f>TEST_DATA!C11245</f>
        <v>43942</v>
      </c>
      <c r="D11245" t="str">
        <f>TEST_DATA!D11245</f>
        <v>NON-NIL</v>
      </c>
      <c r="E11245">
        <f>TEST_DATA!E11245</f>
        <v>2205</v>
      </c>
    </row>
    <row r="11246" spans="1:5" x14ac:dyDescent="0.55000000000000004">
      <c r="A11246" t="str">
        <f>TEST_DATA!A11246</f>
        <v>27AAAAA11246Z5</v>
      </c>
      <c r="B11246" t="str">
        <f>TEST_DATA!B11246</f>
        <v>Jan-2018</v>
      </c>
      <c r="C11246">
        <f>TEST_DATA!C11246</f>
        <v>44267</v>
      </c>
      <c r="D11246" t="str">
        <f>TEST_DATA!D11246</f>
        <v>NON-NIL</v>
      </c>
      <c r="E11246">
        <f>TEST_DATA!E11246</f>
        <v>2043</v>
      </c>
    </row>
    <row r="11247" spans="1:5" x14ac:dyDescent="0.55000000000000004">
      <c r="A11247" t="str">
        <f>TEST_DATA!A11247</f>
        <v>27AAAAA11247Z5</v>
      </c>
      <c r="B11247" t="str">
        <f>TEST_DATA!B11247</f>
        <v>Jul-2018</v>
      </c>
      <c r="C11247">
        <f>TEST_DATA!C11247</f>
        <v>43854</v>
      </c>
      <c r="D11247" t="str">
        <f>TEST_DATA!D11247</f>
        <v>NIL</v>
      </c>
      <c r="E11247">
        <f>TEST_DATA!E11247</f>
        <v>206</v>
      </c>
    </row>
    <row r="11248" spans="1:5" x14ac:dyDescent="0.55000000000000004">
      <c r="A11248" t="str">
        <f>TEST_DATA!A11248</f>
        <v>27AAAAA11248Z5</v>
      </c>
      <c r="B11248" t="str">
        <f>TEST_DATA!B11248</f>
        <v>Sep-2018</v>
      </c>
      <c r="C11248">
        <f>TEST_DATA!C11248</f>
        <v>43952</v>
      </c>
      <c r="D11248" t="str">
        <f>TEST_DATA!D11248</f>
        <v>NIL</v>
      </c>
      <c r="E11248">
        <f>TEST_DATA!E11248</f>
        <v>1272</v>
      </c>
    </row>
    <row r="11249" spans="1:5" x14ac:dyDescent="0.55000000000000004">
      <c r="A11249" t="str">
        <f>TEST_DATA!A11249</f>
        <v>27AAAAA11249Z5</v>
      </c>
      <c r="B11249" t="str">
        <f>TEST_DATA!B11249</f>
        <v>Apr-2018</v>
      </c>
      <c r="C11249">
        <f>TEST_DATA!C11249</f>
        <v>43734</v>
      </c>
      <c r="D11249" t="str">
        <f>TEST_DATA!D11249</f>
        <v>NON-NIL</v>
      </c>
      <c r="E11249">
        <f>TEST_DATA!E11249</f>
        <v>1606</v>
      </c>
    </row>
    <row r="11250" spans="1:5" x14ac:dyDescent="0.55000000000000004">
      <c r="A11250" t="str">
        <f>TEST_DATA!A11250</f>
        <v>27AAAAA11250Z5</v>
      </c>
      <c r="B11250" t="str">
        <f>TEST_DATA!B11250</f>
        <v>Jul-2018</v>
      </c>
      <c r="C11250">
        <f>TEST_DATA!C11250</f>
        <v>44161</v>
      </c>
      <c r="D11250" t="str">
        <f>TEST_DATA!D11250</f>
        <v>NON-NIL</v>
      </c>
      <c r="E11250">
        <f>TEST_DATA!E11250</f>
        <v>2817</v>
      </c>
    </row>
    <row r="11251" spans="1:5" x14ac:dyDescent="0.55000000000000004">
      <c r="A11251" t="str">
        <f>TEST_DATA!A11251</f>
        <v>27AAAAA11251Z5</v>
      </c>
      <c r="B11251" t="str">
        <f>TEST_DATA!B11251</f>
        <v>Dec-2019</v>
      </c>
      <c r="C11251">
        <f>TEST_DATA!C11251</f>
        <v>44375</v>
      </c>
      <c r="D11251" t="str">
        <f>TEST_DATA!D11251</f>
        <v>NON-NIL</v>
      </c>
      <c r="E11251">
        <f>TEST_DATA!E11251</f>
        <v>2802</v>
      </c>
    </row>
    <row r="11252" spans="1:5" x14ac:dyDescent="0.55000000000000004">
      <c r="A11252" t="str">
        <f>TEST_DATA!A11252</f>
        <v>27AAAAA11252Z5</v>
      </c>
      <c r="B11252" t="str">
        <f>TEST_DATA!B11252</f>
        <v>Dec-2022</v>
      </c>
      <c r="C11252">
        <f>TEST_DATA!C11252</f>
        <v>43485</v>
      </c>
      <c r="D11252" t="str">
        <f>TEST_DATA!D11252</f>
        <v>NON-NIL</v>
      </c>
      <c r="E11252">
        <f>TEST_DATA!E11252</f>
        <v>861</v>
      </c>
    </row>
    <row r="11253" spans="1:5" x14ac:dyDescent="0.55000000000000004">
      <c r="A11253" t="str">
        <f>TEST_DATA!A11253</f>
        <v>27AAAAA11253Z5</v>
      </c>
      <c r="B11253" t="str">
        <f>TEST_DATA!B11253</f>
        <v>Jun-2019</v>
      </c>
      <c r="C11253">
        <f>TEST_DATA!C11253</f>
        <v>45139</v>
      </c>
      <c r="D11253" t="str">
        <f>TEST_DATA!D11253</f>
        <v>NIL</v>
      </c>
      <c r="E11253">
        <f>TEST_DATA!E11253</f>
        <v>2794</v>
      </c>
    </row>
    <row r="11254" spans="1:5" x14ac:dyDescent="0.55000000000000004">
      <c r="A11254" t="str">
        <f>TEST_DATA!A11254</f>
        <v>27AAAAA11254Z5</v>
      </c>
      <c r="B11254" t="str">
        <f>TEST_DATA!B11254</f>
        <v>Jan-2021</v>
      </c>
      <c r="C11254">
        <f>TEST_DATA!C11254</f>
        <v>44924</v>
      </c>
      <c r="D11254" t="str">
        <f>TEST_DATA!D11254</f>
        <v>NIL</v>
      </c>
      <c r="E11254">
        <f>TEST_DATA!E11254</f>
        <v>2168</v>
      </c>
    </row>
    <row r="11255" spans="1:5" x14ac:dyDescent="0.55000000000000004">
      <c r="A11255" t="str">
        <f>TEST_DATA!A11255</f>
        <v>27AAAAA11255Z5</v>
      </c>
      <c r="B11255" t="str">
        <f>TEST_DATA!B11255</f>
        <v>May-2018</v>
      </c>
      <c r="C11255">
        <f>TEST_DATA!C11255</f>
        <v>43603</v>
      </c>
      <c r="D11255" t="str">
        <f>TEST_DATA!D11255</f>
        <v>NIL</v>
      </c>
      <c r="E11255">
        <f>TEST_DATA!E11255</f>
        <v>1368</v>
      </c>
    </row>
    <row r="11256" spans="1:5" x14ac:dyDescent="0.55000000000000004">
      <c r="A11256" t="str">
        <f>TEST_DATA!A11256</f>
        <v>27AAAAA11256Z5</v>
      </c>
      <c r="B11256" t="str">
        <f>TEST_DATA!B11256</f>
        <v>Apr-2021</v>
      </c>
      <c r="C11256">
        <f>TEST_DATA!C11256</f>
        <v>45215</v>
      </c>
      <c r="D11256" t="str">
        <f>TEST_DATA!D11256</f>
        <v>NIL</v>
      </c>
      <c r="E11256">
        <f>TEST_DATA!E11256</f>
        <v>2338</v>
      </c>
    </row>
    <row r="11257" spans="1:5" x14ac:dyDescent="0.55000000000000004">
      <c r="A11257" t="str">
        <f>TEST_DATA!A11257</f>
        <v>27AAAAA11257Z5</v>
      </c>
      <c r="B11257" t="str">
        <f>TEST_DATA!B11257</f>
        <v>Jan-2019</v>
      </c>
      <c r="C11257">
        <f>TEST_DATA!C11257</f>
        <v>44221</v>
      </c>
      <c r="D11257" t="str">
        <f>TEST_DATA!D11257</f>
        <v>NON-NIL</v>
      </c>
      <c r="E11257">
        <f>TEST_DATA!E11257</f>
        <v>1557</v>
      </c>
    </row>
    <row r="11258" spans="1:5" x14ac:dyDescent="0.55000000000000004">
      <c r="A11258" t="str">
        <f>TEST_DATA!A11258</f>
        <v>27AAAAA11258Z5</v>
      </c>
      <c r="B11258" t="str">
        <f>TEST_DATA!B11258</f>
        <v>Mar-2020</v>
      </c>
      <c r="C11258">
        <f>TEST_DATA!C11258</f>
        <v>44130</v>
      </c>
      <c r="D11258" t="str">
        <f>TEST_DATA!D11258</f>
        <v>NIL</v>
      </c>
      <c r="E11258">
        <f>TEST_DATA!E11258</f>
        <v>584</v>
      </c>
    </row>
    <row r="11259" spans="1:5" x14ac:dyDescent="0.55000000000000004">
      <c r="A11259" t="str">
        <f>TEST_DATA!A11259</f>
        <v>27AAAAA11259Z5</v>
      </c>
      <c r="B11259" t="str">
        <f>TEST_DATA!B11259</f>
        <v>May-2018</v>
      </c>
      <c r="C11259">
        <f>TEST_DATA!C11259</f>
        <v>43834</v>
      </c>
      <c r="D11259" t="str">
        <f>TEST_DATA!D11259</f>
        <v>NIL</v>
      </c>
      <c r="E11259">
        <f>TEST_DATA!E11259</f>
        <v>1998</v>
      </c>
    </row>
    <row r="11260" spans="1:5" x14ac:dyDescent="0.55000000000000004">
      <c r="A11260" t="str">
        <f>TEST_DATA!A11260</f>
        <v>27AAAAA11260Z5</v>
      </c>
      <c r="B11260" t="str">
        <f>TEST_DATA!B11260</f>
        <v>Feb-2018</v>
      </c>
      <c r="C11260">
        <f>TEST_DATA!C11260</f>
        <v>44211</v>
      </c>
      <c r="D11260" t="str">
        <f>TEST_DATA!D11260</f>
        <v>NON-NIL</v>
      </c>
      <c r="E11260">
        <f>TEST_DATA!E11260</f>
        <v>2940</v>
      </c>
    </row>
    <row r="11261" spans="1:5" x14ac:dyDescent="0.55000000000000004">
      <c r="A11261" t="str">
        <f>TEST_DATA!A11261</f>
        <v>27AAAAA11261Z5</v>
      </c>
      <c r="B11261" t="str">
        <f>TEST_DATA!B11261</f>
        <v>Dec-2022</v>
      </c>
      <c r="C11261">
        <f>TEST_DATA!C11261</f>
        <v>45157</v>
      </c>
      <c r="D11261" t="str">
        <f>TEST_DATA!D11261</f>
        <v>NIL</v>
      </c>
      <c r="E11261">
        <f>TEST_DATA!E11261</f>
        <v>1939</v>
      </c>
    </row>
    <row r="11262" spans="1:5" x14ac:dyDescent="0.55000000000000004">
      <c r="A11262" t="str">
        <f>TEST_DATA!A11262</f>
        <v>27AAAAA11262Z5</v>
      </c>
      <c r="B11262" t="str">
        <f>TEST_DATA!B11262</f>
        <v>Aug-2017</v>
      </c>
      <c r="C11262">
        <f>TEST_DATA!C11262</f>
        <v>44407</v>
      </c>
      <c r="D11262" t="str">
        <f>TEST_DATA!D11262</f>
        <v>NON-NIL</v>
      </c>
      <c r="E11262">
        <f>TEST_DATA!E11262</f>
        <v>1914</v>
      </c>
    </row>
    <row r="11263" spans="1:5" x14ac:dyDescent="0.55000000000000004">
      <c r="A11263" t="str">
        <f>TEST_DATA!A11263</f>
        <v>27AAAAA11263Z5</v>
      </c>
      <c r="B11263" t="str">
        <f>TEST_DATA!B11263</f>
        <v>Dec-2017</v>
      </c>
      <c r="C11263">
        <f>TEST_DATA!C11263</f>
        <v>43311</v>
      </c>
      <c r="D11263" t="str">
        <f>TEST_DATA!D11263</f>
        <v>NIL</v>
      </c>
      <c r="E11263">
        <f>TEST_DATA!E11263</f>
        <v>1037</v>
      </c>
    </row>
    <row r="11264" spans="1:5" x14ac:dyDescent="0.55000000000000004">
      <c r="A11264" t="str">
        <f>TEST_DATA!A11264</f>
        <v>27AAAAA11264Z5</v>
      </c>
      <c r="B11264" t="str">
        <f>TEST_DATA!B11264</f>
        <v>May-2020</v>
      </c>
      <c r="C11264">
        <f>TEST_DATA!C11264</f>
        <v>44345</v>
      </c>
      <c r="D11264" t="str">
        <f>TEST_DATA!D11264</f>
        <v>NON-NIL</v>
      </c>
      <c r="E11264">
        <f>TEST_DATA!E11264</f>
        <v>1704</v>
      </c>
    </row>
    <row r="11265" spans="1:5" x14ac:dyDescent="0.55000000000000004">
      <c r="A11265" t="str">
        <f>TEST_DATA!A11265</f>
        <v>27AAAAA11265Z5</v>
      </c>
      <c r="B11265" t="str">
        <f>TEST_DATA!B11265</f>
        <v>Jul-2018</v>
      </c>
      <c r="C11265">
        <f>TEST_DATA!C11265</f>
        <v>43132</v>
      </c>
      <c r="D11265" t="str">
        <f>TEST_DATA!D11265</f>
        <v>NIL</v>
      </c>
      <c r="E11265">
        <f>TEST_DATA!E11265</f>
        <v>1447</v>
      </c>
    </row>
    <row r="11266" spans="1:5" x14ac:dyDescent="0.55000000000000004">
      <c r="A11266" t="str">
        <f>TEST_DATA!A11266</f>
        <v>27AAAAA11266Z5</v>
      </c>
      <c r="B11266" t="str">
        <f>TEST_DATA!B11266</f>
        <v>Oct-2017</v>
      </c>
      <c r="C11266">
        <f>TEST_DATA!C11266</f>
        <v>43527</v>
      </c>
      <c r="D11266" t="str">
        <f>TEST_DATA!D11266</f>
        <v>NON-NIL</v>
      </c>
      <c r="E11266">
        <f>TEST_DATA!E11266</f>
        <v>356</v>
      </c>
    </row>
    <row r="11267" spans="1:5" x14ac:dyDescent="0.55000000000000004">
      <c r="A11267" t="str">
        <f>TEST_DATA!A11267</f>
        <v>27AAAAA11267Z5</v>
      </c>
      <c r="B11267" t="str">
        <f>TEST_DATA!B11267</f>
        <v>Dec-2019</v>
      </c>
      <c r="C11267">
        <f>TEST_DATA!C11267</f>
        <v>43663</v>
      </c>
      <c r="D11267" t="str">
        <f>TEST_DATA!D11267</f>
        <v>NON-NIL</v>
      </c>
      <c r="E11267">
        <f>TEST_DATA!E11267</f>
        <v>2102</v>
      </c>
    </row>
    <row r="11268" spans="1:5" x14ac:dyDescent="0.55000000000000004">
      <c r="A11268" t="str">
        <f>TEST_DATA!A11268</f>
        <v>27AAAAA11268Z5</v>
      </c>
      <c r="B11268" t="str">
        <f>TEST_DATA!B11268</f>
        <v>Jul-2018</v>
      </c>
      <c r="C11268">
        <f>TEST_DATA!C11268</f>
        <v>43262</v>
      </c>
      <c r="D11268" t="str">
        <f>TEST_DATA!D11268</f>
        <v>NON-NIL</v>
      </c>
      <c r="E11268">
        <f>TEST_DATA!E11268</f>
        <v>2129</v>
      </c>
    </row>
    <row r="11269" spans="1:5" x14ac:dyDescent="0.55000000000000004">
      <c r="A11269" t="str">
        <f>TEST_DATA!A11269</f>
        <v>27AAAAA11269Z5</v>
      </c>
      <c r="B11269" t="str">
        <f>TEST_DATA!B11269</f>
        <v>Jul-2020</v>
      </c>
      <c r="C11269">
        <f>TEST_DATA!C11269</f>
        <v>44899</v>
      </c>
      <c r="D11269" t="str">
        <f>TEST_DATA!D11269</f>
        <v>NON-NIL</v>
      </c>
      <c r="E11269">
        <f>TEST_DATA!E11269</f>
        <v>2523</v>
      </c>
    </row>
    <row r="11270" spans="1:5" x14ac:dyDescent="0.55000000000000004">
      <c r="A11270" t="str">
        <f>TEST_DATA!A11270</f>
        <v>27AAAAA11270Z5</v>
      </c>
      <c r="B11270" t="str">
        <f>TEST_DATA!B11270</f>
        <v>Dec-2017</v>
      </c>
      <c r="C11270">
        <f>TEST_DATA!C11270</f>
        <v>43473</v>
      </c>
      <c r="D11270" t="str">
        <f>TEST_DATA!D11270</f>
        <v>NON-NIL</v>
      </c>
      <c r="E11270">
        <f>TEST_DATA!E11270</f>
        <v>2474</v>
      </c>
    </row>
    <row r="11271" spans="1:5" x14ac:dyDescent="0.55000000000000004">
      <c r="A11271" t="str">
        <f>TEST_DATA!A11271</f>
        <v>27AAAAA11271Z5</v>
      </c>
      <c r="B11271" t="str">
        <f>TEST_DATA!B11271</f>
        <v>Dec-2024</v>
      </c>
      <c r="C11271">
        <f>TEST_DATA!C11271</f>
        <v>44509</v>
      </c>
      <c r="D11271" t="str">
        <f>TEST_DATA!D11271</f>
        <v>NIL</v>
      </c>
      <c r="E11271">
        <f>TEST_DATA!E11271</f>
        <v>1006</v>
      </c>
    </row>
    <row r="11272" spans="1:5" x14ac:dyDescent="0.55000000000000004">
      <c r="A11272" t="str">
        <f>TEST_DATA!A11272</f>
        <v>27AAAAA11272Z5</v>
      </c>
      <c r="B11272" t="str">
        <f>TEST_DATA!B11272</f>
        <v>Jun-2020</v>
      </c>
      <c r="C11272">
        <f>TEST_DATA!C11272</f>
        <v>44568</v>
      </c>
      <c r="D11272" t="str">
        <f>TEST_DATA!D11272</f>
        <v>NIL</v>
      </c>
      <c r="E11272">
        <f>TEST_DATA!E11272</f>
        <v>2130</v>
      </c>
    </row>
    <row r="11273" spans="1:5" x14ac:dyDescent="0.55000000000000004">
      <c r="A11273" t="str">
        <f>TEST_DATA!A11273</f>
        <v>27AAAAA11273Z5</v>
      </c>
      <c r="B11273" t="str">
        <f>TEST_DATA!B11273</f>
        <v>Aug-2018</v>
      </c>
      <c r="C11273">
        <f>TEST_DATA!C11273</f>
        <v>44190</v>
      </c>
      <c r="D11273" t="str">
        <f>TEST_DATA!D11273</f>
        <v>NON-NIL</v>
      </c>
      <c r="E11273">
        <f>TEST_DATA!E11273</f>
        <v>1708</v>
      </c>
    </row>
    <row r="11274" spans="1:5" x14ac:dyDescent="0.55000000000000004">
      <c r="A11274" t="str">
        <f>TEST_DATA!A11274</f>
        <v>27AAAAA11274Z5</v>
      </c>
      <c r="B11274" t="str">
        <f>TEST_DATA!B11274</f>
        <v>Apr-2021</v>
      </c>
      <c r="C11274">
        <f>TEST_DATA!C11274</f>
        <v>43821</v>
      </c>
      <c r="D11274" t="str">
        <f>TEST_DATA!D11274</f>
        <v>NIL</v>
      </c>
      <c r="E11274">
        <f>TEST_DATA!E11274</f>
        <v>2732</v>
      </c>
    </row>
    <row r="11275" spans="1:5" x14ac:dyDescent="0.55000000000000004">
      <c r="A11275" t="str">
        <f>TEST_DATA!A11275</f>
        <v>27AAAAA11275Z5</v>
      </c>
      <c r="B11275" t="str">
        <f>TEST_DATA!B11275</f>
        <v>Apr-2018</v>
      </c>
      <c r="C11275">
        <f>TEST_DATA!C11275</f>
        <v>43476</v>
      </c>
      <c r="D11275" t="str">
        <f>TEST_DATA!D11275</f>
        <v>NIL</v>
      </c>
      <c r="E11275">
        <f>TEST_DATA!E11275</f>
        <v>2299</v>
      </c>
    </row>
    <row r="11276" spans="1:5" x14ac:dyDescent="0.55000000000000004">
      <c r="A11276" t="str">
        <f>TEST_DATA!A11276</f>
        <v>27AAAAA11276Z5</v>
      </c>
      <c r="B11276" t="str">
        <f>TEST_DATA!B11276</f>
        <v>Dec-2019</v>
      </c>
      <c r="C11276">
        <f>TEST_DATA!C11276</f>
        <v>44399</v>
      </c>
      <c r="D11276" t="str">
        <f>TEST_DATA!D11276</f>
        <v>NIL</v>
      </c>
      <c r="E11276">
        <f>TEST_DATA!E11276</f>
        <v>415</v>
      </c>
    </row>
    <row r="11277" spans="1:5" x14ac:dyDescent="0.55000000000000004">
      <c r="A11277" t="str">
        <f>TEST_DATA!A11277</f>
        <v>27AAAAA11277Z5</v>
      </c>
      <c r="B11277" t="str">
        <f>TEST_DATA!B11277</f>
        <v>Dec-2019</v>
      </c>
      <c r="C11277">
        <f>TEST_DATA!C11277</f>
        <v>44480</v>
      </c>
      <c r="D11277" t="str">
        <f>TEST_DATA!D11277</f>
        <v>NIL</v>
      </c>
      <c r="E11277">
        <f>TEST_DATA!E11277</f>
        <v>496</v>
      </c>
    </row>
    <row r="11278" spans="1:5" x14ac:dyDescent="0.55000000000000004">
      <c r="A11278" t="str">
        <f>TEST_DATA!A11278</f>
        <v>27AAAAA11278Z5</v>
      </c>
      <c r="B11278" t="str">
        <f>TEST_DATA!B11278</f>
        <v>Jul-2018</v>
      </c>
      <c r="C11278">
        <f>TEST_DATA!C11278</f>
        <v>44103</v>
      </c>
      <c r="D11278" t="str">
        <f>TEST_DATA!D11278</f>
        <v>NIL</v>
      </c>
      <c r="E11278">
        <f>TEST_DATA!E11278</f>
        <v>1097</v>
      </c>
    </row>
    <row r="11279" spans="1:5" x14ac:dyDescent="0.55000000000000004">
      <c r="A11279" t="str">
        <f>TEST_DATA!A11279</f>
        <v>27AAAAA11279Z5</v>
      </c>
      <c r="B11279" t="str">
        <f>TEST_DATA!B11279</f>
        <v>Jan-2019</v>
      </c>
      <c r="C11279">
        <f>TEST_DATA!C11279</f>
        <v>45189</v>
      </c>
      <c r="D11279" t="str">
        <f>TEST_DATA!D11279</f>
        <v>NIL</v>
      </c>
      <c r="E11279">
        <f>TEST_DATA!E11279</f>
        <v>553</v>
      </c>
    </row>
    <row r="11280" spans="1:5" x14ac:dyDescent="0.55000000000000004">
      <c r="A11280" t="str">
        <f>TEST_DATA!A11280</f>
        <v>27AAAAA11280Z5</v>
      </c>
      <c r="B11280" t="str">
        <f>TEST_DATA!B11280</f>
        <v>May-2020</v>
      </c>
      <c r="C11280">
        <f>TEST_DATA!C11280</f>
        <v>44247</v>
      </c>
      <c r="D11280" t="str">
        <f>TEST_DATA!D11280</f>
        <v>NON-NIL</v>
      </c>
      <c r="E11280">
        <f>TEST_DATA!E11280</f>
        <v>2022</v>
      </c>
    </row>
    <row r="11281" spans="1:5" x14ac:dyDescent="0.55000000000000004">
      <c r="A11281" t="str">
        <f>TEST_DATA!A11281</f>
        <v>27AAAAA11281Z5</v>
      </c>
      <c r="B11281" t="str">
        <f>TEST_DATA!B11281</f>
        <v>Apr-2020</v>
      </c>
      <c r="C11281">
        <f>TEST_DATA!C11281</f>
        <v>44338</v>
      </c>
      <c r="D11281" t="str">
        <f>TEST_DATA!D11281</f>
        <v>NIL</v>
      </c>
      <c r="E11281">
        <f>TEST_DATA!E11281</f>
        <v>372</v>
      </c>
    </row>
    <row r="11282" spans="1:5" x14ac:dyDescent="0.55000000000000004">
      <c r="A11282" t="str">
        <f>TEST_DATA!A11282</f>
        <v>27AAAAA11282Z5</v>
      </c>
      <c r="B11282" t="str">
        <f>TEST_DATA!B11282</f>
        <v>Mar-2021</v>
      </c>
      <c r="C11282">
        <f>TEST_DATA!C11282</f>
        <v>44112</v>
      </c>
      <c r="D11282" t="str">
        <f>TEST_DATA!D11282</f>
        <v>NIL</v>
      </c>
      <c r="E11282">
        <f>TEST_DATA!E11282</f>
        <v>113</v>
      </c>
    </row>
    <row r="11283" spans="1:5" x14ac:dyDescent="0.55000000000000004">
      <c r="A11283" t="str">
        <f>TEST_DATA!A11283</f>
        <v>27AAAAA11283Z5</v>
      </c>
      <c r="B11283" t="str">
        <f>TEST_DATA!B11283</f>
        <v>Sep-2017</v>
      </c>
      <c r="C11283">
        <f>TEST_DATA!C11283</f>
        <v>43706</v>
      </c>
      <c r="D11283" t="str">
        <f>TEST_DATA!D11283</f>
        <v>NIL</v>
      </c>
      <c r="E11283">
        <f>TEST_DATA!E11283</f>
        <v>392</v>
      </c>
    </row>
    <row r="11284" spans="1:5" x14ac:dyDescent="0.55000000000000004">
      <c r="A11284" t="str">
        <f>TEST_DATA!A11284</f>
        <v>27AAAAA11284Z5</v>
      </c>
      <c r="B11284" t="str">
        <f>TEST_DATA!B11284</f>
        <v>Jun-2019</v>
      </c>
      <c r="C11284">
        <f>TEST_DATA!C11284</f>
        <v>44969</v>
      </c>
      <c r="D11284" t="str">
        <f>TEST_DATA!D11284</f>
        <v>NIL</v>
      </c>
      <c r="E11284">
        <f>TEST_DATA!E11284</f>
        <v>127</v>
      </c>
    </row>
    <row r="11285" spans="1:5" x14ac:dyDescent="0.55000000000000004">
      <c r="A11285" t="str">
        <f>TEST_DATA!A11285</f>
        <v>27AAAAA11285Z5</v>
      </c>
      <c r="B11285" t="str">
        <f>TEST_DATA!B11285</f>
        <v>Jul-2017</v>
      </c>
      <c r="C11285">
        <f>TEST_DATA!C11285</f>
        <v>44201</v>
      </c>
      <c r="D11285" t="str">
        <f>TEST_DATA!D11285</f>
        <v>NIL</v>
      </c>
      <c r="E11285">
        <f>TEST_DATA!E11285</f>
        <v>984</v>
      </c>
    </row>
    <row r="11286" spans="1:5" x14ac:dyDescent="0.55000000000000004">
      <c r="A11286" t="str">
        <f>TEST_DATA!A11286</f>
        <v>27AAAAA11286Z5</v>
      </c>
      <c r="B11286" t="str">
        <f>TEST_DATA!B11286</f>
        <v>Mar-2020</v>
      </c>
      <c r="C11286">
        <f>TEST_DATA!C11286</f>
        <v>44034</v>
      </c>
      <c r="D11286" t="str">
        <f>TEST_DATA!D11286</f>
        <v>NON-NIL</v>
      </c>
      <c r="E11286">
        <f>TEST_DATA!E11286</f>
        <v>622</v>
      </c>
    </row>
    <row r="11287" spans="1:5" x14ac:dyDescent="0.55000000000000004">
      <c r="A11287" t="str">
        <f>TEST_DATA!A11287</f>
        <v>27AAAAA11287Z5</v>
      </c>
      <c r="B11287" t="str">
        <f>TEST_DATA!B11287</f>
        <v>Jan-2018</v>
      </c>
      <c r="C11287">
        <f>TEST_DATA!C11287</f>
        <v>43066</v>
      </c>
      <c r="D11287" t="str">
        <f>TEST_DATA!D11287</f>
        <v>NIL</v>
      </c>
      <c r="E11287">
        <f>TEST_DATA!E11287</f>
        <v>992</v>
      </c>
    </row>
    <row r="11288" spans="1:5" x14ac:dyDescent="0.55000000000000004">
      <c r="A11288" t="str">
        <f>TEST_DATA!A11288</f>
        <v>27AAAAA11288Z5</v>
      </c>
      <c r="B11288" t="str">
        <f>TEST_DATA!B11288</f>
        <v>Dec-2022</v>
      </c>
      <c r="C11288">
        <f>TEST_DATA!C11288</f>
        <v>45083</v>
      </c>
      <c r="D11288" t="str">
        <f>TEST_DATA!D11288</f>
        <v>NIL</v>
      </c>
      <c r="E11288">
        <f>TEST_DATA!E11288</f>
        <v>2780</v>
      </c>
    </row>
    <row r="11289" spans="1:5" x14ac:dyDescent="0.55000000000000004">
      <c r="A11289" t="str">
        <f>TEST_DATA!A11289</f>
        <v>27AAAAA11289Z5</v>
      </c>
      <c r="B11289" t="str">
        <f>TEST_DATA!B11289</f>
        <v>Sep-2017</v>
      </c>
      <c r="C11289">
        <f>TEST_DATA!C11289</f>
        <v>43513</v>
      </c>
      <c r="D11289" t="str">
        <f>TEST_DATA!D11289</f>
        <v>NIL</v>
      </c>
      <c r="E11289">
        <f>TEST_DATA!E11289</f>
        <v>2431</v>
      </c>
    </row>
    <row r="11290" spans="1:5" x14ac:dyDescent="0.55000000000000004">
      <c r="A11290" t="str">
        <f>TEST_DATA!A11290</f>
        <v>27AAAAA11290Z5</v>
      </c>
      <c r="B11290" t="str">
        <f>TEST_DATA!B11290</f>
        <v>Dec-2019</v>
      </c>
      <c r="C11290">
        <f>TEST_DATA!C11290</f>
        <v>44192</v>
      </c>
      <c r="D11290" t="str">
        <f>TEST_DATA!D11290</f>
        <v>NIL</v>
      </c>
      <c r="E11290">
        <f>TEST_DATA!E11290</f>
        <v>687</v>
      </c>
    </row>
    <row r="11291" spans="1:5" x14ac:dyDescent="0.55000000000000004">
      <c r="A11291" t="str">
        <f>TEST_DATA!A11291</f>
        <v>27AAAAA11291Z5</v>
      </c>
      <c r="B11291" t="str">
        <f>TEST_DATA!B11291</f>
        <v>Jan-2019</v>
      </c>
      <c r="C11291">
        <f>TEST_DATA!C11291</f>
        <v>43652</v>
      </c>
      <c r="D11291" t="str">
        <f>TEST_DATA!D11291</f>
        <v>NIL</v>
      </c>
      <c r="E11291">
        <f>TEST_DATA!E11291</f>
        <v>1001</v>
      </c>
    </row>
    <row r="11292" spans="1:5" x14ac:dyDescent="0.55000000000000004">
      <c r="A11292" t="str">
        <f>TEST_DATA!A11292</f>
        <v>27AAAAA11292Z5</v>
      </c>
      <c r="B11292" t="str">
        <f>TEST_DATA!B11292</f>
        <v>Oct-2017</v>
      </c>
      <c r="C11292">
        <f>TEST_DATA!C11292</f>
        <v>44041</v>
      </c>
      <c r="D11292" t="str">
        <f>TEST_DATA!D11292</f>
        <v>NON-NIL</v>
      </c>
      <c r="E11292">
        <f>TEST_DATA!E11292</f>
        <v>1982</v>
      </c>
    </row>
    <row r="11293" spans="1:5" x14ac:dyDescent="0.55000000000000004">
      <c r="A11293" t="str">
        <f>TEST_DATA!A11293</f>
        <v>27AAAAA11293Z5</v>
      </c>
      <c r="B11293" t="str">
        <f>TEST_DATA!B11293</f>
        <v>Dec-2017</v>
      </c>
      <c r="C11293">
        <f>TEST_DATA!C11293</f>
        <v>42988</v>
      </c>
      <c r="D11293" t="str">
        <f>TEST_DATA!D11293</f>
        <v>NIL</v>
      </c>
      <c r="E11293">
        <f>TEST_DATA!E11293</f>
        <v>749</v>
      </c>
    </row>
    <row r="11294" spans="1:5" x14ac:dyDescent="0.55000000000000004">
      <c r="A11294" t="str">
        <f>TEST_DATA!A11294</f>
        <v>27AAAAA11294Z5</v>
      </c>
      <c r="B11294" t="str">
        <f>TEST_DATA!B11294</f>
        <v>Apr-2020</v>
      </c>
      <c r="C11294">
        <f>TEST_DATA!C11294</f>
        <v>44543</v>
      </c>
      <c r="D11294" t="str">
        <f>TEST_DATA!D11294</f>
        <v>NIL</v>
      </c>
      <c r="E11294">
        <f>TEST_DATA!E11294</f>
        <v>1003</v>
      </c>
    </row>
    <row r="11295" spans="1:5" x14ac:dyDescent="0.55000000000000004">
      <c r="A11295" t="str">
        <f>TEST_DATA!A11295</f>
        <v>27AAAAA11295Z5</v>
      </c>
      <c r="B11295" t="str">
        <f>TEST_DATA!B11295</f>
        <v>Oct-2017</v>
      </c>
      <c r="C11295">
        <f>TEST_DATA!C11295</f>
        <v>44275</v>
      </c>
      <c r="D11295" t="str">
        <f>TEST_DATA!D11295</f>
        <v>NON-NIL</v>
      </c>
      <c r="E11295">
        <f>TEST_DATA!E11295</f>
        <v>1990</v>
      </c>
    </row>
    <row r="11296" spans="1:5" x14ac:dyDescent="0.55000000000000004">
      <c r="A11296" t="str">
        <f>TEST_DATA!A11296</f>
        <v>27AAAAA11296Z5</v>
      </c>
      <c r="B11296" t="str">
        <f>TEST_DATA!B11296</f>
        <v>May-2020</v>
      </c>
      <c r="C11296">
        <f>TEST_DATA!C11296</f>
        <v>44486</v>
      </c>
      <c r="D11296" t="str">
        <f>TEST_DATA!D11296</f>
        <v>NON-NIL</v>
      </c>
      <c r="E11296">
        <f>TEST_DATA!E11296</f>
        <v>2356</v>
      </c>
    </row>
    <row r="11297" spans="1:5" x14ac:dyDescent="0.55000000000000004">
      <c r="A11297" t="str">
        <f>TEST_DATA!A11297</f>
        <v>27AAAAA11297Z5</v>
      </c>
      <c r="B11297" t="str">
        <f>TEST_DATA!B11297</f>
        <v>Jul-2020</v>
      </c>
      <c r="C11297">
        <f>TEST_DATA!C11297</f>
        <v>43859</v>
      </c>
      <c r="D11297" t="str">
        <f>TEST_DATA!D11297</f>
        <v>NIL</v>
      </c>
      <c r="E11297">
        <f>TEST_DATA!E11297</f>
        <v>2863</v>
      </c>
    </row>
    <row r="11298" spans="1:5" x14ac:dyDescent="0.55000000000000004">
      <c r="A11298" t="str">
        <f>TEST_DATA!A11298</f>
        <v>27AAAAA11298Z5</v>
      </c>
      <c r="B11298" t="str">
        <f>TEST_DATA!B11298</f>
        <v>Jul-2017</v>
      </c>
      <c r="C11298">
        <f>TEST_DATA!C11298</f>
        <v>44330</v>
      </c>
      <c r="D11298" t="str">
        <f>TEST_DATA!D11298</f>
        <v>NIL</v>
      </c>
      <c r="E11298">
        <f>TEST_DATA!E11298</f>
        <v>2687</v>
      </c>
    </row>
    <row r="11299" spans="1:5" x14ac:dyDescent="0.55000000000000004">
      <c r="A11299" t="str">
        <f>TEST_DATA!A11299</f>
        <v>27AAAAA11299Z5</v>
      </c>
      <c r="B11299" t="str">
        <f>TEST_DATA!B11299</f>
        <v>Mar-2020</v>
      </c>
      <c r="C11299">
        <f>TEST_DATA!C11299</f>
        <v>43993</v>
      </c>
      <c r="D11299" t="str">
        <f>TEST_DATA!D11299</f>
        <v>NON-NIL</v>
      </c>
      <c r="E11299">
        <f>TEST_DATA!E11299</f>
        <v>1540</v>
      </c>
    </row>
    <row r="11300" spans="1:5" x14ac:dyDescent="0.55000000000000004">
      <c r="A11300" t="str">
        <f>TEST_DATA!A11300</f>
        <v>27AAAAA11300Z5</v>
      </c>
      <c r="B11300" t="str">
        <f>TEST_DATA!B11300</f>
        <v>Mar-2023</v>
      </c>
      <c r="C11300">
        <f>TEST_DATA!C11300</f>
        <v>44869</v>
      </c>
      <c r="D11300" t="str">
        <f>TEST_DATA!D11300</f>
        <v>NIL</v>
      </c>
      <c r="E11300">
        <f>TEST_DATA!E11300</f>
        <v>713</v>
      </c>
    </row>
    <row r="11301" spans="1:5" x14ac:dyDescent="0.55000000000000004">
      <c r="A11301" t="str">
        <f>TEST_DATA!A11301</f>
        <v>27AAAAA11301Z5</v>
      </c>
      <c r="B11301" t="str">
        <f>TEST_DATA!B11301</f>
        <v>Apr-2018</v>
      </c>
      <c r="C11301">
        <f>TEST_DATA!C11301</f>
        <v>43549</v>
      </c>
      <c r="D11301" t="str">
        <f>TEST_DATA!D11301</f>
        <v>NIL</v>
      </c>
      <c r="E11301">
        <f>TEST_DATA!E11301</f>
        <v>1053</v>
      </c>
    </row>
    <row r="11302" spans="1:5" x14ac:dyDescent="0.55000000000000004">
      <c r="A11302" t="str">
        <f>TEST_DATA!A11302</f>
        <v>27AAAAA11302Z5</v>
      </c>
      <c r="B11302" t="str">
        <f>TEST_DATA!B11302</f>
        <v>Jan-2018</v>
      </c>
      <c r="C11302">
        <f>TEST_DATA!C11302</f>
        <v>44522</v>
      </c>
      <c r="D11302" t="str">
        <f>TEST_DATA!D11302</f>
        <v>NON-NIL</v>
      </c>
      <c r="E11302">
        <f>TEST_DATA!E11302</f>
        <v>465</v>
      </c>
    </row>
    <row r="11303" spans="1:5" x14ac:dyDescent="0.55000000000000004">
      <c r="A11303" t="str">
        <f>TEST_DATA!A11303</f>
        <v>27AAAAA11303Z5</v>
      </c>
      <c r="B11303" t="str">
        <f>TEST_DATA!B11303</f>
        <v>Jun-2018</v>
      </c>
      <c r="C11303">
        <f>TEST_DATA!C11303</f>
        <v>43065</v>
      </c>
      <c r="D11303" t="str">
        <f>TEST_DATA!D11303</f>
        <v>NON-NIL</v>
      </c>
      <c r="E11303">
        <f>TEST_DATA!E11303</f>
        <v>1166</v>
      </c>
    </row>
    <row r="11304" spans="1:5" x14ac:dyDescent="0.55000000000000004">
      <c r="A11304" t="str">
        <f>TEST_DATA!A11304</f>
        <v>27AAAAA11304Z5</v>
      </c>
      <c r="B11304" t="str">
        <f>TEST_DATA!B11304</f>
        <v>Jan-2021</v>
      </c>
      <c r="C11304">
        <f>TEST_DATA!C11304</f>
        <v>45484</v>
      </c>
      <c r="D11304" t="str">
        <f>TEST_DATA!D11304</f>
        <v>NON-NIL</v>
      </c>
      <c r="E11304">
        <f>TEST_DATA!E11304</f>
        <v>1783</v>
      </c>
    </row>
    <row r="11305" spans="1:5" x14ac:dyDescent="0.55000000000000004">
      <c r="A11305" t="str">
        <f>TEST_DATA!A11305</f>
        <v>27AAAAA11305Z5</v>
      </c>
      <c r="B11305" t="str">
        <f>TEST_DATA!B11305</f>
        <v>Apr-2020</v>
      </c>
      <c r="C11305">
        <f>TEST_DATA!C11305</f>
        <v>44067</v>
      </c>
      <c r="D11305" t="str">
        <f>TEST_DATA!D11305</f>
        <v>NIL</v>
      </c>
      <c r="E11305">
        <f>TEST_DATA!E11305</f>
        <v>1905</v>
      </c>
    </row>
    <row r="11306" spans="1:5" x14ac:dyDescent="0.55000000000000004">
      <c r="A11306" t="str">
        <f>TEST_DATA!A11306</f>
        <v>27AAAAA11306Z5</v>
      </c>
      <c r="B11306" t="str">
        <f>TEST_DATA!B11306</f>
        <v>May-2020</v>
      </c>
      <c r="C11306">
        <f>TEST_DATA!C11306</f>
        <v>43950</v>
      </c>
      <c r="D11306" t="str">
        <f>TEST_DATA!D11306</f>
        <v>NON-NIL</v>
      </c>
      <c r="E11306">
        <f>TEST_DATA!E11306</f>
        <v>44</v>
      </c>
    </row>
    <row r="11307" spans="1:5" x14ac:dyDescent="0.55000000000000004">
      <c r="A11307" t="str">
        <f>TEST_DATA!A11307</f>
        <v>27AAAAA11307Z5</v>
      </c>
      <c r="B11307" t="str">
        <f>TEST_DATA!B11307</f>
        <v>Nov-2017</v>
      </c>
      <c r="C11307">
        <f>TEST_DATA!C11307</f>
        <v>43905</v>
      </c>
      <c r="D11307" t="str">
        <f>TEST_DATA!D11307</f>
        <v>NIL</v>
      </c>
      <c r="E11307">
        <f>TEST_DATA!E11307</f>
        <v>2183</v>
      </c>
    </row>
    <row r="11308" spans="1:5" x14ac:dyDescent="0.55000000000000004">
      <c r="A11308" t="str">
        <f>TEST_DATA!A11308</f>
        <v>27AAAAA11308Z5</v>
      </c>
      <c r="B11308" t="str">
        <f>TEST_DATA!B11308</f>
        <v>Dec-2017</v>
      </c>
      <c r="C11308">
        <f>TEST_DATA!C11308</f>
        <v>42984</v>
      </c>
      <c r="D11308" t="str">
        <f>TEST_DATA!D11308</f>
        <v>NON-NIL</v>
      </c>
      <c r="E11308">
        <f>TEST_DATA!E11308</f>
        <v>218</v>
      </c>
    </row>
    <row r="11309" spans="1:5" x14ac:dyDescent="0.55000000000000004">
      <c r="A11309" t="str">
        <f>TEST_DATA!A11309</f>
        <v>27AAAAA11309Z5</v>
      </c>
      <c r="B11309" t="str">
        <f>TEST_DATA!B11309</f>
        <v>Aug-2017</v>
      </c>
      <c r="C11309">
        <f>TEST_DATA!C11309</f>
        <v>44193</v>
      </c>
      <c r="D11309" t="str">
        <f>TEST_DATA!D11309</f>
        <v>NIL</v>
      </c>
      <c r="E11309">
        <f>TEST_DATA!E11309</f>
        <v>2690</v>
      </c>
    </row>
    <row r="11310" spans="1:5" x14ac:dyDescent="0.55000000000000004">
      <c r="A11310" t="str">
        <f>TEST_DATA!A11310</f>
        <v>27AAAAA11310Z5</v>
      </c>
      <c r="B11310" t="str">
        <f>TEST_DATA!B11310</f>
        <v>Jan-2021</v>
      </c>
      <c r="C11310">
        <f>TEST_DATA!C11310</f>
        <v>45594</v>
      </c>
      <c r="D11310" t="str">
        <f>TEST_DATA!D11310</f>
        <v>NIL</v>
      </c>
      <c r="E11310">
        <f>TEST_DATA!E11310</f>
        <v>2233</v>
      </c>
    </row>
    <row r="11311" spans="1:5" x14ac:dyDescent="0.55000000000000004">
      <c r="A11311" t="str">
        <f>TEST_DATA!A11311</f>
        <v>27AAAAA11311Z5</v>
      </c>
      <c r="B11311" t="str">
        <f>TEST_DATA!B11311</f>
        <v>Jan-2021</v>
      </c>
      <c r="C11311">
        <f>TEST_DATA!C11311</f>
        <v>44293</v>
      </c>
      <c r="D11311" t="str">
        <f>TEST_DATA!D11311</f>
        <v>NON-NIL</v>
      </c>
      <c r="E11311">
        <f>TEST_DATA!E11311</f>
        <v>2568</v>
      </c>
    </row>
    <row r="11312" spans="1:5" x14ac:dyDescent="0.55000000000000004">
      <c r="A11312" t="str">
        <f>TEST_DATA!A11312</f>
        <v>27AAAAA11312Z5</v>
      </c>
      <c r="B11312" t="str">
        <f>TEST_DATA!B11312</f>
        <v>Jul-2020</v>
      </c>
      <c r="C11312">
        <f>TEST_DATA!C11312</f>
        <v>44064</v>
      </c>
      <c r="D11312" t="str">
        <f>TEST_DATA!D11312</f>
        <v>NIL</v>
      </c>
      <c r="E11312">
        <f>TEST_DATA!E11312</f>
        <v>839</v>
      </c>
    </row>
    <row r="11313" spans="1:5" x14ac:dyDescent="0.55000000000000004">
      <c r="A11313" t="str">
        <f>TEST_DATA!A11313</f>
        <v>27AAAAA11313Z5</v>
      </c>
      <c r="B11313" t="str">
        <f>TEST_DATA!B11313</f>
        <v>Dec-2017</v>
      </c>
      <c r="C11313">
        <f>TEST_DATA!C11313</f>
        <v>43148</v>
      </c>
      <c r="D11313" t="str">
        <f>TEST_DATA!D11313</f>
        <v>NON-NIL</v>
      </c>
      <c r="E11313">
        <f>TEST_DATA!E11313</f>
        <v>2728</v>
      </c>
    </row>
    <row r="11314" spans="1:5" x14ac:dyDescent="0.55000000000000004">
      <c r="A11314" t="str">
        <f>TEST_DATA!A11314</f>
        <v>27AAAAA11314Z5</v>
      </c>
      <c r="B11314" t="str">
        <f>TEST_DATA!B11314</f>
        <v>Jun-2020</v>
      </c>
      <c r="C11314">
        <f>TEST_DATA!C11314</f>
        <v>43856</v>
      </c>
      <c r="D11314" t="str">
        <f>TEST_DATA!D11314</f>
        <v>NIL</v>
      </c>
      <c r="E11314">
        <f>TEST_DATA!E11314</f>
        <v>1534</v>
      </c>
    </row>
    <row r="11315" spans="1:5" x14ac:dyDescent="0.55000000000000004">
      <c r="A11315" t="str">
        <f>TEST_DATA!A11315</f>
        <v>27AAAAA11315Z5</v>
      </c>
      <c r="B11315" t="str">
        <f>TEST_DATA!B11315</f>
        <v>Mar-2023</v>
      </c>
      <c r="C11315">
        <f>TEST_DATA!C11315</f>
        <v>44345</v>
      </c>
      <c r="D11315" t="str">
        <f>TEST_DATA!D11315</f>
        <v>NIL</v>
      </c>
      <c r="E11315">
        <f>TEST_DATA!E11315</f>
        <v>1086</v>
      </c>
    </row>
    <row r="11316" spans="1:5" x14ac:dyDescent="0.55000000000000004">
      <c r="A11316" t="str">
        <f>TEST_DATA!A11316</f>
        <v>27AAAAA11316Z5</v>
      </c>
      <c r="B11316" t="str">
        <f>TEST_DATA!B11316</f>
        <v>Jul-2020</v>
      </c>
      <c r="C11316">
        <f>TEST_DATA!C11316</f>
        <v>43986</v>
      </c>
      <c r="D11316" t="str">
        <f>TEST_DATA!D11316</f>
        <v>NIL</v>
      </c>
      <c r="E11316">
        <f>TEST_DATA!E11316</f>
        <v>568</v>
      </c>
    </row>
    <row r="11317" spans="1:5" x14ac:dyDescent="0.55000000000000004">
      <c r="A11317" t="str">
        <f>TEST_DATA!A11317</f>
        <v>27AAAAA11317Z5</v>
      </c>
      <c r="B11317" t="str">
        <f>TEST_DATA!B11317</f>
        <v>Jun-2020</v>
      </c>
      <c r="C11317">
        <f>TEST_DATA!C11317</f>
        <v>44548</v>
      </c>
      <c r="D11317" t="str">
        <f>TEST_DATA!D11317</f>
        <v>NIL</v>
      </c>
      <c r="E11317">
        <f>TEST_DATA!E11317</f>
        <v>2913</v>
      </c>
    </row>
    <row r="11318" spans="1:5" x14ac:dyDescent="0.55000000000000004">
      <c r="A11318" t="str">
        <f>TEST_DATA!A11318</f>
        <v>27AAAAA11318Z5</v>
      </c>
      <c r="B11318" t="str">
        <f>TEST_DATA!B11318</f>
        <v>Sep-2018</v>
      </c>
      <c r="C11318">
        <f>TEST_DATA!C11318</f>
        <v>43704</v>
      </c>
      <c r="D11318" t="str">
        <f>TEST_DATA!D11318</f>
        <v>NIL</v>
      </c>
      <c r="E11318">
        <f>TEST_DATA!E11318</f>
        <v>1478</v>
      </c>
    </row>
    <row r="11319" spans="1:5" x14ac:dyDescent="0.55000000000000004">
      <c r="A11319" t="str">
        <f>TEST_DATA!A11319</f>
        <v>27AAAAA11319Z5</v>
      </c>
      <c r="B11319" t="str">
        <f>TEST_DATA!B11319</f>
        <v>Nov-2017</v>
      </c>
      <c r="C11319">
        <f>TEST_DATA!C11319</f>
        <v>44259</v>
      </c>
      <c r="D11319" t="str">
        <f>TEST_DATA!D11319</f>
        <v>NIL</v>
      </c>
      <c r="E11319">
        <f>TEST_DATA!E11319</f>
        <v>671</v>
      </c>
    </row>
    <row r="11320" spans="1:5" x14ac:dyDescent="0.55000000000000004">
      <c r="A11320" t="str">
        <f>TEST_DATA!A11320</f>
        <v>27AAAAA11320Z5</v>
      </c>
      <c r="B11320" t="str">
        <f>TEST_DATA!B11320</f>
        <v>Sep-2017</v>
      </c>
      <c r="C11320">
        <f>TEST_DATA!C11320</f>
        <v>43368</v>
      </c>
      <c r="D11320" t="str">
        <f>TEST_DATA!D11320</f>
        <v>NIL</v>
      </c>
      <c r="E11320">
        <f>TEST_DATA!E11320</f>
        <v>404</v>
      </c>
    </row>
    <row r="11321" spans="1:5" x14ac:dyDescent="0.55000000000000004">
      <c r="A11321" t="str">
        <f>TEST_DATA!A11321</f>
        <v>27AAAAA11321Z5</v>
      </c>
      <c r="B11321" t="str">
        <f>TEST_DATA!B11321</f>
        <v>Aug-2018</v>
      </c>
      <c r="C11321">
        <f>TEST_DATA!C11321</f>
        <v>43874</v>
      </c>
      <c r="D11321" t="str">
        <f>TEST_DATA!D11321</f>
        <v>NON-NIL</v>
      </c>
      <c r="E11321">
        <f>TEST_DATA!E11321</f>
        <v>2971</v>
      </c>
    </row>
    <row r="11322" spans="1:5" x14ac:dyDescent="0.55000000000000004">
      <c r="A11322" t="str">
        <f>TEST_DATA!A11322</f>
        <v>27AAAAA11322Z5</v>
      </c>
      <c r="B11322" t="str">
        <f>TEST_DATA!B11322</f>
        <v>Apr-2018</v>
      </c>
      <c r="C11322">
        <f>TEST_DATA!C11322</f>
        <v>43256</v>
      </c>
      <c r="D11322" t="str">
        <f>TEST_DATA!D11322</f>
        <v>NIL</v>
      </c>
      <c r="E11322">
        <f>TEST_DATA!E11322</f>
        <v>685</v>
      </c>
    </row>
    <row r="11323" spans="1:5" x14ac:dyDescent="0.55000000000000004">
      <c r="A11323" t="str">
        <f>TEST_DATA!A11323</f>
        <v>27AAAAA11323Z5</v>
      </c>
      <c r="B11323" t="str">
        <f>TEST_DATA!B11323</f>
        <v>Dec-2024</v>
      </c>
      <c r="C11323">
        <f>TEST_DATA!C11323</f>
        <v>45048</v>
      </c>
      <c r="D11323" t="str">
        <f>TEST_DATA!D11323</f>
        <v>NON-NIL</v>
      </c>
      <c r="E11323">
        <f>TEST_DATA!E11323</f>
        <v>2783</v>
      </c>
    </row>
    <row r="11324" spans="1:5" x14ac:dyDescent="0.55000000000000004">
      <c r="A11324" t="str">
        <f>TEST_DATA!A11324</f>
        <v>27AAAAA11324Z5</v>
      </c>
      <c r="B11324" t="str">
        <f>TEST_DATA!B11324</f>
        <v>Jul-2017</v>
      </c>
      <c r="C11324">
        <f>TEST_DATA!C11324</f>
        <v>43124</v>
      </c>
      <c r="D11324" t="str">
        <f>TEST_DATA!D11324</f>
        <v>NIL</v>
      </c>
      <c r="E11324">
        <f>TEST_DATA!E11324</f>
        <v>1642</v>
      </c>
    </row>
    <row r="11325" spans="1:5" x14ac:dyDescent="0.55000000000000004">
      <c r="A11325" t="str">
        <f>TEST_DATA!A11325</f>
        <v>27AAAAA11325Z5</v>
      </c>
      <c r="B11325" t="str">
        <f>TEST_DATA!B11325</f>
        <v>Sep-2018</v>
      </c>
      <c r="C11325">
        <f>TEST_DATA!C11325</f>
        <v>43952</v>
      </c>
      <c r="D11325" t="str">
        <f>TEST_DATA!D11325</f>
        <v>NIL</v>
      </c>
      <c r="E11325">
        <f>TEST_DATA!E11325</f>
        <v>462</v>
      </c>
    </row>
    <row r="11326" spans="1:5" x14ac:dyDescent="0.55000000000000004">
      <c r="A11326" t="str">
        <f>TEST_DATA!A11326</f>
        <v>27AAAAA11326Z5</v>
      </c>
      <c r="B11326" t="str">
        <f>TEST_DATA!B11326</f>
        <v>Apr-2021</v>
      </c>
      <c r="C11326">
        <f>TEST_DATA!C11326</f>
        <v>45239</v>
      </c>
      <c r="D11326" t="str">
        <f>TEST_DATA!D11326</f>
        <v>NON-NIL</v>
      </c>
      <c r="E11326">
        <f>TEST_DATA!E11326</f>
        <v>2199</v>
      </c>
    </row>
    <row r="11327" spans="1:5" x14ac:dyDescent="0.55000000000000004">
      <c r="A11327" t="str">
        <f>TEST_DATA!A11327</f>
        <v>27AAAAA11327Z5</v>
      </c>
      <c r="B11327" t="str">
        <f>TEST_DATA!B11327</f>
        <v>Aug-2018</v>
      </c>
      <c r="C11327">
        <f>TEST_DATA!C11327</f>
        <v>44426</v>
      </c>
      <c r="D11327" t="str">
        <f>TEST_DATA!D11327</f>
        <v>NIL</v>
      </c>
      <c r="E11327">
        <f>TEST_DATA!E11327</f>
        <v>2448</v>
      </c>
    </row>
    <row r="11328" spans="1:5" x14ac:dyDescent="0.55000000000000004">
      <c r="A11328" t="str">
        <f>TEST_DATA!A11328</f>
        <v>27AAAAA11328Z5</v>
      </c>
      <c r="B11328" t="str">
        <f>TEST_DATA!B11328</f>
        <v>Jul-2017</v>
      </c>
      <c r="C11328">
        <f>TEST_DATA!C11328</f>
        <v>43284</v>
      </c>
      <c r="D11328" t="str">
        <f>TEST_DATA!D11328</f>
        <v>NON-NIL</v>
      </c>
      <c r="E11328">
        <f>TEST_DATA!E11328</f>
        <v>392</v>
      </c>
    </row>
    <row r="11329" spans="1:5" x14ac:dyDescent="0.55000000000000004">
      <c r="A11329" t="str">
        <f>TEST_DATA!A11329</f>
        <v>27AAAAA11329Z5</v>
      </c>
      <c r="B11329" t="str">
        <f>TEST_DATA!B11329</f>
        <v>May-2018</v>
      </c>
      <c r="C11329">
        <f>TEST_DATA!C11329</f>
        <v>43303</v>
      </c>
      <c r="D11329" t="str">
        <f>TEST_DATA!D11329</f>
        <v>NON-NIL</v>
      </c>
      <c r="E11329">
        <f>TEST_DATA!E11329</f>
        <v>1050</v>
      </c>
    </row>
    <row r="11330" spans="1:5" x14ac:dyDescent="0.55000000000000004">
      <c r="A11330" t="str">
        <f>TEST_DATA!A11330</f>
        <v>27AAAAA11330Z5</v>
      </c>
      <c r="B11330" t="str">
        <f>TEST_DATA!B11330</f>
        <v>Mar-2021</v>
      </c>
      <c r="C11330">
        <f>TEST_DATA!C11330</f>
        <v>44159</v>
      </c>
      <c r="D11330" t="str">
        <f>TEST_DATA!D11330</f>
        <v>NON-NIL</v>
      </c>
      <c r="E11330">
        <f>TEST_DATA!E11330</f>
        <v>1812</v>
      </c>
    </row>
    <row r="11331" spans="1:5" x14ac:dyDescent="0.55000000000000004">
      <c r="A11331" t="str">
        <f>TEST_DATA!A11331</f>
        <v>27AAAAA11331Z5</v>
      </c>
      <c r="B11331" t="str">
        <f>TEST_DATA!B11331</f>
        <v>Feb-2018</v>
      </c>
      <c r="C11331">
        <f>TEST_DATA!C11331</f>
        <v>44513</v>
      </c>
      <c r="D11331" t="str">
        <f>TEST_DATA!D11331</f>
        <v>NIL</v>
      </c>
      <c r="E11331">
        <f>TEST_DATA!E11331</f>
        <v>698</v>
      </c>
    </row>
    <row r="11332" spans="1:5" x14ac:dyDescent="0.55000000000000004">
      <c r="A11332" t="str">
        <f>TEST_DATA!A11332</f>
        <v>27AAAAA11332Z5</v>
      </c>
      <c r="B11332" t="str">
        <f>TEST_DATA!B11332</f>
        <v>Dec-2017</v>
      </c>
      <c r="C11332">
        <f>TEST_DATA!C11332</f>
        <v>43000</v>
      </c>
      <c r="D11332" t="str">
        <f>TEST_DATA!D11332</f>
        <v>NON-NIL</v>
      </c>
      <c r="E11332">
        <f>TEST_DATA!E11332</f>
        <v>342</v>
      </c>
    </row>
    <row r="11333" spans="1:5" x14ac:dyDescent="0.55000000000000004">
      <c r="A11333" t="str">
        <f>TEST_DATA!A11333</f>
        <v>27AAAAA11333Z5</v>
      </c>
      <c r="B11333" t="str">
        <f>TEST_DATA!B11333</f>
        <v>Jan-2019</v>
      </c>
      <c r="C11333">
        <f>TEST_DATA!C11333</f>
        <v>44850</v>
      </c>
      <c r="D11333" t="str">
        <f>TEST_DATA!D11333</f>
        <v>NIL</v>
      </c>
      <c r="E11333">
        <f>TEST_DATA!E11333</f>
        <v>2624</v>
      </c>
    </row>
    <row r="11334" spans="1:5" x14ac:dyDescent="0.55000000000000004">
      <c r="A11334" t="str">
        <f>TEST_DATA!A11334</f>
        <v>27AAAAA11334Z5</v>
      </c>
      <c r="B11334" t="str">
        <f>TEST_DATA!B11334</f>
        <v>Mar-2023</v>
      </c>
      <c r="C11334">
        <f>TEST_DATA!C11334</f>
        <v>43560</v>
      </c>
      <c r="D11334" t="str">
        <f>TEST_DATA!D11334</f>
        <v>NON-NIL</v>
      </c>
      <c r="E11334">
        <f>TEST_DATA!E11334</f>
        <v>2759</v>
      </c>
    </row>
    <row r="11335" spans="1:5" x14ac:dyDescent="0.55000000000000004">
      <c r="A11335" t="str">
        <f>TEST_DATA!A11335</f>
        <v>27AAAAA11335Z5</v>
      </c>
      <c r="B11335" t="str">
        <f>TEST_DATA!B11335</f>
        <v>Jul-2017</v>
      </c>
      <c r="C11335">
        <f>TEST_DATA!C11335</f>
        <v>43656</v>
      </c>
      <c r="D11335" t="str">
        <f>TEST_DATA!D11335</f>
        <v>NIL</v>
      </c>
      <c r="E11335">
        <f>TEST_DATA!E11335</f>
        <v>317</v>
      </c>
    </row>
    <row r="11336" spans="1:5" x14ac:dyDescent="0.55000000000000004">
      <c r="A11336" t="str">
        <f>TEST_DATA!A11336</f>
        <v>27AAAAA11336Z5</v>
      </c>
      <c r="B11336" t="str">
        <f>TEST_DATA!B11336</f>
        <v>Apr-2020</v>
      </c>
      <c r="C11336">
        <f>TEST_DATA!C11336</f>
        <v>44899</v>
      </c>
      <c r="D11336" t="str">
        <f>TEST_DATA!D11336</f>
        <v>NON-NIL</v>
      </c>
      <c r="E11336">
        <f>TEST_DATA!E11336</f>
        <v>304</v>
      </c>
    </row>
    <row r="11337" spans="1:5" x14ac:dyDescent="0.55000000000000004">
      <c r="A11337" t="str">
        <f>TEST_DATA!A11337</f>
        <v>27AAAAA11337Z5</v>
      </c>
      <c r="B11337" t="str">
        <f>TEST_DATA!B11337</f>
        <v>Aug-2017</v>
      </c>
      <c r="C11337">
        <f>TEST_DATA!C11337</f>
        <v>44278</v>
      </c>
      <c r="D11337" t="str">
        <f>TEST_DATA!D11337</f>
        <v>NON-NIL</v>
      </c>
      <c r="E11337">
        <f>TEST_DATA!E11337</f>
        <v>112</v>
      </c>
    </row>
    <row r="11338" spans="1:5" x14ac:dyDescent="0.55000000000000004">
      <c r="A11338" t="str">
        <f>TEST_DATA!A11338</f>
        <v>27AAAAA11338Z5</v>
      </c>
      <c r="B11338" t="str">
        <f>TEST_DATA!B11338</f>
        <v>Sep-2018</v>
      </c>
      <c r="C11338">
        <f>TEST_DATA!C11338</f>
        <v>43577</v>
      </c>
      <c r="D11338" t="str">
        <f>TEST_DATA!D11338</f>
        <v>NON-NIL</v>
      </c>
      <c r="E11338">
        <f>TEST_DATA!E11338</f>
        <v>10</v>
      </c>
    </row>
    <row r="11339" spans="1:5" x14ac:dyDescent="0.55000000000000004">
      <c r="A11339" t="str">
        <f>TEST_DATA!A11339</f>
        <v>27AAAAA11339Z5</v>
      </c>
      <c r="B11339" t="str">
        <f>TEST_DATA!B11339</f>
        <v>Jun-2019</v>
      </c>
      <c r="C11339">
        <f>TEST_DATA!C11339</f>
        <v>44528</v>
      </c>
      <c r="D11339" t="str">
        <f>TEST_DATA!D11339</f>
        <v>NON-NIL</v>
      </c>
      <c r="E11339">
        <f>TEST_DATA!E11339</f>
        <v>670</v>
      </c>
    </row>
    <row r="11340" spans="1:5" x14ac:dyDescent="0.55000000000000004">
      <c r="A11340" t="str">
        <f>TEST_DATA!A11340</f>
        <v>27AAAAA11340Z5</v>
      </c>
      <c r="B11340" t="str">
        <f>TEST_DATA!B11340</f>
        <v>Dec-2019</v>
      </c>
      <c r="C11340">
        <f>TEST_DATA!C11340</f>
        <v>44658</v>
      </c>
      <c r="D11340" t="str">
        <f>TEST_DATA!D11340</f>
        <v>NON-NIL</v>
      </c>
      <c r="E11340">
        <f>TEST_DATA!E11340</f>
        <v>2004</v>
      </c>
    </row>
    <row r="11341" spans="1:5" x14ac:dyDescent="0.55000000000000004">
      <c r="A11341" t="str">
        <f>TEST_DATA!A11341</f>
        <v>27AAAAA11341Z5</v>
      </c>
      <c r="B11341" t="str">
        <f>TEST_DATA!B11341</f>
        <v>Sep-2018</v>
      </c>
      <c r="C11341">
        <f>TEST_DATA!C11341</f>
        <v>43044</v>
      </c>
      <c r="D11341" t="str">
        <f>TEST_DATA!D11341</f>
        <v>NIL</v>
      </c>
      <c r="E11341">
        <f>TEST_DATA!E11341</f>
        <v>2033</v>
      </c>
    </row>
    <row r="11342" spans="1:5" x14ac:dyDescent="0.55000000000000004">
      <c r="A11342" t="str">
        <f>TEST_DATA!A11342</f>
        <v>27AAAAA11342Z5</v>
      </c>
      <c r="B11342" t="str">
        <f>TEST_DATA!B11342</f>
        <v>Jun-2019</v>
      </c>
      <c r="C11342">
        <f>TEST_DATA!C11342</f>
        <v>44492</v>
      </c>
      <c r="D11342" t="str">
        <f>TEST_DATA!D11342</f>
        <v>NON-NIL</v>
      </c>
      <c r="E11342">
        <f>TEST_DATA!E11342</f>
        <v>1851</v>
      </c>
    </row>
    <row r="11343" spans="1:5" x14ac:dyDescent="0.55000000000000004">
      <c r="A11343" t="str">
        <f>TEST_DATA!A11343</f>
        <v>27AAAAA11343Z5</v>
      </c>
      <c r="B11343" t="str">
        <f>TEST_DATA!B11343</f>
        <v>Apr-2020</v>
      </c>
      <c r="C11343">
        <f>TEST_DATA!C11343</f>
        <v>44838</v>
      </c>
      <c r="D11343" t="str">
        <f>TEST_DATA!D11343</f>
        <v>NIL</v>
      </c>
      <c r="E11343">
        <f>TEST_DATA!E11343</f>
        <v>28</v>
      </c>
    </row>
    <row r="11344" spans="1:5" x14ac:dyDescent="0.55000000000000004">
      <c r="A11344" t="str">
        <f>TEST_DATA!A11344</f>
        <v>27AAAAA11344Z5</v>
      </c>
      <c r="B11344" t="str">
        <f>TEST_DATA!B11344</f>
        <v>Dec-2019</v>
      </c>
      <c r="C11344">
        <f>TEST_DATA!C11344</f>
        <v>44396</v>
      </c>
      <c r="D11344" t="str">
        <f>TEST_DATA!D11344</f>
        <v>NIL</v>
      </c>
      <c r="E11344">
        <f>TEST_DATA!E11344</f>
        <v>2664</v>
      </c>
    </row>
    <row r="11345" spans="1:5" x14ac:dyDescent="0.55000000000000004">
      <c r="A11345" t="str">
        <f>TEST_DATA!A11345</f>
        <v>27AAAAA11345Z5</v>
      </c>
      <c r="B11345" t="str">
        <f>TEST_DATA!B11345</f>
        <v>Sep-2018</v>
      </c>
      <c r="C11345">
        <f>TEST_DATA!C11345</f>
        <v>43721</v>
      </c>
      <c r="D11345" t="str">
        <f>TEST_DATA!D11345</f>
        <v>NON-NIL</v>
      </c>
      <c r="E11345">
        <f>TEST_DATA!E11345</f>
        <v>2702</v>
      </c>
    </row>
    <row r="11346" spans="1:5" x14ac:dyDescent="0.55000000000000004">
      <c r="A11346" t="str">
        <f>TEST_DATA!A11346</f>
        <v>27AAAAA11346Z5</v>
      </c>
      <c r="B11346" t="str">
        <f>TEST_DATA!B11346</f>
        <v>Apr-2018</v>
      </c>
      <c r="C11346">
        <f>TEST_DATA!C11346</f>
        <v>42999</v>
      </c>
      <c r="D11346" t="str">
        <f>TEST_DATA!D11346</f>
        <v>NON-NIL</v>
      </c>
      <c r="E11346">
        <f>TEST_DATA!E11346</f>
        <v>2088</v>
      </c>
    </row>
    <row r="11347" spans="1:5" x14ac:dyDescent="0.55000000000000004">
      <c r="A11347" t="str">
        <f>TEST_DATA!A11347</f>
        <v>27AAAAA11347Z5</v>
      </c>
      <c r="B11347" t="str">
        <f>TEST_DATA!B11347</f>
        <v>Feb-2018</v>
      </c>
      <c r="C11347">
        <f>TEST_DATA!C11347</f>
        <v>43576</v>
      </c>
      <c r="D11347" t="str">
        <f>TEST_DATA!D11347</f>
        <v>NON-NIL</v>
      </c>
      <c r="E11347">
        <f>TEST_DATA!E11347</f>
        <v>2940</v>
      </c>
    </row>
    <row r="11348" spans="1:5" x14ac:dyDescent="0.55000000000000004">
      <c r="A11348" t="str">
        <f>TEST_DATA!A11348</f>
        <v>27AAAAA11348Z5</v>
      </c>
      <c r="B11348" t="str">
        <f>TEST_DATA!B11348</f>
        <v>Dec-2024</v>
      </c>
      <c r="C11348">
        <f>TEST_DATA!C11348</f>
        <v>43497</v>
      </c>
      <c r="D11348" t="str">
        <f>TEST_DATA!D11348</f>
        <v>NIL</v>
      </c>
      <c r="E11348">
        <f>TEST_DATA!E11348</f>
        <v>2037</v>
      </c>
    </row>
    <row r="11349" spans="1:5" x14ac:dyDescent="0.55000000000000004">
      <c r="A11349" t="str">
        <f>TEST_DATA!A11349</f>
        <v>27AAAAA11349Z5</v>
      </c>
      <c r="B11349" t="str">
        <f>TEST_DATA!B11349</f>
        <v>Dec-2024</v>
      </c>
      <c r="C11349">
        <f>TEST_DATA!C11349</f>
        <v>44135</v>
      </c>
      <c r="D11349" t="str">
        <f>TEST_DATA!D11349</f>
        <v>NON-NIL</v>
      </c>
      <c r="E11349">
        <f>TEST_DATA!E11349</f>
        <v>684</v>
      </c>
    </row>
    <row r="11350" spans="1:5" x14ac:dyDescent="0.55000000000000004">
      <c r="A11350" t="str">
        <f>TEST_DATA!A11350</f>
        <v>27AAAAA11350Z5</v>
      </c>
      <c r="B11350" t="str">
        <f>TEST_DATA!B11350</f>
        <v>Sep-2018</v>
      </c>
      <c r="C11350">
        <f>TEST_DATA!C11350</f>
        <v>44230</v>
      </c>
      <c r="D11350" t="str">
        <f>TEST_DATA!D11350</f>
        <v>NON-NIL</v>
      </c>
      <c r="E11350">
        <f>TEST_DATA!E11350</f>
        <v>992</v>
      </c>
    </row>
    <row r="11351" spans="1:5" x14ac:dyDescent="0.55000000000000004">
      <c r="A11351" t="str">
        <f>TEST_DATA!A11351</f>
        <v>27AAAAA11351Z5</v>
      </c>
      <c r="B11351" t="str">
        <f>TEST_DATA!B11351</f>
        <v>Jan-2021</v>
      </c>
      <c r="C11351">
        <f>TEST_DATA!C11351</f>
        <v>44029</v>
      </c>
      <c r="D11351" t="str">
        <f>TEST_DATA!D11351</f>
        <v>NIL</v>
      </c>
      <c r="E11351">
        <f>TEST_DATA!E11351</f>
        <v>2313</v>
      </c>
    </row>
    <row r="11352" spans="1:5" x14ac:dyDescent="0.55000000000000004">
      <c r="A11352" t="str">
        <f>TEST_DATA!A11352</f>
        <v>27AAAAA11352Z5</v>
      </c>
      <c r="B11352" t="str">
        <f>TEST_DATA!B11352</f>
        <v>Jul-2017</v>
      </c>
      <c r="C11352">
        <f>TEST_DATA!C11352</f>
        <v>43158</v>
      </c>
      <c r="D11352" t="str">
        <f>TEST_DATA!D11352</f>
        <v>NIL</v>
      </c>
      <c r="E11352">
        <f>TEST_DATA!E11352</f>
        <v>534</v>
      </c>
    </row>
    <row r="11353" spans="1:5" x14ac:dyDescent="0.55000000000000004">
      <c r="A11353" t="str">
        <f>TEST_DATA!A11353</f>
        <v>27AAAAA11353Z5</v>
      </c>
      <c r="B11353" t="str">
        <f>TEST_DATA!B11353</f>
        <v>Jul-2017</v>
      </c>
      <c r="C11353">
        <f>TEST_DATA!C11353</f>
        <v>43656</v>
      </c>
      <c r="D11353" t="str">
        <f>TEST_DATA!D11353</f>
        <v>NIL</v>
      </c>
      <c r="E11353">
        <f>TEST_DATA!E11353</f>
        <v>368</v>
      </c>
    </row>
    <row r="11354" spans="1:5" x14ac:dyDescent="0.55000000000000004">
      <c r="A11354" t="str">
        <f>TEST_DATA!A11354</f>
        <v>27AAAAA11354Z5</v>
      </c>
      <c r="B11354" t="str">
        <f>TEST_DATA!B11354</f>
        <v>Mar-2021</v>
      </c>
      <c r="C11354">
        <f>TEST_DATA!C11354</f>
        <v>44111</v>
      </c>
      <c r="D11354" t="str">
        <f>TEST_DATA!D11354</f>
        <v>NIL</v>
      </c>
      <c r="E11354">
        <f>TEST_DATA!E11354</f>
        <v>791</v>
      </c>
    </row>
    <row r="11355" spans="1:5" x14ac:dyDescent="0.55000000000000004">
      <c r="A11355" t="str">
        <f>TEST_DATA!A11355</f>
        <v>27AAAAA11355Z5</v>
      </c>
      <c r="B11355" t="str">
        <f>TEST_DATA!B11355</f>
        <v>Mar-2018</v>
      </c>
      <c r="C11355">
        <f>TEST_DATA!C11355</f>
        <v>42973</v>
      </c>
      <c r="D11355" t="str">
        <f>TEST_DATA!D11355</f>
        <v>NON-NIL</v>
      </c>
      <c r="E11355">
        <f>TEST_DATA!E11355</f>
        <v>800</v>
      </c>
    </row>
    <row r="11356" spans="1:5" x14ac:dyDescent="0.55000000000000004">
      <c r="A11356" t="str">
        <f>TEST_DATA!A11356</f>
        <v>27AAAAA11356Z5</v>
      </c>
      <c r="B11356" t="str">
        <f>TEST_DATA!B11356</f>
        <v>Mar-2023</v>
      </c>
      <c r="C11356">
        <f>TEST_DATA!C11356</f>
        <v>45036</v>
      </c>
      <c r="D11356" t="str">
        <f>TEST_DATA!D11356</f>
        <v>NIL</v>
      </c>
      <c r="E11356">
        <f>TEST_DATA!E11356</f>
        <v>298</v>
      </c>
    </row>
    <row r="11357" spans="1:5" x14ac:dyDescent="0.55000000000000004">
      <c r="A11357" t="str">
        <f>TEST_DATA!A11357</f>
        <v>27AAAAA11357Z5</v>
      </c>
      <c r="B11357" t="str">
        <f>TEST_DATA!B11357</f>
        <v>Dec-2024</v>
      </c>
      <c r="C11357">
        <f>TEST_DATA!C11357</f>
        <v>43627</v>
      </c>
      <c r="D11357" t="str">
        <f>TEST_DATA!D11357</f>
        <v>NON-NIL</v>
      </c>
      <c r="E11357">
        <f>TEST_DATA!E11357</f>
        <v>120</v>
      </c>
    </row>
    <row r="11358" spans="1:5" x14ac:dyDescent="0.55000000000000004">
      <c r="A11358" t="str">
        <f>TEST_DATA!A11358</f>
        <v>27AAAAA11358Z5</v>
      </c>
      <c r="B11358" t="str">
        <f>TEST_DATA!B11358</f>
        <v>Dec-2017</v>
      </c>
      <c r="C11358">
        <f>TEST_DATA!C11358</f>
        <v>43537</v>
      </c>
      <c r="D11358" t="str">
        <f>TEST_DATA!D11358</f>
        <v>NIL</v>
      </c>
      <c r="E11358">
        <f>TEST_DATA!E11358</f>
        <v>1643</v>
      </c>
    </row>
    <row r="11359" spans="1:5" x14ac:dyDescent="0.55000000000000004">
      <c r="A11359" t="str">
        <f>TEST_DATA!A11359</f>
        <v>27AAAAA11359Z5</v>
      </c>
      <c r="B11359" t="str">
        <f>TEST_DATA!B11359</f>
        <v>May-2018</v>
      </c>
      <c r="C11359">
        <f>TEST_DATA!C11359</f>
        <v>43048</v>
      </c>
      <c r="D11359" t="str">
        <f>TEST_DATA!D11359</f>
        <v>NIL</v>
      </c>
      <c r="E11359">
        <f>TEST_DATA!E11359</f>
        <v>2762</v>
      </c>
    </row>
    <row r="11360" spans="1:5" x14ac:dyDescent="0.55000000000000004">
      <c r="A11360" t="str">
        <f>TEST_DATA!A11360</f>
        <v>27AAAAA11360Z5</v>
      </c>
      <c r="B11360" t="str">
        <f>TEST_DATA!B11360</f>
        <v>Jan-2019</v>
      </c>
      <c r="C11360">
        <f>TEST_DATA!C11360</f>
        <v>44584</v>
      </c>
      <c r="D11360" t="str">
        <f>TEST_DATA!D11360</f>
        <v>NON-NIL</v>
      </c>
      <c r="E11360">
        <f>TEST_DATA!E11360</f>
        <v>318</v>
      </c>
    </row>
    <row r="11361" spans="1:5" x14ac:dyDescent="0.55000000000000004">
      <c r="A11361" t="str">
        <f>TEST_DATA!A11361</f>
        <v>27AAAAA11361Z5</v>
      </c>
      <c r="B11361" t="str">
        <f>TEST_DATA!B11361</f>
        <v>Jan-2021</v>
      </c>
      <c r="C11361">
        <f>TEST_DATA!C11361</f>
        <v>43829</v>
      </c>
      <c r="D11361" t="str">
        <f>TEST_DATA!D11361</f>
        <v>NON-NIL</v>
      </c>
      <c r="E11361">
        <f>TEST_DATA!E11361</f>
        <v>200</v>
      </c>
    </row>
    <row r="11362" spans="1:5" x14ac:dyDescent="0.55000000000000004">
      <c r="A11362" t="str">
        <f>TEST_DATA!A11362</f>
        <v>27AAAAA11362Z5</v>
      </c>
      <c r="B11362" t="str">
        <f>TEST_DATA!B11362</f>
        <v>Jun-2020</v>
      </c>
      <c r="C11362">
        <f>TEST_DATA!C11362</f>
        <v>44635</v>
      </c>
      <c r="D11362" t="str">
        <f>TEST_DATA!D11362</f>
        <v>NON-NIL</v>
      </c>
      <c r="E11362">
        <f>TEST_DATA!E11362</f>
        <v>2214</v>
      </c>
    </row>
    <row r="11363" spans="1:5" x14ac:dyDescent="0.55000000000000004">
      <c r="A11363" t="str">
        <f>TEST_DATA!A11363</f>
        <v>27AAAAA11363Z5</v>
      </c>
      <c r="B11363" t="str">
        <f>TEST_DATA!B11363</f>
        <v>Jun-2018</v>
      </c>
      <c r="C11363">
        <f>TEST_DATA!C11363</f>
        <v>43817</v>
      </c>
      <c r="D11363" t="str">
        <f>TEST_DATA!D11363</f>
        <v>NON-NIL</v>
      </c>
      <c r="E11363">
        <f>TEST_DATA!E11363</f>
        <v>2089</v>
      </c>
    </row>
    <row r="11364" spans="1:5" x14ac:dyDescent="0.55000000000000004">
      <c r="A11364" t="str">
        <f>TEST_DATA!A11364</f>
        <v>27AAAAA11364Z5</v>
      </c>
      <c r="B11364" t="str">
        <f>TEST_DATA!B11364</f>
        <v>Dec-2019</v>
      </c>
      <c r="C11364">
        <f>TEST_DATA!C11364</f>
        <v>45127</v>
      </c>
      <c r="D11364" t="str">
        <f>TEST_DATA!D11364</f>
        <v>NIL</v>
      </c>
      <c r="E11364">
        <f>TEST_DATA!E11364</f>
        <v>2583</v>
      </c>
    </row>
    <row r="11365" spans="1:5" x14ac:dyDescent="0.55000000000000004">
      <c r="A11365" t="str">
        <f>TEST_DATA!A11365</f>
        <v>27AAAAA11365Z5</v>
      </c>
      <c r="B11365" t="str">
        <f>TEST_DATA!B11365</f>
        <v>Jun-2020</v>
      </c>
      <c r="C11365">
        <f>TEST_DATA!C11365</f>
        <v>44014</v>
      </c>
      <c r="D11365" t="str">
        <f>TEST_DATA!D11365</f>
        <v>NIL</v>
      </c>
      <c r="E11365">
        <f>TEST_DATA!E11365</f>
        <v>1042</v>
      </c>
    </row>
    <row r="11366" spans="1:5" x14ac:dyDescent="0.55000000000000004">
      <c r="A11366" t="str">
        <f>TEST_DATA!A11366</f>
        <v>27AAAAA11366Z5</v>
      </c>
      <c r="B11366" t="str">
        <f>TEST_DATA!B11366</f>
        <v>Dec-2022</v>
      </c>
      <c r="C11366">
        <f>TEST_DATA!C11366</f>
        <v>43695</v>
      </c>
      <c r="D11366" t="str">
        <f>TEST_DATA!D11366</f>
        <v>NON-NIL</v>
      </c>
      <c r="E11366">
        <f>TEST_DATA!E11366</f>
        <v>2704</v>
      </c>
    </row>
    <row r="11367" spans="1:5" x14ac:dyDescent="0.55000000000000004">
      <c r="A11367" t="str">
        <f>TEST_DATA!A11367</f>
        <v>27AAAAA11367Z5</v>
      </c>
      <c r="B11367" t="str">
        <f>TEST_DATA!B11367</f>
        <v>Apr-2020</v>
      </c>
      <c r="C11367">
        <f>TEST_DATA!C11367</f>
        <v>43882</v>
      </c>
      <c r="D11367" t="str">
        <f>TEST_DATA!D11367</f>
        <v>NON-NIL</v>
      </c>
      <c r="E11367">
        <f>TEST_DATA!E11367</f>
        <v>2599</v>
      </c>
    </row>
    <row r="11368" spans="1:5" x14ac:dyDescent="0.55000000000000004">
      <c r="A11368" t="str">
        <f>TEST_DATA!A11368</f>
        <v>27AAAAA11368Z5</v>
      </c>
      <c r="B11368" t="str">
        <f>TEST_DATA!B11368</f>
        <v>Apr-2018</v>
      </c>
      <c r="C11368">
        <f>TEST_DATA!C11368</f>
        <v>44029</v>
      </c>
      <c r="D11368" t="str">
        <f>TEST_DATA!D11368</f>
        <v>NIL</v>
      </c>
      <c r="E11368">
        <f>TEST_DATA!E11368</f>
        <v>1009</v>
      </c>
    </row>
    <row r="11369" spans="1:5" x14ac:dyDescent="0.55000000000000004">
      <c r="A11369" t="str">
        <f>TEST_DATA!A11369</f>
        <v>27AAAAA11369Z5</v>
      </c>
      <c r="B11369" t="str">
        <f>TEST_DATA!B11369</f>
        <v>Dec-2019</v>
      </c>
      <c r="C11369">
        <f>TEST_DATA!C11369</f>
        <v>45600</v>
      </c>
      <c r="D11369" t="str">
        <f>TEST_DATA!D11369</f>
        <v>NIL</v>
      </c>
      <c r="E11369">
        <f>TEST_DATA!E11369</f>
        <v>2365</v>
      </c>
    </row>
    <row r="11370" spans="1:5" x14ac:dyDescent="0.55000000000000004">
      <c r="A11370" t="str">
        <f>TEST_DATA!A11370</f>
        <v>27AAAAA11370Z5</v>
      </c>
      <c r="B11370" t="str">
        <f>TEST_DATA!B11370</f>
        <v>Aug-2017</v>
      </c>
      <c r="C11370">
        <f>TEST_DATA!C11370</f>
        <v>43171</v>
      </c>
      <c r="D11370" t="str">
        <f>TEST_DATA!D11370</f>
        <v>NIL</v>
      </c>
      <c r="E11370">
        <f>TEST_DATA!E11370</f>
        <v>1123</v>
      </c>
    </row>
    <row r="11371" spans="1:5" x14ac:dyDescent="0.55000000000000004">
      <c r="A11371" t="str">
        <f>TEST_DATA!A11371</f>
        <v>27AAAAA11371Z5</v>
      </c>
      <c r="B11371" t="str">
        <f>TEST_DATA!B11371</f>
        <v>Dec-2022</v>
      </c>
      <c r="C11371">
        <f>TEST_DATA!C11371</f>
        <v>44839</v>
      </c>
      <c r="D11371" t="str">
        <f>TEST_DATA!D11371</f>
        <v>NON-NIL</v>
      </c>
      <c r="E11371">
        <f>TEST_DATA!E11371</f>
        <v>2047</v>
      </c>
    </row>
    <row r="11372" spans="1:5" x14ac:dyDescent="0.55000000000000004">
      <c r="A11372" t="str">
        <f>TEST_DATA!A11372</f>
        <v>27AAAAA11372Z5</v>
      </c>
      <c r="B11372" t="str">
        <f>TEST_DATA!B11372</f>
        <v>Apr-2021</v>
      </c>
      <c r="C11372">
        <f>TEST_DATA!C11372</f>
        <v>45113</v>
      </c>
      <c r="D11372" t="str">
        <f>TEST_DATA!D11372</f>
        <v>NON-NIL</v>
      </c>
      <c r="E11372">
        <f>TEST_DATA!E11372</f>
        <v>1798</v>
      </c>
    </row>
    <row r="11373" spans="1:5" x14ac:dyDescent="0.55000000000000004">
      <c r="A11373" t="str">
        <f>TEST_DATA!A11373</f>
        <v>27AAAAA11373Z5</v>
      </c>
      <c r="B11373" t="str">
        <f>TEST_DATA!B11373</f>
        <v>Aug-2018</v>
      </c>
      <c r="C11373">
        <f>TEST_DATA!C11373</f>
        <v>43062</v>
      </c>
      <c r="D11373" t="str">
        <f>TEST_DATA!D11373</f>
        <v>NON-NIL</v>
      </c>
      <c r="E11373">
        <f>TEST_DATA!E11373</f>
        <v>529</v>
      </c>
    </row>
    <row r="11374" spans="1:5" x14ac:dyDescent="0.55000000000000004">
      <c r="A11374" t="str">
        <f>TEST_DATA!A11374</f>
        <v>27AAAAA11374Z5</v>
      </c>
      <c r="B11374" t="str">
        <f>TEST_DATA!B11374</f>
        <v>Mar-2018</v>
      </c>
      <c r="C11374">
        <f>TEST_DATA!C11374</f>
        <v>44073</v>
      </c>
      <c r="D11374" t="str">
        <f>TEST_DATA!D11374</f>
        <v>NON-NIL</v>
      </c>
      <c r="E11374">
        <f>TEST_DATA!E11374</f>
        <v>118</v>
      </c>
    </row>
    <row r="11375" spans="1:5" x14ac:dyDescent="0.55000000000000004">
      <c r="A11375" t="str">
        <f>TEST_DATA!A11375</f>
        <v>27AAAAA11375Z5</v>
      </c>
      <c r="B11375" t="str">
        <f>TEST_DATA!B11375</f>
        <v>Oct-2017</v>
      </c>
      <c r="C11375">
        <f>TEST_DATA!C11375</f>
        <v>43908</v>
      </c>
      <c r="D11375" t="str">
        <f>TEST_DATA!D11375</f>
        <v>NIL</v>
      </c>
      <c r="E11375">
        <f>TEST_DATA!E11375</f>
        <v>2327</v>
      </c>
    </row>
    <row r="11376" spans="1:5" x14ac:dyDescent="0.55000000000000004">
      <c r="A11376" t="str">
        <f>TEST_DATA!A11376</f>
        <v>27AAAAA11376Z5</v>
      </c>
      <c r="B11376" t="str">
        <f>TEST_DATA!B11376</f>
        <v>Nov-2017</v>
      </c>
      <c r="C11376">
        <f>TEST_DATA!C11376</f>
        <v>44535</v>
      </c>
      <c r="D11376" t="str">
        <f>TEST_DATA!D11376</f>
        <v>NIL</v>
      </c>
      <c r="E11376">
        <f>TEST_DATA!E11376</f>
        <v>1842</v>
      </c>
    </row>
    <row r="11377" spans="1:5" x14ac:dyDescent="0.55000000000000004">
      <c r="A11377" t="str">
        <f>TEST_DATA!A11377</f>
        <v>27AAAAA11377Z5</v>
      </c>
      <c r="B11377" t="str">
        <f>TEST_DATA!B11377</f>
        <v>Aug-2018</v>
      </c>
      <c r="C11377">
        <f>TEST_DATA!C11377</f>
        <v>43544</v>
      </c>
      <c r="D11377" t="str">
        <f>TEST_DATA!D11377</f>
        <v>NON-NIL</v>
      </c>
      <c r="E11377">
        <f>TEST_DATA!E11377</f>
        <v>307</v>
      </c>
    </row>
    <row r="11378" spans="1:5" x14ac:dyDescent="0.55000000000000004">
      <c r="A11378" t="str">
        <f>TEST_DATA!A11378</f>
        <v>27AAAAA11378Z5</v>
      </c>
      <c r="B11378" t="str">
        <f>TEST_DATA!B11378</f>
        <v>Dec-2024</v>
      </c>
      <c r="C11378">
        <f>TEST_DATA!C11378</f>
        <v>45445</v>
      </c>
      <c r="D11378" t="str">
        <f>TEST_DATA!D11378</f>
        <v>NON-NIL</v>
      </c>
      <c r="E11378">
        <f>TEST_DATA!E11378</f>
        <v>164</v>
      </c>
    </row>
    <row r="11379" spans="1:5" x14ac:dyDescent="0.55000000000000004">
      <c r="A11379" t="str">
        <f>TEST_DATA!A11379</f>
        <v>27AAAAA11379Z5</v>
      </c>
      <c r="B11379" t="str">
        <f>TEST_DATA!B11379</f>
        <v>Nov-2017</v>
      </c>
      <c r="C11379">
        <f>TEST_DATA!C11379</f>
        <v>43229</v>
      </c>
      <c r="D11379" t="str">
        <f>TEST_DATA!D11379</f>
        <v>NIL</v>
      </c>
      <c r="E11379">
        <f>TEST_DATA!E11379</f>
        <v>2273</v>
      </c>
    </row>
    <row r="11380" spans="1:5" x14ac:dyDescent="0.55000000000000004">
      <c r="A11380" t="str">
        <f>TEST_DATA!A11380</f>
        <v>27AAAAA11380Z5</v>
      </c>
      <c r="B11380" t="str">
        <f>TEST_DATA!B11380</f>
        <v>Jul-2017</v>
      </c>
      <c r="C11380">
        <f>TEST_DATA!C11380</f>
        <v>43432</v>
      </c>
      <c r="D11380" t="str">
        <f>TEST_DATA!D11380</f>
        <v>NON-NIL</v>
      </c>
      <c r="E11380">
        <f>TEST_DATA!E11380</f>
        <v>942</v>
      </c>
    </row>
    <row r="11381" spans="1:5" x14ac:dyDescent="0.55000000000000004">
      <c r="A11381" t="str">
        <f>TEST_DATA!A11381</f>
        <v>27AAAAA11381Z5</v>
      </c>
      <c r="B11381" t="str">
        <f>TEST_DATA!B11381</f>
        <v>Apr-2018</v>
      </c>
      <c r="C11381">
        <f>TEST_DATA!C11381</f>
        <v>43842</v>
      </c>
      <c r="D11381" t="str">
        <f>TEST_DATA!D11381</f>
        <v>NIL</v>
      </c>
      <c r="E11381">
        <f>TEST_DATA!E11381</f>
        <v>1803</v>
      </c>
    </row>
    <row r="11382" spans="1:5" x14ac:dyDescent="0.55000000000000004">
      <c r="A11382" t="str">
        <f>TEST_DATA!A11382</f>
        <v>27AAAAA11382Z5</v>
      </c>
      <c r="B11382" t="str">
        <f>TEST_DATA!B11382</f>
        <v>Sep-2018</v>
      </c>
      <c r="C11382">
        <f>TEST_DATA!C11382</f>
        <v>44262</v>
      </c>
      <c r="D11382" t="str">
        <f>TEST_DATA!D11382</f>
        <v>NIL</v>
      </c>
      <c r="E11382">
        <f>TEST_DATA!E11382</f>
        <v>1321</v>
      </c>
    </row>
    <row r="11383" spans="1:5" x14ac:dyDescent="0.55000000000000004">
      <c r="A11383" t="str">
        <f>TEST_DATA!A11383</f>
        <v>27AAAAA11383Z5</v>
      </c>
      <c r="B11383" t="str">
        <f>TEST_DATA!B11383</f>
        <v>Mar-2023</v>
      </c>
      <c r="C11383">
        <f>TEST_DATA!C11383</f>
        <v>44242</v>
      </c>
      <c r="D11383" t="str">
        <f>TEST_DATA!D11383</f>
        <v>NIL</v>
      </c>
      <c r="E11383">
        <f>TEST_DATA!E11383</f>
        <v>242</v>
      </c>
    </row>
    <row r="11384" spans="1:5" x14ac:dyDescent="0.55000000000000004">
      <c r="A11384" t="str">
        <f>TEST_DATA!A11384</f>
        <v>27AAAAA11384Z5</v>
      </c>
      <c r="B11384" t="str">
        <f>TEST_DATA!B11384</f>
        <v>Apr-2020</v>
      </c>
      <c r="C11384">
        <f>TEST_DATA!C11384</f>
        <v>44554</v>
      </c>
      <c r="D11384" t="str">
        <f>TEST_DATA!D11384</f>
        <v>NIL</v>
      </c>
      <c r="E11384">
        <f>TEST_DATA!E11384</f>
        <v>2179</v>
      </c>
    </row>
    <row r="11385" spans="1:5" x14ac:dyDescent="0.55000000000000004">
      <c r="A11385" t="str">
        <f>TEST_DATA!A11385</f>
        <v>27AAAAA11385Z5</v>
      </c>
      <c r="B11385" t="str">
        <f>TEST_DATA!B11385</f>
        <v>Mar-2018</v>
      </c>
      <c r="C11385">
        <f>TEST_DATA!C11385</f>
        <v>43990</v>
      </c>
      <c r="D11385" t="str">
        <f>TEST_DATA!D11385</f>
        <v>NON-NIL</v>
      </c>
      <c r="E11385">
        <f>TEST_DATA!E11385</f>
        <v>965</v>
      </c>
    </row>
    <row r="11386" spans="1:5" x14ac:dyDescent="0.55000000000000004">
      <c r="A11386" t="str">
        <f>TEST_DATA!A11386</f>
        <v>27AAAAA11386Z5</v>
      </c>
      <c r="B11386" t="str">
        <f>TEST_DATA!B11386</f>
        <v>Jun-2018</v>
      </c>
      <c r="C11386">
        <f>TEST_DATA!C11386</f>
        <v>44368</v>
      </c>
      <c r="D11386" t="str">
        <f>TEST_DATA!D11386</f>
        <v>NON-NIL</v>
      </c>
      <c r="E11386">
        <f>TEST_DATA!E11386</f>
        <v>715</v>
      </c>
    </row>
    <row r="11387" spans="1:5" x14ac:dyDescent="0.55000000000000004">
      <c r="A11387" t="str">
        <f>TEST_DATA!A11387</f>
        <v>27AAAAA11387Z5</v>
      </c>
      <c r="B11387" t="str">
        <f>TEST_DATA!B11387</f>
        <v>Sep-2018</v>
      </c>
      <c r="C11387">
        <f>TEST_DATA!C11387</f>
        <v>43268</v>
      </c>
      <c r="D11387" t="str">
        <f>TEST_DATA!D11387</f>
        <v>NIL</v>
      </c>
      <c r="E11387">
        <f>TEST_DATA!E11387</f>
        <v>880</v>
      </c>
    </row>
    <row r="11388" spans="1:5" x14ac:dyDescent="0.55000000000000004">
      <c r="A11388" t="str">
        <f>TEST_DATA!A11388</f>
        <v>27AAAAA11388Z5</v>
      </c>
      <c r="B11388" t="str">
        <f>TEST_DATA!B11388</f>
        <v>May-2020</v>
      </c>
      <c r="C11388">
        <f>TEST_DATA!C11388</f>
        <v>44526</v>
      </c>
      <c r="D11388" t="str">
        <f>TEST_DATA!D11388</f>
        <v>NON-NIL</v>
      </c>
      <c r="E11388">
        <f>TEST_DATA!E11388</f>
        <v>2803</v>
      </c>
    </row>
    <row r="11389" spans="1:5" x14ac:dyDescent="0.55000000000000004">
      <c r="A11389" t="str">
        <f>TEST_DATA!A11389</f>
        <v>27AAAAA11389Z5</v>
      </c>
      <c r="B11389" t="str">
        <f>TEST_DATA!B11389</f>
        <v>May-2020</v>
      </c>
      <c r="C11389">
        <f>TEST_DATA!C11389</f>
        <v>43863</v>
      </c>
      <c r="D11389" t="str">
        <f>TEST_DATA!D11389</f>
        <v>NIL</v>
      </c>
      <c r="E11389">
        <f>TEST_DATA!E11389</f>
        <v>2867</v>
      </c>
    </row>
    <row r="11390" spans="1:5" x14ac:dyDescent="0.55000000000000004">
      <c r="A11390" t="str">
        <f>TEST_DATA!A11390</f>
        <v>27AAAAA11390Z5</v>
      </c>
      <c r="B11390" t="str">
        <f>TEST_DATA!B11390</f>
        <v>Dec-2024</v>
      </c>
      <c r="C11390">
        <f>TEST_DATA!C11390</f>
        <v>44510</v>
      </c>
      <c r="D11390" t="str">
        <f>TEST_DATA!D11390</f>
        <v>NIL</v>
      </c>
      <c r="E11390">
        <f>TEST_DATA!E11390</f>
        <v>2508</v>
      </c>
    </row>
    <row r="11391" spans="1:5" x14ac:dyDescent="0.55000000000000004">
      <c r="A11391" t="str">
        <f>TEST_DATA!A11391</f>
        <v>27AAAAA11391Z5</v>
      </c>
      <c r="B11391" t="str">
        <f>TEST_DATA!B11391</f>
        <v>Feb-2018</v>
      </c>
      <c r="C11391">
        <f>TEST_DATA!C11391</f>
        <v>44095</v>
      </c>
      <c r="D11391" t="str">
        <f>TEST_DATA!D11391</f>
        <v>NON-NIL</v>
      </c>
      <c r="E11391">
        <f>TEST_DATA!E11391</f>
        <v>2727</v>
      </c>
    </row>
    <row r="11392" spans="1:5" x14ac:dyDescent="0.55000000000000004">
      <c r="A11392" t="str">
        <f>TEST_DATA!A11392</f>
        <v>27AAAAA11392Z5</v>
      </c>
      <c r="B11392" t="str">
        <f>TEST_DATA!B11392</f>
        <v>Aug-2018</v>
      </c>
      <c r="C11392">
        <f>TEST_DATA!C11392</f>
        <v>43317</v>
      </c>
      <c r="D11392" t="str">
        <f>TEST_DATA!D11392</f>
        <v>NON-NIL</v>
      </c>
      <c r="E11392">
        <f>TEST_DATA!E11392</f>
        <v>1573</v>
      </c>
    </row>
    <row r="11393" spans="1:5" x14ac:dyDescent="0.55000000000000004">
      <c r="A11393" t="str">
        <f>TEST_DATA!A11393</f>
        <v>27AAAAA11393Z5</v>
      </c>
      <c r="B11393" t="str">
        <f>TEST_DATA!B11393</f>
        <v>Apr-2018</v>
      </c>
      <c r="C11393">
        <f>TEST_DATA!C11393</f>
        <v>44010</v>
      </c>
      <c r="D11393" t="str">
        <f>TEST_DATA!D11393</f>
        <v>NON-NIL</v>
      </c>
      <c r="E11393">
        <f>TEST_DATA!E11393</f>
        <v>1091</v>
      </c>
    </row>
    <row r="11394" spans="1:5" x14ac:dyDescent="0.55000000000000004">
      <c r="A11394" t="str">
        <f>TEST_DATA!A11394</f>
        <v>27AAAAA11394Z5</v>
      </c>
      <c r="B11394" t="str">
        <f>TEST_DATA!B11394</f>
        <v>Nov-2017</v>
      </c>
      <c r="C11394">
        <f>TEST_DATA!C11394</f>
        <v>44304</v>
      </c>
      <c r="D11394" t="str">
        <f>TEST_DATA!D11394</f>
        <v>NON-NIL</v>
      </c>
      <c r="E11394">
        <f>TEST_DATA!E11394</f>
        <v>1017</v>
      </c>
    </row>
    <row r="11395" spans="1:5" x14ac:dyDescent="0.55000000000000004">
      <c r="A11395" t="str">
        <f>TEST_DATA!A11395</f>
        <v>27AAAAA11395Z5</v>
      </c>
      <c r="B11395" t="str">
        <f>TEST_DATA!B11395</f>
        <v>Mar-2020</v>
      </c>
      <c r="C11395">
        <f>TEST_DATA!C11395</f>
        <v>44307</v>
      </c>
      <c r="D11395" t="str">
        <f>TEST_DATA!D11395</f>
        <v>NON-NIL</v>
      </c>
      <c r="E11395">
        <f>TEST_DATA!E11395</f>
        <v>2960</v>
      </c>
    </row>
    <row r="11396" spans="1:5" x14ac:dyDescent="0.55000000000000004">
      <c r="A11396" t="str">
        <f>TEST_DATA!A11396</f>
        <v>27AAAAA11396Z5</v>
      </c>
      <c r="B11396" t="str">
        <f>TEST_DATA!B11396</f>
        <v>Mar-2021</v>
      </c>
      <c r="C11396">
        <f>TEST_DATA!C11396</f>
        <v>45075</v>
      </c>
      <c r="D11396" t="str">
        <f>TEST_DATA!D11396</f>
        <v>NON-NIL</v>
      </c>
      <c r="E11396">
        <f>TEST_DATA!E11396</f>
        <v>536</v>
      </c>
    </row>
    <row r="11397" spans="1:5" x14ac:dyDescent="0.55000000000000004">
      <c r="A11397" t="str">
        <f>TEST_DATA!A11397</f>
        <v>27AAAAA11397Z5</v>
      </c>
      <c r="B11397" t="str">
        <f>TEST_DATA!B11397</f>
        <v>Jul-2020</v>
      </c>
      <c r="C11397">
        <f>TEST_DATA!C11397</f>
        <v>44322</v>
      </c>
      <c r="D11397" t="str">
        <f>TEST_DATA!D11397</f>
        <v>NIL</v>
      </c>
      <c r="E11397">
        <f>TEST_DATA!E11397</f>
        <v>2265</v>
      </c>
    </row>
    <row r="11398" spans="1:5" x14ac:dyDescent="0.55000000000000004">
      <c r="A11398" t="str">
        <f>TEST_DATA!A11398</f>
        <v>27AAAAA11398Z5</v>
      </c>
      <c r="B11398" t="str">
        <f>TEST_DATA!B11398</f>
        <v>Jan-2021</v>
      </c>
      <c r="C11398">
        <f>TEST_DATA!C11398</f>
        <v>45730</v>
      </c>
      <c r="D11398" t="str">
        <f>TEST_DATA!D11398</f>
        <v>NON-NIL</v>
      </c>
      <c r="E11398">
        <f>TEST_DATA!E11398</f>
        <v>2709</v>
      </c>
    </row>
    <row r="11399" spans="1:5" x14ac:dyDescent="0.55000000000000004">
      <c r="A11399" t="str">
        <f>TEST_DATA!A11399</f>
        <v>27AAAAA11399Z5</v>
      </c>
      <c r="B11399" t="str">
        <f>TEST_DATA!B11399</f>
        <v>Sep-2018</v>
      </c>
      <c r="C11399">
        <f>TEST_DATA!C11399</f>
        <v>43746</v>
      </c>
      <c r="D11399" t="str">
        <f>TEST_DATA!D11399</f>
        <v>NIL</v>
      </c>
      <c r="E11399">
        <f>TEST_DATA!E11399</f>
        <v>637</v>
      </c>
    </row>
    <row r="11400" spans="1:5" x14ac:dyDescent="0.55000000000000004">
      <c r="A11400" t="str">
        <f>TEST_DATA!A11400</f>
        <v>27AAAAA11400Z5</v>
      </c>
      <c r="B11400" t="str">
        <f>TEST_DATA!B11400</f>
        <v>Jan-2019</v>
      </c>
      <c r="C11400">
        <f>TEST_DATA!C11400</f>
        <v>44485</v>
      </c>
      <c r="D11400" t="str">
        <f>TEST_DATA!D11400</f>
        <v>NON-NIL</v>
      </c>
      <c r="E11400">
        <f>TEST_DATA!E11400</f>
        <v>924</v>
      </c>
    </row>
    <row r="11401" spans="1:5" x14ac:dyDescent="0.55000000000000004">
      <c r="A11401" t="str">
        <f>TEST_DATA!A11401</f>
        <v>27AAAAA11401Z5</v>
      </c>
      <c r="B11401" t="str">
        <f>TEST_DATA!B11401</f>
        <v>Dec-2022</v>
      </c>
      <c r="C11401">
        <f>TEST_DATA!C11401</f>
        <v>44427</v>
      </c>
      <c r="D11401" t="str">
        <f>TEST_DATA!D11401</f>
        <v>NON-NIL</v>
      </c>
      <c r="E11401">
        <f>TEST_DATA!E11401</f>
        <v>12</v>
      </c>
    </row>
    <row r="11402" spans="1:5" x14ac:dyDescent="0.55000000000000004">
      <c r="A11402" t="str">
        <f>TEST_DATA!A11402</f>
        <v>27AAAAA11402Z5</v>
      </c>
      <c r="B11402" t="str">
        <f>TEST_DATA!B11402</f>
        <v>Jul-2018</v>
      </c>
      <c r="C11402">
        <f>TEST_DATA!C11402</f>
        <v>44208</v>
      </c>
      <c r="D11402" t="str">
        <f>TEST_DATA!D11402</f>
        <v>NIL</v>
      </c>
      <c r="E11402">
        <f>TEST_DATA!E11402</f>
        <v>231</v>
      </c>
    </row>
    <row r="11403" spans="1:5" x14ac:dyDescent="0.55000000000000004">
      <c r="A11403" t="str">
        <f>TEST_DATA!A11403</f>
        <v>27AAAAA11403Z5</v>
      </c>
      <c r="B11403" t="str">
        <f>TEST_DATA!B11403</f>
        <v>Mar-2023</v>
      </c>
      <c r="C11403">
        <f>TEST_DATA!C11403</f>
        <v>43893</v>
      </c>
      <c r="D11403" t="str">
        <f>TEST_DATA!D11403</f>
        <v>NON-NIL</v>
      </c>
      <c r="E11403">
        <f>TEST_DATA!E11403</f>
        <v>1737</v>
      </c>
    </row>
    <row r="11404" spans="1:5" x14ac:dyDescent="0.55000000000000004">
      <c r="A11404" t="str">
        <f>TEST_DATA!A11404</f>
        <v>27AAAAA11404Z5</v>
      </c>
      <c r="B11404" t="str">
        <f>TEST_DATA!B11404</f>
        <v>Jan-2018</v>
      </c>
      <c r="C11404">
        <f>TEST_DATA!C11404</f>
        <v>43420</v>
      </c>
      <c r="D11404" t="str">
        <f>TEST_DATA!D11404</f>
        <v>NON-NIL</v>
      </c>
      <c r="E11404">
        <f>TEST_DATA!E11404</f>
        <v>242</v>
      </c>
    </row>
    <row r="11405" spans="1:5" x14ac:dyDescent="0.55000000000000004">
      <c r="A11405" t="str">
        <f>TEST_DATA!A11405</f>
        <v>27AAAAA11405Z5</v>
      </c>
      <c r="B11405" t="str">
        <f>TEST_DATA!B11405</f>
        <v>Oct-2017</v>
      </c>
      <c r="C11405">
        <f>TEST_DATA!C11405</f>
        <v>43453</v>
      </c>
      <c r="D11405" t="str">
        <f>TEST_DATA!D11405</f>
        <v>NIL</v>
      </c>
      <c r="E11405">
        <f>TEST_DATA!E11405</f>
        <v>376</v>
      </c>
    </row>
    <row r="11406" spans="1:5" x14ac:dyDescent="0.55000000000000004">
      <c r="A11406" t="str">
        <f>TEST_DATA!A11406</f>
        <v>27AAAAA11406Z5</v>
      </c>
      <c r="B11406" t="str">
        <f>TEST_DATA!B11406</f>
        <v>Jun-2018</v>
      </c>
      <c r="C11406">
        <f>TEST_DATA!C11406</f>
        <v>43732</v>
      </c>
      <c r="D11406" t="str">
        <f>TEST_DATA!D11406</f>
        <v>NIL</v>
      </c>
      <c r="E11406">
        <f>TEST_DATA!E11406</f>
        <v>1046</v>
      </c>
    </row>
    <row r="11407" spans="1:5" x14ac:dyDescent="0.55000000000000004">
      <c r="A11407" t="str">
        <f>TEST_DATA!A11407</f>
        <v>27AAAAA11407Z5</v>
      </c>
      <c r="B11407" t="str">
        <f>TEST_DATA!B11407</f>
        <v>Dec-2024</v>
      </c>
      <c r="C11407">
        <f>TEST_DATA!C11407</f>
        <v>44872</v>
      </c>
      <c r="D11407" t="str">
        <f>TEST_DATA!D11407</f>
        <v>NIL</v>
      </c>
      <c r="E11407">
        <f>TEST_DATA!E11407</f>
        <v>1702</v>
      </c>
    </row>
    <row r="11408" spans="1:5" x14ac:dyDescent="0.55000000000000004">
      <c r="A11408" t="str">
        <f>TEST_DATA!A11408</f>
        <v>27AAAAA11408Z5</v>
      </c>
      <c r="B11408" t="str">
        <f>TEST_DATA!B11408</f>
        <v>Jan-2018</v>
      </c>
      <c r="C11408">
        <f>TEST_DATA!C11408</f>
        <v>43738</v>
      </c>
      <c r="D11408" t="str">
        <f>TEST_DATA!D11408</f>
        <v>NIL</v>
      </c>
      <c r="E11408">
        <f>TEST_DATA!E11408</f>
        <v>2163</v>
      </c>
    </row>
    <row r="11409" spans="1:5" x14ac:dyDescent="0.55000000000000004">
      <c r="A11409" t="str">
        <f>TEST_DATA!A11409</f>
        <v>27AAAAA11409Z5</v>
      </c>
      <c r="B11409" t="str">
        <f>TEST_DATA!B11409</f>
        <v>Dec-2019</v>
      </c>
      <c r="C11409">
        <f>TEST_DATA!C11409</f>
        <v>45184</v>
      </c>
      <c r="D11409" t="str">
        <f>TEST_DATA!D11409</f>
        <v>NIL</v>
      </c>
      <c r="E11409">
        <f>TEST_DATA!E11409</f>
        <v>889</v>
      </c>
    </row>
    <row r="11410" spans="1:5" x14ac:dyDescent="0.55000000000000004">
      <c r="A11410" t="str">
        <f>TEST_DATA!A11410</f>
        <v>27AAAAA11410Z5</v>
      </c>
      <c r="B11410" t="str">
        <f>TEST_DATA!B11410</f>
        <v>Jan-2018</v>
      </c>
      <c r="C11410">
        <f>TEST_DATA!C11410</f>
        <v>43663</v>
      </c>
      <c r="D11410" t="str">
        <f>TEST_DATA!D11410</f>
        <v>NON-NIL</v>
      </c>
      <c r="E11410">
        <f>TEST_DATA!E11410</f>
        <v>131</v>
      </c>
    </row>
    <row r="11411" spans="1:5" x14ac:dyDescent="0.55000000000000004">
      <c r="A11411" t="str">
        <f>TEST_DATA!A11411</f>
        <v>27AAAAA11411Z5</v>
      </c>
      <c r="B11411" t="str">
        <f>TEST_DATA!B11411</f>
        <v>Apr-2018</v>
      </c>
      <c r="C11411">
        <f>TEST_DATA!C11411</f>
        <v>43482</v>
      </c>
      <c r="D11411" t="str">
        <f>TEST_DATA!D11411</f>
        <v>NON-NIL</v>
      </c>
      <c r="E11411">
        <f>TEST_DATA!E11411</f>
        <v>1490</v>
      </c>
    </row>
    <row r="11412" spans="1:5" x14ac:dyDescent="0.55000000000000004">
      <c r="A11412" t="str">
        <f>TEST_DATA!A11412</f>
        <v>27AAAAA11412Z5</v>
      </c>
      <c r="B11412" t="str">
        <f>TEST_DATA!B11412</f>
        <v>Jun-2018</v>
      </c>
      <c r="C11412">
        <f>TEST_DATA!C11412</f>
        <v>44553</v>
      </c>
      <c r="D11412" t="str">
        <f>TEST_DATA!D11412</f>
        <v>NIL</v>
      </c>
      <c r="E11412">
        <f>TEST_DATA!E11412</f>
        <v>2672</v>
      </c>
    </row>
    <row r="11413" spans="1:5" x14ac:dyDescent="0.55000000000000004">
      <c r="A11413" t="str">
        <f>TEST_DATA!A11413</f>
        <v>27AAAAA11413Z5</v>
      </c>
      <c r="B11413" t="str">
        <f>TEST_DATA!B11413</f>
        <v>Apr-2018</v>
      </c>
      <c r="C11413">
        <f>TEST_DATA!C11413</f>
        <v>43333</v>
      </c>
      <c r="D11413" t="str">
        <f>TEST_DATA!D11413</f>
        <v>NON-NIL</v>
      </c>
      <c r="E11413">
        <f>TEST_DATA!E11413</f>
        <v>1189</v>
      </c>
    </row>
    <row r="11414" spans="1:5" x14ac:dyDescent="0.55000000000000004">
      <c r="A11414" t="str">
        <f>TEST_DATA!A11414</f>
        <v>27AAAAA11414Z5</v>
      </c>
      <c r="B11414" t="str">
        <f>TEST_DATA!B11414</f>
        <v>Nov-2017</v>
      </c>
      <c r="C11414">
        <f>TEST_DATA!C11414</f>
        <v>43089</v>
      </c>
      <c r="D11414" t="str">
        <f>TEST_DATA!D11414</f>
        <v>NIL</v>
      </c>
      <c r="E11414">
        <f>TEST_DATA!E11414</f>
        <v>431</v>
      </c>
    </row>
    <row r="11415" spans="1:5" x14ac:dyDescent="0.55000000000000004">
      <c r="A11415" t="str">
        <f>TEST_DATA!A11415</f>
        <v>27AAAAA11415Z5</v>
      </c>
      <c r="B11415" t="str">
        <f>TEST_DATA!B11415</f>
        <v>Sep-2018</v>
      </c>
      <c r="C11415">
        <f>TEST_DATA!C11415</f>
        <v>43612</v>
      </c>
      <c r="D11415" t="str">
        <f>TEST_DATA!D11415</f>
        <v>NON-NIL</v>
      </c>
      <c r="E11415">
        <f>TEST_DATA!E11415</f>
        <v>2358</v>
      </c>
    </row>
    <row r="11416" spans="1:5" x14ac:dyDescent="0.55000000000000004">
      <c r="A11416" t="str">
        <f>TEST_DATA!A11416</f>
        <v>27AAAAA11416Z5</v>
      </c>
      <c r="B11416" t="str">
        <f>TEST_DATA!B11416</f>
        <v>Mar-2018</v>
      </c>
      <c r="C11416">
        <f>TEST_DATA!C11416</f>
        <v>43517</v>
      </c>
      <c r="D11416" t="str">
        <f>TEST_DATA!D11416</f>
        <v>NON-NIL</v>
      </c>
      <c r="E11416">
        <f>TEST_DATA!E11416</f>
        <v>1958</v>
      </c>
    </row>
    <row r="11417" spans="1:5" x14ac:dyDescent="0.55000000000000004">
      <c r="A11417" t="str">
        <f>TEST_DATA!A11417</f>
        <v>27AAAAA11417Z5</v>
      </c>
      <c r="B11417" t="str">
        <f>TEST_DATA!B11417</f>
        <v>May-2020</v>
      </c>
      <c r="C11417">
        <f>TEST_DATA!C11417</f>
        <v>44422</v>
      </c>
      <c r="D11417" t="str">
        <f>TEST_DATA!D11417</f>
        <v>NIL</v>
      </c>
      <c r="E11417">
        <f>TEST_DATA!E11417</f>
        <v>331</v>
      </c>
    </row>
    <row r="11418" spans="1:5" x14ac:dyDescent="0.55000000000000004">
      <c r="A11418" t="str">
        <f>TEST_DATA!A11418</f>
        <v>27AAAAA11418Z5</v>
      </c>
      <c r="B11418" t="str">
        <f>TEST_DATA!B11418</f>
        <v>May-2020</v>
      </c>
      <c r="C11418">
        <f>TEST_DATA!C11418</f>
        <v>44919</v>
      </c>
      <c r="D11418" t="str">
        <f>TEST_DATA!D11418</f>
        <v>NON-NIL</v>
      </c>
      <c r="E11418">
        <f>TEST_DATA!E11418</f>
        <v>735</v>
      </c>
    </row>
    <row r="11419" spans="1:5" x14ac:dyDescent="0.55000000000000004">
      <c r="A11419" t="str">
        <f>TEST_DATA!A11419</f>
        <v>27AAAAA11419Z5</v>
      </c>
      <c r="B11419" t="str">
        <f>TEST_DATA!B11419</f>
        <v>Mar-2023</v>
      </c>
      <c r="C11419">
        <f>TEST_DATA!C11419</f>
        <v>44695</v>
      </c>
      <c r="D11419" t="str">
        <f>TEST_DATA!D11419</f>
        <v>NON-NIL</v>
      </c>
      <c r="E11419">
        <f>TEST_DATA!E11419</f>
        <v>973</v>
      </c>
    </row>
    <row r="11420" spans="1:5" x14ac:dyDescent="0.55000000000000004">
      <c r="A11420" t="str">
        <f>TEST_DATA!A11420</f>
        <v>27AAAAA11420Z5</v>
      </c>
      <c r="B11420" t="str">
        <f>TEST_DATA!B11420</f>
        <v>Jun-2019</v>
      </c>
      <c r="C11420">
        <f>TEST_DATA!C11420</f>
        <v>43915</v>
      </c>
      <c r="D11420" t="str">
        <f>TEST_DATA!D11420</f>
        <v>NON-NIL</v>
      </c>
      <c r="E11420">
        <f>TEST_DATA!E11420</f>
        <v>305</v>
      </c>
    </row>
    <row r="11421" spans="1:5" x14ac:dyDescent="0.55000000000000004">
      <c r="A11421" t="str">
        <f>TEST_DATA!A11421</f>
        <v>27AAAAA11421Z5</v>
      </c>
      <c r="B11421" t="str">
        <f>TEST_DATA!B11421</f>
        <v>Dec-2017</v>
      </c>
      <c r="C11421">
        <f>TEST_DATA!C11421</f>
        <v>44195</v>
      </c>
      <c r="D11421" t="str">
        <f>TEST_DATA!D11421</f>
        <v>NIL</v>
      </c>
      <c r="E11421">
        <f>TEST_DATA!E11421</f>
        <v>503</v>
      </c>
    </row>
    <row r="11422" spans="1:5" x14ac:dyDescent="0.55000000000000004">
      <c r="A11422" t="str">
        <f>TEST_DATA!A11422</f>
        <v>27AAAAA11422Z5</v>
      </c>
      <c r="B11422" t="str">
        <f>TEST_DATA!B11422</f>
        <v>Aug-2018</v>
      </c>
      <c r="C11422">
        <f>TEST_DATA!C11422</f>
        <v>43476</v>
      </c>
      <c r="D11422" t="str">
        <f>TEST_DATA!D11422</f>
        <v>NON-NIL</v>
      </c>
      <c r="E11422">
        <f>TEST_DATA!E11422</f>
        <v>2628</v>
      </c>
    </row>
    <row r="11423" spans="1:5" x14ac:dyDescent="0.55000000000000004">
      <c r="A11423" t="str">
        <f>TEST_DATA!A11423</f>
        <v>27AAAAA11423Z5</v>
      </c>
      <c r="B11423" t="str">
        <f>TEST_DATA!B11423</f>
        <v>Apr-2020</v>
      </c>
      <c r="C11423">
        <f>TEST_DATA!C11423</f>
        <v>44186</v>
      </c>
      <c r="D11423" t="str">
        <f>TEST_DATA!D11423</f>
        <v>NON-NIL</v>
      </c>
      <c r="E11423">
        <f>TEST_DATA!E11423</f>
        <v>2705</v>
      </c>
    </row>
    <row r="11424" spans="1:5" x14ac:dyDescent="0.55000000000000004">
      <c r="A11424" t="str">
        <f>TEST_DATA!A11424</f>
        <v>27AAAAA11424Z5</v>
      </c>
      <c r="B11424" t="str">
        <f>TEST_DATA!B11424</f>
        <v>Jul-2018</v>
      </c>
      <c r="C11424">
        <f>TEST_DATA!C11424</f>
        <v>43507</v>
      </c>
      <c r="D11424" t="str">
        <f>TEST_DATA!D11424</f>
        <v>NIL</v>
      </c>
      <c r="E11424">
        <f>TEST_DATA!E11424</f>
        <v>2402</v>
      </c>
    </row>
    <row r="11425" spans="1:5" x14ac:dyDescent="0.55000000000000004">
      <c r="A11425" t="str">
        <f>TEST_DATA!A11425</f>
        <v>27AAAAA11425Z5</v>
      </c>
      <c r="B11425" t="str">
        <f>TEST_DATA!B11425</f>
        <v>Apr-2020</v>
      </c>
      <c r="C11425">
        <f>TEST_DATA!C11425</f>
        <v>44857</v>
      </c>
      <c r="D11425" t="str">
        <f>TEST_DATA!D11425</f>
        <v>NON-NIL</v>
      </c>
      <c r="E11425">
        <f>TEST_DATA!E11425</f>
        <v>710</v>
      </c>
    </row>
    <row r="11426" spans="1:5" x14ac:dyDescent="0.55000000000000004">
      <c r="A11426" t="str">
        <f>TEST_DATA!A11426</f>
        <v>27AAAAA11426Z5</v>
      </c>
      <c r="B11426" t="str">
        <f>TEST_DATA!B11426</f>
        <v>Mar-2018</v>
      </c>
      <c r="C11426">
        <f>TEST_DATA!C11426</f>
        <v>43820</v>
      </c>
      <c r="D11426" t="str">
        <f>TEST_DATA!D11426</f>
        <v>NIL</v>
      </c>
      <c r="E11426">
        <f>TEST_DATA!E11426</f>
        <v>1323</v>
      </c>
    </row>
    <row r="11427" spans="1:5" x14ac:dyDescent="0.55000000000000004">
      <c r="A11427" t="str">
        <f>TEST_DATA!A11427</f>
        <v>27AAAAA11427Z5</v>
      </c>
      <c r="B11427" t="str">
        <f>TEST_DATA!B11427</f>
        <v>Jan-2018</v>
      </c>
      <c r="C11427">
        <f>TEST_DATA!C11427</f>
        <v>44251</v>
      </c>
      <c r="D11427" t="str">
        <f>TEST_DATA!D11427</f>
        <v>NON-NIL</v>
      </c>
      <c r="E11427">
        <f>TEST_DATA!E11427</f>
        <v>1534</v>
      </c>
    </row>
    <row r="11428" spans="1:5" x14ac:dyDescent="0.55000000000000004">
      <c r="A11428" t="str">
        <f>TEST_DATA!A11428</f>
        <v>27AAAAA11428Z5</v>
      </c>
      <c r="B11428" t="str">
        <f>TEST_DATA!B11428</f>
        <v>Mar-2021</v>
      </c>
      <c r="C11428">
        <f>TEST_DATA!C11428</f>
        <v>45800</v>
      </c>
      <c r="D11428" t="str">
        <f>TEST_DATA!D11428</f>
        <v>NIL</v>
      </c>
      <c r="E11428">
        <f>TEST_DATA!E11428</f>
        <v>1475</v>
      </c>
    </row>
    <row r="11429" spans="1:5" x14ac:dyDescent="0.55000000000000004">
      <c r="A11429" t="str">
        <f>TEST_DATA!A11429</f>
        <v>27AAAAA11429Z5</v>
      </c>
      <c r="B11429" t="str">
        <f>TEST_DATA!B11429</f>
        <v>Feb-2018</v>
      </c>
      <c r="C11429">
        <f>TEST_DATA!C11429</f>
        <v>42921</v>
      </c>
      <c r="D11429" t="str">
        <f>TEST_DATA!D11429</f>
        <v>NIL</v>
      </c>
      <c r="E11429">
        <f>TEST_DATA!E11429</f>
        <v>1903</v>
      </c>
    </row>
    <row r="11430" spans="1:5" x14ac:dyDescent="0.55000000000000004">
      <c r="A11430" t="str">
        <f>TEST_DATA!A11430</f>
        <v>27AAAAA11430Z5</v>
      </c>
      <c r="B11430" t="str">
        <f>TEST_DATA!B11430</f>
        <v>May-2018</v>
      </c>
      <c r="C11430">
        <f>TEST_DATA!C11430</f>
        <v>43161</v>
      </c>
      <c r="D11430" t="str">
        <f>TEST_DATA!D11430</f>
        <v>NON-NIL</v>
      </c>
      <c r="E11430">
        <f>TEST_DATA!E11430</f>
        <v>1509</v>
      </c>
    </row>
    <row r="11431" spans="1:5" x14ac:dyDescent="0.55000000000000004">
      <c r="A11431" t="str">
        <f>TEST_DATA!A11431</f>
        <v>27AAAAA11431Z5</v>
      </c>
      <c r="B11431" t="str">
        <f>TEST_DATA!B11431</f>
        <v>May-2020</v>
      </c>
      <c r="C11431">
        <f>TEST_DATA!C11431</f>
        <v>43985</v>
      </c>
      <c r="D11431" t="str">
        <f>TEST_DATA!D11431</f>
        <v>NIL</v>
      </c>
      <c r="E11431">
        <f>TEST_DATA!E11431</f>
        <v>1138</v>
      </c>
    </row>
    <row r="11432" spans="1:5" x14ac:dyDescent="0.55000000000000004">
      <c r="A11432" t="str">
        <f>TEST_DATA!A11432</f>
        <v>27AAAAA11432Z5</v>
      </c>
      <c r="B11432" t="str">
        <f>TEST_DATA!B11432</f>
        <v>Jan-2019</v>
      </c>
      <c r="C11432">
        <f>TEST_DATA!C11432</f>
        <v>45795</v>
      </c>
      <c r="D11432" t="str">
        <f>TEST_DATA!D11432</f>
        <v>NIL</v>
      </c>
      <c r="E11432">
        <f>TEST_DATA!E11432</f>
        <v>2815</v>
      </c>
    </row>
    <row r="11433" spans="1:5" x14ac:dyDescent="0.55000000000000004">
      <c r="A11433" t="str">
        <f>TEST_DATA!A11433</f>
        <v>27AAAAA11433Z5</v>
      </c>
      <c r="B11433" t="str">
        <f>TEST_DATA!B11433</f>
        <v>Dec-2024</v>
      </c>
      <c r="C11433">
        <f>TEST_DATA!C11433</f>
        <v>44426</v>
      </c>
      <c r="D11433" t="str">
        <f>TEST_DATA!D11433</f>
        <v>NIL</v>
      </c>
      <c r="E11433">
        <f>TEST_DATA!E11433</f>
        <v>1391</v>
      </c>
    </row>
    <row r="11434" spans="1:5" x14ac:dyDescent="0.55000000000000004">
      <c r="A11434" t="str">
        <f>TEST_DATA!A11434</f>
        <v>27AAAAA11434Z5</v>
      </c>
      <c r="B11434" t="str">
        <f>TEST_DATA!B11434</f>
        <v>Sep-2018</v>
      </c>
      <c r="C11434">
        <f>TEST_DATA!C11434</f>
        <v>44059</v>
      </c>
      <c r="D11434" t="str">
        <f>TEST_DATA!D11434</f>
        <v>NIL</v>
      </c>
      <c r="E11434">
        <f>TEST_DATA!E11434</f>
        <v>1065</v>
      </c>
    </row>
    <row r="11435" spans="1:5" x14ac:dyDescent="0.55000000000000004">
      <c r="A11435" t="str">
        <f>TEST_DATA!A11435</f>
        <v>27AAAAA11435Z5</v>
      </c>
      <c r="B11435" t="str">
        <f>TEST_DATA!B11435</f>
        <v>May-2018</v>
      </c>
      <c r="C11435">
        <f>TEST_DATA!C11435</f>
        <v>44432</v>
      </c>
      <c r="D11435" t="str">
        <f>TEST_DATA!D11435</f>
        <v>NIL</v>
      </c>
      <c r="E11435">
        <f>TEST_DATA!E11435</f>
        <v>312</v>
      </c>
    </row>
    <row r="11436" spans="1:5" x14ac:dyDescent="0.55000000000000004">
      <c r="A11436" t="str">
        <f>TEST_DATA!A11436</f>
        <v>27AAAAA11436Z5</v>
      </c>
      <c r="B11436" t="str">
        <f>TEST_DATA!B11436</f>
        <v>Jul-2017</v>
      </c>
      <c r="C11436">
        <f>TEST_DATA!C11436</f>
        <v>44400</v>
      </c>
      <c r="D11436" t="str">
        <f>TEST_DATA!D11436</f>
        <v>NIL</v>
      </c>
      <c r="E11436">
        <f>TEST_DATA!E11436</f>
        <v>574</v>
      </c>
    </row>
    <row r="11437" spans="1:5" x14ac:dyDescent="0.55000000000000004">
      <c r="A11437" t="str">
        <f>TEST_DATA!A11437</f>
        <v>27AAAAA11437Z5</v>
      </c>
      <c r="B11437" t="str">
        <f>TEST_DATA!B11437</f>
        <v>Mar-2018</v>
      </c>
      <c r="C11437">
        <f>TEST_DATA!C11437</f>
        <v>43745</v>
      </c>
      <c r="D11437" t="str">
        <f>TEST_DATA!D11437</f>
        <v>NON-NIL</v>
      </c>
      <c r="E11437">
        <f>TEST_DATA!E11437</f>
        <v>977</v>
      </c>
    </row>
    <row r="11438" spans="1:5" x14ac:dyDescent="0.55000000000000004">
      <c r="A11438" t="str">
        <f>TEST_DATA!A11438</f>
        <v>27AAAAA11438Z5</v>
      </c>
      <c r="B11438" t="str">
        <f>TEST_DATA!B11438</f>
        <v>Jan-2021</v>
      </c>
      <c r="C11438">
        <f>TEST_DATA!C11438</f>
        <v>45425</v>
      </c>
      <c r="D11438" t="str">
        <f>TEST_DATA!D11438</f>
        <v>NON-NIL</v>
      </c>
      <c r="E11438">
        <f>TEST_DATA!E11438</f>
        <v>688</v>
      </c>
    </row>
    <row r="11439" spans="1:5" x14ac:dyDescent="0.55000000000000004">
      <c r="A11439" t="str">
        <f>TEST_DATA!A11439</f>
        <v>27AAAAA11439Z5</v>
      </c>
      <c r="B11439" t="str">
        <f>TEST_DATA!B11439</f>
        <v>Apr-2018</v>
      </c>
      <c r="C11439">
        <f>TEST_DATA!C11439</f>
        <v>43338</v>
      </c>
      <c r="D11439" t="str">
        <f>TEST_DATA!D11439</f>
        <v>NIL</v>
      </c>
      <c r="E11439">
        <f>TEST_DATA!E11439</f>
        <v>2603</v>
      </c>
    </row>
    <row r="11440" spans="1:5" x14ac:dyDescent="0.55000000000000004">
      <c r="A11440" t="str">
        <f>TEST_DATA!A11440</f>
        <v>27AAAAA11440Z5</v>
      </c>
      <c r="B11440" t="str">
        <f>TEST_DATA!B11440</f>
        <v>Sep-2017</v>
      </c>
      <c r="C11440">
        <f>TEST_DATA!C11440</f>
        <v>43467</v>
      </c>
      <c r="D11440" t="str">
        <f>TEST_DATA!D11440</f>
        <v>NON-NIL</v>
      </c>
      <c r="E11440">
        <f>TEST_DATA!E11440</f>
        <v>54</v>
      </c>
    </row>
    <row r="11441" spans="1:5" x14ac:dyDescent="0.55000000000000004">
      <c r="A11441" t="str">
        <f>TEST_DATA!A11441</f>
        <v>27AAAAA11441Z5</v>
      </c>
      <c r="B11441" t="str">
        <f>TEST_DATA!B11441</f>
        <v>Aug-2018</v>
      </c>
      <c r="C11441">
        <f>TEST_DATA!C11441</f>
        <v>43778</v>
      </c>
      <c r="D11441" t="str">
        <f>TEST_DATA!D11441</f>
        <v>NON-NIL</v>
      </c>
      <c r="E11441">
        <f>TEST_DATA!E11441</f>
        <v>467</v>
      </c>
    </row>
    <row r="11442" spans="1:5" x14ac:dyDescent="0.55000000000000004">
      <c r="A11442" t="str">
        <f>TEST_DATA!A11442</f>
        <v>27AAAAA11442Z5</v>
      </c>
      <c r="B11442" t="str">
        <f>TEST_DATA!B11442</f>
        <v>Jan-2021</v>
      </c>
      <c r="C11442">
        <f>TEST_DATA!C11442</f>
        <v>43574</v>
      </c>
      <c r="D11442" t="str">
        <f>TEST_DATA!D11442</f>
        <v>NON-NIL</v>
      </c>
      <c r="E11442">
        <f>TEST_DATA!E11442</f>
        <v>2436</v>
      </c>
    </row>
    <row r="11443" spans="1:5" x14ac:dyDescent="0.55000000000000004">
      <c r="A11443" t="str">
        <f>TEST_DATA!A11443</f>
        <v>27AAAAA11443Z5</v>
      </c>
      <c r="B11443" t="str">
        <f>TEST_DATA!B11443</f>
        <v>May-2020</v>
      </c>
      <c r="C11443">
        <f>TEST_DATA!C11443</f>
        <v>44677</v>
      </c>
      <c r="D11443" t="str">
        <f>TEST_DATA!D11443</f>
        <v>NIL</v>
      </c>
      <c r="E11443">
        <f>TEST_DATA!E11443</f>
        <v>1826</v>
      </c>
    </row>
    <row r="11444" spans="1:5" x14ac:dyDescent="0.55000000000000004">
      <c r="A11444" t="str">
        <f>TEST_DATA!A11444</f>
        <v>27AAAAA11444Z5</v>
      </c>
      <c r="B11444" t="str">
        <f>TEST_DATA!B11444</f>
        <v>Apr-2018</v>
      </c>
      <c r="C11444">
        <f>TEST_DATA!C11444</f>
        <v>44160</v>
      </c>
      <c r="D11444" t="str">
        <f>TEST_DATA!D11444</f>
        <v>NIL</v>
      </c>
      <c r="E11444">
        <f>TEST_DATA!E11444</f>
        <v>602</v>
      </c>
    </row>
    <row r="11445" spans="1:5" x14ac:dyDescent="0.55000000000000004">
      <c r="A11445" t="str">
        <f>TEST_DATA!A11445</f>
        <v>27AAAAA11445Z5</v>
      </c>
      <c r="B11445" t="str">
        <f>TEST_DATA!B11445</f>
        <v>Apr-2021</v>
      </c>
      <c r="C11445">
        <f>TEST_DATA!C11445</f>
        <v>43727</v>
      </c>
      <c r="D11445" t="str">
        <f>TEST_DATA!D11445</f>
        <v>NON-NIL</v>
      </c>
      <c r="E11445">
        <f>TEST_DATA!E11445</f>
        <v>2448</v>
      </c>
    </row>
    <row r="11446" spans="1:5" x14ac:dyDescent="0.55000000000000004">
      <c r="A11446" t="str">
        <f>TEST_DATA!A11446</f>
        <v>27AAAAA11446Z5</v>
      </c>
      <c r="B11446" t="str">
        <f>TEST_DATA!B11446</f>
        <v>Jul-2020</v>
      </c>
      <c r="C11446">
        <f>TEST_DATA!C11446</f>
        <v>43906</v>
      </c>
      <c r="D11446" t="str">
        <f>TEST_DATA!D11446</f>
        <v>NON-NIL</v>
      </c>
      <c r="E11446">
        <f>TEST_DATA!E11446</f>
        <v>1385</v>
      </c>
    </row>
    <row r="11447" spans="1:5" x14ac:dyDescent="0.55000000000000004">
      <c r="A11447" t="str">
        <f>TEST_DATA!A11447</f>
        <v>27AAAAA11447Z5</v>
      </c>
      <c r="B11447" t="str">
        <f>TEST_DATA!B11447</f>
        <v>Jul-2017</v>
      </c>
      <c r="C11447">
        <f>TEST_DATA!C11447</f>
        <v>43786</v>
      </c>
      <c r="D11447" t="str">
        <f>TEST_DATA!D11447</f>
        <v>NIL</v>
      </c>
      <c r="E11447">
        <f>TEST_DATA!E11447</f>
        <v>1090</v>
      </c>
    </row>
    <row r="11448" spans="1:5" x14ac:dyDescent="0.55000000000000004">
      <c r="A11448" t="str">
        <f>TEST_DATA!A11448</f>
        <v>27AAAAA11448Z5</v>
      </c>
      <c r="B11448" t="str">
        <f>TEST_DATA!B11448</f>
        <v>Sep-2018</v>
      </c>
      <c r="C11448">
        <f>TEST_DATA!C11448</f>
        <v>43088</v>
      </c>
      <c r="D11448" t="str">
        <f>TEST_DATA!D11448</f>
        <v>NON-NIL</v>
      </c>
      <c r="E11448">
        <f>TEST_DATA!E11448</f>
        <v>2381</v>
      </c>
    </row>
    <row r="11449" spans="1:5" x14ac:dyDescent="0.55000000000000004">
      <c r="A11449" t="str">
        <f>TEST_DATA!A11449</f>
        <v>27AAAAA11449Z5</v>
      </c>
      <c r="B11449" t="str">
        <f>TEST_DATA!B11449</f>
        <v>Jul-2017</v>
      </c>
      <c r="C11449">
        <f>TEST_DATA!C11449</f>
        <v>43126</v>
      </c>
      <c r="D11449" t="str">
        <f>TEST_DATA!D11449</f>
        <v>NIL</v>
      </c>
      <c r="E11449">
        <f>TEST_DATA!E11449</f>
        <v>674</v>
      </c>
    </row>
    <row r="11450" spans="1:5" x14ac:dyDescent="0.55000000000000004">
      <c r="A11450" t="str">
        <f>TEST_DATA!A11450</f>
        <v>27AAAAA11450Z5</v>
      </c>
      <c r="B11450" t="str">
        <f>TEST_DATA!B11450</f>
        <v>May-2018</v>
      </c>
      <c r="C11450">
        <f>TEST_DATA!C11450</f>
        <v>42921</v>
      </c>
      <c r="D11450" t="str">
        <f>TEST_DATA!D11450</f>
        <v>NIL</v>
      </c>
      <c r="E11450">
        <f>TEST_DATA!E11450</f>
        <v>2978</v>
      </c>
    </row>
    <row r="11451" spans="1:5" x14ac:dyDescent="0.55000000000000004">
      <c r="A11451" t="str">
        <f>TEST_DATA!A11451</f>
        <v>27AAAAA11451Z5</v>
      </c>
      <c r="B11451" t="str">
        <f>TEST_DATA!B11451</f>
        <v>Jan-2018</v>
      </c>
      <c r="C11451">
        <f>TEST_DATA!C11451</f>
        <v>43083</v>
      </c>
      <c r="D11451" t="str">
        <f>TEST_DATA!D11451</f>
        <v>NON-NIL</v>
      </c>
      <c r="E11451">
        <f>TEST_DATA!E11451</f>
        <v>180</v>
      </c>
    </row>
    <row r="11452" spans="1:5" x14ac:dyDescent="0.55000000000000004">
      <c r="A11452" t="str">
        <f>TEST_DATA!A11452</f>
        <v>27AAAAA11452Z5</v>
      </c>
      <c r="B11452" t="str">
        <f>TEST_DATA!B11452</f>
        <v>Jul-2017</v>
      </c>
      <c r="C11452">
        <f>TEST_DATA!C11452</f>
        <v>43437</v>
      </c>
      <c r="D11452" t="str">
        <f>TEST_DATA!D11452</f>
        <v>NIL</v>
      </c>
      <c r="E11452">
        <f>TEST_DATA!E11452</f>
        <v>766</v>
      </c>
    </row>
    <row r="11453" spans="1:5" x14ac:dyDescent="0.55000000000000004">
      <c r="A11453" t="str">
        <f>TEST_DATA!A11453</f>
        <v>27AAAAA11453Z5</v>
      </c>
      <c r="B11453" t="str">
        <f>TEST_DATA!B11453</f>
        <v>Jan-2019</v>
      </c>
      <c r="C11453">
        <f>TEST_DATA!C11453</f>
        <v>44142</v>
      </c>
      <c r="D11453" t="str">
        <f>TEST_DATA!D11453</f>
        <v>NON-NIL</v>
      </c>
      <c r="E11453">
        <f>TEST_DATA!E11453</f>
        <v>2094</v>
      </c>
    </row>
    <row r="11454" spans="1:5" x14ac:dyDescent="0.55000000000000004">
      <c r="A11454" t="str">
        <f>TEST_DATA!A11454</f>
        <v>27AAAAA11454Z5</v>
      </c>
      <c r="B11454" t="str">
        <f>TEST_DATA!B11454</f>
        <v>Feb-2018</v>
      </c>
      <c r="C11454">
        <f>TEST_DATA!C11454</f>
        <v>44225</v>
      </c>
      <c r="D11454" t="str">
        <f>TEST_DATA!D11454</f>
        <v>NIL</v>
      </c>
      <c r="E11454">
        <f>TEST_DATA!E11454</f>
        <v>462</v>
      </c>
    </row>
    <row r="11455" spans="1:5" x14ac:dyDescent="0.55000000000000004">
      <c r="A11455" t="str">
        <f>TEST_DATA!A11455</f>
        <v>27AAAAA11455Z5</v>
      </c>
      <c r="B11455" t="str">
        <f>TEST_DATA!B11455</f>
        <v>Dec-2017</v>
      </c>
      <c r="C11455">
        <f>TEST_DATA!C11455</f>
        <v>43040</v>
      </c>
      <c r="D11455" t="str">
        <f>TEST_DATA!D11455</f>
        <v>NON-NIL</v>
      </c>
      <c r="E11455">
        <f>TEST_DATA!E11455</f>
        <v>327</v>
      </c>
    </row>
    <row r="11456" spans="1:5" x14ac:dyDescent="0.55000000000000004">
      <c r="A11456" t="str">
        <f>TEST_DATA!A11456</f>
        <v>27AAAAA11456Z5</v>
      </c>
      <c r="B11456" t="str">
        <f>TEST_DATA!B11456</f>
        <v>Mar-2018</v>
      </c>
      <c r="C11456">
        <f>TEST_DATA!C11456</f>
        <v>44447</v>
      </c>
      <c r="D11456" t="str">
        <f>TEST_DATA!D11456</f>
        <v>NON-NIL</v>
      </c>
      <c r="E11456">
        <f>TEST_DATA!E11456</f>
        <v>577</v>
      </c>
    </row>
    <row r="11457" spans="1:5" x14ac:dyDescent="0.55000000000000004">
      <c r="A11457" t="str">
        <f>TEST_DATA!A11457</f>
        <v>27AAAAA11457Z5</v>
      </c>
      <c r="B11457" t="str">
        <f>TEST_DATA!B11457</f>
        <v>Jun-2018</v>
      </c>
      <c r="C11457">
        <f>TEST_DATA!C11457</f>
        <v>42992</v>
      </c>
      <c r="D11457" t="str">
        <f>TEST_DATA!D11457</f>
        <v>NON-NIL</v>
      </c>
      <c r="E11457">
        <f>TEST_DATA!E11457</f>
        <v>2533</v>
      </c>
    </row>
    <row r="11458" spans="1:5" x14ac:dyDescent="0.55000000000000004">
      <c r="A11458" t="str">
        <f>TEST_DATA!A11458</f>
        <v>27AAAAA11458Z5</v>
      </c>
      <c r="B11458" t="str">
        <f>TEST_DATA!B11458</f>
        <v>Jul-2018</v>
      </c>
      <c r="C11458">
        <f>TEST_DATA!C11458</f>
        <v>44479</v>
      </c>
      <c r="D11458" t="str">
        <f>TEST_DATA!D11458</f>
        <v>NON-NIL</v>
      </c>
      <c r="E11458">
        <f>TEST_DATA!E11458</f>
        <v>2530</v>
      </c>
    </row>
    <row r="11459" spans="1:5" x14ac:dyDescent="0.55000000000000004">
      <c r="A11459" t="str">
        <f>TEST_DATA!A11459</f>
        <v>27AAAAA11459Z5</v>
      </c>
      <c r="B11459" t="str">
        <f>TEST_DATA!B11459</f>
        <v>Apr-2020</v>
      </c>
      <c r="C11459">
        <f>TEST_DATA!C11459</f>
        <v>44758</v>
      </c>
      <c r="D11459" t="str">
        <f>TEST_DATA!D11459</f>
        <v>NON-NIL</v>
      </c>
      <c r="E11459">
        <f>TEST_DATA!E11459</f>
        <v>671</v>
      </c>
    </row>
    <row r="11460" spans="1:5" x14ac:dyDescent="0.55000000000000004">
      <c r="A11460" t="str">
        <f>TEST_DATA!A11460</f>
        <v>27AAAAA11460Z5</v>
      </c>
      <c r="B11460" t="str">
        <f>TEST_DATA!B11460</f>
        <v>Aug-2017</v>
      </c>
      <c r="C11460">
        <f>TEST_DATA!C11460</f>
        <v>43043</v>
      </c>
      <c r="D11460" t="str">
        <f>TEST_DATA!D11460</f>
        <v>NIL</v>
      </c>
      <c r="E11460">
        <f>TEST_DATA!E11460</f>
        <v>1171</v>
      </c>
    </row>
    <row r="11461" spans="1:5" x14ac:dyDescent="0.55000000000000004">
      <c r="A11461" t="str">
        <f>TEST_DATA!A11461</f>
        <v>27AAAAA11461Z5</v>
      </c>
      <c r="B11461" t="str">
        <f>TEST_DATA!B11461</f>
        <v>Sep-2017</v>
      </c>
      <c r="C11461">
        <f>TEST_DATA!C11461</f>
        <v>43486</v>
      </c>
      <c r="D11461" t="str">
        <f>TEST_DATA!D11461</f>
        <v>NON-NIL</v>
      </c>
      <c r="E11461">
        <f>TEST_DATA!E11461</f>
        <v>558</v>
      </c>
    </row>
    <row r="11462" spans="1:5" x14ac:dyDescent="0.55000000000000004">
      <c r="A11462" t="str">
        <f>TEST_DATA!A11462</f>
        <v>27AAAAA11462Z5</v>
      </c>
      <c r="B11462" t="str">
        <f>TEST_DATA!B11462</f>
        <v>Mar-2018</v>
      </c>
      <c r="C11462">
        <f>TEST_DATA!C11462</f>
        <v>43720</v>
      </c>
      <c r="D11462" t="str">
        <f>TEST_DATA!D11462</f>
        <v>NIL</v>
      </c>
      <c r="E11462">
        <f>TEST_DATA!E11462</f>
        <v>2628</v>
      </c>
    </row>
    <row r="11463" spans="1:5" x14ac:dyDescent="0.55000000000000004">
      <c r="A11463" t="str">
        <f>TEST_DATA!A11463</f>
        <v>27AAAAA11463Z5</v>
      </c>
      <c r="B11463" t="str">
        <f>TEST_DATA!B11463</f>
        <v>Jan-2019</v>
      </c>
      <c r="C11463">
        <f>TEST_DATA!C11463</f>
        <v>44378</v>
      </c>
      <c r="D11463" t="str">
        <f>TEST_DATA!D11463</f>
        <v>NON-NIL</v>
      </c>
      <c r="E11463">
        <f>TEST_DATA!E11463</f>
        <v>694</v>
      </c>
    </row>
    <row r="11464" spans="1:5" x14ac:dyDescent="0.55000000000000004">
      <c r="A11464" t="str">
        <f>TEST_DATA!A11464</f>
        <v>27AAAAA11464Z5</v>
      </c>
      <c r="B11464" t="str">
        <f>TEST_DATA!B11464</f>
        <v>Feb-2018</v>
      </c>
      <c r="C11464">
        <f>TEST_DATA!C11464</f>
        <v>44361</v>
      </c>
      <c r="D11464" t="str">
        <f>TEST_DATA!D11464</f>
        <v>NON-NIL</v>
      </c>
      <c r="E11464">
        <f>TEST_DATA!E11464</f>
        <v>277</v>
      </c>
    </row>
    <row r="11465" spans="1:5" x14ac:dyDescent="0.55000000000000004">
      <c r="A11465" t="str">
        <f>TEST_DATA!A11465</f>
        <v>27AAAAA11465Z5</v>
      </c>
      <c r="B11465" t="str">
        <f>TEST_DATA!B11465</f>
        <v>Jul-2020</v>
      </c>
      <c r="C11465">
        <f>TEST_DATA!C11465</f>
        <v>44555</v>
      </c>
      <c r="D11465" t="str">
        <f>TEST_DATA!D11465</f>
        <v>NON-NIL</v>
      </c>
      <c r="E11465">
        <f>TEST_DATA!E11465</f>
        <v>694</v>
      </c>
    </row>
    <row r="11466" spans="1:5" x14ac:dyDescent="0.55000000000000004">
      <c r="A11466" t="str">
        <f>TEST_DATA!A11466</f>
        <v>27AAAAA11466Z5</v>
      </c>
      <c r="B11466" t="str">
        <f>TEST_DATA!B11466</f>
        <v>Jun-2019</v>
      </c>
      <c r="C11466">
        <f>TEST_DATA!C11466</f>
        <v>44785</v>
      </c>
      <c r="D11466" t="str">
        <f>TEST_DATA!D11466</f>
        <v>NON-NIL</v>
      </c>
      <c r="E11466">
        <f>TEST_DATA!E11466</f>
        <v>1871</v>
      </c>
    </row>
    <row r="11467" spans="1:5" x14ac:dyDescent="0.55000000000000004">
      <c r="A11467" t="str">
        <f>TEST_DATA!A11467</f>
        <v>27AAAAA11467Z5</v>
      </c>
      <c r="B11467" t="str">
        <f>TEST_DATA!B11467</f>
        <v>May-2018</v>
      </c>
      <c r="C11467">
        <f>TEST_DATA!C11467</f>
        <v>44268</v>
      </c>
      <c r="D11467" t="str">
        <f>TEST_DATA!D11467</f>
        <v>NON-NIL</v>
      </c>
      <c r="E11467">
        <f>TEST_DATA!E11467</f>
        <v>2857</v>
      </c>
    </row>
    <row r="11468" spans="1:5" x14ac:dyDescent="0.55000000000000004">
      <c r="A11468" t="str">
        <f>TEST_DATA!A11468</f>
        <v>27AAAAA11468Z5</v>
      </c>
      <c r="B11468" t="str">
        <f>TEST_DATA!B11468</f>
        <v>Aug-2018</v>
      </c>
      <c r="C11468">
        <f>TEST_DATA!C11468</f>
        <v>43353</v>
      </c>
      <c r="D11468" t="str">
        <f>TEST_DATA!D11468</f>
        <v>NON-NIL</v>
      </c>
      <c r="E11468">
        <f>TEST_DATA!E11468</f>
        <v>2876</v>
      </c>
    </row>
    <row r="11469" spans="1:5" x14ac:dyDescent="0.55000000000000004">
      <c r="A11469" t="str">
        <f>TEST_DATA!A11469</f>
        <v>27AAAAA11469Z5</v>
      </c>
      <c r="B11469" t="str">
        <f>TEST_DATA!B11469</f>
        <v>Mar-2021</v>
      </c>
      <c r="C11469">
        <f>TEST_DATA!C11469</f>
        <v>45529</v>
      </c>
      <c r="D11469" t="str">
        <f>TEST_DATA!D11469</f>
        <v>NIL</v>
      </c>
      <c r="E11469">
        <f>TEST_DATA!E11469</f>
        <v>2429</v>
      </c>
    </row>
    <row r="11470" spans="1:5" x14ac:dyDescent="0.55000000000000004">
      <c r="A11470" t="str">
        <f>TEST_DATA!A11470</f>
        <v>27AAAAA11470Z5</v>
      </c>
      <c r="B11470" t="str">
        <f>TEST_DATA!B11470</f>
        <v>Feb-2018</v>
      </c>
      <c r="C11470">
        <f>TEST_DATA!C11470</f>
        <v>42975</v>
      </c>
      <c r="D11470" t="str">
        <f>TEST_DATA!D11470</f>
        <v>NON-NIL</v>
      </c>
      <c r="E11470">
        <f>TEST_DATA!E11470</f>
        <v>1287</v>
      </c>
    </row>
    <row r="11471" spans="1:5" x14ac:dyDescent="0.55000000000000004">
      <c r="A11471" t="str">
        <f>TEST_DATA!A11471</f>
        <v>27AAAAA11471Z5</v>
      </c>
      <c r="B11471" t="str">
        <f>TEST_DATA!B11471</f>
        <v>Jan-2019</v>
      </c>
      <c r="C11471">
        <f>TEST_DATA!C11471</f>
        <v>45423</v>
      </c>
      <c r="D11471" t="str">
        <f>TEST_DATA!D11471</f>
        <v>NON-NIL</v>
      </c>
      <c r="E11471">
        <f>TEST_DATA!E11471</f>
        <v>2703</v>
      </c>
    </row>
    <row r="11472" spans="1:5" x14ac:dyDescent="0.55000000000000004">
      <c r="A11472" t="str">
        <f>TEST_DATA!A11472</f>
        <v>27AAAAA11472Z5</v>
      </c>
      <c r="B11472" t="str">
        <f>TEST_DATA!B11472</f>
        <v>Dec-2022</v>
      </c>
      <c r="C11472">
        <f>TEST_DATA!C11472</f>
        <v>45655</v>
      </c>
      <c r="D11472" t="str">
        <f>TEST_DATA!D11472</f>
        <v>NIL</v>
      </c>
      <c r="E11472">
        <f>TEST_DATA!E11472</f>
        <v>1597</v>
      </c>
    </row>
    <row r="11473" spans="1:5" x14ac:dyDescent="0.55000000000000004">
      <c r="A11473" t="str">
        <f>TEST_DATA!A11473</f>
        <v>27AAAAA11473Z5</v>
      </c>
      <c r="B11473" t="str">
        <f>TEST_DATA!B11473</f>
        <v>Sep-2018</v>
      </c>
      <c r="C11473">
        <f>TEST_DATA!C11473</f>
        <v>43806</v>
      </c>
      <c r="D11473" t="str">
        <f>TEST_DATA!D11473</f>
        <v>NIL</v>
      </c>
      <c r="E11473">
        <f>TEST_DATA!E11473</f>
        <v>1921</v>
      </c>
    </row>
    <row r="11474" spans="1:5" x14ac:dyDescent="0.55000000000000004">
      <c r="A11474" t="str">
        <f>TEST_DATA!A11474</f>
        <v>27AAAAA11474Z5</v>
      </c>
      <c r="B11474" t="str">
        <f>TEST_DATA!B11474</f>
        <v>Apr-2018</v>
      </c>
      <c r="C11474">
        <f>TEST_DATA!C11474</f>
        <v>44391</v>
      </c>
      <c r="D11474" t="str">
        <f>TEST_DATA!D11474</f>
        <v>NIL</v>
      </c>
      <c r="E11474">
        <f>TEST_DATA!E11474</f>
        <v>165</v>
      </c>
    </row>
    <row r="11475" spans="1:5" x14ac:dyDescent="0.55000000000000004">
      <c r="A11475" t="str">
        <f>TEST_DATA!A11475</f>
        <v>27AAAAA11475Z5</v>
      </c>
      <c r="B11475" t="str">
        <f>TEST_DATA!B11475</f>
        <v>Jun-2018</v>
      </c>
      <c r="C11475">
        <f>TEST_DATA!C11475</f>
        <v>44118</v>
      </c>
      <c r="D11475" t="str">
        <f>TEST_DATA!D11475</f>
        <v>NIL</v>
      </c>
      <c r="E11475">
        <f>TEST_DATA!E11475</f>
        <v>2479</v>
      </c>
    </row>
    <row r="11476" spans="1:5" x14ac:dyDescent="0.55000000000000004">
      <c r="A11476" t="str">
        <f>TEST_DATA!A11476</f>
        <v>27AAAAA11476Z5</v>
      </c>
      <c r="B11476" t="str">
        <f>TEST_DATA!B11476</f>
        <v>Mar-2018</v>
      </c>
      <c r="C11476">
        <f>TEST_DATA!C11476</f>
        <v>44411</v>
      </c>
      <c r="D11476" t="str">
        <f>TEST_DATA!D11476</f>
        <v>NIL</v>
      </c>
      <c r="E11476">
        <f>TEST_DATA!E11476</f>
        <v>1296</v>
      </c>
    </row>
    <row r="11477" spans="1:5" x14ac:dyDescent="0.55000000000000004">
      <c r="A11477" t="str">
        <f>TEST_DATA!A11477</f>
        <v>27AAAAA11477Z5</v>
      </c>
      <c r="B11477" t="str">
        <f>TEST_DATA!B11477</f>
        <v>Jul-2017</v>
      </c>
      <c r="C11477">
        <f>TEST_DATA!C11477</f>
        <v>44497</v>
      </c>
      <c r="D11477" t="str">
        <f>TEST_DATA!D11477</f>
        <v>NON-NIL</v>
      </c>
      <c r="E11477">
        <f>TEST_DATA!E11477</f>
        <v>941</v>
      </c>
    </row>
    <row r="11478" spans="1:5" x14ac:dyDescent="0.55000000000000004">
      <c r="A11478" t="str">
        <f>TEST_DATA!A11478</f>
        <v>27AAAAA11478Z5</v>
      </c>
      <c r="B11478" t="str">
        <f>TEST_DATA!B11478</f>
        <v>Mar-2020</v>
      </c>
      <c r="C11478">
        <f>TEST_DATA!C11478</f>
        <v>43945</v>
      </c>
      <c r="D11478" t="str">
        <f>TEST_DATA!D11478</f>
        <v>NIL</v>
      </c>
      <c r="E11478">
        <f>TEST_DATA!E11478</f>
        <v>1396</v>
      </c>
    </row>
    <row r="11479" spans="1:5" x14ac:dyDescent="0.55000000000000004">
      <c r="A11479" t="str">
        <f>TEST_DATA!A11479</f>
        <v>27AAAAA11479Z5</v>
      </c>
      <c r="B11479" t="str">
        <f>TEST_DATA!B11479</f>
        <v>Apr-2021</v>
      </c>
      <c r="C11479">
        <f>TEST_DATA!C11479</f>
        <v>45242</v>
      </c>
      <c r="D11479" t="str">
        <f>TEST_DATA!D11479</f>
        <v>NIL</v>
      </c>
      <c r="E11479">
        <f>TEST_DATA!E11479</f>
        <v>546</v>
      </c>
    </row>
    <row r="11480" spans="1:5" x14ac:dyDescent="0.55000000000000004">
      <c r="A11480" t="str">
        <f>TEST_DATA!A11480</f>
        <v>27AAAAA11480Z5</v>
      </c>
      <c r="B11480" t="str">
        <f>TEST_DATA!B11480</f>
        <v>Jun-2019</v>
      </c>
      <c r="C11480">
        <f>TEST_DATA!C11480</f>
        <v>44922</v>
      </c>
      <c r="D11480" t="str">
        <f>TEST_DATA!D11480</f>
        <v>NON-NIL</v>
      </c>
      <c r="E11480">
        <f>TEST_DATA!E11480</f>
        <v>2535</v>
      </c>
    </row>
    <row r="11481" spans="1:5" x14ac:dyDescent="0.55000000000000004">
      <c r="A11481" t="str">
        <f>TEST_DATA!A11481</f>
        <v>27AAAAA11481Z5</v>
      </c>
      <c r="B11481" t="str">
        <f>TEST_DATA!B11481</f>
        <v>May-2020</v>
      </c>
      <c r="C11481">
        <f>TEST_DATA!C11481</f>
        <v>44615</v>
      </c>
      <c r="D11481" t="str">
        <f>TEST_DATA!D11481</f>
        <v>NON-NIL</v>
      </c>
      <c r="E11481">
        <f>TEST_DATA!E11481</f>
        <v>2935</v>
      </c>
    </row>
    <row r="11482" spans="1:5" x14ac:dyDescent="0.55000000000000004">
      <c r="A11482" t="str">
        <f>TEST_DATA!A11482</f>
        <v>27AAAAA11482Z5</v>
      </c>
      <c r="B11482" t="str">
        <f>TEST_DATA!B11482</f>
        <v>Jul-2017</v>
      </c>
      <c r="C11482">
        <f>TEST_DATA!C11482</f>
        <v>44181</v>
      </c>
      <c r="D11482" t="str">
        <f>TEST_DATA!D11482</f>
        <v>NON-NIL</v>
      </c>
      <c r="E11482">
        <f>TEST_DATA!E11482</f>
        <v>866</v>
      </c>
    </row>
    <row r="11483" spans="1:5" x14ac:dyDescent="0.55000000000000004">
      <c r="A11483" t="str">
        <f>TEST_DATA!A11483</f>
        <v>27AAAAA11483Z5</v>
      </c>
      <c r="B11483" t="str">
        <f>TEST_DATA!B11483</f>
        <v>Jun-2018</v>
      </c>
      <c r="C11483">
        <f>TEST_DATA!C11483</f>
        <v>43546</v>
      </c>
      <c r="D11483" t="str">
        <f>TEST_DATA!D11483</f>
        <v>NON-NIL</v>
      </c>
      <c r="E11483">
        <f>TEST_DATA!E11483</f>
        <v>1608</v>
      </c>
    </row>
    <row r="11484" spans="1:5" x14ac:dyDescent="0.55000000000000004">
      <c r="A11484" t="str">
        <f>TEST_DATA!A11484</f>
        <v>27AAAAA11484Z5</v>
      </c>
      <c r="B11484" t="str">
        <f>TEST_DATA!B11484</f>
        <v>Jul-2017</v>
      </c>
      <c r="C11484">
        <f>TEST_DATA!C11484</f>
        <v>43912</v>
      </c>
      <c r="D11484" t="str">
        <f>TEST_DATA!D11484</f>
        <v>NON-NIL</v>
      </c>
      <c r="E11484">
        <f>TEST_DATA!E11484</f>
        <v>335</v>
      </c>
    </row>
    <row r="11485" spans="1:5" x14ac:dyDescent="0.55000000000000004">
      <c r="A11485" t="str">
        <f>TEST_DATA!A11485</f>
        <v>27AAAAA11485Z5</v>
      </c>
      <c r="B11485" t="str">
        <f>TEST_DATA!B11485</f>
        <v>Apr-2021</v>
      </c>
      <c r="C11485">
        <f>TEST_DATA!C11485</f>
        <v>44168</v>
      </c>
      <c r="D11485" t="str">
        <f>TEST_DATA!D11485</f>
        <v>NIL</v>
      </c>
      <c r="E11485">
        <f>TEST_DATA!E11485</f>
        <v>233</v>
      </c>
    </row>
    <row r="11486" spans="1:5" x14ac:dyDescent="0.55000000000000004">
      <c r="A11486" t="str">
        <f>TEST_DATA!A11486</f>
        <v>27AAAAA11486Z5</v>
      </c>
      <c r="B11486" t="str">
        <f>TEST_DATA!B11486</f>
        <v>Sep-2017</v>
      </c>
      <c r="C11486">
        <f>TEST_DATA!C11486</f>
        <v>43941</v>
      </c>
      <c r="D11486" t="str">
        <f>TEST_DATA!D11486</f>
        <v>NON-NIL</v>
      </c>
      <c r="E11486">
        <f>TEST_DATA!E11486</f>
        <v>530</v>
      </c>
    </row>
    <row r="11487" spans="1:5" x14ac:dyDescent="0.55000000000000004">
      <c r="A11487" t="str">
        <f>TEST_DATA!A11487</f>
        <v>27AAAAA11487Z5</v>
      </c>
      <c r="B11487" t="str">
        <f>TEST_DATA!B11487</f>
        <v>Jul-2018</v>
      </c>
      <c r="C11487">
        <f>TEST_DATA!C11487</f>
        <v>43255</v>
      </c>
      <c r="D11487" t="str">
        <f>TEST_DATA!D11487</f>
        <v>NIL</v>
      </c>
      <c r="E11487">
        <f>TEST_DATA!E11487</f>
        <v>1555</v>
      </c>
    </row>
    <row r="11488" spans="1:5" x14ac:dyDescent="0.55000000000000004">
      <c r="A11488" t="str">
        <f>TEST_DATA!A11488</f>
        <v>27AAAAA11488Z5</v>
      </c>
      <c r="B11488" t="str">
        <f>TEST_DATA!B11488</f>
        <v>Apr-2018</v>
      </c>
      <c r="C11488">
        <f>TEST_DATA!C11488</f>
        <v>44259</v>
      </c>
      <c r="D11488" t="str">
        <f>TEST_DATA!D11488</f>
        <v>NON-NIL</v>
      </c>
      <c r="E11488">
        <f>TEST_DATA!E11488</f>
        <v>425</v>
      </c>
    </row>
    <row r="11489" spans="1:5" x14ac:dyDescent="0.55000000000000004">
      <c r="A11489" t="str">
        <f>TEST_DATA!A11489</f>
        <v>27AAAAA11489Z5</v>
      </c>
      <c r="B11489" t="str">
        <f>TEST_DATA!B11489</f>
        <v>Jun-2019</v>
      </c>
      <c r="C11489">
        <f>TEST_DATA!C11489</f>
        <v>43561</v>
      </c>
      <c r="D11489" t="str">
        <f>TEST_DATA!D11489</f>
        <v>NIL</v>
      </c>
      <c r="E11489">
        <f>TEST_DATA!E11489</f>
        <v>1136</v>
      </c>
    </row>
    <row r="11490" spans="1:5" x14ac:dyDescent="0.55000000000000004">
      <c r="A11490" t="str">
        <f>TEST_DATA!A11490</f>
        <v>27AAAAA11490Z5</v>
      </c>
      <c r="B11490" t="str">
        <f>TEST_DATA!B11490</f>
        <v>Jun-2018</v>
      </c>
      <c r="C11490">
        <f>TEST_DATA!C11490</f>
        <v>44109</v>
      </c>
      <c r="D11490" t="str">
        <f>TEST_DATA!D11490</f>
        <v>NON-NIL</v>
      </c>
      <c r="E11490">
        <f>TEST_DATA!E11490</f>
        <v>249</v>
      </c>
    </row>
    <row r="11491" spans="1:5" x14ac:dyDescent="0.55000000000000004">
      <c r="A11491" t="str">
        <f>TEST_DATA!A11491</f>
        <v>27AAAAA11491Z5</v>
      </c>
      <c r="B11491" t="str">
        <f>TEST_DATA!B11491</f>
        <v>Jun-2019</v>
      </c>
      <c r="C11491">
        <f>TEST_DATA!C11491</f>
        <v>44895</v>
      </c>
      <c r="D11491" t="str">
        <f>TEST_DATA!D11491</f>
        <v>NIL</v>
      </c>
      <c r="E11491">
        <f>TEST_DATA!E11491</f>
        <v>1317</v>
      </c>
    </row>
    <row r="11492" spans="1:5" x14ac:dyDescent="0.55000000000000004">
      <c r="A11492" t="str">
        <f>TEST_DATA!A11492</f>
        <v>27AAAAA11492Z5</v>
      </c>
      <c r="B11492" t="str">
        <f>TEST_DATA!B11492</f>
        <v>Jul-2018</v>
      </c>
      <c r="C11492">
        <f>TEST_DATA!C11492</f>
        <v>43681</v>
      </c>
      <c r="D11492" t="str">
        <f>TEST_DATA!D11492</f>
        <v>NIL</v>
      </c>
      <c r="E11492">
        <f>TEST_DATA!E11492</f>
        <v>1377</v>
      </c>
    </row>
    <row r="11493" spans="1:5" x14ac:dyDescent="0.55000000000000004">
      <c r="A11493" t="str">
        <f>TEST_DATA!A11493</f>
        <v>27AAAAA11493Z5</v>
      </c>
      <c r="B11493" t="str">
        <f>TEST_DATA!B11493</f>
        <v>Dec-2017</v>
      </c>
      <c r="C11493">
        <f>TEST_DATA!C11493</f>
        <v>44557</v>
      </c>
      <c r="D11493" t="str">
        <f>TEST_DATA!D11493</f>
        <v>NON-NIL</v>
      </c>
      <c r="E11493">
        <f>TEST_DATA!E11493</f>
        <v>2625</v>
      </c>
    </row>
    <row r="11494" spans="1:5" x14ac:dyDescent="0.55000000000000004">
      <c r="A11494" t="str">
        <f>TEST_DATA!A11494</f>
        <v>27AAAAA11494Z5</v>
      </c>
      <c r="B11494" t="str">
        <f>TEST_DATA!B11494</f>
        <v>Feb-2018</v>
      </c>
      <c r="C11494">
        <f>TEST_DATA!C11494</f>
        <v>43880</v>
      </c>
      <c r="D11494" t="str">
        <f>TEST_DATA!D11494</f>
        <v>NON-NIL</v>
      </c>
      <c r="E11494">
        <f>TEST_DATA!E11494</f>
        <v>2989</v>
      </c>
    </row>
    <row r="11495" spans="1:5" x14ac:dyDescent="0.55000000000000004">
      <c r="A11495" t="str">
        <f>TEST_DATA!A11495</f>
        <v>27AAAAA11495Z5</v>
      </c>
      <c r="B11495" t="str">
        <f>TEST_DATA!B11495</f>
        <v>Mar-2020</v>
      </c>
      <c r="C11495">
        <f>TEST_DATA!C11495</f>
        <v>44508</v>
      </c>
      <c r="D11495" t="str">
        <f>TEST_DATA!D11495</f>
        <v>NIL</v>
      </c>
      <c r="E11495">
        <f>TEST_DATA!E11495</f>
        <v>1831</v>
      </c>
    </row>
    <row r="11496" spans="1:5" x14ac:dyDescent="0.55000000000000004">
      <c r="A11496" t="str">
        <f>TEST_DATA!A11496</f>
        <v>27AAAAA11496Z5</v>
      </c>
      <c r="B11496" t="str">
        <f>TEST_DATA!B11496</f>
        <v>Jan-2021</v>
      </c>
      <c r="C11496">
        <f>TEST_DATA!C11496</f>
        <v>45175</v>
      </c>
      <c r="D11496" t="str">
        <f>TEST_DATA!D11496</f>
        <v>NON-NIL</v>
      </c>
      <c r="E11496">
        <f>TEST_DATA!E11496</f>
        <v>1321</v>
      </c>
    </row>
    <row r="11497" spans="1:5" x14ac:dyDescent="0.55000000000000004">
      <c r="A11497" t="str">
        <f>TEST_DATA!A11497</f>
        <v>27AAAAA11497Z5</v>
      </c>
      <c r="B11497" t="str">
        <f>TEST_DATA!B11497</f>
        <v>Sep-2018</v>
      </c>
      <c r="C11497">
        <f>TEST_DATA!C11497</f>
        <v>43374</v>
      </c>
      <c r="D11497" t="str">
        <f>TEST_DATA!D11497</f>
        <v>NON-NIL</v>
      </c>
      <c r="E11497">
        <f>TEST_DATA!E11497</f>
        <v>1032</v>
      </c>
    </row>
    <row r="11498" spans="1:5" x14ac:dyDescent="0.55000000000000004">
      <c r="A11498" t="str">
        <f>TEST_DATA!A11498</f>
        <v>27AAAAA11498Z5</v>
      </c>
      <c r="B11498" t="str">
        <f>TEST_DATA!B11498</f>
        <v>Dec-2019</v>
      </c>
      <c r="C11498">
        <f>TEST_DATA!C11498</f>
        <v>44910</v>
      </c>
      <c r="D11498" t="str">
        <f>TEST_DATA!D11498</f>
        <v>NIL</v>
      </c>
      <c r="E11498">
        <f>TEST_DATA!E11498</f>
        <v>1352</v>
      </c>
    </row>
    <row r="11499" spans="1:5" x14ac:dyDescent="0.55000000000000004">
      <c r="A11499" t="str">
        <f>TEST_DATA!A11499</f>
        <v>27AAAAA11499Z5</v>
      </c>
      <c r="B11499" t="str">
        <f>TEST_DATA!B11499</f>
        <v>Sep-2017</v>
      </c>
      <c r="C11499">
        <f>TEST_DATA!C11499</f>
        <v>43266</v>
      </c>
      <c r="D11499" t="str">
        <f>TEST_DATA!D11499</f>
        <v>NIL</v>
      </c>
      <c r="E11499">
        <f>TEST_DATA!E11499</f>
        <v>1355</v>
      </c>
    </row>
    <row r="11500" spans="1:5" x14ac:dyDescent="0.55000000000000004">
      <c r="A11500" t="str">
        <f>TEST_DATA!A11500</f>
        <v>27AAAAA11500Z5</v>
      </c>
      <c r="B11500" t="str">
        <f>TEST_DATA!B11500</f>
        <v>Dec-2022</v>
      </c>
      <c r="C11500">
        <f>TEST_DATA!C11500</f>
        <v>45722</v>
      </c>
      <c r="D11500" t="str">
        <f>TEST_DATA!D11500</f>
        <v>NON-NIL</v>
      </c>
      <c r="E11500">
        <f>TEST_DATA!E11500</f>
        <v>1717</v>
      </c>
    </row>
    <row r="11501" spans="1:5" x14ac:dyDescent="0.55000000000000004">
      <c r="A11501" t="str">
        <f>TEST_DATA!A11501</f>
        <v>27AAAAA11501Z5</v>
      </c>
      <c r="B11501" t="str">
        <f>TEST_DATA!B11501</f>
        <v>Sep-2018</v>
      </c>
      <c r="C11501">
        <f>TEST_DATA!C11501</f>
        <v>44541</v>
      </c>
      <c r="D11501" t="str">
        <f>TEST_DATA!D11501</f>
        <v>NIL</v>
      </c>
      <c r="E11501">
        <f>TEST_DATA!E11501</f>
        <v>337</v>
      </c>
    </row>
    <row r="11502" spans="1:5" x14ac:dyDescent="0.55000000000000004">
      <c r="A11502" t="str">
        <f>TEST_DATA!A11502</f>
        <v>27AAAAA11502Z5</v>
      </c>
      <c r="B11502" t="str">
        <f>TEST_DATA!B11502</f>
        <v>Jun-2020</v>
      </c>
      <c r="C11502">
        <f>TEST_DATA!C11502</f>
        <v>44838</v>
      </c>
      <c r="D11502" t="str">
        <f>TEST_DATA!D11502</f>
        <v>NON-NIL</v>
      </c>
      <c r="E11502">
        <f>TEST_DATA!E11502</f>
        <v>695</v>
      </c>
    </row>
    <row r="11503" spans="1:5" x14ac:dyDescent="0.55000000000000004">
      <c r="A11503" t="str">
        <f>TEST_DATA!A11503</f>
        <v>27AAAAA11503Z5</v>
      </c>
      <c r="B11503" t="str">
        <f>TEST_DATA!B11503</f>
        <v>Mar-2023</v>
      </c>
      <c r="C11503">
        <f>TEST_DATA!C11503</f>
        <v>44112</v>
      </c>
      <c r="D11503" t="str">
        <f>TEST_DATA!D11503</f>
        <v>NON-NIL</v>
      </c>
      <c r="E11503">
        <f>TEST_DATA!E11503</f>
        <v>2412</v>
      </c>
    </row>
    <row r="11504" spans="1:5" x14ac:dyDescent="0.55000000000000004">
      <c r="A11504" t="str">
        <f>TEST_DATA!A11504</f>
        <v>27AAAAA11504Z5</v>
      </c>
      <c r="B11504" t="str">
        <f>TEST_DATA!B11504</f>
        <v>Mar-2021</v>
      </c>
      <c r="C11504">
        <f>TEST_DATA!C11504</f>
        <v>44183</v>
      </c>
      <c r="D11504" t="str">
        <f>TEST_DATA!D11504</f>
        <v>NON-NIL</v>
      </c>
      <c r="E11504">
        <f>TEST_DATA!E11504</f>
        <v>2304</v>
      </c>
    </row>
    <row r="11505" spans="1:5" x14ac:dyDescent="0.55000000000000004">
      <c r="A11505" t="str">
        <f>TEST_DATA!A11505</f>
        <v>27AAAAA11505Z5</v>
      </c>
      <c r="B11505" t="str">
        <f>TEST_DATA!B11505</f>
        <v>Jun-2020</v>
      </c>
      <c r="C11505">
        <f>TEST_DATA!C11505</f>
        <v>44707</v>
      </c>
      <c r="D11505" t="str">
        <f>TEST_DATA!D11505</f>
        <v>NON-NIL</v>
      </c>
      <c r="E11505">
        <f>TEST_DATA!E11505</f>
        <v>663</v>
      </c>
    </row>
    <row r="11506" spans="1:5" x14ac:dyDescent="0.55000000000000004">
      <c r="A11506" t="str">
        <f>TEST_DATA!A11506</f>
        <v>27AAAAA11506Z5</v>
      </c>
      <c r="B11506" t="str">
        <f>TEST_DATA!B11506</f>
        <v>Jan-2018</v>
      </c>
      <c r="C11506">
        <f>TEST_DATA!C11506</f>
        <v>44527</v>
      </c>
      <c r="D11506" t="str">
        <f>TEST_DATA!D11506</f>
        <v>NON-NIL</v>
      </c>
      <c r="E11506">
        <f>TEST_DATA!E11506</f>
        <v>2033</v>
      </c>
    </row>
    <row r="11507" spans="1:5" x14ac:dyDescent="0.55000000000000004">
      <c r="A11507" t="str">
        <f>TEST_DATA!A11507</f>
        <v>27AAAAA11507Z5</v>
      </c>
      <c r="B11507" t="str">
        <f>TEST_DATA!B11507</f>
        <v>Mar-2018</v>
      </c>
      <c r="C11507">
        <f>TEST_DATA!C11507</f>
        <v>44306</v>
      </c>
      <c r="D11507" t="str">
        <f>TEST_DATA!D11507</f>
        <v>NIL</v>
      </c>
      <c r="E11507">
        <f>TEST_DATA!E11507</f>
        <v>582</v>
      </c>
    </row>
    <row r="11508" spans="1:5" x14ac:dyDescent="0.55000000000000004">
      <c r="A11508" t="str">
        <f>TEST_DATA!A11508</f>
        <v>27AAAAA11508Z5</v>
      </c>
      <c r="B11508" t="str">
        <f>TEST_DATA!B11508</f>
        <v>Aug-2017</v>
      </c>
      <c r="C11508">
        <f>TEST_DATA!C11508</f>
        <v>43375</v>
      </c>
      <c r="D11508" t="str">
        <f>TEST_DATA!D11508</f>
        <v>NON-NIL</v>
      </c>
      <c r="E11508">
        <f>TEST_DATA!E11508</f>
        <v>1102</v>
      </c>
    </row>
    <row r="11509" spans="1:5" x14ac:dyDescent="0.55000000000000004">
      <c r="A11509" t="str">
        <f>TEST_DATA!A11509</f>
        <v>27AAAAA11509Z5</v>
      </c>
      <c r="B11509" t="str">
        <f>TEST_DATA!B11509</f>
        <v>Aug-2017</v>
      </c>
      <c r="C11509">
        <f>TEST_DATA!C11509</f>
        <v>43813</v>
      </c>
      <c r="D11509" t="str">
        <f>TEST_DATA!D11509</f>
        <v>NIL</v>
      </c>
      <c r="E11509">
        <f>TEST_DATA!E11509</f>
        <v>241</v>
      </c>
    </row>
    <row r="11510" spans="1:5" x14ac:dyDescent="0.55000000000000004">
      <c r="A11510" t="str">
        <f>TEST_DATA!A11510</f>
        <v>27AAAAA11510Z5</v>
      </c>
      <c r="B11510" t="str">
        <f>TEST_DATA!B11510</f>
        <v>Dec-2019</v>
      </c>
      <c r="C11510">
        <f>TEST_DATA!C11510</f>
        <v>44540</v>
      </c>
      <c r="D11510" t="str">
        <f>TEST_DATA!D11510</f>
        <v>NIL</v>
      </c>
      <c r="E11510">
        <f>TEST_DATA!E11510</f>
        <v>1402</v>
      </c>
    </row>
    <row r="11511" spans="1:5" x14ac:dyDescent="0.55000000000000004">
      <c r="A11511" t="str">
        <f>TEST_DATA!A11511</f>
        <v>27AAAAA11511Z5</v>
      </c>
      <c r="B11511" t="str">
        <f>TEST_DATA!B11511</f>
        <v>Mar-2020</v>
      </c>
      <c r="C11511">
        <f>TEST_DATA!C11511</f>
        <v>43999</v>
      </c>
      <c r="D11511" t="str">
        <f>TEST_DATA!D11511</f>
        <v>NIL</v>
      </c>
      <c r="E11511">
        <f>TEST_DATA!E11511</f>
        <v>1158</v>
      </c>
    </row>
    <row r="11512" spans="1:5" x14ac:dyDescent="0.55000000000000004">
      <c r="A11512" t="str">
        <f>TEST_DATA!A11512</f>
        <v>27AAAAA11512Z5</v>
      </c>
      <c r="B11512" t="str">
        <f>TEST_DATA!B11512</f>
        <v>Nov-2017</v>
      </c>
      <c r="C11512">
        <f>TEST_DATA!C11512</f>
        <v>43766</v>
      </c>
      <c r="D11512" t="str">
        <f>TEST_DATA!D11512</f>
        <v>NON-NIL</v>
      </c>
      <c r="E11512">
        <f>TEST_DATA!E11512</f>
        <v>1924</v>
      </c>
    </row>
    <row r="11513" spans="1:5" x14ac:dyDescent="0.55000000000000004">
      <c r="A11513" t="str">
        <f>TEST_DATA!A11513</f>
        <v>27AAAAA11513Z5</v>
      </c>
      <c r="B11513" t="str">
        <f>TEST_DATA!B11513</f>
        <v>Dec-2024</v>
      </c>
      <c r="C11513">
        <f>TEST_DATA!C11513</f>
        <v>44777</v>
      </c>
      <c r="D11513" t="str">
        <f>TEST_DATA!D11513</f>
        <v>NIL</v>
      </c>
      <c r="E11513">
        <f>TEST_DATA!E11513</f>
        <v>2845</v>
      </c>
    </row>
    <row r="11514" spans="1:5" x14ac:dyDescent="0.55000000000000004">
      <c r="A11514" t="str">
        <f>TEST_DATA!A11514</f>
        <v>27AAAAA11514Z5</v>
      </c>
      <c r="B11514" t="str">
        <f>TEST_DATA!B11514</f>
        <v>Dec-2019</v>
      </c>
      <c r="C11514">
        <f>TEST_DATA!C11514</f>
        <v>44861</v>
      </c>
      <c r="D11514" t="str">
        <f>TEST_DATA!D11514</f>
        <v>NIL</v>
      </c>
      <c r="E11514">
        <f>TEST_DATA!E11514</f>
        <v>2896</v>
      </c>
    </row>
    <row r="11515" spans="1:5" x14ac:dyDescent="0.55000000000000004">
      <c r="A11515" t="str">
        <f>TEST_DATA!A11515</f>
        <v>27AAAAA11515Z5</v>
      </c>
      <c r="B11515" t="str">
        <f>TEST_DATA!B11515</f>
        <v>Jan-2018</v>
      </c>
      <c r="C11515">
        <f>TEST_DATA!C11515</f>
        <v>44300</v>
      </c>
      <c r="D11515" t="str">
        <f>TEST_DATA!D11515</f>
        <v>NON-NIL</v>
      </c>
      <c r="E11515">
        <f>TEST_DATA!E11515</f>
        <v>1536</v>
      </c>
    </row>
    <row r="11516" spans="1:5" x14ac:dyDescent="0.55000000000000004">
      <c r="A11516" t="str">
        <f>TEST_DATA!A11516</f>
        <v>27AAAAA11516Z5</v>
      </c>
      <c r="B11516" t="str">
        <f>TEST_DATA!B11516</f>
        <v>Jul-2020</v>
      </c>
      <c r="C11516">
        <f>TEST_DATA!C11516</f>
        <v>44338</v>
      </c>
      <c r="D11516" t="str">
        <f>TEST_DATA!D11516</f>
        <v>NON-NIL</v>
      </c>
      <c r="E11516">
        <f>TEST_DATA!E11516</f>
        <v>659</v>
      </c>
    </row>
    <row r="11517" spans="1:5" x14ac:dyDescent="0.55000000000000004">
      <c r="A11517" t="str">
        <f>TEST_DATA!A11517</f>
        <v>27AAAAA11517Z5</v>
      </c>
      <c r="B11517" t="str">
        <f>TEST_DATA!B11517</f>
        <v>Apr-2020</v>
      </c>
      <c r="C11517">
        <f>TEST_DATA!C11517</f>
        <v>44413</v>
      </c>
      <c r="D11517" t="str">
        <f>TEST_DATA!D11517</f>
        <v>NON-NIL</v>
      </c>
      <c r="E11517">
        <f>TEST_DATA!E11517</f>
        <v>288</v>
      </c>
    </row>
    <row r="11518" spans="1:5" x14ac:dyDescent="0.55000000000000004">
      <c r="A11518" t="str">
        <f>TEST_DATA!A11518</f>
        <v>27AAAAA11518Z5</v>
      </c>
      <c r="B11518" t="str">
        <f>TEST_DATA!B11518</f>
        <v>Apr-2018</v>
      </c>
      <c r="C11518">
        <f>TEST_DATA!C11518</f>
        <v>43184</v>
      </c>
      <c r="D11518" t="str">
        <f>TEST_DATA!D11518</f>
        <v>NON-NIL</v>
      </c>
      <c r="E11518">
        <f>TEST_DATA!E11518</f>
        <v>686</v>
      </c>
    </row>
    <row r="11519" spans="1:5" x14ac:dyDescent="0.55000000000000004">
      <c r="A11519" t="str">
        <f>TEST_DATA!A11519</f>
        <v>27AAAAA11519Z5</v>
      </c>
      <c r="B11519" t="str">
        <f>TEST_DATA!B11519</f>
        <v>Jul-2017</v>
      </c>
      <c r="C11519">
        <f>TEST_DATA!C11519</f>
        <v>43472</v>
      </c>
      <c r="D11519" t="str">
        <f>TEST_DATA!D11519</f>
        <v>NIL</v>
      </c>
      <c r="E11519">
        <f>TEST_DATA!E11519</f>
        <v>2093</v>
      </c>
    </row>
    <row r="11520" spans="1:5" x14ac:dyDescent="0.55000000000000004">
      <c r="A11520" t="str">
        <f>TEST_DATA!A11520</f>
        <v>27AAAAA11520Z5</v>
      </c>
      <c r="B11520" t="str">
        <f>TEST_DATA!B11520</f>
        <v>Jun-2018</v>
      </c>
      <c r="C11520">
        <f>TEST_DATA!C11520</f>
        <v>43205</v>
      </c>
      <c r="D11520" t="str">
        <f>TEST_DATA!D11520</f>
        <v>NIL</v>
      </c>
      <c r="E11520">
        <f>TEST_DATA!E11520</f>
        <v>1629</v>
      </c>
    </row>
    <row r="11521" spans="1:5" x14ac:dyDescent="0.55000000000000004">
      <c r="A11521" t="str">
        <f>TEST_DATA!A11521</f>
        <v>27AAAAA11521Z5</v>
      </c>
      <c r="B11521" t="str">
        <f>TEST_DATA!B11521</f>
        <v>Apr-2021</v>
      </c>
      <c r="C11521">
        <f>TEST_DATA!C11521</f>
        <v>44473</v>
      </c>
      <c r="D11521" t="str">
        <f>TEST_DATA!D11521</f>
        <v>NIL</v>
      </c>
      <c r="E11521">
        <f>TEST_DATA!E11521</f>
        <v>1079</v>
      </c>
    </row>
    <row r="11522" spans="1:5" x14ac:dyDescent="0.55000000000000004">
      <c r="A11522" t="str">
        <f>TEST_DATA!A11522</f>
        <v>27AAAAA11522Z5</v>
      </c>
      <c r="B11522" t="str">
        <f>TEST_DATA!B11522</f>
        <v>Dec-2024</v>
      </c>
      <c r="C11522">
        <f>TEST_DATA!C11522</f>
        <v>45135</v>
      </c>
      <c r="D11522" t="str">
        <f>TEST_DATA!D11522</f>
        <v>NIL</v>
      </c>
      <c r="E11522">
        <f>TEST_DATA!E11522</f>
        <v>282</v>
      </c>
    </row>
    <row r="11523" spans="1:5" x14ac:dyDescent="0.55000000000000004">
      <c r="A11523" t="str">
        <f>TEST_DATA!A11523</f>
        <v>27AAAAA11523Z5</v>
      </c>
      <c r="B11523" t="str">
        <f>TEST_DATA!B11523</f>
        <v>Jun-2019</v>
      </c>
      <c r="C11523">
        <f>TEST_DATA!C11523</f>
        <v>45506</v>
      </c>
      <c r="D11523" t="str">
        <f>TEST_DATA!D11523</f>
        <v>NON-NIL</v>
      </c>
      <c r="E11523">
        <f>TEST_DATA!E11523</f>
        <v>773</v>
      </c>
    </row>
    <row r="11524" spans="1:5" x14ac:dyDescent="0.55000000000000004">
      <c r="A11524" t="str">
        <f>TEST_DATA!A11524</f>
        <v>27AAAAA11524Z5</v>
      </c>
      <c r="B11524" t="str">
        <f>TEST_DATA!B11524</f>
        <v>Sep-2018</v>
      </c>
      <c r="C11524">
        <f>TEST_DATA!C11524</f>
        <v>43211</v>
      </c>
      <c r="D11524" t="str">
        <f>TEST_DATA!D11524</f>
        <v>NIL</v>
      </c>
      <c r="E11524">
        <f>TEST_DATA!E11524</f>
        <v>2665</v>
      </c>
    </row>
    <row r="11525" spans="1:5" x14ac:dyDescent="0.55000000000000004">
      <c r="A11525" t="str">
        <f>TEST_DATA!A11525</f>
        <v>27AAAAA11525Z5</v>
      </c>
      <c r="B11525" t="str">
        <f>TEST_DATA!B11525</f>
        <v>Jul-2018</v>
      </c>
      <c r="C11525">
        <f>TEST_DATA!C11525</f>
        <v>43632</v>
      </c>
      <c r="D11525" t="str">
        <f>TEST_DATA!D11525</f>
        <v>NIL</v>
      </c>
      <c r="E11525">
        <f>TEST_DATA!E11525</f>
        <v>2699</v>
      </c>
    </row>
    <row r="11526" spans="1:5" x14ac:dyDescent="0.55000000000000004">
      <c r="A11526" t="str">
        <f>TEST_DATA!A11526</f>
        <v>27AAAAA11526Z5</v>
      </c>
      <c r="B11526" t="str">
        <f>TEST_DATA!B11526</f>
        <v>Jan-2018</v>
      </c>
      <c r="C11526">
        <f>TEST_DATA!C11526</f>
        <v>44333</v>
      </c>
      <c r="D11526" t="str">
        <f>TEST_DATA!D11526</f>
        <v>NIL</v>
      </c>
      <c r="E11526">
        <f>TEST_DATA!E11526</f>
        <v>1174</v>
      </c>
    </row>
    <row r="11527" spans="1:5" x14ac:dyDescent="0.55000000000000004">
      <c r="A11527" t="str">
        <f>TEST_DATA!A11527</f>
        <v>27AAAAA11527Z5</v>
      </c>
      <c r="B11527" t="str">
        <f>TEST_DATA!B11527</f>
        <v>Oct-2017</v>
      </c>
      <c r="C11527">
        <f>TEST_DATA!C11527</f>
        <v>44374</v>
      </c>
      <c r="D11527" t="str">
        <f>TEST_DATA!D11527</f>
        <v>NIL</v>
      </c>
      <c r="E11527">
        <f>TEST_DATA!E11527</f>
        <v>1970</v>
      </c>
    </row>
    <row r="11528" spans="1:5" x14ac:dyDescent="0.55000000000000004">
      <c r="A11528" t="str">
        <f>TEST_DATA!A11528</f>
        <v>27AAAAA11528Z5</v>
      </c>
      <c r="B11528" t="str">
        <f>TEST_DATA!B11528</f>
        <v>Sep-2017</v>
      </c>
      <c r="C11528">
        <f>TEST_DATA!C11528</f>
        <v>43704</v>
      </c>
      <c r="D11528" t="str">
        <f>TEST_DATA!D11528</f>
        <v>NIL</v>
      </c>
      <c r="E11528">
        <f>TEST_DATA!E11528</f>
        <v>1004</v>
      </c>
    </row>
    <row r="11529" spans="1:5" x14ac:dyDescent="0.55000000000000004">
      <c r="A11529" t="str">
        <f>TEST_DATA!A11529</f>
        <v>27AAAAA11529Z5</v>
      </c>
      <c r="B11529" t="str">
        <f>TEST_DATA!B11529</f>
        <v>Jan-2018</v>
      </c>
      <c r="C11529">
        <f>TEST_DATA!C11529</f>
        <v>44428</v>
      </c>
      <c r="D11529" t="str">
        <f>TEST_DATA!D11529</f>
        <v>NIL</v>
      </c>
      <c r="E11529">
        <f>TEST_DATA!E11529</f>
        <v>250</v>
      </c>
    </row>
    <row r="11530" spans="1:5" x14ac:dyDescent="0.55000000000000004">
      <c r="A11530" t="str">
        <f>TEST_DATA!A11530</f>
        <v>27AAAAA11530Z5</v>
      </c>
      <c r="B11530" t="str">
        <f>TEST_DATA!B11530</f>
        <v>Jun-2019</v>
      </c>
      <c r="C11530">
        <f>TEST_DATA!C11530</f>
        <v>44996</v>
      </c>
      <c r="D11530" t="str">
        <f>TEST_DATA!D11530</f>
        <v>NON-NIL</v>
      </c>
      <c r="E11530">
        <f>TEST_DATA!E11530</f>
        <v>1152</v>
      </c>
    </row>
    <row r="11531" spans="1:5" x14ac:dyDescent="0.55000000000000004">
      <c r="A11531" t="str">
        <f>TEST_DATA!A11531</f>
        <v>27AAAAA11531Z5</v>
      </c>
      <c r="B11531" t="str">
        <f>TEST_DATA!B11531</f>
        <v>Sep-2017</v>
      </c>
      <c r="C11531">
        <f>TEST_DATA!C11531</f>
        <v>44000</v>
      </c>
      <c r="D11531" t="str">
        <f>TEST_DATA!D11531</f>
        <v>NON-NIL</v>
      </c>
      <c r="E11531">
        <f>TEST_DATA!E11531</f>
        <v>1023</v>
      </c>
    </row>
    <row r="11532" spans="1:5" x14ac:dyDescent="0.55000000000000004">
      <c r="A11532" t="str">
        <f>TEST_DATA!A11532</f>
        <v>27AAAAA11532Z5</v>
      </c>
      <c r="B11532" t="str">
        <f>TEST_DATA!B11532</f>
        <v>Aug-2018</v>
      </c>
      <c r="C11532">
        <f>TEST_DATA!C11532</f>
        <v>44253</v>
      </c>
      <c r="D11532" t="str">
        <f>TEST_DATA!D11532</f>
        <v>NON-NIL</v>
      </c>
      <c r="E11532">
        <f>TEST_DATA!E11532</f>
        <v>222</v>
      </c>
    </row>
    <row r="11533" spans="1:5" x14ac:dyDescent="0.55000000000000004">
      <c r="A11533" t="str">
        <f>TEST_DATA!A11533</f>
        <v>27AAAAA11533Z5</v>
      </c>
      <c r="B11533" t="str">
        <f>TEST_DATA!B11533</f>
        <v>Jun-2020</v>
      </c>
      <c r="C11533">
        <f>TEST_DATA!C11533</f>
        <v>44201</v>
      </c>
      <c r="D11533" t="str">
        <f>TEST_DATA!D11533</f>
        <v>NIL</v>
      </c>
      <c r="E11533">
        <f>TEST_DATA!E11533</f>
        <v>2582</v>
      </c>
    </row>
    <row r="11534" spans="1:5" x14ac:dyDescent="0.55000000000000004">
      <c r="A11534" t="str">
        <f>TEST_DATA!A11534</f>
        <v>27AAAAA11534Z5</v>
      </c>
      <c r="B11534" t="str">
        <f>TEST_DATA!B11534</f>
        <v>Apr-2020</v>
      </c>
      <c r="C11534">
        <f>TEST_DATA!C11534</f>
        <v>44238</v>
      </c>
      <c r="D11534" t="str">
        <f>TEST_DATA!D11534</f>
        <v>NIL</v>
      </c>
      <c r="E11534">
        <f>TEST_DATA!E11534</f>
        <v>911</v>
      </c>
    </row>
    <row r="11535" spans="1:5" x14ac:dyDescent="0.55000000000000004">
      <c r="A11535" t="str">
        <f>TEST_DATA!A11535</f>
        <v>27AAAAA11535Z5</v>
      </c>
      <c r="B11535" t="str">
        <f>TEST_DATA!B11535</f>
        <v>Jan-2019</v>
      </c>
      <c r="C11535">
        <f>TEST_DATA!C11535</f>
        <v>45732</v>
      </c>
      <c r="D11535" t="str">
        <f>TEST_DATA!D11535</f>
        <v>NIL</v>
      </c>
      <c r="E11535">
        <f>TEST_DATA!E11535</f>
        <v>2994</v>
      </c>
    </row>
    <row r="11536" spans="1:5" x14ac:dyDescent="0.55000000000000004">
      <c r="A11536" t="str">
        <f>TEST_DATA!A11536</f>
        <v>27AAAAA11536Z5</v>
      </c>
      <c r="B11536" t="str">
        <f>TEST_DATA!B11536</f>
        <v>Dec-2017</v>
      </c>
      <c r="C11536">
        <f>TEST_DATA!C11536</f>
        <v>44318</v>
      </c>
      <c r="D11536" t="str">
        <f>TEST_DATA!D11536</f>
        <v>NIL</v>
      </c>
      <c r="E11536">
        <f>TEST_DATA!E11536</f>
        <v>128</v>
      </c>
    </row>
    <row r="11537" spans="1:5" x14ac:dyDescent="0.55000000000000004">
      <c r="A11537" t="str">
        <f>TEST_DATA!A11537</f>
        <v>27AAAAA11537Z5</v>
      </c>
      <c r="B11537" t="str">
        <f>TEST_DATA!B11537</f>
        <v>Mar-2020</v>
      </c>
      <c r="C11537">
        <f>TEST_DATA!C11537</f>
        <v>44323</v>
      </c>
      <c r="D11537" t="str">
        <f>TEST_DATA!D11537</f>
        <v>NON-NIL</v>
      </c>
      <c r="E11537">
        <f>TEST_DATA!E11537</f>
        <v>1988</v>
      </c>
    </row>
    <row r="11538" spans="1:5" x14ac:dyDescent="0.55000000000000004">
      <c r="A11538" t="str">
        <f>TEST_DATA!A11538</f>
        <v>27AAAAA11538Z5</v>
      </c>
      <c r="B11538" t="str">
        <f>TEST_DATA!B11538</f>
        <v>Jan-2021</v>
      </c>
      <c r="C11538">
        <f>TEST_DATA!C11538</f>
        <v>45158</v>
      </c>
      <c r="D11538" t="str">
        <f>TEST_DATA!D11538</f>
        <v>NON-NIL</v>
      </c>
      <c r="E11538">
        <f>TEST_DATA!E11538</f>
        <v>1874</v>
      </c>
    </row>
    <row r="11539" spans="1:5" x14ac:dyDescent="0.55000000000000004">
      <c r="A11539" t="str">
        <f>TEST_DATA!A11539</f>
        <v>27AAAAA11539Z5</v>
      </c>
      <c r="B11539" t="str">
        <f>TEST_DATA!B11539</f>
        <v>Apr-2021</v>
      </c>
      <c r="C11539">
        <f>TEST_DATA!C11539</f>
        <v>45365</v>
      </c>
      <c r="D11539" t="str">
        <f>TEST_DATA!D11539</f>
        <v>NON-NIL</v>
      </c>
      <c r="E11539">
        <f>TEST_DATA!E11539</f>
        <v>983</v>
      </c>
    </row>
    <row r="11540" spans="1:5" x14ac:dyDescent="0.55000000000000004">
      <c r="A11540" t="str">
        <f>TEST_DATA!A11540</f>
        <v>27AAAAA11540Z5</v>
      </c>
      <c r="B11540" t="str">
        <f>TEST_DATA!B11540</f>
        <v>Mar-2023</v>
      </c>
      <c r="C11540">
        <f>TEST_DATA!C11540</f>
        <v>45170</v>
      </c>
      <c r="D11540" t="str">
        <f>TEST_DATA!D11540</f>
        <v>NON-NIL</v>
      </c>
      <c r="E11540">
        <f>TEST_DATA!E11540</f>
        <v>1868</v>
      </c>
    </row>
    <row r="11541" spans="1:5" x14ac:dyDescent="0.55000000000000004">
      <c r="A11541" t="str">
        <f>TEST_DATA!A11541</f>
        <v>27AAAAA11541Z5</v>
      </c>
      <c r="B11541" t="str">
        <f>TEST_DATA!B11541</f>
        <v>Jul-2018</v>
      </c>
      <c r="C11541">
        <f>TEST_DATA!C11541</f>
        <v>43554</v>
      </c>
      <c r="D11541" t="str">
        <f>TEST_DATA!D11541</f>
        <v>NON-NIL</v>
      </c>
      <c r="E11541">
        <f>TEST_DATA!E11541</f>
        <v>1427</v>
      </c>
    </row>
    <row r="11542" spans="1:5" x14ac:dyDescent="0.55000000000000004">
      <c r="A11542" t="str">
        <f>TEST_DATA!A11542</f>
        <v>27AAAAA11542Z5</v>
      </c>
      <c r="B11542" t="str">
        <f>TEST_DATA!B11542</f>
        <v>Apr-2018</v>
      </c>
      <c r="C11542">
        <f>TEST_DATA!C11542</f>
        <v>43594</v>
      </c>
      <c r="D11542" t="str">
        <f>TEST_DATA!D11542</f>
        <v>NIL</v>
      </c>
      <c r="E11542">
        <f>TEST_DATA!E11542</f>
        <v>852</v>
      </c>
    </row>
    <row r="11543" spans="1:5" x14ac:dyDescent="0.55000000000000004">
      <c r="A11543" t="str">
        <f>TEST_DATA!A11543</f>
        <v>27AAAAA11543Z5</v>
      </c>
      <c r="B11543" t="str">
        <f>TEST_DATA!B11543</f>
        <v>Mar-2018</v>
      </c>
      <c r="C11543">
        <f>TEST_DATA!C11543</f>
        <v>43949</v>
      </c>
      <c r="D11543" t="str">
        <f>TEST_DATA!D11543</f>
        <v>NIL</v>
      </c>
      <c r="E11543">
        <f>TEST_DATA!E11543</f>
        <v>2512</v>
      </c>
    </row>
    <row r="11544" spans="1:5" x14ac:dyDescent="0.55000000000000004">
      <c r="A11544" t="str">
        <f>TEST_DATA!A11544</f>
        <v>27AAAAA11544Z5</v>
      </c>
      <c r="B11544" t="str">
        <f>TEST_DATA!B11544</f>
        <v>May-2018</v>
      </c>
      <c r="C11544">
        <f>TEST_DATA!C11544</f>
        <v>44342</v>
      </c>
      <c r="D11544" t="str">
        <f>TEST_DATA!D11544</f>
        <v>NON-NIL</v>
      </c>
      <c r="E11544">
        <f>TEST_DATA!E11544</f>
        <v>827</v>
      </c>
    </row>
    <row r="11545" spans="1:5" x14ac:dyDescent="0.55000000000000004">
      <c r="A11545" t="str">
        <f>TEST_DATA!A11545</f>
        <v>27AAAAA11545Z5</v>
      </c>
      <c r="B11545" t="str">
        <f>TEST_DATA!B11545</f>
        <v>Jun-2018</v>
      </c>
      <c r="C11545">
        <f>TEST_DATA!C11545</f>
        <v>44497</v>
      </c>
      <c r="D11545" t="str">
        <f>TEST_DATA!D11545</f>
        <v>NIL</v>
      </c>
      <c r="E11545">
        <f>TEST_DATA!E11545</f>
        <v>441</v>
      </c>
    </row>
    <row r="11546" spans="1:5" x14ac:dyDescent="0.55000000000000004">
      <c r="A11546" t="str">
        <f>TEST_DATA!A11546</f>
        <v>27AAAAA11546Z5</v>
      </c>
      <c r="B11546" t="str">
        <f>TEST_DATA!B11546</f>
        <v>Dec-2024</v>
      </c>
      <c r="C11546">
        <f>TEST_DATA!C11546</f>
        <v>43672</v>
      </c>
      <c r="D11546" t="str">
        <f>TEST_DATA!D11546</f>
        <v>NIL</v>
      </c>
      <c r="E11546">
        <f>TEST_DATA!E11546</f>
        <v>1563</v>
      </c>
    </row>
    <row r="11547" spans="1:5" x14ac:dyDescent="0.55000000000000004">
      <c r="A11547" t="str">
        <f>TEST_DATA!A11547</f>
        <v>27AAAAA11547Z5</v>
      </c>
      <c r="B11547" t="str">
        <f>TEST_DATA!B11547</f>
        <v>Apr-2020</v>
      </c>
      <c r="C11547">
        <f>TEST_DATA!C11547</f>
        <v>44249</v>
      </c>
      <c r="D11547" t="str">
        <f>TEST_DATA!D11547</f>
        <v>NON-NIL</v>
      </c>
      <c r="E11547">
        <f>TEST_DATA!E11547</f>
        <v>1521</v>
      </c>
    </row>
    <row r="11548" spans="1:5" x14ac:dyDescent="0.55000000000000004">
      <c r="A11548" t="str">
        <f>TEST_DATA!A11548</f>
        <v>27AAAAA11548Z5</v>
      </c>
      <c r="B11548" t="str">
        <f>TEST_DATA!B11548</f>
        <v>Jan-2018</v>
      </c>
      <c r="C11548">
        <f>TEST_DATA!C11548</f>
        <v>43398</v>
      </c>
      <c r="D11548" t="str">
        <f>TEST_DATA!D11548</f>
        <v>NIL</v>
      </c>
      <c r="E11548">
        <f>TEST_DATA!E11548</f>
        <v>2201</v>
      </c>
    </row>
    <row r="11549" spans="1:5" x14ac:dyDescent="0.55000000000000004">
      <c r="A11549" t="str">
        <f>TEST_DATA!A11549</f>
        <v>27AAAAA11549Z5</v>
      </c>
      <c r="B11549" t="str">
        <f>TEST_DATA!B11549</f>
        <v>Apr-2020</v>
      </c>
      <c r="C11549">
        <f>TEST_DATA!C11549</f>
        <v>44108</v>
      </c>
      <c r="D11549" t="str">
        <f>TEST_DATA!D11549</f>
        <v>NIL</v>
      </c>
      <c r="E11549">
        <f>TEST_DATA!E11549</f>
        <v>2830</v>
      </c>
    </row>
    <row r="11550" spans="1:5" x14ac:dyDescent="0.55000000000000004">
      <c r="A11550" t="str">
        <f>TEST_DATA!A11550</f>
        <v>27AAAAA11550Z5</v>
      </c>
      <c r="B11550" t="str">
        <f>TEST_DATA!B11550</f>
        <v>Feb-2018</v>
      </c>
      <c r="C11550">
        <f>TEST_DATA!C11550</f>
        <v>43303</v>
      </c>
      <c r="D11550" t="str">
        <f>TEST_DATA!D11550</f>
        <v>NIL</v>
      </c>
      <c r="E11550">
        <f>TEST_DATA!E11550</f>
        <v>842</v>
      </c>
    </row>
    <row r="11551" spans="1:5" x14ac:dyDescent="0.55000000000000004">
      <c r="A11551" t="str">
        <f>TEST_DATA!A11551</f>
        <v>27AAAAA11551Z5</v>
      </c>
      <c r="B11551" t="str">
        <f>TEST_DATA!B11551</f>
        <v>Jun-2018</v>
      </c>
      <c r="C11551">
        <f>TEST_DATA!C11551</f>
        <v>44307</v>
      </c>
      <c r="D11551" t="str">
        <f>TEST_DATA!D11551</f>
        <v>NIL</v>
      </c>
      <c r="E11551">
        <f>TEST_DATA!E11551</f>
        <v>1275</v>
      </c>
    </row>
    <row r="11552" spans="1:5" x14ac:dyDescent="0.55000000000000004">
      <c r="A11552" t="str">
        <f>TEST_DATA!A11552</f>
        <v>27AAAAA11552Z5</v>
      </c>
      <c r="B11552" t="str">
        <f>TEST_DATA!B11552</f>
        <v>May-2020</v>
      </c>
      <c r="C11552">
        <f>TEST_DATA!C11552</f>
        <v>44896</v>
      </c>
      <c r="D11552" t="str">
        <f>TEST_DATA!D11552</f>
        <v>NON-NIL</v>
      </c>
      <c r="E11552">
        <f>TEST_DATA!E11552</f>
        <v>1377</v>
      </c>
    </row>
    <row r="11553" spans="1:5" x14ac:dyDescent="0.55000000000000004">
      <c r="A11553" t="str">
        <f>TEST_DATA!A11553</f>
        <v>27AAAAA11553Z5</v>
      </c>
      <c r="B11553" t="str">
        <f>TEST_DATA!B11553</f>
        <v>Jan-2021</v>
      </c>
      <c r="C11553">
        <f>TEST_DATA!C11553</f>
        <v>43582</v>
      </c>
      <c r="D11553" t="str">
        <f>TEST_DATA!D11553</f>
        <v>NON-NIL</v>
      </c>
      <c r="E11553">
        <f>TEST_DATA!E11553</f>
        <v>93</v>
      </c>
    </row>
    <row r="11554" spans="1:5" x14ac:dyDescent="0.55000000000000004">
      <c r="A11554" t="str">
        <f>TEST_DATA!A11554</f>
        <v>27AAAAA11554Z5</v>
      </c>
      <c r="B11554" t="str">
        <f>TEST_DATA!B11554</f>
        <v>Nov-2017</v>
      </c>
      <c r="C11554">
        <f>TEST_DATA!C11554</f>
        <v>43688</v>
      </c>
      <c r="D11554" t="str">
        <f>TEST_DATA!D11554</f>
        <v>NON-NIL</v>
      </c>
      <c r="E11554">
        <f>TEST_DATA!E11554</f>
        <v>71</v>
      </c>
    </row>
    <row r="11555" spans="1:5" x14ac:dyDescent="0.55000000000000004">
      <c r="A11555" t="str">
        <f>TEST_DATA!A11555</f>
        <v>27AAAAA11555Z5</v>
      </c>
      <c r="B11555" t="str">
        <f>TEST_DATA!B11555</f>
        <v>Aug-2018</v>
      </c>
      <c r="C11555">
        <f>TEST_DATA!C11555</f>
        <v>43200</v>
      </c>
      <c r="D11555" t="str">
        <f>TEST_DATA!D11555</f>
        <v>NON-NIL</v>
      </c>
      <c r="E11555">
        <f>TEST_DATA!E11555</f>
        <v>58</v>
      </c>
    </row>
    <row r="11556" spans="1:5" x14ac:dyDescent="0.55000000000000004">
      <c r="A11556" t="str">
        <f>TEST_DATA!A11556</f>
        <v>27AAAAA11556Z5</v>
      </c>
      <c r="B11556" t="str">
        <f>TEST_DATA!B11556</f>
        <v>Jul-2018</v>
      </c>
      <c r="C11556">
        <f>TEST_DATA!C11556</f>
        <v>43818</v>
      </c>
      <c r="D11556" t="str">
        <f>TEST_DATA!D11556</f>
        <v>NON-NIL</v>
      </c>
      <c r="E11556">
        <f>TEST_DATA!E11556</f>
        <v>2938</v>
      </c>
    </row>
    <row r="11557" spans="1:5" x14ac:dyDescent="0.55000000000000004">
      <c r="A11557" t="str">
        <f>TEST_DATA!A11557</f>
        <v>27AAAAA11557Z5</v>
      </c>
      <c r="B11557" t="str">
        <f>TEST_DATA!B11557</f>
        <v>Oct-2017</v>
      </c>
      <c r="C11557">
        <f>TEST_DATA!C11557</f>
        <v>43572</v>
      </c>
      <c r="D11557" t="str">
        <f>TEST_DATA!D11557</f>
        <v>NIL</v>
      </c>
      <c r="E11557">
        <f>TEST_DATA!E11557</f>
        <v>1216</v>
      </c>
    </row>
    <row r="11558" spans="1:5" x14ac:dyDescent="0.55000000000000004">
      <c r="A11558" t="str">
        <f>TEST_DATA!A11558</f>
        <v>27AAAAA11558Z5</v>
      </c>
      <c r="B11558" t="str">
        <f>TEST_DATA!B11558</f>
        <v>Apr-2018</v>
      </c>
      <c r="C11558">
        <f>TEST_DATA!C11558</f>
        <v>43955</v>
      </c>
      <c r="D11558" t="str">
        <f>TEST_DATA!D11558</f>
        <v>NON-NIL</v>
      </c>
      <c r="E11558">
        <f>TEST_DATA!E11558</f>
        <v>1789</v>
      </c>
    </row>
    <row r="11559" spans="1:5" x14ac:dyDescent="0.55000000000000004">
      <c r="A11559" t="str">
        <f>TEST_DATA!A11559</f>
        <v>27AAAAA11559Z5</v>
      </c>
      <c r="B11559" t="str">
        <f>TEST_DATA!B11559</f>
        <v>Dec-2017</v>
      </c>
      <c r="C11559">
        <f>TEST_DATA!C11559</f>
        <v>43136</v>
      </c>
      <c r="D11559" t="str">
        <f>TEST_DATA!D11559</f>
        <v>NON-NIL</v>
      </c>
      <c r="E11559">
        <f>TEST_DATA!E11559</f>
        <v>1170</v>
      </c>
    </row>
    <row r="11560" spans="1:5" x14ac:dyDescent="0.55000000000000004">
      <c r="A11560" t="str">
        <f>TEST_DATA!A11560</f>
        <v>27AAAAA11560Z5</v>
      </c>
      <c r="B11560" t="str">
        <f>TEST_DATA!B11560</f>
        <v>Dec-2019</v>
      </c>
      <c r="C11560">
        <f>TEST_DATA!C11560</f>
        <v>44468</v>
      </c>
      <c r="D11560" t="str">
        <f>TEST_DATA!D11560</f>
        <v>NON-NIL</v>
      </c>
      <c r="E11560">
        <f>TEST_DATA!E11560</f>
        <v>2707</v>
      </c>
    </row>
    <row r="11561" spans="1:5" x14ac:dyDescent="0.55000000000000004">
      <c r="A11561" t="str">
        <f>TEST_DATA!A11561</f>
        <v>27AAAAA11561Z5</v>
      </c>
      <c r="B11561" t="str">
        <f>TEST_DATA!B11561</f>
        <v>Nov-2017</v>
      </c>
      <c r="C11561">
        <f>TEST_DATA!C11561</f>
        <v>43845</v>
      </c>
      <c r="D11561" t="str">
        <f>TEST_DATA!D11561</f>
        <v>NON-NIL</v>
      </c>
      <c r="E11561">
        <f>TEST_DATA!E11561</f>
        <v>1020</v>
      </c>
    </row>
    <row r="11562" spans="1:5" x14ac:dyDescent="0.55000000000000004">
      <c r="A11562" t="str">
        <f>TEST_DATA!A11562</f>
        <v>27AAAAA11562Z5</v>
      </c>
      <c r="B11562" t="str">
        <f>TEST_DATA!B11562</f>
        <v>Aug-2017</v>
      </c>
      <c r="C11562">
        <f>TEST_DATA!C11562</f>
        <v>43273</v>
      </c>
      <c r="D11562" t="str">
        <f>TEST_DATA!D11562</f>
        <v>NON-NIL</v>
      </c>
      <c r="E11562">
        <f>TEST_DATA!E11562</f>
        <v>219</v>
      </c>
    </row>
    <row r="11563" spans="1:5" x14ac:dyDescent="0.55000000000000004">
      <c r="A11563" t="str">
        <f>TEST_DATA!A11563</f>
        <v>27AAAAA11563Z5</v>
      </c>
      <c r="B11563" t="str">
        <f>TEST_DATA!B11563</f>
        <v>Aug-2018</v>
      </c>
      <c r="C11563">
        <f>TEST_DATA!C11563</f>
        <v>44077</v>
      </c>
      <c r="D11563" t="str">
        <f>TEST_DATA!D11563</f>
        <v>NON-NIL</v>
      </c>
      <c r="E11563">
        <f>TEST_DATA!E11563</f>
        <v>1957</v>
      </c>
    </row>
    <row r="11564" spans="1:5" x14ac:dyDescent="0.55000000000000004">
      <c r="A11564" t="str">
        <f>TEST_DATA!A11564</f>
        <v>27AAAAA11564Z5</v>
      </c>
      <c r="B11564" t="str">
        <f>TEST_DATA!B11564</f>
        <v>Dec-2017</v>
      </c>
      <c r="C11564">
        <f>TEST_DATA!C11564</f>
        <v>43623</v>
      </c>
      <c r="D11564" t="str">
        <f>TEST_DATA!D11564</f>
        <v>NIL</v>
      </c>
      <c r="E11564">
        <f>TEST_DATA!E11564</f>
        <v>2730</v>
      </c>
    </row>
    <row r="11565" spans="1:5" x14ac:dyDescent="0.55000000000000004">
      <c r="A11565" t="str">
        <f>TEST_DATA!A11565</f>
        <v>27AAAAA11565Z5</v>
      </c>
      <c r="B11565" t="str">
        <f>TEST_DATA!B11565</f>
        <v>Aug-2017</v>
      </c>
      <c r="C11565">
        <f>TEST_DATA!C11565</f>
        <v>43239</v>
      </c>
      <c r="D11565" t="str">
        <f>TEST_DATA!D11565</f>
        <v>NIL</v>
      </c>
      <c r="E11565">
        <f>TEST_DATA!E11565</f>
        <v>1479</v>
      </c>
    </row>
    <row r="11566" spans="1:5" x14ac:dyDescent="0.55000000000000004">
      <c r="A11566" t="str">
        <f>TEST_DATA!A11566</f>
        <v>27AAAAA11566Z5</v>
      </c>
      <c r="B11566" t="str">
        <f>TEST_DATA!B11566</f>
        <v>Jun-2019</v>
      </c>
      <c r="C11566">
        <f>TEST_DATA!C11566</f>
        <v>44310</v>
      </c>
      <c r="D11566" t="str">
        <f>TEST_DATA!D11566</f>
        <v>NON-NIL</v>
      </c>
      <c r="E11566">
        <f>TEST_DATA!E11566</f>
        <v>1892</v>
      </c>
    </row>
    <row r="11567" spans="1:5" x14ac:dyDescent="0.55000000000000004">
      <c r="A11567" t="str">
        <f>TEST_DATA!A11567</f>
        <v>27AAAAA11567Z5</v>
      </c>
      <c r="B11567" t="str">
        <f>TEST_DATA!B11567</f>
        <v>Mar-2021</v>
      </c>
      <c r="C11567">
        <f>TEST_DATA!C11567</f>
        <v>43923</v>
      </c>
      <c r="D11567" t="str">
        <f>TEST_DATA!D11567</f>
        <v>NIL</v>
      </c>
      <c r="E11567">
        <f>TEST_DATA!E11567</f>
        <v>1532</v>
      </c>
    </row>
    <row r="11568" spans="1:5" x14ac:dyDescent="0.55000000000000004">
      <c r="A11568" t="str">
        <f>TEST_DATA!A11568</f>
        <v>27AAAAA11568Z5</v>
      </c>
      <c r="B11568" t="str">
        <f>TEST_DATA!B11568</f>
        <v>Dec-2019</v>
      </c>
      <c r="C11568">
        <f>TEST_DATA!C11568</f>
        <v>44206</v>
      </c>
      <c r="D11568" t="str">
        <f>TEST_DATA!D11568</f>
        <v>NON-NIL</v>
      </c>
      <c r="E11568">
        <f>TEST_DATA!E11568</f>
        <v>2173</v>
      </c>
    </row>
    <row r="11569" spans="1:5" x14ac:dyDescent="0.55000000000000004">
      <c r="A11569" t="str">
        <f>TEST_DATA!A11569</f>
        <v>27AAAAA11569Z5</v>
      </c>
      <c r="B11569" t="str">
        <f>TEST_DATA!B11569</f>
        <v>Mar-2021</v>
      </c>
      <c r="C11569">
        <f>TEST_DATA!C11569</f>
        <v>45757</v>
      </c>
      <c r="D11569" t="str">
        <f>TEST_DATA!D11569</f>
        <v>NIL</v>
      </c>
      <c r="E11569">
        <f>TEST_DATA!E11569</f>
        <v>2423</v>
      </c>
    </row>
    <row r="11570" spans="1:5" x14ac:dyDescent="0.55000000000000004">
      <c r="A11570" t="str">
        <f>TEST_DATA!A11570</f>
        <v>27AAAAA11570Z5</v>
      </c>
      <c r="B11570" t="str">
        <f>TEST_DATA!B11570</f>
        <v>Jun-2020</v>
      </c>
      <c r="C11570">
        <f>TEST_DATA!C11570</f>
        <v>44445</v>
      </c>
      <c r="D11570" t="str">
        <f>TEST_DATA!D11570</f>
        <v>NON-NIL</v>
      </c>
      <c r="E11570">
        <f>TEST_DATA!E11570</f>
        <v>338</v>
      </c>
    </row>
    <row r="11571" spans="1:5" x14ac:dyDescent="0.55000000000000004">
      <c r="A11571" t="str">
        <f>TEST_DATA!A11571</f>
        <v>27AAAAA11571Z5</v>
      </c>
      <c r="B11571" t="str">
        <f>TEST_DATA!B11571</f>
        <v>Jul-2018</v>
      </c>
      <c r="C11571">
        <f>TEST_DATA!C11571</f>
        <v>44306</v>
      </c>
      <c r="D11571" t="str">
        <f>TEST_DATA!D11571</f>
        <v>NON-NIL</v>
      </c>
      <c r="E11571">
        <f>TEST_DATA!E11571</f>
        <v>2559</v>
      </c>
    </row>
    <row r="11572" spans="1:5" x14ac:dyDescent="0.55000000000000004">
      <c r="A11572" t="str">
        <f>TEST_DATA!A11572</f>
        <v>27AAAAA11572Z5</v>
      </c>
      <c r="B11572" t="str">
        <f>TEST_DATA!B11572</f>
        <v>Mar-2020</v>
      </c>
      <c r="C11572">
        <f>TEST_DATA!C11572</f>
        <v>43968</v>
      </c>
      <c r="D11572" t="str">
        <f>TEST_DATA!D11572</f>
        <v>NON-NIL</v>
      </c>
      <c r="E11572">
        <f>TEST_DATA!E11572</f>
        <v>1284</v>
      </c>
    </row>
    <row r="11573" spans="1:5" x14ac:dyDescent="0.55000000000000004">
      <c r="A11573" t="str">
        <f>TEST_DATA!A11573</f>
        <v>27AAAAA11573Z5</v>
      </c>
      <c r="B11573" t="str">
        <f>TEST_DATA!B11573</f>
        <v>Dec-2022</v>
      </c>
      <c r="C11573">
        <f>TEST_DATA!C11573</f>
        <v>45078</v>
      </c>
      <c r="D11573" t="str">
        <f>TEST_DATA!D11573</f>
        <v>NON-NIL</v>
      </c>
      <c r="E11573">
        <f>TEST_DATA!E11573</f>
        <v>1222</v>
      </c>
    </row>
    <row r="11574" spans="1:5" x14ac:dyDescent="0.55000000000000004">
      <c r="A11574" t="str">
        <f>TEST_DATA!A11574</f>
        <v>27AAAAA11574Z5</v>
      </c>
      <c r="B11574" t="str">
        <f>TEST_DATA!B11574</f>
        <v>Aug-2018</v>
      </c>
      <c r="C11574">
        <f>TEST_DATA!C11574</f>
        <v>43431</v>
      </c>
      <c r="D11574" t="str">
        <f>TEST_DATA!D11574</f>
        <v>NON-NIL</v>
      </c>
      <c r="E11574">
        <f>TEST_DATA!E11574</f>
        <v>591</v>
      </c>
    </row>
    <row r="11575" spans="1:5" x14ac:dyDescent="0.55000000000000004">
      <c r="A11575" t="str">
        <f>TEST_DATA!A11575</f>
        <v>27AAAAA11575Z5</v>
      </c>
      <c r="B11575" t="str">
        <f>TEST_DATA!B11575</f>
        <v>Feb-2018</v>
      </c>
      <c r="C11575">
        <f>TEST_DATA!C11575</f>
        <v>44113</v>
      </c>
      <c r="D11575" t="str">
        <f>TEST_DATA!D11575</f>
        <v>NIL</v>
      </c>
      <c r="E11575">
        <f>TEST_DATA!E11575</f>
        <v>123</v>
      </c>
    </row>
    <row r="11576" spans="1:5" x14ac:dyDescent="0.55000000000000004">
      <c r="A11576" t="str">
        <f>TEST_DATA!A11576</f>
        <v>27AAAAA11576Z5</v>
      </c>
      <c r="B11576" t="str">
        <f>TEST_DATA!B11576</f>
        <v>Mar-2018</v>
      </c>
      <c r="C11576">
        <f>TEST_DATA!C11576</f>
        <v>43065</v>
      </c>
      <c r="D11576" t="str">
        <f>TEST_DATA!D11576</f>
        <v>NON-NIL</v>
      </c>
      <c r="E11576">
        <f>TEST_DATA!E11576</f>
        <v>695</v>
      </c>
    </row>
    <row r="11577" spans="1:5" x14ac:dyDescent="0.55000000000000004">
      <c r="A11577" t="str">
        <f>TEST_DATA!A11577</f>
        <v>27AAAAA11577Z5</v>
      </c>
      <c r="B11577" t="str">
        <f>TEST_DATA!B11577</f>
        <v>Apr-2018</v>
      </c>
      <c r="C11577">
        <f>TEST_DATA!C11577</f>
        <v>43236</v>
      </c>
      <c r="D11577" t="str">
        <f>TEST_DATA!D11577</f>
        <v>NON-NIL</v>
      </c>
      <c r="E11577">
        <f>TEST_DATA!E11577</f>
        <v>2029</v>
      </c>
    </row>
    <row r="11578" spans="1:5" x14ac:dyDescent="0.55000000000000004">
      <c r="A11578" t="str">
        <f>TEST_DATA!A11578</f>
        <v>27AAAAA11578Z5</v>
      </c>
      <c r="B11578" t="str">
        <f>TEST_DATA!B11578</f>
        <v>Dec-2019</v>
      </c>
      <c r="C11578">
        <f>TEST_DATA!C11578</f>
        <v>44962</v>
      </c>
      <c r="D11578" t="str">
        <f>TEST_DATA!D11578</f>
        <v>NON-NIL</v>
      </c>
      <c r="E11578">
        <f>TEST_DATA!E11578</f>
        <v>1047</v>
      </c>
    </row>
    <row r="11579" spans="1:5" x14ac:dyDescent="0.55000000000000004">
      <c r="A11579" t="str">
        <f>TEST_DATA!A11579</f>
        <v>27AAAAA11579Z5</v>
      </c>
      <c r="B11579" t="str">
        <f>TEST_DATA!B11579</f>
        <v>Jan-2019</v>
      </c>
      <c r="C11579">
        <f>TEST_DATA!C11579</f>
        <v>43504</v>
      </c>
      <c r="D11579" t="str">
        <f>TEST_DATA!D11579</f>
        <v>NIL</v>
      </c>
      <c r="E11579">
        <f>TEST_DATA!E11579</f>
        <v>2056</v>
      </c>
    </row>
    <row r="11580" spans="1:5" x14ac:dyDescent="0.55000000000000004">
      <c r="A11580" t="str">
        <f>TEST_DATA!A11580</f>
        <v>27AAAAA11580Z5</v>
      </c>
      <c r="B11580" t="str">
        <f>TEST_DATA!B11580</f>
        <v>Mar-2020</v>
      </c>
      <c r="C11580">
        <f>TEST_DATA!C11580</f>
        <v>44793</v>
      </c>
      <c r="D11580" t="str">
        <f>TEST_DATA!D11580</f>
        <v>NON-NIL</v>
      </c>
      <c r="E11580">
        <f>TEST_DATA!E11580</f>
        <v>2453</v>
      </c>
    </row>
    <row r="11581" spans="1:5" x14ac:dyDescent="0.55000000000000004">
      <c r="A11581" t="str">
        <f>TEST_DATA!A11581</f>
        <v>27AAAAA11581Z5</v>
      </c>
      <c r="B11581" t="str">
        <f>TEST_DATA!B11581</f>
        <v>Jun-2020</v>
      </c>
      <c r="C11581">
        <f>TEST_DATA!C11581</f>
        <v>44540</v>
      </c>
      <c r="D11581" t="str">
        <f>TEST_DATA!D11581</f>
        <v>NIL</v>
      </c>
      <c r="E11581">
        <f>TEST_DATA!E11581</f>
        <v>511</v>
      </c>
    </row>
    <row r="11582" spans="1:5" x14ac:dyDescent="0.55000000000000004">
      <c r="A11582" t="str">
        <f>TEST_DATA!A11582</f>
        <v>27AAAAA11582Z5</v>
      </c>
      <c r="B11582" t="str">
        <f>TEST_DATA!B11582</f>
        <v>Dec-2024</v>
      </c>
      <c r="C11582">
        <f>TEST_DATA!C11582</f>
        <v>44699</v>
      </c>
      <c r="D11582" t="str">
        <f>TEST_DATA!D11582</f>
        <v>NON-NIL</v>
      </c>
      <c r="E11582">
        <f>TEST_DATA!E11582</f>
        <v>1849</v>
      </c>
    </row>
    <row r="11583" spans="1:5" x14ac:dyDescent="0.55000000000000004">
      <c r="A11583" t="str">
        <f>TEST_DATA!A11583</f>
        <v>27AAAAA11583Z5</v>
      </c>
      <c r="B11583" t="str">
        <f>TEST_DATA!B11583</f>
        <v>Aug-2017</v>
      </c>
      <c r="C11583">
        <f>TEST_DATA!C11583</f>
        <v>44450</v>
      </c>
      <c r="D11583" t="str">
        <f>TEST_DATA!D11583</f>
        <v>NIL</v>
      </c>
      <c r="E11583">
        <f>TEST_DATA!E11583</f>
        <v>1734</v>
      </c>
    </row>
    <row r="11584" spans="1:5" x14ac:dyDescent="0.55000000000000004">
      <c r="A11584" t="str">
        <f>TEST_DATA!A11584</f>
        <v>27AAAAA11584Z5</v>
      </c>
      <c r="B11584" t="str">
        <f>TEST_DATA!B11584</f>
        <v>Jan-2019</v>
      </c>
      <c r="C11584">
        <f>TEST_DATA!C11584</f>
        <v>44052</v>
      </c>
      <c r="D11584" t="str">
        <f>TEST_DATA!D11584</f>
        <v>NON-NIL</v>
      </c>
      <c r="E11584">
        <f>TEST_DATA!E11584</f>
        <v>182</v>
      </c>
    </row>
    <row r="11585" spans="1:5" x14ac:dyDescent="0.55000000000000004">
      <c r="A11585" t="str">
        <f>TEST_DATA!A11585</f>
        <v>27AAAAA11585Z5</v>
      </c>
      <c r="B11585" t="str">
        <f>TEST_DATA!B11585</f>
        <v>Jan-2021</v>
      </c>
      <c r="C11585">
        <f>TEST_DATA!C11585</f>
        <v>43991</v>
      </c>
      <c r="D11585" t="str">
        <f>TEST_DATA!D11585</f>
        <v>NIL</v>
      </c>
      <c r="E11585">
        <f>TEST_DATA!E11585</f>
        <v>234</v>
      </c>
    </row>
    <row r="11586" spans="1:5" x14ac:dyDescent="0.55000000000000004">
      <c r="A11586" t="str">
        <f>TEST_DATA!A11586</f>
        <v>27AAAAA11586Z5</v>
      </c>
      <c r="B11586" t="str">
        <f>TEST_DATA!B11586</f>
        <v>Apr-2021</v>
      </c>
      <c r="C11586">
        <f>TEST_DATA!C11586</f>
        <v>44734</v>
      </c>
      <c r="D11586" t="str">
        <f>TEST_DATA!D11586</f>
        <v>NIL</v>
      </c>
      <c r="E11586">
        <f>TEST_DATA!E11586</f>
        <v>1890</v>
      </c>
    </row>
    <row r="11587" spans="1:5" x14ac:dyDescent="0.55000000000000004">
      <c r="A11587" t="str">
        <f>TEST_DATA!A11587</f>
        <v>27AAAAA11587Z5</v>
      </c>
      <c r="B11587" t="str">
        <f>TEST_DATA!B11587</f>
        <v>Jan-2019</v>
      </c>
      <c r="C11587">
        <f>TEST_DATA!C11587</f>
        <v>43598</v>
      </c>
      <c r="D11587" t="str">
        <f>TEST_DATA!D11587</f>
        <v>NON-NIL</v>
      </c>
      <c r="E11587">
        <f>TEST_DATA!E11587</f>
        <v>988</v>
      </c>
    </row>
    <row r="11588" spans="1:5" x14ac:dyDescent="0.55000000000000004">
      <c r="A11588" t="str">
        <f>TEST_DATA!A11588</f>
        <v>27AAAAA11588Z5</v>
      </c>
      <c r="B11588" t="str">
        <f>TEST_DATA!B11588</f>
        <v>Mar-2018</v>
      </c>
      <c r="C11588">
        <f>TEST_DATA!C11588</f>
        <v>44352</v>
      </c>
      <c r="D11588" t="str">
        <f>TEST_DATA!D11588</f>
        <v>NON-NIL</v>
      </c>
      <c r="E11588">
        <f>TEST_DATA!E11588</f>
        <v>175</v>
      </c>
    </row>
    <row r="11589" spans="1:5" x14ac:dyDescent="0.55000000000000004">
      <c r="A11589" t="str">
        <f>TEST_DATA!A11589</f>
        <v>27AAAAA11589Z5</v>
      </c>
      <c r="B11589" t="str">
        <f>TEST_DATA!B11589</f>
        <v>Jun-2020</v>
      </c>
      <c r="C11589">
        <f>TEST_DATA!C11589</f>
        <v>44339</v>
      </c>
      <c r="D11589" t="str">
        <f>TEST_DATA!D11589</f>
        <v>NIL</v>
      </c>
      <c r="E11589">
        <f>TEST_DATA!E11589</f>
        <v>1694</v>
      </c>
    </row>
    <row r="11590" spans="1:5" x14ac:dyDescent="0.55000000000000004">
      <c r="A11590" t="str">
        <f>TEST_DATA!A11590</f>
        <v>27AAAAA11590Z5</v>
      </c>
      <c r="B11590" t="str">
        <f>TEST_DATA!B11590</f>
        <v>Oct-2017</v>
      </c>
      <c r="C11590">
        <f>TEST_DATA!C11590</f>
        <v>43370</v>
      </c>
      <c r="D11590" t="str">
        <f>TEST_DATA!D11590</f>
        <v>NON-NIL</v>
      </c>
      <c r="E11590">
        <f>TEST_DATA!E11590</f>
        <v>51</v>
      </c>
    </row>
    <row r="11591" spans="1:5" x14ac:dyDescent="0.55000000000000004">
      <c r="A11591" t="str">
        <f>TEST_DATA!A11591</f>
        <v>27AAAAA11591Z5</v>
      </c>
      <c r="B11591" t="str">
        <f>TEST_DATA!B11591</f>
        <v>Jan-2021</v>
      </c>
      <c r="C11591">
        <f>TEST_DATA!C11591</f>
        <v>45462</v>
      </c>
      <c r="D11591" t="str">
        <f>TEST_DATA!D11591</f>
        <v>NIL</v>
      </c>
      <c r="E11591">
        <f>TEST_DATA!E11591</f>
        <v>2806</v>
      </c>
    </row>
    <row r="11592" spans="1:5" x14ac:dyDescent="0.55000000000000004">
      <c r="A11592" t="str">
        <f>TEST_DATA!A11592</f>
        <v>27AAAAA11592Z5</v>
      </c>
      <c r="B11592" t="str">
        <f>TEST_DATA!B11592</f>
        <v>Jan-2021</v>
      </c>
      <c r="C11592">
        <f>TEST_DATA!C11592</f>
        <v>43825</v>
      </c>
      <c r="D11592" t="str">
        <f>TEST_DATA!D11592</f>
        <v>NON-NIL</v>
      </c>
      <c r="E11592">
        <f>TEST_DATA!E11592</f>
        <v>1098</v>
      </c>
    </row>
    <row r="11593" spans="1:5" x14ac:dyDescent="0.55000000000000004">
      <c r="A11593" t="str">
        <f>TEST_DATA!A11593</f>
        <v>27AAAAA11593Z5</v>
      </c>
      <c r="B11593" t="str">
        <f>TEST_DATA!B11593</f>
        <v>Jun-2018</v>
      </c>
      <c r="C11593">
        <f>TEST_DATA!C11593</f>
        <v>43902</v>
      </c>
      <c r="D11593" t="str">
        <f>TEST_DATA!D11593</f>
        <v>NON-NIL</v>
      </c>
      <c r="E11593">
        <f>TEST_DATA!E11593</f>
        <v>726</v>
      </c>
    </row>
    <row r="11594" spans="1:5" x14ac:dyDescent="0.55000000000000004">
      <c r="A11594" t="str">
        <f>TEST_DATA!A11594</f>
        <v>27AAAAA11594Z5</v>
      </c>
      <c r="B11594" t="str">
        <f>TEST_DATA!B11594</f>
        <v>Jan-2019</v>
      </c>
      <c r="C11594">
        <f>TEST_DATA!C11594</f>
        <v>44880</v>
      </c>
      <c r="D11594" t="str">
        <f>TEST_DATA!D11594</f>
        <v>NON-NIL</v>
      </c>
      <c r="E11594">
        <f>TEST_DATA!E11594</f>
        <v>2652</v>
      </c>
    </row>
    <row r="11595" spans="1:5" x14ac:dyDescent="0.55000000000000004">
      <c r="A11595" t="str">
        <f>TEST_DATA!A11595</f>
        <v>27AAAAA11595Z5</v>
      </c>
      <c r="B11595" t="str">
        <f>TEST_DATA!B11595</f>
        <v>Dec-2017</v>
      </c>
      <c r="C11595">
        <f>TEST_DATA!C11595</f>
        <v>44386</v>
      </c>
      <c r="D11595" t="str">
        <f>TEST_DATA!D11595</f>
        <v>NIL</v>
      </c>
      <c r="E11595">
        <f>TEST_DATA!E11595</f>
        <v>514</v>
      </c>
    </row>
    <row r="11596" spans="1:5" x14ac:dyDescent="0.55000000000000004">
      <c r="A11596" t="str">
        <f>TEST_DATA!A11596</f>
        <v>27AAAAA11596Z5</v>
      </c>
      <c r="B11596" t="str">
        <f>TEST_DATA!B11596</f>
        <v>Mar-2021</v>
      </c>
      <c r="C11596">
        <f>TEST_DATA!C11596</f>
        <v>45766</v>
      </c>
      <c r="D11596" t="str">
        <f>TEST_DATA!D11596</f>
        <v>NON-NIL</v>
      </c>
      <c r="E11596">
        <f>TEST_DATA!E11596</f>
        <v>2006</v>
      </c>
    </row>
    <row r="11597" spans="1:5" x14ac:dyDescent="0.55000000000000004">
      <c r="A11597" t="str">
        <f>TEST_DATA!A11597</f>
        <v>27AAAAA11597Z5</v>
      </c>
      <c r="B11597" t="str">
        <f>TEST_DATA!B11597</f>
        <v>Jun-2020</v>
      </c>
      <c r="C11597">
        <f>TEST_DATA!C11597</f>
        <v>44859</v>
      </c>
      <c r="D11597" t="str">
        <f>TEST_DATA!D11597</f>
        <v>NON-NIL</v>
      </c>
      <c r="E11597">
        <f>TEST_DATA!E11597</f>
        <v>369</v>
      </c>
    </row>
    <row r="11598" spans="1:5" x14ac:dyDescent="0.55000000000000004">
      <c r="A11598" t="str">
        <f>TEST_DATA!A11598</f>
        <v>27AAAAA11598Z5</v>
      </c>
      <c r="B11598" t="str">
        <f>TEST_DATA!B11598</f>
        <v>Jun-2018</v>
      </c>
      <c r="C11598">
        <f>TEST_DATA!C11598</f>
        <v>44309</v>
      </c>
      <c r="D11598" t="str">
        <f>TEST_DATA!D11598</f>
        <v>NIL</v>
      </c>
      <c r="E11598">
        <f>TEST_DATA!E11598</f>
        <v>1732</v>
      </c>
    </row>
    <row r="11599" spans="1:5" x14ac:dyDescent="0.55000000000000004">
      <c r="A11599" t="str">
        <f>TEST_DATA!A11599</f>
        <v>27AAAAA11599Z5</v>
      </c>
      <c r="B11599" t="str">
        <f>TEST_DATA!B11599</f>
        <v>Dec-2024</v>
      </c>
      <c r="C11599">
        <f>TEST_DATA!C11599</f>
        <v>45068</v>
      </c>
      <c r="D11599" t="str">
        <f>TEST_DATA!D11599</f>
        <v>NIL</v>
      </c>
      <c r="E11599">
        <f>TEST_DATA!E11599</f>
        <v>1423</v>
      </c>
    </row>
    <row r="11600" spans="1:5" x14ac:dyDescent="0.55000000000000004">
      <c r="A11600" t="str">
        <f>TEST_DATA!A11600</f>
        <v>27AAAAA11600Z5</v>
      </c>
      <c r="B11600" t="str">
        <f>TEST_DATA!B11600</f>
        <v>Jun-2018</v>
      </c>
      <c r="C11600">
        <f>TEST_DATA!C11600</f>
        <v>44438</v>
      </c>
      <c r="D11600" t="str">
        <f>TEST_DATA!D11600</f>
        <v>NON-NIL</v>
      </c>
      <c r="E11600">
        <f>TEST_DATA!E11600</f>
        <v>449</v>
      </c>
    </row>
    <row r="11601" spans="1:5" x14ac:dyDescent="0.55000000000000004">
      <c r="A11601" t="str">
        <f>TEST_DATA!A11601</f>
        <v>27AAAAA11601Z5</v>
      </c>
      <c r="B11601" t="str">
        <f>TEST_DATA!B11601</f>
        <v>Jul-2020</v>
      </c>
      <c r="C11601">
        <f>TEST_DATA!C11601</f>
        <v>44496</v>
      </c>
      <c r="D11601" t="str">
        <f>TEST_DATA!D11601</f>
        <v>NON-NIL</v>
      </c>
      <c r="E11601">
        <f>TEST_DATA!E11601</f>
        <v>1703</v>
      </c>
    </row>
    <row r="11602" spans="1:5" x14ac:dyDescent="0.55000000000000004">
      <c r="A11602" t="str">
        <f>TEST_DATA!A11602</f>
        <v>27AAAAA11602Z5</v>
      </c>
      <c r="B11602" t="str">
        <f>TEST_DATA!B11602</f>
        <v>Jun-2020</v>
      </c>
      <c r="C11602">
        <f>TEST_DATA!C11602</f>
        <v>44683</v>
      </c>
      <c r="D11602" t="str">
        <f>TEST_DATA!D11602</f>
        <v>NIL</v>
      </c>
      <c r="E11602">
        <f>TEST_DATA!E11602</f>
        <v>1725</v>
      </c>
    </row>
    <row r="11603" spans="1:5" x14ac:dyDescent="0.55000000000000004">
      <c r="A11603" t="str">
        <f>TEST_DATA!A11603</f>
        <v>27AAAAA11603Z5</v>
      </c>
      <c r="B11603" t="str">
        <f>TEST_DATA!B11603</f>
        <v>Aug-2018</v>
      </c>
      <c r="C11603">
        <f>TEST_DATA!C11603</f>
        <v>44063</v>
      </c>
      <c r="D11603" t="str">
        <f>TEST_DATA!D11603</f>
        <v>NON-NIL</v>
      </c>
      <c r="E11603">
        <f>TEST_DATA!E11603</f>
        <v>176</v>
      </c>
    </row>
    <row r="11604" spans="1:5" x14ac:dyDescent="0.55000000000000004">
      <c r="A11604" t="str">
        <f>TEST_DATA!A11604</f>
        <v>27AAAAA11604Z5</v>
      </c>
      <c r="B11604" t="str">
        <f>TEST_DATA!B11604</f>
        <v>Mar-2020</v>
      </c>
      <c r="C11604">
        <f>TEST_DATA!C11604</f>
        <v>44321</v>
      </c>
      <c r="D11604" t="str">
        <f>TEST_DATA!D11604</f>
        <v>NON-NIL</v>
      </c>
      <c r="E11604">
        <f>TEST_DATA!E11604</f>
        <v>978</v>
      </c>
    </row>
    <row r="11605" spans="1:5" x14ac:dyDescent="0.55000000000000004">
      <c r="A11605" t="str">
        <f>TEST_DATA!A11605</f>
        <v>27AAAAA11605Z5</v>
      </c>
      <c r="B11605" t="str">
        <f>TEST_DATA!B11605</f>
        <v>Jul-2018</v>
      </c>
      <c r="C11605">
        <f>TEST_DATA!C11605</f>
        <v>43430</v>
      </c>
      <c r="D11605" t="str">
        <f>TEST_DATA!D11605</f>
        <v>NON-NIL</v>
      </c>
      <c r="E11605">
        <f>TEST_DATA!E11605</f>
        <v>2618</v>
      </c>
    </row>
    <row r="11606" spans="1:5" x14ac:dyDescent="0.55000000000000004">
      <c r="A11606" t="str">
        <f>TEST_DATA!A11606</f>
        <v>27AAAAA11606Z5</v>
      </c>
      <c r="B11606" t="str">
        <f>TEST_DATA!B11606</f>
        <v>Jul-2017</v>
      </c>
      <c r="C11606">
        <f>TEST_DATA!C11606</f>
        <v>43616</v>
      </c>
      <c r="D11606" t="str">
        <f>TEST_DATA!D11606</f>
        <v>NON-NIL</v>
      </c>
      <c r="E11606">
        <f>TEST_DATA!E11606</f>
        <v>1284</v>
      </c>
    </row>
    <row r="11607" spans="1:5" x14ac:dyDescent="0.55000000000000004">
      <c r="A11607" t="str">
        <f>TEST_DATA!A11607</f>
        <v>27AAAAA11607Z5</v>
      </c>
      <c r="B11607" t="str">
        <f>TEST_DATA!B11607</f>
        <v>Oct-2017</v>
      </c>
      <c r="C11607">
        <f>TEST_DATA!C11607</f>
        <v>44341</v>
      </c>
      <c r="D11607" t="str">
        <f>TEST_DATA!D11607</f>
        <v>NON-NIL</v>
      </c>
      <c r="E11607">
        <f>TEST_DATA!E11607</f>
        <v>477</v>
      </c>
    </row>
    <row r="11608" spans="1:5" x14ac:dyDescent="0.55000000000000004">
      <c r="A11608" t="str">
        <f>TEST_DATA!A11608</f>
        <v>27AAAAA11608Z5</v>
      </c>
      <c r="B11608" t="str">
        <f>TEST_DATA!B11608</f>
        <v>Mar-2023</v>
      </c>
      <c r="C11608">
        <f>TEST_DATA!C11608</f>
        <v>43759</v>
      </c>
      <c r="D11608" t="str">
        <f>TEST_DATA!D11608</f>
        <v>NIL</v>
      </c>
      <c r="E11608">
        <f>TEST_DATA!E11608</f>
        <v>848</v>
      </c>
    </row>
    <row r="11609" spans="1:5" x14ac:dyDescent="0.55000000000000004">
      <c r="A11609" t="str">
        <f>TEST_DATA!A11609</f>
        <v>27AAAAA11609Z5</v>
      </c>
      <c r="B11609" t="str">
        <f>TEST_DATA!B11609</f>
        <v>Mar-2020</v>
      </c>
      <c r="C11609">
        <f>TEST_DATA!C11609</f>
        <v>44515</v>
      </c>
      <c r="D11609" t="str">
        <f>TEST_DATA!D11609</f>
        <v>NON-NIL</v>
      </c>
      <c r="E11609">
        <f>TEST_DATA!E11609</f>
        <v>769</v>
      </c>
    </row>
    <row r="11610" spans="1:5" x14ac:dyDescent="0.55000000000000004">
      <c r="A11610" t="str">
        <f>TEST_DATA!A11610</f>
        <v>27AAAAA11610Z5</v>
      </c>
      <c r="B11610" t="str">
        <f>TEST_DATA!B11610</f>
        <v>Dec-2017</v>
      </c>
      <c r="C11610">
        <f>TEST_DATA!C11610</f>
        <v>43186</v>
      </c>
      <c r="D11610" t="str">
        <f>TEST_DATA!D11610</f>
        <v>NON-NIL</v>
      </c>
      <c r="E11610">
        <f>TEST_DATA!E11610</f>
        <v>1521</v>
      </c>
    </row>
    <row r="11611" spans="1:5" x14ac:dyDescent="0.55000000000000004">
      <c r="A11611" t="str">
        <f>TEST_DATA!A11611</f>
        <v>27AAAAA11611Z5</v>
      </c>
      <c r="B11611" t="str">
        <f>TEST_DATA!B11611</f>
        <v>Sep-2017</v>
      </c>
      <c r="C11611">
        <f>TEST_DATA!C11611</f>
        <v>43963</v>
      </c>
      <c r="D11611" t="str">
        <f>TEST_DATA!D11611</f>
        <v>NIL</v>
      </c>
      <c r="E11611">
        <f>TEST_DATA!E11611</f>
        <v>1528</v>
      </c>
    </row>
    <row r="11612" spans="1:5" x14ac:dyDescent="0.55000000000000004">
      <c r="A11612" t="str">
        <f>TEST_DATA!A11612</f>
        <v>27AAAAA11612Z5</v>
      </c>
      <c r="B11612" t="str">
        <f>TEST_DATA!B11612</f>
        <v>Jul-2018</v>
      </c>
      <c r="C11612">
        <f>TEST_DATA!C11612</f>
        <v>44160</v>
      </c>
      <c r="D11612" t="str">
        <f>TEST_DATA!D11612</f>
        <v>NON-NIL</v>
      </c>
      <c r="E11612">
        <f>TEST_DATA!E11612</f>
        <v>275</v>
      </c>
    </row>
    <row r="11613" spans="1:5" x14ac:dyDescent="0.55000000000000004">
      <c r="A11613" t="str">
        <f>TEST_DATA!A11613</f>
        <v>27AAAAA11613Z5</v>
      </c>
      <c r="B11613" t="str">
        <f>TEST_DATA!B11613</f>
        <v>Mar-2020</v>
      </c>
      <c r="C11613">
        <f>TEST_DATA!C11613</f>
        <v>44094</v>
      </c>
      <c r="D11613" t="str">
        <f>TEST_DATA!D11613</f>
        <v>NIL</v>
      </c>
      <c r="E11613">
        <f>TEST_DATA!E11613</f>
        <v>595</v>
      </c>
    </row>
    <row r="11614" spans="1:5" x14ac:dyDescent="0.55000000000000004">
      <c r="A11614" t="str">
        <f>TEST_DATA!A11614</f>
        <v>27AAAAA11614Z5</v>
      </c>
      <c r="B11614" t="str">
        <f>TEST_DATA!B11614</f>
        <v>May-2020</v>
      </c>
      <c r="C11614">
        <f>TEST_DATA!C11614</f>
        <v>44710</v>
      </c>
      <c r="D11614" t="str">
        <f>TEST_DATA!D11614</f>
        <v>NON-NIL</v>
      </c>
      <c r="E11614">
        <f>TEST_DATA!E11614</f>
        <v>1277</v>
      </c>
    </row>
    <row r="11615" spans="1:5" x14ac:dyDescent="0.55000000000000004">
      <c r="A11615" t="str">
        <f>TEST_DATA!A11615</f>
        <v>27AAAAA11615Z5</v>
      </c>
      <c r="B11615" t="str">
        <f>TEST_DATA!B11615</f>
        <v>Dec-2019</v>
      </c>
      <c r="C11615">
        <f>TEST_DATA!C11615</f>
        <v>45054</v>
      </c>
      <c r="D11615" t="str">
        <f>TEST_DATA!D11615</f>
        <v>NON-NIL</v>
      </c>
      <c r="E11615">
        <f>TEST_DATA!E11615</f>
        <v>2266</v>
      </c>
    </row>
    <row r="11616" spans="1:5" x14ac:dyDescent="0.55000000000000004">
      <c r="A11616" t="str">
        <f>TEST_DATA!A11616</f>
        <v>27AAAAA11616Z5</v>
      </c>
      <c r="B11616" t="str">
        <f>TEST_DATA!B11616</f>
        <v>Apr-2018</v>
      </c>
      <c r="C11616">
        <f>TEST_DATA!C11616</f>
        <v>43993</v>
      </c>
      <c r="D11616" t="str">
        <f>TEST_DATA!D11616</f>
        <v>NON-NIL</v>
      </c>
      <c r="E11616">
        <f>TEST_DATA!E11616</f>
        <v>2339</v>
      </c>
    </row>
    <row r="11617" spans="1:5" x14ac:dyDescent="0.55000000000000004">
      <c r="A11617" t="str">
        <f>TEST_DATA!A11617</f>
        <v>27AAAAA11617Z5</v>
      </c>
      <c r="B11617" t="str">
        <f>TEST_DATA!B11617</f>
        <v>Mar-2021</v>
      </c>
      <c r="C11617">
        <f>TEST_DATA!C11617</f>
        <v>45544</v>
      </c>
      <c r="D11617" t="str">
        <f>TEST_DATA!D11617</f>
        <v>NON-NIL</v>
      </c>
      <c r="E11617">
        <f>TEST_DATA!E11617</f>
        <v>811</v>
      </c>
    </row>
    <row r="11618" spans="1:5" x14ac:dyDescent="0.55000000000000004">
      <c r="A11618" t="str">
        <f>TEST_DATA!A11618</f>
        <v>27AAAAA11618Z5</v>
      </c>
      <c r="B11618" t="str">
        <f>TEST_DATA!B11618</f>
        <v>Sep-2017</v>
      </c>
      <c r="C11618">
        <f>TEST_DATA!C11618</f>
        <v>44087</v>
      </c>
      <c r="D11618" t="str">
        <f>TEST_DATA!D11618</f>
        <v>NON-NIL</v>
      </c>
      <c r="E11618">
        <f>TEST_DATA!E11618</f>
        <v>919</v>
      </c>
    </row>
    <row r="11619" spans="1:5" x14ac:dyDescent="0.55000000000000004">
      <c r="A11619" t="str">
        <f>TEST_DATA!A11619</f>
        <v>27AAAAA11619Z5</v>
      </c>
      <c r="B11619" t="str">
        <f>TEST_DATA!B11619</f>
        <v>Aug-2017</v>
      </c>
      <c r="C11619">
        <f>TEST_DATA!C11619</f>
        <v>43628</v>
      </c>
      <c r="D11619" t="str">
        <f>TEST_DATA!D11619</f>
        <v>NIL</v>
      </c>
      <c r="E11619">
        <f>TEST_DATA!E11619</f>
        <v>2026</v>
      </c>
    </row>
    <row r="11620" spans="1:5" x14ac:dyDescent="0.55000000000000004">
      <c r="A11620" t="str">
        <f>TEST_DATA!A11620</f>
        <v>27AAAAA11620Z5</v>
      </c>
      <c r="B11620" t="str">
        <f>TEST_DATA!B11620</f>
        <v>May-2020</v>
      </c>
      <c r="C11620">
        <f>TEST_DATA!C11620</f>
        <v>43935</v>
      </c>
      <c r="D11620" t="str">
        <f>TEST_DATA!D11620</f>
        <v>NON-NIL</v>
      </c>
      <c r="E11620">
        <f>TEST_DATA!E11620</f>
        <v>2902</v>
      </c>
    </row>
    <row r="11621" spans="1:5" x14ac:dyDescent="0.55000000000000004">
      <c r="A11621" t="str">
        <f>TEST_DATA!A11621</f>
        <v>27AAAAA11621Z5</v>
      </c>
      <c r="B11621" t="str">
        <f>TEST_DATA!B11621</f>
        <v>Jan-2018</v>
      </c>
      <c r="C11621">
        <f>TEST_DATA!C11621</f>
        <v>43713</v>
      </c>
      <c r="D11621" t="str">
        <f>TEST_DATA!D11621</f>
        <v>NIL</v>
      </c>
      <c r="E11621">
        <f>TEST_DATA!E11621</f>
        <v>739</v>
      </c>
    </row>
    <row r="11622" spans="1:5" x14ac:dyDescent="0.55000000000000004">
      <c r="A11622" t="str">
        <f>TEST_DATA!A11622</f>
        <v>27AAAAA11622Z5</v>
      </c>
      <c r="B11622" t="str">
        <f>TEST_DATA!B11622</f>
        <v>Mar-2021</v>
      </c>
      <c r="C11622">
        <f>TEST_DATA!C11622</f>
        <v>44889</v>
      </c>
      <c r="D11622" t="str">
        <f>TEST_DATA!D11622</f>
        <v>NIL</v>
      </c>
      <c r="E11622">
        <f>TEST_DATA!E11622</f>
        <v>1728</v>
      </c>
    </row>
    <row r="11623" spans="1:5" x14ac:dyDescent="0.55000000000000004">
      <c r="A11623" t="str">
        <f>TEST_DATA!A11623</f>
        <v>27AAAAA11623Z5</v>
      </c>
      <c r="B11623" t="str">
        <f>TEST_DATA!B11623</f>
        <v>Mar-2018</v>
      </c>
      <c r="C11623">
        <f>TEST_DATA!C11623</f>
        <v>43189</v>
      </c>
      <c r="D11623" t="str">
        <f>TEST_DATA!D11623</f>
        <v>NIL</v>
      </c>
      <c r="E11623">
        <f>TEST_DATA!E11623</f>
        <v>17</v>
      </c>
    </row>
    <row r="11624" spans="1:5" x14ac:dyDescent="0.55000000000000004">
      <c r="A11624" t="str">
        <f>TEST_DATA!A11624</f>
        <v>27AAAAA11624Z5</v>
      </c>
      <c r="B11624" t="str">
        <f>TEST_DATA!B11624</f>
        <v>Oct-2017</v>
      </c>
      <c r="C11624">
        <f>TEST_DATA!C11624</f>
        <v>43191</v>
      </c>
      <c r="D11624" t="str">
        <f>TEST_DATA!D11624</f>
        <v>NON-NIL</v>
      </c>
      <c r="E11624">
        <f>TEST_DATA!E11624</f>
        <v>1153</v>
      </c>
    </row>
    <row r="11625" spans="1:5" x14ac:dyDescent="0.55000000000000004">
      <c r="A11625" t="str">
        <f>TEST_DATA!A11625</f>
        <v>27AAAAA11625Z5</v>
      </c>
      <c r="B11625" t="str">
        <f>TEST_DATA!B11625</f>
        <v>Jul-2018</v>
      </c>
      <c r="C11625">
        <f>TEST_DATA!C11625</f>
        <v>44117</v>
      </c>
      <c r="D11625" t="str">
        <f>TEST_DATA!D11625</f>
        <v>NIL</v>
      </c>
      <c r="E11625">
        <f>TEST_DATA!E11625</f>
        <v>453</v>
      </c>
    </row>
    <row r="11626" spans="1:5" x14ac:dyDescent="0.55000000000000004">
      <c r="A11626" t="str">
        <f>TEST_DATA!A11626</f>
        <v>27AAAAA11626Z5</v>
      </c>
      <c r="B11626" t="str">
        <f>TEST_DATA!B11626</f>
        <v>Jan-2019</v>
      </c>
      <c r="C11626">
        <f>TEST_DATA!C11626</f>
        <v>45065</v>
      </c>
      <c r="D11626" t="str">
        <f>TEST_DATA!D11626</f>
        <v>NIL</v>
      </c>
      <c r="E11626">
        <f>TEST_DATA!E11626</f>
        <v>442</v>
      </c>
    </row>
    <row r="11627" spans="1:5" x14ac:dyDescent="0.55000000000000004">
      <c r="A11627" t="str">
        <f>TEST_DATA!A11627</f>
        <v>27AAAAA11627Z5</v>
      </c>
      <c r="B11627" t="str">
        <f>TEST_DATA!B11627</f>
        <v>Mar-2021</v>
      </c>
      <c r="C11627">
        <f>TEST_DATA!C11627</f>
        <v>43836</v>
      </c>
      <c r="D11627" t="str">
        <f>TEST_DATA!D11627</f>
        <v>NON-NIL</v>
      </c>
      <c r="E11627">
        <f>TEST_DATA!E11627</f>
        <v>998</v>
      </c>
    </row>
    <row r="11628" spans="1:5" x14ac:dyDescent="0.55000000000000004">
      <c r="A11628" t="str">
        <f>TEST_DATA!A11628</f>
        <v>27AAAAA11628Z5</v>
      </c>
      <c r="B11628" t="str">
        <f>TEST_DATA!B11628</f>
        <v>Sep-2018</v>
      </c>
      <c r="C11628">
        <f>TEST_DATA!C11628</f>
        <v>44314</v>
      </c>
      <c r="D11628" t="str">
        <f>TEST_DATA!D11628</f>
        <v>NIL</v>
      </c>
      <c r="E11628">
        <f>TEST_DATA!E11628</f>
        <v>2146</v>
      </c>
    </row>
    <row r="11629" spans="1:5" x14ac:dyDescent="0.55000000000000004">
      <c r="A11629" t="str">
        <f>TEST_DATA!A11629</f>
        <v>27AAAAA11629Z5</v>
      </c>
      <c r="B11629" t="str">
        <f>TEST_DATA!B11629</f>
        <v>Jun-2018</v>
      </c>
      <c r="C11629">
        <f>TEST_DATA!C11629</f>
        <v>44283</v>
      </c>
      <c r="D11629" t="str">
        <f>TEST_DATA!D11629</f>
        <v>NON-NIL</v>
      </c>
      <c r="E11629">
        <f>TEST_DATA!E11629</f>
        <v>926</v>
      </c>
    </row>
    <row r="11630" spans="1:5" x14ac:dyDescent="0.55000000000000004">
      <c r="A11630" t="str">
        <f>TEST_DATA!A11630</f>
        <v>27AAAAA11630Z5</v>
      </c>
      <c r="B11630" t="str">
        <f>TEST_DATA!B11630</f>
        <v>Apr-2021</v>
      </c>
      <c r="C11630">
        <f>TEST_DATA!C11630</f>
        <v>45056</v>
      </c>
      <c r="D11630" t="str">
        <f>TEST_DATA!D11630</f>
        <v>NIL</v>
      </c>
      <c r="E11630">
        <f>TEST_DATA!E11630</f>
        <v>1720</v>
      </c>
    </row>
    <row r="11631" spans="1:5" x14ac:dyDescent="0.55000000000000004">
      <c r="A11631" t="str">
        <f>TEST_DATA!A11631</f>
        <v>27AAAAA11631Z5</v>
      </c>
      <c r="B11631" t="str">
        <f>TEST_DATA!B11631</f>
        <v>Apr-2021</v>
      </c>
      <c r="C11631">
        <f>TEST_DATA!C11631</f>
        <v>44080</v>
      </c>
      <c r="D11631" t="str">
        <f>TEST_DATA!D11631</f>
        <v>NIL</v>
      </c>
      <c r="E11631">
        <f>TEST_DATA!E11631</f>
        <v>789</v>
      </c>
    </row>
    <row r="11632" spans="1:5" x14ac:dyDescent="0.55000000000000004">
      <c r="A11632" t="str">
        <f>TEST_DATA!A11632</f>
        <v>27AAAAA11632Z5</v>
      </c>
      <c r="B11632" t="str">
        <f>TEST_DATA!B11632</f>
        <v>Jul-2017</v>
      </c>
      <c r="C11632">
        <f>TEST_DATA!C11632</f>
        <v>43763</v>
      </c>
      <c r="D11632" t="str">
        <f>TEST_DATA!D11632</f>
        <v>NIL</v>
      </c>
      <c r="E11632">
        <f>TEST_DATA!E11632</f>
        <v>1426</v>
      </c>
    </row>
    <row r="11633" spans="1:5" x14ac:dyDescent="0.55000000000000004">
      <c r="A11633" t="str">
        <f>TEST_DATA!A11633</f>
        <v>27AAAAA11633Z5</v>
      </c>
      <c r="B11633" t="str">
        <f>TEST_DATA!B11633</f>
        <v>Aug-2018</v>
      </c>
      <c r="C11633">
        <f>TEST_DATA!C11633</f>
        <v>43880</v>
      </c>
      <c r="D11633" t="str">
        <f>TEST_DATA!D11633</f>
        <v>NIL</v>
      </c>
      <c r="E11633">
        <f>TEST_DATA!E11633</f>
        <v>2626</v>
      </c>
    </row>
    <row r="11634" spans="1:5" x14ac:dyDescent="0.55000000000000004">
      <c r="A11634" t="str">
        <f>TEST_DATA!A11634</f>
        <v>27AAAAA11634Z5</v>
      </c>
      <c r="B11634" t="str">
        <f>TEST_DATA!B11634</f>
        <v>Jan-2021</v>
      </c>
      <c r="C11634">
        <f>TEST_DATA!C11634</f>
        <v>44911</v>
      </c>
      <c r="D11634" t="str">
        <f>TEST_DATA!D11634</f>
        <v>NON-NIL</v>
      </c>
      <c r="E11634">
        <f>TEST_DATA!E11634</f>
        <v>1862</v>
      </c>
    </row>
    <row r="11635" spans="1:5" x14ac:dyDescent="0.55000000000000004">
      <c r="A11635" t="str">
        <f>TEST_DATA!A11635</f>
        <v>27AAAAA11635Z5</v>
      </c>
      <c r="B11635" t="str">
        <f>TEST_DATA!B11635</f>
        <v>Jun-2018</v>
      </c>
      <c r="C11635">
        <f>TEST_DATA!C11635</f>
        <v>43718</v>
      </c>
      <c r="D11635" t="str">
        <f>TEST_DATA!D11635</f>
        <v>NON-NIL</v>
      </c>
      <c r="E11635">
        <f>TEST_DATA!E11635</f>
        <v>680</v>
      </c>
    </row>
    <row r="11636" spans="1:5" x14ac:dyDescent="0.55000000000000004">
      <c r="A11636" t="str">
        <f>TEST_DATA!A11636</f>
        <v>27AAAAA11636Z5</v>
      </c>
      <c r="B11636" t="str">
        <f>TEST_DATA!B11636</f>
        <v>Mar-2021</v>
      </c>
      <c r="C11636">
        <f>TEST_DATA!C11636</f>
        <v>45599</v>
      </c>
      <c r="D11636" t="str">
        <f>TEST_DATA!D11636</f>
        <v>NON-NIL</v>
      </c>
      <c r="E11636">
        <f>TEST_DATA!E11636</f>
        <v>265</v>
      </c>
    </row>
    <row r="11637" spans="1:5" x14ac:dyDescent="0.55000000000000004">
      <c r="A11637" t="str">
        <f>TEST_DATA!A11637</f>
        <v>27AAAAA11637Z5</v>
      </c>
      <c r="B11637" t="str">
        <f>TEST_DATA!B11637</f>
        <v>Jul-2017</v>
      </c>
      <c r="C11637">
        <f>TEST_DATA!C11637</f>
        <v>44553</v>
      </c>
      <c r="D11637" t="str">
        <f>TEST_DATA!D11637</f>
        <v>NON-NIL</v>
      </c>
      <c r="E11637">
        <f>TEST_DATA!E11637</f>
        <v>34</v>
      </c>
    </row>
    <row r="11638" spans="1:5" x14ac:dyDescent="0.55000000000000004">
      <c r="A11638" t="str">
        <f>TEST_DATA!A11638</f>
        <v>27AAAAA11638Z5</v>
      </c>
      <c r="B11638" t="str">
        <f>TEST_DATA!B11638</f>
        <v>Dec-2022</v>
      </c>
      <c r="C11638">
        <f>TEST_DATA!C11638</f>
        <v>43610</v>
      </c>
      <c r="D11638" t="str">
        <f>TEST_DATA!D11638</f>
        <v>NIL</v>
      </c>
      <c r="E11638">
        <f>TEST_DATA!E11638</f>
        <v>652</v>
      </c>
    </row>
    <row r="11639" spans="1:5" x14ac:dyDescent="0.55000000000000004">
      <c r="A11639" t="str">
        <f>TEST_DATA!A11639</f>
        <v>27AAAAA11639Z5</v>
      </c>
      <c r="B11639" t="str">
        <f>TEST_DATA!B11639</f>
        <v>Jan-2019</v>
      </c>
      <c r="C11639">
        <f>TEST_DATA!C11639</f>
        <v>44298</v>
      </c>
      <c r="D11639" t="str">
        <f>TEST_DATA!D11639</f>
        <v>NIL</v>
      </c>
      <c r="E11639">
        <f>TEST_DATA!E11639</f>
        <v>892</v>
      </c>
    </row>
    <row r="11640" spans="1:5" x14ac:dyDescent="0.55000000000000004">
      <c r="A11640" t="str">
        <f>TEST_DATA!A11640</f>
        <v>27AAAAA11640Z5</v>
      </c>
      <c r="B11640" t="str">
        <f>TEST_DATA!B11640</f>
        <v>Mar-2021</v>
      </c>
      <c r="C11640">
        <f>TEST_DATA!C11640</f>
        <v>43988</v>
      </c>
      <c r="D11640" t="str">
        <f>TEST_DATA!D11640</f>
        <v>NON-NIL</v>
      </c>
      <c r="E11640">
        <f>TEST_DATA!E11640</f>
        <v>2145</v>
      </c>
    </row>
    <row r="11641" spans="1:5" x14ac:dyDescent="0.55000000000000004">
      <c r="A11641" t="str">
        <f>TEST_DATA!A11641</f>
        <v>27AAAAA11641Z5</v>
      </c>
      <c r="B11641" t="str">
        <f>TEST_DATA!B11641</f>
        <v>Dec-2017</v>
      </c>
      <c r="C11641">
        <f>TEST_DATA!C11641</f>
        <v>44369</v>
      </c>
      <c r="D11641" t="str">
        <f>TEST_DATA!D11641</f>
        <v>NON-NIL</v>
      </c>
      <c r="E11641">
        <f>TEST_DATA!E11641</f>
        <v>1247</v>
      </c>
    </row>
    <row r="11642" spans="1:5" x14ac:dyDescent="0.55000000000000004">
      <c r="A11642" t="str">
        <f>TEST_DATA!A11642</f>
        <v>27AAAAA11642Z5</v>
      </c>
      <c r="B11642" t="str">
        <f>TEST_DATA!B11642</f>
        <v>Mar-2023</v>
      </c>
      <c r="C11642">
        <f>TEST_DATA!C11642</f>
        <v>45026</v>
      </c>
      <c r="D11642" t="str">
        <f>TEST_DATA!D11642</f>
        <v>NIL</v>
      </c>
      <c r="E11642">
        <f>TEST_DATA!E11642</f>
        <v>1330</v>
      </c>
    </row>
    <row r="11643" spans="1:5" x14ac:dyDescent="0.55000000000000004">
      <c r="A11643" t="str">
        <f>TEST_DATA!A11643</f>
        <v>27AAAAA11643Z5</v>
      </c>
      <c r="B11643" t="str">
        <f>TEST_DATA!B11643</f>
        <v>Nov-2017</v>
      </c>
      <c r="C11643">
        <f>TEST_DATA!C11643</f>
        <v>44316</v>
      </c>
      <c r="D11643" t="str">
        <f>TEST_DATA!D11643</f>
        <v>NIL</v>
      </c>
      <c r="E11643">
        <f>TEST_DATA!E11643</f>
        <v>1398</v>
      </c>
    </row>
    <row r="11644" spans="1:5" x14ac:dyDescent="0.55000000000000004">
      <c r="A11644" t="str">
        <f>TEST_DATA!A11644</f>
        <v>27AAAAA11644Z5</v>
      </c>
      <c r="B11644" t="str">
        <f>TEST_DATA!B11644</f>
        <v>Dec-2022</v>
      </c>
      <c r="C11644">
        <f>TEST_DATA!C11644</f>
        <v>45158</v>
      </c>
      <c r="D11644" t="str">
        <f>TEST_DATA!D11644</f>
        <v>NIL</v>
      </c>
      <c r="E11644">
        <f>TEST_DATA!E11644</f>
        <v>474</v>
      </c>
    </row>
    <row r="11645" spans="1:5" x14ac:dyDescent="0.55000000000000004">
      <c r="A11645" t="str">
        <f>TEST_DATA!A11645</f>
        <v>27AAAAA11645Z5</v>
      </c>
      <c r="B11645" t="str">
        <f>TEST_DATA!B11645</f>
        <v>Dec-2019</v>
      </c>
      <c r="C11645">
        <f>TEST_DATA!C11645</f>
        <v>45574</v>
      </c>
      <c r="D11645" t="str">
        <f>TEST_DATA!D11645</f>
        <v>NIL</v>
      </c>
      <c r="E11645">
        <f>TEST_DATA!E11645</f>
        <v>52</v>
      </c>
    </row>
    <row r="11646" spans="1:5" x14ac:dyDescent="0.55000000000000004">
      <c r="A11646" t="str">
        <f>TEST_DATA!A11646</f>
        <v>27AAAAA11646Z5</v>
      </c>
      <c r="B11646" t="str">
        <f>TEST_DATA!B11646</f>
        <v>Feb-2018</v>
      </c>
      <c r="C11646">
        <f>TEST_DATA!C11646</f>
        <v>44023</v>
      </c>
      <c r="D11646" t="str">
        <f>TEST_DATA!D11646</f>
        <v>NIL</v>
      </c>
      <c r="E11646">
        <f>TEST_DATA!E11646</f>
        <v>2812</v>
      </c>
    </row>
    <row r="11647" spans="1:5" x14ac:dyDescent="0.55000000000000004">
      <c r="A11647" t="str">
        <f>TEST_DATA!A11647</f>
        <v>27AAAAA11647Z5</v>
      </c>
      <c r="B11647" t="str">
        <f>TEST_DATA!B11647</f>
        <v>Dec-2022</v>
      </c>
      <c r="C11647">
        <f>TEST_DATA!C11647</f>
        <v>45224</v>
      </c>
      <c r="D11647" t="str">
        <f>TEST_DATA!D11647</f>
        <v>NON-NIL</v>
      </c>
      <c r="E11647">
        <f>TEST_DATA!E11647</f>
        <v>2070</v>
      </c>
    </row>
    <row r="11648" spans="1:5" x14ac:dyDescent="0.55000000000000004">
      <c r="A11648" t="str">
        <f>TEST_DATA!A11648</f>
        <v>27AAAAA11648Z5</v>
      </c>
      <c r="B11648" t="str">
        <f>TEST_DATA!B11648</f>
        <v>Jun-2020</v>
      </c>
      <c r="C11648">
        <f>TEST_DATA!C11648</f>
        <v>44676</v>
      </c>
      <c r="D11648" t="str">
        <f>TEST_DATA!D11648</f>
        <v>NIL</v>
      </c>
      <c r="E11648">
        <f>TEST_DATA!E11648</f>
        <v>2708</v>
      </c>
    </row>
    <row r="11649" spans="1:5" x14ac:dyDescent="0.55000000000000004">
      <c r="A11649" t="str">
        <f>TEST_DATA!A11649</f>
        <v>27AAAAA11649Z5</v>
      </c>
      <c r="B11649" t="str">
        <f>TEST_DATA!B11649</f>
        <v>Sep-2017</v>
      </c>
      <c r="C11649">
        <f>TEST_DATA!C11649</f>
        <v>44068</v>
      </c>
      <c r="D11649" t="str">
        <f>TEST_DATA!D11649</f>
        <v>NON-NIL</v>
      </c>
      <c r="E11649">
        <f>TEST_DATA!E11649</f>
        <v>818</v>
      </c>
    </row>
    <row r="11650" spans="1:5" x14ac:dyDescent="0.55000000000000004">
      <c r="A11650" t="str">
        <f>TEST_DATA!A11650</f>
        <v>27AAAAA11650Z5</v>
      </c>
      <c r="B11650" t="str">
        <f>TEST_DATA!B11650</f>
        <v>May-2020</v>
      </c>
      <c r="C11650">
        <f>TEST_DATA!C11650</f>
        <v>43962</v>
      </c>
      <c r="D11650" t="str">
        <f>TEST_DATA!D11650</f>
        <v>NIL</v>
      </c>
      <c r="E11650">
        <f>TEST_DATA!E11650</f>
        <v>384</v>
      </c>
    </row>
    <row r="11651" spans="1:5" x14ac:dyDescent="0.55000000000000004">
      <c r="A11651" t="str">
        <f>TEST_DATA!A11651</f>
        <v>27AAAAA11651Z5</v>
      </c>
      <c r="B11651" t="str">
        <f>TEST_DATA!B11651</f>
        <v>May-2020</v>
      </c>
      <c r="C11651">
        <f>TEST_DATA!C11651</f>
        <v>44166</v>
      </c>
      <c r="D11651" t="str">
        <f>TEST_DATA!D11651</f>
        <v>NIL</v>
      </c>
      <c r="E11651">
        <f>TEST_DATA!E11651</f>
        <v>1911</v>
      </c>
    </row>
    <row r="11652" spans="1:5" x14ac:dyDescent="0.55000000000000004">
      <c r="A11652" t="str">
        <f>TEST_DATA!A11652</f>
        <v>27AAAAA11652Z5</v>
      </c>
      <c r="B11652" t="str">
        <f>TEST_DATA!B11652</f>
        <v>Jan-2019</v>
      </c>
      <c r="C11652">
        <f>TEST_DATA!C11652</f>
        <v>43588</v>
      </c>
      <c r="D11652" t="str">
        <f>TEST_DATA!D11652</f>
        <v>NIL</v>
      </c>
      <c r="E11652">
        <f>TEST_DATA!E11652</f>
        <v>2611</v>
      </c>
    </row>
    <row r="11653" spans="1:5" x14ac:dyDescent="0.55000000000000004">
      <c r="A11653" t="str">
        <f>TEST_DATA!A11653</f>
        <v>27AAAAA11653Z5</v>
      </c>
      <c r="B11653" t="str">
        <f>TEST_DATA!B11653</f>
        <v>Jul-2018</v>
      </c>
      <c r="C11653">
        <f>TEST_DATA!C11653</f>
        <v>43785</v>
      </c>
      <c r="D11653" t="str">
        <f>TEST_DATA!D11653</f>
        <v>NON-NIL</v>
      </c>
      <c r="E11653">
        <f>TEST_DATA!E11653</f>
        <v>1610</v>
      </c>
    </row>
    <row r="11654" spans="1:5" x14ac:dyDescent="0.55000000000000004">
      <c r="A11654" t="str">
        <f>TEST_DATA!A11654</f>
        <v>27AAAAA11654Z5</v>
      </c>
      <c r="B11654" t="str">
        <f>TEST_DATA!B11654</f>
        <v>Feb-2018</v>
      </c>
      <c r="C11654">
        <f>TEST_DATA!C11654</f>
        <v>43720</v>
      </c>
      <c r="D11654" t="str">
        <f>TEST_DATA!D11654</f>
        <v>NON-NIL</v>
      </c>
      <c r="E11654">
        <f>TEST_DATA!E11654</f>
        <v>1966</v>
      </c>
    </row>
    <row r="11655" spans="1:5" x14ac:dyDescent="0.55000000000000004">
      <c r="A11655" t="str">
        <f>TEST_DATA!A11655</f>
        <v>27AAAAA11655Z5</v>
      </c>
      <c r="B11655" t="str">
        <f>TEST_DATA!B11655</f>
        <v>Dec-2017</v>
      </c>
      <c r="C11655">
        <f>TEST_DATA!C11655</f>
        <v>43955</v>
      </c>
      <c r="D11655" t="str">
        <f>TEST_DATA!D11655</f>
        <v>NIL</v>
      </c>
      <c r="E11655">
        <f>TEST_DATA!E11655</f>
        <v>2662</v>
      </c>
    </row>
    <row r="11656" spans="1:5" x14ac:dyDescent="0.55000000000000004">
      <c r="A11656" t="str">
        <f>TEST_DATA!A11656</f>
        <v>27AAAAA11656Z5</v>
      </c>
      <c r="B11656" t="str">
        <f>TEST_DATA!B11656</f>
        <v>Feb-2018</v>
      </c>
      <c r="C11656">
        <f>TEST_DATA!C11656</f>
        <v>43241</v>
      </c>
      <c r="D11656" t="str">
        <f>TEST_DATA!D11656</f>
        <v>NON-NIL</v>
      </c>
      <c r="E11656">
        <f>TEST_DATA!E11656</f>
        <v>1336</v>
      </c>
    </row>
    <row r="11657" spans="1:5" x14ac:dyDescent="0.55000000000000004">
      <c r="A11657" t="str">
        <f>TEST_DATA!A11657</f>
        <v>27AAAAA11657Z5</v>
      </c>
      <c r="B11657" t="str">
        <f>TEST_DATA!B11657</f>
        <v>Mar-2020</v>
      </c>
      <c r="C11657">
        <f>TEST_DATA!C11657</f>
        <v>44886</v>
      </c>
      <c r="D11657" t="str">
        <f>TEST_DATA!D11657</f>
        <v>NON-NIL</v>
      </c>
      <c r="E11657">
        <f>TEST_DATA!E11657</f>
        <v>1377</v>
      </c>
    </row>
    <row r="11658" spans="1:5" x14ac:dyDescent="0.55000000000000004">
      <c r="A11658" t="str">
        <f>TEST_DATA!A11658</f>
        <v>27AAAAA11658Z5</v>
      </c>
      <c r="B11658" t="str">
        <f>TEST_DATA!B11658</f>
        <v>Jul-2017</v>
      </c>
      <c r="C11658">
        <f>TEST_DATA!C11658</f>
        <v>43311</v>
      </c>
      <c r="D11658" t="str">
        <f>TEST_DATA!D11658</f>
        <v>NIL</v>
      </c>
      <c r="E11658">
        <f>TEST_DATA!E11658</f>
        <v>2801</v>
      </c>
    </row>
    <row r="11659" spans="1:5" x14ac:dyDescent="0.55000000000000004">
      <c r="A11659" t="str">
        <f>TEST_DATA!A11659</f>
        <v>27AAAAA11659Z5</v>
      </c>
      <c r="B11659" t="str">
        <f>TEST_DATA!B11659</f>
        <v>Jan-2019</v>
      </c>
      <c r="C11659">
        <f>TEST_DATA!C11659</f>
        <v>43667</v>
      </c>
      <c r="D11659" t="str">
        <f>TEST_DATA!D11659</f>
        <v>NIL</v>
      </c>
      <c r="E11659">
        <f>TEST_DATA!E11659</f>
        <v>2735</v>
      </c>
    </row>
    <row r="11660" spans="1:5" x14ac:dyDescent="0.55000000000000004">
      <c r="A11660" t="str">
        <f>TEST_DATA!A11660</f>
        <v>27AAAAA11660Z5</v>
      </c>
      <c r="B11660" t="str">
        <f>TEST_DATA!B11660</f>
        <v>Jun-2020</v>
      </c>
      <c r="C11660">
        <f>TEST_DATA!C11660</f>
        <v>44400</v>
      </c>
      <c r="D11660" t="str">
        <f>TEST_DATA!D11660</f>
        <v>NIL</v>
      </c>
      <c r="E11660">
        <f>TEST_DATA!E11660</f>
        <v>921</v>
      </c>
    </row>
    <row r="11661" spans="1:5" x14ac:dyDescent="0.55000000000000004">
      <c r="A11661" t="str">
        <f>TEST_DATA!A11661</f>
        <v>27AAAAA11661Z5</v>
      </c>
      <c r="B11661" t="str">
        <f>TEST_DATA!B11661</f>
        <v>Jan-2019</v>
      </c>
      <c r="C11661">
        <f>TEST_DATA!C11661</f>
        <v>44945</v>
      </c>
      <c r="D11661" t="str">
        <f>TEST_DATA!D11661</f>
        <v>NIL</v>
      </c>
      <c r="E11661">
        <f>TEST_DATA!E11661</f>
        <v>1413</v>
      </c>
    </row>
    <row r="11662" spans="1:5" x14ac:dyDescent="0.55000000000000004">
      <c r="A11662" t="str">
        <f>TEST_DATA!A11662</f>
        <v>27AAAAA11662Z5</v>
      </c>
      <c r="B11662" t="str">
        <f>TEST_DATA!B11662</f>
        <v>May-2020</v>
      </c>
      <c r="C11662">
        <f>TEST_DATA!C11662</f>
        <v>44236</v>
      </c>
      <c r="D11662" t="str">
        <f>TEST_DATA!D11662</f>
        <v>NIL</v>
      </c>
      <c r="E11662">
        <f>TEST_DATA!E11662</f>
        <v>2703</v>
      </c>
    </row>
    <row r="11663" spans="1:5" x14ac:dyDescent="0.55000000000000004">
      <c r="A11663" t="str">
        <f>TEST_DATA!A11663</f>
        <v>27AAAAA11663Z5</v>
      </c>
      <c r="B11663" t="str">
        <f>TEST_DATA!B11663</f>
        <v>Jan-2018</v>
      </c>
      <c r="C11663">
        <f>TEST_DATA!C11663</f>
        <v>43235</v>
      </c>
      <c r="D11663" t="str">
        <f>TEST_DATA!D11663</f>
        <v>NON-NIL</v>
      </c>
      <c r="E11663">
        <f>TEST_DATA!E11663</f>
        <v>1404</v>
      </c>
    </row>
    <row r="11664" spans="1:5" x14ac:dyDescent="0.55000000000000004">
      <c r="A11664" t="str">
        <f>TEST_DATA!A11664</f>
        <v>27AAAAA11664Z5</v>
      </c>
      <c r="B11664" t="str">
        <f>TEST_DATA!B11664</f>
        <v>Nov-2017</v>
      </c>
      <c r="C11664">
        <f>TEST_DATA!C11664</f>
        <v>44328</v>
      </c>
      <c r="D11664" t="str">
        <f>TEST_DATA!D11664</f>
        <v>NON-NIL</v>
      </c>
      <c r="E11664">
        <f>TEST_DATA!E11664</f>
        <v>2820</v>
      </c>
    </row>
    <row r="11665" spans="1:5" x14ac:dyDescent="0.55000000000000004">
      <c r="A11665" t="str">
        <f>TEST_DATA!A11665</f>
        <v>27AAAAA11665Z5</v>
      </c>
      <c r="B11665" t="str">
        <f>TEST_DATA!B11665</f>
        <v>May-2018</v>
      </c>
      <c r="C11665">
        <f>TEST_DATA!C11665</f>
        <v>43766</v>
      </c>
      <c r="D11665" t="str">
        <f>TEST_DATA!D11665</f>
        <v>NON-NIL</v>
      </c>
      <c r="E11665">
        <f>TEST_DATA!E11665</f>
        <v>401</v>
      </c>
    </row>
    <row r="11666" spans="1:5" x14ac:dyDescent="0.55000000000000004">
      <c r="A11666" t="str">
        <f>TEST_DATA!A11666</f>
        <v>27AAAAA11666Z5</v>
      </c>
      <c r="B11666" t="str">
        <f>TEST_DATA!B11666</f>
        <v>Mar-2020</v>
      </c>
      <c r="C11666">
        <f>TEST_DATA!C11666</f>
        <v>44532</v>
      </c>
      <c r="D11666" t="str">
        <f>TEST_DATA!D11666</f>
        <v>NIL</v>
      </c>
      <c r="E11666">
        <f>TEST_DATA!E11666</f>
        <v>2996</v>
      </c>
    </row>
    <row r="11667" spans="1:5" x14ac:dyDescent="0.55000000000000004">
      <c r="A11667" t="str">
        <f>TEST_DATA!A11667</f>
        <v>27AAAAA11667Z5</v>
      </c>
      <c r="B11667" t="str">
        <f>TEST_DATA!B11667</f>
        <v>Feb-2018</v>
      </c>
      <c r="C11667">
        <f>TEST_DATA!C11667</f>
        <v>43028</v>
      </c>
      <c r="D11667" t="str">
        <f>TEST_DATA!D11667</f>
        <v>NON-NIL</v>
      </c>
      <c r="E11667">
        <f>TEST_DATA!E11667</f>
        <v>1649</v>
      </c>
    </row>
    <row r="11668" spans="1:5" x14ac:dyDescent="0.55000000000000004">
      <c r="A11668" t="str">
        <f>TEST_DATA!A11668</f>
        <v>27AAAAA11668Z5</v>
      </c>
      <c r="B11668" t="str">
        <f>TEST_DATA!B11668</f>
        <v>Jun-2019</v>
      </c>
      <c r="C11668">
        <f>TEST_DATA!C11668</f>
        <v>45328</v>
      </c>
      <c r="D11668" t="str">
        <f>TEST_DATA!D11668</f>
        <v>NIL</v>
      </c>
      <c r="E11668">
        <f>TEST_DATA!E11668</f>
        <v>1868</v>
      </c>
    </row>
    <row r="11669" spans="1:5" x14ac:dyDescent="0.55000000000000004">
      <c r="A11669" t="str">
        <f>TEST_DATA!A11669</f>
        <v>27AAAAA11669Z5</v>
      </c>
      <c r="B11669" t="str">
        <f>TEST_DATA!B11669</f>
        <v>Apr-2021</v>
      </c>
      <c r="C11669">
        <f>TEST_DATA!C11669</f>
        <v>43740</v>
      </c>
      <c r="D11669" t="str">
        <f>TEST_DATA!D11669</f>
        <v>NIL</v>
      </c>
      <c r="E11669">
        <f>TEST_DATA!E11669</f>
        <v>2871</v>
      </c>
    </row>
    <row r="11670" spans="1:5" x14ac:dyDescent="0.55000000000000004">
      <c r="A11670" t="str">
        <f>TEST_DATA!A11670</f>
        <v>27AAAAA11670Z5</v>
      </c>
      <c r="B11670" t="str">
        <f>TEST_DATA!B11670</f>
        <v>Mar-2023</v>
      </c>
      <c r="C11670">
        <f>TEST_DATA!C11670</f>
        <v>45096</v>
      </c>
      <c r="D11670" t="str">
        <f>TEST_DATA!D11670</f>
        <v>NON-NIL</v>
      </c>
      <c r="E11670">
        <f>TEST_DATA!E11670</f>
        <v>621</v>
      </c>
    </row>
    <row r="11671" spans="1:5" x14ac:dyDescent="0.55000000000000004">
      <c r="A11671" t="str">
        <f>TEST_DATA!A11671</f>
        <v>27AAAAA11671Z5</v>
      </c>
      <c r="B11671" t="str">
        <f>TEST_DATA!B11671</f>
        <v>Apr-2018</v>
      </c>
      <c r="C11671">
        <f>TEST_DATA!C11671</f>
        <v>44192</v>
      </c>
      <c r="D11671" t="str">
        <f>TEST_DATA!D11671</f>
        <v>NON-NIL</v>
      </c>
      <c r="E11671">
        <f>TEST_DATA!E11671</f>
        <v>2219</v>
      </c>
    </row>
    <row r="11672" spans="1:5" x14ac:dyDescent="0.55000000000000004">
      <c r="A11672" t="str">
        <f>TEST_DATA!A11672</f>
        <v>27AAAAA11672Z5</v>
      </c>
      <c r="B11672" t="str">
        <f>TEST_DATA!B11672</f>
        <v>Apr-2020</v>
      </c>
      <c r="C11672">
        <f>TEST_DATA!C11672</f>
        <v>43978</v>
      </c>
      <c r="D11672" t="str">
        <f>TEST_DATA!D11672</f>
        <v>NON-NIL</v>
      </c>
      <c r="E11672">
        <f>TEST_DATA!E11672</f>
        <v>655</v>
      </c>
    </row>
    <row r="11673" spans="1:5" x14ac:dyDescent="0.55000000000000004">
      <c r="A11673" t="str">
        <f>TEST_DATA!A11673</f>
        <v>27AAAAA11673Z5</v>
      </c>
      <c r="B11673" t="str">
        <f>TEST_DATA!B11673</f>
        <v>Apr-2021</v>
      </c>
      <c r="C11673">
        <f>TEST_DATA!C11673</f>
        <v>45535</v>
      </c>
      <c r="D11673" t="str">
        <f>TEST_DATA!D11673</f>
        <v>NIL</v>
      </c>
      <c r="E11673">
        <f>TEST_DATA!E11673</f>
        <v>2079</v>
      </c>
    </row>
    <row r="11674" spans="1:5" x14ac:dyDescent="0.55000000000000004">
      <c r="A11674" t="str">
        <f>TEST_DATA!A11674</f>
        <v>27AAAAA11674Z5</v>
      </c>
      <c r="B11674" t="str">
        <f>TEST_DATA!B11674</f>
        <v>Jun-2019</v>
      </c>
      <c r="C11674">
        <f>TEST_DATA!C11674</f>
        <v>44159</v>
      </c>
      <c r="D11674" t="str">
        <f>TEST_DATA!D11674</f>
        <v>NIL</v>
      </c>
      <c r="E11674">
        <f>TEST_DATA!E11674</f>
        <v>2920</v>
      </c>
    </row>
    <row r="11675" spans="1:5" x14ac:dyDescent="0.55000000000000004">
      <c r="A11675" t="str">
        <f>TEST_DATA!A11675</f>
        <v>27AAAAA11675Z5</v>
      </c>
      <c r="B11675" t="str">
        <f>TEST_DATA!B11675</f>
        <v>Sep-2017</v>
      </c>
      <c r="C11675">
        <f>TEST_DATA!C11675</f>
        <v>43588</v>
      </c>
      <c r="D11675" t="str">
        <f>TEST_DATA!D11675</f>
        <v>NIL</v>
      </c>
      <c r="E11675">
        <f>TEST_DATA!E11675</f>
        <v>1132</v>
      </c>
    </row>
    <row r="11676" spans="1:5" x14ac:dyDescent="0.55000000000000004">
      <c r="A11676" t="str">
        <f>TEST_DATA!A11676</f>
        <v>27AAAAA11676Z5</v>
      </c>
      <c r="B11676" t="str">
        <f>TEST_DATA!B11676</f>
        <v>Mar-2020</v>
      </c>
      <c r="C11676">
        <f>TEST_DATA!C11676</f>
        <v>44787</v>
      </c>
      <c r="D11676" t="str">
        <f>TEST_DATA!D11676</f>
        <v>NON-NIL</v>
      </c>
      <c r="E11676">
        <f>TEST_DATA!E11676</f>
        <v>2034</v>
      </c>
    </row>
    <row r="11677" spans="1:5" x14ac:dyDescent="0.55000000000000004">
      <c r="A11677" t="str">
        <f>TEST_DATA!A11677</f>
        <v>27AAAAA11677Z5</v>
      </c>
      <c r="B11677" t="str">
        <f>TEST_DATA!B11677</f>
        <v>Aug-2018</v>
      </c>
      <c r="C11677">
        <f>TEST_DATA!C11677</f>
        <v>43466</v>
      </c>
      <c r="D11677" t="str">
        <f>TEST_DATA!D11677</f>
        <v>NIL</v>
      </c>
      <c r="E11677">
        <f>TEST_DATA!E11677</f>
        <v>1007</v>
      </c>
    </row>
    <row r="11678" spans="1:5" x14ac:dyDescent="0.55000000000000004">
      <c r="A11678" t="str">
        <f>TEST_DATA!A11678</f>
        <v>27AAAAA11678Z5</v>
      </c>
      <c r="B11678" t="str">
        <f>TEST_DATA!B11678</f>
        <v>Jul-2018</v>
      </c>
      <c r="C11678">
        <f>TEST_DATA!C11678</f>
        <v>44403</v>
      </c>
      <c r="D11678" t="str">
        <f>TEST_DATA!D11678</f>
        <v>NIL</v>
      </c>
      <c r="E11678">
        <f>TEST_DATA!E11678</f>
        <v>1672</v>
      </c>
    </row>
    <row r="11679" spans="1:5" x14ac:dyDescent="0.55000000000000004">
      <c r="A11679" t="str">
        <f>TEST_DATA!A11679</f>
        <v>27AAAAA11679Z5</v>
      </c>
      <c r="B11679" t="str">
        <f>TEST_DATA!B11679</f>
        <v>Mar-2023</v>
      </c>
      <c r="C11679">
        <f>TEST_DATA!C11679</f>
        <v>44907</v>
      </c>
      <c r="D11679" t="str">
        <f>TEST_DATA!D11679</f>
        <v>NON-NIL</v>
      </c>
      <c r="E11679">
        <f>TEST_DATA!E11679</f>
        <v>1695</v>
      </c>
    </row>
    <row r="11680" spans="1:5" x14ac:dyDescent="0.55000000000000004">
      <c r="A11680" t="str">
        <f>TEST_DATA!A11680</f>
        <v>27AAAAA11680Z5</v>
      </c>
      <c r="B11680" t="str">
        <f>TEST_DATA!B11680</f>
        <v>Dec-2022</v>
      </c>
      <c r="C11680">
        <f>TEST_DATA!C11680</f>
        <v>44884</v>
      </c>
      <c r="D11680" t="str">
        <f>TEST_DATA!D11680</f>
        <v>NIL</v>
      </c>
      <c r="E11680">
        <f>TEST_DATA!E11680</f>
        <v>2081</v>
      </c>
    </row>
    <row r="11681" spans="1:5" x14ac:dyDescent="0.55000000000000004">
      <c r="A11681" t="str">
        <f>TEST_DATA!A11681</f>
        <v>27AAAAA11681Z5</v>
      </c>
      <c r="B11681" t="str">
        <f>TEST_DATA!B11681</f>
        <v>Dec-2024</v>
      </c>
      <c r="C11681">
        <f>TEST_DATA!C11681</f>
        <v>44148</v>
      </c>
      <c r="D11681" t="str">
        <f>TEST_DATA!D11681</f>
        <v>NIL</v>
      </c>
      <c r="E11681">
        <f>TEST_DATA!E11681</f>
        <v>2880</v>
      </c>
    </row>
    <row r="11682" spans="1:5" x14ac:dyDescent="0.55000000000000004">
      <c r="A11682" t="str">
        <f>TEST_DATA!A11682</f>
        <v>27AAAAA11682Z5</v>
      </c>
      <c r="B11682" t="str">
        <f>TEST_DATA!B11682</f>
        <v>Apr-2021</v>
      </c>
      <c r="C11682">
        <f>TEST_DATA!C11682</f>
        <v>45050</v>
      </c>
      <c r="D11682" t="str">
        <f>TEST_DATA!D11682</f>
        <v>NIL</v>
      </c>
      <c r="E11682">
        <f>TEST_DATA!E11682</f>
        <v>2324</v>
      </c>
    </row>
    <row r="11683" spans="1:5" x14ac:dyDescent="0.55000000000000004">
      <c r="A11683" t="str">
        <f>TEST_DATA!A11683</f>
        <v>27AAAAA11683Z5</v>
      </c>
      <c r="B11683" t="str">
        <f>TEST_DATA!B11683</f>
        <v>May-2020</v>
      </c>
      <c r="C11683">
        <f>TEST_DATA!C11683</f>
        <v>44502</v>
      </c>
      <c r="D11683" t="str">
        <f>TEST_DATA!D11683</f>
        <v>NON-NIL</v>
      </c>
      <c r="E11683">
        <f>TEST_DATA!E11683</f>
        <v>2901</v>
      </c>
    </row>
    <row r="11684" spans="1:5" x14ac:dyDescent="0.55000000000000004">
      <c r="A11684" t="str">
        <f>TEST_DATA!A11684</f>
        <v>27AAAAA11684Z5</v>
      </c>
      <c r="B11684" t="str">
        <f>TEST_DATA!B11684</f>
        <v>Mar-2020</v>
      </c>
      <c r="C11684">
        <f>TEST_DATA!C11684</f>
        <v>43879</v>
      </c>
      <c r="D11684" t="str">
        <f>TEST_DATA!D11684</f>
        <v>NIL</v>
      </c>
      <c r="E11684">
        <f>TEST_DATA!E11684</f>
        <v>2304</v>
      </c>
    </row>
    <row r="11685" spans="1:5" x14ac:dyDescent="0.55000000000000004">
      <c r="A11685" t="str">
        <f>TEST_DATA!A11685</f>
        <v>27AAAAA11685Z5</v>
      </c>
      <c r="B11685" t="str">
        <f>TEST_DATA!B11685</f>
        <v>Apr-2018</v>
      </c>
      <c r="C11685">
        <f>TEST_DATA!C11685</f>
        <v>44067</v>
      </c>
      <c r="D11685" t="str">
        <f>TEST_DATA!D11685</f>
        <v>NON-NIL</v>
      </c>
      <c r="E11685">
        <f>TEST_DATA!E11685</f>
        <v>2377</v>
      </c>
    </row>
    <row r="11686" spans="1:5" x14ac:dyDescent="0.55000000000000004">
      <c r="A11686" t="str">
        <f>TEST_DATA!A11686</f>
        <v>27AAAAA11686Z5</v>
      </c>
      <c r="B11686" t="str">
        <f>TEST_DATA!B11686</f>
        <v>Mar-2021</v>
      </c>
      <c r="C11686">
        <f>TEST_DATA!C11686</f>
        <v>44680</v>
      </c>
      <c r="D11686" t="str">
        <f>TEST_DATA!D11686</f>
        <v>NIL</v>
      </c>
      <c r="E11686">
        <f>TEST_DATA!E11686</f>
        <v>2748</v>
      </c>
    </row>
    <row r="11687" spans="1:5" x14ac:dyDescent="0.55000000000000004">
      <c r="A11687" t="str">
        <f>TEST_DATA!A11687</f>
        <v>27AAAAA11687Z5</v>
      </c>
      <c r="B11687" t="str">
        <f>TEST_DATA!B11687</f>
        <v>Mar-2023</v>
      </c>
      <c r="C11687">
        <f>TEST_DATA!C11687</f>
        <v>44514</v>
      </c>
      <c r="D11687" t="str">
        <f>TEST_DATA!D11687</f>
        <v>NON-NIL</v>
      </c>
      <c r="E11687">
        <f>TEST_DATA!E11687</f>
        <v>1876</v>
      </c>
    </row>
    <row r="11688" spans="1:5" x14ac:dyDescent="0.55000000000000004">
      <c r="A11688" t="str">
        <f>TEST_DATA!A11688</f>
        <v>27AAAAA11688Z5</v>
      </c>
      <c r="B11688" t="str">
        <f>TEST_DATA!B11688</f>
        <v>Jan-2019</v>
      </c>
      <c r="C11688">
        <f>TEST_DATA!C11688</f>
        <v>45142</v>
      </c>
      <c r="D11688" t="str">
        <f>TEST_DATA!D11688</f>
        <v>NON-NIL</v>
      </c>
      <c r="E11688">
        <f>TEST_DATA!E11688</f>
        <v>314</v>
      </c>
    </row>
    <row r="11689" spans="1:5" x14ac:dyDescent="0.55000000000000004">
      <c r="A11689" t="str">
        <f>TEST_DATA!A11689</f>
        <v>27AAAAA11689Z5</v>
      </c>
      <c r="B11689" t="str">
        <f>TEST_DATA!B11689</f>
        <v>Jan-2021</v>
      </c>
      <c r="C11689">
        <f>TEST_DATA!C11689</f>
        <v>44439</v>
      </c>
      <c r="D11689" t="str">
        <f>TEST_DATA!D11689</f>
        <v>NON-NIL</v>
      </c>
      <c r="E11689">
        <f>TEST_DATA!E11689</f>
        <v>1405</v>
      </c>
    </row>
    <row r="11690" spans="1:5" x14ac:dyDescent="0.55000000000000004">
      <c r="A11690" t="str">
        <f>TEST_DATA!A11690</f>
        <v>27AAAAA11690Z5</v>
      </c>
      <c r="B11690" t="str">
        <f>TEST_DATA!B11690</f>
        <v>May-2020</v>
      </c>
      <c r="C11690">
        <f>TEST_DATA!C11690</f>
        <v>44527</v>
      </c>
      <c r="D11690" t="str">
        <f>TEST_DATA!D11690</f>
        <v>NIL</v>
      </c>
      <c r="E11690">
        <f>TEST_DATA!E11690</f>
        <v>139</v>
      </c>
    </row>
    <row r="11691" spans="1:5" x14ac:dyDescent="0.55000000000000004">
      <c r="A11691" t="str">
        <f>TEST_DATA!A11691</f>
        <v>27AAAAA11691Z5</v>
      </c>
      <c r="B11691" t="str">
        <f>TEST_DATA!B11691</f>
        <v>Jul-2020</v>
      </c>
      <c r="C11691">
        <f>TEST_DATA!C11691</f>
        <v>44016</v>
      </c>
      <c r="D11691" t="str">
        <f>TEST_DATA!D11691</f>
        <v>NON-NIL</v>
      </c>
      <c r="E11691">
        <f>TEST_DATA!E11691</f>
        <v>2434</v>
      </c>
    </row>
    <row r="11692" spans="1:5" x14ac:dyDescent="0.55000000000000004">
      <c r="A11692" t="str">
        <f>TEST_DATA!A11692</f>
        <v>27AAAAA11692Z5</v>
      </c>
      <c r="B11692" t="str">
        <f>TEST_DATA!B11692</f>
        <v>Jun-2018</v>
      </c>
      <c r="C11692">
        <f>TEST_DATA!C11692</f>
        <v>44392</v>
      </c>
      <c r="D11692" t="str">
        <f>TEST_DATA!D11692</f>
        <v>NON-NIL</v>
      </c>
      <c r="E11692">
        <f>TEST_DATA!E11692</f>
        <v>1816</v>
      </c>
    </row>
    <row r="11693" spans="1:5" x14ac:dyDescent="0.55000000000000004">
      <c r="A11693" t="str">
        <f>TEST_DATA!A11693</f>
        <v>27AAAAA11693Z5</v>
      </c>
      <c r="B11693" t="str">
        <f>TEST_DATA!B11693</f>
        <v>Jun-2019</v>
      </c>
      <c r="C11693">
        <f>TEST_DATA!C11693</f>
        <v>44234</v>
      </c>
      <c r="D11693" t="str">
        <f>TEST_DATA!D11693</f>
        <v>NIL</v>
      </c>
      <c r="E11693">
        <f>TEST_DATA!E11693</f>
        <v>853</v>
      </c>
    </row>
    <row r="11694" spans="1:5" x14ac:dyDescent="0.55000000000000004">
      <c r="A11694" t="str">
        <f>TEST_DATA!A11694</f>
        <v>27AAAAA11694Z5</v>
      </c>
      <c r="B11694" t="str">
        <f>TEST_DATA!B11694</f>
        <v>Mar-2020</v>
      </c>
      <c r="C11694">
        <f>TEST_DATA!C11694</f>
        <v>44577</v>
      </c>
      <c r="D11694" t="str">
        <f>TEST_DATA!D11694</f>
        <v>NIL</v>
      </c>
      <c r="E11694">
        <f>TEST_DATA!E11694</f>
        <v>1571</v>
      </c>
    </row>
    <row r="11695" spans="1:5" x14ac:dyDescent="0.55000000000000004">
      <c r="A11695" t="str">
        <f>TEST_DATA!A11695</f>
        <v>27AAAAA11695Z5</v>
      </c>
      <c r="B11695" t="str">
        <f>TEST_DATA!B11695</f>
        <v>Apr-2021</v>
      </c>
      <c r="C11695">
        <f>TEST_DATA!C11695</f>
        <v>43528</v>
      </c>
      <c r="D11695" t="str">
        <f>TEST_DATA!D11695</f>
        <v>NIL</v>
      </c>
      <c r="E11695">
        <f>TEST_DATA!E11695</f>
        <v>2372</v>
      </c>
    </row>
    <row r="11696" spans="1:5" x14ac:dyDescent="0.55000000000000004">
      <c r="A11696" t="str">
        <f>TEST_DATA!A11696</f>
        <v>27AAAAA11696Z5</v>
      </c>
      <c r="B11696" t="str">
        <f>TEST_DATA!B11696</f>
        <v>Mar-2021</v>
      </c>
      <c r="C11696">
        <f>TEST_DATA!C11696</f>
        <v>44632</v>
      </c>
      <c r="D11696" t="str">
        <f>TEST_DATA!D11696</f>
        <v>NIL</v>
      </c>
      <c r="E11696">
        <f>TEST_DATA!E11696</f>
        <v>631</v>
      </c>
    </row>
    <row r="11697" spans="1:5" x14ac:dyDescent="0.55000000000000004">
      <c r="A11697" t="str">
        <f>TEST_DATA!A11697</f>
        <v>27AAAAA11697Z5</v>
      </c>
      <c r="B11697" t="str">
        <f>TEST_DATA!B11697</f>
        <v>May-2020</v>
      </c>
      <c r="C11697">
        <f>TEST_DATA!C11697</f>
        <v>44772</v>
      </c>
      <c r="D11697" t="str">
        <f>TEST_DATA!D11697</f>
        <v>NIL</v>
      </c>
      <c r="E11697">
        <f>TEST_DATA!E11697</f>
        <v>1700</v>
      </c>
    </row>
    <row r="11698" spans="1:5" x14ac:dyDescent="0.55000000000000004">
      <c r="A11698" t="str">
        <f>TEST_DATA!A11698</f>
        <v>27AAAAA11698Z5</v>
      </c>
      <c r="B11698" t="str">
        <f>TEST_DATA!B11698</f>
        <v>Jul-2018</v>
      </c>
      <c r="C11698">
        <f>TEST_DATA!C11698</f>
        <v>43134</v>
      </c>
      <c r="D11698" t="str">
        <f>TEST_DATA!D11698</f>
        <v>NON-NIL</v>
      </c>
      <c r="E11698">
        <f>TEST_DATA!E11698</f>
        <v>2749</v>
      </c>
    </row>
    <row r="11699" spans="1:5" x14ac:dyDescent="0.55000000000000004">
      <c r="A11699" t="str">
        <f>TEST_DATA!A11699</f>
        <v>27AAAAA11699Z5</v>
      </c>
      <c r="B11699" t="str">
        <f>TEST_DATA!B11699</f>
        <v>Feb-2018</v>
      </c>
      <c r="C11699">
        <f>TEST_DATA!C11699</f>
        <v>43756</v>
      </c>
      <c r="D11699" t="str">
        <f>TEST_DATA!D11699</f>
        <v>NIL</v>
      </c>
      <c r="E11699">
        <f>TEST_DATA!E11699</f>
        <v>2889</v>
      </c>
    </row>
    <row r="11700" spans="1:5" x14ac:dyDescent="0.55000000000000004">
      <c r="A11700" t="str">
        <f>TEST_DATA!A11700</f>
        <v>27AAAAA11700Z5</v>
      </c>
      <c r="B11700" t="str">
        <f>TEST_DATA!B11700</f>
        <v>Jun-2019</v>
      </c>
      <c r="C11700">
        <f>TEST_DATA!C11700</f>
        <v>45484</v>
      </c>
      <c r="D11700" t="str">
        <f>TEST_DATA!D11700</f>
        <v>NIL</v>
      </c>
      <c r="E11700">
        <f>TEST_DATA!E11700</f>
        <v>1795</v>
      </c>
    </row>
    <row r="11701" spans="1:5" x14ac:dyDescent="0.55000000000000004">
      <c r="A11701" t="str">
        <f>TEST_DATA!A11701</f>
        <v>27AAAAA11701Z5</v>
      </c>
      <c r="B11701" t="str">
        <f>TEST_DATA!B11701</f>
        <v>Nov-2017</v>
      </c>
      <c r="C11701">
        <f>TEST_DATA!C11701</f>
        <v>42918</v>
      </c>
      <c r="D11701" t="str">
        <f>TEST_DATA!D11701</f>
        <v>NIL</v>
      </c>
      <c r="E11701">
        <f>TEST_DATA!E11701</f>
        <v>119</v>
      </c>
    </row>
    <row r="11702" spans="1:5" x14ac:dyDescent="0.55000000000000004">
      <c r="A11702" t="str">
        <f>TEST_DATA!A11702</f>
        <v>27AAAAA11702Z5</v>
      </c>
      <c r="B11702" t="str">
        <f>TEST_DATA!B11702</f>
        <v>Dec-2024</v>
      </c>
      <c r="C11702">
        <f>TEST_DATA!C11702</f>
        <v>44381</v>
      </c>
      <c r="D11702" t="str">
        <f>TEST_DATA!D11702</f>
        <v>NIL</v>
      </c>
      <c r="E11702">
        <f>TEST_DATA!E11702</f>
        <v>2255</v>
      </c>
    </row>
    <row r="11703" spans="1:5" x14ac:dyDescent="0.55000000000000004">
      <c r="A11703" t="str">
        <f>TEST_DATA!A11703</f>
        <v>27AAAAA11703Z5</v>
      </c>
      <c r="B11703" t="str">
        <f>TEST_DATA!B11703</f>
        <v>Dec-2019</v>
      </c>
      <c r="C11703">
        <f>TEST_DATA!C11703</f>
        <v>43876</v>
      </c>
      <c r="D11703" t="str">
        <f>TEST_DATA!D11703</f>
        <v>NIL</v>
      </c>
      <c r="E11703">
        <f>TEST_DATA!E11703</f>
        <v>646</v>
      </c>
    </row>
    <row r="11704" spans="1:5" x14ac:dyDescent="0.55000000000000004">
      <c r="A11704" t="str">
        <f>TEST_DATA!A11704</f>
        <v>27AAAAA11704Z5</v>
      </c>
      <c r="B11704" t="str">
        <f>TEST_DATA!B11704</f>
        <v>Jul-2017</v>
      </c>
      <c r="C11704">
        <f>TEST_DATA!C11704</f>
        <v>44470</v>
      </c>
      <c r="D11704" t="str">
        <f>TEST_DATA!D11704</f>
        <v>NON-NIL</v>
      </c>
      <c r="E11704">
        <f>TEST_DATA!E11704</f>
        <v>1622</v>
      </c>
    </row>
    <row r="11705" spans="1:5" x14ac:dyDescent="0.55000000000000004">
      <c r="A11705" t="str">
        <f>TEST_DATA!A11705</f>
        <v>27AAAAA11705Z5</v>
      </c>
      <c r="B11705" t="str">
        <f>TEST_DATA!B11705</f>
        <v>Mar-2023</v>
      </c>
      <c r="C11705">
        <f>TEST_DATA!C11705</f>
        <v>45418</v>
      </c>
      <c r="D11705" t="str">
        <f>TEST_DATA!D11705</f>
        <v>NON-NIL</v>
      </c>
      <c r="E11705">
        <f>TEST_DATA!E11705</f>
        <v>900</v>
      </c>
    </row>
    <row r="11706" spans="1:5" x14ac:dyDescent="0.55000000000000004">
      <c r="A11706" t="str">
        <f>TEST_DATA!A11706</f>
        <v>27AAAAA11706Z5</v>
      </c>
      <c r="B11706" t="str">
        <f>TEST_DATA!B11706</f>
        <v>Sep-2018</v>
      </c>
      <c r="C11706">
        <f>TEST_DATA!C11706</f>
        <v>43252</v>
      </c>
      <c r="D11706" t="str">
        <f>TEST_DATA!D11706</f>
        <v>NIL</v>
      </c>
      <c r="E11706">
        <f>TEST_DATA!E11706</f>
        <v>816</v>
      </c>
    </row>
    <row r="11707" spans="1:5" x14ac:dyDescent="0.55000000000000004">
      <c r="A11707" t="str">
        <f>TEST_DATA!A11707</f>
        <v>27AAAAA11707Z5</v>
      </c>
      <c r="B11707" t="str">
        <f>TEST_DATA!B11707</f>
        <v>May-2020</v>
      </c>
      <c r="C11707">
        <f>TEST_DATA!C11707</f>
        <v>44739</v>
      </c>
      <c r="D11707" t="str">
        <f>TEST_DATA!D11707</f>
        <v>NIL</v>
      </c>
      <c r="E11707">
        <f>TEST_DATA!E11707</f>
        <v>1209</v>
      </c>
    </row>
    <row r="11708" spans="1:5" x14ac:dyDescent="0.55000000000000004">
      <c r="A11708" t="str">
        <f>TEST_DATA!A11708</f>
        <v>27AAAAA11708Z5</v>
      </c>
      <c r="B11708" t="str">
        <f>TEST_DATA!B11708</f>
        <v>Mar-2021</v>
      </c>
      <c r="C11708">
        <f>TEST_DATA!C11708</f>
        <v>44490</v>
      </c>
      <c r="D11708" t="str">
        <f>TEST_DATA!D11708</f>
        <v>NIL</v>
      </c>
      <c r="E11708">
        <f>TEST_DATA!E11708</f>
        <v>1537</v>
      </c>
    </row>
    <row r="11709" spans="1:5" x14ac:dyDescent="0.55000000000000004">
      <c r="A11709" t="str">
        <f>TEST_DATA!A11709</f>
        <v>27AAAAA11709Z5</v>
      </c>
      <c r="B11709" t="str">
        <f>TEST_DATA!B11709</f>
        <v>Jun-2018</v>
      </c>
      <c r="C11709">
        <f>TEST_DATA!C11709</f>
        <v>43778</v>
      </c>
      <c r="D11709" t="str">
        <f>TEST_DATA!D11709</f>
        <v>NON-NIL</v>
      </c>
      <c r="E11709">
        <f>TEST_DATA!E11709</f>
        <v>3</v>
      </c>
    </row>
    <row r="11710" spans="1:5" x14ac:dyDescent="0.55000000000000004">
      <c r="A11710" t="str">
        <f>TEST_DATA!A11710</f>
        <v>27AAAAA11710Z5</v>
      </c>
      <c r="B11710" t="str">
        <f>TEST_DATA!B11710</f>
        <v>Sep-2018</v>
      </c>
      <c r="C11710">
        <f>TEST_DATA!C11710</f>
        <v>44228</v>
      </c>
      <c r="D11710" t="str">
        <f>TEST_DATA!D11710</f>
        <v>NIL</v>
      </c>
      <c r="E11710">
        <f>TEST_DATA!E11710</f>
        <v>2372</v>
      </c>
    </row>
    <row r="11711" spans="1:5" x14ac:dyDescent="0.55000000000000004">
      <c r="A11711" t="str">
        <f>TEST_DATA!A11711</f>
        <v>27AAAAA11711Z5</v>
      </c>
      <c r="B11711" t="str">
        <f>TEST_DATA!B11711</f>
        <v>May-2020</v>
      </c>
      <c r="C11711">
        <f>TEST_DATA!C11711</f>
        <v>43836</v>
      </c>
      <c r="D11711" t="str">
        <f>TEST_DATA!D11711</f>
        <v>NON-NIL</v>
      </c>
      <c r="E11711">
        <f>TEST_DATA!E11711</f>
        <v>1661</v>
      </c>
    </row>
    <row r="11712" spans="1:5" x14ac:dyDescent="0.55000000000000004">
      <c r="A11712" t="str">
        <f>TEST_DATA!A11712</f>
        <v>27AAAAA11712Z5</v>
      </c>
      <c r="B11712" t="str">
        <f>TEST_DATA!B11712</f>
        <v>Jun-2020</v>
      </c>
      <c r="C11712">
        <f>TEST_DATA!C11712</f>
        <v>44498</v>
      </c>
      <c r="D11712" t="str">
        <f>TEST_DATA!D11712</f>
        <v>NON-NIL</v>
      </c>
      <c r="E11712">
        <f>TEST_DATA!E11712</f>
        <v>1175</v>
      </c>
    </row>
    <row r="11713" spans="1:5" x14ac:dyDescent="0.55000000000000004">
      <c r="A11713" t="str">
        <f>TEST_DATA!A11713</f>
        <v>27AAAAA11713Z5</v>
      </c>
      <c r="B11713" t="str">
        <f>TEST_DATA!B11713</f>
        <v>Dec-2022</v>
      </c>
      <c r="C11713">
        <f>TEST_DATA!C11713</f>
        <v>44259</v>
      </c>
      <c r="D11713" t="str">
        <f>TEST_DATA!D11713</f>
        <v>NON-NIL</v>
      </c>
      <c r="E11713">
        <f>TEST_DATA!E11713</f>
        <v>2003</v>
      </c>
    </row>
    <row r="11714" spans="1:5" x14ac:dyDescent="0.55000000000000004">
      <c r="A11714" t="str">
        <f>TEST_DATA!A11714</f>
        <v>27AAAAA11714Z5</v>
      </c>
      <c r="B11714" t="str">
        <f>TEST_DATA!B11714</f>
        <v>Jan-2019</v>
      </c>
      <c r="C11714">
        <f>TEST_DATA!C11714</f>
        <v>43605</v>
      </c>
      <c r="D11714" t="str">
        <f>TEST_DATA!D11714</f>
        <v>NON-NIL</v>
      </c>
      <c r="E11714">
        <f>TEST_DATA!E11714</f>
        <v>1067</v>
      </c>
    </row>
    <row r="11715" spans="1:5" x14ac:dyDescent="0.55000000000000004">
      <c r="A11715" t="str">
        <f>TEST_DATA!A11715</f>
        <v>27AAAAA11715Z5</v>
      </c>
      <c r="B11715" t="str">
        <f>TEST_DATA!B11715</f>
        <v>Jul-2018</v>
      </c>
      <c r="C11715">
        <f>TEST_DATA!C11715</f>
        <v>43839</v>
      </c>
      <c r="D11715" t="str">
        <f>TEST_DATA!D11715</f>
        <v>NIL</v>
      </c>
      <c r="E11715">
        <f>TEST_DATA!E11715</f>
        <v>2461</v>
      </c>
    </row>
    <row r="11716" spans="1:5" x14ac:dyDescent="0.55000000000000004">
      <c r="A11716" t="str">
        <f>TEST_DATA!A11716</f>
        <v>27AAAAA11716Z5</v>
      </c>
      <c r="B11716" t="str">
        <f>TEST_DATA!B11716</f>
        <v>Feb-2018</v>
      </c>
      <c r="C11716">
        <f>TEST_DATA!C11716</f>
        <v>43072</v>
      </c>
      <c r="D11716" t="str">
        <f>TEST_DATA!D11716</f>
        <v>NON-NIL</v>
      </c>
      <c r="E11716">
        <f>TEST_DATA!E11716</f>
        <v>1029</v>
      </c>
    </row>
    <row r="11717" spans="1:5" x14ac:dyDescent="0.55000000000000004">
      <c r="A11717" t="str">
        <f>TEST_DATA!A11717</f>
        <v>27AAAAA11717Z5</v>
      </c>
      <c r="B11717" t="str">
        <f>TEST_DATA!B11717</f>
        <v>Jan-2021</v>
      </c>
      <c r="C11717">
        <f>TEST_DATA!C11717</f>
        <v>43489</v>
      </c>
      <c r="D11717" t="str">
        <f>TEST_DATA!D11717</f>
        <v>NON-NIL</v>
      </c>
      <c r="E11717">
        <f>TEST_DATA!E11717</f>
        <v>1108</v>
      </c>
    </row>
    <row r="11718" spans="1:5" x14ac:dyDescent="0.55000000000000004">
      <c r="A11718" t="str">
        <f>TEST_DATA!A11718</f>
        <v>27AAAAA11718Z5</v>
      </c>
      <c r="B11718" t="str">
        <f>TEST_DATA!B11718</f>
        <v>Aug-2018</v>
      </c>
      <c r="C11718">
        <f>TEST_DATA!C11718</f>
        <v>44042</v>
      </c>
      <c r="D11718" t="str">
        <f>TEST_DATA!D11718</f>
        <v>NON-NIL</v>
      </c>
      <c r="E11718">
        <f>TEST_DATA!E11718</f>
        <v>987</v>
      </c>
    </row>
    <row r="11719" spans="1:5" x14ac:dyDescent="0.55000000000000004">
      <c r="A11719" t="str">
        <f>TEST_DATA!A11719</f>
        <v>27AAAAA11719Z5</v>
      </c>
      <c r="B11719" t="str">
        <f>TEST_DATA!B11719</f>
        <v>Jul-2020</v>
      </c>
      <c r="C11719">
        <f>TEST_DATA!C11719</f>
        <v>43933</v>
      </c>
      <c r="D11719" t="str">
        <f>TEST_DATA!D11719</f>
        <v>NON-NIL</v>
      </c>
      <c r="E11719">
        <f>TEST_DATA!E11719</f>
        <v>2119</v>
      </c>
    </row>
    <row r="11720" spans="1:5" x14ac:dyDescent="0.55000000000000004">
      <c r="A11720" t="str">
        <f>TEST_DATA!A11720</f>
        <v>27AAAAA11720Z5</v>
      </c>
      <c r="B11720" t="str">
        <f>TEST_DATA!B11720</f>
        <v>Jun-2019</v>
      </c>
      <c r="C11720">
        <f>TEST_DATA!C11720</f>
        <v>45222</v>
      </c>
      <c r="D11720" t="str">
        <f>TEST_DATA!D11720</f>
        <v>NIL</v>
      </c>
      <c r="E11720">
        <f>TEST_DATA!E11720</f>
        <v>238</v>
      </c>
    </row>
    <row r="11721" spans="1:5" x14ac:dyDescent="0.55000000000000004">
      <c r="A11721" t="str">
        <f>TEST_DATA!A11721</f>
        <v>27AAAAA11721Z5</v>
      </c>
      <c r="B11721" t="str">
        <f>TEST_DATA!B11721</f>
        <v>Mar-2023</v>
      </c>
      <c r="C11721">
        <f>TEST_DATA!C11721</f>
        <v>44124</v>
      </c>
      <c r="D11721" t="str">
        <f>TEST_DATA!D11721</f>
        <v>NON-NIL</v>
      </c>
      <c r="E11721">
        <f>TEST_DATA!E11721</f>
        <v>869</v>
      </c>
    </row>
    <row r="11722" spans="1:5" x14ac:dyDescent="0.55000000000000004">
      <c r="A11722" t="str">
        <f>TEST_DATA!A11722</f>
        <v>27AAAAA11722Z5</v>
      </c>
      <c r="B11722" t="str">
        <f>TEST_DATA!B11722</f>
        <v>Oct-2017</v>
      </c>
      <c r="C11722">
        <f>TEST_DATA!C11722</f>
        <v>43196</v>
      </c>
      <c r="D11722" t="str">
        <f>TEST_DATA!D11722</f>
        <v>NIL</v>
      </c>
      <c r="E11722">
        <f>TEST_DATA!E11722</f>
        <v>1730</v>
      </c>
    </row>
    <row r="11723" spans="1:5" x14ac:dyDescent="0.55000000000000004">
      <c r="A11723" t="str">
        <f>TEST_DATA!A11723</f>
        <v>27AAAAA11723Z5</v>
      </c>
      <c r="B11723" t="str">
        <f>TEST_DATA!B11723</f>
        <v>Dec-2022</v>
      </c>
      <c r="C11723">
        <f>TEST_DATA!C11723</f>
        <v>45184</v>
      </c>
      <c r="D11723" t="str">
        <f>TEST_DATA!D11723</f>
        <v>NIL</v>
      </c>
      <c r="E11723">
        <f>TEST_DATA!E11723</f>
        <v>1295</v>
      </c>
    </row>
    <row r="11724" spans="1:5" x14ac:dyDescent="0.55000000000000004">
      <c r="A11724" t="str">
        <f>TEST_DATA!A11724</f>
        <v>27AAAAA11724Z5</v>
      </c>
      <c r="B11724" t="str">
        <f>TEST_DATA!B11724</f>
        <v>Mar-2018</v>
      </c>
      <c r="C11724">
        <f>TEST_DATA!C11724</f>
        <v>43931</v>
      </c>
      <c r="D11724" t="str">
        <f>TEST_DATA!D11724</f>
        <v>NIL</v>
      </c>
      <c r="E11724">
        <f>TEST_DATA!E11724</f>
        <v>2811</v>
      </c>
    </row>
    <row r="11725" spans="1:5" x14ac:dyDescent="0.55000000000000004">
      <c r="A11725" t="str">
        <f>TEST_DATA!A11725</f>
        <v>27AAAAA11725Z5</v>
      </c>
      <c r="B11725" t="str">
        <f>TEST_DATA!B11725</f>
        <v>Aug-2017</v>
      </c>
      <c r="C11725">
        <f>TEST_DATA!C11725</f>
        <v>44071</v>
      </c>
      <c r="D11725" t="str">
        <f>TEST_DATA!D11725</f>
        <v>NON-NIL</v>
      </c>
      <c r="E11725">
        <f>TEST_DATA!E11725</f>
        <v>2112</v>
      </c>
    </row>
    <row r="11726" spans="1:5" x14ac:dyDescent="0.55000000000000004">
      <c r="A11726" t="str">
        <f>TEST_DATA!A11726</f>
        <v>27AAAAA11726Z5</v>
      </c>
      <c r="B11726" t="str">
        <f>TEST_DATA!B11726</f>
        <v>Aug-2017</v>
      </c>
      <c r="C11726">
        <f>TEST_DATA!C11726</f>
        <v>43543</v>
      </c>
      <c r="D11726" t="str">
        <f>TEST_DATA!D11726</f>
        <v>NIL</v>
      </c>
      <c r="E11726">
        <f>TEST_DATA!E11726</f>
        <v>371</v>
      </c>
    </row>
    <row r="11727" spans="1:5" x14ac:dyDescent="0.55000000000000004">
      <c r="A11727" t="str">
        <f>TEST_DATA!A11727</f>
        <v>27AAAAA11727Z5</v>
      </c>
      <c r="B11727" t="str">
        <f>TEST_DATA!B11727</f>
        <v>Mar-2021</v>
      </c>
      <c r="C11727">
        <f>TEST_DATA!C11727</f>
        <v>44669</v>
      </c>
      <c r="D11727" t="str">
        <f>TEST_DATA!D11727</f>
        <v>NON-NIL</v>
      </c>
      <c r="E11727">
        <f>TEST_DATA!E11727</f>
        <v>500</v>
      </c>
    </row>
    <row r="11728" spans="1:5" x14ac:dyDescent="0.55000000000000004">
      <c r="A11728" t="str">
        <f>TEST_DATA!A11728</f>
        <v>27AAAAA11728Z5</v>
      </c>
      <c r="B11728" t="str">
        <f>TEST_DATA!B11728</f>
        <v>Dec-2022</v>
      </c>
      <c r="C11728">
        <f>TEST_DATA!C11728</f>
        <v>44758</v>
      </c>
      <c r="D11728" t="str">
        <f>TEST_DATA!D11728</f>
        <v>NON-NIL</v>
      </c>
      <c r="E11728">
        <f>TEST_DATA!E11728</f>
        <v>53</v>
      </c>
    </row>
    <row r="11729" spans="1:5" x14ac:dyDescent="0.55000000000000004">
      <c r="A11729" t="str">
        <f>TEST_DATA!A11729</f>
        <v>27AAAAA11729Z5</v>
      </c>
      <c r="B11729" t="str">
        <f>TEST_DATA!B11729</f>
        <v>Aug-2017</v>
      </c>
      <c r="C11729">
        <f>TEST_DATA!C11729</f>
        <v>42969</v>
      </c>
      <c r="D11729" t="str">
        <f>TEST_DATA!D11729</f>
        <v>NIL</v>
      </c>
      <c r="E11729">
        <f>TEST_DATA!E11729</f>
        <v>2375</v>
      </c>
    </row>
    <row r="11730" spans="1:5" x14ac:dyDescent="0.55000000000000004">
      <c r="A11730" t="str">
        <f>TEST_DATA!A11730</f>
        <v>27AAAAA11730Z5</v>
      </c>
      <c r="B11730" t="str">
        <f>TEST_DATA!B11730</f>
        <v>Jun-2020</v>
      </c>
      <c r="C11730">
        <f>TEST_DATA!C11730</f>
        <v>43944</v>
      </c>
      <c r="D11730" t="str">
        <f>TEST_DATA!D11730</f>
        <v>NIL</v>
      </c>
      <c r="E11730">
        <f>TEST_DATA!E11730</f>
        <v>1846</v>
      </c>
    </row>
    <row r="11731" spans="1:5" x14ac:dyDescent="0.55000000000000004">
      <c r="A11731" t="str">
        <f>TEST_DATA!A11731</f>
        <v>27AAAAA11731Z5</v>
      </c>
      <c r="B11731" t="str">
        <f>TEST_DATA!B11731</f>
        <v>Jan-2018</v>
      </c>
      <c r="C11731">
        <f>TEST_DATA!C11731</f>
        <v>43980</v>
      </c>
      <c r="D11731" t="str">
        <f>TEST_DATA!D11731</f>
        <v>NON-NIL</v>
      </c>
      <c r="E11731">
        <f>TEST_DATA!E11731</f>
        <v>1055</v>
      </c>
    </row>
    <row r="11732" spans="1:5" x14ac:dyDescent="0.55000000000000004">
      <c r="A11732" t="str">
        <f>TEST_DATA!A11732</f>
        <v>27AAAAA11732Z5</v>
      </c>
      <c r="B11732" t="str">
        <f>TEST_DATA!B11732</f>
        <v>Jul-2018</v>
      </c>
      <c r="C11732">
        <f>TEST_DATA!C11732</f>
        <v>43820</v>
      </c>
      <c r="D11732" t="str">
        <f>TEST_DATA!D11732</f>
        <v>NIL</v>
      </c>
      <c r="E11732">
        <f>TEST_DATA!E11732</f>
        <v>2583</v>
      </c>
    </row>
    <row r="11733" spans="1:5" x14ac:dyDescent="0.55000000000000004">
      <c r="A11733" t="str">
        <f>TEST_DATA!A11733</f>
        <v>27AAAAA11733Z5</v>
      </c>
      <c r="B11733" t="str">
        <f>TEST_DATA!B11733</f>
        <v>Apr-2018</v>
      </c>
      <c r="C11733">
        <f>TEST_DATA!C11733</f>
        <v>44408</v>
      </c>
      <c r="D11733" t="str">
        <f>TEST_DATA!D11733</f>
        <v>NON-NIL</v>
      </c>
      <c r="E11733">
        <f>TEST_DATA!E11733</f>
        <v>1159</v>
      </c>
    </row>
    <row r="11734" spans="1:5" x14ac:dyDescent="0.55000000000000004">
      <c r="A11734" t="str">
        <f>TEST_DATA!A11734</f>
        <v>27AAAAA11734Z5</v>
      </c>
      <c r="B11734" t="str">
        <f>TEST_DATA!B11734</f>
        <v>Feb-2018</v>
      </c>
      <c r="C11734">
        <f>TEST_DATA!C11734</f>
        <v>43740</v>
      </c>
      <c r="D11734" t="str">
        <f>TEST_DATA!D11734</f>
        <v>NIL</v>
      </c>
      <c r="E11734">
        <f>TEST_DATA!E11734</f>
        <v>2350</v>
      </c>
    </row>
    <row r="11735" spans="1:5" x14ac:dyDescent="0.55000000000000004">
      <c r="A11735" t="str">
        <f>TEST_DATA!A11735</f>
        <v>27AAAAA11735Z5</v>
      </c>
      <c r="B11735" t="str">
        <f>TEST_DATA!B11735</f>
        <v>May-2020</v>
      </c>
      <c r="C11735">
        <f>TEST_DATA!C11735</f>
        <v>43897</v>
      </c>
      <c r="D11735" t="str">
        <f>TEST_DATA!D11735</f>
        <v>NON-NIL</v>
      </c>
      <c r="E11735">
        <f>TEST_DATA!E11735</f>
        <v>428</v>
      </c>
    </row>
    <row r="11736" spans="1:5" x14ac:dyDescent="0.55000000000000004">
      <c r="A11736" t="str">
        <f>TEST_DATA!A11736</f>
        <v>27AAAAA11736Z5</v>
      </c>
      <c r="B11736" t="str">
        <f>TEST_DATA!B11736</f>
        <v>Jan-2018</v>
      </c>
      <c r="C11736">
        <f>TEST_DATA!C11736</f>
        <v>43136</v>
      </c>
      <c r="D11736" t="str">
        <f>TEST_DATA!D11736</f>
        <v>NON-NIL</v>
      </c>
      <c r="E11736">
        <f>TEST_DATA!E11736</f>
        <v>2356</v>
      </c>
    </row>
    <row r="11737" spans="1:5" x14ac:dyDescent="0.55000000000000004">
      <c r="A11737" t="str">
        <f>TEST_DATA!A11737</f>
        <v>27AAAAA11737Z5</v>
      </c>
      <c r="B11737" t="str">
        <f>TEST_DATA!B11737</f>
        <v>Jul-2018</v>
      </c>
      <c r="C11737">
        <f>TEST_DATA!C11737</f>
        <v>43936</v>
      </c>
      <c r="D11737" t="str">
        <f>TEST_DATA!D11737</f>
        <v>NIL</v>
      </c>
      <c r="E11737">
        <f>TEST_DATA!E11737</f>
        <v>2144</v>
      </c>
    </row>
    <row r="11738" spans="1:5" x14ac:dyDescent="0.55000000000000004">
      <c r="A11738" t="str">
        <f>TEST_DATA!A11738</f>
        <v>27AAAAA11738Z5</v>
      </c>
      <c r="B11738" t="str">
        <f>TEST_DATA!B11738</f>
        <v>Feb-2018</v>
      </c>
      <c r="C11738">
        <f>TEST_DATA!C11738</f>
        <v>43210</v>
      </c>
      <c r="D11738" t="str">
        <f>TEST_DATA!D11738</f>
        <v>NIL</v>
      </c>
      <c r="E11738">
        <f>TEST_DATA!E11738</f>
        <v>823</v>
      </c>
    </row>
    <row r="11739" spans="1:5" x14ac:dyDescent="0.55000000000000004">
      <c r="A11739" t="str">
        <f>TEST_DATA!A11739</f>
        <v>27AAAAA11739Z5</v>
      </c>
      <c r="B11739" t="str">
        <f>TEST_DATA!B11739</f>
        <v>Jul-2017</v>
      </c>
      <c r="C11739">
        <f>TEST_DATA!C11739</f>
        <v>43634</v>
      </c>
      <c r="D11739" t="str">
        <f>TEST_DATA!D11739</f>
        <v>NON-NIL</v>
      </c>
      <c r="E11739">
        <f>TEST_DATA!E11739</f>
        <v>515</v>
      </c>
    </row>
    <row r="11740" spans="1:5" x14ac:dyDescent="0.55000000000000004">
      <c r="A11740" t="str">
        <f>TEST_DATA!A11740</f>
        <v>27AAAAA11740Z5</v>
      </c>
      <c r="B11740" t="str">
        <f>TEST_DATA!B11740</f>
        <v>Jun-2020</v>
      </c>
      <c r="C11740">
        <f>TEST_DATA!C11740</f>
        <v>44349</v>
      </c>
      <c r="D11740" t="str">
        <f>TEST_DATA!D11740</f>
        <v>NIL</v>
      </c>
      <c r="E11740">
        <f>TEST_DATA!E11740</f>
        <v>1468</v>
      </c>
    </row>
    <row r="11741" spans="1:5" x14ac:dyDescent="0.55000000000000004">
      <c r="A11741" t="str">
        <f>TEST_DATA!A11741</f>
        <v>27AAAAA11741Z5</v>
      </c>
      <c r="B11741" t="str">
        <f>TEST_DATA!B11741</f>
        <v>May-2020</v>
      </c>
      <c r="C11741">
        <f>TEST_DATA!C11741</f>
        <v>43969</v>
      </c>
      <c r="D11741" t="str">
        <f>TEST_DATA!D11741</f>
        <v>NIL</v>
      </c>
      <c r="E11741">
        <f>TEST_DATA!E11741</f>
        <v>354</v>
      </c>
    </row>
    <row r="11742" spans="1:5" x14ac:dyDescent="0.55000000000000004">
      <c r="A11742" t="str">
        <f>TEST_DATA!A11742</f>
        <v>27AAAAA11742Z5</v>
      </c>
      <c r="B11742" t="str">
        <f>TEST_DATA!B11742</f>
        <v>Dec-2024</v>
      </c>
      <c r="C11742">
        <f>TEST_DATA!C11742</f>
        <v>43637</v>
      </c>
      <c r="D11742" t="str">
        <f>TEST_DATA!D11742</f>
        <v>NIL</v>
      </c>
      <c r="E11742">
        <f>TEST_DATA!E11742</f>
        <v>1447</v>
      </c>
    </row>
    <row r="11743" spans="1:5" x14ac:dyDescent="0.55000000000000004">
      <c r="A11743" t="str">
        <f>TEST_DATA!A11743</f>
        <v>27AAAAA11743Z5</v>
      </c>
      <c r="B11743" t="str">
        <f>TEST_DATA!B11743</f>
        <v>Apr-2020</v>
      </c>
      <c r="C11743">
        <f>TEST_DATA!C11743</f>
        <v>44445</v>
      </c>
      <c r="D11743" t="str">
        <f>TEST_DATA!D11743</f>
        <v>NIL</v>
      </c>
      <c r="E11743">
        <f>TEST_DATA!E11743</f>
        <v>2366</v>
      </c>
    </row>
    <row r="11744" spans="1:5" x14ac:dyDescent="0.55000000000000004">
      <c r="A11744" t="str">
        <f>TEST_DATA!A11744</f>
        <v>27AAAAA11744Z5</v>
      </c>
      <c r="B11744" t="str">
        <f>TEST_DATA!B11744</f>
        <v>Apr-2018</v>
      </c>
      <c r="C11744">
        <f>TEST_DATA!C11744</f>
        <v>43257</v>
      </c>
      <c r="D11744" t="str">
        <f>TEST_DATA!D11744</f>
        <v>NON-NIL</v>
      </c>
      <c r="E11744">
        <f>TEST_DATA!E11744</f>
        <v>258</v>
      </c>
    </row>
    <row r="11745" spans="1:5" x14ac:dyDescent="0.55000000000000004">
      <c r="A11745" t="str">
        <f>TEST_DATA!A11745</f>
        <v>27AAAAA11745Z5</v>
      </c>
      <c r="B11745" t="str">
        <f>TEST_DATA!B11745</f>
        <v>Dec-2022</v>
      </c>
      <c r="C11745">
        <f>TEST_DATA!C11745</f>
        <v>44209</v>
      </c>
      <c r="D11745" t="str">
        <f>TEST_DATA!D11745</f>
        <v>NON-NIL</v>
      </c>
      <c r="E11745">
        <f>TEST_DATA!E11745</f>
        <v>2313</v>
      </c>
    </row>
    <row r="11746" spans="1:5" x14ac:dyDescent="0.55000000000000004">
      <c r="A11746" t="str">
        <f>TEST_DATA!A11746</f>
        <v>27AAAAA11746Z5</v>
      </c>
      <c r="B11746" t="str">
        <f>TEST_DATA!B11746</f>
        <v>Sep-2018</v>
      </c>
      <c r="C11746">
        <f>TEST_DATA!C11746</f>
        <v>44189</v>
      </c>
      <c r="D11746" t="str">
        <f>TEST_DATA!D11746</f>
        <v>NIL</v>
      </c>
      <c r="E11746">
        <f>TEST_DATA!E11746</f>
        <v>2984</v>
      </c>
    </row>
    <row r="11747" spans="1:5" x14ac:dyDescent="0.55000000000000004">
      <c r="A11747" t="str">
        <f>TEST_DATA!A11747</f>
        <v>27AAAAA11747Z5</v>
      </c>
      <c r="B11747" t="str">
        <f>TEST_DATA!B11747</f>
        <v>Jun-2020</v>
      </c>
      <c r="C11747">
        <f>TEST_DATA!C11747</f>
        <v>44298</v>
      </c>
      <c r="D11747" t="str">
        <f>TEST_DATA!D11747</f>
        <v>NIL</v>
      </c>
      <c r="E11747">
        <f>TEST_DATA!E11747</f>
        <v>1011</v>
      </c>
    </row>
    <row r="11748" spans="1:5" x14ac:dyDescent="0.55000000000000004">
      <c r="A11748" t="str">
        <f>TEST_DATA!A11748</f>
        <v>27AAAAA11748Z5</v>
      </c>
      <c r="B11748" t="str">
        <f>TEST_DATA!B11748</f>
        <v>Dec-2019</v>
      </c>
      <c r="C11748">
        <f>TEST_DATA!C11748</f>
        <v>45687</v>
      </c>
      <c r="D11748" t="str">
        <f>TEST_DATA!D11748</f>
        <v>NON-NIL</v>
      </c>
      <c r="E11748">
        <f>TEST_DATA!E11748</f>
        <v>2782</v>
      </c>
    </row>
    <row r="11749" spans="1:5" x14ac:dyDescent="0.55000000000000004">
      <c r="A11749" t="str">
        <f>TEST_DATA!A11749</f>
        <v>27AAAAA11749Z5</v>
      </c>
      <c r="B11749" t="str">
        <f>TEST_DATA!B11749</f>
        <v>Aug-2018</v>
      </c>
      <c r="C11749">
        <f>TEST_DATA!C11749</f>
        <v>43875</v>
      </c>
      <c r="D11749" t="str">
        <f>TEST_DATA!D11749</f>
        <v>NON-NIL</v>
      </c>
      <c r="E11749">
        <f>TEST_DATA!E11749</f>
        <v>1762</v>
      </c>
    </row>
    <row r="11750" spans="1:5" x14ac:dyDescent="0.55000000000000004">
      <c r="A11750" t="str">
        <f>TEST_DATA!A11750</f>
        <v>27AAAAA11750Z5</v>
      </c>
      <c r="B11750" t="str">
        <f>TEST_DATA!B11750</f>
        <v>Aug-2017</v>
      </c>
      <c r="C11750">
        <f>TEST_DATA!C11750</f>
        <v>44212</v>
      </c>
      <c r="D11750" t="str">
        <f>TEST_DATA!D11750</f>
        <v>NON-NIL</v>
      </c>
      <c r="E11750">
        <f>TEST_DATA!E11750</f>
        <v>677</v>
      </c>
    </row>
    <row r="11751" spans="1:5" x14ac:dyDescent="0.55000000000000004">
      <c r="A11751" t="str">
        <f>TEST_DATA!A11751</f>
        <v>27AAAAA11751Z5</v>
      </c>
      <c r="B11751" t="str">
        <f>TEST_DATA!B11751</f>
        <v>Dec-2022</v>
      </c>
      <c r="C11751">
        <f>TEST_DATA!C11751</f>
        <v>45610</v>
      </c>
      <c r="D11751" t="str">
        <f>TEST_DATA!D11751</f>
        <v>NON-NIL</v>
      </c>
      <c r="E11751">
        <f>TEST_DATA!E11751</f>
        <v>290</v>
      </c>
    </row>
    <row r="11752" spans="1:5" x14ac:dyDescent="0.55000000000000004">
      <c r="A11752" t="str">
        <f>TEST_DATA!A11752</f>
        <v>27AAAAA11752Z5</v>
      </c>
      <c r="B11752" t="str">
        <f>TEST_DATA!B11752</f>
        <v>Dec-2024</v>
      </c>
      <c r="C11752">
        <f>TEST_DATA!C11752</f>
        <v>44293</v>
      </c>
      <c r="D11752" t="str">
        <f>TEST_DATA!D11752</f>
        <v>NON-NIL</v>
      </c>
      <c r="E11752">
        <f>TEST_DATA!E11752</f>
        <v>68</v>
      </c>
    </row>
    <row r="11753" spans="1:5" x14ac:dyDescent="0.55000000000000004">
      <c r="A11753" t="str">
        <f>TEST_DATA!A11753</f>
        <v>27AAAAA11753Z5</v>
      </c>
      <c r="B11753" t="str">
        <f>TEST_DATA!B11753</f>
        <v>May-2020</v>
      </c>
      <c r="C11753">
        <f>TEST_DATA!C11753</f>
        <v>44266</v>
      </c>
      <c r="D11753" t="str">
        <f>TEST_DATA!D11753</f>
        <v>NON-NIL</v>
      </c>
      <c r="E11753">
        <f>TEST_DATA!E11753</f>
        <v>2253</v>
      </c>
    </row>
    <row r="11754" spans="1:5" x14ac:dyDescent="0.55000000000000004">
      <c r="A11754" t="str">
        <f>TEST_DATA!A11754</f>
        <v>27AAAAA11754Z5</v>
      </c>
      <c r="B11754" t="str">
        <f>TEST_DATA!B11754</f>
        <v>Jan-2018</v>
      </c>
      <c r="C11754">
        <f>TEST_DATA!C11754</f>
        <v>44010</v>
      </c>
      <c r="D11754" t="str">
        <f>TEST_DATA!D11754</f>
        <v>NON-NIL</v>
      </c>
      <c r="E11754">
        <f>TEST_DATA!E11754</f>
        <v>1174</v>
      </c>
    </row>
    <row r="11755" spans="1:5" x14ac:dyDescent="0.55000000000000004">
      <c r="A11755" t="str">
        <f>TEST_DATA!A11755</f>
        <v>27AAAAA11755Z5</v>
      </c>
      <c r="B11755" t="str">
        <f>TEST_DATA!B11755</f>
        <v>Apr-2018</v>
      </c>
      <c r="C11755">
        <f>TEST_DATA!C11755</f>
        <v>44287</v>
      </c>
      <c r="D11755" t="str">
        <f>TEST_DATA!D11755</f>
        <v>NIL</v>
      </c>
      <c r="E11755">
        <f>TEST_DATA!E11755</f>
        <v>87</v>
      </c>
    </row>
    <row r="11756" spans="1:5" x14ac:dyDescent="0.55000000000000004">
      <c r="A11756" t="str">
        <f>TEST_DATA!A11756</f>
        <v>27AAAAA11756Z5</v>
      </c>
      <c r="B11756" t="str">
        <f>TEST_DATA!B11756</f>
        <v>Jun-2019</v>
      </c>
      <c r="C11756">
        <f>TEST_DATA!C11756</f>
        <v>43875</v>
      </c>
      <c r="D11756" t="str">
        <f>TEST_DATA!D11756</f>
        <v>NIL</v>
      </c>
      <c r="E11756">
        <f>TEST_DATA!E11756</f>
        <v>1668</v>
      </c>
    </row>
    <row r="11757" spans="1:5" x14ac:dyDescent="0.55000000000000004">
      <c r="A11757" t="str">
        <f>TEST_DATA!A11757</f>
        <v>27AAAAA11757Z5</v>
      </c>
      <c r="B11757" t="str">
        <f>TEST_DATA!B11757</f>
        <v>Feb-2018</v>
      </c>
      <c r="C11757">
        <f>TEST_DATA!C11757</f>
        <v>43246</v>
      </c>
      <c r="D11757" t="str">
        <f>TEST_DATA!D11757</f>
        <v>NIL</v>
      </c>
      <c r="E11757">
        <f>TEST_DATA!E11757</f>
        <v>2595</v>
      </c>
    </row>
    <row r="11758" spans="1:5" x14ac:dyDescent="0.55000000000000004">
      <c r="A11758" t="str">
        <f>TEST_DATA!A11758</f>
        <v>27AAAAA11758Z5</v>
      </c>
      <c r="B11758" t="str">
        <f>TEST_DATA!B11758</f>
        <v>Apr-2020</v>
      </c>
      <c r="C11758">
        <f>TEST_DATA!C11758</f>
        <v>44747</v>
      </c>
      <c r="D11758" t="str">
        <f>TEST_DATA!D11758</f>
        <v>NIL</v>
      </c>
      <c r="E11758">
        <f>TEST_DATA!E11758</f>
        <v>738</v>
      </c>
    </row>
    <row r="11759" spans="1:5" x14ac:dyDescent="0.55000000000000004">
      <c r="A11759" t="str">
        <f>TEST_DATA!A11759</f>
        <v>27AAAAA11759Z5</v>
      </c>
      <c r="B11759" t="str">
        <f>TEST_DATA!B11759</f>
        <v>Jul-2018</v>
      </c>
      <c r="C11759">
        <f>TEST_DATA!C11759</f>
        <v>44457</v>
      </c>
      <c r="D11759" t="str">
        <f>TEST_DATA!D11759</f>
        <v>NON-NIL</v>
      </c>
      <c r="E11759">
        <f>TEST_DATA!E11759</f>
        <v>992</v>
      </c>
    </row>
    <row r="11760" spans="1:5" x14ac:dyDescent="0.55000000000000004">
      <c r="A11760" t="str">
        <f>TEST_DATA!A11760</f>
        <v>27AAAAA11760Z5</v>
      </c>
      <c r="B11760" t="str">
        <f>TEST_DATA!B11760</f>
        <v>Jun-2019</v>
      </c>
      <c r="C11760">
        <f>TEST_DATA!C11760</f>
        <v>44149</v>
      </c>
      <c r="D11760" t="str">
        <f>TEST_DATA!D11760</f>
        <v>NIL</v>
      </c>
      <c r="E11760">
        <f>TEST_DATA!E11760</f>
        <v>1932</v>
      </c>
    </row>
    <row r="11761" spans="1:5" x14ac:dyDescent="0.55000000000000004">
      <c r="A11761" t="str">
        <f>TEST_DATA!A11761</f>
        <v>27AAAAA11761Z5</v>
      </c>
      <c r="B11761" t="str">
        <f>TEST_DATA!B11761</f>
        <v>Oct-2017</v>
      </c>
      <c r="C11761">
        <f>TEST_DATA!C11761</f>
        <v>43630</v>
      </c>
      <c r="D11761" t="str">
        <f>TEST_DATA!D11761</f>
        <v>NON-NIL</v>
      </c>
      <c r="E11761">
        <f>TEST_DATA!E11761</f>
        <v>2290</v>
      </c>
    </row>
    <row r="11762" spans="1:5" x14ac:dyDescent="0.55000000000000004">
      <c r="A11762" t="str">
        <f>TEST_DATA!A11762</f>
        <v>27AAAAA11762Z5</v>
      </c>
      <c r="B11762" t="str">
        <f>TEST_DATA!B11762</f>
        <v>Sep-2017</v>
      </c>
      <c r="C11762">
        <f>TEST_DATA!C11762</f>
        <v>44045</v>
      </c>
      <c r="D11762" t="str">
        <f>TEST_DATA!D11762</f>
        <v>NON-NIL</v>
      </c>
      <c r="E11762">
        <f>TEST_DATA!E11762</f>
        <v>480</v>
      </c>
    </row>
    <row r="11763" spans="1:5" x14ac:dyDescent="0.55000000000000004">
      <c r="A11763" t="str">
        <f>TEST_DATA!A11763</f>
        <v>27AAAAA11763Z5</v>
      </c>
      <c r="B11763" t="str">
        <f>TEST_DATA!B11763</f>
        <v>Feb-2018</v>
      </c>
      <c r="C11763">
        <f>TEST_DATA!C11763</f>
        <v>43374</v>
      </c>
      <c r="D11763" t="str">
        <f>TEST_DATA!D11763</f>
        <v>NIL</v>
      </c>
      <c r="E11763">
        <f>TEST_DATA!E11763</f>
        <v>318</v>
      </c>
    </row>
    <row r="11764" spans="1:5" x14ac:dyDescent="0.55000000000000004">
      <c r="A11764" t="str">
        <f>TEST_DATA!A11764</f>
        <v>27AAAAA11764Z5</v>
      </c>
      <c r="B11764" t="str">
        <f>TEST_DATA!B11764</f>
        <v>Dec-2022</v>
      </c>
      <c r="C11764">
        <f>TEST_DATA!C11764</f>
        <v>45390</v>
      </c>
      <c r="D11764" t="str">
        <f>TEST_DATA!D11764</f>
        <v>NON-NIL</v>
      </c>
      <c r="E11764">
        <f>TEST_DATA!E11764</f>
        <v>231</v>
      </c>
    </row>
    <row r="11765" spans="1:5" x14ac:dyDescent="0.55000000000000004">
      <c r="A11765" t="str">
        <f>TEST_DATA!A11765</f>
        <v>27AAAAA11765Z5</v>
      </c>
      <c r="B11765" t="str">
        <f>TEST_DATA!B11765</f>
        <v>May-2018</v>
      </c>
      <c r="C11765">
        <f>TEST_DATA!C11765</f>
        <v>43813</v>
      </c>
      <c r="D11765" t="str">
        <f>TEST_DATA!D11765</f>
        <v>NON-NIL</v>
      </c>
      <c r="E11765">
        <f>TEST_DATA!E11765</f>
        <v>1662</v>
      </c>
    </row>
    <row r="11766" spans="1:5" x14ac:dyDescent="0.55000000000000004">
      <c r="A11766" t="str">
        <f>TEST_DATA!A11766</f>
        <v>27AAAAA11766Z5</v>
      </c>
      <c r="B11766" t="str">
        <f>TEST_DATA!B11766</f>
        <v>Dec-2022</v>
      </c>
      <c r="C11766">
        <f>TEST_DATA!C11766</f>
        <v>45318</v>
      </c>
      <c r="D11766" t="str">
        <f>TEST_DATA!D11766</f>
        <v>NON-NIL</v>
      </c>
      <c r="E11766">
        <f>TEST_DATA!E11766</f>
        <v>292</v>
      </c>
    </row>
    <row r="11767" spans="1:5" x14ac:dyDescent="0.55000000000000004">
      <c r="A11767" t="str">
        <f>TEST_DATA!A11767</f>
        <v>27AAAAA11767Z5</v>
      </c>
      <c r="B11767" t="str">
        <f>TEST_DATA!B11767</f>
        <v>Mar-2020</v>
      </c>
      <c r="C11767">
        <f>TEST_DATA!C11767</f>
        <v>44110</v>
      </c>
      <c r="D11767" t="str">
        <f>TEST_DATA!D11767</f>
        <v>NIL</v>
      </c>
      <c r="E11767">
        <f>TEST_DATA!E11767</f>
        <v>136</v>
      </c>
    </row>
    <row r="11768" spans="1:5" x14ac:dyDescent="0.55000000000000004">
      <c r="A11768" t="str">
        <f>TEST_DATA!A11768</f>
        <v>27AAAAA11768Z5</v>
      </c>
      <c r="B11768" t="str">
        <f>TEST_DATA!B11768</f>
        <v>Mar-2023</v>
      </c>
      <c r="C11768">
        <f>TEST_DATA!C11768</f>
        <v>44398</v>
      </c>
      <c r="D11768" t="str">
        <f>TEST_DATA!D11768</f>
        <v>NIL</v>
      </c>
      <c r="E11768">
        <f>TEST_DATA!E11768</f>
        <v>639</v>
      </c>
    </row>
    <row r="11769" spans="1:5" x14ac:dyDescent="0.55000000000000004">
      <c r="A11769" t="str">
        <f>TEST_DATA!A11769</f>
        <v>27AAAAA11769Z5</v>
      </c>
      <c r="B11769" t="str">
        <f>TEST_DATA!B11769</f>
        <v>Jun-2019</v>
      </c>
      <c r="C11769">
        <f>TEST_DATA!C11769</f>
        <v>45284</v>
      </c>
      <c r="D11769" t="str">
        <f>TEST_DATA!D11769</f>
        <v>NON-NIL</v>
      </c>
      <c r="E11769">
        <f>TEST_DATA!E11769</f>
        <v>1793</v>
      </c>
    </row>
    <row r="11770" spans="1:5" x14ac:dyDescent="0.55000000000000004">
      <c r="A11770" t="str">
        <f>TEST_DATA!A11770</f>
        <v>27AAAAA11770Z5</v>
      </c>
      <c r="B11770" t="str">
        <f>TEST_DATA!B11770</f>
        <v>Mar-2018</v>
      </c>
      <c r="C11770">
        <f>TEST_DATA!C11770</f>
        <v>42985</v>
      </c>
      <c r="D11770" t="str">
        <f>TEST_DATA!D11770</f>
        <v>NON-NIL</v>
      </c>
      <c r="E11770">
        <f>TEST_DATA!E11770</f>
        <v>2062</v>
      </c>
    </row>
    <row r="11771" spans="1:5" x14ac:dyDescent="0.55000000000000004">
      <c r="A11771" t="str">
        <f>TEST_DATA!A11771</f>
        <v>27AAAAA11771Z5</v>
      </c>
      <c r="B11771" t="str">
        <f>TEST_DATA!B11771</f>
        <v>Apr-2020</v>
      </c>
      <c r="C11771">
        <f>TEST_DATA!C11771</f>
        <v>44211</v>
      </c>
      <c r="D11771" t="str">
        <f>TEST_DATA!D11771</f>
        <v>NIL</v>
      </c>
      <c r="E11771">
        <f>TEST_DATA!E11771</f>
        <v>2783</v>
      </c>
    </row>
    <row r="11772" spans="1:5" x14ac:dyDescent="0.55000000000000004">
      <c r="A11772" t="str">
        <f>TEST_DATA!A11772</f>
        <v>27AAAAA11772Z5</v>
      </c>
      <c r="B11772" t="str">
        <f>TEST_DATA!B11772</f>
        <v>Dec-2022</v>
      </c>
      <c r="C11772">
        <f>TEST_DATA!C11772</f>
        <v>43518</v>
      </c>
      <c r="D11772" t="str">
        <f>TEST_DATA!D11772</f>
        <v>NIL</v>
      </c>
      <c r="E11772">
        <f>TEST_DATA!E11772</f>
        <v>1710</v>
      </c>
    </row>
    <row r="11773" spans="1:5" x14ac:dyDescent="0.55000000000000004">
      <c r="A11773" t="str">
        <f>TEST_DATA!A11773</f>
        <v>27AAAAA11773Z5</v>
      </c>
      <c r="B11773" t="str">
        <f>TEST_DATA!B11773</f>
        <v>Jul-2017</v>
      </c>
      <c r="C11773">
        <f>TEST_DATA!C11773</f>
        <v>43691</v>
      </c>
      <c r="D11773" t="str">
        <f>TEST_DATA!D11773</f>
        <v>NON-NIL</v>
      </c>
      <c r="E11773">
        <f>TEST_DATA!E11773</f>
        <v>2002</v>
      </c>
    </row>
    <row r="11774" spans="1:5" x14ac:dyDescent="0.55000000000000004">
      <c r="A11774" t="str">
        <f>TEST_DATA!A11774</f>
        <v>27AAAAA11774Z5</v>
      </c>
      <c r="B11774" t="str">
        <f>TEST_DATA!B11774</f>
        <v>Jun-2019</v>
      </c>
      <c r="C11774">
        <f>TEST_DATA!C11774</f>
        <v>45440</v>
      </c>
      <c r="D11774" t="str">
        <f>TEST_DATA!D11774</f>
        <v>NIL</v>
      </c>
      <c r="E11774">
        <f>TEST_DATA!E11774</f>
        <v>2435</v>
      </c>
    </row>
    <row r="11775" spans="1:5" x14ac:dyDescent="0.55000000000000004">
      <c r="A11775" t="str">
        <f>TEST_DATA!A11775</f>
        <v>27AAAAA11775Z5</v>
      </c>
      <c r="B11775" t="str">
        <f>TEST_DATA!B11775</f>
        <v>Mar-2023</v>
      </c>
      <c r="C11775">
        <f>TEST_DATA!C11775</f>
        <v>44161</v>
      </c>
      <c r="D11775" t="str">
        <f>TEST_DATA!D11775</f>
        <v>NON-NIL</v>
      </c>
      <c r="E11775">
        <f>TEST_DATA!E11775</f>
        <v>2445</v>
      </c>
    </row>
    <row r="11776" spans="1:5" x14ac:dyDescent="0.55000000000000004">
      <c r="A11776" t="str">
        <f>TEST_DATA!A11776</f>
        <v>27AAAAA11776Z5</v>
      </c>
      <c r="B11776" t="str">
        <f>TEST_DATA!B11776</f>
        <v>Jan-2019</v>
      </c>
      <c r="C11776">
        <f>TEST_DATA!C11776</f>
        <v>44182</v>
      </c>
      <c r="D11776" t="str">
        <f>TEST_DATA!D11776</f>
        <v>NON-NIL</v>
      </c>
      <c r="E11776">
        <f>TEST_DATA!E11776</f>
        <v>1325</v>
      </c>
    </row>
    <row r="11777" spans="1:5" x14ac:dyDescent="0.55000000000000004">
      <c r="A11777" t="str">
        <f>TEST_DATA!A11777</f>
        <v>27AAAAA11777Z5</v>
      </c>
      <c r="B11777" t="str">
        <f>TEST_DATA!B11777</f>
        <v>May-2018</v>
      </c>
      <c r="C11777">
        <f>TEST_DATA!C11777</f>
        <v>44454</v>
      </c>
      <c r="D11777" t="str">
        <f>TEST_DATA!D11777</f>
        <v>NON-NIL</v>
      </c>
      <c r="E11777">
        <f>TEST_DATA!E11777</f>
        <v>262</v>
      </c>
    </row>
    <row r="11778" spans="1:5" x14ac:dyDescent="0.55000000000000004">
      <c r="A11778" t="str">
        <f>TEST_DATA!A11778</f>
        <v>27AAAAA11778Z5</v>
      </c>
      <c r="B11778" t="str">
        <f>TEST_DATA!B11778</f>
        <v>Jan-2018</v>
      </c>
      <c r="C11778">
        <f>TEST_DATA!C11778</f>
        <v>43746</v>
      </c>
      <c r="D11778" t="str">
        <f>TEST_DATA!D11778</f>
        <v>NON-NIL</v>
      </c>
      <c r="E11778">
        <f>TEST_DATA!E11778</f>
        <v>2360</v>
      </c>
    </row>
    <row r="11779" spans="1:5" x14ac:dyDescent="0.55000000000000004">
      <c r="A11779" t="str">
        <f>TEST_DATA!A11779</f>
        <v>27AAAAA11779Z5</v>
      </c>
      <c r="B11779" t="str">
        <f>TEST_DATA!B11779</f>
        <v>Dec-2022</v>
      </c>
      <c r="C11779">
        <f>TEST_DATA!C11779</f>
        <v>45162</v>
      </c>
      <c r="D11779" t="str">
        <f>TEST_DATA!D11779</f>
        <v>NON-NIL</v>
      </c>
      <c r="E11779">
        <f>TEST_DATA!E11779</f>
        <v>1059</v>
      </c>
    </row>
    <row r="11780" spans="1:5" x14ac:dyDescent="0.55000000000000004">
      <c r="A11780" t="str">
        <f>TEST_DATA!A11780</f>
        <v>27AAAAA11780Z5</v>
      </c>
      <c r="B11780" t="str">
        <f>TEST_DATA!B11780</f>
        <v>Jul-2020</v>
      </c>
      <c r="C11780">
        <f>TEST_DATA!C11780</f>
        <v>44575</v>
      </c>
      <c r="D11780" t="str">
        <f>TEST_DATA!D11780</f>
        <v>NIL</v>
      </c>
      <c r="E11780">
        <f>TEST_DATA!E11780</f>
        <v>2844</v>
      </c>
    </row>
    <row r="11781" spans="1:5" x14ac:dyDescent="0.55000000000000004">
      <c r="A11781" t="str">
        <f>TEST_DATA!A11781</f>
        <v>27AAAAA11781Z5</v>
      </c>
      <c r="B11781" t="str">
        <f>TEST_DATA!B11781</f>
        <v>Jan-2021</v>
      </c>
      <c r="C11781">
        <f>TEST_DATA!C11781</f>
        <v>44732</v>
      </c>
      <c r="D11781" t="str">
        <f>TEST_DATA!D11781</f>
        <v>NON-NIL</v>
      </c>
      <c r="E11781">
        <f>TEST_DATA!E11781</f>
        <v>937</v>
      </c>
    </row>
    <row r="11782" spans="1:5" x14ac:dyDescent="0.55000000000000004">
      <c r="A11782" t="str">
        <f>TEST_DATA!A11782</f>
        <v>27AAAAA11782Z5</v>
      </c>
      <c r="B11782" t="str">
        <f>TEST_DATA!B11782</f>
        <v>Sep-2018</v>
      </c>
      <c r="C11782">
        <f>TEST_DATA!C11782</f>
        <v>43646</v>
      </c>
      <c r="D11782" t="str">
        <f>TEST_DATA!D11782</f>
        <v>NIL</v>
      </c>
      <c r="E11782">
        <f>TEST_DATA!E11782</f>
        <v>1455</v>
      </c>
    </row>
    <row r="11783" spans="1:5" x14ac:dyDescent="0.55000000000000004">
      <c r="A11783" t="str">
        <f>TEST_DATA!A11783</f>
        <v>27AAAAA11783Z5</v>
      </c>
      <c r="B11783" t="str">
        <f>TEST_DATA!B11783</f>
        <v>Sep-2018</v>
      </c>
      <c r="C11783">
        <f>TEST_DATA!C11783</f>
        <v>44389</v>
      </c>
      <c r="D11783" t="str">
        <f>TEST_DATA!D11783</f>
        <v>NON-NIL</v>
      </c>
      <c r="E11783">
        <f>TEST_DATA!E11783</f>
        <v>1217</v>
      </c>
    </row>
    <row r="11784" spans="1:5" x14ac:dyDescent="0.55000000000000004">
      <c r="A11784" t="str">
        <f>TEST_DATA!A11784</f>
        <v>27AAAAA11784Z5</v>
      </c>
      <c r="B11784" t="str">
        <f>TEST_DATA!B11784</f>
        <v>Jun-2020</v>
      </c>
      <c r="C11784">
        <f>TEST_DATA!C11784</f>
        <v>44892</v>
      </c>
      <c r="D11784" t="str">
        <f>TEST_DATA!D11784</f>
        <v>NIL</v>
      </c>
      <c r="E11784">
        <f>TEST_DATA!E11784</f>
        <v>1323</v>
      </c>
    </row>
    <row r="11785" spans="1:5" x14ac:dyDescent="0.55000000000000004">
      <c r="A11785" t="str">
        <f>TEST_DATA!A11785</f>
        <v>27AAAAA11785Z5</v>
      </c>
      <c r="B11785" t="str">
        <f>TEST_DATA!B11785</f>
        <v>Nov-2017</v>
      </c>
      <c r="C11785">
        <f>TEST_DATA!C11785</f>
        <v>44392</v>
      </c>
      <c r="D11785" t="str">
        <f>TEST_DATA!D11785</f>
        <v>NON-NIL</v>
      </c>
      <c r="E11785">
        <f>TEST_DATA!E11785</f>
        <v>2681</v>
      </c>
    </row>
    <row r="11786" spans="1:5" x14ac:dyDescent="0.55000000000000004">
      <c r="A11786" t="str">
        <f>TEST_DATA!A11786</f>
        <v>27AAAAA11786Z5</v>
      </c>
      <c r="B11786" t="str">
        <f>TEST_DATA!B11786</f>
        <v>Dec-2022</v>
      </c>
      <c r="C11786">
        <f>TEST_DATA!C11786</f>
        <v>45814</v>
      </c>
      <c r="D11786" t="str">
        <f>TEST_DATA!D11786</f>
        <v>NIL</v>
      </c>
      <c r="E11786">
        <f>TEST_DATA!E11786</f>
        <v>2896</v>
      </c>
    </row>
    <row r="11787" spans="1:5" x14ac:dyDescent="0.55000000000000004">
      <c r="A11787" t="str">
        <f>TEST_DATA!A11787</f>
        <v>27AAAAA11787Z5</v>
      </c>
      <c r="B11787" t="str">
        <f>TEST_DATA!B11787</f>
        <v>Oct-2017</v>
      </c>
      <c r="C11787">
        <f>TEST_DATA!C11787</f>
        <v>43983</v>
      </c>
      <c r="D11787" t="str">
        <f>TEST_DATA!D11787</f>
        <v>NON-NIL</v>
      </c>
      <c r="E11787">
        <f>TEST_DATA!E11787</f>
        <v>426</v>
      </c>
    </row>
    <row r="11788" spans="1:5" x14ac:dyDescent="0.55000000000000004">
      <c r="A11788" t="str">
        <f>TEST_DATA!A11788</f>
        <v>27AAAAA11788Z5</v>
      </c>
      <c r="B11788" t="str">
        <f>TEST_DATA!B11788</f>
        <v>Mar-2021</v>
      </c>
      <c r="C11788">
        <f>TEST_DATA!C11788</f>
        <v>43887</v>
      </c>
      <c r="D11788" t="str">
        <f>TEST_DATA!D11788</f>
        <v>NIL</v>
      </c>
      <c r="E11788">
        <f>TEST_DATA!E11788</f>
        <v>1288</v>
      </c>
    </row>
    <row r="11789" spans="1:5" x14ac:dyDescent="0.55000000000000004">
      <c r="A11789" t="str">
        <f>TEST_DATA!A11789</f>
        <v>27AAAAA11789Z5</v>
      </c>
      <c r="B11789" t="str">
        <f>TEST_DATA!B11789</f>
        <v>Jan-2021</v>
      </c>
      <c r="C11789">
        <f>TEST_DATA!C11789</f>
        <v>45238</v>
      </c>
      <c r="D11789" t="str">
        <f>TEST_DATA!D11789</f>
        <v>NON-NIL</v>
      </c>
      <c r="E11789">
        <f>TEST_DATA!E11789</f>
        <v>1022</v>
      </c>
    </row>
    <row r="11790" spans="1:5" x14ac:dyDescent="0.55000000000000004">
      <c r="A11790" t="str">
        <f>TEST_DATA!A11790</f>
        <v>27AAAAA11790Z5</v>
      </c>
      <c r="B11790" t="str">
        <f>TEST_DATA!B11790</f>
        <v>Apr-2021</v>
      </c>
      <c r="C11790">
        <f>TEST_DATA!C11790</f>
        <v>44417</v>
      </c>
      <c r="D11790" t="str">
        <f>TEST_DATA!D11790</f>
        <v>NON-NIL</v>
      </c>
      <c r="E11790">
        <f>TEST_DATA!E11790</f>
        <v>305</v>
      </c>
    </row>
    <row r="11791" spans="1:5" x14ac:dyDescent="0.55000000000000004">
      <c r="A11791" t="str">
        <f>TEST_DATA!A11791</f>
        <v>27AAAAA11791Z5</v>
      </c>
      <c r="B11791" t="str">
        <f>TEST_DATA!B11791</f>
        <v>May-2018</v>
      </c>
      <c r="C11791">
        <f>TEST_DATA!C11791</f>
        <v>43858</v>
      </c>
      <c r="D11791" t="str">
        <f>TEST_DATA!D11791</f>
        <v>NON-NIL</v>
      </c>
      <c r="E11791">
        <f>TEST_DATA!E11791</f>
        <v>1174</v>
      </c>
    </row>
    <row r="11792" spans="1:5" x14ac:dyDescent="0.55000000000000004">
      <c r="A11792" t="str">
        <f>TEST_DATA!A11792</f>
        <v>27AAAAA11792Z5</v>
      </c>
      <c r="B11792" t="str">
        <f>TEST_DATA!B11792</f>
        <v>Jan-2021</v>
      </c>
      <c r="C11792">
        <f>TEST_DATA!C11792</f>
        <v>45188</v>
      </c>
      <c r="D11792" t="str">
        <f>TEST_DATA!D11792</f>
        <v>NON-NIL</v>
      </c>
      <c r="E11792">
        <f>TEST_DATA!E11792</f>
        <v>151</v>
      </c>
    </row>
    <row r="11793" spans="1:5" x14ac:dyDescent="0.55000000000000004">
      <c r="A11793" t="str">
        <f>TEST_DATA!A11793</f>
        <v>27AAAAA11793Z5</v>
      </c>
      <c r="B11793" t="str">
        <f>TEST_DATA!B11793</f>
        <v>May-2020</v>
      </c>
      <c r="C11793">
        <f>TEST_DATA!C11793</f>
        <v>44585</v>
      </c>
      <c r="D11793" t="str">
        <f>TEST_DATA!D11793</f>
        <v>NIL</v>
      </c>
      <c r="E11793">
        <f>TEST_DATA!E11793</f>
        <v>2707</v>
      </c>
    </row>
    <row r="11794" spans="1:5" x14ac:dyDescent="0.55000000000000004">
      <c r="A11794" t="str">
        <f>TEST_DATA!A11794</f>
        <v>27AAAAA11794Z5</v>
      </c>
      <c r="B11794" t="str">
        <f>TEST_DATA!B11794</f>
        <v>Aug-2018</v>
      </c>
      <c r="C11794">
        <f>TEST_DATA!C11794</f>
        <v>44454</v>
      </c>
      <c r="D11794" t="str">
        <f>TEST_DATA!D11794</f>
        <v>NIL</v>
      </c>
      <c r="E11794">
        <f>TEST_DATA!E11794</f>
        <v>2492</v>
      </c>
    </row>
    <row r="11795" spans="1:5" x14ac:dyDescent="0.55000000000000004">
      <c r="A11795" t="str">
        <f>TEST_DATA!A11795</f>
        <v>27AAAAA11795Z5</v>
      </c>
      <c r="B11795" t="str">
        <f>TEST_DATA!B11795</f>
        <v>Dec-2019</v>
      </c>
      <c r="C11795">
        <f>TEST_DATA!C11795</f>
        <v>44294</v>
      </c>
      <c r="D11795" t="str">
        <f>TEST_DATA!D11795</f>
        <v>NIL</v>
      </c>
      <c r="E11795">
        <f>TEST_DATA!E11795</f>
        <v>277</v>
      </c>
    </row>
    <row r="11796" spans="1:5" x14ac:dyDescent="0.55000000000000004">
      <c r="A11796" t="str">
        <f>TEST_DATA!A11796</f>
        <v>27AAAAA11796Z5</v>
      </c>
      <c r="B11796" t="str">
        <f>TEST_DATA!B11796</f>
        <v>Mar-2023</v>
      </c>
      <c r="C11796">
        <f>TEST_DATA!C11796</f>
        <v>44380</v>
      </c>
      <c r="D11796" t="str">
        <f>TEST_DATA!D11796</f>
        <v>NON-NIL</v>
      </c>
      <c r="E11796">
        <f>TEST_DATA!E11796</f>
        <v>1777</v>
      </c>
    </row>
    <row r="11797" spans="1:5" x14ac:dyDescent="0.55000000000000004">
      <c r="A11797" t="str">
        <f>TEST_DATA!A11797</f>
        <v>27AAAAA11797Z5</v>
      </c>
      <c r="B11797" t="str">
        <f>TEST_DATA!B11797</f>
        <v>May-2018</v>
      </c>
      <c r="C11797">
        <f>TEST_DATA!C11797</f>
        <v>44355</v>
      </c>
      <c r="D11797" t="str">
        <f>TEST_DATA!D11797</f>
        <v>NIL</v>
      </c>
      <c r="E11797">
        <f>TEST_DATA!E11797</f>
        <v>726</v>
      </c>
    </row>
    <row r="11798" spans="1:5" x14ac:dyDescent="0.55000000000000004">
      <c r="A11798" t="str">
        <f>TEST_DATA!A11798</f>
        <v>27AAAAA11798Z5</v>
      </c>
      <c r="B11798" t="str">
        <f>TEST_DATA!B11798</f>
        <v>Mar-2021</v>
      </c>
      <c r="C11798">
        <f>TEST_DATA!C11798</f>
        <v>45452</v>
      </c>
      <c r="D11798" t="str">
        <f>TEST_DATA!D11798</f>
        <v>NON-NIL</v>
      </c>
      <c r="E11798">
        <f>TEST_DATA!E11798</f>
        <v>2085</v>
      </c>
    </row>
    <row r="11799" spans="1:5" x14ac:dyDescent="0.55000000000000004">
      <c r="A11799" t="str">
        <f>TEST_DATA!A11799</f>
        <v>27AAAAA11799Z5</v>
      </c>
      <c r="B11799" t="str">
        <f>TEST_DATA!B11799</f>
        <v>Aug-2018</v>
      </c>
      <c r="C11799">
        <f>TEST_DATA!C11799</f>
        <v>43022</v>
      </c>
      <c r="D11799" t="str">
        <f>TEST_DATA!D11799</f>
        <v>NIL</v>
      </c>
      <c r="E11799">
        <f>TEST_DATA!E11799</f>
        <v>2562</v>
      </c>
    </row>
    <row r="11800" spans="1:5" x14ac:dyDescent="0.55000000000000004">
      <c r="A11800" t="str">
        <f>TEST_DATA!A11800</f>
        <v>27AAAAA11800Z5</v>
      </c>
      <c r="B11800" t="str">
        <f>TEST_DATA!B11800</f>
        <v>Apr-2018</v>
      </c>
      <c r="C11800">
        <f>TEST_DATA!C11800</f>
        <v>44445</v>
      </c>
      <c r="D11800" t="str">
        <f>TEST_DATA!D11800</f>
        <v>NON-NIL</v>
      </c>
      <c r="E11800">
        <f>TEST_DATA!E11800</f>
        <v>1543</v>
      </c>
    </row>
    <row r="11801" spans="1:5" x14ac:dyDescent="0.55000000000000004">
      <c r="A11801" t="str">
        <f>TEST_DATA!A11801</f>
        <v>27AAAAA11801Z5</v>
      </c>
      <c r="B11801" t="str">
        <f>TEST_DATA!B11801</f>
        <v>Jan-2018</v>
      </c>
      <c r="C11801">
        <f>TEST_DATA!C11801</f>
        <v>44326</v>
      </c>
      <c r="D11801" t="str">
        <f>TEST_DATA!D11801</f>
        <v>NIL</v>
      </c>
      <c r="E11801">
        <f>TEST_DATA!E11801</f>
        <v>846</v>
      </c>
    </row>
    <row r="11802" spans="1:5" x14ac:dyDescent="0.55000000000000004">
      <c r="A11802" t="str">
        <f>TEST_DATA!A11802</f>
        <v>27AAAAA11802Z5</v>
      </c>
      <c r="B11802" t="str">
        <f>TEST_DATA!B11802</f>
        <v>Mar-2021</v>
      </c>
      <c r="C11802">
        <f>TEST_DATA!C11802</f>
        <v>45679</v>
      </c>
      <c r="D11802" t="str">
        <f>TEST_DATA!D11802</f>
        <v>NIL</v>
      </c>
      <c r="E11802">
        <f>TEST_DATA!E11802</f>
        <v>1000</v>
      </c>
    </row>
    <row r="11803" spans="1:5" x14ac:dyDescent="0.55000000000000004">
      <c r="A11803" t="str">
        <f>TEST_DATA!A11803</f>
        <v>27AAAAA11803Z5</v>
      </c>
      <c r="B11803" t="str">
        <f>TEST_DATA!B11803</f>
        <v>Apr-2018</v>
      </c>
      <c r="C11803">
        <f>TEST_DATA!C11803</f>
        <v>44194</v>
      </c>
      <c r="D11803" t="str">
        <f>TEST_DATA!D11803</f>
        <v>NON-NIL</v>
      </c>
      <c r="E11803">
        <f>TEST_DATA!E11803</f>
        <v>566</v>
      </c>
    </row>
    <row r="11804" spans="1:5" x14ac:dyDescent="0.55000000000000004">
      <c r="A11804" t="str">
        <f>TEST_DATA!A11804</f>
        <v>27AAAAA11804Z5</v>
      </c>
      <c r="B11804" t="str">
        <f>TEST_DATA!B11804</f>
        <v>Mar-2018</v>
      </c>
      <c r="C11804">
        <f>TEST_DATA!C11804</f>
        <v>44492</v>
      </c>
      <c r="D11804" t="str">
        <f>TEST_DATA!D11804</f>
        <v>NON-NIL</v>
      </c>
      <c r="E11804">
        <f>TEST_DATA!E11804</f>
        <v>1851</v>
      </c>
    </row>
    <row r="11805" spans="1:5" x14ac:dyDescent="0.55000000000000004">
      <c r="A11805" t="str">
        <f>TEST_DATA!A11805</f>
        <v>27AAAAA11805Z5</v>
      </c>
      <c r="B11805" t="str">
        <f>TEST_DATA!B11805</f>
        <v>Aug-2017</v>
      </c>
      <c r="C11805">
        <f>TEST_DATA!C11805</f>
        <v>43611</v>
      </c>
      <c r="D11805" t="str">
        <f>TEST_DATA!D11805</f>
        <v>NIL</v>
      </c>
      <c r="E11805">
        <f>TEST_DATA!E11805</f>
        <v>1297</v>
      </c>
    </row>
    <row r="11806" spans="1:5" x14ac:dyDescent="0.55000000000000004">
      <c r="A11806" t="str">
        <f>TEST_DATA!A11806</f>
        <v>27AAAAA11806Z5</v>
      </c>
      <c r="B11806" t="str">
        <f>TEST_DATA!B11806</f>
        <v>Mar-2023</v>
      </c>
      <c r="C11806">
        <f>TEST_DATA!C11806</f>
        <v>44847</v>
      </c>
      <c r="D11806" t="str">
        <f>TEST_DATA!D11806</f>
        <v>NON-NIL</v>
      </c>
      <c r="E11806">
        <f>TEST_DATA!E11806</f>
        <v>2172</v>
      </c>
    </row>
    <row r="11807" spans="1:5" x14ac:dyDescent="0.55000000000000004">
      <c r="A11807" t="str">
        <f>TEST_DATA!A11807</f>
        <v>27AAAAA11807Z5</v>
      </c>
      <c r="B11807" t="str">
        <f>TEST_DATA!B11807</f>
        <v>May-2020</v>
      </c>
      <c r="C11807">
        <f>TEST_DATA!C11807</f>
        <v>44104</v>
      </c>
      <c r="D11807" t="str">
        <f>TEST_DATA!D11807</f>
        <v>NON-NIL</v>
      </c>
      <c r="E11807">
        <f>TEST_DATA!E11807</f>
        <v>787</v>
      </c>
    </row>
    <row r="11808" spans="1:5" x14ac:dyDescent="0.55000000000000004">
      <c r="A11808" t="str">
        <f>TEST_DATA!A11808</f>
        <v>27AAAAA11808Z5</v>
      </c>
      <c r="B11808" t="str">
        <f>TEST_DATA!B11808</f>
        <v>Dec-2019</v>
      </c>
      <c r="C11808">
        <f>TEST_DATA!C11808</f>
        <v>45693</v>
      </c>
      <c r="D11808" t="str">
        <f>TEST_DATA!D11808</f>
        <v>NIL</v>
      </c>
      <c r="E11808">
        <f>TEST_DATA!E11808</f>
        <v>2620</v>
      </c>
    </row>
    <row r="11809" spans="1:5" x14ac:dyDescent="0.55000000000000004">
      <c r="A11809" t="str">
        <f>TEST_DATA!A11809</f>
        <v>27AAAAA11809Z5</v>
      </c>
      <c r="B11809" t="str">
        <f>TEST_DATA!B11809</f>
        <v>Jan-2018</v>
      </c>
      <c r="C11809">
        <f>TEST_DATA!C11809</f>
        <v>43257</v>
      </c>
      <c r="D11809" t="str">
        <f>TEST_DATA!D11809</f>
        <v>NON-NIL</v>
      </c>
      <c r="E11809">
        <f>TEST_DATA!E11809</f>
        <v>2773</v>
      </c>
    </row>
    <row r="11810" spans="1:5" x14ac:dyDescent="0.55000000000000004">
      <c r="A11810" t="str">
        <f>TEST_DATA!A11810</f>
        <v>27AAAAA11810Z5</v>
      </c>
      <c r="B11810" t="str">
        <f>TEST_DATA!B11810</f>
        <v>Jan-2021</v>
      </c>
      <c r="C11810">
        <f>TEST_DATA!C11810</f>
        <v>44061</v>
      </c>
      <c r="D11810" t="str">
        <f>TEST_DATA!D11810</f>
        <v>NON-NIL</v>
      </c>
      <c r="E11810">
        <f>TEST_DATA!E11810</f>
        <v>363</v>
      </c>
    </row>
    <row r="11811" spans="1:5" x14ac:dyDescent="0.55000000000000004">
      <c r="A11811" t="str">
        <f>TEST_DATA!A11811</f>
        <v>27AAAAA11811Z5</v>
      </c>
      <c r="B11811" t="str">
        <f>TEST_DATA!B11811</f>
        <v>Jul-2018</v>
      </c>
      <c r="C11811">
        <f>TEST_DATA!C11811</f>
        <v>43142</v>
      </c>
      <c r="D11811" t="str">
        <f>TEST_DATA!D11811</f>
        <v>NON-NIL</v>
      </c>
      <c r="E11811">
        <f>TEST_DATA!E11811</f>
        <v>658</v>
      </c>
    </row>
    <row r="11812" spans="1:5" x14ac:dyDescent="0.55000000000000004">
      <c r="A11812" t="str">
        <f>TEST_DATA!A11812</f>
        <v>27AAAAA11812Z5</v>
      </c>
      <c r="B11812" t="str">
        <f>TEST_DATA!B11812</f>
        <v>Jul-2020</v>
      </c>
      <c r="C11812">
        <f>TEST_DATA!C11812</f>
        <v>44878</v>
      </c>
      <c r="D11812" t="str">
        <f>TEST_DATA!D11812</f>
        <v>NON-NIL</v>
      </c>
      <c r="E11812">
        <f>TEST_DATA!E11812</f>
        <v>2375</v>
      </c>
    </row>
    <row r="11813" spans="1:5" x14ac:dyDescent="0.55000000000000004">
      <c r="A11813" t="str">
        <f>TEST_DATA!A11813</f>
        <v>27AAAAA11813Z5</v>
      </c>
      <c r="B11813" t="str">
        <f>TEST_DATA!B11813</f>
        <v>Sep-2018</v>
      </c>
      <c r="C11813">
        <f>TEST_DATA!C11813</f>
        <v>44423</v>
      </c>
      <c r="D11813" t="str">
        <f>TEST_DATA!D11813</f>
        <v>NON-NIL</v>
      </c>
      <c r="E11813">
        <f>TEST_DATA!E11813</f>
        <v>1971</v>
      </c>
    </row>
    <row r="11814" spans="1:5" x14ac:dyDescent="0.55000000000000004">
      <c r="A11814" t="str">
        <f>TEST_DATA!A11814</f>
        <v>27AAAAA11814Z5</v>
      </c>
      <c r="B11814" t="str">
        <f>TEST_DATA!B11814</f>
        <v>Aug-2018</v>
      </c>
      <c r="C11814">
        <f>TEST_DATA!C11814</f>
        <v>44398</v>
      </c>
      <c r="D11814" t="str">
        <f>TEST_DATA!D11814</f>
        <v>NIL</v>
      </c>
      <c r="E11814">
        <f>TEST_DATA!E11814</f>
        <v>883</v>
      </c>
    </row>
    <row r="11815" spans="1:5" x14ac:dyDescent="0.55000000000000004">
      <c r="A11815" t="str">
        <f>TEST_DATA!A11815</f>
        <v>27AAAAA11815Z5</v>
      </c>
      <c r="B11815" t="str">
        <f>TEST_DATA!B11815</f>
        <v>May-2020</v>
      </c>
      <c r="C11815">
        <f>TEST_DATA!C11815</f>
        <v>44792</v>
      </c>
      <c r="D11815" t="str">
        <f>TEST_DATA!D11815</f>
        <v>NIL</v>
      </c>
      <c r="E11815">
        <f>TEST_DATA!E11815</f>
        <v>856</v>
      </c>
    </row>
    <row r="11816" spans="1:5" x14ac:dyDescent="0.55000000000000004">
      <c r="A11816" t="str">
        <f>TEST_DATA!A11816</f>
        <v>27AAAAA11816Z5</v>
      </c>
      <c r="B11816" t="str">
        <f>TEST_DATA!B11816</f>
        <v>Jun-2020</v>
      </c>
      <c r="C11816">
        <f>TEST_DATA!C11816</f>
        <v>44536</v>
      </c>
      <c r="D11816" t="str">
        <f>TEST_DATA!D11816</f>
        <v>NON-NIL</v>
      </c>
      <c r="E11816">
        <f>TEST_DATA!E11816</f>
        <v>1923</v>
      </c>
    </row>
    <row r="11817" spans="1:5" x14ac:dyDescent="0.55000000000000004">
      <c r="A11817" t="str">
        <f>TEST_DATA!A11817</f>
        <v>27AAAAA11817Z5</v>
      </c>
      <c r="B11817" t="str">
        <f>TEST_DATA!B11817</f>
        <v>Dec-2019</v>
      </c>
      <c r="C11817">
        <f>TEST_DATA!C11817</f>
        <v>45284</v>
      </c>
      <c r="D11817" t="str">
        <f>TEST_DATA!D11817</f>
        <v>NIL</v>
      </c>
      <c r="E11817">
        <f>TEST_DATA!E11817</f>
        <v>1692</v>
      </c>
    </row>
    <row r="11818" spans="1:5" x14ac:dyDescent="0.55000000000000004">
      <c r="A11818" t="str">
        <f>TEST_DATA!A11818</f>
        <v>27AAAAA11818Z5</v>
      </c>
      <c r="B11818" t="str">
        <f>TEST_DATA!B11818</f>
        <v>Jun-2019</v>
      </c>
      <c r="C11818">
        <f>TEST_DATA!C11818</f>
        <v>43859</v>
      </c>
      <c r="D11818" t="str">
        <f>TEST_DATA!D11818</f>
        <v>NIL</v>
      </c>
      <c r="E11818">
        <f>TEST_DATA!E11818</f>
        <v>503</v>
      </c>
    </row>
    <row r="11819" spans="1:5" x14ac:dyDescent="0.55000000000000004">
      <c r="A11819" t="str">
        <f>TEST_DATA!A11819</f>
        <v>27AAAAA11819Z5</v>
      </c>
      <c r="B11819" t="str">
        <f>TEST_DATA!B11819</f>
        <v>Apr-2021</v>
      </c>
      <c r="C11819">
        <f>TEST_DATA!C11819</f>
        <v>44100</v>
      </c>
      <c r="D11819" t="str">
        <f>TEST_DATA!D11819</f>
        <v>NIL</v>
      </c>
      <c r="E11819">
        <f>TEST_DATA!E11819</f>
        <v>2965</v>
      </c>
    </row>
    <row r="11820" spans="1:5" x14ac:dyDescent="0.55000000000000004">
      <c r="A11820" t="str">
        <f>TEST_DATA!A11820</f>
        <v>27AAAAA11820Z5</v>
      </c>
      <c r="B11820" t="str">
        <f>TEST_DATA!B11820</f>
        <v>Mar-2020</v>
      </c>
      <c r="C11820">
        <f>TEST_DATA!C11820</f>
        <v>44405</v>
      </c>
      <c r="D11820" t="str">
        <f>TEST_DATA!D11820</f>
        <v>NIL</v>
      </c>
      <c r="E11820">
        <f>TEST_DATA!E11820</f>
        <v>2919</v>
      </c>
    </row>
    <row r="11821" spans="1:5" x14ac:dyDescent="0.55000000000000004">
      <c r="A11821" t="str">
        <f>TEST_DATA!A11821</f>
        <v>27AAAAA11821Z5</v>
      </c>
      <c r="B11821" t="str">
        <f>TEST_DATA!B11821</f>
        <v>Dec-2017</v>
      </c>
      <c r="C11821">
        <f>TEST_DATA!C11821</f>
        <v>44354</v>
      </c>
      <c r="D11821" t="str">
        <f>TEST_DATA!D11821</f>
        <v>NIL</v>
      </c>
      <c r="E11821">
        <f>TEST_DATA!E11821</f>
        <v>571</v>
      </c>
    </row>
    <row r="11822" spans="1:5" x14ac:dyDescent="0.55000000000000004">
      <c r="A11822" t="str">
        <f>TEST_DATA!A11822</f>
        <v>27AAAAA11822Z5</v>
      </c>
      <c r="B11822" t="str">
        <f>TEST_DATA!B11822</f>
        <v>Jun-2019</v>
      </c>
      <c r="C11822">
        <f>TEST_DATA!C11822</f>
        <v>43469</v>
      </c>
      <c r="D11822" t="str">
        <f>TEST_DATA!D11822</f>
        <v>NON-NIL</v>
      </c>
      <c r="E11822">
        <f>TEST_DATA!E11822</f>
        <v>759</v>
      </c>
    </row>
    <row r="11823" spans="1:5" x14ac:dyDescent="0.55000000000000004">
      <c r="A11823" t="str">
        <f>TEST_DATA!A11823</f>
        <v>27AAAAA11823Z5</v>
      </c>
      <c r="B11823" t="str">
        <f>TEST_DATA!B11823</f>
        <v>Jun-2018</v>
      </c>
      <c r="C11823">
        <f>TEST_DATA!C11823</f>
        <v>43409</v>
      </c>
      <c r="D11823" t="str">
        <f>TEST_DATA!D11823</f>
        <v>NON-NIL</v>
      </c>
      <c r="E11823">
        <f>TEST_DATA!E11823</f>
        <v>2999</v>
      </c>
    </row>
    <row r="11824" spans="1:5" x14ac:dyDescent="0.55000000000000004">
      <c r="A11824" t="str">
        <f>TEST_DATA!A11824</f>
        <v>27AAAAA11824Z5</v>
      </c>
      <c r="B11824" t="str">
        <f>TEST_DATA!B11824</f>
        <v>Oct-2017</v>
      </c>
      <c r="C11824">
        <f>TEST_DATA!C11824</f>
        <v>43944</v>
      </c>
      <c r="D11824" t="str">
        <f>TEST_DATA!D11824</f>
        <v>NON-NIL</v>
      </c>
      <c r="E11824">
        <f>TEST_DATA!E11824</f>
        <v>1124</v>
      </c>
    </row>
    <row r="11825" spans="1:5" x14ac:dyDescent="0.55000000000000004">
      <c r="A11825" t="str">
        <f>TEST_DATA!A11825</f>
        <v>27AAAAA11825Z5</v>
      </c>
      <c r="B11825" t="str">
        <f>TEST_DATA!B11825</f>
        <v>May-2018</v>
      </c>
      <c r="C11825">
        <f>TEST_DATA!C11825</f>
        <v>43670</v>
      </c>
      <c r="D11825" t="str">
        <f>TEST_DATA!D11825</f>
        <v>NON-NIL</v>
      </c>
      <c r="E11825">
        <f>TEST_DATA!E11825</f>
        <v>263</v>
      </c>
    </row>
    <row r="11826" spans="1:5" x14ac:dyDescent="0.55000000000000004">
      <c r="A11826" t="str">
        <f>TEST_DATA!A11826</f>
        <v>27AAAAA11826Z5</v>
      </c>
      <c r="B11826" t="str">
        <f>TEST_DATA!B11826</f>
        <v>Dec-2022</v>
      </c>
      <c r="C11826">
        <f>TEST_DATA!C11826</f>
        <v>45674</v>
      </c>
      <c r="D11826" t="str">
        <f>TEST_DATA!D11826</f>
        <v>NIL</v>
      </c>
      <c r="E11826">
        <f>TEST_DATA!E11826</f>
        <v>1303</v>
      </c>
    </row>
    <row r="11827" spans="1:5" x14ac:dyDescent="0.55000000000000004">
      <c r="A11827" t="str">
        <f>TEST_DATA!A11827</f>
        <v>27AAAAA11827Z5</v>
      </c>
      <c r="B11827" t="str">
        <f>TEST_DATA!B11827</f>
        <v>Dec-2019</v>
      </c>
      <c r="C11827">
        <f>TEST_DATA!C11827</f>
        <v>45636</v>
      </c>
      <c r="D11827" t="str">
        <f>TEST_DATA!D11827</f>
        <v>NIL</v>
      </c>
      <c r="E11827">
        <f>TEST_DATA!E11827</f>
        <v>350</v>
      </c>
    </row>
    <row r="11828" spans="1:5" x14ac:dyDescent="0.55000000000000004">
      <c r="A11828" t="str">
        <f>TEST_DATA!A11828</f>
        <v>27AAAAA11828Z5</v>
      </c>
      <c r="B11828" t="str">
        <f>TEST_DATA!B11828</f>
        <v>Mar-2018</v>
      </c>
      <c r="C11828">
        <f>TEST_DATA!C11828</f>
        <v>44485</v>
      </c>
      <c r="D11828" t="str">
        <f>TEST_DATA!D11828</f>
        <v>NIL</v>
      </c>
      <c r="E11828">
        <f>TEST_DATA!E11828</f>
        <v>209</v>
      </c>
    </row>
    <row r="11829" spans="1:5" x14ac:dyDescent="0.55000000000000004">
      <c r="A11829" t="str">
        <f>TEST_DATA!A11829</f>
        <v>27AAAAA11829Z5</v>
      </c>
      <c r="B11829" t="str">
        <f>TEST_DATA!B11829</f>
        <v>Dec-2024</v>
      </c>
      <c r="C11829">
        <f>TEST_DATA!C11829</f>
        <v>44417</v>
      </c>
      <c r="D11829" t="str">
        <f>TEST_DATA!D11829</f>
        <v>NON-NIL</v>
      </c>
      <c r="E11829">
        <f>TEST_DATA!E11829</f>
        <v>1647</v>
      </c>
    </row>
    <row r="11830" spans="1:5" x14ac:dyDescent="0.55000000000000004">
      <c r="A11830" t="str">
        <f>TEST_DATA!A11830</f>
        <v>27AAAAA11830Z5</v>
      </c>
      <c r="B11830" t="str">
        <f>TEST_DATA!B11830</f>
        <v>Feb-2018</v>
      </c>
      <c r="C11830">
        <f>TEST_DATA!C11830</f>
        <v>42974</v>
      </c>
      <c r="D11830" t="str">
        <f>TEST_DATA!D11830</f>
        <v>NIL</v>
      </c>
      <c r="E11830">
        <f>TEST_DATA!E11830</f>
        <v>649</v>
      </c>
    </row>
    <row r="11831" spans="1:5" x14ac:dyDescent="0.55000000000000004">
      <c r="A11831" t="str">
        <f>TEST_DATA!A11831</f>
        <v>27AAAAA11831Z5</v>
      </c>
      <c r="B11831" t="str">
        <f>TEST_DATA!B11831</f>
        <v>Jun-2019</v>
      </c>
      <c r="C11831">
        <f>TEST_DATA!C11831</f>
        <v>44083</v>
      </c>
      <c r="D11831" t="str">
        <f>TEST_DATA!D11831</f>
        <v>NON-NIL</v>
      </c>
      <c r="E11831">
        <f>TEST_DATA!E11831</f>
        <v>1944</v>
      </c>
    </row>
    <row r="11832" spans="1:5" x14ac:dyDescent="0.55000000000000004">
      <c r="A11832" t="str">
        <f>TEST_DATA!A11832</f>
        <v>27AAAAA11832Z5</v>
      </c>
      <c r="B11832" t="str">
        <f>TEST_DATA!B11832</f>
        <v>Jan-2018</v>
      </c>
      <c r="C11832">
        <f>TEST_DATA!C11832</f>
        <v>43585</v>
      </c>
      <c r="D11832" t="str">
        <f>TEST_DATA!D11832</f>
        <v>NON-NIL</v>
      </c>
      <c r="E11832">
        <f>TEST_DATA!E11832</f>
        <v>2508</v>
      </c>
    </row>
    <row r="11833" spans="1:5" x14ac:dyDescent="0.55000000000000004">
      <c r="A11833" t="str">
        <f>TEST_DATA!A11833</f>
        <v>27AAAAA11833Z5</v>
      </c>
      <c r="B11833" t="str">
        <f>TEST_DATA!B11833</f>
        <v>Jul-2017</v>
      </c>
      <c r="C11833">
        <f>TEST_DATA!C11833</f>
        <v>43548</v>
      </c>
      <c r="D11833" t="str">
        <f>TEST_DATA!D11833</f>
        <v>NON-NIL</v>
      </c>
      <c r="E11833">
        <f>TEST_DATA!E11833</f>
        <v>2373</v>
      </c>
    </row>
    <row r="11834" spans="1:5" x14ac:dyDescent="0.55000000000000004">
      <c r="A11834" t="str">
        <f>TEST_DATA!A11834</f>
        <v>27AAAAA11834Z5</v>
      </c>
      <c r="B11834" t="str">
        <f>TEST_DATA!B11834</f>
        <v>Dec-2022</v>
      </c>
      <c r="C11834">
        <f>TEST_DATA!C11834</f>
        <v>45705</v>
      </c>
      <c r="D11834" t="str">
        <f>TEST_DATA!D11834</f>
        <v>NON-NIL</v>
      </c>
      <c r="E11834">
        <f>TEST_DATA!E11834</f>
        <v>1475</v>
      </c>
    </row>
    <row r="11835" spans="1:5" x14ac:dyDescent="0.55000000000000004">
      <c r="A11835" t="str">
        <f>TEST_DATA!A11835</f>
        <v>27AAAAA11835Z5</v>
      </c>
      <c r="B11835" t="str">
        <f>TEST_DATA!B11835</f>
        <v>Sep-2018</v>
      </c>
      <c r="C11835">
        <f>TEST_DATA!C11835</f>
        <v>43122</v>
      </c>
      <c r="D11835" t="str">
        <f>TEST_DATA!D11835</f>
        <v>NON-NIL</v>
      </c>
      <c r="E11835">
        <f>TEST_DATA!E11835</f>
        <v>2063</v>
      </c>
    </row>
    <row r="11836" spans="1:5" x14ac:dyDescent="0.55000000000000004">
      <c r="A11836" t="str">
        <f>TEST_DATA!A11836</f>
        <v>27AAAAA11836Z5</v>
      </c>
      <c r="B11836" t="str">
        <f>TEST_DATA!B11836</f>
        <v>Mar-2020</v>
      </c>
      <c r="C11836">
        <f>TEST_DATA!C11836</f>
        <v>44725</v>
      </c>
      <c r="D11836" t="str">
        <f>TEST_DATA!D11836</f>
        <v>NIL</v>
      </c>
      <c r="E11836">
        <f>TEST_DATA!E11836</f>
        <v>378</v>
      </c>
    </row>
    <row r="11837" spans="1:5" x14ac:dyDescent="0.55000000000000004">
      <c r="A11837" t="str">
        <f>TEST_DATA!A11837</f>
        <v>27AAAAA11837Z5</v>
      </c>
      <c r="B11837" t="str">
        <f>TEST_DATA!B11837</f>
        <v>Jan-2018</v>
      </c>
      <c r="C11837">
        <f>TEST_DATA!C11837</f>
        <v>43219</v>
      </c>
      <c r="D11837" t="str">
        <f>TEST_DATA!D11837</f>
        <v>NON-NIL</v>
      </c>
      <c r="E11837">
        <f>TEST_DATA!E11837</f>
        <v>244</v>
      </c>
    </row>
    <row r="11838" spans="1:5" x14ac:dyDescent="0.55000000000000004">
      <c r="A11838" t="str">
        <f>TEST_DATA!A11838</f>
        <v>27AAAAA11838Z5</v>
      </c>
      <c r="B11838" t="str">
        <f>TEST_DATA!B11838</f>
        <v>Jun-2019</v>
      </c>
      <c r="C11838">
        <f>TEST_DATA!C11838</f>
        <v>45177</v>
      </c>
      <c r="D11838" t="str">
        <f>TEST_DATA!D11838</f>
        <v>NIL</v>
      </c>
      <c r="E11838">
        <f>TEST_DATA!E11838</f>
        <v>2211</v>
      </c>
    </row>
    <row r="11839" spans="1:5" x14ac:dyDescent="0.55000000000000004">
      <c r="A11839" t="str">
        <f>TEST_DATA!A11839</f>
        <v>27AAAAA11839Z5</v>
      </c>
      <c r="B11839" t="str">
        <f>TEST_DATA!B11839</f>
        <v>Aug-2018</v>
      </c>
      <c r="C11839">
        <f>TEST_DATA!C11839</f>
        <v>44015</v>
      </c>
      <c r="D11839" t="str">
        <f>TEST_DATA!D11839</f>
        <v>NON-NIL</v>
      </c>
      <c r="E11839">
        <f>TEST_DATA!E11839</f>
        <v>1580</v>
      </c>
    </row>
    <row r="11840" spans="1:5" x14ac:dyDescent="0.55000000000000004">
      <c r="A11840" t="str">
        <f>TEST_DATA!A11840</f>
        <v>27AAAAA11840Z5</v>
      </c>
      <c r="B11840" t="str">
        <f>TEST_DATA!B11840</f>
        <v>Apr-2018</v>
      </c>
      <c r="C11840">
        <f>TEST_DATA!C11840</f>
        <v>44197</v>
      </c>
      <c r="D11840" t="str">
        <f>TEST_DATA!D11840</f>
        <v>NIL</v>
      </c>
      <c r="E11840">
        <f>TEST_DATA!E11840</f>
        <v>1220</v>
      </c>
    </row>
    <row r="11841" spans="1:5" x14ac:dyDescent="0.55000000000000004">
      <c r="A11841" t="str">
        <f>TEST_DATA!A11841</f>
        <v>27AAAAA11841Z5</v>
      </c>
      <c r="B11841" t="str">
        <f>TEST_DATA!B11841</f>
        <v>Sep-2018</v>
      </c>
      <c r="C11841">
        <f>TEST_DATA!C11841</f>
        <v>43708</v>
      </c>
      <c r="D11841" t="str">
        <f>TEST_DATA!D11841</f>
        <v>NIL</v>
      </c>
      <c r="E11841">
        <f>TEST_DATA!E11841</f>
        <v>2806</v>
      </c>
    </row>
    <row r="11842" spans="1:5" x14ac:dyDescent="0.55000000000000004">
      <c r="A11842" t="str">
        <f>TEST_DATA!A11842</f>
        <v>27AAAAA11842Z5</v>
      </c>
      <c r="B11842" t="str">
        <f>TEST_DATA!B11842</f>
        <v>Jun-2020</v>
      </c>
      <c r="C11842">
        <f>TEST_DATA!C11842</f>
        <v>44903</v>
      </c>
      <c r="D11842" t="str">
        <f>TEST_DATA!D11842</f>
        <v>NIL</v>
      </c>
      <c r="E11842">
        <f>TEST_DATA!E11842</f>
        <v>863</v>
      </c>
    </row>
    <row r="11843" spans="1:5" x14ac:dyDescent="0.55000000000000004">
      <c r="A11843" t="str">
        <f>TEST_DATA!A11843</f>
        <v>27AAAAA11843Z5</v>
      </c>
      <c r="B11843" t="str">
        <f>TEST_DATA!B11843</f>
        <v>Jul-2017</v>
      </c>
      <c r="C11843">
        <f>TEST_DATA!C11843</f>
        <v>44097</v>
      </c>
      <c r="D11843" t="str">
        <f>TEST_DATA!D11843</f>
        <v>NIL</v>
      </c>
      <c r="E11843">
        <f>TEST_DATA!E11843</f>
        <v>1480</v>
      </c>
    </row>
    <row r="11844" spans="1:5" x14ac:dyDescent="0.55000000000000004">
      <c r="A11844" t="str">
        <f>TEST_DATA!A11844</f>
        <v>27AAAAA11844Z5</v>
      </c>
      <c r="B11844" t="str">
        <f>TEST_DATA!B11844</f>
        <v>Dec-2019</v>
      </c>
      <c r="C11844">
        <f>TEST_DATA!C11844</f>
        <v>45265</v>
      </c>
      <c r="D11844" t="str">
        <f>TEST_DATA!D11844</f>
        <v>NIL</v>
      </c>
      <c r="E11844">
        <f>TEST_DATA!E11844</f>
        <v>2132</v>
      </c>
    </row>
    <row r="11845" spans="1:5" x14ac:dyDescent="0.55000000000000004">
      <c r="A11845" t="str">
        <f>TEST_DATA!A11845</f>
        <v>27AAAAA11845Z5</v>
      </c>
      <c r="B11845" t="str">
        <f>TEST_DATA!B11845</f>
        <v>Apr-2020</v>
      </c>
      <c r="C11845">
        <f>TEST_DATA!C11845</f>
        <v>44423</v>
      </c>
      <c r="D11845" t="str">
        <f>TEST_DATA!D11845</f>
        <v>NON-NIL</v>
      </c>
      <c r="E11845">
        <f>TEST_DATA!E11845</f>
        <v>1912</v>
      </c>
    </row>
    <row r="11846" spans="1:5" x14ac:dyDescent="0.55000000000000004">
      <c r="A11846" t="str">
        <f>TEST_DATA!A11846</f>
        <v>27AAAAA11846Z5</v>
      </c>
      <c r="B11846" t="str">
        <f>TEST_DATA!B11846</f>
        <v>Dec-2024</v>
      </c>
      <c r="C11846">
        <f>TEST_DATA!C11846</f>
        <v>44340</v>
      </c>
      <c r="D11846" t="str">
        <f>TEST_DATA!D11846</f>
        <v>NON-NIL</v>
      </c>
      <c r="E11846">
        <f>TEST_DATA!E11846</f>
        <v>857</v>
      </c>
    </row>
    <row r="11847" spans="1:5" x14ac:dyDescent="0.55000000000000004">
      <c r="A11847" t="str">
        <f>TEST_DATA!A11847</f>
        <v>27AAAAA11847Z5</v>
      </c>
      <c r="B11847" t="str">
        <f>TEST_DATA!B11847</f>
        <v>Sep-2017</v>
      </c>
      <c r="C11847">
        <f>TEST_DATA!C11847</f>
        <v>43729</v>
      </c>
      <c r="D11847" t="str">
        <f>TEST_DATA!D11847</f>
        <v>NIL</v>
      </c>
      <c r="E11847">
        <f>TEST_DATA!E11847</f>
        <v>999</v>
      </c>
    </row>
    <row r="11848" spans="1:5" x14ac:dyDescent="0.55000000000000004">
      <c r="A11848" t="str">
        <f>TEST_DATA!A11848</f>
        <v>27AAAAA11848Z5</v>
      </c>
      <c r="B11848" t="str">
        <f>TEST_DATA!B11848</f>
        <v>Jul-2017</v>
      </c>
      <c r="C11848">
        <f>TEST_DATA!C11848</f>
        <v>44051</v>
      </c>
      <c r="D11848" t="str">
        <f>TEST_DATA!D11848</f>
        <v>NON-NIL</v>
      </c>
      <c r="E11848">
        <f>TEST_DATA!E11848</f>
        <v>1586</v>
      </c>
    </row>
    <row r="11849" spans="1:5" x14ac:dyDescent="0.55000000000000004">
      <c r="A11849" t="str">
        <f>TEST_DATA!A11849</f>
        <v>27AAAAA11849Z5</v>
      </c>
      <c r="B11849" t="str">
        <f>TEST_DATA!B11849</f>
        <v>Aug-2017</v>
      </c>
      <c r="C11849">
        <f>TEST_DATA!C11849</f>
        <v>43128</v>
      </c>
      <c r="D11849" t="str">
        <f>TEST_DATA!D11849</f>
        <v>NON-NIL</v>
      </c>
      <c r="E11849">
        <f>TEST_DATA!E11849</f>
        <v>645</v>
      </c>
    </row>
    <row r="11850" spans="1:5" x14ac:dyDescent="0.55000000000000004">
      <c r="A11850" t="str">
        <f>TEST_DATA!A11850</f>
        <v>27AAAAA11850Z5</v>
      </c>
      <c r="B11850" t="str">
        <f>TEST_DATA!B11850</f>
        <v>Jan-2021</v>
      </c>
      <c r="C11850">
        <f>TEST_DATA!C11850</f>
        <v>45080</v>
      </c>
      <c r="D11850" t="str">
        <f>TEST_DATA!D11850</f>
        <v>NIL</v>
      </c>
      <c r="E11850">
        <f>TEST_DATA!E11850</f>
        <v>2105</v>
      </c>
    </row>
    <row r="11851" spans="1:5" x14ac:dyDescent="0.55000000000000004">
      <c r="A11851" t="str">
        <f>TEST_DATA!A11851</f>
        <v>27AAAAA11851Z5</v>
      </c>
      <c r="B11851" t="str">
        <f>TEST_DATA!B11851</f>
        <v>Mar-2021</v>
      </c>
      <c r="C11851">
        <f>TEST_DATA!C11851</f>
        <v>43524</v>
      </c>
      <c r="D11851" t="str">
        <f>TEST_DATA!D11851</f>
        <v>NIL</v>
      </c>
      <c r="E11851">
        <f>TEST_DATA!E11851</f>
        <v>849</v>
      </c>
    </row>
    <row r="11852" spans="1:5" x14ac:dyDescent="0.55000000000000004">
      <c r="A11852" t="str">
        <f>TEST_DATA!A11852</f>
        <v>27AAAAA11852Z5</v>
      </c>
      <c r="B11852" t="str">
        <f>TEST_DATA!B11852</f>
        <v>Jul-2020</v>
      </c>
      <c r="C11852">
        <f>TEST_DATA!C11852</f>
        <v>44660</v>
      </c>
      <c r="D11852" t="str">
        <f>TEST_DATA!D11852</f>
        <v>NON-NIL</v>
      </c>
      <c r="E11852">
        <f>TEST_DATA!E11852</f>
        <v>2493</v>
      </c>
    </row>
    <row r="11853" spans="1:5" x14ac:dyDescent="0.55000000000000004">
      <c r="A11853" t="str">
        <f>TEST_DATA!A11853</f>
        <v>27AAAAA11853Z5</v>
      </c>
      <c r="B11853" t="str">
        <f>TEST_DATA!B11853</f>
        <v>Aug-2017</v>
      </c>
      <c r="C11853">
        <f>TEST_DATA!C11853</f>
        <v>43972</v>
      </c>
      <c r="D11853" t="str">
        <f>TEST_DATA!D11853</f>
        <v>NON-NIL</v>
      </c>
      <c r="E11853">
        <f>TEST_DATA!E11853</f>
        <v>2734</v>
      </c>
    </row>
    <row r="11854" spans="1:5" x14ac:dyDescent="0.55000000000000004">
      <c r="A11854" t="str">
        <f>TEST_DATA!A11854</f>
        <v>27AAAAA11854Z5</v>
      </c>
      <c r="B11854" t="str">
        <f>TEST_DATA!B11854</f>
        <v>Jan-2019</v>
      </c>
      <c r="C11854">
        <f>TEST_DATA!C11854</f>
        <v>44618</v>
      </c>
      <c r="D11854" t="str">
        <f>TEST_DATA!D11854</f>
        <v>NIL</v>
      </c>
      <c r="E11854">
        <f>TEST_DATA!E11854</f>
        <v>2587</v>
      </c>
    </row>
    <row r="11855" spans="1:5" x14ac:dyDescent="0.55000000000000004">
      <c r="A11855" t="str">
        <f>TEST_DATA!A11855</f>
        <v>27AAAAA11855Z5</v>
      </c>
      <c r="B11855" t="str">
        <f>TEST_DATA!B11855</f>
        <v>Sep-2017</v>
      </c>
      <c r="C11855">
        <f>TEST_DATA!C11855</f>
        <v>43804</v>
      </c>
      <c r="D11855" t="str">
        <f>TEST_DATA!D11855</f>
        <v>NIL</v>
      </c>
      <c r="E11855">
        <f>TEST_DATA!E11855</f>
        <v>1040</v>
      </c>
    </row>
    <row r="11856" spans="1:5" x14ac:dyDescent="0.55000000000000004">
      <c r="A11856" t="str">
        <f>TEST_DATA!A11856</f>
        <v>27AAAAA11856Z5</v>
      </c>
      <c r="B11856" t="str">
        <f>TEST_DATA!B11856</f>
        <v>Mar-2023</v>
      </c>
      <c r="C11856">
        <f>TEST_DATA!C11856</f>
        <v>44377</v>
      </c>
      <c r="D11856" t="str">
        <f>TEST_DATA!D11856</f>
        <v>NIL</v>
      </c>
      <c r="E11856">
        <f>TEST_DATA!E11856</f>
        <v>936</v>
      </c>
    </row>
    <row r="11857" spans="1:5" x14ac:dyDescent="0.55000000000000004">
      <c r="A11857" t="str">
        <f>TEST_DATA!A11857</f>
        <v>27AAAAA11857Z5</v>
      </c>
      <c r="B11857" t="str">
        <f>TEST_DATA!B11857</f>
        <v>Oct-2017</v>
      </c>
      <c r="C11857">
        <f>TEST_DATA!C11857</f>
        <v>43042</v>
      </c>
      <c r="D11857" t="str">
        <f>TEST_DATA!D11857</f>
        <v>NIL</v>
      </c>
      <c r="E11857">
        <f>TEST_DATA!E11857</f>
        <v>1590</v>
      </c>
    </row>
    <row r="11858" spans="1:5" x14ac:dyDescent="0.55000000000000004">
      <c r="A11858" t="str">
        <f>TEST_DATA!A11858</f>
        <v>27AAAAA11858Z5</v>
      </c>
      <c r="B11858" t="str">
        <f>TEST_DATA!B11858</f>
        <v>Aug-2018</v>
      </c>
      <c r="C11858">
        <f>TEST_DATA!C11858</f>
        <v>43398</v>
      </c>
      <c r="D11858" t="str">
        <f>TEST_DATA!D11858</f>
        <v>NON-NIL</v>
      </c>
      <c r="E11858">
        <f>TEST_DATA!E11858</f>
        <v>1767</v>
      </c>
    </row>
    <row r="11859" spans="1:5" x14ac:dyDescent="0.55000000000000004">
      <c r="A11859" t="str">
        <f>TEST_DATA!A11859</f>
        <v>27AAAAA11859Z5</v>
      </c>
      <c r="B11859" t="str">
        <f>TEST_DATA!B11859</f>
        <v>Dec-2017</v>
      </c>
      <c r="C11859">
        <f>TEST_DATA!C11859</f>
        <v>44456</v>
      </c>
      <c r="D11859" t="str">
        <f>TEST_DATA!D11859</f>
        <v>NIL</v>
      </c>
      <c r="E11859">
        <f>TEST_DATA!E11859</f>
        <v>2146</v>
      </c>
    </row>
    <row r="11860" spans="1:5" x14ac:dyDescent="0.55000000000000004">
      <c r="A11860" t="str">
        <f>TEST_DATA!A11860</f>
        <v>27AAAAA11860Z5</v>
      </c>
      <c r="B11860" t="str">
        <f>TEST_DATA!B11860</f>
        <v>Mar-2018</v>
      </c>
      <c r="C11860">
        <f>TEST_DATA!C11860</f>
        <v>43660</v>
      </c>
      <c r="D11860" t="str">
        <f>TEST_DATA!D11860</f>
        <v>NON-NIL</v>
      </c>
      <c r="E11860">
        <f>TEST_DATA!E11860</f>
        <v>1253</v>
      </c>
    </row>
    <row r="11861" spans="1:5" x14ac:dyDescent="0.55000000000000004">
      <c r="A11861" t="str">
        <f>TEST_DATA!A11861</f>
        <v>27AAAAA11861Z5</v>
      </c>
      <c r="B11861" t="str">
        <f>TEST_DATA!B11861</f>
        <v>Sep-2017</v>
      </c>
      <c r="C11861">
        <f>TEST_DATA!C11861</f>
        <v>43511</v>
      </c>
      <c r="D11861" t="str">
        <f>TEST_DATA!D11861</f>
        <v>NIL</v>
      </c>
      <c r="E11861">
        <f>TEST_DATA!E11861</f>
        <v>2184</v>
      </c>
    </row>
    <row r="11862" spans="1:5" x14ac:dyDescent="0.55000000000000004">
      <c r="A11862" t="str">
        <f>TEST_DATA!A11862</f>
        <v>27AAAAA11862Z5</v>
      </c>
      <c r="B11862" t="str">
        <f>TEST_DATA!B11862</f>
        <v>May-2020</v>
      </c>
      <c r="C11862">
        <f>TEST_DATA!C11862</f>
        <v>44509</v>
      </c>
      <c r="D11862" t="str">
        <f>TEST_DATA!D11862</f>
        <v>NON-NIL</v>
      </c>
      <c r="E11862">
        <f>TEST_DATA!E11862</f>
        <v>2520</v>
      </c>
    </row>
    <row r="11863" spans="1:5" x14ac:dyDescent="0.55000000000000004">
      <c r="A11863" t="str">
        <f>TEST_DATA!A11863</f>
        <v>27AAAAA11863Z5</v>
      </c>
      <c r="B11863" t="str">
        <f>TEST_DATA!B11863</f>
        <v>Mar-2023</v>
      </c>
      <c r="C11863">
        <f>TEST_DATA!C11863</f>
        <v>45015</v>
      </c>
      <c r="D11863" t="str">
        <f>TEST_DATA!D11863</f>
        <v>NIL</v>
      </c>
      <c r="E11863">
        <f>TEST_DATA!E11863</f>
        <v>666</v>
      </c>
    </row>
    <row r="11864" spans="1:5" x14ac:dyDescent="0.55000000000000004">
      <c r="A11864" t="str">
        <f>TEST_DATA!A11864</f>
        <v>27AAAAA11864Z5</v>
      </c>
      <c r="B11864" t="str">
        <f>TEST_DATA!B11864</f>
        <v>Dec-2024</v>
      </c>
      <c r="C11864">
        <f>TEST_DATA!C11864</f>
        <v>45820</v>
      </c>
      <c r="D11864" t="str">
        <f>TEST_DATA!D11864</f>
        <v>NON-NIL</v>
      </c>
      <c r="E11864">
        <f>TEST_DATA!E11864</f>
        <v>311</v>
      </c>
    </row>
    <row r="11865" spans="1:5" x14ac:dyDescent="0.55000000000000004">
      <c r="A11865" t="str">
        <f>TEST_DATA!A11865</f>
        <v>27AAAAA11865Z5</v>
      </c>
      <c r="B11865" t="str">
        <f>TEST_DATA!B11865</f>
        <v>Mar-2021</v>
      </c>
      <c r="C11865">
        <f>TEST_DATA!C11865</f>
        <v>43892</v>
      </c>
      <c r="D11865" t="str">
        <f>TEST_DATA!D11865</f>
        <v>NIL</v>
      </c>
      <c r="E11865">
        <f>TEST_DATA!E11865</f>
        <v>2094</v>
      </c>
    </row>
    <row r="11866" spans="1:5" x14ac:dyDescent="0.55000000000000004">
      <c r="A11866" t="str">
        <f>TEST_DATA!A11866</f>
        <v>27AAAAA11866Z5</v>
      </c>
      <c r="B11866" t="str">
        <f>TEST_DATA!B11866</f>
        <v>Apr-2018</v>
      </c>
      <c r="C11866">
        <f>TEST_DATA!C11866</f>
        <v>43996</v>
      </c>
      <c r="D11866" t="str">
        <f>TEST_DATA!D11866</f>
        <v>NON-NIL</v>
      </c>
      <c r="E11866">
        <f>TEST_DATA!E11866</f>
        <v>326</v>
      </c>
    </row>
    <row r="11867" spans="1:5" x14ac:dyDescent="0.55000000000000004">
      <c r="A11867" t="str">
        <f>TEST_DATA!A11867</f>
        <v>27AAAAA11867Z5</v>
      </c>
      <c r="B11867" t="str">
        <f>TEST_DATA!B11867</f>
        <v>Aug-2017</v>
      </c>
      <c r="C11867">
        <f>TEST_DATA!C11867</f>
        <v>43700</v>
      </c>
      <c r="D11867" t="str">
        <f>TEST_DATA!D11867</f>
        <v>NON-NIL</v>
      </c>
      <c r="E11867">
        <f>TEST_DATA!E11867</f>
        <v>179</v>
      </c>
    </row>
    <row r="11868" spans="1:5" x14ac:dyDescent="0.55000000000000004">
      <c r="A11868" t="str">
        <f>TEST_DATA!A11868</f>
        <v>27AAAAA11868Z5</v>
      </c>
      <c r="B11868" t="str">
        <f>TEST_DATA!B11868</f>
        <v>Jan-2021</v>
      </c>
      <c r="C11868">
        <f>TEST_DATA!C11868</f>
        <v>43712</v>
      </c>
      <c r="D11868" t="str">
        <f>TEST_DATA!D11868</f>
        <v>NIL</v>
      </c>
      <c r="E11868">
        <f>TEST_DATA!E11868</f>
        <v>1595</v>
      </c>
    </row>
    <row r="11869" spans="1:5" x14ac:dyDescent="0.55000000000000004">
      <c r="A11869" t="str">
        <f>TEST_DATA!A11869</f>
        <v>27AAAAA11869Z5</v>
      </c>
      <c r="B11869" t="str">
        <f>TEST_DATA!B11869</f>
        <v>Dec-2024</v>
      </c>
      <c r="C11869">
        <f>TEST_DATA!C11869</f>
        <v>43491</v>
      </c>
      <c r="D11869" t="str">
        <f>TEST_DATA!D11869</f>
        <v>NON-NIL</v>
      </c>
      <c r="E11869">
        <f>TEST_DATA!E11869</f>
        <v>1715</v>
      </c>
    </row>
    <row r="11870" spans="1:5" x14ac:dyDescent="0.55000000000000004">
      <c r="A11870" t="str">
        <f>TEST_DATA!A11870</f>
        <v>27AAAAA11870Z5</v>
      </c>
      <c r="B11870" t="str">
        <f>TEST_DATA!B11870</f>
        <v>Mar-2020</v>
      </c>
      <c r="C11870">
        <f>TEST_DATA!C11870</f>
        <v>43867</v>
      </c>
      <c r="D11870" t="str">
        <f>TEST_DATA!D11870</f>
        <v>NIL</v>
      </c>
      <c r="E11870">
        <f>TEST_DATA!E11870</f>
        <v>1811</v>
      </c>
    </row>
    <row r="11871" spans="1:5" x14ac:dyDescent="0.55000000000000004">
      <c r="A11871" t="str">
        <f>TEST_DATA!A11871</f>
        <v>27AAAAA11871Z5</v>
      </c>
      <c r="B11871" t="str">
        <f>TEST_DATA!B11871</f>
        <v>Mar-2018</v>
      </c>
      <c r="C11871">
        <f>TEST_DATA!C11871</f>
        <v>44171</v>
      </c>
      <c r="D11871" t="str">
        <f>TEST_DATA!D11871</f>
        <v>NON-NIL</v>
      </c>
      <c r="E11871">
        <f>TEST_DATA!E11871</f>
        <v>816</v>
      </c>
    </row>
    <row r="11872" spans="1:5" x14ac:dyDescent="0.55000000000000004">
      <c r="A11872" t="str">
        <f>TEST_DATA!A11872</f>
        <v>27AAAAA11872Z5</v>
      </c>
      <c r="B11872" t="str">
        <f>TEST_DATA!B11872</f>
        <v>Jun-2019</v>
      </c>
      <c r="C11872">
        <f>TEST_DATA!C11872</f>
        <v>43899</v>
      </c>
      <c r="D11872" t="str">
        <f>TEST_DATA!D11872</f>
        <v>NON-NIL</v>
      </c>
      <c r="E11872">
        <f>TEST_DATA!E11872</f>
        <v>549</v>
      </c>
    </row>
    <row r="11873" spans="1:5" x14ac:dyDescent="0.55000000000000004">
      <c r="A11873" t="str">
        <f>TEST_DATA!A11873</f>
        <v>27AAAAA11873Z5</v>
      </c>
      <c r="B11873" t="str">
        <f>TEST_DATA!B11873</f>
        <v>Dec-2024</v>
      </c>
      <c r="C11873">
        <f>TEST_DATA!C11873</f>
        <v>44745</v>
      </c>
      <c r="D11873" t="str">
        <f>TEST_DATA!D11873</f>
        <v>NON-NIL</v>
      </c>
      <c r="E11873">
        <f>TEST_DATA!E11873</f>
        <v>297</v>
      </c>
    </row>
    <row r="11874" spans="1:5" x14ac:dyDescent="0.55000000000000004">
      <c r="A11874" t="str">
        <f>TEST_DATA!A11874</f>
        <v>27AAAAA11874Z5</v>
      </c>
      <c r="B11874" t="str">
        <f>TEST_DATA!B11874</f>
        <v>Jul-2017</v>
      </c>
      <c r="C11874">
        <f>TEST_DATA!C11874</f>
        <v>43769</v>
      </c>
      <c r="D11874" t="str">
        <f>TEST_DATA!D11874</f>
        <v>NON-NIL</v>
      </c>
      <c r="E11874">
        <f>TEST_DATA!E11874</f>
        <v>2566</v>
      </c>
    </row>
    <row r="11875" spans="1:5" x14ac:dyDescent="0.55000000000000004">
      <c r="A11875" t="str">
        <f>TEST_DATA!A11875</f>
        <v>27AAAAA11875Z5</v>
      </c>
      <c r="B11875" t="str">
        <f>TEST_DATA!B11875</f>
        <v>Jan-2019</v>
      </c>
      <c r="C11875">
        <f>TEST_DATA!C11875</f>
        <v>45701</v>
      </c>
      <c r="D11875" t="str">
        <f>TEST_DATA!D11875</f>
        <v>NON-NIL</v>
      </c>
      <c r="E11875">
        <f>TEST_DATA!E11875</f>
        <v>1308</v>
      </c>
    </row>
    <row r="11876" spans="1:5" x14ac:dyDescent="0.55000000000000004">
      <c r="A11876" t="str">
        <f>TEST_DATA!A11876</f>
        <v>27AAAAA11876Z5</v>
      </c>
      <c r="B11876" t="str">
        <f>TEST_DATA!B11876</f>
        <v>Jan-2019</v>
      </c>
      <c r="C11876">
        <f>TEST_DATA!C11876</f>
        <v>44370</v>
      </c>
      <c r="D11876" t="str">
        <f>TEST_DATA!D11876</f>
        <v>NIL</v>
      </c>
      <c r="E11876">
        <f>TEST_DATA!E11876</f>
        <v>311</v>
      </c>
    </row>
    <row r="11877" spans="1:5" x14ac:dyDescent="0.55000000000000004">
      <c r="A11877" t="str">
        <f>TEST_DATA!A11877</f>
        <v>27AAAAA11877Z5</v>
      </c>
      <c r="B11877" t="str">
        <f>TEST_DATA!B11877</f>
        <v>Aug-2018</v>
      </c>
      <c r="C11877">
        <f>TEST_DATA!C11877</f>
        <v>43632</v>
      </c>
      <c r="D11877" t="str">
        <f>TEST_DATA!D11877</f>
        <v>NIL</v>
      </c>
      <c r="E11877">
        <f>TEST_DATA!E11877</f>
        <v>727</v>
      </c>
    </row>
    <row r="11878" spans="1:5" x14ac:dyDescent="0.55000000000000004">
      <c r="A11878" t="str">
        <f>TEST_DATA!A11878</f>
        <v>27AAAAA11878Z5</v>
      </c>
      <c r="B11878" t="str">
        <f>TEST_DATA!B11878</f>
        <v>Jun-2020</v>
      </c>
      <c r="C11878">
        <f>TEST_DATA!C11878</f>
        <v>44391</v>
      </c>
      <c r="D11878" t="str">
        <f>TEST_DATA!D11878</f>
        <v>NIL</v>
      </c>
      <c r="E11878">
        <f>TEST_DATA!E11878</f>
        <v>866</v>
      </c>
    </row>
    <row r="11879" spans="1:5" x14ac:dyDescent="0.55000000000000004">
      <c r="A11879" t="str">
        <f>TEST_DATA!A11879</f>
        <v>27AAAAA11879Z5</v>
      </c>
      <c r="B11879" t="str">
        <f>TEST_DATA!B11879</f>
        <v>Mar-2021</v>
      </c>
      <c r="C11879">
        <f>TEST_DATA!C11879</f>
        <v>45615</v>
      </c>
      <c r="D11879" t="str">
        <f>TEST_DATA!D11879</f>
        <v>NIL</v>
      </c>
      <c r="E11879">
        <f>TEST_DATA!E11879</f>
        <v>1419</v>
      </c>
    </row>
    <row r="11880" spans="1:5" x14ac:dyDescent="0.55000000000000004">
      <c r="A11880" t="str">
        <f>TEST_DATA!A11880</f>
        <v>27AAAAA11880Z5</v>
      </c>
      <c r="B11880" t="str">
        <f>TEST_DATA!B11880</f>
        <v>Mar-2018</v>
      </c>
      <c r="C11880">
        <f>TEST_DATA!C11880</f>
        <v>44437</v>
      </c>
      <c r="D11880" t="str">
        <f>TEST_DATA!D11880</f>
        <v>NON-NIL</v>
      </c>
      <c r="E11880">
        <f>TEST_DATA!E11880</f>
        <v>57</v>
      </c>
    </row>
    <row r="11881" spans="1:5" x14ac:dyDescent="0.55000000000000004">
      <c r="A11881" t="str">
        <f>TEST_DATA!A11881</f>
        <v>27AAAAA11881Z5</v>
      </c>
      <c r="B11881" t="str">
        <f>TEST_DATA!B11881</f>
        <v>Sep-2018</v>
      </c>
      <c r="C11881">
        <f>TEST_DATA!C11881</f>
        <v>43073</v>
      </c>
      <c r="D11881" t="str">
        <f>TEST_DATA!D11881</f>
        <v>NIL</v>
      </c>
      <c r="E11881">
        <f>TEST_DATA!E11881</f>
        <v>2630</v>
      </c>
    </row>
    <row r="11882" spans="1:5" x14ac:dyDescent="0.55000000000000004">
      <c r="A11882" t="str">
        <f>TEST_DATA!A11882</f>
        <v>27AAAAA11882Z5</v>
      </c>
      <c r="B11882" t="str">
        <f>TEST_DATA!B11882</f>
        <v>Jul-2017</v>
      </c>
      <c r="C11882">
        <f>TEST_DATA!C11882</f>
        <v>44324</v>
      </c>
      <c r="D11882" t="str">
        <f>TEST_DATA!D11882</f>
        <v>NON-NIL</v>
      </c>
      <c r="E11882">
        <f>TEST_DATA!E11882</f>
        <v>702</v>
      </c>
    </row>
    <row r="11883" spans="1:5" x14ac:dyDescent="0.55000000000000004">
      <c r="A11883" t="str">
        <f>TEST_DATA!A11883</f>
        <v>27AAAAA11883Z5</v>
      </c>
      <c r="B11883" t="str">
        <f>TEST_DATA!B11883</f>
        <v>Apr-2020</v>
      </c>
      <c r="C11883">
        <f>TEST_DATA!C11883</f>
        <v>44887</v>
      </c>
      <c r="D11883" t="str">
        <f>TEST_DATA!D11883</f>
        <v>NON-NIL</v>
      </c>
      <c r="E11883">
        <f>TEST_DATA!E11883</f>
        <v>98</v>
      </c>
    </row>
    <row r="11884" spans="1:5" x14ac:dyDescent="0.55000000000000004">
      <c r="A11884" t="str">
        <f>TEST_DATA!A11884</f>
        <v>27AAAAA11884Z5</v>
      </c>
      <c r="B11884" t="str">
        <f>TEST_DATA!B11884</f>
        <v>Dec-2017</v>
      </c>
      <c r="C11884">
        <f>TEST_DATA!C11884</f>
        <v>43416</v>
      </c>
      <c r="D11884" t="str">
        <f>TEST_DATA!D11884</f>
        <v>NIL</v>
      </c>
      <c r="E11884">
        <f>TEST_DATA!E11884</f>
        <v>1417</v>
      </c>
    </row>
    <row r="11885" spans="1:5" x14ac:dyDescent="0.55000000000000004">
      <c r="A11885" t="str">
        <f>TEST_DATA!A11885</f>
        <v>27AAAAA11885Z5</v>
      </c>
      <c r="B11885" t="str">
        <f>TEST_DATA!B11885</f>
        <v>May-2020</v>
      </c>
      <c r="C11885">
        <f>TEST_DATA!C11885</f>
        <v>43893</v>
      </c>
      <c r="D11885" t="str">
        <f>TEST_DATA!D11885</f>
        <v>NON-NIL</v>
      </c>
      <c r="E11885">
        <f>TEST_DATA!E11885</f>
        <v>1776</v>
      </c>
    </row>
    <row r="11886" spans="1:5" x14ac:dyDescent="0.55000000000000004">
      <c r="A11886" t="str">
        <f>TEST_DATA!A11886</f>
        <v>27AAAAA11886Z5</v>
      </c>
      <c r="B11886" t="str">
        <f>TEST_DATA!B11886</f>
        <v>Sep-2018</v>
      </c>
      <c r="C11886">
        <f>TEST_DATA!C11886</f>
        <v>43110</v>
      </c>
      <c r="D11886" t="str">
        <f>TEST_DATA!D11886</f>
        <v>NON-NIL</v>
      </c>
      <c r="E11886">
        <f>TEST_DATA!E11886</f>
        <v>2215</v>
      </c>
    </row>
    <row r="11887" spans="1:5" x14ac:dyDescent="0.55000000000000004">
      <c r="A11887" t="str">
        <f>TEST_DATA!A11887</f>
        <v>27AAAAA11887Z5</v>
      </c>
      <c r="B11887" t="str">
        <f>TEST_DATA!B11887</f>
        <v>May-2018</v>
      </c>
      <c r="C11887">
        <f>TEST_DATA!C11887</f>
        <v>43396</v>
      </c>
      <c r="D11887" t="str">
        <f>TEST_DATA!D11887</f>
        <v>NIL</v>
      </c>
      <c r="E11887">
        <f>TEST_DATA!E11887</f>
        <v>2691</v>
      </c>
    </row>
    <row r="11888" spans="1:5" x14ac:dyDescent="0.55000000000000004">
      <c r="A11888" t="str">
        <f>TEST_DATA!A11888</f>
        <v>27AAAAA11888Z5</v>
      </c>
      <c r="B11888" t="str">
        <f>TEST_DATA!B11888</f>
        <v>Jan-2018</v>
      </c>
      <c r="C11888">
        <f>TEST_DATA!C11888</f>
        <v>44506</v>
      </c>
      <c r="D11888" t="str">
        <f>TEST_DATA!D11888</f>
        <v>NIL</v>
      </c>
      <c r="E11888">
        <f>TEST_DATA!E11888</f>
        <v>2046</v>
      </c>
    </row>
    <row r="11889" spans="1:5" x14ac:dyDescent="0.55000000000000004">
      <c r="A11889" t="str">
        <f>TEST_DATA!A11889</f>
        <v>27AAAAA11889Z5</v>
      </c>
      <c r="B11889" t="str">
        <f>TEST_DATA!B11889</f>
        <v>Mar-2021</v>
      </c>
      <c r="C11889">
        <f>TEST_DATA!C11889</f>
        <v>43796</v>
      </c>
      <c r="D11889" t="str">
        <f>TEST_DATA!D11889</f>
        <v>NON-NIL</v>
      </c>
      <c r="E11889">
        <f>TEST_DATA!E11889</f>
        <v>1864</v>
      </c>
    </row>
    <row r="11890" spans="1:5" x14ac:dyDescent="0.55000000000000004">
      <c r="A11890" t="str">
        <f>TEST_DATA!A11890</f>
        <v>27AAAAA11890Z5</v>
      </c>
      <c r="B11890" t="str">
        <f>TEST_DATA!B11890</f>
        <v>Mar-2020</v>
      </c>
      <c r="C11890">
        <f>TEST_DATA!C11890</f>
        <v>44479</v>
      </c>
      <c r="D11890" t="str">
        <f>TEST_DATA!D11890</f>
        <v>NON-NIL</v>
      </c>
      <c r="E11890">
        <f>TEST_DATA!E11890</f>
        <v>1046</v>
      </c>
    </row>
    <row r="11891" spans="1:5" x14ac:dyDescent="0.55000000000000004">
      <c r="A11891" t="str">
        <f>TEST_DATA!A11891</f>
        <v>27AAAAA11891Z5</v>
      </c>
      <c r="B11891" t="str">
        <f>TEST_DATA!B11891</f>
        <v>Jan-2021</v>
      </c>
      <c r="C11891">
        <f>TEST_DATA!C11891</f>
        <v>43736</v>
      </c>
      <c r="D11891" t="str">
        <f>TEST_DATA!D11891</f>
        <v>NIL</v>
      </c>
      <c r="E11891">
        <f>TEST_DATA!E11891</f>
        <v>2305</v>
      </c>
    </row>
    <row r="11892" spans="1:5" x14ac:dyDescent="0.55000000000000004">
      <c r="A11892" t="str">
        <f>TEST_DATA!A11892</f>
        <v>27AAAAA11892Z5</v>
      </c>
      <c r="B11892" t="str">
        <f>TEST_DATA!B11892</f>
        <v>Apr-2021</v>
      </c>
      <c r="C11892">
        <f>TEST_DATA!C11892</f>
        <v>45728</v>
      </c>
      <c r="D11892" t="str">
        <f>TEST_DATA!D11892</f>
        <v>NIL</v>
      </c>
      <c r="E11892">
        <f>TEST_DATA!E11892</f>
        <v>1198</v>
      </c>
    </row>
    <row r="11893" spans="1:5" x14ac:dyDescent="0.55000000000000004">
      <c r="A11893" t="str">
        <f>TEST_DATA!A11893</f>
        <v>27AAAAA11893Z5</v>
      </c>
      <c r="B11893" t="str">
        <f>TEST_DATA!B11893</f>
        <v>Mar-2021</v>
      </c>
      <c r="C11893">
        <f>TEST_DATA!C11893</f>
        <v>45837</v>
      </c>
      <c r="D11893" t="str">
        <f>TEST_DATA!D11893</f>
        <v>NIL</v>
      </c>
      <c r="E11893">
        <f>TEST_DATA!E11893</f>
        <v>641</v>
      </c>
    </row>
    <row r="11894" spans="1:5" x14ac:dyDescent="0.55000000000000004">
      <c r="A11894" t="str">
        <f>TEST_DATA!A11894</f>
        <v>27AAAAA11894Z5</v>
      </c>
      <c r="B11894" t="str">
        <f>TEST_DATA!B11894</f>
        <v>Jul-2017</v>
      </c>
      <c r="C11894">
        <f>TEST_DATA!C11894</f>
        <v>44520</v>
      </c>
      <c r="D11894" t="str">
        <f>TEST_DATA!D11894</f>
        <v>NIL</v>
      </c>
      <c r="E11894">
        <f>TEST_DATA!E11894</f>
        <v>2079</v>
      </c>
    </row>
    <row r="11895" spans="1:5" x14ac:dyDescent="0.55000000000000004">
      <c r="A11895" t="str">
        <f>TEST_DATA!A11895</f>
        <v>27AAAAA11895Z5</v>
      </c>
      <c r="B11895" t="str">
        <f>TEST_DATA!B11895</f>
        <v>Jun-2020</v>
      </c>
      <c r="C11895">
        <f>TEST_DATA!C11895</f>
        <v>43978</v>
      </c>
      <c r="D11895" t="str">
        <f>TEST_DATA!D11895</f>
        <v>NON-NIL</v>
      </c>
      <c r="E11895">
        <f>TEST_DATA!E11895</f>
        <v>2677</v>
      </c>
    </row>
    <row r="11896" spans="1:5" x14ac:dyDescent="0.55000000000000004">
      <c r="A11896" t="str">
        <f>TEST_DATA!A11896</f>
        <v>27AAAAA11896Z5</v>
      </c>
      <c r="B11896" t="str">
        <f>TEST_DATA!B11896</f>
        <v>Dec-2017</v>
      </c>
      <c r="C11896">
        <f>TEST_DATA!C11896</f>
        <v>43014</v>
      </c>
      <c r="D11896" t="str">
        <f>TEST_DATA!D11896</f>
        <v>NON-NIL</v>
      </c>
      <c r="E11896">
        <f>TEST_DATA!E11896</f>
        <v>568</v>
      </c>
    </row>
    <row r="11897" spans="1:5" x14ac:dyDescent="0.55000000000000004">
      <c r="A11897" t="str">
        <f>TEST_DATA!A11897</f>
        <v>27AAAAA11897Z5</v>
      </c>
      <c r="B11897" t="str">
        <f>TEST_DATA!B11897</f>
        <v>Oct-2017</v>
      </c>
      <c r="C11897">
        <f>TEST_DATA!C11897</f>
        <v>43819</v>
      </c>
      <c r="D11897" t="str">
        <f>TEST_DATA!D11897</f>
        <v>NON-NIL</v>
      </c>
      <c r="E11897">
        <f>TEST_DATA!E11897</f>
        <v>2242</v>
      </c>
    </row>
    <row r="11898" spans="1:5" x14ac:dyDescent="0.55000000000000004">
      <c r="A11898" t="str">
        <f>TEST_DATA!A11898</f>
        <v>27AAAAA11898Z5</v>
      </c>
      <c r="B11898" t="str">
        <f>TEST_DATA!B11898</f>
        <v>Jul-2017</v>
      </c>
      <c r="C11898">
        <f>TEST_DATA!C11898</f>
        <v>43163</v>
      </c>
      <c r="D11898" t="str">
        <f>TEST_DATA!D11898</f>
        <v>NIL</v>
      </c>
      <c r="E11898">
        <f>TEST_DATA!E11898</f>
        <v>1708</v>
      </c>
    </row>
    <row r="11899" spans="1:5" x14ac:dyDescent="0.55000000000000004">
      <c r="A11899" t="str">
        <f>TEST_DATA!A11899</f>
        <v>27AAAAA11899Z5</v>
      </c>
      <c r="B11899" t="str">
        <f>TEST_DATA!B11899</f>
        <v>Apr-2020</v>
      </c>
      <c r="C11899">
        <f>TEST_DATA!C11899</f>
        <v>44711</v>
      </c>
      <c r="D11899" t="str">
        <f>TEST_DATA!D11899</f>
        <v>NIL</v>
      </c>
      <c r="E11899">
        <f>TEST_DATA!E11899</f>
        <v>1368</v>
      </c>
    </row>
    <row r="11900" spans="1:5" x14ac:dyDescent="0.55000000000000004">
      <c r="A11900" t="str">
        <f>TEST_DATA!A11900</f>
        <v>27AAAAA11900Z5</v>
      </c>
      <c r="B11900" t="str">
        <f>TEST_DATA!B11900</f>
        <v>Aug-2017</v>
      </c>
      <c r="C11900">
        <f>TEST_DATA!C11900</f>
        <v>43587</v>
      </c>
      <c r="D11900" t="str">
        <f>TEST_DATA!D11900</f>
        <v>NIL</v>
      </c>
      <c r="E11900">
        <f>TEST_DATA!E11900</f>
        <v>1954</v>
      </c>
    </row>
    <row r="11901" spans="1:5" x14ac:dyDescent="0.55000000000000004">
      <c r="A11901" t="str">
        <f>TEST_DATA!A11901</f>
        <v>27AAAAA11901Z5</v>
      </c>
      <c r="B11901" t="str">
        <f>TEST_DATA!B11901</f>
        <v>Jan-2021</v>
      </c>
      <c r="C11901">
        <f>TEST_DATA!C11901</f>
        <v>44399</v>
      </c>
      <c r="D11901" t="str">
        <f>TEST_DATA!D11901</f>
        <v>NIL</v>
      </c>
      <c r="E11901">
        <f>TEST_DATA!E11901</f>
        <v>1140</v>
      </c>
    </row>
    <row r="11902" spans="1:5" x14ac:dyDescent="0.55000000000000004">
      <c r="A11902" t="str">
        <f>TEST_DATA!A11902</f>
        <v>27AAAAA11902Z5</v>
      </c>
      <c r="B11902" t="str">
        <f>TEST_DATA!B11902</f>
        <v>Jan-2021</v>
      </c>
      <c r="C11902">
        <f>TEST_DATA!C11902</f>
        <v>43725</v>
      </c>
      <c r="D11902" t="str">
        <f>TEST_DATA!D11902</f>
        <v>NIL</v>
      </c>
      <c r="E11902">
        <f>TEST_DATA!E11902</f>
        <v>2460</v>
      </c>
    </row>
    <row r="11903" spans="1:5" x14ac:dyDescent="0.55000000000000004">
      <c r="A11903" t="str">
        <f>TEST_DATA!A11903</f>
        <v>27AAAAA11903Z5</v>
      </c>
      <c r="B11903" t="str">
        <f>TEST_DATA!B11903</f>
        <v>Apr-2018</v>
      </c>
      <c r="C11903">
        <f>TEST_DATA!C11903</f>
        <v>43405</v>
      </c>
      <c r="D11903" t="str">
        <f>TEST_DATA!D11903</f>
        <v>NIL</v>
      </c>
      <c r="E11903">
        <f>TEST_DATA!E11903</f>
        <v>1011</v>
      </c>
    </row>
    <row r="11904" spans="1:5" x14ac:dyDescent="0.55000000000000004">
      <c r="A11904" t="str">
        <f>TEST_DATA!A11904</f>
        <v>27AAAAA11904Z5</v>
      </c>
      <c r="B11904" t="str">
        <f>TEST_DATA!B11904</f>
        <v>Dec-2022</v>
      </c>
      <c r="C11904">
        <f>TEST_DATA!C11904</f>
        <v>44157</v>
      </c>
      <c r="D11904" t="str">
        <f>TEST_DATA!D11904</f>
        <v>NON-NIL</v>
      </c>
      <c r="E11904">
        <f>TEST_DATA!E11904</f>
        <v>187</v>
      </c>
    </row>
    <row r="11905" spans="1:5" x14ac:dyDescent="0.55000000000000004">
      <c r="A11905" t="str">
        <f>TEST_DATA!A11905</f>
        <v>27AAAAA11905Z5</v>
      </c>
      <c r="B11905" t="str">
        <f>TEST_DATA!B11905</f>
        <v>Jan-2021</v>
      </c>
      <c r="C11905">
        <f>TEST_DATA!C11905</f>
        <v>44155</v>
      </c>
      <c r="D11905" t="str">
        <f>TEST_DATA!D11905</f>
        <v>NON-NIL</v>
      </c>
      <c r="E11905">
        <f>TEST_DATA!E11905</f>
        <v>1026</v>
      </c>
    </row>
    <row r="11906" spans="1:5" x14ac:dyDescent="0.55000000000000004">
      <c r="A11906" t="str">
        <f>TEST_DATA!A11906</f>
        <v>27AAAAA11906Z5</v>
      </c>
      <c r="B11906" t="str">
        <f>TEST_DATA!B11906</f>
        <v>Apr-2020</v>
      </c>
      <c r="C11906">
        <f>TEST_DATA!C11906</f>
        <v>44644</v>
      </c>
      <c r="D11906" t="str">
        <f>TEST_DATA!D11906</f>
        <v>NIL</v>
      </c>
      <c r="E11906">
        <f>TEST_DATA!E11906</f>
        <v>981</v>
      </c>
    </row>
    <row r="11907" spans="1:5" x14ac:dyDescent="0.55000000000000004">
      <c r="A11907" t="str">
        <f>TEST_DATA!A11907</f>
        <v>27AAAAA11907Z5</v>
      </c>
      <c r="B11907" t="str">
        <f>TEST_DATA!B11907</f>
        <v>Dec-2019</v>
      </c>
      <c r="C11907">
        <f>TEST_DATA!C11907</f>
        <v>44409</v>
      </c>
      <c r="D11907" t="str">
        <f>TEST_DATA!D11907</f>
        <v>NON-NIL</v>
      </c>
      <c r="E11907">
        <f>TEST_DATA!E11907</f>
        <v>1211</v>
      </c>
    </row>
    <row r="11908" spans="1:5" x14ac:dyDescent="0.55000000000000004">
      <c r="A11908" t="str">
        <f>TEST_DATA!A11908</f>
        <v>27AAAAA11908Z5</v>
      </c>
      <c r="B11908" t="str">
        <f>TEST_DATA!B11908</f>
        <v>Aug-2017</v>
      </c>
      <c r="C11908">
        <f>TEST_DATA!C11908</f>
        <v>44470</v>
      </c>
      <c r="D11908" t="str">
        <f>TEST_DATA!D11908</f>
        <v>NIL</v>
      </c>
      <c r="E11908">
        <f>TEST_DATA!E11908</f>
        <v>1973</v>
      </c>
    </row>
    <row r="11909" spans="1:5" x14ac:dyDescent="0.55000000000000004">
      <c r="A11909" t="str">
        <f>TEST_DATA!A11909</f>
        <v>27AAAAA11909Z5</v>
      </c>
      <c r="B11909" t="str">
        <f>TEST_DATA!B11909</f>
        <v>May-2020</v>
      </c>
      <c r="C11909">
        <f>TEST_DATA!C11909</f>
        <v>44635</v>
      </c>
      <c r="D11909" t="str">
        <f>TEST_DATA!D11909</f>
        <v>NON-NIL</v>
      </c>
      <c r="E11909">
        <f>TEST_DATA!E11909</f>
        <v>1052</v>
      </c>
    </row>
    <row r="11910" spans="1:5" x14ac:dyDescent="0.55000000000000004">
      <c r="A11910" t="str">
        <f>TEST_DATA!A11910</f>
        <v>27AAAAA11910Z5</v>
      </c>
      <c r="B11910" t="str">
        <f>TEST_DATA!B11910</f>
        <v>Jan-2018</v>
      </c>
      <c r="C11910">
        <f>TEST_DATA!C11910</f>
        <v>44137</v>
      </c>
      <c r="D11910" t="str">
        <f>TEST_DATA!D11910</f>
        <v>NON-NIL</v>
      </c>
      <c r="E11910">
        <f>TEST_DATA!E11910</f>
        <v>632</v>
      </c>
    </row>
    <row r="11911" spans="1:5" x14ac:dyDescent="0.55000000000000004">
      <c r="A11911" t="str">
        <f>TEST_DATA!A11911</f>
        <v>27AAAAA11911Z5</v>
      </c>
      <c r="B11911" t="str">
        <f>TEST_DATA!B11911</f>
        <v>Dec-2022</v>
      </c>
      <c r="C11911">
        <f>TEST_DATA!C11911</f>
        <v>45768</v>
      </c>
      <c r="D11911" t="str">
        <f>TEST_DATA!D11911</f>
        <v>NON-NIL</v>
      </c>
      <c r="E11911">
        <f>TEST_DATA!E11911</f>
        <v>2148</v>
      </c>
    </row>
    <row r="11912" spans="1:5" x14ac:dyDescent="0.55000000000000004">
      <c r="A11912" t="str">
        <f>TEST_DATA!A11912</f>
        <v>27AAAAA11912Z5</v>
      </c>
      <c r="B11912" t="str">
        <f>TEST_DATA!B11912</f>
        <v>Jul-2017</v>
      </c>
      <c r="C11912">
        <f>TEST_DATA!C11912</f>
        <v>43308</v>
      </c>
      <c r="D11912" t="str">
        <f>TEST_DATA!D11912</f>
        <v>NIL</v>
      </c>
      <c r="E11912">
        <f>TEST_DATA!E11912</f>
        <v>107</v>
      </c>
    </row>
    <row r="11913" spans="1:5" x14ac:dyDescent="0.55000000000000004">
      <c r="A11913" t="str">
        <f>TEST_DATA!A11913</f>
        <v>27AAAAA11913Z5</v>
      </c>
      <c r="B11913" t="str">
        <f>TEST_DATA!B11913</f>
        <v>Jun-2019</v>
      </c>
      <c r="C11913">
        <f>TEST_DATA!C11913</f>
        <v>45148</v>
      </c>
      <c r="D11913" t="str">
        <f>TEST_DATA!D11913</f>
        <v>NON-NIL</v>
      </c>
      <c r="E11913">
        <f>TEST_DATA!E11913</f>
        <v>393</v>
      </c>
    </row>
    <row r="11914" spans="1:5" x14ac:dyDescent="0.55000000000000004">
      <c r="A11914" t="str">
        <f>TEST_DATA!A11914</f>
        <v>27AAAAA11914Z5</v>
      </c>
      <c r="B11914" t="str">
        <f>TEST_DATA!B11914</f>
        <v>Apr-2018</v>
      </c>
      <c r="C11914">
        <f>TEST_DATA!C11914</f>
        <v>44056</v>
      </c>
      <c r="D11914" t="str">
        <f>TEST_DATA!D11914</f>
        <v>NON-NIL</v>
      </c>
      <c r="E11914">
        <f>TEST_DATA!E11914</f>
        <v>2684</v>
      </c>
    </row>
    <row r="11915" spans="1:5" x14ac:dyDescent="0.55000000000000004">
      <c r="A11915" t="str">
        <f>TEST_DATA!A11915</f>
        <v>27AAAAA11915Z5</v>
      </c>
      <c r="B11915" t="str">
        <f>TEST_DATA!B11915</f>
        <v>Feb-2018</v>
      </c>
      <c r="C11915">
        <f>TEST_DATA!C11915</f>
        <v>43179</v>
      </c>
      <c r="D11915" t="str">
        <f>TEST_DATA!D11915</f>
        <v>NIL</v>
      </c>
      <c r="E11915">
        <f>TEST_DATA!E11915</f>
        <v>2110</v>
      </c>
    </row>
    <row r="11916" spans="1:5" x14ac:dyDescent="0.55000000000000004">
      <c r="A11916" t="str">
        <f>TEST_DATA!A11916</f>
        <v>27AAAAA11916Z5</v>
      </c>
      <c r="B11916" t="str">
        <f>TEST_DATA!B11916</f>
        <v>May-2018</v>
      </c>
      <c r="C11916">
        <f>TEST_DATA!C11916</f>
        <v>42958</v>
      </c>
      <c r="D11916" t="str">
        <f>TEST_DATA!D11916</f>
        <v>NON-NIL</v>
      </c>
      <c r="E11916">
        <f>TEST_DATA!E11916</f>
        <v>234</v>
      </c>
    </row>
    <row r="11917" spans="1:5" x14ac:dyDescent="0.55000000000000004">
      <c r="A11917" t="str">
        <f>TEST_DATA!A11917</f>
        <v>27AAAAA11917Z5</v>
      </c>
      <c r="B11917" t="str">
        <f>TEST_DATA!B11917</f>
        <v>Mar-2021</v>
      </c>
      <c r="C11917">
        <f>TEST_DATA!C11917</f>
        <v>44581</v>
      </c>
      <c r="D11917" t="str">
        <f>TEST_DATA!D11917</f>
        <v>NON-NIL</v>
      </c>
      <c r="E11917">
        <f>TEST_DATA!E11917</f>
        <v>2706</v>
      </c>
    </row>
    <row r="11918" spans="1:5" x14ac:dyDescent="0.55000000000000004">
      <c r="A11918" t="str">
        <f>TEST_DATA!A11918</f>
        <v>27AAAAA11918Z5</v>
      </c>
      <c r="B11918" t="str">
        <f>TEST_DATA!B11918</f>
        <v>Oct-2017</v>
      </c>
      <c r="C11918">
        <f>TEST_DATA!C11918</f>
        <v>43602</v>
      </c>
      <c r="D11918" t="str">
        <f>TEST_DATA!D11918</f>
        <v>NIL</v>
      </c>
      <c r="E11918">
        <f>TEST_DATA!E11918</f>
        <v>1290</v>
      </c>
    </row>
    <row r="11919" spans="1:5" x14ac:dyDescent="0.55000000000000004">
      <c r="A11919" t="str">
        <f>TEST_DATA!A11919</f>
        <v>27AAAAA11919Z5</v>
      </c>
      <c r="B11919" t="str">
        <f>TEST_DATA!B11919</f>
        <v>Oct-2017</v>
      </c>
      <c r="C11919">
        <f>TEST_DATA!C11919</f>
        <v>44057</v>
      </c>
      <c r="D11919" t="str">
        <f>TEST_DATA!D11919</f>
        <v>NIL</v>
      </c>
      <c r="E11919">
        <f>TEST_DATA!E11919</f>
        <v>865</v>
      </c>
    </row>
    <row r="11920" spans="1:5" x14ac:dyDescent="0.55000000000000004">
      <c r="A11920" t="str">
        <f>TEST_DATA!A11920</f>
        <v>27AAAAA11920Z5</v>
      </c>
      <c r="B11920" t="str">
        <f>TEST_DATA!B11920</f>
        <v>Sep-2018</v>
      </c>
      <c r="C11920">
        <f>TEST_DATA!C11920</f>
        <v>43916</v>
      </c>
      <c r="D11920" t="str">
        <f>TEST_DATA!D11920</f>
        <v>NIL</v>
      </c>
      <c r="E11920">
        <f>TEST_DATA!E11920</f>
        <v>429</v>
      </c>
    </row>
    <row r="11921" spans="1:5" x14ac:dyDescent="0.55000000000000004">
      <c r="A11921" t="str">
        <f>TEST_DATA!A11921</f>
        <v>27AAAAA11921Z5</v>
      </c>
      <c r="B11921" t="str">
        <f>TEST_DATA!B11921</f>
        <v>Aug-2017</v>
      </c>
      <c r="C11921">
        <f>TEST_DATA!C11921</f>
        <v>44175</v>
      </c>
      <c r="D11921" t="str">
        <f>TEST_DATA!D11921</f>
        <v>NIL</v>
      </c>
      <c r="E11921">
        <f>TEST_DATA!E11921</f>
        <v>1979</v>
      </c>
    </row>
    <row r="11922" spans="1:5" x14ac:dyDescent="0.55000000000000004">
      <c r="A11922" t="str">
        <f>TEST_DATA!A11922</f>
        <v>27AAAAA11922Z5</v>
      </c>
      <c r="B11922" t="str">
        <f>TEST_DATA!B11922</f>
        <v>Mar-2018</v>
      </c>
      <c r="C11922">
        <f>TEST_DATA!C11922</f>
        <v>43508</v>
      </c>
      <c r="D11922" t="str">
        <f>TEST_DATA!D11922</f>
        <v>NON-NIL</v>
      </c>
      <c r="E11922">
        <f>TEST_DATA!E11922</f>
        <v>1927</v>
      </c>
    </row>
    <row r="11923" spans="1:5" x14ac:dyDescent="0.55000000000000004">
      <c r="A11923" t="str">
        <f>TEST_DATA!A11923</f>
        <v>27AAAAA11923Z5</v>
      </c>
      <c r="B11923" t="str">
        <f>TEST_DATA!B11923</f>
        <v>Mar-2020</v>
      </c>
      <c r="C11923">
        <f>TEST_DATA!C11923</f>
        <v>44305</v>
      </c>
      <c r="D11923" t="str">
        <f>TEST_DATA!D11923</f>
        <v>NIL</v>
      </c>
      <c r="E11923">
        <f>TEST_DATA!E11923</f>
        <v>2833</v>
      </c>
    </row>
    <row r="11924" spans="1:5" x14ac:dyDescent="0.55000000000000004">
      <c r="A11924" t="str">
        <f>TEST_DATA!A11924</f>
        <v>27AAAAA11924Z5</v>
      </c>
      <c r="B11924" t="str">
        <f>TEST_DATA!B11924</f>
        <v>Sep-2017</v>
      </c>
      <c r="C11924">
        <f>TEST_DATA!C11924</f>
        <v>43882</v>
      </c>
      <c r="D11924" t="str">
        <f>TEST_DATA!D11924</f>
        <v>NIL</v>
      </c>
      <c r="E11924">
        <f>TEST_DATA!E11924</f>
        <v>1984</v>
      </c>
    </row>
    <row r="11925" spans="1:5" x14ac:dyDescent="0.55000000000000004">
      <c r="A11925" t="str">
        <f>TEST_DATA!A11925</f>
        <v>27AAAAA11925Z5</v>
      </c>
      <c r="B11925" t="str">
        <f>TEST_DATA!B11925</f>
        <v>Mar-2018</v>
      </c>
      <c r="C11925">
        <f>TEST_DATA!C11925</f>
        <v>44379</v>
      </c>
      <c r="D11925" t="str">
        <f>TEST_DATA!D11925</f>
        <v>NIL</v>
      </c>
      <c r="E11925">
        <f>TEST_DATA!E11925</f>
        <v>121</v>
      </c>
    </row>
    <row r="11926" spans="1:5" x14ac:dyDescent="0.55000000000000004">
      <c r="A11926" t="str">
        <f>TEST_DATA!A11926</f>
        <v>27AAAAA11926Z5</v>
      </c>
      <c r="B11926" t="str">
        <f>TEST_DATA!B11926</f>
        <v>Jan-2018</v>
      </c>
      <c r="C11926">
        <f>TEST_DATA!C11926</f>
        <v>44371</v>
      </c>
      <c r="D11926" t="str">
        <f>TEST_DATA!D11926</f>
        <v>NON-NIL</v>
      </c>
      <c r="E11926">
        <f>TEST_DATA!E11926</f>
        <v>1460</v>
      </c>
    </row>
    <row r="11927" spans="1:5" x14ac:dyDescent="0.55000000000000004">
      <c r="A11927" t="str">
        <f>TEST_DATA!A11927</f>
        <v>27AAAAA11927Z5</v>
      </c>
      <c r="B11927" t="str">
        <f>TEST_DATA!B11927</f>
        <v>Jul-2018</v>
      </c>
      <c r="C11927">
        <f>TEST_DATA!C11927</f>
        <v>43998</v>
      </c>
      <c r="D11927" t="str">
        <f>TEST_DATA!D11927</f>
        <v>NON-NIL</v>
      </c>
      <c r="E11927">
        <f>TEST_DATA!E11927</f>
        <v>2170</v>
      </c>
    </row>
    <row r="11928" spans="1:5" x14ac:dyDescent="0.55000000000000004">
      <c r="A11928" t="str">
        <f>TEST_DATA!A11928</f>
        <v>27AAAAA11928Z5</v>
      </c>
      <c r="B11928" t="str">
        <f>TEST_DATA!B11928</f>
        <v>Jul-2018</v>
      </c>
      <c r="C11928">
        <f>TEST_DATA!C11928</f>
        <v>43591</v>
      </c>
      <c r="D11928" t="str">
        <f>TEST_DATA!D11928</f>
        <v>NON-NIL</v>
      </c>
      <c r="E11928">
        <f>TEST_DATA!E11928</f>
        <v>852</v>
      </c>
    </row>
    <row r="11929" spans="1:5" x14ac:dyDescent="0.55000000000000004">
      <c r="A11929" t="str">
        <f>TEST_DATA!A11929</f>
        <v>27AAAAA11929Z5</v>
      </c>
      <c r="B11929" t="str">
        <f>TEST_DATA!B11929</f>
        <v>Jan-2019</v>
      </c>
      <c r="C11929">
        <f>TEST_DATA!C11929</f>
        <v>44669</v>
      </c>
      <c r="D11929" t="str">
        <f>TEST_DATA!D11929</f>
        <v>NON-NIL</v>
      </c>
      <c r="E11929">
        <f>TEST_DATA!E11929</f>
        <v>2452</v>
      </c>
    </row>
    <row r="11930" spans="1:5" x14ac:dyDescent="0.55000000000000004">
      <c r="A11930" t="str">
        <f>TEST_DATA!A11930</f>
        <v>27AAAAA11930Z5</v>
      </c>
      <c r="B11930" t="str">
        <f>TEST_DATA!B11930</f>
        <v>Jul-2018</v>
      </c>
      <c r="C11930">
        <f>TEST_DATA!C11930</f>
        <v>43746</v>
      </c>
      <c r="D11930" t="str">
        <f>TEST_DATA!D11930</f>
        <v>NON-NIL</v>
      </c>
      <c r="E11930">
        <f>TEST_DATA!E11930</f>
        <v>20</v>
      </c>
    </row>
    <row r="11931" spans="1:5" x14ac:dyDescent="0.55000000000000004">
      <c r="A11931" t="str">
        <f>TEST_DATA!A11931</f>
        <v>27AAAAA11931Z5</v>
      </c>
      <c r="B11931" t="str">
        <f>TEST_DATA!B11931</f>
        <v>Sep-2018</v>
      </c>
      <c r="C11931">
        <f>TEST_DATA!C11931</f>
        <v>43193</v>
      </c>
      <c r="D11931" t="str">
        <f>TEST_DATA!D11931</f>
        <v>NIL</v>
      </c>
      <c r="E11931">
        <f>TEST_DATA!E11931</f>
        <v>1612</v>
      </c>
    </row>
    <row r="11932" spans="1:5" x14ac:dyDescent="0.55000000000000004">
      <c r="A11932" t="str">
        <f>TEST_DATA!A11932</f>
        <v>27AAAAA11932Z5</v>
      </c>
      <c r="B11932" t="str">
        <f>TEST_DATA!B11932</f>
        <v>Jul-2018</v>
      </c>
      <c r="C11932">
        <f>TEST_DATA!C11932</f>
        <v>44411</v>
      </c>
      <c r="D11932" t="str">
        <f>TEST_DATA!D11932</f>
        <v>NIL</v>
      </c>
      <c r="E11932">
        <f>TEST_DATA!E11932</f>
        <v>1196</v>
      </c>
    </row>
    <row r="11933" spans="1:5" x14ac:dyDescent="0.55000000000000004">
      <c r="A11933" t="str">
        <f>TEST_DATA!A11933</f>
        <v>27AAAAA11933Z5</v>
      </c>
      <c r="B11933" t="str">
        <f>TEST_DATA!B11933</f>
        <v>Mar-2023</v>
      </c>
      <c r="C11933">
        <f>TEST_DATA!C11933</f>
        <v>45390</v>
      </c>
      <c r="D11933" t="str">
        <f>TEST_DATA!D11933</f>
        <v>NON-NIL</v>
      </c>
      <c r="E11933">
        <f>TEST_DATA!E11933</f>
        <v>424</v>
      </c>
    </row>
    <row r="11934" spans="1:5" x14ac:dyDescent="0.55000000000000004">
      <c r="A11934" t="str">
        <f>TEST_DATA!A11934</f>
        <v>27AAAAA11934Z5</v>
      </c>
      <c r="B11934" t="str">
        <f>TEST_DATA!B11934</f>
        <v>Nov-2017</v>
      </c>
      <c r="C11934">
        <f>TEST_DATA!C11934</f>
        <v>42930</v>
      </c>
      <c r="D11934" t="str">
        <f>TEST_DATA!D11934</f>
        <v>NIL</v>
      </c>
      <c r="E11934">
        <f>TEST_DATA!E11934</f>
        <v>2225</v>
      </c>
    </row>
    <row r="11935" spans="1:5" x14ac:dyDescent="0.55000000000000004">
      <c r="A11935" t="str">
        <f>TEST_DATA!A11935</f>
        <v>27AAAAA11935Z5</v>
      </c>
      <c r="B11935" t="str">
        <f>TEST_DATA!B11935</f>
        <v>Jul-2017</v>
      </c>
      <c r="C11935">
        <f>TEST_DATA!C11935</f>
        <v>43312</v>
      </c>
      <c r="D11935" t="str">
        <f>TEST_DATA!D11935</f>
        <v>NON-NIL</v>
      </c>
      <c r="E11935">
        <f>TEST_DATA!E11935</f>
        <v>2116</v>
      </c>
    </row>
    <row r="11936" spans="1:5" x14ac:dyDescent="0.55000000000000004">
      <c r="A11936" t="str">
        <f>TEST_DATA!A11936</f>
        <v>27AAAAA11936Z5</v>
      </c>
      <c r="B11936" t="str">
        <f>TEST_DATA!B11936</f>
        <v>Apr-2020</v>
      </c>
      <c r="C11936">
        <f>TEST_DATA!C11936</f>
        <v>44262</v>
      </c>
      <c r="D11936" t="str">
        <f>TEST_DATA!D11936</f>
        <v>NIL</v>
      </c>
      <c r="E11936">
        <f>TEST_DATA!E11936</f>
        <v>1456</v>
      </c>
    </row>
    <row r="11937" spans="1:5" x14ac:dyDescent="0.55000000000000004">
      <c r="A11937" t="str">
        <f>TEST_DATA!A11937</f>
        <v>27AAAAA11937Z5</v>
      </c>
      <c r="B11937" t="str">
        <f>TEST_DATA!B11937</f>
        <v>Dec-2022</v>
      </c>
      <c r="C11937">
        <f>TEST_DATA!C11937</f>
        <v>44009</v>
      </c>
      <c r="D11937" t="str">
        <f>TEST_DATA!D11937</f>
        <v>NON-NIL</v>
      </c>
      <c r="E11937">
        <f>TEST_DATA!E11937</f>
        <v>19</v>
      </c>
    </row>
    <row r="11938" spans="1:5" x14ac:dyDescent="0.55000000000000004">
      <c r="A11938" t="str">
        <f>TEST_DATA!A11938</f>
        <v>27AAAAA11938Z5</v>
      </c>
      <c r="B11938" t="str">
        <f>TEST_DATA!B11938</f>
        <v>Apr-2018</v>
      </c>
      <c r="C11938">
        <f>TEST_DATA!C11938</f>
        <v>43359</v>
      </c>
      <c r="D11938" t="str">
        <f>TEST_DATA!D11938</f>
        <v>NIL</v>
      </c>
      <c r="E11938">
        <f>TEST_DATA!E11938</f>
        <v>1495</v>
      </c>
    </row>
    <row r="11939" spans="1:5" x14ac:dyDescent="0.55000000000000004">
      <c r="A11939" t="str">
        <f>TEST_DATA!A11939</f>
        <v>27AAAAA11939Z5</v>
      </c>
      <c r="B11939" t="str">
        <f>TEST_DATA!B11939</f>
        <v>Oct-2017</v>
      </c>
      <c r="C11939">
        <f>TEST_DATA!C11939</f>
        <v>43740</v>
      </c>
      <c r="D11939" t="str">
        <f>TEST_DATA!D11939</f>
        <v>NIL</v>
      </c>
      <c r="E11939">
        <f>TEST_DATA!E11939</f>
        <v>560</v>
      </c>
    </row>
    <row r="11940" spans="1:5" x14ac:dyDescent="0.55000000000000004">
      <c r="A11940" t="str">
        <f>TEST_DATA!A11940</f>
        <v>27AAAAA11940Z5</v>
      </c>
      <c r="B11940" t="str">
        <f>TEST_DATA!B11940</f>
        <v>Jul-2018</v>
      </c>
      <c r="C11940">
        <f>TEST_DATA!C11940</f>
        <v>44161</v>
      </c>
      <c r="D11940" t="str">
        <f>TEST_DATA!D11940</f>
        <v>NON-NIL</v>
      </c>
      <c r="E11940">
        <f>TEST_DATA!E11940</f>
        <v>1978</v>
      </c>
    </row>
    <row r="11941" spans="1:5" x14ac:dyDescent="0.55000000000000004">
      <c r="A11941" t="str">
        <f>TEST_DATA!A11941</f>
        <v>27AAAAA11941Z5</v>
      </c>
      <c r="B11941" t="str">
        <f>TEST_DATA!B11941</f>
        <v>Sep-2018</v>
      </c>
      <c r="C11941">
        <f>TEST_DATA!C11941</f>
        <v>43681</v>
      </c>
      <c r="D11941" t="str">
        <f>TEST_DATA!D11941</f>
        <v>NIL</v>
      </c>
      <c r="E11941">
        <f>TEST_DATA!E11941</f>
        <v>2825</v>
      </c>
    </row>
    <row r="11942" spans="1:5" x14ac:dyDescent="0.55000000000000004">
      <c r="A11942" t="str">
        <f>TEST_DATA!A11942</f>
        <v>27AAAAA11942Z5</v>
      </c>
      <c r="B11942" t="str">
        <f>TEST_DATA!B11942</f>
        <v>Aug-2018</v>
      </c>
      <c r="C11942">
        <f>TEST_DATA!C11942</f>
        <v>43774</v>
      </c>
      <c r="D11942" t="str">
        <f>TEST_DATA!D11942</f>
        <v>NON-NIL</v>
      </c>
      <c r="E11942">
        <f>TEST_DATA!E11942</f>
        <v>2289</v>
      </c>
    </row>
    <row r="11943" spans="1:5" x14ac:dyDescent="0.55000000000000004">
      <c r="A11943" t="str">
        <f>TEST_DATA!A11943</f>
        <v>27AAAAA11943Z5</v>
      </c>
      <c r="B11943" t="str">
        <f>TEST_DATA!B11943</f>
        <v>Aug-2017</v>
      </c>
      <c r="C11943">
        <f>TEST_DATA!C11943</f>
        <v>43361</v>
      </c>
      <c r="D11943" t="str">
        <f>TEST_DATA!D11943</f>
        <v>NIL</v>
      </c>
      <c r="E11943">
        <f>TEST_DATA!E11943</f>
        <v>1750</v>
      </c>
    </row>
    <row r="11944" spans="1:5" x14ac:dyDescent="0.55000000000000004">
      <c r="A11944" t="str">
        <f>TEST_DATA!A11944</f>
        <v>27AAAAA11944Z5</v>
      </c>
      <c r="B11944" t="str">
        <f>TEST_DATA!B11944</f>
        <v>Jan-2018</v>
      </c>
      <c r="C11944">
        <f>TEST_DATA!C11944</f>
        <v>43736</v>
      </c>
      <c r="D11944" t="str">
        <f>TEST_DATA!D11944</f>
        <v>NON-NIL</v>
      </c>
      <c r="E11944">
        <f>TEST_DATA!E11944</f>
        <v>2143</v>
      </c>
    </row>
    <row r="11945" spans="1:5" x14ac:dyDescent="0.55000000000000004">
      <c r="A11945" t="str">
        <f>TEST_DATA!A11945</f>
        <v>27AAAAA11945Z5</v>
      </c>
      <c r="B11945" t="str">
        <f>TEST_DATA!B11945</f>
        <v>Sep-2017</v>
      </c>
      <c r="C11945">
        <f>TEST_DATA!C11945</f>
        <v>43858</v>
      </c>
      <c r="D11945" t="str">
        <f>TEST_DATA!D11945</f>
        <v>NON-NIL</v>
      </c>
      <c r="E11945">
        <f>TEST_DATA!E11945</f>
        <v>612</v>
      </c>
    </row>
    <row r="11946" spans="1:5" x14ac:dyDescent="0.55000000000000004">
      <c r="A11946" t="str">
        <f>TEST_DATA!A11946</f>
        <v>27AAAAA11946Z5</v>
      </c>
      <c r="B11946" t="str">
        <f>TEST_DATA!B11946</f>
        <v>Mar-2018</v>
      </c>
      <c r="C11946">
        <f>TEST_DATA!C11946</f>
        <v>44243</v>
      </c>
      <c r="D11946" t="str">
        <f>TEST_DATA!D11946</f>
        <v>NIL</v>
      </c>
      <c r="E11946">
        <f>TEST_DATA!E11946</f>
        <v>1017</v>
      </c>
    </row>
    <row r="11947" spans="1:5" x14ac:dyDescent="0.55000000000000004">
      <c r="A11947" t="str">
        <f>TEST_DATA!A11947</f>
        <v>27AAAAA11947Z5</v>
      </c>
      <c r="B11947" t="str">
        <f>TEST_DATA!B11947</f>
        <v>May-2018</v>
      </c>
      <c r="C11947">
        <f>TEST_DATA!C11947</f>
        <v>43416</v>
      </c>
      <c r="D11947" t="str">
        <f>TEST_DATA!D11947</f>
        <v>NON-NIL</v>
      </c>
      <c r="E11947">
        <f>TEST_DATA!E11947</f>
        <v>1578</v>
      </c>
    </row>
    <row r="11948" spans="1:5" x14ac:dyDescent="0.55000000000000004">
      <c r="A11948" t="str">
        <f>TEST_DATA!A11948</f>
        <v>27AAAAA11948Z5</v>
      </c>
      <c r="B11948" t="str">
        <f>TEST_DATA!B11948</f>
        <v>Dec-2024</v>
      </c>
      <c r="C11948">
        <f>TEST_DATA!C11948</f>
        <v>44562</v>
      </c>
      <c r="D11948" t="str">
        <f>TEST_DATA!D11948</f>
        <v>NIL</v>
      </c>
      <c r="E11948">
        <f>TEST_DATA!E11948</f>
        <v>2497</v>
      </c>
    </row>
    <row r="11949" spans="1:5" x14ac:dyDescent="0.55000000000000004">
      <c r="A11949" t="str">
        <f>TEST_DATA!A11949</f>
        <v>27AAAAA11949Z5</v>
      </c>
      <c r="B11949" t="str">
        <f>TEST_DATA!B11949</f>
        <v>Dec-2022</v>
      </c>
      <c r="C11949">
        <f>TEST_DATA!C11949</f>
        <v>45576</v>
      </c>
      <c r="D11949" t="str">
        <f>TEST_DATA!D11949</f>
        <v>NIL</v>
      </c>
      <c r="E11949">
        <f>TEST_DATA!E11949</f>
        <v>2511</v>
      </c>
    </row>
    <row r="11950" spans="1:5" x14ac:dyDescent="0.55000000000000004">
      <c r="A11950" t="str">
        <f>TEST_DATA!A11950</f>
        <v>27AAAAA11950Z5</v>
      </c>
      <c r="B11950" t="str">
        <f>TEST_DATA!B11950</f>
        <v>Feb-2018</v>
      </c>
      <c r="C11950">
        <f>TEST_DATA!C11950</f>
        <v>42940</v>
      </c>
      <c r="D11950" t="str">
        <f>TEST_DATA!D11950</f>
        <v>NIL</v>
      </c>
      <c r="E11950">
        <f>TEST_DATA!E11950</f>
        <v>2556</v>
      </c>
    </row>
    <row r="11951" spans="1:5" x14ac:dyDescent="0.55000000000000004">
      <c r="A11951" t="str">
        <f>TEST_DATA!A11951</f>
        <v>27AAAAA11951Z5</v>
      </c>
      <c r="B11951" t="str">
        <f>TEST_DATA!B11951</f>
        <v>Mar-2021</v>
      </c>
      <c r="C11951">
        <f>TEST_DATA!C11951</f>
        <v>44931</v>
      </c>
      <c r="D11951" t="str">
        <f>TEST_DATA!D11951</f>
        <v>NIL</v>
      </c>
      <c r="E11951">
        <f>TEST_DATA!E11951</f>
        <v>2455</v>
      </c>
    </row>
    <row r="11952" spans="1:5" x14ac:dyDescent="0.55000000000000004">
      <c r="A11952" t="str">
        <f>TEST_DATA!A11952</f>
        <v>27AAAAA11952Z5</v>
      </c>
      <c r="B11952" t="str">
        <f>TEST_DATA!B11952</f>
        <v>Jun-2018</v>
      </c>
      <c r="C11952">
        <f>TEST_DATA!C11952</f>
        <v>43194</v>
      </c>
      <c r="D11952" t="str">
        <f>TEST_DATA!D11952</f>
        <v>NON-NIL</v>
      </c>
      <c r="E11952">
        <f>TEST_DATA!E11952</f>
        <v>171</v>
      </c>
    </row>
    <row r="11953" spans="1:5" x14ac:dyDescent="0.55000000000000004">
      <c r="A11953" t="str">
        <f>TEST_DATA!A11953</f>
        <v>27AAAAA11953Z5</v>
      </c>
      <c r="B11953" t="str">
        <f>TEST_DATA!B11953</f>
        <v>Jun-2019</v>
      </c>
      <c r="C11953">
        <f>TEST_DATA!C11953</f>
        <v>45666</v>
      </c>
      <c r="D11953" t="str">
        <f>TEST_DATA!D11953</f>
        <v>NON-NIL</v>
      </c>
      <c r="E11953">
        <f>TEST_DATA!E11953</f>
        <v>770</v>
      </c>
    </row>
    <row r="11954" spans="1:5" x14ac:dyDescent="0.55000000000000004">
      <c r="A11954" t="str">
        <f>TEST_DATA!A11954</f>
        <v>27AAAAA11954Z5</v>
      </c>
      <c r="B11954" t="str">
        <f>TEST_DATA!B11954</f>
        <v>Dec-2017</v>
      </c>
      <c r="C11954">
        <f>TEST_DATA!C11954</f>
        <v>44145</v>
      </c>
      <c r="D11954" t="str">
        <f>TEST_DATA!D11954</f>
        <v>NON-NIL</v>
      </c>
      <c r="E11954">
        <f>TEST_DATA!E11954</f>
        <v>969</v>
      </c>
    </row>
    <row r="11955" spans="1:5" x14ac:dyDescent="0.55000000000000004">
      <c r="A11955" t="str">
        <f>TEST_DATA!A11955</f>
        <v>27AAAAA11955Z5</v>
      </c>
      <c r="B11955" t="str">
        <f>TEST_DATA!B11955</f>
        <v>Apr-2018</v>
      </c>
      <c r="C11955">
        <f>TEST_DATA!C11955</f>
        <v>44360</v>
      </c>
      <c r="D11955" t="str">
        <f>TEST_DATA!D11955</f>
        <v>NIL</v>
      </c>
      <c r="E11955">
        <f>TEST_DATA!E11955</f>
        <v>380</v>
      </c>
    </row>
    <row r="11956" spans="1:5" x14ac:dyDescent="0.55000000000000004">
      <c r="A11956" t="str">
        <f>TEST_DATA!A11956</f>
        <v>27AAAAA11956Z5</v>
      </c>
      <c r="B11956" t="str">
        <f>TEST_DATA!B11956</f>
        <v>Sep-2017</v>
      </c>
      <c r="C11956">
        <f>TEST_DATA!C11956</f>
        <v>43437</v>
      </c>
      <c r="D11956" t="str">
        <f>TEST_DATA!D11956</f>
        <v>NON-NIL</v>
      </c>
      <c r="E11956">
        <f>TEST_DATA!E11956</f>
        <v>2948</v>
      </c>
    </row>
    <row r="11957" spans="1:5" x14ac:dyDescent="0.55000000000000004">
      <c r="A11957" t="str">
        <f>TEST_DATA!A11957</f>
        <v>27AAAAA11957Z5</v>
      </c>
      <c r="B11957" t="str">
        <f>TEST_DATA!B11957</f>
        <v>Apr-2018</v>
      </c>
      <c r="C11957">
        <f>TEST_DATA!C11957</f>
        <v>43849</v>
      </c>
      <c r="D11957" t="str">
        <f>TEST_DATA!D11957</f>
        <v>NON-NIL</v>
      </c>
      <c r="E11957">
        <f>TEST_DATA!E11957</f>
        <v>1115</v>
      </c>
    </row>
    <row r="11958" spans="1:5" x14ac:dyDescent="0.55000000000000004">
      <c r="A11958" t="str">
        <f>TEST_DATA!A11958</f>
        <v>27AAAAA11958Z5</v>
      </c>
      <c r="B11958" t="str">
        <f>TEST_DATA!B11958</f>
        <v>Jan-2021</v>
      </c>
      <c r="C11958">
        <f>TEST_DATA!C11958</f>
        <v>45470</v>
      </c>
      <c r="D11958" t="str">
        <f>TEST_DATA!D11958</f>
        <v>NIL</v>
      </c>
      <c r="E11958">
        <f>TEST_DATA!E11958</f>
        <v>2752</v>
      </c>
    </row>
    <row r="11959" spans="1:5" x14ac:dyDescent="0.55000000000000004">
      <c r="A11959" t="str">
        <f>TEST_DATA!A11959</f>
        <v>27AAAAA11959Z5</v>
      </c>
      <c r="B11959" t="str">
        <f>TEST_DATA!B11959</f>
        <v>Mar-2023</v>
      </c>
      <c r="C11959">
        <f>TEST_DATA!C11959</f>
        <v>45307</v>
      </c>
      <c r="D11959" t="str">
        <f>TEST_DATA!D11959</f>
        <v>NON-NIL</v>
      </c>
      <c r="E11959">
        <f>TEST_DATA!E11959</f>
        <v>151</v>
      </c>
    </row>
    <row r="11960" spans="1:5" x14ac:dyDescent="0.55000000000000004">
      <c r="A11960" t="str">
        <f>TEST_DATA!A11960</f>
        <v>27AAAAA11960Z5</v>
      </c>
      <c r="B11960" t="str">
        <f>TEST_DATA!B11960</f>
        <v>Mar-2018</v>
      </c>
      <c r="C11960">
        <f>TEST_DATA!C11960</f>
        <v>44475</v>
      </c>
      <c r="D11960" t="str">
        <f>TEST_DATA!D11960</f>
        <v>NIL</v>
      </c>
      <c r="E11960">
        <f>TEST_DATA!E11960</f>
        <v>2358</v>
      </c>
    </row>
    <row r="11961" spans="1:5" x14ac:dyDescent="0.55000000000000004">
      <c r="A11961" t="str">
        <f>TEST_DATA!A11961</f>
        <v>27AAAAA11961Z5</v>
      </c>
      <c r="B11961" t="str">
        <f>TEST_DATA!B11961</f>
        <v>Aug-2018</v>
      </c>
      <c r="C11961">
        <f>TEST_DATA!C11961</f>
        <v>43856</v>
      </c>
      <c r="D11961" t="str">
        <f>TEST_DATA!D11961</f>
        <v>NIL</v>
      </c>
      <c r="E11961">
        <f>TEST_DATA!E11961</f>
        <v>2470</v>
      </c>
    </row>
    <row r="11962" spans="1:5" x14ac:dyDescent="0.55000000000000004">
      <c r="A11962" t="str">
        <f>TEST_DATA!A11962</f>
        <v>27AAAAA11962Z5</v>
      </c>
      <c r="B11962" t="str">
        <f>TEST_DATA!B11962</f>
        <v>Apr-2018</v>
      </c>
      <c r="C11962">
        <f>TEST_DATA!C11962</f>
        <v>43663</v>
      </c>
      <c r="D11962" t="str">
        <f>TEST_DATA!D11962</f>
        <v>NON-NIL</v>
      </c>
      <c r="E11962">
        <f>TEST_DATA!E11962</f>
        <v>1377</v>
      </c>
    </row>
    <row r="11963" spans="1:5" x14ac:dyDescent="0.55000000000000004">
      <c r="A11963" t="str">
        <f>TEST_DATA!A11963</f>
        <v>27AAAAA11963Z5</v>
      </c>
      <c r="B11963" t="str">
        <f>TEST_DATA!B11963</f>
        <v>Mar-2020</v>
      </c>
      <c r="C11963">
        <f>TEST_DATA!C11963</f>
        <v>44812</v>
      </c>
      <c r="D11963" t="str">
        <f>TEST_DATA!D11963</f>
        <v>NON-NIL</v>
      </c>
      <c r="E11963">
        <f>TEST_DATA!E11963</f>
        <v>954</v>
      </c>
    </row>
    <row r="11964" spans="1:5" x14ac:dyDescent="0.55000000000000004">
      <c r="A11964" t="str">
        <f>TEST_DATA!A11964</f>
        <v>27AAAAA11964Z5</v>
      </c>
      <c r="B11964" t="str">
        <f>TEST_DATA!B11964</f>
        <v>Apr-2020</v>
      </c>
      <c r="C11964">
        <f>TEST_DATA!C11964</f>
        <v>44619</v>
      </c>
      <c r="D11964" t="str">
        <f>TEST_DATA!D11964</f>
        <v>NIL</v>
      </c>
      <c r="E11964">
        <f>TEST_DATA!E11964</f>
        <v>128</v>
      </c>
    </row>
    <row r="11965" spans="1:5" x14ac:dyDescent="0.55000000000000004">
      <c r="A11965" t="str">
        <f>TEST_DATA!A11965</f>
        <v>27AAAAA11965Z5</v>
      </c>
      <c r="B11965" t="str">
        <f>TEST_DATA!B11965</f>
        <v>Jun-2020</v>
      </c>
      <c r="C11965">
        <f>TEST_DATA!C11965</f>
        <v>44241</v>
      </c>
      <c r="D11965" t="str">
        <f>TEST_DATA!D11965</f>
        <v>NON-NIL</v>
      </c>
      <c r="E11965">
        <f>TEST_DATA!E11965</f>
        <v>86</v>
      </c>
    </row>
    <row r="11966" spans="1:5" x14ac:dyDescent="0.55000000000000004">
      <c r="A11966" t="str">
        <f>TEST_DATA!A11966</f>
        <v>27AAAAA11966Z5</v>
      </c>
      <c r="B11966" t="str">
        <f>TEST_DATA!B11966</f>
        <v>May-2018</v>
      </c>
      <c r="C11966">
        <f>TEST_DATA!C11966</f>
        <v>43879</v>
      </c>
      <c r="D11966" t="str">
        <f>TEST_DATA!D11966</f>
        <v>NIL</v>
      </c>
      <c r="E11966">
        <f>TEST_DATA!E11966</f>
        <v>1644</v>
      </c>
    </row>
    <row r="11967" spans="1:5" x14ac:dyDescent="0.55000000000000004">
      <c r="A11967" t="str">
        <f>TEST_DATA!A11967</f>
        <v>27AAAAA11967Z5</v>
      </c>
      <c r="B11967" t="str">
        <f>TEST_DATA!B11967</f>
        <v>Dec-2019</v>
      </c>
      <c r="C11967">
        <f>TEST_DATA!C11967</f>
        <v>43861</v>
      </c>
      <c r="D11967" t="str">
        <f>TEST_DATA!D11967</f>
        <v>NIL</v>
      </c>
      <c r="E11967">
        <f>TEST_DATA!E11967</f>
        <v>2125</v>
      </c>
    </row>
    <row r="11968" spans="1:5" x14ac:dyDescent="0.55000000000000004">
      <c r="A11968" t="str">
        <f>TEST_DATA!A11968</f>
        <v>27AAAAA11968Z5</v>
      </c>
      <c r="B11968" t="str">
        <f>TEST_DATA!B11968</f>
        <v>Mar-2023</v>
      </c>
      <c r="C11968">
        <f>TEST_DATA!C11968</f>
        <v>43548</v>
      </c>
      <c r="D11968" t="str">
        <f>TEST_DATA!D11968</f>
        <v>NON-NIL</v>
      </c>
      <c r="E11968">
        <f>TEST_DATA!E11968</f>
        <v>448</v>
      </c>
    </row>
    <row r="11969" spans="1:5" x14ac:dyDescent="0.55000000000000004">
      <c r="A11969" t="str">
        <f>TEST_DATA!A11969</f>
        <v>27AAAAA11969Z5</v>
      </c>
      <c r="B11969" t="str">
        <f>TEST_DATA!B11969</f>
        <v>Jul-2020</v>
      </c>
      <c r="C11969">
        <f>TEST_DATA!C11969</f>
        <v>44848</v>
      </c>
      <c r="D11969" t="str">
        <f>TEST_DATA!D11969</f>
        <v>NON-NIL</v>
      </c>
      <c r="E11969">
        <f>TEST_DATA!E11969</f>
        <v>1758</v>
      </c>
    </row>
    <row r="11970" spans="1:5" x14ac:dyDescent="0.55000000000000004">
      <c r="A11970" t="str">
        <f>TEST_DATA!A11970</f>
        <v>27AAAAA11970Z5</v>
      </c>
      <c r="B11970" t="str">
        <f>TEST_DATA!B11970</f>
        <v>Apr-2020</v>
      </c>
      <c r="C11970">
        <f>TEST_DATA!C11970</f>
        <v>44400</v>
      </c>
      <c r="D11970" t="str">
        <f>TEST_DATA!D11970</f>
        <v>NIL</v>
      </c>
      <c r="E11970">
        <f>TEST_DATA!E11970</f>
        <v>129</v>
      </c>
    </row>
    <row r="11971" spans="1:5" x14ac:dyDescent="0.55000000000000004">
      <c r="A11971" t="str">
        <f>TEST_DATA!A11971</f>
        <v>27AAAAA11971Z5</v>
      </c>
      <c r="B11971" t="str">
        <f>TEST_DATA!B11971</f>
        <v>Jan-2019</v>
      </c>
      <c r="C11971">
        <f>TEST_DATA!C11971</f>
        <v>44127</v>
      </c>
      <c r="D11971" t="str">
        <f>TEST_DATA!D11971</f>
        <v>NIL</v>
      </c>
      <c r="E11971">
        <f>TEST_DATA!E11971</f>
        <v>2804</v>
      </c>
    </row>
    <row r="11972" spans="1:5" x14ac:dyDescent="0.55000000000000004">
      <c r="A11972" t="str">
        <f>TEST_DATA!A11972</f>
        <v>27AAAAA11972Z5</v>
      </c>
      <c r="B11972" t="str">
        <f>TEST_DATA!B11972</f>
        <v>Jun-2019</v>
      </c>
      <c r="C11972">
        <f>TEST_DATA!C11972</f>
        <v>45539</v>
      </c>
      <c r="D11972" t="str">
        <f>TEST_DATA!D11972</f>
        <v>NON-NIL</v>
      </c>
      <c r="E11972">
        <f>TEST_DATA!E11972</f>
        <v>2710</v>
      </c>
    </row>
    <row r="11973" spans="1:5" x14ac:dyDescent="0.55000000000000004">
      <c r="A11973" t="str">
        <f>TEST_DATA!A11973</f>
        <v>27AAAAA11973Z5</v>
      </c>
      <c r="B11973" t="str">
        <f>TEST_DATA!B11973</f>
        <v>Sep-2018</v>
      </c>
      <c r="C11973">
        <f>TEST_DATA!C11973</f>
        <v>44559</v>
      </c>
      <c r="D11973" t="str">
        <f>TEST_DATA!D11973</f>
        <v>NIL</v>
      </c>
      <c r="E11973">
        <f>TEST_DATA!E11973</f>
        <v>2774</v>
      </c>
    </row>
    <row r="11974" spans="1:5" x14ac:dyDescent="0.55000000000000004">
      <c r="A11974" t="str">
        <f>TEST_DATA!A11974</f>
        <v>27AAAAA11974Z5</v>
      </c>
      <c r="B11974" t="str">
        <f>TEST_DATA!B11974</f>
        <v>Jan-2021</v>
      </c>
      <c r="C11974">
        <f>TEST_DATA!C11974</f>
        <v>45204</v>
      </c>
      <c r="D11974" t="str">
        <f>TEST_DATA!D11974</f>
        <v>NIL</v>
      </c>
      <c r="E11974">
        <f>TEST_DATA!E11974</f>
        <v>1585</v>
      </c>
    </row>
    <row r="11975" spans="1:5" x14ac:dyDescent="0.55000000000000004">
      <c r="A11975" t="str">
        <f>TEST_DATA!A11975</f>
        <v>27AAAAA11975Z5</v>
      </c>
      <c r="B11975" t="str">
        <f>TEST_DATA!B11975</f>
        <v>May-2018</v>
      </c>
      <c r="C11975">
        <f>TEST_DATA!C11975</f>
        <v>43953</v>
      </c>
      <c r="D11975" t="str">
        <f>TEST_DATA!D11975</f>
        <v>NON-NIL</v>
      </c>
      <c r="E11975">
        <f>TEST_DATA!E11975</f>
        <v>741</v>
      </c>
    </row>
    <row r="11976" spans="1:5" x14ac:dyDescent="0.55000000000000004">
      <c r="A11976" t="str">
        <f>TEST_DATA!A11976</f>
        <v>27AAAAA11976Z5</v>
      </c>
      <c r="B11976" t="str">
        <f>TEST_DATA!B11976</f>
        <v>Feb-2018</v>
      </c>
      <c r="C11976">
        <f>TEST_DATA!C11976</f>
        <v>43757</v>
      </c>
      <c r="D11976" t="str">
        <f>TEST_DATA!D11976</f>
        <v>NIL</v>
      </c>
      <c r="E11976">
        <f>TEST_DATA!E11976</f>
        <v>1262</v>
      </c>
    </row>
    <row r="11977" spans="1:5" x14ac:dyDescent="0.55000000000000004">
      <c r="A11977" t="str">
        <f>TEST_DATA!A11977</f>
        <v>27AAAAA11977Z5</v>
      </c>
      <c r="B11977" t="str">
        <f>TEST_DATA!B11977</f>
        <v>Mar-2021</v>
      </c>
      <c r="C11977">
        <f>TEST_DATA!C11977</f>
        <v>43753</v>
      </c>
      <c r="D11977" t="str">
        <f>TEST_DATA!D11977</f>
        <v>NIL</v>
      </c>
      <c r="E11977">
        <f>TEST_DATA!E11977</f>
        <v>131</v>
      </c>
    </row>
    <row r="11978" spans="1:5" x14ac:dyDescent="0.55000000000000004">
      <c r="A11978" t="str">
        <f>TEST_DATA!A11978</f>
        <v>27AAAAA11978Z5</v>
      </c>
      <c r="B11978" t="str">
        <f>TEST_DATA!B11978</f>
        <v>Mar-2018</v>
      </c>
      <c r="C11978">
        <f>TEST_DATA!C11978</f>
        <v>44018</v>
      </c>
      <c r="D11978" t="str">
        <f>TEST_DATA!D11978</f>
        <v>NON-NIL</v>
      </c>
      <c r="E11978">
        <f>TEST_DATA!E11978</f>
        <v>1800</v>
      </c>
    </row>
    <row r="11979" spans="1:5" x14ac:dyDescent="0.55000000000000004">
      <c r="A11979" t="str">
        <f>TEST_DATA!A11979</f>
        <v>27AAAAA11979Z5</v>
      </c>
      <c r="B11979" t="str">
        <f>TEST_DATA!B11979</f>
        <v>Dec-2019</v>
      </c>
      <c r="C11979">
        <f>TEST_DATA!C11979</f>
        <v>45184</v>
      </c>
      <c r="D11979" t="str">
        <f>TEST_DATA!D11979</f>
        <v>NON-NIL</v>
      </c>
      <c r="E11979">
        <f>TEST_DATA!E11979</f>
        <v>452</v>
      </c>
    </row>
    <row r="11980" spans="1:5" x14ac:dyDescent="0.55000000000000004">
      <c r="A11980" t="str">
        <f>TEST_DATA!A11980</f>
        <v>27AAAAA11980Z5</v>
      </c>
      <c r="B11980" t="str">
        <f>TEST_DATA!B11980</f>
        <v>Nov-2017</v>
      </c>
      <c r="C11980">
        <f>TEST_DATA!C11980</f>
        <v>43705</v>
      </c>
      <c r="D11980" t="str">
        <f>TEST_DATA!D11980</f>
        <v>NON-NIL</v>
      </c>
      <c r="E11980">
        <f>TEST_DATA!E11980</f>
        <v>1954</v>
      </c>
    </row>
    <row r="11981" spans="1:5" x14ac:dyDescent="0.55000000000000004">
      <c r="A11981" t="str">
        <f>TEST_DATA!A11981</f>
        <v>27AAAAA11981Z5</v>
      </c>
      <c r="B11981" t="str">
        <f>TEST_DATA!B11981</f>
        <v>Jul-2020</v>
      </c>
      <c r="C11981">
        <f>TEST_DATA!C11981</f>
        <v>44158</v>
      </c>
      <c r="D11981" t="str">
        <f>TEST_DATA!D11981</f>
        <v>NIL</v>
      </c>
      <c r="E11981">
        <f>TEST_DATA!E11981</f>
        <v>2266</v>
      </c>
    </row>
    <row r="11982" spans="1:5" x14ac:dyDescent="0.55000000000000004">
      <c r="A11982" t="str">
        <f>TEST_DATA!A11982</f>
        <v>27AAAAA11982Z5</v>
      </c>
      <c r="B11982" t="str">
        <f>TEST_DATA!B11982</f>
        <v>Nov-2017</v>
      </c>
      <c r="C11982">
        <f>TEST_DATA!C11982</f>
        <v>44494</v>
      </c>
      <c r="D11982" t="str">
        <f>TEST_DATA!D11982</f>
        <v>NIL</v>
      </c>
      <c r="E11982">
        <f>TEST_DATA!E11982</f>
        <v>680</v>
      </c>
    </row>
    <row r="11983" spans="1:5" x14ac:dyDescent="0.55000000000000004">
      <c r="A11983" t="str">
        <f>TEST_DATA!A11983</f>
        <v>27AAAAA11983Z5</v>
      </c>
      <c r="B11983" t="str">
        <f>TEST_DATA!B11983</f>
        <v>Mar-2023</v>
      </c>
      <c r="C11983">
        <f>TEST_DATA!C11983</f>
        <v>45475</v>
      </c>
      <c r="D11983" t="str">
        <f>TEST_DATA!D11983</f>
        <v>NON-NIL</v>
      </c>
      <c r="E11983">
        <f>TEST_DATA!E11983</f>
        <v>2656</v>
      </c>
    </row>
    <row r="11984" spans="1:5" x14ac:dyDescent="0.55000000000000004">
      <c r="A11984" t="str">
        <f>TEST_DATA!A11984</f>
        <v>27AAAAA11984Z5</v>
      </c>
      <c r="B11984" t="str">
        <f>TEST_DATA!B11984</f>
        <v>Dec-2017</v>
      </c>
      <c r="C11984">
        <f>TEST_DATA!C11984</f>
        <v>43445</v>
      </c>
      <c r="D11984" t="str">
        <f>TEST_DATA!D11984</f>
        <v>NIL</v>
      </c>
      <c r="E11984">
        <f>TEST_DATA!E11984</f>
        <v>2558</v>
      </c>
    </row>
    <row r="11985" spans="1:5" x14ac:dyDescent="0.55000000000000004">
      <c r="A11985" t="str">
        <f>TEST_DATA!A11985</f>
        <v>27AAAAA11985Z5</v>
      </c>
      <c r="B11985" t="str">
        <f>TEST_DATA!B11985</f>
        <v>Dec-2024</v>
      </c>
      <c r="C11985">
        <f>TEST_DATA!C11985</f>
        <v>45122</v>
      </c>
      <c r="D11985" t="str">
        <f>TEST_DATA!D11985</f>
        <v>NIL</v>
      </c>
      <c r="E11985">
        <f>TEST_DATA!E11985</f>
        <v>2613</v>
      </c>
    </row>
    <row r="11986" spans="1:5" x14ac:dyDescent="0.55000000000000004">
      <c r="A11986" t="str">
        <f>TEST_DATA!A11986</f>
        <v>27AAAAA11986Z5</v>
      </c>
      <c r="B11986" t="str">
        <f>TEST_DATA!B11986</f>
        <v>Jun-2019</v>
      </c>
      <c r="C11986">
        <f>TEST_DATA!C11986</f>
        <v>44662</v>
      </c>
      <c r="D11986" t="str">
        <f>TEST_DATA!D11986</f>
        <v>NIL</v>
      </c>
      <c r="E11986">
        <f>TEST_DATA!E11986</f>
        <v>2945</v>
      </c>
    </row>
    <row r="11987" spans="1:5" x14ac:dyDescent="0.55000000000000004">
      <c r="A11987" t="str">
        <f>TEST_DATA!A11987</f>
        <v>27AAAAA11987Z5</v>
      </c>
      <c r="B11987" t="str">
        <f>TEST_DATA!B11987</f>
        <v>Jul-2020</v>
      </c>
      <c r="C11987">
        <f>TEST_DATA!C11987</f>
        <v>44543</v>
      </c>
      <c r="D11987" t="str">
        <f>TEST_DATA!D11987</f>
        <v>NON-NIL</v>
      </c>
      <c r="E11987">
        <f>TEST_DATA!E11987</f>
        <v>1506</v>
      </c>
    </row>
    <row r="11988" spans="1:5" x14ac:dyDescent="0.55000000000000004">
      <c r="A11988" t="str">
        <f>TEST_DATA!A11988</f>
        <v>27AAAAA11988Z5</v>
      </c>
      <c r="B11988" t="str">
        <f>TEST_DATA!B11988</f>
        <v>Jan-2018</v>
      </c>
      <c r="C11988">
        <f>TEST_DATA!C11988</f>
        <v>43869</v>
      </c>
      <c r="D11988" t="str">
        <f>TEST_DATA!D11988</f>
        <v>NIL</v>
      </c>
      <c r="E11988">
        <f>TEST_DATA!E11988</f>
        <v>252</v>
      </c>
    </row>
    <row r="11989" spans="1:5" x14ac:dyDescent="0.55000000000000004">
      <c r="A11989" t="str">
        <f>TEST_DATA!A11989</f>
        <v>27AAAAA11989Z5</v>
      </c>
      <c r="B11989" t="str">
        <f>TEST_DATA!B11989</f>
        <v>Jul-2020</v>
      </c>
      <c r="C11989">
        <f>TEST_DATA!C11989</f>
        <v>44400</v>
      </c>
      <c r="D11989" t="str">
        <f>TEST_DATA!D11989</f>
        <v>NIL</v>
      </c>
      <c r="E11989">
        <f>TEST_DATA!E11989</f>
        <v>1866</v>
      </c>
    </row>
    <row r="11990" spans="1:5" x14ac:dyDescent="0.55000000000000004">
      <c r="A11990" t="str">
        <f>TEST_DATA!A11990</f>
        <v>27AAAAA11990Z5</v>
      </c>
      <c r="B11990" t="str">
        <f>TEST_DATA!B11990</f>
        <v>Dec-2024</v>
      </c>
      <c r="C11990">
        <f>TEST_DATA!C11990</f>
        <v>45171</v>
      </c>
      <c r="D11990" t="str">
        <f>TEST_DATA!D11990</f>
        <v>NIL</v>
      </c>
      <c r="E11990">
        <f>TEST_DATA!E11990</f>
        <v>507</v>
      </c>
    </row>
    <row r="11991" spans="1:5" x14ac:dyDescent="0.55000000000000004">
      <c r="A11991" t="str">
        <f>TEST_DATA!A11991</f>
        <v>27AAAAA11991Z5</v>
      </c>
      <c r="B11991" t="str">
        <f>TEST_DATA!B11991</f>
        <v>Jun-2019</v>
      </c>
      <c r="C11991">
        <f>TEST_DATA!C11991</f>
        <v>44780</v>
      </c>
      <c r="D11991" t="str">
        <f>TEST_DATA!D11991</f>
        <v>NON-NIL</v>
      </c>
      <c r="E11991">
        <f>TEST_DATA!E11991</f>
        <v>2316</v>
      </c>
    </row>
    <row r="11992" spans="1:5" x14ac:dyDescent="0.55000000000000004">
      <c r="A11992" t="str">
        <f>TEST_DATA!A11992</f>
        <v>27AAAAA11992Z5</v>
      </c>
      <c r="B11992" t="str">
        <f>TEST_DATA!B11992</f>
        <v>Jul-2018</v>
      </c>
      <c r="C11992">
        <f>TEST_DATA!C11992</f>
        <v>43928</v>
      </c>
      <c r="D11992" t="str">
        <f>TEST_DATA!D11992</f>
        <v>NIL</v>
      </c>
      <c r="E11992">
        <f>TEST_DATA!E11992</f>
        <v>2019</v>
      </c>
    </row>
    <row r="11993" spans="1:5" x14ac:dyDescent="0.55000000000000004">
      <c r="A11993" t="str">
        <f>TEST_DATA!A11993</f>
        <v>27AAAAA11993Z5</v>
      </c>
      <c r="B11993" t="str">
        <f>TEST_DATA!B11993</f>
        <v>Dec-2022</v>
      </c>
      <c r="C11993">
        <f>TEST_DATA!C11993</f>
        <v>43970</v>
      </c>
      <c r="D11993" t="str">
        <f>TEST_DATA!D11993</f>
        <v>NON-NIL</v>
      </c>
      <c r="E11993">
        <f>TEST_DATA!E11993</f>
        <v>2548</v>
      </c>
    </row>
    <row r="11994" spans="1:5" x14ac:dyDescent="0.55000000000000004">
      <c r="A11994" t="str">
        <f>TEST_DATA!A11994</f>
        <v>27AAAAA11994Z5</v>
      </c>
      <c r="B11994" t="str">
        <f>TEST_DATA!B11994</f>
        <v>Dec-2022</v>
      </c>
      <c r="C11994">
        <f>TEST_DATA!C11994</f>
        <v>44512</v>
      </c>
      <c r="D11994" t="str">
        <f>TEST_DATA!D11994</f>
        <v>NON-NIL</v>
      </c>
      <c r="E11994">
        <f>TEST_DATA!E11994</f>
        <v>2242</v>
      </c>
    </row>
    <row r="11995" spans="1:5" x14ac:dyDescent="0.55000000000000004">
      <c r="A11995" t="str">
        <f>TEST_DATA!A11995</f>
        <v>27AAAAA11995Z5</v>
      </c>
      <c r="B11995" t="str">
        <f>TEST_DATA!B11995</f>
        <v>Jul-2020</v>
      </c>
      <c r="C11995">
        <f>TEST_DATA!C11995</f>
        <v>44026</v>
      </c>
      <c r="D11995" t="str">
        <f>TEST_DATA!D11995</f>
        <v>NON-NIL</v>
      </c>
      <c r="E11995">
        <f>TEST_DATA!E11995</f>
        <v>1251</v>
      </c>
    </row>
    <row r="11996" spans="1:5" x14ac:dyDescent="0.55000000000000004">
      <c r="A11996" t="str">
        <f>TEST_DATA!A11996</f>
        <v>27AAAAA11996Z5</v>
      </c>
      <c r="B11996" t="str">
        <f>TEST_DATA!B11996</f>
        <v>Jul-2017</v>
      </c>
      <c r="C11996">
        <f>TEST_DATA!C11996</f>
        <v>42926</v>
      </c>
      <c r="D11996" t="str">
        <f>TEST_DATA!D11996</f>
        <v>NIL</v>
      </c>
      <c r="E11996">
        <f>TEST_DATA!E11996</f>
        <v>1113</v>
      </c>
    </row>
    <row r="11997" spans="1:5" x14ac:dyDescent="0.55000000000000004">
      <c r="A11997" t="str">
        <f>TEST_DATA!A11997</f>
        <v>27AAAAA11997Z5</v>
      </c>
      <c r="B11997" t="str">
        <f>TEST_DATA!B11997</f>
        <v>Aug-2017</v>
      </c>
      <c r="C11997">
        <f>TEST_DATA!C11997</f>
        <v>44523</v>
      </c>
      <c r="D11997" t="str">
        <f>TEST_DATA!D11997</f>
        <v>NON-NIL</v>
      </c>
      <c r="E11997">
        <f>TEST_DATA!E11997</f>
        <v>1513</v>
      </c>
    </row>
    <row r="11998" spans="1:5" x14ac:dyDescent="0.55000000000000004">
      <c r="A11998" t="str">
        <f>TEST_DATA!A11998</f>
        <v>27AAAAA11998Z5</v>
      </c>
      <c r="B11998" t="str">
        <f>TEST_DATA!B11998</f>
        <v>Aug-2018</v>
      </c>
      <c r="C11998">
        <f>TEST_DATA!C11998</f>
        <v>43009</v>
      </c>
      <c r="D11998" t="str">
        <f>TEST_DATA!D11998</f>
        <v>NIL</v>
      </c>
      <c r="E11998">
        <f>TEST_DATA!E11998</f>
        <v>976</v>
      </c>
    </row>
    <row r="11999" spans="1:5" x14ac:dyDescent="0.55000000000000004">
      <c r="A11999" t="str">
        <f>TEST_DATA!A11999</f>
        <v>27AAAAA11999Z5</v>
      </c>
      <c r="B11999" t="str">
        <f>TEST_DATA!B11999</f>
        <v>Mar-2021</v>
      </c>
      <c r="C11999">
        <f>TEST_DATA!C11999</f>
        <v>43969</v>
      </c>
      <c r="D11999" t="str">
        <f>TEST_DATA!D11999</f>
        <v>NIL</v>
      </c>
      <c r="E11999">
        <f>TEST_DATA!E11999</f>
        <v>2976</v>
      </c>
    </row>
    <row r="12000" spans="1:5" x14ac:dyDescent="0.55000000000000004">
      <c r="A12000" t="str">
        <f>TEST_DATA!A12000</f>
        <v>27AAAAA12000Z5</v>
      </c>
      <c r="B12000" t="str">
        <f>TEST_DATA!B12000</f>
        <v>Aug-2018</v>
      </c>
      <c r="C12000">
        <f>TEST_DATA!C12000</f>
        <v>43556</v>
      </c>
      <c r="D12000" t="str">
        <f>TEST_DATA!D12000</f>
        <v>NIL</v>
      </c>
      <c r="E12000">
        <f>TEST_DATA!E12000</f>
        <v>1820</v>
      </c>
    </row>
    <row r="12001" spans="1:5" x14ac:dyDescent="0.55000000000000004">
      <c r="A12001" t="str">
        <f>TEST_DATA!A12001</f>
        <v>27AAAAA12001Z5</v>
      </c>
      <c r="B12001" t="str">
        <f>TEST_DATA!B12001</f>
        <v>Mar-2021</v>
      </c>
      <c r="C12001">
        <f>TEST_DATA!C12001</f>
        <v>45457</v>
      </c>
      <c r="D12001" t="str">
        <f>TEST_DATA!D12001</f>
        <v>NIL</v>
      </c>
      <c r="E12001">
        <f>TEST_DATA!E12001</f>
        <v>2393</v>
      </c>
    </row>
    <row r="12002" spans="1:5" x14ac:dyDescent="0.55000000000000004">
      <c r="A12002" t="str">
        <f>TEST_DATA!A12002</f>
        <v>27AAAAA12002Z5</v>
      </c>
      <c r="B12002" t="str">
        <f>TEST_DATA!B12002</f>
        <v>Aug-2018</v>
      </c>
      <c r="C12002">
        <f>TEST_DATA!C12002</f>
        <v>43990</v>
      </c>
      <c r="D12002" t="str">
        <f>TEST_DATA!D12002</f>
        <v>NIL</v>
      </c>
      <c r="E12002">
        <f>TEST_DATA!E12002</f>
        <v>722</v>
      </c>
    </row>
    <row r="12003" spans="1:5" x14ac:dyDescent="0.55000000000000004">
      <c r="A12003" t="str">
        <f>TEST_DATA!A12003</f>
        <v>27AAAAA12003Z5</v>
      </c>
      <c r="B12003" t="str">
        <f>TEST_DATA!B12003</f>
        <v>Jan-2021</v>
      </c>
      <c r="C12003">
        <f>TEST_DATA!C12003</f>
        <v>45767</v>
      </c>
      <c r="D12003" t="str">
        <f>TEST_DATA!D12003</f>
        <v>NON-NIL</v>
      </c>
      <c r="E12003">
        <f>TEST_DATA!E12003</f>
        <v>1251</v>
      </c>
    </row>
    <row r="12004" spans="1:5" x14ac:dyDescent="0.55000000000000004">
      <c r="A12004" t="str">
        <f>TEST_DATA!A12004</f>
        <v>27AAAAA12004Z5</v>
      </c>
      <c r="B12004" t="str">
        <f>TEST_DATA!B12004</f>
        <v>Nov-2017</v>
      </c>
      <c r="C12004">
        <f>TEST_DATA!C12004</f>
        <v>43845</v>
      </c>
      <c r="D12004" t="str">
        <f>TEST_DATA!D12004</f>
        <v>NIL</v>
      </c>
      <c r="E12004">
        <f>TEST_DATA!E12004</f>
        <v>1095</v>
      </c>
    </row>
    <row r="12005" spans="1:5" x14ac:dyDescent="0.55000000000000004">
      <c r="A12005" t="str">
        <f>TEST_DATA!A12005</f>
        <v>27AAAAA12005Z5</v>
      </c>
      <c r="B12005" t="str">
        <f>TEST_DATA!B12005</f>
        <v>Mar-2018</v>
      </c>
      <c r="C12005">
        <f>TEST_DATA!C12005</f>
        <v>44122</v>
      </c>
      <c r="D12005" t="str">
        <f>TEST_DATA!D12005</f>
        <v>NON-NIL</v>
      </c>
      <c r="E12005">
        <f>TEST_DATA!E12005</f>
        <v>2358</v>
      </c>
    </row>
    <row r="12006" spans="1:5" x14ac:dyDescent="0.55000000000000004">
      <c r="A12006" t="str">
        <f>TEST_DATA!A12006</f>
        <v>27AAAAA12006Z5</v>
      </c>
      <c r="B12006" t="str">
        <f>TEST_DATA!B12006</f>
        <v>Dec-2022</v>
      </c>
      <c r="C12006">
        <f>TEST_DATA!C12006</f>
        <v>44077</v>
      </c>
      <c r="D12006" t="str">
        <f>TEST_DATA!D12006</f>
        <v>NON-NIL</v>
      </c>
      <c r="E12006">
        <f>TEST_DATA!E12006</f>
        <v>470</v>
      </c>
    </row>
    <row r="12007" spans="1:5" x14ac:dyDescent="0.55000000000000004">
      <c r="A12007" t="str">
        <f>TEST_DATA!A12007</f>
        <v>27AAAAA12007Z5</v>
      </c>
      <c r="B12007" t="str">
        <f>TEST_DATA!B12007</f>
        <v>Apr-2021</v>
      </c>
      <c r="C12007">
        <f>TEST_DATA!C12007</f>
        <v>45433</v>
      </c>
      <c r="D12007" t="str">
        <f>TEST_DATA!D12007</f>
        <v>NIL</v>
      </c>
      <c r="E12007">
        <f>TEST_DATA!E12007</f>
        <v>1683</v>
      </c>
    </row>
    <row r="12008" spans="1:5" x14ac:dyDescent="0.55000000000000004">
      <c r="A12008" t="str">
        <f>TEST_DATA!A12008</f>
        <v>27AAAAA12008Z5</v>
      </c>
      <c r="B12008" t="str">
        <f>TEST_DATA!B12008</f>
        <v>Aug-2018</v>
      </c>
      <c r="C12008">
        <f>TEST_DATA!C12008</f>
        <v>44209</v>
      </c>
      <c r="D12008" t="str">
        <f>TEST_DATA!D12008</f>
        <v>NON-NIL</v>
      </c>
      <c r="E12008">
        <f>TEST_DATA!E12008</f>
        <v>1129</v>
      </c>
    </row>
    <row r="12009" spans="1:5" x14ac:dyDescent="0.55000000000000004">
      <c r="A12009" t="str">
        <f>TEST_DATA!A12009</f>
        <v>27AAAAA12009Z5</v>
      </c>
      <c r="B12009" t="str">
        <f>TEST_DATA!B12009</f>
        <v>Sep-2018</v>
      </c>
      <c r="C12009">
        <f>TEST_DATA!C12009</f>
        <v>44417</v>
      </c>
      <c r="D12009" t="str">
        <f>TEST_DATA!D12009</f>
        <v>NON-NIL</v>
      </c>
      <c r="E12009">
        <f>TEST_DATA!E12009</f>
        <v>2083</v>
      </c>
    </row>
    <row r="12010" spans="1:5" x14ac:dyDescent="0.55000000000000004">
      <c r="A12010" t="str">
        <f>TEST_DATA!A12010</f>
        <v>27AAAAA12010Z5</v>
      </c>
      <c r="B12010" t="str">
        <f>TEST_DATA!B12010</f>
        <v>Dec-2024</v>
      </c>
      <c r="C12010">
        <f>TEST_DATA!C12010</f>
        <v>45356</v>
      </c>
      <c r="D12010" t="str">
        <f>TEST_DATA!D12010</f>
        <v>NIL</v>
      </c>
      <c r="E12010">
        <f>TEST_DATA!E12010</f>
        <v>2731</v>
      </c>
    </row>
    <row r="12011" spans="1:5" x14ac:dyDescent="0.55000000000000004">
      <c r="A12011" t="str">
        <f>TEST_DATA!A12011</f>
        <v>27AAAAA12011Z5</v>
      </c>
      <c r="B12011" t="str">
        <f>TEST_DATA!B12011</f>
        <v>Jan-2019</v>
      </c>
      <c r="C12011">
        <f>TEST_DATA!C12011</f>
        <v>43740</v>
      </c>
      <c r="D12011" t="str">
        <f>TEST_DATA!D12011</f>
        <v>NIL</v>
      </c>
      <c r="E12011">
        <f>TEST_DATA!E12011</f>
        <v>2870</v>
      </c>
    </row>
    <row r="12012" spans="1:5" x14ac:dyDescent="0.55000000000000004">
      <c r="A12012" t="str">
        <f>TEST_DATA!A12012</f>
        <v>27AAAAA12012Z5</v>
      </c>
      <c r="B12012" t="str">
        <f>TEST_DATA!B12012</f>
        <v>May-2018</v>
      </c>
      <c r="C12012">
        <f>TEST_DATA!C12012</f>
        <v>43301</v>
      </c>
      <c r="D12012" t="str">
        <f>TEST_DATA!D12012</f>
        <v>NIL</v>
      </c>
      <c r="E12012">
        <f>TEST_DATA!E12012</f>
        <v>1452</v>
      </c>
    </row>
    <row r="12013" spans="1:5" x14ac:dyDescent="0.55000000000000004">
      <c r="A12013" t="str">
        <f>TEST_DATA!A12013</f>
        <v>27AAAAA12013Z5</v>
      </c>
      <c r="B12013" t="str">
        <f>TEST_DATA!B12013</f>
        <v>May-2020</v>
      </c>
      <c r="C12013">
        <f>TEST_DATA!C12013</f>
        <v>43943</v>
      </c>
      <c r="D12013" t="str">
        <f>TEST_DATA!D12013</f>
        <v>NON-NIL</v>
      </c>
      <c r="E12013">
        <f>TEST_DATA!E12013</f>
        <v>2839</v>
      </c>
    </row>
    <row r="12014" spans="1:5" x14ac:dyDescent="0.55000000000000004">
      <c r="A12014" t="str">
        <f>TEST_DATA!A12014</f>
        <v>27AAAAA12014Z5</v>
      </c>
      <c r="B12014" t="str">
        <f>TEST_DATA!B12014</f>
        <v>Apr-2021</v>
      </c>
      <c r="C12014">
        <f>TEST_DATA!C12014</f>
        <v>45495</v>
      </c>
      <c r="D12014" t="str">
        <f>TEST_DATA!D12014</f>
        <v>NON-NIL</v>
      </c>
      <c r="E12014">
        <f>TEST_DATA!E12014</f>
        <v>493</v>
      </c>
    </row>
    <row r="12015" spans="1:5" x14ac:dyDescent="0.55000000000000004">
      <c r="A12015" t="str">
        <f>TEST_DATA!A12015</f>
        <v>27AAAAA12015Z5</v>
      </c>
      <c r="B12015" t="str">
        <f>TEST_DATA!B12015</f>
        <v>Dec-2019</v>
      </c>
      <c r="C12015">
        <f>TEST_DATA!C12015</f>
        <v>44792</v>
      </c>
      <c r="D12015" t="str">
        <f>TEST_DATA!D12015</f>
        <v>NIL</v>
      </c>
      <c r="E12015">
        <f>TEST_DATA!E12015</f>
        <v>2927</v>
      </c>
    </row>
    <row r="12016" spans="1:5" x14ac:dyDescent="0.55000000000000004">
      <c r="A12016" t="str">
        <f>TEST_DATA!A12016</f>
        <v>27AAAAA12016Z5</v>
      </c>
      <c r="B12016" t="str">
        <f>TEST_DATA!B12016</f>
        <v>Jul-2018</v>
      </c>
      <c r="C12016">
        <f>TEST_DATA!C12016</f>
        <v>42921</v>
      </c>
      <c r="D12016" t="str">
        <f>TEST_DATA!D12016</f>
        <v>NIL</v>
      </c>
      <c r="E12016">
        <f>TEST_DATA!E12016</f>
        <v>1947</v>
      </c>
    </row>
    <row r="12017" spans="1:5" x14ac:dyDescent="0.55000000000000004">
      <c r="A12017" t="str">
        <f>TEST_DATA!A12017</f>
        <v>27AAAAA12017Z5</v>
      </c>
      <c r="B12017" t="str">
        <f>TEST_DATA!B12017</f>
        <v>Apr-2018</v>
      </c>
      <c r="C12017">
        <f>TEST_DATA!C12017</f>
        <v>43376</v>
      </c>
      <c r="D12017" t="str">
        <f>TEST_DATA!D12017</f>
        <v>NIL</v>
      </c>
      <c r="E12017">
        <f>TEST_DATA!E12017</f>
        <v>1053</v>
      </c>
    </row>
    <row r="12018" spans="1:5" x14ac:dyDescent="0.55000000000000004">
      <c r="A12018" t="str">
        <f>TEST_DATA!A12018</f>
        <v>27AAAAA12018Z5</v>
      </c>
      <c r="B12018" t="str">
        <f>TEST_DATA!B12018</f>
        <v>Aug-2017</v>
      </c>
      <c r="C12018">
        <f>TEST_DATA!C12018</f>
        <v>43240</v>
      </c>
      <c r="D12018" t="str">
        <f>TEST_DATA!D12018</f>
        <v>NON-NIL</v>
      </c>
      <c r="E12018">
        <f>TEST_DATA!E12018</f>
        <v>1544</v>
      </c>
    </row>
    <row r="12019" spans="1:5" x14ac:dyDescent="0.55000000000000004">
      <c r="A12019" t="str">
        <f>TEST_DATA!A12019</f>
        <v>27AAAAA12019Z5</v>
      </c>
      <c r="B12019" t="str">
        <f>TEST_DATA!B12019</f>
        <v>Apr-2021</v>
      </c>
      <c r="C12019">
        <f>TEST_DATA!C12019</f>
        <v>43707</v>
      </c>
      <c r="D12019" t="str">
        <f>TEST_DATA!D12019</f>
        <v>NIL</v>
      </c>
      <c r="E12019">
        <f>TEST_DATA!E12019</f>
        <v>1202</v>
      </c>
    </row>
    <row r="12020" spans="1:5" x14ac:dyDescent="0.55000000000000004">
      <c r="A12020" t="str">
        <f>TEST_DATA!A12020</f>
        <v>27AAAAA12020Z5</v>
      </c>
      <c r="B12020" t="str">
        <f>TEST_DATA!B12020</f>
        <v>Oct-2017</v>
      </c>
      <c r="C12020">
        <f>TEST_DATA!C12020</f>
        <v>43328</v>
      </c>
      <c r="D12020" t="str">
        <f>TEST_DATA!D12020</f>
        <v>NIL</v>
      </c>
      <c r="E12020">
        <f>TEST_DATA!E12020</f>
        <v>1675</v>
      </c>
    </row>
    <row r="12021" spans="1:5" x14ac:dyDescent="0.55000000000000004">
      <c r="A12021" t="str">
        <f>TEST_DATA!A12021</f>
        <v>27AAAAA12021Z5</v>
      </c>
      <c r="B12021" t="str">
        <f>TEST_DATA!B12021</f>
        <v>Jun-2020</v>
      </c>
      <c r="C12021">
        <f>TEST_DATA!C12021</f>
        <v>44643</v>
      </c>
      <c r="D12021" t="str">
        <f>TEST_DATA!D12021</f>
        <v>NON-NIL</v>
      </c>
      <c r="E12021">
        <f>TEST_DATA!E12021</f>
        <v>1904</v>
      </c>
    </row>
    <row r="12022" spans="1:5" x14ac:dyDescent="0.55000000000000004">
      <c r="A12022" t="str">
        <f>TEST_DATA!A12022</f>
        <v>27AAAAA12022Z5</v>
      </c>
      <c r="B12022" t="str">
        <f>TEST_DATA!B12022</f>
        <v>Jun-2018</v>
      </c>
      <c r="C12022">
        <f>TEST_DATA!C12022</f>
        <v>43219</v>
      </c>
      <c r="D12022" t="str">
        <f>TEST_DATA!D12022</f>
        <v>NON-NIL</v>
      </c>
      <c r="E12022">
        <f>TEST_DATA!E12022</f>
        <v>2</v>
      </c>
    </row>
    <row r="12023" spans="1:5" x14ac:dyDescent="0.55000000000000004">
      <c r="A12023" t="str">
        <f>TEST_DATA!A12023</f>
        <v>27AAAAA12023Z5</v>
      </c>
      <c r="B12023" t="str">
        <f>TEST_DATA!B12023</f>
        <v>Sep-2018</v>
      </c>
      <c r="C12023">
        <f>TEST_DATA!C12023</f>
        <v>43143</v>
      </c>
      <c r="D12023" t="str">
        <f>TEST_DATA!D12023</f>
        <v>NIL</v>
      </c>
      <c r="E12023">
        <f>TEST_DATA!E12023</f>
        <v>1834</v>
      </c>
    </row>
    <row r="12024" spans="1:5" x14ac:dyDescent="0.55000000000000004">
      <c r="A12024" t="str">
        <f>TEST_DATA!A12024</f>
        <v>27AAAAA12024Z5</v>
      </c>
      <c r="B12024" t="str">
        <f>TEST_DATA!B12024</f>
        <v>Mar-2020</v>
      </c>
      <c r="C12024">
        <f>TEST_DATA!C12024</f>
        <v>44790</v>
      </c>
      <c r="D12024" t="str">
        <f>TEST_DATA!D12024</f>
        <v>NIL</v>
      </c>
      <c r="E12024">
        <f>TEST_DATA!E12024</f>
        <v>1798</v>
      </c>
    </row>
    <row r="12025" spans="1:5" x14ac:dyDescent="0.55000000000000004">
      <c r="A12025" t="str">
        <f>TEST_DATA!A12025</f>
        <v>27AAAAA12025Z5</v>
      </c>
      <c r="B12025" t="str">
        <f>TEST_DATA!B12025</f>
        <v>Aug-2018</v>
      </c>
      <c r="C12025">
        <f>TEST_DATA!C12025</f>
        <v>43353</v>
      </c>
      <c r="D12025" t="str">
        <f>TEST_DATA!D12025</f>
        <v>NON-NIL</v>
      </c>
      <c r="E12025">
        <f>TEST_DATA!E12025</f>
        <v>37</v>
      </c>
    </row>
    <row r="12026" spans="1:5" x14ac:dyDescent="0.55000000000000004">
      <c r="A12026" t="str">
        <f>TEST_DATA!A12026</f>
        <v>27AAAAA12026Z5</v>
      </c>
      <c r="B12026" t="str">
        <f>TEST_DATA!B12026</f>
        <v>Aug-2018</v>
      </c>
      <c r="C12026">
        <f>TEST_DATA!C12026</f>
        <v>44548</v>
      </c>
      <c r="D12026" t="str">
        <f>TEST_DATA!D12026</f>
        <v>NON-NIL</v>
      </c>
      <c r="E12026">
        <f>TEST_DATA!E12026</f>
        <v>730</v>
      </c>
    </row>
    <row r="12027" spans="1:5" x14ac:dyDescent="0.55000000000000004">
      <c r="A12027" t="str">
        <f>TEST_DATA!A12027</f>
        <v>27AAAAA12027Z5</v>
      </c>
      <c r="B12027" t="str">
        <f>TEST_DATA!B12027</f>
        <v>Jul-2020</v>
      </c>
      <c r="C12027">
        <f>TEST_DATA!C12027</f>
        <v>44770</v>
      </c>
      <c r="D12027" t="str">
        <f>TEST_DATA!D12027</f>
        <v>NIL</v>
      </c>
      <c r="E12027">
        <f>TEST_DATA!E12027</f>
        <v>2332</v>
      </c>
    </row>
    <row r="12028" spans="1:5" x14ac:dyDescent="0.55000000000000004">
      <c r="A12028" t="str">
        <f>TEST_DATA!A12028</f>
        <v>27AAAAA12028Z5</v>
      </c>
      <c r="B12028" t="str">
        <f>TEST_DATA!B12028</f>
        <v>Jan-2021</v>
      </c>
      <c r="C12028">
        <f>TEST_DATA!C12028</f>
        <v>43562</v>
      </c>
      <c r="D12028" t="str">
        <f>TEST_DATA!D12028</f>
        <v>NON-NIL</v>
      </c>
      <c r="E12028">
        <f>TEST_DATA!E12028</f>
        <v>862</v>
      </c>
    </row>
    <row r="12029" spans="1:5" x14ac:dyDescent="0.55000000000000004">
      <c r="A12029" t="str">
        <f>TEST_DATA!A12029</f>
        <v>27AAAAA12029Z5</v>
      </c>
      <c r="B12029" t="str">
        <f>TEST_DATA!B12029</f>
        <v>Jun-2019</v>
      </c>
      <c r="C12029">
        <f>TEST_DATA!C12029</f>
        <v>45709</v>
      </c>
      <c r="D12029" t="str">
        <f>TEST_DATA!D12029</f>
        <v>NIL</v>
      </c>
      <c r="E12029">
        <f>TEST_DATA!E12029</f>
        <v>1995</v>
      </c>
    </row>
    <row r="12030" spans="1:5" x14ac:dyDescent="0.55000000000000004">
      <c r="A12030" t="str">
        <f>TEST_DATA!A12030</f>
        <v>27AAAAA12030Z5</v>
      </c>
      <c r="B12030" t="str">
        <f>TEST_DATA!B12030</f>
        <v>Jan-2021</v>
      </c>
      <c r="C12030">
        <f>TEST_DATA!C12030</f>
        <v>45133</v>
      </c>
      <c r="D12030" t="str">
        <f>TEST_DATA!D12030</f>
        <v>NON-NIL</v>
      </c>
      <c r="E12030">
        <f>TEST_DATA!E12030</f>
        <v>1628</v>
      </c>
    </row>
    <row r="12031" spans="1:5" x14ac:dyDescent="0.55000000000000004">
      <c r="A12031" t="str">
        <f>TEST_DATA!A12031</f>
        <v>27AAAAA12031Z5</v>
      </c>
      <c r="B12031" t="str">
        <f>TEST_DATA!B12031</f>
        <v>Nov-2017</v>
      </c>
      <c r="C12031">
        <f>TEST_DATA!C12031</f>
        <v>43260</v>
      </c>
      <c r="D12031" t="str">
        <f>TEST_DATA!D12031</f>
        <v>NON-NIL</v>
      </c>
      <c r="E12031">
        <f>TEST_DATA!E12031</f>
        <v>141</v>
      </c>
    </row>
    <row r="12032" spans="1:5" x14ac:dyDescent="0.55000000000000004">
      <c r="A12032" t="str">
        <f>TEST_DATA!A12032</f>
        <v>27AAAAA12032Z5</v>
      </c>
      <c r="B12032" t="str">
        <f>TEST_DATA!B12032</f>
        <v>Nov-2017</v>
      </c>
      <c r="C12032">
        <f>TEST_DATA!C12032</f>
        <v>44428</v>
      </c>
      <c r="D12032" t="str">
        <f>TEST_DATA!D12032</f>
        <v>NON-NIL</v>
      </c>
      <c r="E12032">
        <f>TEST_DATA!E12032</f>
        <v>1277</v>
      </c>
    </row>
    <row r="12033" spans="1:5" x14ac:dyDescent="0.55000000000000004">
      <c r="A12033" t="str">
        <f>TEST_DATA!A12033</f>
        <v>27AAAAA12033Z5</v>
      </c>
      <c r="B12033" t="str">
        <f>TEST_DATA!B12033</f>
        <v>Feb-2018</v>
      </c>
      <c r="C12033">
        <f>TEST_DATA!C12033</f>
        <v>43064</v>
      </c>
      <c r="D12033" t="str">
        <f>TEST_DATA!D12033</f>
        <v>NON-NIL</v>
      </c>
      <c r="E12033">
        <f>TEST_DATA!E12033</f>
        <v>2622</v>
      </c>
    </row>
    <row r="12034" spans="1:5" x14ac:dyDescent="0.55000000000000004">
      <c r="A12034" t="str">
        <f>TEST_DATA!A12034</f>
        <v>27AAAAA12034Z5</v>
      </c>
      <c r="B12034" t="str">
        <f>TEST_DATA!B12034</f>
        <v>Feb-2018</v>
      </c>
      <c r="C12034">
        <f>TEST_DATA!C12034</f>
        <v>44093</v>
      </c>
      <c r="D12034" t="str">
        <f>TEST_DATA!D12034</f>
        <v>NIL</v>
      </c>
      <c r="E12034">
        <f>TEST_DATA!E12034</f>
        <v>1304</v>
      </c>
    </row>
    <row r="12035" spans="1:5" x14ac:dyDescent="0.55000000000000004">
      <c r="A12035" t="str">
        <f>TEST_DATA!A12035</f>
        <v>27AAAAA12035Z5</v>
      </c>
      <c r="B12035" t="str">
        <f>TEST_DATA!B12035</f>
        <v>Jun-2019</v>
      </c>
      <c r="C12035">
        <f>TEST_DATA!C12035</f>
        <v>44731</v>
      </c>
      <c r="D12035" t="str">
        <f>TEST_DATA!D12035</f>
        <v>NON-NIL</v>
      </c>
      <c r="E12035">
        <f>TEST_DATA!E12035</f>
        <v>1117</v>
      </c>
    </row>
    <row r="12036" spans="1:5" x14ac:dyDescent="0.55000000000000004">
      <c r="A12036" t="str">
        <f>TEST_DATA!A12036</f>
        <v>27AAAAA12036Z5</v>
      </c>
      <c r="B12036" t="str">
        <f>TEST_DATA!B12036</f>
        <v>Dec-2024</v>
      </c>
      <c r="C12036">
        <f>TEST_DATA!C12036</f>
        <v>45442</v>
      </c>
      <c r="D12036" t="str">
        <f>TEST_DATA!D12036</f>
        <v>NIL</v>
      </c>
      <c r="E12036">
        <f>TEST_DATA!E12036</f>
        <v>1374</v>
      </c>
    </row>
    <row r="12037" spans="1:5" x14ac:dyDescent="0.55000000000000004">
      <c r="A12037" t="str">
        <f>TEST_DATA!A12037</f>
        <v>27AAAAA12037Z5</v>
      </c>
      <c r="B12037" t="str">
        <f>TEST_DATA!B12037</f>
        <v>Aug-2018</v>
      </c>
      <c r="C12037">
        <f>TEST_DATA!C12037</f>
        <v>43027</v>
      </c>
      <c r="D12037" t="str">
        <f>TEST_DATA!D12037</f>
        <v>NON-NIL</v>
      </c>
      <c r="E12037">
        <f>TEST_DATA!E12037</f>
        <v>1572</v>
      </c>
    </row>
    <row r="12038" spans="1:5" x14ac:dyDescent="0.55000000000000004">
      <c r="A12038" t="str">
        <f>TEST_DATA!A12038</f>
        <v>27AAAAA12038Z5</v>
      </c>
      <c r="B12038" t="str">
        <f>TEST_DATA!B12038</f>
        <v>Apr-2021</v>
      </c>
      <c r="C12038">
        <f>TEST_DATA!C12038</f>
        <v>45380</v>
      </c>
      <c r="D12038" t="str">
        <f>TEST_DATA!D12038</f>
        <v>NIL</v>
      </c>
      <c r="E12038">
        <f>TEST_DATA!E12038</f>
        <v>2676</v>
      </c>
    </row>
    <row r="12039" spans="1:5" x14ac:dyDescent="0.55000000000000004">
      <c r="A12039" t="str">
        <f>TEST_DATA!A12039</f>
        <v>27AAAAA12039Z5</v>
      </c>
      <c r="B12039" t="str">
        <f>TEST_DATA!B12039</f>
        <v>Aug-2017</v>
      </c>
      <c r="C12039">
        <f>TEST_DATA!C12039</f>
        <v>44313</v>
      </c>
      <c r="D12039" t="str">
        <f>TEST_DATA!D12039</f>
        <v>NIL</v>
      </c>
      <c r="E12039">
        <f>TEST_DATA!E12039</f>
        <v>1785</v>
      </c>
    </row>
    <row r="12040" spans="1:5" x14ac:dyDescent="0.55000000000000004">
      <c r="A12040" t="str">
        <f>TEST_DATA!A12040</f>
        <v>27AAAAA12040Z5</v>
      </c>
      <c r="B12040" t="str">
        <f>TEST_DATA!B12040</f>
        <v>Apr-2020</v>
      </c>
      <c r="C12040">
        <f>TEST_DATA!C12040</f>
        <v>43874</v>
      </c>
      <c r="D12040" t="str">
        <f>TEST_DATA!D12040</f>
        <v>NON-NIL</v>
      </c>
      <c r="E12040">
        <f>TEST_DATA!E12040</f>
        <v>2841</v>
      </c>
    </row>
    <row r="12041" spans="1:5" x14ac:dyDescent="0.55000000000000004">
      <c r="A12041" t="str">
        <f>TEST_DATA!A12041</f>
        <v>27AAAAA12041Z5</v>
      </c>
      <c r="B12041" t="str">
        <f>TEST_DATA!B12041</f>
        <v>Oct-2017</v>
      </c>
      <c r="C12041">
        <f>TEST_DATA!C12041</f>
        <v>43572</v>
      </c>
      <c r="D12041" t="str">
        <f>TEST_DATA!D12041</f>
        <v>NON-NIL</v>
      </c>
      <c r="E12041">
        <f>TEST_DATA!E12041</f>
        <v>134</v>
      </c>
    </row>
    <row r="12042" spans="1:5" x14ac:dyDescent="0.55000000000000004">
      <c r="A12042" t="str">
        <f>TEST_DATA!A12042</f>
        <v>27AAAAA12042Z5</v>
      </c>
      <c r="B12042" t="str">
        <f>TEST_DATA!B12042</f>
        <v>Jun-2020</v>
      </c>
      <c r="C12042">
        <f>TEST_DATA!C12042</f>
        <v>44209</v>
      </c>
      <c r="D12042" t="str">
        <f>TEST_DATA!D12042</f>
        <v>NON-NIL</v>
      </c>
      <c r="E12042">
        <f>TEST_DATA!E12042</f>
        <v>264</v>
      </c>
    </row>
    <row r="12043" spans="1:5" x14ac:dyDescent="0.55000000000000004">
      <c r="A12043" t="str">
        <f>TEST_DATA!A12043</f>
        <v>27AAAAA12043Z5</v>
      </c>
      <c r="B12043" t="str">
        <f>TEST_DATA!B12043</f>
        <v>Feb-2018</v>
      </c>
      <c r="C12043">
        <f>TEST_DATA!C12043</f>
        <v>43444</v>
      </c>
      <c r="D12043" t="str">
        <f>TEST_DATA!D12043</f>
        <v>NIL</v>
      </c>
      <c r="E12043">
        <f>TEST_DATA!E12043</f>
        <v>2873</v>
      </c>
    </row>
    <row r="12044" spans="1:5" x14ac:dyDescent="0.55000000000000004">
      <c r="A12044" t="str">
        <f>TEST_DATA!A12044</f>
        <v>27AAAAA12044Z5</v>
      </c>
      <c r="B12044" t="str">
        <f>TEST_DATA!B12044</f>
        <v>Apr-2020</v>
      </c>
      <c r="C12044">
        <f>TEST_DATA!C12044</f>
        <v>44796</v>
      </c>
      <c r="D12044" t="str">
        <f>TEST_DATA!D12044</f>
        <v>NIL</v>
      </c>
      <c r="E12044">
        <f>TEST_DATA!E12044</f>
        <v>383</v>
      </c>
    </row>
    <row r="12045" spans="1:5" x14ac:dyDescent="0.55000000000000004">
      <c r="A12045" t="str">
        <f>TEST_DATA!A12045</f>
        <v>27AAAAA12045Z5</v>
      </c>
      <c r="B12045" t="str">
        <f>TEST_DATA!B12045</f>
        <v>Mar-2023</v>
      </c>
      <c r="C12045">
        <f>TEST_DATA!C12045</f>
        <v>44019</v>
      </c>
      <c r="D12045" t="str">
        <f>TEST_DATA!D12045</f>
        <v>NIL</v>
      </c>
      <c r="E12045">
        <f>TEST_DATA!E12045</f>
        <v>2752</v>
      </c>
    </row>
    <row r="12046" spans="1:5" x14ac:dyDescent="0.55000000000000004">
      <c r="A12046" t="str">
        <f>TEST_DATA!A12046</f>
        <v>27AAAAA12046Z5</v>
      </c>
      <c r="B12046" t="str">
        <f>TEST_DATA!B12046</f>
        <v>Aug-2017</v>
      </c>
      <c r="C12046">
        <f>TEST_DATA!C12046</f>
        <v>44375</v>
      </c>
      <c r="D12046" t="str">
        <f>TEST_DATA!D12046</f>
        <v>NON-NIL</v>
      </c>
      <c r="E12046">
        <f>TEST_DATA!E12046</f>
        <v>1572</v>
      </c>
    </row>
    <row r="12047" spans="1:5" x14ac:dyDescent="0.55000000000000004">
      <c r="A12047" t="str">
        <f>TEST_DATA!A12047</f>
        <v>27AAAAA12047Z5</v>
      </c>
      <c r="B12047" t="str">
        <f>TEST_DATA!B12047</f>
        <v>Sep-2018</v>
      </c>
      <c r="C12047">
        <f>TEST_DATA!C12047</f>
        <v>43808</v>
      </c>
      <c r="D12047" t="str">
        <f>TEST_DATA!D12047</f>
        <v>NON-NIL</v>
      </c>
      <c r="E12047">
        <f>TEST_DATA!E12047</f>
        <v>1322</v>
      </c>
    </row>
    <row r="12048" spans="1:5" x14ac:dyDescent="0.55000000000000004">
      <c r="A12048" t="str">
        <f>TEST_DATA!A12048</f>
        <v>27AAAAA12048Z5</v>
      </c>
      <c r="B12048" t="str">
        <f>TEST_DATA!B12048</f>
        <v>Apr-2018</v>
      </c>
      <c r="C12048">
        <f>TEST_DATA!C12048</f>
        <v>44260</v>
      </c>
      <c r="D12048" t="str">
        <f>TEST_DATA!D12048</f>
        <v>NIL</v>
      </c>
      <c r="E12048">
        <f>TEST_DATA!E12048</f>
        <v>1328</v>
      </c>
    </row>
    <row r="12049" spans="1:5" x14ac:dyDescent="0.55000000000000004">
      <c r="A12049" t="str">
        <f>TEST_DATA!A12049</f>
        <v>27AAAAA12049Z5</v>
      </c>
      <c r="B12049" t="str">
        <f>TEST_DATA!B12049</f>
        <v>Feb-2018</v>
      </c>
      <c r="C12049">
        <f>TEST_DATA!C12049</f>
        <v>44424</v>
      </c>
      <c r="D12049" t="str">
        <f>TEST_DATA!D12049</f>
        <v>NIL</v>
      </c>
      <c r="E12049">
        <f>TEST_DATA!E12049</f>
        <v>1137</v>
      </c>
    </row>
    <row r="12050" spans="1:5" x14ac:dyDescent="0.55000000000000004">
      <c r="A12050" t="str">
        <f>TEST_DATA!A12050</f>
        <v>27AAAAA12050Z5</v>
      </c>
      <c r="B12050" t="str">
        <f>TEST_DATA!B12050</f>
        <v>Dec-2017</v>
      </c>
      <c r="C12050">
        <f>TEST_DATA!C12050</f>
        <v>44201</v>
      </c>
      <c r="D12050" t="str">
        <f>TEST_DATA!D12050</f>
        <v>NIL</v>
      </c>
      <c r="E12050">
        <f>TEST_DATA!E12050</f>
        <v>2832</v>
      </c>
    </row>
    <row r="12051" spans="1:5" x14ac:dyDescent="0.55000000000000004">
      <c r="A12051" t="str">
        <f>TEST_DATA!A12051</f>
        <v>27AAAAA12051Z5</v>
      </c>
      <c r="B12051" t="str">
        <f>TEST_DATA!B12051</f>
        <v>Mar-2023</v>
      </c>
      <c r="C12051">
        <f>TEST_DATA!C12051</f>
        <v>45153</v>
      </c>
      <c r="D12051" t="str">
        <f>TEST_DATA!D12051</f>
        <v>NON-NIL</v>
      </c>
      <c r="E12051">
        <f>TEST_DATA!E12051</f>
        <v>906</v>
      </c>
    </row>
    <row r="12052" spans="1:5" x14ac:dyDescent="0.55000000000000004">
      <c r="A12052" t="str">
        <f>TEST_DATA!A12052</f>
        <v>27AAAAA12052Z5</v>
      </c>
      <c r="B12052" t="str">
        <f>TEST_DATA!B12052</f>
        <v>May-2018</v>
      </c>
      <c r="C12052">
        <f>TEST_DATA!C12052</f>
        <v>43375</v>
      </c>
      <c r="D12052" t="str">
        <f>TEST_DATA!D12052</f>
        <v>NIL</v>
      </c>
      <c r="E12052">
        <f>TEST_DATA!E12052</f>
        <v>2050</v>
      </c>
    </row>
    <row r="12053" spans="1:5" x14ac:dyDescent="0.55000000000000004">
      <c r="A12053" t="str">
        <f>TEST_DATA!A12053</f>
        <v>27AAAAA12053Z5</v>
      </c>
      <c r="B12053" t="str">
        <f>TEST_DATA!B12053</f>
        <v>Jan-2021</v>
      </c>
      <c r="C12053">
        <f>TEST_DATA!C12053</f>
        <v>45245</v>
      </c>
      <c r="D12053" t="str">
        <f>TEST_DATA!D12053</f>
        <v>NIL</v>
      </c>
      <c r="E12053">
        <f>TEST_DATA!E12053</f>
        <v>1910</v>
      </c>
    </row>
    <row r="12054" spans="1:5" x14ac:dyDescent="0.55000000000000004">
      <c r="A12054" t="str">
        <f>TEST_DATA!A12054</f>
        <v>27AAAAA12054Z5</v>
      </c>
      <c r="B12054" t="str">
        <f>TEST_DATA!B12054</f>
        <v>Dec-2019</v>
      </c>
      <c r="C12054">
        <f>TEST_DATA!C12054</f>
        <v>43515</v>
      </c>
      <c r="D12054" t="str">
        <f>TEST_DATA!D12054</f>
        <v>NON-NIL</v>
      </c>
      <c r="E12054">
        <f>TEST_DATA!E12054</f>
        <v>2269</v>
      </c>
    </row>
    <row r="12055" spans="1:5" x14ac:dyDescent="0.55000000000000004">
      <c r="A12055" t="str">
        <f>TEST_DATA!A12055</f>
        <v>27AAAAA12055Z5</v>
      </c>
      <c r="B12055" t="str">
        <f>TEST_DATA!B12055</f>
        <v>Dec-2024</v>
      </c>
      <c r="C12055">
        <f>TEST_DATA!C12055</f>
        <v>43743</v>
      </c>
      <c r="D12055" t="str">
        <f>TEST_DATA!D12055</f>
        <v>NIL</v>
      </c>
      <c r="E12055">
        <f>TEST_DATA!E12055</f>
        <v>2127</v>
      </c>
    </row>
    <row r="12056" spans="1:5" x14ac:dyDescent="0.55000000000000004">
      <c r="A12056" t="str">
        <f>TEST_DATA!A12056</f>
        <v>27AAAAA12056Z5</v>
      </c>
      <c r="B12056" t="str">
        <f>TEST_DATA!B12056</f>
        <v>Aug-2017</v>
      </c>
      <c r="C12056">
        <f>TEST_DATA!C12056</f>
        <v>43598</v>
      </c>
      <c r="D12056" t="str">
        <f>TEST_DATA!D12056</f>
        <v>NON-NIL</v>
      </c>
      <c r="E12056">
        <f>TEST_DATA!E12056</f>
        <v>918</v>
      </c>
    </row>
    <row r="12057" spans="1:5" x14ac:dyDescent="0.55000000000000004">
      <c r="A12057" t="str">
        <f>TEST_DATA!A12057</f>
        <v>27AAAAA12057Z5</v>
      </c>
      <c r="B12057" t="str">
        <f>TEST_DATA!B12057</f>
        <v>Dec-2017</v>
      </c>
      <c r="C12057">
        <f>TEST_DATA!C12057</f>
        <v>43154</v>
      </c>
      <c r="D12057" t="str">
        <f>TEST_DATA!D12057</f>
        <v>NIL</v>
      </c>
      <c r="E12057">
        <f>TEST_DATA!E12057</f>
        <v>1548</v>
      </c>
    </row>
    <row r="12058" spans="1:5" x14ac:dyDescent="0.55000000000000004">
      <c r="A12058" t="str">
        <f>TEST_DATA!A12058</f>
        <v>27AAAAA12058Z5</v>
      </c>
      <c r="B12058" t="str">
        <f>TEST_DATA!B12058</f>
        <v>Mar-2021</v>
      </c>
      <c r="C12058">
        <f>TEST_DATA!C12058</f>
        <v>45282</v>
      </c>
      <c r="D12058" t="str">
        <f>TEST_DATA!D12058</f>
        <v>NON-NIL</v>
      </c>
      <c r="E12058">
        <f>TEST_DATA!E12058</f>
        <v>1214</v>
      </c>
    </row>
    <row r="12059" spans="1:5" x14ac:dyDescent="0.55000000000000004">
      <c r="A12059" t="str">
        <f>TEST_DATA!A12059</f>
        <v>27AAAAA12059Z5</v>
      </c>
      <c r="B12059" t="str">
        <f>TEST_DATA!B12059</f>
        <v>Jun-2018</v>
      </c>
      <c r="C12059">
        <f>TEST_DATA!C12059</f>
        <v>43597</v>
      </c>
      <c r="D12059" t="str">
        <f>TEST_DATA!D12059</f>
        <v>NON-NIL</v>
      </c>
      <c r="E12059">
        <f>TEST_DATA!E12059</f>
        <v>546</v>
      </c>
    </row>
    <row r="12060" spans="1:5" x14ac:dyDescent="0.55000000000000004">
      <c r="A12060" t="str">
        <f>TEST_DATA!A12060</f>
        <v>27AAAAA12060Z5</v>
      </c>
      <c r="B12060" t="str">
        <f>TEST_DATA!B12060</f>
        <v>Aug-2018</v>
      </c>
      <c r="C12060">
        <f>TEST_DATA!C12060</f>
        <v>43142</v>
      </c>
      <c r="D12060" t="str">
        <f>TEST_DATA!D12060</f>
        <v>NON-NIL</v>
      </c>
      <c r="E12060">
        <f>TEST_DATA!E12060</f>
        <v>488</v>
      </c>
    </row>
    <row r="12061" spans="1:5" x14ac:dyDescent="0.55000000000000004">
      <c r="A12061" t="str">
        <f>TEST_DATA!A12061</f>
        <v>27AAAAA12061Z5</v>
      </c>
      <c r="B12061" t="str">
        <f>TEST_DATA!B12061</f>
        <v>Jul-2017</v>
      </c>
      <c r="C12061">
        <f>TEST_DATA!C12061</f>
        <v>43819</v>
      </c>
      <c r="D12061" t="str">
        <f>TEST_DATA!D12061</f>
        <v>NIL</v>
      </c>
      <c r="E12061">
        <f>TEST_DATA!E12061</f>
        <v>1424</v>
      </c>
    </row>
    <row r="12062" spans="1:5" x14ac:dyDescent="0.55000000000000004">
      <c r="A12062" t="str">
        <f>TEST_DATA!A12062</f>
        <v>27AAAAA12062Z5</v>
      </c>
      <c r="B12062" t="str">
        <f>TEST_DATA!B12062</f>
        <v>Jun-2020</v>
      </c>
      <c r="C12062">
        <f>TEST_DATA!C12062</f>
        <v>44579</v>
      </c>
      <c r="D12062" t="str">
        <f>TEST_DATA!D12062</f>
        <v>NON-NIL</v>
      </c>
      <c r="E12062">
        <f>TEST_DATA!E12062</f>
        <v>34</v>
      </c>
    </row>
    <row r="12063" spans="1:5" x14ac:dyDescent="0.55000000000000004">
      <c r="A12063" t="str">
        <f>TEST_DATA!A12063</f>
        <v>27AAAAA12063Z5</v>
      </c>
      <c r="B12063" t="str">
        <f>TEST_DATA!B12063</f>
        <v>Jun-2018</v>
      </c>
      <c r="C12063">
        <f>TEST_DATA!C12063</f>
        <v>43237</v>
      </c>
      <c r="D12063" t="str">
        <f>TEST_DATA!D12063</f>
        <v>NON-NIL</v>
      </c>
      <c r="E12063">
        <f>TEST_DATA!E12063</f>
        <v>147</v>
      </c>
    </row>
    <row r="12064" spans="1:5" x14ac:dyDescent="0.55000000000000004">
      <c r="A12064" t="str">
        <f>TEST_DATA!A12064</f>
        <v>27AAAAA12064Z5</v>
      </c>
      <c r="B12064" t="str">
        <f>TEST_DATA!B12064</f>
        <v>Dec-2019</v>
      </c>
      <c r="C12064">
        <f>TEST_DATA!C12064</f>
        <v>45098</v>
      </c>
      <c r="D12064" t="str">
        <f>TEST_DATA!D12064</f>
        <v>NON-NIL</v>
      </c>
      <c r="E12064">
        <f>TEST_DATA!E12064</f>
        <v>1093</v>
      </c>
    </row>
    <row r="12065" spans="1:5" x14ac:dyDescent="0.55000000000000004">
      <c r="A12065" t="str">
        <f>TEST_DATA!A12065</f>
        <v>27AAAAA12065Z5</v>
      </c>
      <c r="B12065" t="str">
        <f>TEST_DATA!B12065</f>
        <v>Apr-2018</v>
      </c>
      <c r="C12065">
        <f>TEST_DATA!C12065</f>
        <v>43106</v>
      </c>
      <c r="D12065" t="str">
        <f>TEST_DATA!D12065</f>
        <v>NIL</v>
      </c>
      <c r="E12065">
        <f>TEST_DATA!E12065</f>
        <v>782</v>
      </c>
    </row>
    <row r="12066" spans="1:5" x14ac:dyDescent="0.55000000000000004">
      <c r="A12066" t="str">
        <f>TEST_DATA!A12066</f>
        <v>27AAAAA12066Z5</v>
      </c>
      <c r="B12066" t="str">
        <f>TEST_DATA!B12066</f>
        <v>May-2018</v>
      </c>
      <c r="C12066">
        <f>TEST_DATA!C12066</f>
        <v>44296</v>
      </c>
      <c r="D12066" t="str">
        <f>TEST_DATA!D12066</f>
        <v>NON-NIL</v>
      </c>
      <c r="E12066">
        <f>TEST_DATA!E12066</f>
        <v>2686</v>
      </c>
    </row>
    <row r="12067" spans="1:5" x14ac:dyDescent="0.55000000000000004">
      <c r="A12067" t="str">
        <f>TEST_DATA!A12067</f>
        <v>27AAAAA12067Z5</v>
      </c>
      <c r="B12067" t="str">
        <f>TEST_DATA!B12067</f>
        <v>Dec-2017</v>
      </c>
      <c r="C12067">
        <f>TEST_DATA!C12067</f>
        <v>43568</v>
      </c>
      <c r="D12067" t="str">
        <f>TEST_DATA!D12067</f>
        <v>NON-NIL</v>
      </c>
      <c r="E12067">
        <f>TEST_DATA!E12067</f>
        <v>2444</v>
      </c>
    </row>
    <row r="12068" spans="1:5" x14ac:dyDescent="0.55000000000000004">
      <c r="A12068" t="str">
        <f>TEST_DATA!A12068</f>
        <v>27AAAAA12068Z5</v>
      </c>
      <c r="B12068" t="str">
        <f>TEST_DATA!B12068</f>
        <v>Nov-2017</v>
      </c>
      <c r="C12068">
        <f>TEST_DATA!C12068</f>
        <v>43734</v>
      </c>
      <c r="D12068" t="str">
        <f>TEST_DATA!D12068</f>
        <v>NIL</v>
      </c>
      <c r="E12068">
        <f>TEST_DATA!E12068</f>
        <v>1284</v>
      </c>
    </row>
    <row r="12069" spans="1:5" x14ac:dyDescent="0.55000000000000004">
      <c r="A12069" t="str">
        <f>TEST_DATA!A12069</f>
        <v>27AAAAA12069Z5</v>
      </c>
      <c r="B12069" t="str">
        <f>TEST_DATA!B12069</f>
        <v>Aug-2018</v>
      </c>
      <c r="C12069">
        <f>TEST_DATA!C12069</f>
        <v>42968</v>
      </c>
      <c r="D12069" t="str">
        <f>TEST_DATA!D12069</f>
        <v>NIL</v>
      </c>
      <c r="E12069">
        <f>TEST_DATA!E12069</f>
        <v>1568</v>
      </c>
    </row>
    <row r="12070" spans="1:5" x14ac:dyDescent="0.55000000000000004">
      <c r="A12070" t="str">
        <f>TEST_DATA!A12070</f>
        <v>27AAAAA12070Z5</v>
      </c>
      <c r="B12070" t="str">
        <f>TEST_DATA!B12070</f>
        <v>May-2020</v>
      </c>
      <c r="C12070">
        <f>TEST_DATA!C12070</f>
        <v>44214</v>
      </c>
      <c r="D12070" t="str">
        <f>TEST_DATA!D12070</f>
        <v>NON-NIL</v>
      </c>
      <c r="E12070">
        <f>TEST_DATA!E12070</f>
        <v>2725</v>
      </c>
    </row>
    <row r="12071" spans="1:5" x14ac:dyDescent="0.55000000000000004">
      <c r="A12071" t="str">
        <f>TEST_DATA!A12071</f>
        <v>27AAAAA12071Z5</v>
      </c>
      <c r="B12071" t="str">
        <f>TEST_DATA!B12071</f>
        <v>Jun-2018</v>
      </c>
      <c r="C12071">
        <f>TEST_DATA!C12071</f>
        <v>43045</v>
      </c>
      <c r="D12071" t="str">
        <f>TEST_DATA!D12071</f>
        <v>NON-NIL</v>
      </c>
      <c r="E12071">
        <f>TEST_DATA!E12071</f>
        <v>357</v>
      </c>
    </row>
    <row r="12072" spans="1:5" x14ac:dyDescent="0.55000000000000004">
      <c r="A12072" t="str">
        <f>TEST_DATA!A12072</f>
        <v>27AAAAA12072Z5</v>
      </c>
      <c r="B12072" t="str">
        <f>TEST_DATA!B12072</f>
        <v>Jan-2019</v>
      </c>
      <c r="C12072">
        <f>TEST_DATA!C12072</f>
        <v>45295</v>
      </c>
      <c r="D12072" t="str">
        <f>TEST_DATA!D12072</f>
        <v>NON-NIL</v>
      </c>
      <c r="E12072">
        <f>TEST_DATA!E12072</f>
        <v>309</v>
      </c>
    </row>
    <row r="12073" spans="1:5" x14ac:dyDescent="0.55000000000000004">
      <c r="A12073" t="str">
        <f>TEST_DATA!A12073</f>
        <v>27AAAAA12073Z5</v>
      </c>
      <c r="B12073" t="str">
        <f>TEST_DATA!B12073</f>
        <v>Mar-2023</v>
      </c>
      <c r="C12073">
        <f>TEST_DATA!C12073</f>
        <v>44288</v>
      </c>
      <c r="D12073" t="str">
        <f>TEST_DATA!D12073</f>
        <v>NON-NIL</v>
      </c>
      <c r="E12073">
        <f>TEST_DATA!E12073</f>
        <v>2133</v>
      </c>
    </row>
    <row r="12074" spans="1:5" x14ac:dyDescent="0.55000000000000004">
      <c r="A12074" t="str">
        <f>TEST_DATA!A12074</f>
        <v>27AAAAA12074Z5</v>
      </c>
      <c r="B12074" t="str">
        <f>TEST_DATA!B12074</f>
        <v>Mar-2018</v>
      </c>
      <c r="C12074">
        <f>TEST_DATA!C12074</f>
        <v>44121</v>
      </c>
      <c r="D12074" t="str">
        <f>TEST_DATA!D12074</f>
        <v>NON-NIL</v>
      </c>
      <c r="E12074">
        <f>TEST_DATA!E12074</f>
        <v>892</v>
      </c>
    </row>
    <row r="12075" spans="1:5" x14ac:dyDescent="0.55000000000000004">
      <c r="A12075" t="str">
        <f>TEST_DATA!A12075</f>
        <v>27AAAAA12075Z5</v>
      </c>
      <c r="B12075" t="str">
        <f>TEST_DATA!B12075</f>
        <v>Sep-2017</v>
      </c>
      <c r="C12075">
        <f>TEST_DATA!C12075</f>
        <v>43270</v>
      </c>
      <c r="D12075" t="str">
        <f>TEST_DATA!D12075</f>
        <v>NON-NIL</v>
      </c>
      <c r="E12075">
        <f>TEST_DATA!E12075</f>
        <v>810</v>
      </c>
    </row>
    <row r="12076" spans="1:5" x14ac:dyDescent="0.55000000000000004">
      <c r="A12076" t="str">
        <f>TEST_DATA!A12076</f>
        <v>27AAAAA12076Z5</v>
      </c>
      <c r="B12076" t="str">
        <f>TEST_DATA!B12076</f>
        <v>Mar-2018</v>
      </c>
      <c r="C12076">
        <f>TEST_DATA!C12076</f>
        <v>44484</v>
      </c>
      <c r="D12076" t="str">
        <f>TEST_DATA!D12076</f>
        <v>NON-NIL</v>
      </c>
      <c r="E12076">
        <f>TEST_DATA!E12076</f>
        <v>1369</v>
      </c>
    </row>
    <row r="12077" spans="1:5" x14ac:dyDescent="0.55000000000000004">
      <c r="A12077" t="str">
        <f>TEST_DATA!A12077</f>
        <v>27AAAAA12077Z5</v>
      </c>
      <c r="B12077" t="str">
        <f>TEST_DATA!B12077</f>
        <v>Jun-2019</v>
      </c>
      <c r="C12077">
        <f>TEST_DATA!C12077</f>
        <v>43547</v>
      </c>
      <c r="D12077" t="str">
        <f>TEST_DATA!D12077</f>
        <v>NIL</v>
      </c>
      <c r="E12077">
        <f>TEST_DATA!E12077</f>
        <v>2557</v>
      </c>
    </row>
    <row r="12078" spans="1:5" x14ac:dyDescent="0.55000000000000004">
      <c r="A12078" t="str">
        <f>TEST_DATA!A12078</f>
        <v>27AAAAA12078Z5</v>
      </c>
      <c r="B12078" t="str">
        <f>TEST_DATA!B12078</f>
        <v>Jan-2019</v>
      </c>
      <c r="C12078">
        <f>TEST_DATA!C12078</f>
        <v>45199</v>
      </c>
      <c r="D12078" t="str">
        <f>TEST_DATA!D12078</f>
        <v>NIL</v>
      </c>
      <c r="E12078">
        <f>TEST_DATA!E12078</f>
        <v>458</v>
      </c>
    </row>
    <row r="12079" spans="1:5" x14ac:dyDescent="0.55000000000000004">
      <c r="A12079" t="str">
        <f>TEST_DATA!A12079</f>
        <v>27AAAAA12079Z5</v>
      </c>
      <c r="B12079" t="str">
        <f>TEST_DATA!B12079</f>
        <v>Jan-2018</v>
      </c>
      <c r="C12079">
        <f>TEST_DATA!C12079</f>
        <v>43467</v>
      </c>
      <c r="D12079" t="str">
        <f>TEST_DATA!D12079</f>
        <v>NON-NIL</v>
      </c>
      <c r="E12079">
        <f>TEST_DATA!E12079</f>
        <v>365</v>
      </c>
    </row>
    <row r="12080" spans="1:5" x14ac:dyDescent="0.55000000000000004">
      <c r="A12080" t="str">
        <f>TEST_DATA!A12080</f>
        <v>27AAAAA12080Z5</v>
      </c>
      <c r="B12080" t="str">
        <f>TEST_DATA!B12080</f>
        <v>Jul-2018</v>
      </c>
      <c r="C12080">
        <f>TEST_DATA!C12080</f>
        <v>43484</v>
      </c>
      <c r="D12080" t="str">
        <f>TEST_DATA!D12080</f>
        <v>NON-NIL</v>
      </c>
      <c r="E12080">
        <f>TEST_DATA!E12080</f>
        <v>315</v>
      </c>
    </row>
    <row r="12081" spans="1:5" x14ac:dyDescent="0.55000000000000004">
      <c r="A12081" t="str">
        <f>TEST_DATA!A12081</f>
        <v>27AAAAA12081Z5</v>
      </c>
      <c r="B12081" t="str">
        <f>TEST_DATA!B12081</f>
        <v>May-2018</v>
      </c>
      <c r="C12081">
        <f>TEST_DATA!C12081</f>
        <v>43221</v>
      </c>
      <c r="D12081" t="str">
        <f>TEST_DATA!D12081</f>
        <v>NON-NIL</v>
      </c>
      <c r="E12081">
        <f>TEST_DATA!E12081</f>
        <v>1373</v>
      </c>
    </row>
    <row r="12082" spans="1:5" x14ac:dyDescent="0.55000000000000004">
      <c r="A12082" t="str">
        <f>TEST_DATA!A12082</f>
        <v>27AAAAA12082Z5</v>
      </c>
      <c r="B12082" t="str">
        <f>TEST_DATA!B12082</f>
        <v>Feb-2018</v>
      </c>
      <c r="C12082">
        <f>TEST_DATA!C12082</f>
        <v>43226</v>
      </c>
      <c r="D12082" t="str">
        <f>TEST_DATA!D12082</f>
        <v>NIL</v>
      </c>
      <c r="E12082">
        <f>TEST_DATA!E12082</f>
        <v>522</v>
      </c>
    </row>
    <row r="12083" spans="1:5" x14ac:dyDescent="0.55000000000000004">
      <c r="A12083" t="str">
        <f>TEST_DATA!A12083</f>
        <v>27AAAAA12083Z5</v>
      </c>
      <c r="B12083" t="str">
        <f>TEST_DATA!B12083</f>
        <v>Mar-2023</v>
      </c>
      <c r="C12083">
        <f>TEST_DATA!C12083</f>
        <v>44537</v>
      </c>
      <c r="D12083" t="str">
        <f>TEST_DATA!D12083</f>
        <v>NON-NIL</v>
      </c>
      <c r="E12083">
        <f>TEST_DATA!E12083</f>
        <v>160</v>
      </c>
    </row>
    <row r="12084" spans="1:5" x14ac:dyDescent="0.55000000000000004">
      <c r="A12084" t="str">
        <f>TEST_DATA!A12084</f>
        <v>27AAAAA12084Z5</v>
      </c>
      <c r="B12084" t="str">
        <f>TEST_DATA!B12084</f>
        <v>Jan-2021</v>
      </c>
      <c r="C12084">
        <f>TEST_DATA!C12084</f>
        <v>45555</v>
      </c>
      <c r="D12084" t="str">
        <f>TEST_DATA!D12084</f>
        <v>NIL</v>
      </c>
      <c r="E12084">
        <f>TEST_DATA!E12084</f>
        <v>9</v>
      </c>
    </row>
    <row r="12085" spans="1:5" x14ac:dyDescent="0.55000000000000004">
      <c r="A12085" t="str">
        <f>TEST_DATA!A12085</f>
        <v>27AAAAA12085Z5</v>
      </c>
      <c r="B12085" t="str">
        <f>TEST_DATA!B12085</f>
        <v>Oct-2017</v>
      </c>
      <c r="C12085">
        <f>TEST_DATA!C12085</f>
        <v>43469</v>
      </c>
      <c r="D12085" t="str">
        <f>TEST_DATA!D12085</f>
        <v>NIL</v>
      </c>
      <c r="E12085">
        <f>TEST_DATA!E12085</f>
        <v>687</v>
      </c>
    </row>
    <row r="12086" spans="1:5" x14ac:dyDescent="0.55000000000000004">
      <c r="A12086" t="str">
        <f>TEST_DATA!A12086</f>
        <v>27AAAAA12086Z5</v>
      </c>
      <c r="B12086" t="str">
        <f>TEST_DATA!B12086</f>
        <v>Mar-2020</v>
      </c>
      <c r="C12086">
        <f>TEST_DATA!C12086</f>
        <v>44737</v>
      </c>
      <c r="D12086" t="str">
        <f>TEST_DATA!D12086</f>
        <v>NIL</v>
      </c>
      <c r="E12086">
        <f>TEST_DATA!E12086</f>
        <v>2520</v>
      </c>
    </row>
    <row r="12087" spans="1:5" x14ac:dyDescent="0.55000000000000004">
      <c r="A12087" t="str">
        <f>TEST_DATA!A12087</f>
        <v>27AAAAA12087Z5</v>
      </c>
      <c r="B12087" t="str">
        <f>TEST_DATA!B12087</f>
        <v>Dec-2019</v>
      </c>
      <c r="C12087">
        <f>TEST_DATA!C12087</f>
        <v>45658</v>
      </c>
      <c r="D12087" t="str">
        <f>TEST_DATA!D12087</f>
        <v>NON-NIL</v>
      </c>
      <c r="E12087">
        <f>TEST_DATA!E12087</f>
        <v>178</v>
      </c>
    </row>
    <row r="12088" spans="1:5" x14ac:dyDescent="0.55000000000000004">
      <c r="A12088" t="str">
        <f>TEST_DATA!A12088</f>
        <v>27AAAAA12088Z5</v>
      </c>
      <c r="B12088" t="str">
        <f>TEST_DATA!B12088</f>
        <v>Mar-2021</v>
      </c>
      <c r="C12088">
        <f>TEST_DATA!C12088</f>
        <v>45741</v>
      </c>
      <c r="D12088" t="str">
        <f>TEST_DATA!D12088</f>
        <v>NON-NIL</v>
      </c>
      <c r="E12088">
        <f>TEST_DATA!E12088</f>
        <v>1008</v>
      </c>
    </row>
    <row r="12089" spans="1:5" x14ac:dyDescent="0.55000000000000004">
      <c r="A12089" t="str">
        <f>TEST_DATA!A12089</f>
        <v>27AAAAA12089Z5</v>
      </c>
      <c r="B12089" t="str">
        <f>TEST_DATA!B12089</f>
        <v>Sep-2018</v>
      </c>
      <c r="C12089">
        <f>TEST_DATA!C12089</f>
        <v>44489</v>
      </c>
      <c r="D12089" t="str">
        <f>TEST_DATA!D12089</f>
        <v>NON-NIL</v>
      </c>
      <c r="E12089">
        <f>TEST_DATA!E12089</f>
        <v>2268</v>
      </c>
    </row>
    <row r="12090" spans="1:5" x14ac:dyDescent="0.55000000000000004">
      <c r="A12090" t="str">
        <f>TEST_DATA!A12090</f>
        <v>27AAAAA12090Z5</v>
      </c>
      <c r="B12090" t="str">
        <f>TEST_DATA!B12090</f>
        <v>Jun-2020</v>
      </c>
      <c r="C12090">
        <f>TEST_DATA!C12090</f>
        <v>44075</v>
      </c>
      <c r="D12090" t="str">
        <f>TEST_DATA!D12090</f>
        <v>NIL</v>
      </c>
      <c r="E12090">
        <f>TEST_DATA!E12090</f>
        <v>1645</v>
      </c>
    </row>
    <row r="12091" spans="1:5" x14ac:dyDescent="0.55000000000000004">
      <c r="A12091" t="str">
        <f>TEST_DATA!A12091</f>
        <v>27AAAAA12091Z5</v>
      </c>
      <c r="B12091" t="str">
        <f>TEST_DATA!B12091</f>
        <v>Jun-2019</v>
      </c>
      <c r="C12091">
        <f>TEST_DATA!C12091</f>
        <v>43916</v>
      </c>
      <c r="D12091" t="str">
        <f>TEST_DATA!D12091</f>
        <v>NON-NIL</v>
      </c>
      <c r="E12091">
        <f>TEST_DATA!E12091</f>
        <v>2463</v>
      </c>
    </row>
    <row r="12092" spans="1:5" x14ac:dyDescent="0.55000000000000004">
      <c r="A12092" t="str">
        <f>TEST_DATA!A12092</f>
        <v>27AAAAA12092Z5</v>
      </c>
      <c r="B12092" t="str">
        <f>TEST_DATA!B12092</f>
        <v>Feb-2018</v>
      </c>
      <c r="C12092">
        <f>TEST_DATA!C12092</f>
        <v>42933</v>
      </c>
      <c r="D12092" t="str">
        <f>TEST_DATA!D12092</f>
        <v>NIL</v>
      </c>
      <c r="E12092">
        <f>TEST_DATA!E12092</f>
        <v>2134</v>
      </c>
    </row>
    <row r="12093" spans="1:5" x14ac:dyDescent="0.55000000000000004">
      <c r="A12093" t="str">
        <f>TEST_DATA!A12093</f>
        <v>27AAAAA12093Z5</v>
      </c>
      <c r="B12093" t="str">
        <f>TEST_DATA!B12093</f>
        <v>Mar-2023</v>
      </c>
      <c r="C12093">
        <f>TEST_DATA!C12093</f>
        <v>43540</v>
      </c>
      <c r="D12093" t="str">
        <f>TEST_DATA!D12093</f>
        <v>NON-NIL</v>
      </c>
      <c r="E12093">
        <f>TEST_DATA!E12093</f>
        <v>2109</v>
      </c>
    </row>
    <row r="12094" spans="1:5" x14ac:dyDescent="0.55000000000000004">
      <c r="A12094" t="str">
        <f>TEST_DATA!A12094</f>
        <v>27AAAAA12094Z5</v>
      </c>
      <c r="B12094" t="str">
        <f>TEST_DATA!B12094</f>
        <v>Dec-2019</v>
      </c>
      <c r="C12094">
        <f>TEST_DATA!C12094</f>
        <v>43514</v>
      </c>
      <c r="D12094" t="str">
        <f>TEST_DATA!D12094</f>
        <v>NON-NIL</v>
      </c>
      <c r="E12094">
        <f>TEST_DATA!E12094</f>
        <v>2680</v>
      </c>
    </row>
    <row r="12095" spans="1:5" x14ac:dyDescent="0.55000000000000004">
      <c r="A12095" t="str">
        <f>TEST_DATA!A12095</f>
        <v>27AAAAA12095Z5</v>
      </c>
      <c r="B12095" t="str">
        <f>TEST_DATA!B12095</f>
        <v>Jun-2019</v>
      </c>
      <c r="C12095">
        <f>TEST_DATA!C12095</f>
        <v>43637</v>
      </c>
      <c r="D12095" t="str">
        <f>TEST_DATA!D12095</f>
        <v>NIL</v>
      </c>
      <c r="E12095">
        <f>TEST_DATA!E12095</f>
        <v>1096</v>
      </c>
    </row>
    <row r="12096" spans="1:5" x14ac:dyDescent="0.55000000000000004">
      <c r="A12096" t="str">
        <f>TEST_DATA!A12096</f>
        <v>27AAAAA12096Z5</v>
      </c>
      <c r="B12096" t="str">
        <f>TEST_DATA!B12096</f>
        <v>Jul-2017</v>
      </c>
      <c r="C12096">
        <f>TEST_DATA!C12096</f>
        <v>43311</v>
      </c>
      <c r="D12096" t="str">
        <f>TEST_DATA!D12096</f>
        <v>NIL</v>
      </c>
      <c r="E12096">
        <f>TEST_DATA!E12096</f>
        <v>1157</v>
      </c>
    </row>
    <row r="12097" spans="1:5" x14ac:dyDescent="0.55000000000000004">
      <c r="A12097" t="str">
        <f>TEST_DATA!A12097</f>
        <v>27AAAAA12097Z5</v>
      </c>
      <c r="B12097" t="str">
        <f>TEST_DATA!B12097</f>
        <v>Jul-2020</v>
      </c>
      <c r="C12097">
        <f>TEST_DATA!C12097</f>
        <v>43882</v>
      </c>
      <c r="D12097" t="str">
        <f>TEST_DATA!D12097</f>
        <v>NON-NIL</v>
      </c>
      <c r="E12097">
        <f>TEST_DATA!E12097</f>
        <v>136</v>
      </c>
    </row>
    <row r="12098" spans="1:5" x14ac:dyDescent="0.55000000000000004">
      <c r="A12098" t="str">
        <f>TEST_DATA!A12098</f>
        <v>27AAAAA12098Z5</v>
      </c>
      <c r="B12098" t="str">
        <f>TEST_DATA!B12098</f>
        <v>Dec-2019</v>
      </c>
      <c r="C12098">
        <f>TEST_DATA!C12098</f>
        <v>43926</v>
      </c>
      <c r="D12098" t="str">
        <f>TEST_DATA!D12098</f>
        <v>NIL</v>
      </c>
      <c r="E12098">
        <f>TEST_DATA!E12098</f>
        <v>1388</v>
      </c>
    </row>
    <row r="12099" spans="1:5" x14ac:dyDescent="0.55000000000000004">
      <c r="A12099" t="str">
        <f>TEST_DATA!A12099</f>
        <v>27AAAAA12099Z5</v>
      </c>
      <c r="B12099" t="str">
        <f>TEST_DATA!B12099</f>
        <v>Jul-2018</v>
      </c>
      <c r="C12099">
        <f>TEST_DATA!C12099</f>
        <v>44371</v>
      </c>
      <c r="D12099" t="str">
        <f>TEST_DATA!D12099</f>
        <v>NIL</v>
      </c>
      <c r="E12099">
        <f>TEST_DATA!E12099</f>
        <v>1397</v>
      </c>
    </row>
    <row r="12100" spans="1:5" x14ac:dyDescent="0.55000000000000004">
      <c r="A12100" t="str">
        <f>TEST_DATA!A12100</f>
        <v>27AAAAA12100Z5</v>
      </c>
      <c r="B12100" t="str">
        <f>TEST_DATA!B12100</f>
        <v>May-2020</v>
      </c>
      <c r="C12100">
        <f>TEST_DATA!C12100</f>
        <v>44892</v>
      </c>
      <c r="D12100" t="str">
        <f>TEST_DATA!D12100</f>
        <v>NON-NIL</v>
      </c>
      <c r="E12100">
        <f>TEST_DATA!E12100</f>
        <v>2422</v>
      </c>
    </row>
    <row r="12101" spans="1:5" x14ac:dyDescent="0.55000000000000004">
      <c r="A12101" t="str">
        <f>TEST_DATA!A12101</f>
        <v>27AAAAA12101Z5</v>
      </c>
      <c r="B12101" t="str">
        <f>TEST_DATA!B12101</f>
        <v>Mar-2020</v>
      </c>
      <c r="C12101">
        <f>TEST_DATA!C12101</f>
        <v>43908</v>
      </c>
      <c r="D12101" t="str">
        <f>TEST_DATA!D12101</f>
        <v>NIL</v>
      </c>
      <c r="E12101">
        <f>TEST_DATA!E12101</f>
        <v>432</v>
      </c>
    </row>
    <row r="12102" spans="1:5" x14ac:dyDescent="0.55000000000000004">
      <c r="A12102" t="str">
        <f>TEST_DATA!A12102</f>
        <v>27AAAAA12102Z5</v>
      </c>
      <c r="B12102" t="str">
        <f>TEST_DATA!B12102</f>
        <v>Mar-2021</v>
      </c>
      <c r="C12102">
        <f>TEST_DATA!C12102</f>
        <v>44432</v>
      </c>
      <c r="D12102" t="str">
        <f>TEST_DATA!D12102</f>
        <v>NIL</v>
      </c>
      <c r="E12102">
        <f>TEST_DATA!E12102</f>
        <v>398</v>
      </c>
    </row>
    <row r="12103" spans="1:5" x14ac:dyDescent="0.55000000000000004">
      <c r="A12103" t="str">
        <f>TEST_DATA!A12103</f>
        <v>27AAAAA12103Z5</v>
      </c>
      <c r="B12103" t="str">
        <f>TEST_DATA!B12103</f>
        <v>Aug-2018</v>
      </c>
      <c r="C12103">
        <f>TEST_DATA!C12103</f>
        <v>44353</v>
      </c>
      <c r="D12103" t="str">
        <f>TEST_DATA!D12103</f>
        <v>NON-NIL</v>
      </c>
      <c r="E12103">
        <f>TEST_DATA!E12103</f>
        <v>2328</v>
      </c>
    </row>
    <row r="12104" spans="1:5" x14ac:dyDescent="0.55000000000000004">
      <c r="A12104" t="str">
        <f>TEST_DATA!A12104</f>
        <v>27AAAAA12104Z5</v>
      </c>
      <c r="B12104" t="str">
        <f>TEST_DATA!B12104</f>
        <v>Apr-2018</v>
      </c>
      <c r="C12104">
        <f>TEST_DATA!C12104</f>
        <v>43773</v>
      </c>
      <c r="D12104" t="str">
        <f>TEST_DATA!D12104</f>
        <v>NIL</v>
      </c>
      <c r="E12104">
        <f>TEST_DATA!E12104</f>
        <v>561</v>
      </c>
    </row>
    <row r="12105" spans="1:5" x14ac:dyDescent="0.55000000000000004">
      <c r="A12105" t="str">
        <f>TEST_DATA!A12105</f>
        <v>27AAAAA12105Z5</v>
      </c>
      <c r="B12105" t="str">
        <f>TEST_DATA!B12105</f>
        <v>May-2020</v>
      </c>
      <c r="C12105">
        <f>TEST_DATA!C12105</f>
        <v>43984</v>
      </c>
      <c r="D12105" t="str">
        <f>TEST_DATA!D12105</f>
        <v>NIL</v>
      </c>
      <c r="E12105">
        <f>TEST_DATA!E12105</f>
        <v>1190</v>
      </c>
    </row>
    <row r="12106" spans="1:5" x14ac:dyDescent="0.55000000000000004">
      <c r="A12106" t="str">
        <f>TEST_DATA!A12106</f>
        <v>27AAAAA12106Z5</v>
      </c>
      <c r="B12106" t="str">
        <f>TEST_DATA!B12106</f>
        <v>Dec-2024</v>
      </c>
      <c r="C12106">
        <f>TEST_DATA!C12106</f>
        <v>45227</v>
      </c>
      <c r="D12106" t="str">
        <f>TEST_DATA!D12106</f>
        <v>NON-NIL</v>
      </c>
      <c r="E12106">
        <f>TEST_DATA!E12106</f>
        <v>1728</v>
      </c>
    </row>
    <row r="12107" spans="1:5" x14ac:dyDescent="0.55000000000000004">
      <c r="A12107" t="str">
        <f>TEST_DATA!A12107</f>
        <v>27AAAAA12107Z5</v>
      </c>
      <c r="B12107" t="str">
        <f>TEST_DATA!B12107</f>
        <v>Mar-2021</v>
      </c>
      <c r="C12107">
        <f>TEST_DATA!C12107</f>
        <v>44523</v>
      </c>
      <c r="D12107" t="str">
        <f>TEST_DATA!D12107</f>
        <v>NIL</v>
      </c>
      <c r="E12107">
        <f>TEST_DATA!E12107</f>
        <v>2071</v>
      </c>
    </row>
    <row r="12108" spans="1:5" x14ac:dyDescent="0.55000000000000004">
      <c r="A12108" t="str">
        <f>TEST_DATA!A12108</f>
        <v>27AAAAA12108Z5</v>
      </c>
      <c r="B12108" t="str">
        <f>TEST_DATA!B12108</f>
        <v>Oct-2017</v>
      </c>
      <c r="C12108">
        <f>TEST_DATA!C12108</f>
        <v>43222</v>
      </c>
      <c r="D12108" t="str">
        <f>TEST_DATA!D12108</f>
        <v>NON-NIL</v>
      </c>
      <c r="E12108">
        <f>TEST_DATA!E12108</f>
        <v>2318</v>
      </c>
    </row>
    <row r="12109" spans="1:5" x14ac:dyDescent="0.55000000000000004">
      <c r="A12109" t="str">
        <f>TEST_DATA!A12109</f>
        <v>27AAAAA12109Z5</v>
      </c>
      <c r="B12109" t="str">
        <f>TEST_DATA!B12109</f>
        <v>Jun-2019</v>
      </c>
      <c r="C12109">
        <f>TEST_DATA!C12109</f>
        <v>44244</v>
      </c>
      <c r="D12109" t="str">
        <f>TEST_DATA!D12109</f>
        <v>NON-NIL</v>
      </c>
      <c r="E12109">
        <f>TEST_DATA!E12109</f>
        <v>650</v>
      </c>
    </row>
    <row r="12110" spans="1:5" x14ac:dyDescent="0.55000000000000004">
      <c r="A12110" t="str">
        <f>TEST_DATA!A12110</f>
        <v>27AAAAA12110Z5</v>
      </c>
      <c r="B12110" t="str">
        <f>TEST_DATA!B12110</f>
        <v>Aug-2017</v>
      </c>
      <c r="C12110">
        <f>TEST_DATA!C12110</f>
        <v>43853</v>
      </c>
      <c r="D12110" t="str">
        <f>TEST_DATA!D12110</f>
        <v>NON-NIL</v>
      </c>
      <c r="E12110">
        <f>TEST_DATA!E12110</f>
        <v>2547</v>
      </c>
    </row>
    <row r="12111" spans="1:5" x14ac:dyDescent="0.55000000000000004">
      <c r="A12111" t="str">
        <f>TEST_DATA!A12111</f>
        <v>27AAAAA12111Z5</v>
      </c>
      <c r="B12111" t="str">
        <f>TEST_DATA!B12111</f>
        <v>Jun-2019</v>
      </c>
      <c r="C12111">
        <f>TEST_DATA!C12111</f>
        <v>45759</v>
      </c>
      <c r="D12111" t="str">
        <f>TEST_DATA!D12111</f>
        <v>NON-NIL</v>
      </c>
      <c r="E12111">
        <f>TEST_DATA!E12111</f>
        <v>2395</v>
      </c>
    </row>
    <row r="12112" spans="1:5" x14ac:dyDescent="0.55000000000000004">
      <c r="A12112" t="str">
        <f>TEST_DATA!A12112</f>
        <v>27AAAAA12112Z5</v>
      </c>
      <c r="B12112" t="str">
        <f>TEST_DATA!B12112</f>
        <v>Dec-2024</v>
      </c>
      <c r="C12112">
        <f>TEST_DATA!C12112</f>
        <v>44780</v>
      </c>
      <c r="D12112" t="str">
        <f>TEST_DATA!D12112</f>
        <v>NIL</v>
      </c>
      <c r="E12112">
        <f>TEST_DATA!E12112</f>
        <v>705</v>
      </c>
    </row>
    <row r="12113" spans="1:5" x14ac:dyDescent="0.55000000000000004">
      <c r="A12113" t="str">
        <f>TEST_DATA!A12113</f>
        <v>27AAAAA12113Z5</v>
      </c>
      <c r="B12113" t="str">
        <f>TEST_DATA!B12113</f>
        <v>Jul-2018</v>
      </c>
      <c r="C12113">
        <f>TEST_DATA!C12113</f>
        <v>42926</v>
      </c>
      <c r="D12113" t="str">
        <f>TEST_DATA!D12113</f>
        <v>NIL</v>
      </c>
      <c r="E12113">
        <f>TEST_DATA!E12113</f>
        <v>1</v>
      </c>
    </row>
    <row r="12114" spans="1:5" x14ac:dyDescent="0.55000000000000004">
      <c r="A12114" t="str">
        <f>TEST_DATA!A12114</f>
        <v>27AAAAA12114Z5</v>
      </c>
      <c r="B12114" t="str">
        <f>TEST_DATA!B12114</f>
        <v>Feb-2018</v>
      </c>
      <c r="C12114">
        <f>TEST_DATA!C12114</f>
        <v>43375</v>
      </c>
      <c r="D12114" t="str">
        <f>TEST_DATA!D12114</f>
        <v>NIL</v>
      </c>
      <c r="E12114">
        <f>TEST_DATA!E12114</f>
        <v>2965</v>
      </c>
    </row>
    <row r="12115" spans="1:5" x14ac:dyDescent="0.55000000000000004">
      <c r="A12115" t="str">
        <f>TEST_DATA!A12115</f>
        <v>27AAAAA12115Z5</v>
      </c>
      <c r="B12115" t="str">
        <f>TEST_DATA!B12115</f>
        <v>Dec-2022</v>
      </c>
      <c r="C12115">
        <f>TEST_DATA!C12115</f>
        <v>44529</v>
      </c>
      <c r="D12115" t="str">
        <f>TEST_DATA!D12115</f>
        <v>NON-NIL</v>
      </c>
      <c r="E12115">
        <f>TEST_DATA!E12115</f>
        <v>1513</v>
      </c>
    </row>
    <row r="12116" spans="1:5" x14ac:dyDescent="0.55000000000000004">
      <c r="A12116" t="str">
        <f>TEST_DATA!A12116</f>
        <v>27AAAAA12116Z5</v>
      </c>
      <c r="B12116" t="str">
        <f>TEST_DATA!B12116</f>
        <v>Aug-2018</v>
      </c>
      <c r="C12116">
        <f>TEST_DATA!C12116</f>
        <v>44323</v>
      </c>
      <c r="D12116" t="str">
        <f>TEST_DATA!D12116</f>
        <v>NON-NIL</v>
      </c>
      <c r="E12116">
        <f>TEST_DATA!E12116</f>
        <v>2029</v>
      </c>
    </row>
    <row r="12117" spans="1:5" x14ac:dyDescent="0.55000000000000004">
      <c r="A12117" t="str">
        <f>TEST_DATA!A12117</f>
        <v>27AAAAA12117Z5</v>
      </c>
      <c r="B12117" t="str">
        <f>TEST_DATA!B12117</f>
        <v>Jul-2020</v>
      </c>
      <c r="C12117">
        <f>TEST_DATA!C12117</f>
        <v>44076</v>
      </c>
      <c r="D12117" t="str">
        <f>TEST_DATA!D12117</f>
        <v>NON-NIL</v>
      </c>
      <c r="E12117">
        <f>TEST_DATA!E12117</f>
        <v>1600</v>
      </c>
    </row>
    <row r="12118" spans="1:5" x14ac:dyDescent="0.55000000000000004">
      <c r="A12118" t="str">
        <f>TEST_DATA!A12118</f>
        <v>27AAAAA12118Z5</v>
      </c>
      <c r="B12118" t="str">
        <f>TEST_DATA!B12118</f>
        <v>Jun-2018</v>
      </c>
      <c r="C12118">
        <f>TEST_DATA!C12118</f>
        <v>43922</v>
      </c>
      <c r="D12118" t="str">
        <f>TEST_DATA!D12118</f>
        <v>NIL</v>
      </c>
      <c r="E12118">
        <f>TEST_DATA!E12118</f>
        <v>864</v>
      </c>
    </row>
    <row r="12119" spans="1:5" x14ac:dyDescent="0.55000000000000004">
      <c r="A12119" t="str">
        <f>TEST_DATA!A12119</f>
        <v>27AAAAA12119Z5</v>
      </c>
      <c r="B12119" t="str">
        <f>TEST_DATA!B12119</f>
        <v>Jul-2017</v>
      </c>
      <c r="C12119">
        <f>TEST_DATA!C12119</f>
        <v>43501</v>
      </c>
      <c r="D12119" t="str">
        <f>TEST_DATA!D12119</f>
        <v>NON-NIL</v>
      </c>
      <c r="E12119">
        <f>TEST_DATA!E12119</f>
        <v>234</v>
      </c>
    </row>
    <row r="12120" spans="1:5" x14ac:dyDescent="0.55000000000000004">
      <c r="A12120" t="str">
        <f>TEST_DATA!A12120</f>
        <v>27AAAAA12120Z5</v>
      </c>
      <c r="B12120" t="str">
        <f>TEST_DATA!B12120</f>
        <v>Apr-2018</v>
      </c>
      <c r="C12120">
        <f>TEST_DATA!C12120</f>
        <v>43398</v>
      </c>
      <c r="D12120" t="str">
        <f>TEST_DATA!D12120</f>
        <v>NON-NIL</v>
      </c>
      <c r="E12120">
        <f>TEST_DATA!E12120</f>
        <v>1190</v>
      </c>
    </row>
    <row r="12121" spans="1:5" x14ac:dyDescent="0.55000000000000004">
      <c r="A12121" t="str">
        <f>TEST_DATA!A12121</f>
        <v>27AAAAA12121Z5</v>
      </c>
      <c r="B12121" t="str">
        <f>TEST_DATA!B12121</f>
        <v>May-2020</v>
      </c>
      <c r="C12121">
        <f>TEST_DATA!C12121</f>
        <v>44036</v>
      </c>
      <c r="D12121" t="str">
        <f>TEST_DATA!D12121</f>
        <v>NON-NIL</v>
      </c>
      <c r="E12121">
        <f>TEST_DATA!E12121</f>
        <v>1108</v>
      </c>
    </row>
    <row r="12122" spans="1:5" x14ac:dyDescent="0.55000000000000004">
      <c r="A12122" t="str">
        <f>TEST_DATA!A12122</f>
        <v>27AAAAA12122Z5</v>
      </c>
      <c r="B12122" t="str">
        <f>TEST_DATA!B12122</f>
        <v>Jun-2018</v>
      </c>
      <c r="C12122">
        <f>TEST_DATA!C12122</f>
        <v>42997</v>
      </c>
      <c r="D12122" t="str">
        <f>TEST_DATA!D12122</f>
        <v>NON-NIL</v>
      </c>
      <c r="E12122">
        <f>TEST_DATA!E12122</f>
        <v>590</v>
      </c>
    </row>
    <row r="12123" spans="1:5" x14ac:dyDescent="0.55000000000000004">
      <c r="A12123" t="str">
        <f>TEST_DATA!A12123</f>
        <v>27AAAAA12123Z5</v>
      </c>
      <c r="B12123" t="str">
        <f>TEST_DATA!B12123</f>
        <v>Dec-2024</v>
      </c>
      <c r="C12123">
        <f>TEST_DATA!C12123</f>
        <v>45774</v>
      </c>
      <c r="D12123" t="str">
        <f>TEST_DATA!D12123</f>
        <v>NON-NIL</v>
      </c>
      <c r="E12123">
        <f>TEST_DATA!E12123</f>
        <v>778</v>
      </c>
    </row>
    <row r="12124" spans="1:5" x14ac:dyDescent="0.55000000000000004">
      <c r="A12124" t="str">
        <f>TEST_DATA!A12124</f>
        <v>27AAAAA12124Z5</v>
      </c>
      <c r="B12124" t="str">
        <f>TEST_DATA!B12124</f>
        <v>Apr-2021</v>
      </c>
      <c r="C12124">
        <f>TEST_DATA!C12124</f>
        <v>43999</v>
      </c>
      <c r="D12124" t="str">
        <f>TEST_DATA!D12124</f>
        <v>NIL</v>
      </c>
      <c r="E12124">
        <f>TEST_DATA!E12124</f>
        <v>926</v>
      </c>
    </row>
    <row r="12125" spans="1:5" x14ac:dyDescent="0.55000000000000004">
      <c r="A12125" t="str">
        <f>TEST_DATA!A12125</f>
        <v>27AAAAA12125Z5</v>
      </c>
      <c r="B12125" t="str">
        <f>TEST_DATA!B12125</f>
        <v>Jul-2017</v>
      </c>
      <c r="C12125">
        <f>TEST_DATA!C12125</f>
        <v>43883</v>
      </c>
      <c r="D12125" t="str">
        <f>TEST_DATA!D12125</f>
        <v>NIL</v>
      </c>
      <c r="E12125">
        <f>TEST_DATA!E12125</f>
        <v>1110</v>
      </c>
    </row>
    <row r="12126" spans="1:5" x14ac:dyDescent="0.55000000000000004">
      <c r="A12126" t="str">
        <f>TEST_DATA!A12126</f>
        <v>27AAAAA12126Z5</v>
      </c>
      <c r="B12126" t="str">
        <f>TEST_DATA!B12126</f>
        <v>Dec-2024</v>
      </c>
      <c r="C12126">
        <f>TEST_DATA!C12126</f>
        <v>45729</v>
      </c>
      <c r="D12126" t="str">
        <f>TEST_DATA!D12126</f>
        <v>NON-NIL</v>
      </c>
      <c r="E12126">
        <f>TEST_DATA!E12126</f>
        <v>1579</v>
      </c>
    </row>
    <row r="12127" spans="1:5" x14ac:dyDescent="0.55000000000000004">
      <c r="A12127" t="str">
        <f>TEST_DATA!A12127</f>
        <v>27AAAAA12127Z5</v>
      </c>
      <c r="B12127" t="str">
        <f>TEST_DATA!B12127</f>
        <v>Mar-2018</v>
      </c>
      <c r="C12127">
        <f>TEST_DATA!C12127</f>
        <v>43109</v>
      </c>
      <c r="D12127" t="str">
        <f>TEST_DATA!D12127</f>
        <v>NIL</v>
      </c>
      <c r="E12127">
        <f>TEST_DATA!E12127</f>
        <v>1692</v>
      </c>
    </row>
    <row r="12128" spans="1:5" x14ac:dyDescent="0.55000000000000004">
      <c r="A12128" t="str">
        <f>TEST_DATA!A12128</f>
        <v>27AAAAA12128Z5</v>
      </c>
      <c r="B12128" t="str">
        <f>TEST_DATA!B12128</f>
        <v>Oct-2017</v>
      </c>
      <c r="C12128">
        <f>TEST_DATA!C12128</f>
        <v>43362</v>
      </c>
      <c r="D12128" t="str">
        <f>TEST_DATA!D12128</f>
        <v>NON-NIL</v>
      </c>
      <c r="E12128">
        <f>TEST_DATA!E12128</f>
        <v>1487</v>
      </c>
    </row>
    <row r="12129" spans="1:5" x14ac:dyDescent="0.55000000000000004">
      <c r="A12129" t="str">
        <f>TEST_DATA!A12129</f>
        <v>27AAAAA12129Z5</v>
      </c>
      <c r="B12129" t="str">
        <f>TEST_DATA!B12129</f>
        <v>Jan-2019</v>
      </c>
      <c r="C12129">
        <f>TEST_DATA!C12129</f>
        <v>44495</v>
      </c>
      <c r="D12129" t="str">
        <f>TEST_DATA!D12129</f>
        <v>NON-NIL</v>
      </c>
      <c r="E12129">
        <f>TEST_DATA!E12129</f>
        <v>2228</v>
      </c>
    </row>
    <row r="12130" spans="1:5" x14ac:dyDescent="0.55000000000000004">
      <c r="A12130" t="str">
        <f>TEST_DATA!A12130</f>
        <v>27AAAAA12130Z5</v>
      </c>
      <c r="B12130" t="str">
        <f>TEST_DATA!B12130</f>
        <v>Jul-2018</v>
      </c>
      <c r="C12130">
        <f>TEST_DATA!C12130</f>
        <v>43159</v>
      </c>
      <c r="D12130" t="str">
        <f>TEST_DATA!D12130</f>
        <v>NIL</v>
      </c>
      <c r="E12130">
        <f>TEST_DATA!E12130</f>
        <v>2817</v>
      </c>
    </row>
    <row r="12131" spans="1:5" x14ac:dyDescent="0.55000000000000004">
      <c r="A12131" t="str">
        <f>TEST_DATA!A12131</f>
        <v>27AAAAA12131Z5</v>
      </c>
      <c r="B12131" t="str">
        <f>TEST_DATA!B12131</f>
        <v>May-2018</v>
      </c>
      <c r="C12131">
        <f>TEST_DATA!C12131</f>
        <v>43949</v>
      </c>
      <c r="D12131" t="str">
        <f>TEST_DATA!D12131</f>
        <v>NIL</v>
      </c>
      <c r="E12131">
        <f>TEST_DATA!E12131</f>
        <v>2361</v>
      </c>
    </row>
    <row r="12132" spans="1:5" x14ac:dyDescent="0.55000000000000004">
      <c r="A12132" t="str">
        <f>TEST_DATA!A12132</f>
        <v>27AAAAA12132Z5</v>
      </c>
      <c r="B12132" t="str">
        <f>TEST_DATA!B12132</f>
        <v>Feb-2018</v>
      </c>
      <c r="C12132">
        <f>TEST_DATA!C12132</f>
        <v>43556</v>
      </c>
      <c r="D12132" t="str">
        <f>TEST_DATA!D12132</f>
        <v>NIL</v>
      </c>
      <c r="E12132">
        <f>TEST_DATA!E12132</f>
        <v>2122</v>
      </c>
    </row>
    <row r="12133" spans="1:5" x14ac:dyDescent="0.55000000000000004">
      <c r="A12133" t="str">
        <f>TEST_DATA!A12133</f>
        <v>27AAAAA12133Z5</v>
      </c>
      <c r="B12133" t="str">
        <f>TEST_DATA!B12133</f>
        <v>Feb-2018</v>
      </c>
      <c r="C12133">
        <f>TEST_DATA!C12133</f>
        <v>43672</v>
      </c>
      <c r="D12133" t="str">
        <f>TEST_DATA!D12133</f>
        <v>NON-NIL</v>
      </c>
      <c r="E12133">
        <f>TEST_DATA!E12133</f>
        <v>2594</v>
      </c>
    </row>
    <row r="12134" spans="1:5" x14ac:dyDescent="0.55000000000000004">
      <c r="A12134" t="str">
        <f>TEST_DATA!A12134</f>
        <v>27AAAAA12134Z5</v>
      </c>
      <c r="B12134" t="str">
        <f>TEST_DATA!B12134</f>
        <v>Dec-2022</v>
      </c>
      <c r="C12134">
        <f>TEST_DATA!C12134</f>
        <v>44609</v>
      </c>
      <c r="D12134" t="str">
        <f>TEST_DATA!D12134</f>
        <v>NIL</v>
      </c>
      <c r="E12134">
        <f>TEST_DATA!E12134</f>
        <v>2766</v>
      </c>
    </row>
    <row r="12135" spans="1:5" x14ac:dyDescent="0.55000000000000004">
      <c r="A12135" t="str">
        <f>TEST_DATA!A12135</f>
        <v>27AAAAA12135Z5</v>
      </c>
      <c r="B12135" t="str">
        <f>TEST_DATA!B12135</f>
        <v>May-2020</v>
      </c>
      <c r="C12135">
        <f>TEST_DATA!C12135</f>
        <v>44801</v>
      </c>
      <c r="D12135" t="str">
        <f>TEST_DATA!D12135</f>
        <v>NON-NIL</v>
      </c>
      <c r="E12135">
        <f>TEST_DATA!E12135</f>
        <v>2312</v>
      </c>
    </row>
    <row r="12136" spans="1:5" x14ac:dyDescent="0.55000000000000004">
      <c r="A12136" t="str">
        <f>TEST_DATA!A12136</f>
        <v>27AAAAA12136Z5</v>
      </c>
      <c r="B12136" t="str">
        <f>TEST_DATA!B12136</f>
        <v>Dec-2019</v>
      </c>
      <c r="C12136">
        <f>TEST_DATA!C12136</f>
        <v>45554</v>
      </c>
      <c r="D12136" t="str">
        <f>TEST_DATA!D12136</f>
        <v>NIL</v>
      </c>
      <c r="E12136">
        <f>TEST_DATA!E12136</f>
        <v>2414</v>
      </c>
    </row>
    <row r="12137" spans="1:5" x14ac:dyDescent="0.55000000000000004">
      <c r="A12137" t="str">
        <f>TEST_DATA!A12137</f>
        <v>27AAAAA12137Z5</v>
      </c>
      <c r="B12137" t="str">
        <f>TEST_DATA!B12137</f>
        <v>Dec-2017</v>
      </c>
      <c r="C12137">
        <f>TEST_DATA!C12137</f>
        <v>42948</v>
      </c>
      <c r="D12137" t="str">
        <f>TEST_DATA!D12137</f>
        <v>NON-NIL</v>
      </c>
      <c r="E12137">
        <f>TEST_DATA!E12137</f>
        <v>2506</v>
      </c>
    </row>
    <row r="12138" spans="1:5" x14ac:dyDescent="0.55000000000000004">
      <c r="A12138" t="str">
        <f>TEST_DATA!A12138</f>
        <v>27AAAAA12138Z5</v>
      </c>
      <c r="B12138" t="str">
        <f>TEST_DATA!B12138</f>
        <v>Jul-2018</v>
      </c>
      <c r="C12138">
        <f>TEST_DATA!C12138</f>
        <v>43680</v>
      </c>
      <c r="D12138" t="str">
        <f>TEST_DATA!D12138</f>
        <v>NON-NIL</v>
      </c>
      <c r="E12138">
        <f>TEST_DATA!E12138</f>
        <v>2511</v>
      </c>
    </row>
    <row r="12139" spans="1:5" x14ac:dyDescent="0.55000000000000004">
      <c r="A12139" t="str">
        <f>TEST_DATA!A12139</f>
        <v>27AAAAA12139Z5</v>
      </c>
      <c r="B12139" t="str">
        <f>TEST_DATA!B12139</f>
        <v>Jan-2018</v>
      </c>
      <c r="C12139">
        <f>TEST_DATA!C12139</f>
        <v>43281</v>
      </c>
      <c r="D12139" t="str">
        <f>TEST_DATA!D12139</f>
        <v>NON-NIL</v>
      </c>
      <c r="E12139">
        <f>TEST_DATA!E12139</f>
        <v>2720</v>
      </c>
    </row>
    <row r="12140" spans="1:5" x14ac:dyDescent="0.55000000000000004">
      <c r="A12140" t="str">
        <f>TEST_DATA!A12140</f>
        <v>27AAAAA12140Z5</v>
      </c>
      <c r="B12140" t="str">
        <f>TEST_DATA!B12140</f>
        <v>Apr-2020</v>
      </c>
      <c r="C12140">
        <f>TEST_DATA!C12140</f>
        <v>44680</v>
      </c>
      <c r="D12140" t="str">
        <f>TEST_DATA!D12140</f>
        <v>NIL</v>
      </c>
      <c r="E12140">
        <f>TEST_DATA!E12140</f>
        <v>1877</v>
      </c>
    </row>
    <row r="12141" spans="1:5" x14ac:dyDescent="0.55000000000000004">
      <c r="A12141" t="str">
        <f>TEST_DATA!A12141</f>
        <v>27AAAAA12141Z5</v>
      </c>
      <c r="B12141" t="str">
        <f>TEST_DATA!B12141</f>
        <v>Aug-2018</v>
      </c>
      <c r="C12141">
        <f>TEST_DATA!C12141</f>
        <v>44326</v>
      </c>
      <c r="D12141" t="str">
        <f>TEST_DATA!D12141</f>
        <v>NIL</v>
      </c>
      <c r="E12141">
        <f>TEST_DATA!E12141</f>
        <v>568</v>
      </c>
    </row>
    <row r="12142" spans="1:5" x14ac:dyDescent="0.55000000000000004">
      <c r="A12142" t="str">
        <f>TEST_DATA!A12142</f>
        <v>27AAAAA12142Z5</v>
      </c>
      <c r="B12142" t="str">
        <f>TEST_DATA!B12142</f>
        <v>Feb-2018</v>
      </c>
      <c r="C12142">
        <f>TEST_DATA!C12142</f>
        <v>43765</v>
      </c>
      <c r="D12142" t="str">
        <f>TEST_DATA!D12142</f>
        <v>NIL</v>
      </c>
      <c r="E12142">
        <f>TEST_DATA!E12142</f>
        <v>339</v>
      </c>
    </row>
    <row r="12143" spans="1:5" x14ac:dyDescent="0.55000000000000004">
      <c r="A12143" t="str">
        <f>TEST_DATA!A12143</f>
        <v>27AAAAA12143Z5</v>
      </c>
      <c r="B12143" t="str">
        <f>TEST_DATA!B12143</f>
        <v>Apr-2021</v>
      </c>
      <c r="C12143">
        <f>TEST_DATA!C12143</f>
        <v>44178</v>
      </c>
      <c r="D12143" t="str">
        <f>TEST_DATA!D12143</f>
        <v>NON-NIL</v>
      </c>
      <c r="E12143">
        <f>TEST_DATA!E12143</f>
        <v>1394</v>
      </c>
    </row>
    <row r="12144" spans="1:5" x14ac:dyDescent="0.55000000000000004">
      <c r="A12144" t="str">
        <f>TEST_DATA!A12144</f>
        <v>27AAAAA12144Z5</v>
      </c>
      <c r="B12144" t="str">
        <f>TEST_DATA!B12144</f>
        <v>Feb-2018</v>
      </c>
      <c r="C12144">
        <f>TEST_DATA!C12144</f>
        <v>43437</v>
      </c>
      <c r="D12144" t="str">
        <f>TEST_DATA!D12144</f>
        <v>NIL</v>
      </c>
      <c r="E12144">
        <f>TEST_DATA!E12144</f>
        <v>2180</v>
      </c>
    </row>
    <row r="12145" spans="1:5" x14ac:dyDescent="0.55000000000000004">
      <c r="A12145" t="str">
        <f>TEST_DATA!A12145</f>
        <v>27AAAAA12145Z5</v>
      </c>
      <c r="B12145" t="str">
        <f>TEST_DATA!B12145</f>
        <v>Jan-2018</v>
      </c>
      <c r="C12145">
        <f>TEST_DATA!C12145</f>
        <v>44172</v>
      </c>
      <c r="D12145" t="str">
        <f>TEST_DATA!D12145</f>
        <v>NON-NIL</v>
      </c>
      <c r="E12145">
        <f>TEST_DATA!E12145</f>
        <v>1389</v>
      </c>
    </row>
    <row r="12146" spans="1:5" x14ac:dyDescent="0.55000000000000004">
      <c r="A12146" t="str">
        <f>TEST_DATA!A12146</f>
        <v>27AAAAA12146Z5</v>
      </c>
      <c r="B12146" t="str">
        <f>TEST_DATA!B12146</f>
        <v>May-2020</v>
      </c>
      <c r="C12146">
        <f>TEST_DATA!C12146</f>
        <v>44794</v>
      </c>
      <c r="D12146" t="str">
        <f>TEST_DATA!D12146</f>
        <v>NIL</v>
      </c>
      <c r="E12146">
        <f>TEST_DATA!E12146</f>
        <v>659</v>
      </c>
    </row>
    <row r="12147" spans="1:5" x14ac:dyDescent="0.55000000000000004">
      <c r="A12147" t="str">
        <f>TEST_DATA!A12147</f>
        <v>27AAAAA12147Z5</v>
      </c>
      <c r="B12147" t="str">
        <f>TEST_DATA!B12147</f>
        <v>Dec-2024</v>
      </c>
      <c r="C12147">
        <f>TEST_DATA!C12147</f>
        <v>44015</v>
      </c>
      <c r="D12147" t="str">
        <f>TEST_DATA!D12147</f>
        <v>NIL</v>
      </c>
      <c r="E12147">
        <f>TEST_DATA!E12147</f>
        <v>360</v>
      </c>
    </row>
    <row r="12148" spans="1:5" x14ac:dyDescent="0.55000000000000004">
      <c r="A12148" t="str">
        <f>TEST_DATA!A12148</f>
        <v>27AAAAA12148Z5</v>
      </c>
      <c r="B12148" t="str">
        <f>TEST_DATA!B12148</f>
        <v>Mar-2023</v>
      </c>
      <c r="C12148">
        <f>TEST_DATA!C12148</f>
        <v>45327</v>
      </c>
      <c r="D12148" t="str">
        <f>TEST_DATA!D12148</f>
        <v>NON-NIL</v>
      </c>
      <c r="E12148">
        <f>TEST_DATA!E12148</f>
        <v>330</v>
      </c>
    </row>
    <row r="12149" spans="1:5" x14ac:dyDescent="0.55000000000000004">
      <c r="A12149" t="str">
        <f>TEST_DATA!A12149</f>
        <v>27AAAAA12149Z5</v>
      </c>
      <c r="B12149" t="str">
        <f>TEST_DATA!B12149</f>
        <v>Jun-2020</v>
      </c>
      <c r="C12149">
        <f>TEST_DATA!C12149</f>
        <v>43885</v>
      </c>
      <c r="D12149" t="str">
        <f>TEST_DATA!D12149</f>
        <v>NON-NIL</v>
      </c>
      <c r="E12149">
        <f>TEST_DATA!E12149</f>
        <v>532</v>
      </c>
    </row>
    <row r="12150" spans="1:5" x14ac:dyDescent="0.55000000000000004">
      <c r="A12150" t="str">
        <f>TEST_DATA!A12150</f>
        <v>27AAAAA12150Z5</v>
      </c>
      <c r="B12150" t="str">
        <f>TEST_DATA!B12150</f>
        <v>Mar-2020</v>
      </c>
      <c r="C12150">
        <f>TEST_DATA!C12150</f>
        <v>44437</v>
      </c>
      <c r="D12150" t="str">
        <f>TEST_DATA!D12150</f>
        <v>NON-NIL</v>
      </c>
      <c r="E12150">
        <f>TEST_DATA!E12150</f>
        <v>72</v>
      </c>
    </row>
    <row r="12151" spans="1:5" x14ac:dyDescent="0.55000000000000004">
      <c r="A12151" t="str">
        <f>TEST_DATA!A12151</f>
        <v>27AAAAA12151Z5</v>
      </c>
      <c r="B12151" t="str">
        <f>TEST_DATA!B12151</f>
        <v>Nov-2017</v>
      </c>
      <c r="C12151">
        <f>TEST_DATA!C12151</f>
        <v>44450</v>
      </c>
      <c r="D12151" t="str">
        <f>TEST_DATA!D12151</f>
        <v>NON-NIL</v>
      </c>
      <c r="E12151">
        <f>TEST_DATA!E12151</f>
        <v>2705</v>
      </c>
    </row>
    <row r="12152" spans="1:5" x14ac:dyDescent="0.55000000000000004">
      <c r="A12152" t="str">
        <f>TEST_DATA!A12152</f>
        <v>27AAAAA12152Z5</v>
      </c>
      <c r="B12152" t="str">
        <f>TEST_DATA!B12152</f>
        <v>Mar-2021</v>
      </c>
      <c r="C12152">
        <f>TEST_DATA!C12152</f>
        <v>45806</v>
      </c>
      <c r="D12152" t="str">
        <f>TEST_DATA!D12152</f>
        <v>NON-NIL</v>
      </c>
      <c r="E12152">
        <f>TEST_DATA!E12152</f>
        <v>1095</v>
      </c>
    </row>
    <row r="12153" spans="1:5" x14ac:dyDescent="0.55000000000000004">
      <c r="A12153" t="str">
        <f>TEST_DATA!A12153</f>
        <v>27AAAAA12153Z5</v>
      </c>
      <c r="B12153" t="str">
        <f>TEST_DATA!B12153</f>
        <v>Sep-2018</v>
      </c>
      <c r="C12153">
        <f>TEST_DATA!C12153</f>
        <v>43374</v>
      </c>
      <c r="D12153" t="str">
        <f>TEST_DATA!D12153</f>
        <v>NON-NIL</v>
      </c>
      <c r="E12153">
        <f>TEST_DATA!E12153</f>
        <v>2731</v>
      </c>
    </row>
    <row r="12154" spans="1:5" x14ac:dyDescent="0.55000000000000004">
      <c r="A12154" t="str">
        <f>TEST_DATA!A12154</f>
        <v>27AAAAA12154Z5</v>
      </c>
      <c r="B12154" t="str">
        <f>TEST_DATA!B12154</f>
        <v>Jan-2018</v>
      </c>
      <c r="C12154">
        <f>TEST_DATA!C12154</f>
        <v>43485</v>
      </c>
      <c r="D12154" t="str">
        <f>TEST_DATA!D12154</f>
        <v>NIL</v>
      </c>
      <c r="E12154">
        <f>TEST_DATA!E12154</f>
        <v>2631</v>
      </c>
    </row>
    <row r="12155" spans="1:5" x14ac:dyDescent="0.55000000000000004">
      <c r="A12155" t="str">
        <f>TEST_DATA!A12155</f>
        <v>27AAAAA12155Z5</v>
      </c>
      <c r="B12155" t="str">
        <f>TEST_DATA!B12155</f>
        <v>Apr-2018</v>
      </c>
      <c r="C12155">
        <f>TEST_DATA!C12155</f>
        <v>44343</v>
      </c>
      <c r="D12155" t="str">
        <f>TEST_DATA!D12155</f>
        <v>NIL</v>
      </c>
      <c r="E12155">
        <f>TEST_DATA!E12155</f>
        <v>2544</v>
      </c>
    </row>
    <row r="12156" spans="1:5" x14ac:dyDescent="0.55000000000000004">
      <c r="A12156" t="str">
        <f>TEST_DATA!A12156</f>
        <v>27AAAAA12156Z5</v>
      </c>
      <c r="B12156" t="str">
        <f>TEST_DATA!B12156</f>
        <v>Sep-2017</v>
      </c>
      <c r="C12156">
        <f>TEST_DATA!C12156</f>
        <v>42979</v>
      </c>
      <c r="D12156" t="str">
        <f>TEST_DATA!D12156</f>
        <v>NIL</v>
      </c>
      <c r="E12156">
        <f>TEST_DATA!E12156</f>
        <v>762</v>
      </c>
    </row>
    <row r="12157" spans="1:5" x14ac:dyDescent="0.55000000000000004">
      <c r="A12157" t="str">
        <f>TEST_DATA!A12157</f>
        <v>27AAAAA12157Z5</v>
      </c>
      <c r="B12157" t="str">
        <f>TEST_DATA!B12157</f>
        <v>Feb-2018</v>
      </c>
      <c r="C12157">
        <f>TEST_DATA!C12157</f>
        <v>44424</v>
      </c>
      <c r="D12157" t="str">
        <f>TEST_DATA!D12157</f>
        <v>NIL</v>
      </c>
      <c r="E12157">
        <f>TEST_DATA!E12157</f>
        <v>2165</v>
      </c>
    </row>
    <row r="12158" spans="1:5" x14ac:dyDescent="0.55000000000000004">
      <c r="A12158" t="str">
        <f>TEST_DATA!A12158</f>
        <v>27AAAAA12158Z5</v>
      </c>
      <c r="B12158" t="str">
        <f>TEST_DATA!B12158</f>
        <v>Aug-2018</v>
      </c>
      <c r="C12158">
        <f>TEST_DATA!C12158</f>
        <v>44274</v>
      </c>
      <c r="D12158" t="str">
        <f>TEST_DATA!D12158</f>
        <v>NON-NIL</v>
      </c>
      <c r="E12158">
        <f>TEST_DATA!E12158</f>
        <v>1919</v>
      </c>
    </row>
    <row r="12159" spans="1:5" x14ac:dyDescent="0.55000000000000004">
      <c r="A12159" t="str">
        <f>TEST_DATA!A12159</f>
        <v>27AAAAA12159Z5</v>
      </c>
      <c r="B12159" t="str">
        <f>TEST_DATA!B12159</f>
        <v>Mar-2023</v>
      </c>
      <c r="C12159">
        <f>TEST_DATA!C12159</f>
        <v>45813</v>
      </c>
      <c r="D12159" t="str">
        <f>TEST_DATA!D12159</f>
        <v>NIL</v>
      </c>
      <c r="E12159">
        <f>TEST_DATA!E12159</f>
        <v>1738</v>
      </c>
    </row>
    <row r="12160" spans="1:5" x14ac:dyDescent="0.55000000000000004">
      <c r="A12160" t="str">
        <f>TEST_DATA!A12160</f>
        <v>27AAAAA12160Z5</v>
      </c>
      <c r="B12160" t="str">
        <f>TEST_DATA!B12160</f>
        <v>Aug-2018</v>
      </c>
      <c r="C12160">
        <f>TEST_DATA!C12160</f>
        <v>44227</v>
      </c>
      <c r="D12160" t="str">
        <f>TEST_DATA!D12160</f>
        <v>NON-NIL</v>
      </c>
      <c r="E12160">
        <f>TEST_DATA!E12160</f>
        <v>1052</v>
      </c>
    </row>
    <row r="12161" spans="1:5" x14ac:dyDescent="0.55000000000000004">
      <c r="A12161" t="str">
        <f>TEST_DATA!A12161</f>
        <v>27AAAAA12161Z5</v>
      </c>
      <c r="B12161" t="str">
        <f>TEST_DATA!B12161</f>
        <v>Jan-2019</v>
      </c>
      <c r="C12161">
        <f>TEST_DATA!C12161</f>
        <v>45440</v>
      </c>
      <c r="D12161" t="str">
        <f>TEST_DATA!D12161</f>
        <v>NIL</v>
      </c>
      <c r="E12161">
        <f>TEST_DATA!E12161</f>
        <v>211</v>
      </c>
    </row>
    <row r="12162" spans="1:5" x14ac:dyDescent="0.55000000000000004">
      <c r="A12162" t="str">
        <f>TEST_DATA!A12162</f>
        <v>27AAAAA12162Z5</v>
      </c>
      <c r="B12162" t="str">
        <f>TEST_DATA!B12162</f>
        <v>Jul-2020</v>
      </c>
      <c r="C12162">
        <f>TEST_DATA!C12162</f>
        <v>44030</v>
      </c>
      <c r="D12162" t="str">
        <f>TEST_DATA!D12162</f>
        <v>NIL</v>
      </c>
      <c r="E12162">
        <f>TEST_DATA!E12162</f>
        <v>2711</v>
      </c>
    </row>
    <row r="12163" spans="1:5" x14ac:dyDescent="0.55000000000000004">
      <c r="A12163" t="str">
        <f>TEST_DATA!A12163</f>
        <v>27AAAAA12163Z5</v>
      </c>
      <c r="B12163" t="str">
        <f>TEST_DATA!B12163</f>
        <v>Mar-2023</v>
      </c>
      <c r="C12163">
        <f>TEST_DATA!C12163</f>
        <v>43717</v>
      </c>
      <c r="D12163" t="str">
        <f>TEST_DATA!D12163</f>
        <v>NON-NIL</v>
      </c>
      <c r="E12163">
        <f>TEST_DATA!E12163</f>
        <v>6</v>
      </c>
    </row>
    <row r="12164" spans="1:5" x14ac:dyDescent="0.55000000000000004">
      <c r="A12164" t="str">
        <f>TEST_DATA!A12164</f>
        <v>27AAAAA12164Z5</v>
      </c>
      <c r="B12164" t="str">
        <f>TEST_DATA!B12164</f>
        <v>Dec-2019</v>
      </c>
      <c r="C12164">
        <f>TEST_DATA!C12164</f>
        <v>44409</v>
      </c>
      <c r="D12164" t="str">
        <f>TEST_DATA!D12164</f>
        <v>NON-NIL</v>
      </c>
      <c r="E12164">
        <f>TEST_DATA!E12164</f>
        <v>1011</v>
      </c>
    </row>
    <row r="12165" spans="1:5" x14ac:dyDescent="0.55000000000000004">
      <c r="A12165" t="str">
        <f>TEST_DATA!A12165</f>
        <v>27AAAAA12165Z5</v>
      </c>
      <c r="B12165" t="str">
        <f>TEST_DATA!B12165</f>
        <v>Jan-2021</v>
      </c>
      <c r="C12165">
        <f>TEST_DATA!C12165</f>
        <v>45384</v>
      </c>
      <c r="D12165" t="str">
        <f>TEST_DATA!D12165</f>
        <v>NIL</v>
      </c>
      <c r="E12165">
        <f>TEST_DATA!E12165</f>
        <v>1614</v>
      </c>
    </row>
    <row r="12166" spans="1:5" x14ac:dyDescent="0.55000000000000004">
      <c r="A12166" t="str">
        <f>TEST_DATA!A12166</f>
        <v>27AAAAA12166Z5</v>
      </c>
      <c r="B12166" t="str">
        <f>TEST_DATA!B12166</f>
        <v>Jul-2017</v>
      </c>
      <c r="C12166">
        <f>TEST_DATA!C12166</f>
        <v>44539</v>
      </c>
      <c r="D12166" t="str">
        <f>TEST_DATA!D12166</f>
        <v>NIL</v>
      </c>
      <c r="E12166">
        <f>TEST_DATA!E12166</f>
        <v>2631</v>
      </c>
    </row>
    <row r="12167" spans="1:5" x14ac:dyDescent="0.55000000000000004">
      <c r="A12167" t="str">
        <f>TEST_DATA!A12167</f>
        <v>27AAAAA12167Z5</v>
      </c>
      <c r="B12167" t="str">
        <f>TEST_DATA!B12167</f>
        <v>Dec-2019</v>
      </c>
      <c r="C12167">
        <f>TEST_DATA!C12167</f>
        <v>45296</v>
      </c>
      <c r="D12167" t="str">
        <f>TEST_DATA!D12167</f>
        <v>NON-NIL</v>
      </c>
      <c r="E12167">
        <f>TEST_DATA!E12167</f>
        <v>2914</v>
      </c>
    </row>
    <row r="12168" spans="1:5" x14ac:dyDescent="0.55000000000000004">
      <c r="A12168" t="str">
        <f>TEST_DATA!A12168</f>
        <v>27AAAAA12168Z5</v>
      </c>
      <c r="B12168" t="str">
        <f>TEST_DATA!B12168</f>
        <v>Jan-2019</v>
      </c>
      <c r="C12168">
        <f>TEST_DATA!C12168</f>
        <v>44882</v>
      </c>
      <c r="D12168" t="str">
        <f>TEST_DATA!D12168</f>
        <v>NIL</v>
      </c>
      <c r="E12168">
        <f>TEST_DATA!E12168</f>
        <v>771</v>
      </c>
    </row>
    <row r="12169" spans="1:5" x14ac:dyDescent="0.55000000000000004">
      <c r="A12169" t="str">
        <f>TEST_DATA!A12169</f>
        <v>27AAAAA12169Z5</v>
      </c>
      <c r="B12169" t="str">
        <f>TEST_DATA!B12169</f>
        <v>Mar-2023</v>
      </c>
      <c r="C12169">
        <f>TEST_DATA!C12169</f>
        <v>44623</v>
      </c>
      <c r="D12169" t="str">
        <f>TEST_DATA!D12169</f>
        <v>NIL</v>
      </c>
      <c r="E12169">
        <f>TEST_DATA!E12169</f>
        <v>545</v>
      </c>
    </row>
    <row r="12170" spans="1:5" x14ac:dyDescent="0.55000000000000004">
      <c r="A12170" t="str">
        <f>TEST_DATA!A12170</f>
        <v>27AAAAA12170Z5</v>
      </c>
      <c r="B12170" t="str">
        <f>TEST_DATA!B12170</f>
        <v>May-2018</v>
      </c>
      <c r="C12170">
        <f>TEST_DATA!C12170</f>
        <v>43350</v>
      </c>
      <c r="D12170" t="str">
        <f>TEST_DATA!D12170</f>
        <v>NIL</v>
      </c>
      <c r="E12170">
        <f>TEST_DATA!E12170</f>
        <v>2522</v>
      </c>
    </row>
    <row r="12171" spans="1:5" x14ac:dyDescent="0.55000000000000004">
      <c r="A12171" t="str">
        <f>TEST_DATA!A12171</f>
        <v>27AAAAA12171Z5</v>
      </c>
      <c r="B12171" t="str">
        <f>TEST_DATA!B12171</f>
        <v>Nov-2017</v>
      </c>
      <c r="C12171">
        <f>TEST_DATA!C12171</f>
        <v>43191</v>
      </c>
      <c r="D12171" t="str">
        <f>TEST_DATA!D12171</f>
        <v>NON-NIL</v>
      </c>
      <c r="E12171">
        <f>TEST_DATA!E12171</f>
        <v>524</v>
      </c>
    </row>
    <row r="12172" spans="1:5" x14ac:dyDescent="0.55000000000000004">
      <c r="A12172" t="str">
        <f>TEST_DATA!A12172</f>
        <v>27AAAAA12172Z5</v>
      </c>
      <c r="B12172" t="str">
        <f>TEST_DATA!B12172</f>
        <v>Jun-2018</v>
      </c>
      <c r="C12172">
        <f>TEST_DATA!C12172</f>
        <v>44482</v>
      </c>
      <c r="D12172" t="str">
        <f>TEST_DATA!D12172</f>
        <v>NON-NIL</v>
      </c>
      <c r="E12172">
        <f>TEST_DATA!E12172</f>
        <v>1953</v>
      </c>
    </row>
    <row r="12173" spans="1:5" x14ac:dyDescent="0.55000000000000004">
      <c r="A12173" t="str">
        <f>TEST_DATA!A12173</f>
        <v>27AAAAA12173Z5</v>
      </c>
      <c r="B12173" t="str">
        <f>TEST_DATA!B12173</f>
        <v>Sep-2018</v>
      </c>
      <c r="C12173">
        <f>TEST_DATA!C12173</f>
        <v>44493</v>
      </c>
      <c r="D12173" t="str">
        <f>TEST_DATA!D12173</f>
        <v>NIL</v>
      </c>
      <c r="E12173">
        <f>TEST_DATA!E12173</f>
        <v>1867</v>
      </c>
    </row>
    <row r="12174" spans="1:5" x14ac:dyDescent="0.55000000000000004">
      <c r="A12174" t="str">
        <f>TEST_DATA!A12174</f>
        <v>27AAAAA12174Z5</v>
      </c>
      <c r="B12174" t="str">
        <f>TEST_DATA!B12174</f>
        <v>Sep-2018</v>
      </c>
      <c r="C12174">
        <f>TEST_DATA!C12174</f>
        <v>43433</v>
      </c>
      <c r="D12174" t="str">
        <f>TEST_DATA!D12174</f>
        <v>NON-NIL</v>
      </c>
      <c r="E12174">
        <f>TEST_DATA!E12174</f>
        <v>1826</v>
      </c>
    </row>
    <row r="12175" spans="1:5" x14ac:dyDescent="0.55000000000000004">
      <c r="A12175" t="str">
        <f>TEST_DATA!A12175</f>
        <v>27AAAAA12175Z5</v>
      </c>
      <c r="B12175" t="str">
        <f>TEST_DATA!B12175</f>
        <v>Jun-2020</v>
      </c>
      <c r="C12175">
        <f>TEST_DATA!C12175</f>
        <v>44525</v>
      </c>
      <c r="D12175" t="str">
        <f>TEST_DATA!D12175</f>
        <v>NIL</v>
      </c>
      <c r="E12175">
        <f>TEST_DATA!E12175</f>
        <v>675</v>
      </c>
    </row>
    <row r="12176" spans="1:5" x14ac:dyDescent="0.55000000000000004">
      <c r="A12176" t="str">
        <f>TEST_DATA!A12176</f>
        <v>27AAAAA12176Z5</v>
      </c>
      <c r="B12176" t="str">
        <f>TEST_DATA!B12176</f>
        <v>Oct-2017</v>
      </c>
      <c r="C12176">
        <f>TEST_DATA!C12176</f>
        <v>44265</v>
      </c>
      <c r="D12176" t="str">
        <f>TEST_DATA!D12176</f>
        <v>NON-NIL</v>
      </c>
      <c r="E12176">
        <f>TEST_DATA!E12176</f>
        <v>764</v>
      </c>
    </row>
    <row r="12177" spans="1:5" x14ac:dyDescent="0.55000000000000004">
      <c r="A12177" t="str">
        <f>TEST_DATA!A12177</f>
        <v>27AAAAA12177Z5</v>
      </c>
      <c r="B12177" t="str">
        <f>TEST_DATA!B12177</f>
        <v>Sep-2017</v>
      </c>
      <c r="C12177">
        <f>TEST_DATA!C12177</f>
        <v>43121</v>
      </c>
      <c r="D12177" t="str">
        <f>TEST_DATA!D12177</f>
        <v>NON-NIL</v>
      </c>
      <c r="E12177">
        <f>TEST_DATA!E12177</f>
        <v>2155</v>
      </c>
    </row>
    <row r="12178" spans="1:5" x14ac:dyDescent="0.55000000000000004">
      <c r="A12178" t="str">
        <f>TEST_DATA!A12178</f>
        <v>27AAAAA12178Z5</v>
      </c>
      <c r="B12178" t="str">
        <f>TEST_DATA!B12178</f>
        <v>Apr-2018</v>
      </c>
      <c r="C12178">
        <f>TEST_DATA!C12178</f>
        <v>43801</v>
      </c>
      <c r="D12178" t="str">
        <f>TEST_DATA!D12178</f>
        <v>NIL</v>
      </c>
      <c r="E12178">
        <f>TEST_DATA!E12178</f>
        <v>930</v>
      </c>
    </row>
    <row r="12179" spans="1:5" x14ac:dyDescent="0.55000000000000004">
      <c r="A12179" t="str">
        <f>TEST_DATA!A12179</f>
        <v>27AAAAA12179Z5</v>
      </c>
      <c r="B12179" t="str">
        <f>TEST_DATA!B12179</f>
        <v>Jul-2020</v>
      </c>
      <c r="C12179">
        <f>TEST_DATA!C12179</f>
        <v>44606</v>
      </c>
      <c r="D12179" t="str">
        <f>TEST_DATA!D12179</f>
        <v>NIL</v>
      </c>
      <c r="E12179">
        <f>TEST_DATA!E12179</f>
        <v>2175</v>
      </c>
    </row>
    <row r="12180" spans="1:5" x14ac:dyDescent="0.55000000000000004">
      <c r="A12180" t="str">
        <f>TEST_DATA!A12180</f>
        <v>27AAAAA12180Z5</v>
      </c>
      <c r="B12180" t="str">
        <f>TEST_DATA!B12180</f>
        <v>Feb-2018</v>
      </c>
      <c r="C12180">
        <f>TEST_DATA!C12180</f>
        <v>44109</v>
      </c>
      <c r="D12180" t="str">
        <f>TEST_DATA!D12180</f>
        <v>NON-NIL</v>
      </c>
      <c r="E12180">
        <f>TEST_DATA!E12180</f>
        <v>2914</v>
      </c>
    </row>
    <row r="12181" spans="1:5" x14ac:dyDescent="0.55000000000000004">
      <c r="A12181" t="str">
        <f>TEST_DATA!A12181</f>
        <v>27AAAAA12181Z5</v>
      </c>
      <c r="B12181" t="str">
        <f>TEST_DATA!B12181</f>
        <v>Mar-2021</v>
      </c>
      <c r="C12181">
        <f>TEST_DATA!C12181</f>
        <v>45654</v>
      </c>
      <c r="D12181" t="str">
        <f>TEST_DATA!D12181</f>
        <v>NON-NIL</v>
      </c>
      <c r="E12181">
        <f>TEST_DATA!E12181</f>
        <v>2220</v>
      </c>
    </row>
    <row r="12182" spans="1:5" x14ac:dyDescent="0.55000000000000004">
      <c r="A12182" t="str">
        <f>TEST_DATA!A12182</f>
        <v>27AAAAA12182Z5</v>
      </c>
      <c r="B12182" t="str">
        <f>TEST_DATA!B12182</f>
        <v>Dec-2022</v>
      </c>
      <c r="C12182">
        <f>TEST_DATA!C12182</f>
        <v>45536</v>
      </c>
      <c r="D12182" t="str">
        <f>TEST_DATA!D12182</f>
        <v>NON-NIL</v>
      </c>
      <c r="E12182">
        <f>TEST_DATA!E12182</f>
        <v>722</v>
      </c>
    </row>
    <row r="12183" spans="1:5" x14ac:dyDescent="0.55000000000000004">
      <c r="A12183" t="str">
        <f>TEST_DATA!A12183</f>
        <v>27AAAAA12183Z5</v>
      </c>
      <c r="B12183" t="str">
        <f>TEST_DATA!B12183</f>
        <v>Apr-2021</v>
      </c>
      <c r="C12183">
        <f>TEST_DATA!C12183</f>
        <v>43530</v>
      </c>
      <c r="D12183" t="str">
        <f>TEST_DATA!D12183</f>
        <v>NON-NIL</v>
      </c>
      <c r="E12183">
        <f>TEST_DATA!E12183</f>
        <v>1892</v>
      </c>
    </row>
    <row r="12184" spans="1:5" x14ac:dyDescent="0.55000000000000004">
      <c r="A12184" t="str">
        <f>TEST_DATA!A12184</f>
        <v>27AAAAA12184Z5</v>
      </c>
      <c r="B12184" t="str">
        <f>TEST_DATA!B12184</f>
        <v>May-2018</v>
      </c>
      <c r="C12184">
        <f>TEST_DATA!C12184</f>
        <v>44326</v>
      </c>
      <c r="D12184" t="str">
        <f>TEST_DATA!D12184</f>
        <v>NIL</v>
      </c>
      <c r="E12184">
        <f>TEST_DATA!E12184</f>
        <v>1509</v>
      </c>
    </row>
    <row r="12185" spans="1:5" x14ac:dyDescent="0.55000000000000004">
      <c r="A12185" t="str">
        <f>TEST_DATA!A12185</f>
        <v>27AAAAA12185Z5</v>
      </c>
      <c r="B12185" t="str">
        <f>TEST_DATA!B12185</f>
        <v>Jun-2020</v>
      </c>
      <c r="C12185">
        <f>TEST_DATA!C12185</f>
        <v>44861</v>
      </c>
      <c r="D12185" t="str">
        <f>TEST_DATA!D12185</f>
        <v>NON-NIL</v>
      </c>
      <c r="E12185">
        <f>TEST_DATA!E12185</f>
        <v>1831</v>
      </c>
    </row>
    <row r="12186" spans="1:5" x14ac:dyDescent="0.55000000000000004">
      <c r="A12186" t="str">
        <f>TEST_DATA!A12186</f>
        <v>27AAAAA12186Z5</v>
      </c>
      <c r="B12186" t="str">
        <f>TEST_DATA!B12186</f>
        <v>Mar-2021</v>
      </c>
      <c r="C12186">
        <f>TEST_DATA!C12186</f>
        <v>45410</v>
      </c>
      <c r="D12186" t="str">
        <f>TEST_DATA!D12186</f>
        <v>NIL</v>
      </c>
      <c r="E12186">
        <f>TEST_DATA!E12186</f>
        <v>1570</v>
      </c>
    </row>
    <row r="12187" spans="1:5" x14ac:dyDescent="0.55000000000000004">
      <c r="A12187" t="str">
        <f>TEST_DATA!A12187</f>
        <v>27AAAAA12187Z5</v>
      </c>
      <c r="B12187" t="str">
        <f>TEST_DATA!B12187</f>
        <v>Mar-2020</v>
      </c>
      <c r="C12187">
        <f>TEST_DATA!C12187</f>
        <v>44331</v>
      </c>
      <c r="D12187" t="str">
        <f>TEST_DATA!D12187</f>
        <v>NIL</v>
      </c>
      <c r="E12187">
        <f>TEST_DATA!E12187</f>
        <v>2155</v>
      </c>
    </row>
    <row r="12188" spans="1:5" x14ac:dyDescent="0.55000000000000004">
      <c r="A12188" t="str">
        <f>TEST_DATA!A12188</f>
        <v>27AAAAA12188Z5</v>
      </c>
      <c r="B12188" t="str">
        <f>TEST_DATA!B12188</f>
        <v>May-2018</v>
      </c>
      <c r="C12188">
        <f>TEST_DATA!C12188</f>
        <v>43411</v>
      </c>
      <c r="D12188" t="str">
        <f>TEST_DATA!D12188</f>
        <v>NIL</v>
      </c>
      <c r="E12188">
        <f>TEST_DATA!E12188</f>
        <v>2642</v>
      </c>
    </row>
    <row r="12189" spans="1:5" x14ac:dyDescent="0.55000000000000004">
      <c r="A12189" t="str">
        <f>TEST_DATA!A12189</f>
        <v>27AAAAA12189Z5</v>
      </c>
      <c r="B12189" t="str">
        <f>TEST_DATA!B12189</f>
        <v>May-2020</v>
      </c>
      <c r="C12189">
        <f>TEST_DATA!C12189</f>
        <v>43942</v>
      </c>
      <c r="D12189" t="str">
        <f>TEST_DATA!D12189</f>
        <v>NIL</v>
      </c>
      <c r="E12189">
        <f>TEST_DATA!E12189</f>
        <v>1299</v>
      </c>
    </row>
    <row r="12190" spans="1:5" x14ac:dyDescent="0.55000000000000004">
      <c r="A12190" t="str">
        <f>TEST_DATA!A12190</f>
        <v>27AAAAA12190Z5</v>
      </c>
      <c r="B12190" t="str">
        <f>TEST_DATA!B12190</f>
        <v>Apr-2018</v>
      </c>
      <c r="C12190">
        <f>TEST_DATA!C12190</f>
        <v>43751</v>
      </c>
      <c r="D12190" t="str">
        <f>TEST_DATA!D12190</f>
        <v>NIL</v>
      </c>
      <c r="E12190">
        <f>TEST_DATA!E12190</f>
        <v>1719</v>
      </c>
    </row>
    <row r="12191" spans="1:5" x14ac:dyDescent="0.55000000000000004">
      <c r="A12191" t="str">
        <f>TEST_DATA!A12191</f>
        <v>27AAAAA12191Z5</v>
      </c>
      <c r="B12191" t="str">
        <f>TEST_DATA!B12191</f>
        <v>Jul-2020</v>
      </c>
      <c r="C12191">
        <f>TEST_DATA!C12191</f>
        <v>44802</v>
      </c>
      <c r="D12191" t="str">
        <f>TEST_DATA!D12191</f>
        <v>NON-NIL</v>
      </c>
      <c r="E12191">
        <f>TEST_DATA!E12191</f>
        <v>1685</v>
      </c>
    </row>
    <row r="12192" spans="1:5" x14ac:dyDescent="0.55000000000000004">
      <c r="A12192" t="str">
        <f>TEST_DATA!A12192</f>
        <v>27AAAAA12192Z5</v>
      </c>
      <c r="B12192" t="str">
        <f>TEST_DATA!B12192</f>
        <v>Jan-2021</v>
      </c>
      <c r="C12192">
        <f>TEST_DATA!C12192</f>
        <v>45289</v>
      </c>
      <c r="D12192" t="str">
        <f>TEST_DATA!D12192</f>
        <v>NON-NIL</v>
      </c>
      <c r="E12192">
        <f>TEST_DATA!E12192</f>
        <v>2151</v>
      </c>
    </row>
    <row r="12193" spans="1:5" x14ac:dyDescent="0.55000000000000004">
      <c r="A12193" t="str">
        <f>TEST_DATA!A12193</f>
        <v>27AAAAA12193Z5</v>
      </c>
      <c r="B12193" t="str">
        <f>TEST_DATA!B12193</f>
        <v>Jun-2020</v>
      </c>
      <c r="C12193">
        <f>TEST_DATA!C12193</f>
        <v>43970</v>
      </c>
      <c r="D12193" t="str">
        <f>TEST_DATA!D12193</f>
        <v>NON-NIL</v>
      </c>
      <c r="E12193">
        <f>TEST_DATA!E12193</f>
        <v>881</v>
      </c>
    </row>
    <row r="12194" spans="1:5" x14ac:dyDescent="0.55000000000000004">
      <c r="A12194" t="str">
        <f>TEST_DATA!A12194</f>
        <v>27AAAAA12194Z5</v>
      </c>
      <c r="B12194" t="str">
        <f>TEST_DATA!B12194</f>
        <v>Jul-2020</v>
      </c>
      <c r="C12194">
        <f>TEST_DATA!C12194</f>
        <v>44679</v>
      </c>
      <c r="D12194" t="str">
        <f>TEST_DATA!D12194</f>
        <v>NIL</v>
      </c>
      <c r="E12194">
        <f>TEST_DATA!E12194</f>
        <v>920</v>
      </c>
    </row>
    <row r="12195" spans="1:5" x14ac:dyDescent="0.55000000000000004">
      <c r="A12195" t="str">
        <f>TEST_DATA!A12195</f>
        <v>27AAAAA12195Z5</v>
      </c>
      <c r="B12195" t="str">
        <f>TEST_DATA!B12195</f>
        <v>Mar-2023</v>
      </c>
      <c r="C12195">
        <f>TEST_DATA!C12195</f>
        <v>45817</v>
      </c>
      <c r="D12195" t="str">
        <f>TEST_DATA!D12195</f>
        <v>NON-NIL</v>
      </c>
      <c r="E12195">
        <f>TEST_DATA!E12195</f>
        <v>2532</v>
      </c>
    </row>
    <row r="12196" spans="1:5" x14ac:dyDescent="0.55000000000000004">
      <c r="A12196" t="str">
        <f>TEST_DATA!A12196</f>
        <v>27AAAAA12196Z5</v>
      </c>
      <c r="B12196" t="str">
        <f>TEST_DATA!B12196</f>
        <v>Jul-2020</v>
      </c>
      <c r="C12196">
        <f>TEST_DATA!C12196</f>
        <v>44426</v>
      </c>
      <c r="D12196" t="str">
        <f>TEST_DATA!D12196</f>
        <v>NON-NIL</v>
      </c>
      <c r="E12196">
        <f>TEST_DATA!E12196</f>
        <v>2399</v>
      </c>
    </row>
    <row r="12197" spans="1:5" x14ac:dyDescent="0.55000000000000004">
      <c r="A12197" t="str">
        <f>TEST_DATA!A12197</f>
        <v>27AAAAA12197Z5</v>
      </c>
      <c r="B12197" t="str">
        <f>TEST_DATA!B12197</f>
        <v>Nov-2017</v>
      </c>
      <c r="C12197">
        <f>TEST_DATA!C12197</f>
        <v>44359</v>
      </c>
      <c r="D12197" t="str">
        <f>TEST_DATA!D12197</f>
        <v>NIL</v>
      </c>
      <c r="E12197">
        <f>TEST_DATA!E12197</f>
        <v>470</v>
      </c>
    </row>
    <row r="12198" spans="1:5" x14ac:dyDescent="0.55000000000000004">
      <c r="A12198" t="str">
        <f>TEST_DATA!A12198</f>
        <v>27AAAAA12198Z5</v>
      </c>
      <c r="B12198" t="str">
        <f>TEST_DATA!B12198</f>
        <v>Jul-2020</v>
      </c>
      <c r="C12198">
        <f>TEST_DATA!C12198</f>
        <v>44517</v>
      </c>
      <c r="D12198" t="str">
        <f>TEST_DATA!D12198</f>
        <v>NON-NIL</v>
      </c>
      <c r="E12198">
        <f>TEST_DATA!E12198</f>
        <v>708</v>
      </c>
    </row>
    <row r="12199" spans="1:5" x14ac:dyDescent="0.55000000000000004">
      <c r="A12199" t="str">
        <f>TEST_DATA!A12199</f>
        <v>27AAAAA12199Z5</v>
      </c>
      <c r="B12199" t="str">
        <f>TEST_DATA!B12199</f>
        <v>Feb-2018</v>
      </c>
      <c r="C12199">
        <f>TEST_DATA!C12199</f>
        <v>44212</v>
      </c>
      <c r="D12199" t="str">
        <f>TEST_DATA!D12199</f>
        <v>NON-NIL</v>
      </c>
      <c r="E12199">
        <f>TEST_DATA!E12199</f>
        <v>2581</v>
      </c>
    </row>
    <row r="12200" spans="1:5" x14ac:dyDescent="0.55000000000000004">
      <c r="A12200" t="str">
        <f>TEST_DATA!A12200</f>
        <v>27AAAAA12200Z5</v>
      </c>
      <c r="B12200" t="str">
        <f>TEST_DATA!B12200</f>
        <v>Aug-2017</v>
      </c>
      <c r="C12200">
        <f>TEST_DATA!C12200</f>
        <v>43095</v>
      </c>
      <c r="D12200" t="str">
        <f>TEST_DATA!D12200</f>
        <v>NON-NIL</v>
      </c>
      <c r="E12200">
        <f>TEST_DATA!E12200</f>
        <v>1886</v>
      </c>
    </row>
    <row r="12201" spans="1:5" x14ac:dyDescent="0.55000000000000004">
      <c r="A12201" t="str">
        <f>TEST_DATA!A12201</f>
        <v>27AAAAA12201Z5</v>
      </c>
      <c r="B12201" t="str">
        <f>TEST_DATA!B12201</f>
        <v>Jan-2018</v>
      </c>
      <c r="C12201">
        <f>TEST_DATA!C12201</f>
        <v>43929</v>
      </c>
      <c r="D12201" t="str">
        <f>TEST_DATA!D12201</f>
        <v>NON-NIL</v>
      </c>
      <c r="E12201">
        <f>TEST_DATA!E12201</f>
        <v>2338</v>
      </c>
    </row>
    <row r="12202" spans="1:5" x14ac:dyDescent="0.55000000000000004">
      <c r="A12202" t="str">
        <f>TEST_DATA!A12202</f>
        <v>27AAAAA12202Z5</v>
      </c>
      <c r="B12202" t="str">
        <f>TEST_DATA!B12202</f>
        <v>Aug-2018</v>
      </c>
      <c r="C12202">
        <f>TEST_DATA!C12202</f>
        <v>43198</v>
      </c>
      <c r="D12202" t="str">
        <f>TEST_DATA!D12202</f>
        <v>NON-NIL</v>
      </c>
      <c r="E12202">
        <f>TEST_DATA!E12202</f>
        <v>2763</v>
      </c>
    </row>
    <row r="12203" spans="1:5" x14ac:dyDescent="0.55000000000000004">
      <c r="A12203" t="str">
        <f>TEST_DATA!A12203</f>
        <v>27AAAAA12203Z5</v>
      </c>
      <c r="B12203" t="str">
        <f>TEST_DATA!B12203</f>
        <v>Jan-2018</v>
      </c>
      <c r="C12203">
        <f>TEST_DATA!C12203</f>
        <v>43951</v>
      </c>
      <c r="D12203" t="str">
        <f>TEST_DATA!D12203</f>
        <v>NON-NIL</v>
      </c>
      <c r="E12203">
        <f>TEST_DATA!E12203</f>
        <v>1446</v>
      </c>
    </row>
    <row r="12204" spans="1:5" x14ac:dyDescent="0.55000000000000004">
      <c r="A12204" t="str">
        <f>TEST_DATA!A12204</f>
        <v>27AAAAA12204Z5</v>
      </c>
      <c r="B12204" t="str">
        <f>TEST_DATA!B12204</f>
        <v>Apr-2018</v>
      </c>
      <c r="C12204">
        <f>TEST_DATA!C12204</f>
        <v>44485</v>
      </c>
      <c r="D12204" t="str">
        <f>TEST_DATA!D12204</f>
        <v>NON-NIL</v>
      </c>
      <c r="E12204">
        <f>TEST_DATA!E12204</f>
        <v>2781</v>
      </c>
    </row>
    <row r="12205" spans="1:5" x14ac:dyDescent="0.55000000000000004">
      <c r="A12205" t="str">
        <f>TEST_DATA!A12205</f>
        <v>27AAAAA12205Z5</v>
      </c>
      <c r="B12205" t="str">
        <f>TEST_DATA!B12205</f>
        <v>Sep-2018</v>
      </c>
      <c r="C12205">
        <f>TEST_DATA!C12205</f>
        <v>44084</v>
      </c>
      <c r="D12205" t="str">
        <f>TEST_DATA!D12205</f>
        <v>NIL</v>
      </c>
      <c r="E12205">
        <f>TEST_DATA!E12205</f>
        <v>2899</v>
      </c>
    </row>
    <row r="12206" spans="1:5" x14ac:dyDescent="0.55000000000000004">
      <c r="A12206" t="str">
        <f>TEST_DATA!A12206</f>
        <v>27AAAAA12206Z5</v>
      </c>
      <c r="B12206" t="str">
        <f>TEST_DATA!B12206</f>
        <v>Jan-2019</v>
      </c>
      <c r="C12206">
        <f>TEST_DATA!C12206</f>
        <v>45735</v>
      </c>
      <c r="D12206" t="str">
        <f>TEST_DATA!D12206</f>
        <v>NIL</v>
      </c>
      <c r="E12206">
        <f>TEST_DATA!E12206</f>
        <v>553</v>
      </c>
    </row>
    <row r="12207" spans="1:5" x14ac:dyDescent="0.55000000000000004">
      <c r="A12207" t="str">
        <f>TEST_DATA!A12207</f>
        <v>27AAAAA12207Z5</v>
      </c>
      <c r="B12207" t="str">
        <f>TEST_DATA!B12207</f>
        <v>Jul-2017</v>
      </c>
      <c r="C12207">
        <f>TEST_DATA!C12207</f>
        <v>43007</v>
      </c>
      <c r="D12207" t="str">
        <f>TEST_DATA!D12207</f>
        <v>NIL</v>
      </c>
      <c r="E12207">
        <f>TEST_DATA!E12207</f>
        <v>95</v>
      </c>
    </row>
    <row r="12208" spans="1:5" x14ac:dyDescent="0.55000000000000004">
      <c r="A12208" t="str">
        <f>TEST_DATA!A12208</f>
        <v>27AAAAA12208Z5</v>
      </c>
      <c r="B12208" t="str">
        <f>TEST_DATA!B12208</f>
        <v>Apr-2021</v>
      </c>
      <c r="C12208">
        <f>TEST_DATA!C12208</f>
        <v>43589</v>
      </c>
      <c r="D12208" t="str">
        <f>TEST_DATA!D12208</f>
        <v>NIL</v>
      </c>
      <c r="E12208">
        <f>TEST_DATA!E12208</f>
        <v>1046</v>
      </c>
    </row>
    <row r="12209" spans="1:5" x14ac:dyDescent="0.55000000000000004">
      <c r="A12209" t="str">
        <f>TEST_DATA!A12209</f>
        <v>27AAAAA12209Z5</v>
      </c>
      <c r="B12209" t="str">
        <f>TEST_DATA!B12209</f>
        <v>Dec-2017</v>
      </c>
      <c r="C12209">
        <f>TEST_DATA!C12209</f>
        <v>43950</v>
      </c>
      <c r="D12209" t="str">
        <f>TEST_DATA!D12209</f>
        <v>NON-NIL</v>
      </c>
      <c r="E12209">
        <f>TEST_DATA!E12209</f>
        <v>2735</v>
      </c>
    </row>
    <row r="12210" spans="1:5" x14ac:dyDescent="0.55000000000000004">
      <c r="A12210" t="str">
        <f>TEST_DATA!A12210</f>
        <v>27AAAAA12210Z5</v>
      </c>
      <c r="B12210" t="str">
        <f>TEST_DATA!B12210</f>
        <v>Aug-2018</v>
      </c>
      <c r="C12210">
        <f>TEST_DATA!C12210</f>
        <v>44137</v>
      </c>
      <c r="D12210" t="str">
        <f>TEST_DATA!D12210</f>
        <v>NIL</v>
      </c>
      <c r="E12210">
        <f>TEST_DATA!E12210</f>
        <v>1618</v>
      </c>
    </row>
    <row r="12211" spans="1:5" x14ac:dyDescent="0.55000000000000004">
      <c r="A12211" t="str">
        <f>TEST_DATA!A12211</f>
        <v>27AAAAA12211Z5</v>
      </c>
      <c r="B12211" t="str">
        <f>TEST_DATA!B12211</f>
        <v>Dec-2017</v>
      </c>
      <c r="C12211">
        <f>TEST_DATA!C12211</f>
        <v>43571</v>
      </c>
      <c r="D12211" t="str">
        <f>TEST_DATA!D12211</f>
        <v>NIL</v>
      </c>
      <c r="E12211">
        <f>TEST_DATA!E12211</f>
        <v>1318</v>
      </c>
    </row>
    <row r="12212" spans="1:5" x14ac:dyDescent="0.55000000000000004">
      <c r="A12212" t="str">
        <f>TEST_DATA!A12212</f>
        <v>27AAAAA12212Z5</v>
      </c>
      <c r="B12212" t="str">
        <f>TEST_DATA!B12212</f>
        <v>Jan-2019</v>
      </c>
      <c r="C12212">
        <f>TEST_DATA!C12212</f>
        <v>44790</v>
      </c>
      <c r="D12212" t="str">
        <f>TEST_DATA!D12212</f>
        <v>NON-NIL</v>
      </c>
      <c r="E12212">
        <f>TEST_DATA!E12212</f>
        <v>441</v>
      </c>
    </row>
    <row r="12213" spans="1:5" x14ac:dyDescent="0.55000000000000004">
      <c r="A12213" t="str">
        <f>TEST_DATA!A12213</f>
        <v>27AAAAA12213Z5</v>
      </c>
      <c r="B12213" t="str">
        <f>TEST_DATA!B12213</f>
        <v>Mar-2018</v>
      </c>
      <c r="C12213">
        <f>TEST_DATA!C12213</f>
        <v>44110</v>
      </c>
      <c r="D12213" t="str">
        <f>TEST_DATA!D12213</f>
        <v>NIL</v>
      </c>
      <c r="E12213">
        <f>TEST_DATA!E12213</f>
        <v>2314</v>
      </c>
    </row>
    <row r="12214" spans="1:5" x14ac:dyDescent="0.55000000000000004">
      <c r="A12214" t="str">
        <f>TEST_DATA!A12214</f>
        <v>27AAAAA12214Z5</v>
      </c>
      <c r="B12214" t="str">
        <f>TEST_DATA!B12214</f>
        <v>Jul-2020</v>
      </c>
      <c r="C12214">
        <f>TEST_DATA!C12214</f>
        <v>44645</v>
      </c>
      <c r="D12214" t="str">
        <f>TEST_DATA!D12214</f>
        <v>NON-NIL</v>
      </c>
      <c r="E12214">
        <f>TEST_DATA!E12214</f>
        <v>402</v>
      </c>
    </row>
    <row r="12215" spans="1:5" x14ac:dyDescent="0.55000000000000004">
      <c r="A12215" t="str">
        <f>TEST_DATA!A12215</f>
        <v>27AAAAA12215Z5</v>
      </c>
      <c r="B12215" t="str">
        <f>TEST_DATA!B12215</f>
        <v>May-2020</v>
      </c>
      <c r="C12215">
        <f>TEST_DATA!C12215</f>
        <v>43859</v>
      </c>
      <c r="D12215" t="str">
        <f>TEST_DATA!D12215</f>
        <v>NIL</v>
      </c>
      <c r="E12215">
        <f>TEST_DATA!E12215</f>
        <v>6</v>
      </c>
    </row>
    <row r="12216" spans="1:5" x14ac:dyDescent="0.55000000000000004">
      <c r="A12216" t="str">
        <f>TEST_DATA!A12216</f>
        <v>27AAAAA12216Z5</v>
      </c>
      <c r="B12216" t="str">
        <f>TEST_DATA!B12216</f>
        <v>Jul-2020</v>
      </c>
      <c r="C12216">
        <f>TEST_DATA!C12216</f>
        <v>44374</v>
      </c>
      <c r="D12216" t="str">
        <f>TEST_DATA!D12216</f>
        <v>NON-NIL</v>
      </c>
      <c r="E12216">
        <f>TEST_DATA!E12216</f>
        <v>2108</v>
      </c>
    </row>
    <row r="12217" spans="1:5" x14ac:dyDescent="0.55000000000000004">
      <c r="A12217" t="str">
        <f>TEST_DATA!A12217</f>
        <v>27AAAAA12217Z5</v>
      </c>
      <c r="B12217" t="str">
        <f>TEST_DATA!B12217</f>
        <v>Jul-2020</v>
      </c>
      <c r="C12217">
        <f>TEST_DATA!C12217</f>
        <v>44821</v>
      </c>
      <c r="D12217" t="str">
        <f>TEST_DATA!D12217</f>
        <v>NIL</v>
      </c>
      <c r="E12217">
        <f>TEST_DATA!E12217</f>
        <v>1117</v>
      </c>
    </row>
    <row r="12218" spans="1:5" x14ac:dyDescent="0.55000000000000004">
      <c r="A12218" t="str">
        <f>TEST_DATA!A12218</f>
        <v>27AAAAA12218Z5</v>
      </c>
      <c r="B12218" t="str">
        <f>TEST_DATA!B12218</f>
        <v>Dec-2017</v>
      </c>
      <c r="C12218">
        <f>TEST_DATA!C12218</f>
        <v>44266</v>
      </c>
      <c r="D12218" t="str">
        <f>TEST_DATA!D12218</f>
        <v>NIL</v>
      </c>
      <c r="E12218">
        <f>TEST_DATA!E12218</f>
        <v>1981</v>
      </c>
    </row>
    <row r="12219" spans="1:5" x14ac:dyDescent="0.55000000000000004">
      <c r="A12219" t="str">
        <f>TEST_DATA!A12219</f>
        <v>27AAAAA12219Z5</v>
      </c>
      <c r="B12219" t="str">
        <f>TEST_DATA!B12219</f>
        <v>Mar-2023</v>
      </c>
      <c r="C12219">
        <f>TEST_DATA!C12219</f>
        <v>44666</v>
      </c>
      <c r="D12219" t="str">
        <f>TEST_DATA!D12219</f>
        <v>NON-NIL</v>
      </c>
      <c r="E12219">
        <f>TEST_DATA!E12219</f>
        <v>1734</v>
      </c>
    </row>
    <row r="12220" spans="1:5" x14ac:dyDescent="0.55000000000000004">
      <c r="A12220" t="str">
        <f>TEST_DATA!A12220</f>
        <v>27AAAAA12220Z5</v>
      </c>
      <c r="B12220" t="str">
        <f>TEST_DATA!B12220</f>
        <v>Jun-2018</v>
      </c>
      <c r="C12220">
        <f>TEST_DATA!C12220</f>
        <v>44358</v>
      </c>
      <c r="D12220" t="str">
        <f>TEST_DATA!D12220</f>
        <v>NIL</v>
      </c>
      <c r="E12220">
        <f>TEST_DATA!E12220</f>
        <v>2536</v>
      </c>
    </row>
    <row r="12221" spans="1:5" x14ac:dyDescent="0.55000000000000004">
      <c r="A12221" t="str">
        <f>TEST_DATA!A12221</f>
        <v>27AAAAA12221Z5</v>
      </c>
      <c r="B12221" t="str">
        <f>TEST_DATA!B12221</f>
        <v>Apr-2018</v>
      </c>
      <c r="C12221">
        <f>TEST_DATA!C12221</f>
        <v>43974</v>
      </c>
      <c r="D12221" t="str">
        <f>TEST_DATA!D12221</f>
        <v>NIL</v>
      </c>
      <c r="E12221">
        <f>TEST_DATA!E12221</f>
        <v>183</v>
      </c>
    </row>
    <row r="12222" spans="1:5" x14ac:dyDescent="0.55000000000000004">
      <c r="A12222" t="str">
        <f>TEST_DATA!A12222</f>
        <v>27AAAAA12222Z5</v>
      </c>
      <c r="B12222" t="str">
        <f>TEST_DATA!B12222</f>
        <v>Jun-2018</v>
      </c>
      <c r="C12222">
        <f>TEST_DATA!C12222</f>
        <v>43152</v>
      </c>
      <c r="D12222" t="str">
        <f>TEST_DATA!D12222</f>
        <v>NON-NIL</v>
      </c>
      <c r="E12222">
        <f>TEST_DATA!E12222</f>
        <v>509</v>
      </c>
    </row>
    <row r="12223" spans="1:5" x14ac:dyDescent="0.55000000000000004">
      <c r="A12223" t="str">
        <f>TEST_DATA!A12223</f>
        <v>27AAAAA12223Z5</v>
      </c>
      <c r="B12223" t="str">
        <f>TEST_DATA!B12223</f>
        <v>Mar-2020</v>
      </c>
      <c r="C12223">
        <f>TEST_DATA!C12223</f>
        <v>44782</v>
      </c>
      <c r="D12223" t="str">
        <f>TEST_DATA!D12223</f>
        <v>NIL</v>
      </c>
      <c r="E12223">
        <f>TEST_DATA!E12223</f>
        <v>1359</v>
      </c>
    </row>
    <row r="12224" spans="1:5" x14ac:dyDescent="0.55000000000000004">
      <c r="A12224" t="str">
        <f>TEST_DATA!A12224</f>
        <v>27AAAAA12224Z5</v>
      </c>
      <c r="B12224" t="str">
        <f>TEST_DATA!B12224</f>
        <v>Sep-2017</v>
      </c>
      <c r="C12224">
        <f>TEST_DATA!C12224</f>
        <v>43285</v>
      </c>
      <c r="D12224" t="str">
        <f>TEST_DATA!D12224</f>
        <v>NIL</v>
      </c>
      <c r="E12224">
        <f>TEST_DATA!E12224</f>
        <v>1048</v>
      </c>
    </row>
    <row r="12225" spans="1:5" x14ac:dyDescent="0.55000000000000004">
      <c r="A12225" t="str">
        <f>TEST_DATA!A12225</f>
        <v>27AAAAA12225Z5</v>
      </c>
      <c r="B12225" t="str">
        <f>TEST_DATA!B12225</f>
        <v>Jan-2018</v>
      </c>
      <c r="C12225">
        <f>TEST_DATA!C12225</f>
        <v>44471</v>
      </c>
      <c r="D12225" t="str">
        <f>TEST_DATA!D12225</f>
        <v>NIL</v>
      </c>
      <c r="E12225">
        <f>TEST_DATA!E12225</f>
        <v>1341</v>
      </c>
    </row>
    <row r="12226" spans="1:5" x14ac:dyDescent="0.55000000000000004">
      <c r="A12226" t="str">
        <f>TEST_DATA!A12226</f>
        <v>27AAAAA12226Z5</v>
      </c>
      <c r="B12226" t="str">
        <f>TEST_DATA!B12226</f>
        <v>Feb-2018</v>
      </c>
      <c r="C12226">
        <f>TEST_DATA!C12226</f>
        <v>43801</v>
      </c>
      <c r="D12226" t="str">
        <f>TEST_DATA!D12226</f>
        <v>NON-NIL</v>
      </c>
      <c r="E12226">
        <f>TEST_DATA!E12226</f>
        <v>1528</v>
      </c>
    </row>
    <row r="12227" spans="1:5" x14ac:dyDescent="0.55000000000000004">
      <c r="A12227" t="str">
        <f>TEST_DATA!A12227</f>
        <v>27AAAAA12227Z5</v>
      </c>
      <c r="B12227" t="str">
        <f>TEST_DATA!B12227</f>
        <v>Jun-2020</v>
      </c>
      <c r="C12227">
        <f>TEST_DATA!C12227</f>
        <v>44747</v>
      </c>
      <c r="D12227" t="str">
        <f>TEST_DATA!D12227</f>
        <v>NON-NIL</v>
      </c>
      <c r="E12227">
        <f>TEST_DATA!E12227</f>
        <v>2038</v>
      </c>
    </row>
    <row r="12228" spans="1:5" x14ac:dyDescent="0.55000000000000004">
      <c r="A12228" t="str">
        <f>TEST_DATA!A12228</f>
        <v>27AAAAA12228Z5</v>
      </c>
      <c r="B12228" t="str">
        <f>TEST_DATA!B12228</f>
        <v>Sep-2018</v>
      </c>
      <c r="C12228">
        <f>TEST_DATA!C12228</f>
        <v>43352</v>
      </c>
      <c r="D12228" t="str">
        <f>TEST_DATA!D12228</f>
        <v>NON-NIL</v>
      </c>
      <c r="E12228">
        <f>TEST_DATA!E12228</f>
        <v>2958</v>
      </c>
    </row>
    <row r="12229" spans="1:5" x14ac:dyDescent="0.55000000000000004">
      <c r="A12229" t="str">
        <f>TEST_DATA!A12229</f>
        <v>27AAAAA12229Z5</v>
      </c>
      <c r="B12229" t="str">
        <f>TEST_DATA!B12229</f>
        <v>Apr-2021</v>
      </c>
      <c r="C12229">
        <f>TEST_DATA!C12229</f>
        <v>43998</v>
      </c>
      <c r="D12229" t="str">
        <f>TEST_DATA!D12229</f>
        <v>NON-NIL</v>
      </c>
      <c r="E12229">
        <f>TEST_DATA!E12229</f>
        <v>1371</v>
      </c>
    </row>
    <row r="12230" spans="1:5" x14ac:dyDescent="0.55000000000000004">
      <c r="A12230" t="str">
        <f>TEST_DATA!A12230</f>
        <v>27AAAAA12230Z5</v>
      </c>
      <c r="B12230" t="str">
        <f>TEST_DATA!B12230</f>
        <v>Dec-2019</v>
      </c>
      <c r="C12230">
        <f>TEST_DATA!C12230</f>
        <v>45440</v>
      </c>
      <c r="D12230" t="str">
        <f>TEST_DATA!D12230</f>
        <v>NON-NIL</v>
      </c>
      <c r="E12230">
        <f>TEST_DATA!E12230</f>
        <v>196</v>
      </c>
    </row>
    <row r="12231" spans="1:5" x14ac:dyDescent="0.55000000000000004">
      <c r="A12231" t="str">
        <f>TEST_DATA!A12231</f>
        <v>27AAAAA12231Z5</v>
      </c>
      <c r="B12231" t="str">
        <f>TEST_DATA!B12231</f>
        <v>Jan-2018</v>
      </c>
      <c r="C12231">
        <f>TEST_DATA!C12231</f>
        <v>44280</v>
      </c>
      <c r="D12231" t="str">
        <f>TEST_DATA!D12231</f>
        <v>NIL</v>
      </c>
      <c r="E12231">
        <f>TEST_DATA!E12231</f>
        <v>37</v>
      </c>
    </row>
    <row r="12232" spans="1:5" x14ac:dyDescent="0.55000000000000004">
      <c r="A12232" t="str">
        <f>TEST_DATA!A12232</f>
        <v>27AAAAA12232Z5</v>
      </c>
      <c r="B12232" t="str">
        <f>TEST_DATA!B12232</f>
        <v>Apr-2018</v>
      </c>
      <c r="C12232">
        <f>TEST_DATA!C12232</f>
        <v>44368</v>
      </c>
      <c r="D12232" t="str">
        <f>TEST_DATA!D12232</f>
        <v>NON-NIL</v>
      </c>
      <c r="E12232">
        <f>TEST_DATA!E12232</f>
        <v>2454</v>
      </c>
    </row>
    <row r="12233" spans="1:5" x14ac:dyDescent="0.55000000000000004">
      <c r="A12233" t="str">
        <f>TEST_DATA!A12233</f>
        <v>27AAAAA12233Z5</v>
      </c>
      <c r="B12233" t="str">
        <f>TEST_DATA!B12233</f>
        <v>Sep-2017</v>
      </c>
      <c r="C12233">
        <f>TEST_DATA!C12233</f>
        <v>43442</v>
      </c>
      <c r="D12233" t="str">
        <f>TEST_DATA!D12233</f>
        <v>NIL</v>
      </c>
      <c r="E12233">
        <f>TEST_DATA!E12233</f>
        <v>1926</v>
      </c>
    </row>
    <row r="12234" spans="1:5" x14ac:dyDescent="0.55000000000000004">
      <c r="A12234" t="str">
        <f>TEST_DATA!A12234</f>
        <v>27AAAAA12234Z5</v>
      </c>
      <c r="B12234" t="str">
        <f>TEST_DATA!B12234</f>
        <v>Jan-2019</v>
      </c>
      <c r="C12234">
        <f>TEST_DATA!C12234</f>
        <v>43773</v>
      </c>
      <c r="D12234" t="str">
        <f>TEST_DATA!D12234</f>
        <v>NIL</v>
      </c>
      <c r="E12234">
        <f>TEST_DATA!E12234</f>
        <v>2088</v>
      </c>
    </row>
    <row r="12235" spans="1:5" x14ac:dyDescent="0.55000000000000004">
      <c r="A12235" t="str">
        <f>TEST_DATA!A12235</f>
        <v>27AAAAA12235Z5</v>
      </c>
      <c r="B12235" t="str">
        <f>TEST_DATA!B12235</f>
        <v>Jul-2017</v>
      </c>
      <c r="C12235">
        <f>TEST_DATA!C12235</f>
        <v>44531</v>
      </c>
      <c r="D12235" t="str">
        <f>TEST_DATA!D12235</f>
        <v>NON-NIL</v>
      </c>
      <c r="E12235">
        <f>TEST_DATA!E12235</f>
        <v>349</v>
      </c>
    </row>
    <row r="12236" spans="1:5" x14ac:dyDescent="0.55000000000000004">
      <c r="A12236" t="str">
        <f>TEST_DATA!A12236</f>
        <v>27AAAAA12236Z5</v>
      </c>
      <c r="B12236" t="str">
        <f>TEST_DATA!B12236</f>
        <v>Jun-2020</v>
      </c>
      <c r="C12236">
        <f>TEST_DATA!C12236</f>
        <v>43903</v>
      </c>
      <c r="D12236" t="str">
        <f>TEST_DATA!D12236</f>
        <v>NON-NIL</v>
      </c>
      <c r="E12236">
        <f>TEST_DATA!E12236</f>
        <v>1082</v>
      </c>
    </row>
    <row r="12237" spans="1:5" x14ac:dyDescent="0.55000000000000004">
      <c r="A12237" t="str">
        <f>TEST_DATA!A12237</f>
        <v>27AAAAA12237Z5</v>
      </c>
      <c r="B12237" t="str">
        <f>TEST_DATA!B12237</f>
        <v>Jul-2018</v>
      </c>
      <c r="C12237">
        <f>TEST_DATA!C12237</f>
        <v>43721</v>
      </c>
      <c r="D12237" t="str">
        <f>TEST_DATA!D12237</f>
        <v>NON-NIL</v>
      </c>
      <c r="E12237">
        <f>TEST_DATA!E12237</f>
        <v>2474</v>
      </c>
    </row>
    <row r="12238" spans="1:5" x14ac:dyDescent="0.55000000000000004">
      <c r="A12238" t="str">
        <f>TEST_DATA!A12238</f>
        <v>27AAAAA12238Z5</v>
      </c>
      <c r="B12238" t="str">
        <f>TEST_DATA!B12238</f>
        <v>Mar-2021</v>
      </c>
      <c r="C12238">
        <f>TEST_DATA!C12238</f>
        <v>45503</v>
      </c>
      <c r="D12238" t="str">
        <f>TEST_DATA!D12238</f>
        <v>NON-NIL</v>
      </c>
      <c r="E12238">
        <f>TEST_DATA!E12238</f>
        <v>1943</v>
      </c>
    </row>
    <row r="12239" spans="1:5" x14ac:dyDescent="0.55000000000000004">
      <c r="A12239" t="str">
        <f>TEST_DATA!A12239</f>
        <v>27AAAAA12239Z5</v>
      </c>
      <c r="B12239" t="str">
        <f>TEST_DATA!B12239</f>
        <v>Nov-2017</v>
      </c>
      <c r="C12239">
        <f>TEST_DATA!C12239</f>
        <v>44542</v>
      </c>
      <c r="D12239" t="str">
        <f>TEST_DATA!D12239</f>
        <v>NIL</v>
      </c>
      <c r="E12239">
        <f>TEST_DATA!E12239</f>
        <v>1881</v>
      </c>
    </row>
    <row r="12240" spans="1:5" x14ac:dyDescent="0.55000000000000004">
      <c r="A12240" t="str">
        <f>TEST_DATA!A12240</f>
        <v>27AAAAA12240Z5</v>
      </c>
      <c r="B12240" t="str">
        <f>TEST_DATA!B12240</f>
        <v>Oct-2017</v>
      </c>
      <c r="C12240">
        <f>TEST_DATA!C12240</f>
        <v>44454</v>
      </c>
      <c r="D12240" t="str">
        <f>TEST_DATA!D12240</f>
        <v>NIL</v>
      </c>
      <c r="E12240">
        <f>TEST_DATA!E12240</f>
        <v>1187</v>
      </c>
    </row>
    <row r="12241" spans="1:5" x14ac:dyDescent="0.55000000000000004">
      <c r="A12241" t="str">
        <f>TEST_DATA!A12241</f>
        <v>27AAAAA12241Z5</v>
      </c>
      <c r="B12241" t="str">
        <f>TEST_DATA!B12241</f>
        <v>Mar-2021</v>
      </c>
      <c r="C12241">
        <f>TEST_DATA!C12241</f>
        <v>44409</v>
      </c>
      <c r="D12241" t="str">
        <f>TEST_DATA!D12241</f>
        <v>NON-NIL</v>
      </c>
      <c r="E12241">
        <f>TEST_DATA!E12241</f>
        <v>1597</v>
      </c>
    </row>
    <row r="12242" spans="1:5" x14ac:dyDescent="0.55000000000000004">
      <c r="A12242" t="str">
        <f>TEST_DATA!A12242</f>
        <v>27AAAAA12242Z5</v>
      </c>
      <c r="B12242" t="str">
        <f>TEST_DATA!B12242</f>
        <v>Aug-2018</v>
      </c>
      <c r="C12242">
        <f>TEST_DATA!C12242</f>
        <v>43941</v>
      </c>
      <c r="D12242" t="str">
        <f>TEST_DATA!D12242</f>
        <v>NIL</v>
      </c>
      <c r="E12242">
        <f>TEST_DATA!E12242</f>
        <v>206</v>
      </c>
    </row>
    <row r="12243" spans="1:5" x14ac:dyDescent="0.55000000000000004">
      <c r="A12243" t="str">
        <f>TEST_DATA!A12243</f>
        <v>27AAAAA12243Z5</v>
      </c>
      <c r="B12243" t="str">
        <f>TEST_DATA!B12243</f>
        <v>Jan-2018</v>
      </c>
      <c r="C12243">
        <f>TEST_DATA!C12243</f>
        <v>43231</v>
      </c>
      <c r="D12243" t="str">
        <f>TEST_DATA!D12243</f>
        <v>NON-NIL</v>
      </c>
      <c r="E12243">
        <f>TEST_DATA!E12243</f>
        <v>807</v>
      </c>
    </row>
    <row r="12244" spans="1:5" x14ac:dyDescent="0.55000000000000004">
      <c r="A12244" t="str">
        <f>TEST_DATA!A12244</f>
        <v>27AAAAA12244Z5</v>
      </c>
      <c r="B12244" t="str">
        <f>TEST_DATA!B12244</f>
        <v>Jul-2018</v>
      </c>
      <c r="C12244">
        <f>TEST_DATA!C12244</f>
        <v>44090</v>
      </c>
      <c r="D12244" t="str">
        <f>TEST_DATA!D12244</f>
        <v>NON-NIL</v>
      </c>
      <c r="E12244">
        <f>TEST_DATA!E12244</f>
        <v>2929</v>
      </c>
    </row>
    <row r="12245" spans="1:5" x14ac:dyDescent="0.55000000000000004">
      <c r="A12245" t="str">
        <f>TEST_DATA!A12245</f>
        <v>27AAAAA12245Z5</v>
      </c>
      <c r="B12245" t="str">
        <f>TEST_DATA!B12245</f>
        <v>Nov-2017</v>
      </c>
      <c r="C12245">
        <f>TEST_DATA!C12245</f>
        <v>43659</v>
      </c>
      <c r="D12245" t="str">
        <f>TEST_DATA!D12245</f>
        <v>NON-NIL</v>
      </c>
      <c r="E12245">
        <f>TEST_DATA!E12245</f>
        <v>2179</v>
      </c>
    </row>
    <row r="12246" spans="1:5" x14ac:dyDescent="0.55000000000000004">
      <c r="A12246" t="str">
        <f>TEST_DATA!A12246</f>
        <v>27AAAAA12246Z5</v>
      </c>
      <c r="B12246" t="str">
        <f>TEST_DATA!B12246</f>
        <v>Sep-2018</v>
      </c>
      <c r="C12246">
        <f>TEST_DATA!C12246</f>
        <v>44407</v>
      </c>
      <c r="D12246" t="str">
        <f>TEST_DATA!D12246</f>
        <v>NON-NIL</v>
      </c>
      <c r="E12246">
        <f>TEST_DATA!E12246</f>
        <v>2005</v>
      </c>
    </row>
    <row r="12247" spans="1:5" x14ac:dyDescent="0.55000000000000004">
      <c r="A12247" t="str">
        <f>TEST_DATA!A12247</f>
        <v>27AAAAA12247Z5</v>
      </c>
      <c r="B12247" t="str">
        <f>TEST_DATA!B12247</f>
        <v>Jan-2018</v>
      </c>
      <c r="C12247">
        <f>TEST_DATA!C12247</f>
        <v>43572</v>
      </c>
      <c r="D12247" t="str">
        <f>TEST_DATA!D12247</f>
        <v>NIL</v>
      </c>
      <c r="E12247">
        <f>TEST_DATA!E12247</f>
        <v>1943</v>
      </c>
    </row>
    <row r="12248" spans="1:5" x14ac:dyDescent="0.55000000000000004">
      <c r="A12248" t="str">
        <f>TEST_DATA!A12248</f>
        <v>27AAAAA12248Z5</v>
      </c>
      <c r="B12248" t="str">
        <f>TEST_DATA!B12248</f>
        <v>Dec-2019</v>
      </c>
      <c r="C12248">
        <f>TEST_DATA!C12248</f>
        <v>43849</v>
      </c>
      <c r="D12248" t="str">
        <f>TEST_DATA!D12248</f>
        <v>NIL</v>
      </c>
      <c r="E12248">
        <f>TEST_DATA!E12248</f>
        <v>2708</v>
      </c>
    </row>
    <row r="12249" spans="1:5" x14ac:dyDescent="0.55000000000000004">
      <c r="A12249" t="str">
        <f>TEST_DATA!A12249</f>
        <v>27AAAAA12249Z5</v>
      </c>
      <c r="B12249" t="str">
        <f>TEST_DATA!B12249</f>
        <v>Jan-2019</v>
      </c>
      <c r="C12249">
        <f>TEST_DATA!C12249</f>
        <v>44186</v>
      </c>
      <c r="D12249" t="str">
        <f>TEST_DATA!D12249</f>
        <v>NIL</v>
      </c>
      <c r="E12249">
        <f>TEST_DATA!E12249</f>
        <v>2672</v>
      </c>
    </row>
    <row r="12250" spans="1:5" x14ac:dyDescent="0.55000000000000004">
      <c r="A12250" t="str">
        <f>TEST_DATA!A12250</f>
        <v>27AAAAA12250Z5</v>
      </c>
      <c r="B12250" t="str">
        <f>TEST_DATA!B12250</f>
        <v>Apr-2020</v>
      </c>
      <c r="C12250">
        <f>TEST_DATA!C12250</f>
        <v>44440</v>
      </c>
      <c r="D12250" t="str">
        <f>TEST_DATA!D12250</f>
        <v>NON-NIL</v>
      </c>
      <c r="E12250">
        <f>TEST_DATA!E12250</f>
        <v>1581</v>
      </c>
    </row>
    <row r="12251" spans="1:5" x14ac:dyDescent="0.55000000000000004">
      <c r="A12251" t="str">
        <f>TEST_DATA!A12251</f>
        <v>27AAAAA12251Z5</v>
      </c>
      <c r="B12251" t="str">
        <f>TEST_DATA!B12251</f>
        <v>Mar-2018</v>
      </c>
      <c r="C12251">
        <f>TEST_DATA!C12251</f>
        <v>44403</v>
      </c>
      <c r="D12251" t="str">
        <f>TEST_DATA!D12251</f>
        <v>NON-NIL</v>
      </c>
      <c r="E12251">
        <f>TEST_DATA!E12251</f>
        <v>2778</v>
      </c>
    </row>
    <row r="12252" spans="1:5" x14ac:dyDescent="0.55000000000000004">
      <c r="A12252" t="str">
        <f>TEST_DATA!A12252</f>
        <v>27AAAAA12252Z5</v>
      </c>
      <c r="B12252" t="str">
        <f>TEST_DATA!B12252</f>
        <v>Sep-2017</v>
      </c>
      <c r="C12252">
        <f>TEST_DATA!C12252</f>
        <v>43292</v>
      </c>
      <c r="D12252" t="str">
        <f>TEST_DATA!D12252</f>
        <v>NON-NIL</v>
      </c>
      <c r="E12252">
        <f>TEST_DATA!E12252</f>
        <v>361</v>
      </c>
    </row>
    <row r="12253" spans="1:5" x14ac:dyDescent="0.55000000000000004">
      <c r="A12253" t="str">
        <f>TEST_DATA!A12253</f>
        <v>27AAAAA12253Z5</v>
      </c>
      <c r="B12253" t="str">
        <f>TEST_DATA!B12253</f>
        <v>Mar-2018</v>
      </c>
      <c r="C12253">
        <f>TEST_DATA!C12253</f>
        <v>44165</v>
      </c>
      <c r="D12253" t="str">
        <f>TEST_DATA!D12253</f>
        <v>NIL</v>
      </c>
      <c r="E12253">
        <f>TEST_DATA!E12253</f>
        <v>2688</v>
      </c>
    </row>
    <row r="12254" spans="1:5" x14ac:dyDescent="0.55000000000000004">
      <c r="A12254" t="str">
        <f>TEST_DATA!A12254</f>
        <v>27AAAAA12254Z5</v>
      </c>
      <c r="B12254" t="str">
        <f>TEST_DATA!B12254</f>
        <v>Jul-2018</v>
      </c>
      <c r="C12254">
        <f>TEST_DATA!C12254</f>
        <v>44289</v>
      </c>
      <c r="D12254" t="str">
        <f>TEST_DATA!D12254</f>
        <v>NIL</v>
      </c>
      <c r="E12254">
        <f>TEST_DATA!E12254</f>
        <v>439</v>
      </c>
    </row>
    <row r="12255" spans="1:5" x14ac:dyDescent="0.55000000000000004">
      <c r="A12255" t="str">
        <f>TEST_DATA!A12255</f>
        <v>27AAAAA12255Z5</v>
      </c>
      <c r="B12255" t="str">
        <f>TEST_DATA!B12255</f>
        <v>Mar-2021</v>
      </c>
      <c r="C12255">
        <f>TEST_DATA!C12255</f>
        <v>45813</v>
      </c>
      <c r="D12255" t="str">
        <f>TEST_DATA!D12255</f>
        <v>NON-NIL</v>
      </c>
      <c r="E12255">
        <f>TEST_DATA!E12255</f>
        <v>721</v>
      </c>
    </row>
    <row r="12256" spans="1:5" x14ac:dyDescent="0.55000000000000004">
      <c r="A12256" t="str">
        <f>TEST_DATA!A12256</f>
        <v>27AAAAA12256Z5</v>
      </c>
      <c r="B12256" t="str">
        <f>TEST_DATA!B12256</f>
        <v>Mar-2023</v>
      </c>
      <c r="C12256">
        <f>TEST_DATA!C12256</f>
        <v>45273</v>
      </c>
      <c r="D12256" t="str">
        <f>TEST_DATA!D12256</f>
        <v>NON-NIL</v>
      </c>
      <c r="E12256">
        <f>TEST_DATA!E12256</f>
        <v>1615</v>
      </c>
    </row>
    <row r="12257" spans="1:5" x14ac:dyDescent="0.55000000000000004">
      <c r="A12257" t="str">
        <f>TEST_DATA!A12257</f>
        <v>27AAAAA12257Z5</v>
      </c>
      <c r="B12257" t="str">
        <f>TEST_DATA!B12257</f>
        <v>Jul-2020</v>
      </c>
      <c r="C12257">
        <f>TEST_DATA!C12257</f>
        <v>44441</v>
      </c>
      <c r="D12257" t="str">
        <f>TEST_DATA!D12257</f>
        <v>NON-NIL</v>
      </c>
      <c r="E12257">
        <f>TEST_DATA!E12257</f>
        <v>913</v>
      </c>
    </row>
    <row r="12258" spans="1:5" x14ac:dyDescent="0.55000000000000004">
      <c r="A12258" t="str">
        <f>TEST_DATA!A12258</f>
        <v>27AAAAA12258Z5</v>
      </c>
      <c r="B12258" t="str">
        <f>TEST_DATA!B12258</f>
        <v>Mar-2020</v>
      </c>
      <c r="C12258">
        <f>TEST_DATA!C12258</f>
        <v>43909</v>
      </c>
      <c r="D12258" t="str">
        <f>TEST_DATA!D12258</f>
        <v>NON-NIL</v>
      </c>
      <c r="E12258">
        <f>TEST_DATA!E12258</f>
        <v>260</v>
      </c>
    </row>
    <row r="12259" spans="1:5" x14ac:dyDescent="0.55000000000000004">
      <c r="A12259" t="str">
        <f>TEST_DATA!A12259</f>
        <v>27AAAAA12259Z5</v>
      </c>
      <c r="B12259" t="str">
        <f>TEST_DATA!B12259</f>
        <v>May-2020</v>
      </c>
      <c r="C12259">
        <f>TEST_DATA!C12259</f>
        <v>44520</v>
      </c>
      <c r="D12259" t="str">
        <f>TEST_DATA!D12259</f>
        <v>NON-NIL</v>
      </c>
      <c r="E12259">
        <f>TEST_DATA!E12259</f>
        <v>1642</v>
      </c>
    </row>
    <row r="12260" spans="1:5" x14ac:dyDescent="0.55000000000000004">
      <c r="A12260" t="str">
        <f>TEST_DATA!A12260</f>
        <v>27AAAAA12260Z5</v>
      </c>
      <c r="B12260" t="str">
        <f>TEST_DATA!B12260</f>
        <v>Jan-2018</v>
      </c>
      <c r="C12260">
        <f>TEST_DATA!C12260</f>
        <v>42950</v>
      </c>
      <c r="D12260" t="str">
        <f>TEST_DATA!D12260</f>
        <v>NIL</v>
      </c>
      <c r="E12260">
        <f>TEST_DATA!E12260</f>
        <v>2670</v>
      </c>
    </row>
    <row r="12261" spans="1:5" x14ac:dyDescent="0.55000000000000004">
      <c r="A12261" t="str">
        <f>TEST_DATA!A12261</f>
        <v>27AAAAA12261Z5</v>
      </c>
      <c r="B12261" t="str">
        <f>TEST_DATA!B12261</f>
        <v>Jul-2018</v>
      </c>
      <c r="C12261">
        <f>TEST_DATA!C12261</f>
        <v>43328</v>
      </c>
      <c r="D12261" t="str">
        <f>TEST_DATA!D12261</f>
        <v>NON-NIL</v>
      </c>
      <c r="E12261">
        <f>TEST_DATA!E12261</f>
        <v>594</v>
      </c>
    </row>
    <row r="12262" spans="1:5" x14ac:dyDescent="0.55000000000000004">
      <c r="A12262" t="str">
        <f>TEST_DATA!A12262</f>
        <v>27AAAAA12262Z5</v>
      </c>
      <c r="B12262" t="str">
        <f>TEST_DATA!B12262</f>
        <v>Jul-2020</v>
      </c>
      <c r="C12262">
        <f>TEST_DATA!C12262</f>
        <v>44072</v>
      </c>
      <c r="D12262" t="str">
        <f>TEST_DATA!D12262</f>
        <v>NIL</v>
      </c>
      <c r="E12262">
        <f>TEST_DATA!E12262</f>
        <v>1469</v>
      </c>
    </row>
    <row r="12263" spans="1:5" x14ac:dyDescent="0.55000000000000004">
      <c r="A12263" t="str">
        <f>TEST_DATA!A12263</f>
        <v>27AAAAA12263Z5</v>
      </c>
      <c r="B12263" t="str">
        <f>TEST_DATA!B12263</f>
        <v>Jun-2020</v>
      </c>
      <c r="C12263">
        <f>TEST_DATA!C12263</f>
        <v>43989</v>
      </c>
      <c r="D12263" t="str">
        <f>TEST_DATA!D12263</f>
        <v>NON-NIL</v>
      </c>
      <c r="E12263">
        <f>TEST_DATA!E12263</f>
        <v>1060</v>
      </c>
    </row>
    <row r="12264" spans="1:5" x14ac:dyDescent="0.55000000000000004">
      <c r="A12264" t="str">
        <f>TEST_DATA!A12264</f>
        <v>27AAAAA12264Z5</v>
      </c>
      <c r="B12264" t="str">
        <f>TEST_DATA!B12264</f>
        <v>Aug-2017</v>
      </c>
      <c r="C12264">
        <f>TEST_DATA!C12264</f>
        <v>43829</v>
      </c>
      <c r="D12264" t="str">
        <f>TEST_DATA!D12264</f>
        <v>NON-NIL</v>
      </c>
      <c r="E12264">
        <f>TEST_DATA!E12264</f>
        <v>2917</v>
      </c>
    </row>
    <row r="12265" spans="1:5" x14ac:dyDescent="0.55000000000000004">
      <c r="A12265" t="str">
        <f>TEST_DATA!A12265</f>
        <v>27AAAAA12265Z5</v>
      </c>
      <c r="B12265" t="str">
        <f>TEST_DATA!B12265</f>
        <v>Mar-2023</v>
      </c>
      <c r="C12265">
        <f>TEST_DATA!C12265</f>
        <v>43693</v>
      </c>
      <c r="D12265" t="str">
        <f>TEST_DATA!D12265</f>
        <v>NON-NIL</v>
      </c>
      <c r="E12265">
        <f>TEST_DATA!E12265</f>
        <v>2053</v>
      </c>
    </row>
    <row r="12266" spans="1:5" x14ac:dyDescent="0.55000000000000004">
      <c r="A12266" t="str">
        <f>TEST_DATA!A12266</f>
        <v>27AAAAA12266Z5</v>
      </c>
      <c r="B12266" t="str">
        <f>TEST_DATA!B12266</f>
        <v>Oct-2017</v>
      </c>
      <c r="C12266">
        <f>TEST_DATA!C12266</f>
        <v>43102</v>
      </c>
      <c r="D12266" t="str">
        <f>TEST_DATA!D12266</f>
        <v>NIL</v>
      </c>
      <c r="E12266">
        <f>TEST_DATA!E12266</f>
        <v>2678</v>
      </c>
    </row>
    <row r="12267" spans="1:5" x14ac:dyDescent="0.55000000000000004">
      <c r="A12267" t="str">
        <f>TEST_DATA!A12267</f>
        <v>27AAAAA12267Z5</v>
      </c>
      <c r="B12267" t="str">
        <f>TEST_DATA!B12267</f>
        <v>Jun-2018</v>
      </c>
      <c r="C12267">
        <f>TEST_DATA!C12267</f>
        <v>44484</v>
      </c>
      <c r="D12267" t="str">
        <f>TEST_DATA!D12267</f>
        <v>NIL</v>
      </c>
      <c r="E12267">
        <f>TEST_DATA!E12267</f>
        <v>2817</v>
      </c>
    </row>
    <row r="12268" spans="1:5" x14ac:dyDescent="0.55000000000000004">
      <c r="A12268" t="str">
        <f>TEST_DATA!A12268</f>
        <v>27AAAAA12268Z5</v>
      </c>
      <c r="B12268" t="str">
        <f>TEST_DATA!B12268</f>
        <v>Jan-2021</v>
      </c>
      <c r="C12268">
        <f>TEST_DATA!C12268</f>
        <v>45417</v>
      </c>
      <c r="D12268" t="str">
        <f>TEST_DATA!D12268</f>
        <v>NIL</v>
      </c>
      <c r="E12268">
        <f>TEST_DATA!E12268</f>
        <v>2475</v>
      </c>
    </row>
    <row r="12269" spans="1:5" x14ac:dyDescent="0.55000000000000004">
      <c r="A12269" t="str">
        <f>TEST_DATA!A12269</f>
        <v>27AAAAA12269Z5</v>
      </c>
      <c r="B12269" t="str">
        <f>TEST_DATA!B12269</f>
        <v>Aug-2018</v>
      </c>
      <c r="C12269">
        <f>TEST_DATA!C12269</f>
        <v>43664</v>
      </c>
      <c r="D12269" t="str">
        <f>TEST_DATA!D12269</f>
        <v>NIL</v>
      </c>
      <c r="E12269">
        <f>TEST_DATA!E12269</f>
        <v>1977</v>
      </c>
    </row>
    <row r="12270" spans="1:5" x14ac:dyDescent="0.55000000000000004">
      <c r="A12270" t="str">
        <f>TEST_DATA!A12270</f>
        <v>27AAAAA12270Z5</v>
      </c>
      <c r="B12270" t="str">
        <f>TEST_DATA!B12270</f>
        <v>May-2020</v>
      </c>
      <c r="C12270">
        <f>TEST_DATA!C12270</f>
        <v>44165</v>
      </c>
      <c r="D12270" t="str">
        <f>TEST_DATA!D12270</f>
        <v>NON-NIL</v>
      </c>
      <c r="E12270">
        <f>TEST_DATA!E12270</f>
        <v>2378</v>
      </c>
    </row>
    <row r="12271" spans="1:5" x14ac:dyDescent="0.55000000000000004">
      <c r="A12271" t="str">
        <f>TEST_DATA!A12271</f>
        <v>27AAAAA12271Z5</v>
      </c>
      <c r="B12271" t="str">
        <f>TEST_DATA!B12271</f>
        <v>Jan-2021</v>
      </c>
      <c r="C12271">
        <f>TEST_DATA!C12271</f>
        <v>45694</v>
      </c>
      <c r="D12271" t="str">
        <f>TEST_DATA!D12271</f>
        <v>NON-NIL</v>
      </c>
      <c r="E12271">
        <f>TEST_DATA!E12271</f>
        <v>1804</v>
      </c>
    </row>
    <row r="12272" spans="1:5" x14ac:dyDescent="0.55000000000000004">
      <c r="A12272" t="str">
        <f>TEST_DATA!A12272</f>
        <v>27AAAAA12272Z5</v>
      </c>
      <c r="B12272" t="str">
        <f>TEST_DATA!B12272</f>
        <v>Sep-2018</v>
      </c>
      <c r="C12272">
        <f>TEST_DATA!C12272</f>
        <v>43877</v>
      </c>
      <c r="D12272" t="str">
        <f>TEST_DATA!D12272</f>
        <v>NIL</v>
      </c>
      <c r="E12272">
        <f>TEST_DATA!E12272</f>
        <v>1370</v>
      </c>
    </row>
    <row r="12273" spans="1:5" x14ac:dyDescent="0.55000000000000004">
      <c r="A12273" t="str">
        <f>TEST_DATA!A12273</f>
        <v>27AAAAA12273Z5</v>
      </c>
      <c r="B12273" t="str">
        <f>TEST_DATA!B12273</f>
        <v>Jun-2018</v>
      </c>
      <c r="C12273">
        <f>TEST_DATA!C12273</f>
        <v>43527</v>
      </c>
      <c r="D12273" t="str">
        <f>TEST_DATA!D12273</f>
        <v>NIL</v>
      </c>
      <c r="E12273">
        <f>TEST_DATA!E12273</f>
        <v>1942</v>
      </c>
    </row>
    <row r="12274" spans="1:5" x14ac:dyDescent="0.55000000000000004">
      <c r="A12274" t="str">
        <f>TEST_DATA!A12274</f>
        <v>27AAAAA12274Z5</v>
      </c>
      <c r="B12274" t="str">
        <f>TEST_DATA!B12274</f>
        <v>Sep-2017</v>
      </c>
      <c r="C12274">
        <f>TEST_DATA!C12274</f>
        <v>43290</v>
      </c>
      <c r="D12274" t="str">
        <f>TEST_DATA!D12274</f>
        <v>NON-NIL</v>
      </c>
      <c r="E12274">
        <f>TEST_DATA!E12274</f>
        <v>2494</v>
      </c>
    </row>
    <row r="12275" spans="1:5" x14ac:dyDescent="0.55000000000000004">
      <c r="A12275" t="str">
        <f>TEST_DATA!A12275</f>
        <v>27AAAAA12275Z5</v>
      </c>
      <c r="B12275" t="str">
        <f>TEST_DATA!B12275</f>
        <v>Mar-2021</v>
      </c>
      <c r="C12275">
        <f>TEST_DATA!C12275</f>
        <v>43859</v>
      </c>
      <c r="D12275" t="str">
        <f>TEST_DATA!D12275</f>
        <v>NON-NIL</v>
      </c>
      <c r="E12275">
        <f>TEST_DATA!E12275</f>
        <v>1197</v>
      </c>
    </row>
    <row r="12276" spans="1:5" x14ac:dyDescent="0.55000000000000004">
      <c r="A12276" t="str">
        <f>TEST_DATA!A12276</f>
        <v>27AAAAA12276Z5</v>
      </c>
      <c r="B12276" t="str">
        <f>TEST_DATA!B12276</f>
        <v>Jul-2020</v>
      </c>
      <c r="C12276">
        <f>TEST_DATA!C12276</f>
        <v>44205</v>
      </c>
      <c r="D12276" t="str">
        <f>TEST_DATA!D12276</f>
        <v>NON-NIL</v>
      </c>
      <c r="E12276">
        <f>TEST_DATA!E12276</f>
        <v>38</v>
      </c>
    </row>
    <row r="12277" spans="1:5" x14ac:dyDescent="0.55000000000000004">
      <c r="A12277" t="str">
        <f>TEST_DATA!A12277</f>
        <v>27AAAAA12277Z5</v>
      </c>
      <c r="B12277" t="str">
        <f>TEST_DATA!B12277</f>
        <v>Aug-2017</v>
      </c>
      <c r="C12277">
        <f>TEST_DATA!C12277</f>
        <v>44262</v>
      </c>
      <c r="D12277" t="str">
        <f>TEST_DATA!D12277</f>
        <v>NIL</v>
      </c>
      <c r="E12277">
        <f>TEST_DATA!E12277</f>
        <v>2350</v>
      </c>
    </row>
    <row r="12278" spans="1:5" x14ac:dyDescent="0.55000000000000004">
      <c r="A12278" t="str">
        <f>TEST_DATA!A12278</f>
        <v>27AAAAA12278Z5</v>
      </c>
      <c r="B12278" t="str">
        <f>TEST_DATA!B12278</f>
        <v>Feb-2018</v>
      </c>
      <c r="C12278">
        <f>TEST_DATA!C12278</f>
        <v>43361</v>
      </c>
      <c r="D12278" t="str">
        <f>TEST_DATA!D12278</f>
        <v>NIL</v>
      </c>
      <c r="E12278">
        <f>TEST_DATA!E12278</f>
        <v>868</v>
      </c>
    </row>
    <row r="12279" spans="1:5" x14ac:dyDescent="0.55000000000000004">
      <c r="A12279" t="str">
        <f>TEST_DATA!A12279</f>
        <v>27AAAAA12279Z5</v>
      </c>
      <c r="B12279" t="str">
        <f>TEST_DATA!B12279</f>
        <v>Nov-2017</v>
      </c>
      <c r="C12279">
        <f>TEST_DATA!C12279</f>
        <v>43717</v>
      </c>
      <c r="D12279" t="str">
        <f>TEST_DATA!D12279</f>
        <v>NIL</v>
      </c>
      <c r="E12279">
        <f>TEST_DATA!E12279</f>
        <v>1929</v>
      </c>
    </row>
    <row r="12280" spans="1:5" x14ac:dyDescent="0.55000000000000004">
      <c r="A12280" t="str">
        <f>TEST_DATA!A12280</f>
        <v>27AAAAA12280Z5</v>
      </c>
      <c r="B12280" t="str">
        <f>TEST_DATA!B12280</f>
        <v>Dec-2022</v>
      </c>
      <c r="C12280">
        <f>TEST_DATA!C12280</f>
        <v>44538</v>
      </c>
      <c r="D12280" t="str">
        <f>TEST_DATA!D12280</f>
        <v>NON-NIL</v>
      </c>
      <c r="E12280">
        <f>TEST_DATA!E12280</f>
        <v>80</v>
      </c>
    </row>
    <row r="12281" spans="1:5" x14ac:dyDescent="0.55000000000000004">
      <c r="A12281" t="str">
        <f>TEST_DATA!A12281</f>
        <v>27AAAAA12281Z5</v>
      </c>
      <c r="B12281" t="str">
        <f>TEST_DATA!B12281</f>
        <v>Dec-2017</v>
      </c>
      <c r="C12281">
        <f>TEST_DATA!C12281</f>
        <v>43048</v>
      </c>
      <c r="D12281" t="str">
        <f>TEST_DATA!D12281</f>
        <v>NIL</v>
      </c>
      <c r="E12281">
        <f>TEST_DATA!E12281</f>
        <v>1779</v>
      </c>
    </row>
    <row r="12282" spans="1:5" x14ac:dyDescent="0.55000000000000004">
      <c r="A12282" t="str">
        <f>TEST_DATA!A12282</f>
        <v>27AAAAA12282Z5</v>
      </c>
      <c r="B12282" t="str">
        <f>TEST_DATA!B12282</f>
        <v>Mar-2021</v>
      </c>
      <c r="C12282">
        <f>TEST_DATA!C12282</f>
        <v>45698</v>
      </c>
      <c r="D12282" t="str">
        <f>TEST_DATA!D12282</f>
        <v>NON-NIL</v>
      </c>
      <c r="E12282">
        <f>TEST_DATA!E12282</f>
        <v>310</v>
      </c>
    </row>
    <row r="12283" spans="1:5" x14ac:dyDescent="0.55000000000000004">
      <c r="A12283" t="str">
        <f>TEST_DATA!A12283</f>
        <v>27AAAAA12283Z5</v>
      </c>
      <c r="B12283" t="str">
        <f>TEST_DATA!B12283</f>
        <v>Jun-2018</v>
      </c>
      <c r="C12283">
        <f>TEST_DATA!C12283</f>
        <v>43940</v>
      </c>
      <c r="D12283" t="str">
        <f>TEST_DATA!D12283</f>
        <v>NON-NIL</v>
      </c>
      <c r="E12283">
        <f>TEST_DATA!E12283</f>
        <v>342</v>
      </c>
    </row>
    <row r="12284" spans="1:5" x14ac:dyDescent="0.55000000000000004">
      <c r="A12284" t="str">
        <f>TEST_DATA!A12284</f>
        <v>27AAAAA12284Z5</v>
      </c>
      <c r="B12284" t="str">
        <f>TEST_DATA!B12284</f>
        <v>Jul-2020</v>
      </c>
      <c r="C12284">
        <f>TEST_DATA!C12284</f>
        <v>44108</v>
      </c>
      <c r="D12284" t="str">
        <f>TEST_DATA!D12284</f>
        <v>NIL</v>
      </c>
      <c r="E12284">
        <f>TEST_DATA!E12284</f>
        <v>2155</v>
      </c>
    </row>
    <row r="12285" spans="1:5" x14ac:dyDescent="0.55000000000000004">
      <c r="A12285" t="str">
        <f>TEST_DATA!A12285</f>
        <v>27AAAAA12285Z5</v>
      </c>
      <c r="B12285" t="str">
        <f>TEST_DATA!B12285</f>
        <v>Mar-2018</v>
      </c>
      <c r="C12285">
        <f>TEST_DATA!C12285</f>
        <v>43270</v>
      </c>
      <c r="D12285" t="str">
        <f>TEST_DATA!D12285</f>
        <v>NON-NIL</v>
      </c>
      <c r="E12285">
        <f>TEST_DATA!E12285</f>
        <v>258</v>
      </c>
    </row>
    <row r="12286" spans="1:5" x14ac:dyDescent="0.55000000000000004">
      <c r="A12286" t="str">
        <f>TEST_DATA!A12286</f>
        <v>27AAAAA12286Z5</v>
      </c>
      <c r="B12286" t="str">
        <f>TEST_DATA!B12286</f>
        <v>Jan-2021</v>
      </c>
      <c r="C12286">
        <f>TEST_DATA!C12286</f>
        <v>44912</v>
      </c>
      <c r="D12286" t="str">
        <f>TEST_DATA!D12286</f>
        <v>NON-NIL</v>
      </c>
      <c r="E12286">
        <f>TEST_DATA!E12286</f>
        <v>348</v>
      </c>
    </row>
    <row r="12287" spans="1:5" x14ac:dyDescent="0.55000000000000004">
      <c r="A12287" t="str">
        <f>TEST_DATA!A12287</f>
        <v>27AAAAA12287Z5</v>
      </c>
      <c r="B12287" t="str">
        <f>TEST_DATA!B12287</f>
        <v>Jan-2019</v>
      </c>
      <c r="C12287">
        <f>TEST_DATA!C12287</f>
        <v>45250</v>
      </c>
      <c r="D12287" t="str">
        <f>TEST_DATA!D12287</f>
        <v>NON-NIL</v>
      </c>
      <c r="E12287">
        <f>TEST_DATA!E12287</f>
        <v>1376</v>
      </c>
    </row>
    <row r="12288" spans="1:5" x14ac:dyDescent="0.55000000000000004">
      <c r="A12288" t="str">
        <f>TEST_DATA!A12288</f>
        <v>27AAAAA12288Z5</v>
      </c>
      <c r="B12288" t="str">
        <f>TEST_DATA!B12288</f>
        <v>Dec-2019</v>
      </c>
      <c r="C12288">
        <f>TEST_DATA!C12288</f>
        <v>44107</v>
      </c>
      <c r="D12288" t="str">
        <f>TEST_DATA!D12288</f>
        <v>NIL</v>
      </c>
      <c r="E12288">
        <f>TEST_DATA!E12288</f>
        <v>901</v>
      </c>
    </row>
    <row r="12289" spans="1:5" x14ac:dyDescent="0.55000000000000004">
      <c r="A12289" t="str">
        <f>TEST_DATA!A12289</f>
        <v>27AAAAA12289Z5</v>
      </c>
      <c r="B12289" t="str">
        <f>TEST_DATA!B12289</f>
        <v>Jul-2020</v>
      </c>
      <c r="C12289">
        <f>TEST_DATA!C12289</f>
        <v>44585</v>
      </c>
      <c r="D12289" t="str">
        <f>TEST_DATA!D12289</f>
        <v>NON-NIL</v>
      </c>
      <c r="E12289">
        <f>TEST_DATA!E12289</f>
        <v>531</v>
      </c>
    </row>
    <row r="12290" spans="1:5" x14ac:dyDescent="0.55000000000000004">
      <c r="A12290" t="str">
        <f>TEST_DATA!A12290</f>
        <v>27AAAAA12290Z5</v>
      </c>
      <c r="B12290" t="str">
        <f>TEST_DATA!B12290</f>
        <v>Jul-2020</v>
      </c>
      <c r="C12290">
        <f>TEST_DATA!C12290</f>
        <v>44492</v>
      </c>
      <c r="D12290" t="str">
        <f>TEST_DATA!D12290</f>
        <v>NON-NIL</v>
      </c>
      <c r="E12290">
        <f>TEST_DATA!E12290</f>
        <v>2736</v>
      </c>
    </row>
    <row r="12291" spans="1:5" x14ac:dyDescent="0.55000000000000004">
      <c r="A12291" t="str">
        <f>TEST_DATA!A12291</f>
        <v>27AAAAA12291Z5</v>
      </c>
      <c r="B12291" t="str">
        <f>TEST_DATA!B12291</f>
        <v>Jul-2017</v>
      </c>
      <c r="C12291">
        <f>TEST_DATA!C12291</f>
        <v>43812</v>
      </c>
      <c r="D12291" t="str">
        <f>TEST_DATA!D12291</f>
        <v>NIL</v>
      </c>
      <c r="E12291">
        <f>TEST_DATA!E12291</f>
        <v>23</v>
      </c>
    </row>
    <row r="12292" spans="1:5" x14ac:dyDescent="0.55000000000000004">
      <c r="A12292" t="str">
        <f>TEST_DATA!A12292</f>
        <v>27AAAAA12292Z5</v>
      </c>
      <c r="B12292" t="str">
        <f>TEST_DATA!B12292</f>
        <v>Apr-2021</v>
      </c>
      <c r="C12292">
        <f>TEST_DATA!C12292</f>
        <v>44085</v>
      </c>
      <c r="D12292" t="str">
        <f>TEST_DATA!D12292</f>
        <v>NIL</v>
      </c>
      <c r="E12292">
        <f>TEST_DATA!E12292</f>
        <v>2240</v>
      </c>
    </row>
    <row r="12293" spans="1:5" x14ac:dyDescent="0.55000000000000004">
      <c r="A12293" t="str">
        <f>TEST_DATA!A12293</f>
        <v>27AAAAA12293Z5</v>
      </c>
      <c r="B12293" t="str">
        <f>TEST_DATA!B12293</f>
        <v>Mar-2021</v>
      </c>
      <c r="C12293">
        <f>TEST_DATA!C12293</f>
        <v>44192</v>
      </c>
      <c r="D12293" t="str">
        <f>TEST_DATA!D12293</f>
        <v>NIL</v>
      </c>
      <c r="E12293">
        <f>TEST_DATA!E12293</f>
        <v>964</v>
      </c>
    </row>
    <row r="12294" spans="1:5" x14ac:dyDescent="0.55000000000000004">
      <c r="A12294" t="str">
        <f>TEST_DATA!A12294</f>
        <v>27AAAAA12294Z5</v>
      </c>
      <c r="B12294" t="str">
        <f>TEST_DATA!B12294</f>
        <v>Jun-2018</v>
      </c>
      <c r="C12294">
        <f>TEST_DATA!C12294</f>
        <v>43211</v>
      </c>
      <c r="D12294" t="str">
        <f>TEST_DATA!D12294</f>
        <v>NON-NIL</v>
      </c>
      <c r="E12294">
        <f>TEST_DATA!E12294</f>
        <v>2159</v>
      </c>
    </row>
    <row r="12295" spans="1:5" x14ac:dyDescent="0.55000000000000004">
      <c r="A12295" t="str">
        <f>TEST_DATA!A12295</f>
        <v>27AAAAA12295Z5</v>
      </c>
      <c r="B12295" t="str">
        <f>TEST_DATA!B12295</f>
        <v>Apr-2020</v>
      </c>
      <c r="C12295">
        <f>TEST_DATA!C12295</f>
        <v>44850</v>
      </c>
      <c r="D12295" t="str">
        <f>TEST_DATA!D12295</f>
        <v>NIL</v>
      </c>
      <c r="E12295">
        <f>TEST_DATA!E12295</f>
        <v>1534</v>
      </c>
    </row>
    <row r="12296" spans="1:5" x14ac:dyDescent="0.55000000000000004">
      <c r="A12296" t="str">
        <f>TEST_DATA!A12296</f>
        <v>27AAAAA12296Z5</v>
      </c>
      <c r="B12296" t="str">
        <f>TEST_DATA!B12296</f>
        <v>Jan-2021</v>
      </c>
      <c r="C12296">
        <f>TEST_DATA!C12296</f>
        <v>44260</v>
      </c>
      <c r="D12296" t="str">
        <f>TEST_DATA!D12296</f>
        <v>NON-NIL</v>
      </c>
      <c r="E12296">
        <f>TEST_DATA!E12296</f>
        <v>2451</v>
      </c>
    </row>
    <row r="12297" spans="1:5" x14ac:dyDescent="0.55000000000000004">
      <c r="A12297" t="str">
        <f>TEST_DATA!A12297</f>
        <v>27AAAAA12297Z5</v>
      </c>
      <c r="B12297" t="str">
        <f>TEST_DATA!B12297</f>
        <v>May-2020</v>
      </c>
      <c r="C12297">
        <f>TEST_DATA!C12297</f>
        <v>44670</v>
      </c>
      <c r="D12297" t="str">
        <f>TEST_DATA!D12297</f>
        <v>NON-NIL</v>
      </c>
      <c r="E12297">
        <f>TEST_DATA!E12297</f>
        <v>1984</v>
      </c>
    </row>
    <row r="12298" spans="1:5" x14ac:dyDescent="0.55000000000000004">
      <c r="A12298" t="str">
        <f>TEST_DATA!A12298</f>
        <v>27AAAAA12298Z5</v>
      </c>
      <c r="B12298" t="str">
        <f>TEST_DATA!B12298</f>
        <v>Dec-2017</v>
      </c>
      <c r="C12298">
        <f>TEST_DATA!C12298</f>
        <v>43757</v>
      </c>
      <c r="D12298" t="str">
        <f>TEST_DATA!D12298</f>
        <v>NON-NIL</v>
      </c>
      <c r="E12298">
        <f>TEST_DATA!E12298</f>
        <v>2043</v>
      </c>
    </row>
    <row r="12299" spans="1:5" x14ac:dyDescent="0.55000000000000004">
      <c r="A12299" t="str">
        <f>TEST_DATA!A12299</f>
        <v>27AAAAA12299Z5</v>
      </c>
      <c r="B12299" t="str">
        <f>TEST_DATA!B12299</f>
        <v>Mar-2018</v>
      </c>
      <c r="C12299">
        <f>TEST_DATA!C12299</f>
        <v>43761</v>
      </c>
      <c r="D12299" t="str">
        <f>TEST_DATA!D12299</f>
        <v>NON-NIL</v>
      </c>
      <c r="E12299">
        <f>TEST_DATA!E12299</f>
        <v>2768</v>
      </c>
    </row>
    <row r="12300" spans="1:5" x14ac:dyDescent="0.55000000000000004">
      <c r="A12300" t="str">
        <f>TEST_DATA!A12300</f>
        <v>27AAAAA12300Z5</v>
      </c>
      <c r="B12300" t="str">
        <f>TEST_DATA!B12300</f>
        <v>Jun-2018</v>
      </c>
      <c r="C12300">
        <f>TEST_DATA!C12300</f>
        <v>43574</v>
      </c>
      <c r="D12300" t="str">
        <f>TEST_DATA!D12300</f>
        <v>NIL</v>
      </c>
      <c r="E12300">
        <f>TEST_DATA!E12300</f>
        <v>1863</v>
      </c>
    </row>
    <row r="12301" spans="1:5" x14ac:dyDescent="0.55000000000000004">
      <c r="A12301" t="str">
        <f>TEST_DATA!A12301</f>
        <v>27AAAAA12301Z5</v>
      </c>
      <c r="B12301" t="str">
        <f>TEST_DATA!B12301</f>
        <v>Jun-2020</v>
      </c>
      <c r="C12301">
        <f>TEST_DATA!C12301</f>
        <v>44140</v>
      </c>
      <c r="D12301" t="str">
        <f>TEST_DATA!D12301</f>
        <v>NIL</v>
      </c>
      <c r="E12301">
        <f>TEST_DATA!E12301</f>
        <v>420</v>
      </c>
    </row>
    <row r="12302" spans="1:5" x14ac:dyDescent="0.55000000000000004">
      <c r="A12302" t="str">
        <f>TEST_DATA!A12302</f>
        <v>27AAAAA12302Z5</v>
      </c>
      <c r="B12302" t="str">
        <f>TEST_DATA!B12302</f>
        <v>Mar-2021</v>
      </c>
      <c r="C12302">
        <f>TEST_DATA!C12302</f>
        <v>43506</v>
      </c>
      <c r="D12302" t="str">
        <f>TEST_DATA!D12302</f>
        <v>NIL</v>
      </c>
      <c r="E12302">
        <f>TEST_DATA!E12302</f>
        <v>2255</v>
      </c>
    </row>
    <row r="12303" spans="1:5" x14ac:dyDescent="0.55000000000000004">
      <c r="A12303" t="str">
        <f>TEST_DATA!A12303</f>
        <v>27AAAAA12303Z5</v>
      </c>
      <c r="B12303" t="str">
        <f>TEST_DATA!B12303</f>
        <v>Jun-2018</v>
      </c>
      <c r="C12303">
        <f>TEST_DATA!C12303</f>
        <v>44403</v>
      </c>
      <c r="D12303" t="str">
        <f>TEST_DATA!D12303</f>
        <v>NIL</v>
      </c>
      <c r="E12303">
        <f>TEST_DATA!E12303</f>
        <v>2155</v>
      </c>
    </row>
    <row r="12304" spans="1:5" x14ac:dyDescent="0.55000000000000004">
      <c r="A12304" t="str">
        <f>TEST_DATA!A12304</f>
        <v>27AAAAA12304Z5</v>
      </c>
      <c r="B12304" t="str">
        <f>TEST_DATA!B12304</f>
        <v>Dec-2019</v>
      </c>
      <c r="C12304">
        <f>TEST_DATA!C12304</f>
        <v>43667</v>
      </c>
      <c r="D12304" t="str">
        <f>TEST_DATA!D12304</f>
        <v>NON-NIL</v>
      </c>
      <c r="E12304">
        <f>TEST_DATA!E12304</f>
        <v>1294</v>
      </c>
    </row>
    <row r="12305" spans="1:5" x14ac:dyDescent="0.55000000000000004">
      <c r="A12305" t="str">
        <f>TEST_DATA!A12305</f>
        <v>27AAAAA12305Z5</v>
      </c>
      <c r="B12305" t="str">
        <f>TEST_DATA!B12305</f>
        <v>Jul-2018</v>
      </c>
      <c r="C12305">
        <f>TEST_DATA!C12305</f>
        <v>44432</v>
      </c>
      <c r="D12305" t="str">
        <f>TEST_DATA!D12305</f>
        <v>NON-NIL</v>
      </c>
      <c r="E12305">
        <f>TEST_DATA!E12305</f>
        <v>1436</v>
      </c>
    </row>
    <row r="12306" spans="1:5" x14ac:dyDescent="0.55000000000000004">
      <c r="A12306" t="str">
        <f>TEST_DATA!A12306</f>
        <v>27AAAAA12306Z5</v>
      </c>
      <c r="B12306" t="str">
        <f>TEST_DATA!B12306</f>
        <v>Mar-2021</v>
      </c>
      <c r="C12306">
        <f>TEST_DATA!C12306</f>
        <v>43570</v>
      </c>
      <c r="D12306" t="str">
        <f>TEST_DATA!D12306</f>
        <v>NON-NIL</v>
      </c>
      <c r="E12306">
        <f>TEST_DATA!E12306</f>
        <v>2223</v>
      </c>
    </row>
    <row r="12307" spans="1:5" x14ac:dyDescent="0.55000000000000004">
      <c r="A12307" t="str">
        <f>TEST_DATA!A12307</f>
        <v>27AAAAA12307Z5</v>
      </c>
      <c r="B12307" t="str">
        <f>TEST_DATA!B12307</f>
        <v>Oct-2017</v>
      </c>
      <c r="C12307">
        <f>TEST_DATA!C12307</f>
        <v>44249</v>
      </c>
      <c r="D12307" t="str">
        <f>TEST_DATA!D12307</f>
        <v>NIL</v>
      </c>
      <c r="E12307">
        <f>TEST_DATA!E12307</f>
        <v>1310</v>
      </c>
    </row>
    <row r="12308" spans="1:5" x14ac:dyDescent="0.55000000000000004">
      <c r="A12308" t="str">
        <f>TEST_DATA!A12308</f>
        <v>27AAAAA12308Z5</v>
      </c>
      <c r="B12308" t="str">
        <f>TEST_DATA!B12308</f>
        <v>Jun-2019</v>
      </c>
      <c r="C12308">
        <f>TEST_DATA!C12308</f>
        <v>43509</v>
      </c>
      <c r="D12308" t="str">
        <f>TEST_DATA!D12308</f>
        <v>NIL</v>
      </c>
      <c r="E12308">
        <f>TEST_DATA!E12308</f>
        <v>6</v>
      </c>
    </row>
    <row r="12309" spans="1:5" x14ac:dyDescent="0.55000000000000004">
      <c r="A12309" t="str">
        <f>TEST_DATA!A12309</f>
        <v>27AAAAA12309Z5</v>
      </c>
      <c r="B12309" t="str">
        <f>TEST_DATA!B12309</f>
        <v>Dec-2019</v>
      </c>
      <c r="C12309">
        <f>TEST_DATA!C12309</f>
        <v>45743</v>
      </c>
      <c r="D12309" t="str">
        <f>TEST_DATA!D12309</f>
        <v>NON-NIL</v>
      </c>
      <c r="E12309">
        <f>TEST_DATA!E12309</f>
        <v>1992</v>
      </c>
    </row>
    <row r="12310" spans="1:5" x14ac:dyDescent="0.55000000000000004">
      <c r="A12310" t="str">
        <f>TEST_DATA!A12310</f>
        <v>27AAAAA12310Z5</v>
      </c>
      <c r="B12310" t="str">
        <f>TEST_DATA!B12310</f>
        <v>Apr-2020</v>
      </c>
      <c r="C12310">
        <f>TEST_DATA!C12310</f>
        <v>44838</v>
      </c>
      <c r="D12310" t="str">
        <f>TEST_DATA!D12310</f>
        <v>NON-NIL</v>
      </c>
      <c r="E12310">
        <f>TEST_DATA!E12310</f>
        <v>1038</v>
      </c>
    </row>
    <row r="12311" spans="1:5" x14ac:dyDescent="0.55000000000000004">
      <c r="A12311" t="str">
        <f>TEST_DATA!A12311</f>
        <v>27AAAAA12311Z5</v>
      </c>
      <c r="B12311" t="str">
        <f>TEST_DATA!B12311</f>
        <v>Jan-2019</v>
      </c>
      <c r="C12311">
        <f>TEST_DATA!C12311</f>
        <v>45248</v>
      </c>
      <c r="D12311" t="str">
        <f>TEST_DATA!D12311</f>
        <v>NIL</v>
      </c>
      <c r="E12311">
        <f>TEST_DATA!E12311</f>
        <v>2409</v>
      </c>
    </row>
    <row r="12312" spans="1:5" x14ac:dyDescent="0.55000000000000004">
      <c r="A12312" t="str">
        <f>TEST_DATA!A12312</f>
        <v>27AAAAA12312Z5</v>
      </c>
      <c r="B12312" t="str">
        <f>TEST_DATA!B12312</f>
        <v>Jan-2018</v>
      </c>
      <c r="C12312">
        <f>TEST_DATA!C12312</f>
        <v>43831</v>
      </c>
      <c r="D12312" t="str">
        <f>TEST_DATA!D12312</f>
        <v>NON-NIL</v>
      </c>
      <c r="E12312">
        <f>TEST_DATA!E12312</f>
        <v>1543</v>
      </c>
    </row>
    <row r="12313" spans="1:5" x14ac:dyDescent="0.55000000000000004">
      <c r="A12313" t="str">
        <f>TEST_DATA!A12313</f>
        <v>27AAAAA12313Z5</v>
      </c>
      <c r="B12313" t="str">
        <f>TEST_DATA!B12313</f>
        <v>Jan-2018</v>
      </c>
      <c r="C12313">
        <f>TEST_DATA!C12313</f>
        <v>43703</v>
      </c>
      <c r="D12313" t="str">
        <f>TEST_DATA!D12313</f>
        <v>NON-NIL</v>
      </c>
      <c r="E12313">
        <f>TEST_DATA!E12313</f>
        <v>1591</v>
      </c>
    </row>
    <row r="12314" spans="1:5" x14ac:dyDescent="0.55000000000000004">
      <c r="A12314" t="str">
        <f>TEST_DATA!A12314</f>
        <v>27AAAAA12314Z5</v>
      </c>
      <c r="B12314" t="str">
        <f>TEST_DATA!B12314</f>
        <v>Mar-2021</v>
      </c>
      <c r="C12314">
        <f>TEST_DATA!C12314</f>
        <v>44819</v>
      </c>
      <c r="D12314" t="str">
        <f>TEST_DATA!D12314</f>
        <v>NIL</v>
      </c>
      <c r="E12314">
        <f>TEST_DATA!E12314</f>
        <v>898</v>
      </c>
    </row>
    <row r="12315" spans="1:5" x14ac:dyDescent="0.55000000000000004">
      <c r="A12315" t="str">
        <f>TEST_DATA!A12315</f>
        <v>27AAAAA12315Z5</v>
      </c>
      <c r="B12315" t="str">
        <f>TEST_DATA!B12315</f>
        <v>Feb-2018</v>
      </c>
      <c r="C12315">
        <f>TEST_DATA!C12315</f>
        <v>43532</v>
      </c>
      <c r="D12315" t="str">
        <f>TEST_DATA!D12315</f>
        <v>NON-NIL</v>
      </c>
      <c r="E12315">
        <f>TEST_DATA!E12315</f>
        <v>1813</v>
      </c>
    </row>
    <row r="12316" spans="1:5" x14ac:dyDescent="0.55000000000000004">
      <c r="A12316" t="str">
        <f>TEST_DATA!A12316</f>
        <v>27AAAAA12316Z5</v>
      </c>
      <c r="B12316" t="str">
        <f>TEST_DATA!B12316</f>
        <v>Mar-2018</v>
      </c>
      <c r="C12316">
        <f>TEST_DATA!C12316</f>
        <v>44440</v>
      </c>
      <c r="D12316" t="str">
        <f>TEST_DATA!D12316</f>
        <v>NON-NIL</v>
      </c>
      <c r="E12316">
        <f>TEST_DATA!E12316</f>
        <v>937</v>
      </c>
    </row>
    <row r="12317" spans="1:5" x14ac:dyDescent="0.55000000000000004">
      <c r="A12317" t="str">
        <f>TEST_DATA!A12317</f>
        <v>27AAAAA12317Z5</v>
      </c>
      <c r="B12317" t="str">
        <f>TEST_DATA!B12317</f>
        <v>Jan-2018</v>
      </c>
      <c r="C12317">
        <f>TEST_DATA!C12317</f>
        <v>43899</v>
      </c>
      <c r="D12317" t="str">
        <f>TEST_DATA!D12317</f>
        <v>NIL</v>
      </c>
      <c r="E12317">
        <f>TEST_DATA!E12317</f>
        <v>639</v>
      </c>
    </row>
    <row r="12318" spans="1:5" x14ac:dyDescent="0.55000000000000004">
      <c r="A12318" t="str">
        <f>TEST_DATA!A12318</f>
        <v>27AAAAA12318Z5</v>
      </c>
      <c r="B12318" t="str">
        <f>TEST_DATA!B12318</f>
        <v>Apr-2021</v>
      </c>
      <c r="C12318">
        <f>TEST_DATA!C12318</f>
        <v>45228</v>
      </c>
      <c r="D12318" t="str">
        <f>TEST_DATA!D12318</f>
        <v>NIL</v>
      </c>
      <c r="E12318">
        <f>TEST_DATA!E12318</f>
        <v>2056</v>
      </c>
    </row>
    <row r="12319" spans="1:5" x14ac:dyDescent="0.55000000000000004">
      <c r="A12319" t="str">
        <f>TEST_DATA!A12319</f>
        <v>27AAAAA12319Z5</v>
      </c>
      <c r="B12319" t="str">
        <f>TEST_DATA!B12319</f>
        <v>Oct-2017</v>
      </c>
      <c r="C12319">
        <f>TEST_DATA!C12319</f>
        <v>44178</v>
      </c>
      <c r="D12319" t="str">
        <f>TEST_DATA!D12319</f>
        <v>NIL</v>
      </c>
      <c r="E12319">
        <f>TEST_DATA!E12319</f>
        <v>1412</v>
      </c>
    </row>
    <row r="12320" spans="1:5" x14ac:dyDescent="0.55000000000000004">
      <c r="A12320" t="str">
        <f>TEST_DATA!A12320</f>
        <v>27AAAAA12320Z5</v>
      </c>
      <c r="B12320" t="str">
        <f>TEST_DATA!B12320</f>
        <v>Jul-2017</v>
      </c>
      <c r="C12320">
        <f>TEST_DATA!C12320</f>
        <v>43288</v>
      </c>
      <c r="D12320" t="str">
        <f>TEST_DATA!D12320</f>
        <v>NIL</v>
      </c>
      <c r="E12320">
        <f>TEST_DATA!E12320</f>
        <v>1986</v>
      </c>
    </row>
    <row r="12321" spans="1:5" x14ac:dyDescent="0.55000000000000004">
      <c r="A12321" t="str">
        <f>TEST_DATA!A12321</f>
        <v>27AAAAA12321Z5</v>
      </c>
      <c r="B12321" t="str">
        <f>TEST_DATA!B12321</f>
        <v>Apr-2018</v>
      </c>
      <c r="C12321">
        <f>TEST_DATA!C12321</f>
        <v>43340</v>
      </c>
      <c r="D12321" t="str">
        <f>TEST_DATA!D12321</f>
        <v>NON-NIL</v>
      </c>
      <c r="E12321">
        <f>TEST_DATA!E12321</f>
        <v>1003</v>
      </c>
    </row>
    <row r="12322" spans="1:5" x14ac:dyDescent="0.55000000000000004">
      <c r="A12322" t="str">
        <f>TEST_DATA!A12322</f>
        <v>27AAAAA12322Z5</v>
      </c>
      <c r="B12322" t="str">
        <f>TEST_DATA!B12322</f>
        <v>Apr-2018</v>
      </c>
      <c r="C12322">
        <f>TEST_DATA!C12322</f>
        <v>43558</v>
      </c>
      <c r="D12322" t="str">
        <f>TEST_DATA!D12322</f>
        <v>NIL</v>
      </c>
      <c r="E12322">
        <f>TEST_DATA!E12322</f>
        <v>1323</v>
      </c>
    </row>
    <row r="12323" spans="1:5" x14ac:dyDescent="0.55000000000000004">
      <c r="A12323" t="str">
        <f>TEST_DATA!A12323</f>
        <v>27AAAAA12323Z5</v>
      </c>
      <c r="B12323" t="str">
        <f>TEST_DATA!B12323</f>
        <v>Dec-2017</v>
      </c>
      <c r="C12323">
        <f>TEST_DATA!C12323</f>
        <v>43153</v>
      </c>
      <c r="D12323" t="str">
        <f>TEST_DATA!D12323</f>
        <v>NON-NIL</v>
      </c>
      <c r="E12323">
        <f>TEST_DATA!E12323</f>
        <v>35</v>
      </c>
    </row>
    <row r="12324" spans="1:5" x14ac:dyDescent="0.55000000000000004">
      <c r="A12324" t="str">
        <f>TEST_DATA!A12324</f>
        <v>27AAAAA12324Z5</v>
      </c>
      <c r="B12324" t="str">
        <f>TEST_DATA!B12324</f>
        <v>May-2018</v>
      </c>
      <c r="C12324">
        <f>TEST_DATA!C12324</f>
        <v>44214</v>
      </c>
      <c r="D12324" t="str">
        <f>TEST_DATA!D12324</f>
        <v>NIL</v>
      </c>
      <c r="E12324">
        <f>TEST_DATA!E12324</f>
        <v>1034</v>
      </c>
    </row>
    <row r="12325" spans="1:5" x14ac:dyDescent="0.55000000000000004">
      <c r="A12325" t="str">
        <f>TEST_DATA!A12325</f>
        <v>27AAAAA12325Z5</v>
      </c>
      <c r="B12325" t="str">
        <f>TEST_DATA!B12325</f>
        <v>Jan-2019</v>
      </c>
      <c r="C12325">
        <f>TEST_DATA!C12325</f>
        <v>44000</v>
      </c>
      <c r="D12325" t="str">
        <f>TEST_DATA!D12325</f>
        <v>NON-NIL</v>
      </c>
      <c r="E12325">
        <f>TEST_DATA!E12325</f>
        <v>108</v>
      </c>
    </row>
    <row r="12326" spans="1:5" x14ac:dyDescent="0.55000000000000004">
      <c r="A12326" t="str">
        <f>TEST_DATA!A12326</f>
        <v>27AAAAA12326Z5</v>
      </c>
      <c r="B12326" t="str">
        <f>TEST_DATA!B12326</f>
        <v>Apr-2020</v>
      </c>
      <c r="C12326">
        <f>TEST_DATA!C12326</f>
        <v>44810</v>
      </c>
      <c r="D12326" t="str">
        <f>TEST_DATA!D12326</f>
        <v>NON-NIL</v>
      </c>
      <c r="E12326">
        <f>TEST_DATA!E12326</f>
        <v>671</v>
      </c>
    </row>
    <row r="12327" spans="1:5" x14ac:dyDescent="0.55000000000000004">
      <c r="A12327" t="str">
        <f>TEST_DATA!A12327</f>
        <v>27AAAAA12327Z5</v>
      </c>
      <c r="B12327" t="str">
        <f>TEST_DATA!B12327</f>
        <v>Apr-2020</v>
      </c>
      <c r="C12327">
        <f>TEST_DATA!C12327</f>
        <v>43986</v>
      </c>
      <c r="D12327" t="str">
        <f>TEST_DATA!D12327</f>
        <v>NON-NIL</v>
      </c>
      <c r="E12327">
        <f>TEST_DATA!E12327</f>
        <v>1455</v>
      </c>
    </row>
    <row r="12328" spans="1:5" x14ac:dyDescent="0.55000000000000004">
      <c r="A12328" t="str">
        <f>TEST_DATA!A12328</f>
        <v>27AAAAA12328Z5</v>
      </c>
      <c r="B12328" t="str">
        <f>TEST_DATA!B12328</f>
        <v>Mar-2020</v>
      </c>
      <c r="C12328">
        <f>TEST_DATA!C12328</f>
        <v>44827</v>
      </c>
      <c r="D12328" t="str">
        <f>TEST_DATA!D12328</f>
        <v>NON-NIL</v>
      </c>
      <c r="E12328">
        <f>TEST_DATA!E12328</f>
        <v>967</v>
      </c>
    </row>
    <row r="12329" spans="1:5" x14ac:dyDescent="0.55000000000000004">
      <c r="A12329" t="str">
        <f>TEST_DATA!A12329</f>
        <v>27AAAAA12329Z5</v>
      </c>
      <c r="B12329" t="str">
        <f>TEST_DATA!B12329</f>
        <v>Aug-2018</v>
      </c>
      <c r="C12329">
        <f>TEST_DATA!C12329</f>
        <v>43690</v>
      </c>
      <c r="D12329" t="str">
        <f>TEST_DATA!D12329</f>
        <v>NIL</v>
      </c>
      <c r="E12329">
        <f>TEST_DATA!E12329</f>
        <v>2343</v>
      </c>
    </row>
    <row r="12330" spans="1:5" x14ac:dyDescent="0.55000000000000004">
      <c r="A12330" t="str">
        <f>TEST_DATA!A12330</f>
        <v>27AAAAA12330Z5</v>
      </c>
      <c r="B12330" t="str">
        <f>TEST_DATA!B12330</f>
        <v>Dec-2019</v>
      </c>
      <c r="C12330">
        <f>TEST_DATA!C12330</f>
        <v>44764</v>
      </c>
      <c r="D12330" t="str">
        <f>TEST_DATA!D12330</f>
        <v>NIL</v>
      </c>
      <c r="E12330">
        <f>TEST_DATA!E12330</f>
        <v>2484</v>
      </c>
    </row>
    <row r="12331" spans="1:5" x14ac:dyDescent="0.55000000000000004">
      <c r="A12331" t="str">
        <f>TEST_DATA!A12331</f>
        <v>27AAAAA12331Z5</v>
      </c>
      <c r="B12331" t="str">
        <f>TEST_DATA!B12331</f>
        <v>Dec-2019</v>
      </c>
      <c r="C12331">
        <f>TEST_DATA!C12331</f>
        <v>43847</v>
      </c>
      <c r="D12331" t="str">
        <f>TEST_DATA!D12331</f>
        <v>NON-NIL</v>
      </c>
      <c r="E12331">
        <f>TEST_DATA!E12331</f>
        <v>1220</v>
      </c>
    </row>
    <row r="12332" spans="1:5" x14ac:dyDescent="0.55000000000000004">
      <c r="A12332" t="str">
        <f>TEST_DATA!A12332</f>
        <v>27AAAAA12332Z5</v>
      </c>
      <c r="B12332" t="str">
        <f>TEST_DATA!B12332</f>
        <v>Jan-2019</v>
      </c>
      <c r="C12332">
        <f>TEST_DATA!C12332</f>
        <v>44415</v>
      </c>
      <c r="D12332" t="str">
        <f>TEST_DATA!D12332</f>
        <v>NON-NIL</v>
      </c>
      <c r="E12332">
        <f>TEST_DATA!E12332</f>
        <v>1785</v>
      </c>
    </row>
    <row r="12333" spans="1:5" x14ac:dyDescent="0.55000000000000004">
      <c r="A12333" t="str">
        <f>TEST_DATA!A12333</f>
        <v>27AAAAA12333Z5</v>
      </c>
      <c r="B12333" t="str">
        <f>TEST_DATA!B12333</f>
        <v>Jun-2018</v>
      </c>
      <c r="C12333">
        <f>TEST_DATA!C12333</f>
        <v>43336</v>
      </c>
      <c r="D12333" t="str">
        <f>TEST_DATA!D12333</f>
        <v>NON-NIL</v>
      </c>
      <c r="E12333">
        <f>TEST_DATA!E12333</f>
        <v>2644</v>
      </c>
    </row>
    <row r="12334" spans="1:5" x14ac:dyDescent="0.55000000000000004">
      <c r="A12334" t="str">
        <f>TEST_DATA!A12334</f>
        <v>27AAAAA12334Z5</v>
      </c>
      <c r="B12334" t="str">
        <f>TEST_DATA!B12334</f>
        <v>Jun-2019</v>
      </c>
      <c r="C12334">
        <f>TEST_DATA!C12334</f>
        <v>45625</v>
      </c>
      <c r="D12334" t="str">
        <f>TEST_DATA!D12334</f>
        <v>NON-NIL</v>
      </c>
      <c r="E12334">
        <f>TEST_DATA!E12334</f>
        <v>2146</v>
      </c>
    </row>
    <row r="12335" spans="1:5" x14ac:dyDescent="0.55000000000000004">
      <c r="A12335" t="str">
        <f>TEST_DATA!A12335</f>
        <v>27AAAAA12335Z5</v>
      </c>
      <c r="B12335" t="str">
        <f>TEST_DATA!B12335</f>
        <v>Sep-2018</v>
      </c>
      <c r="C12335">
        <f>TEST_DATA!C12335</f>
        <v>43530</v>
      </c>
      <c r="D12335" t="str">
        <f>TEST_DATA!D12335</f>
        <v>NON-NIL</v>
      </c>
      <c r="E12335">
        <f>TEST_DATA!E12335</f>
        <v>2681</v>
      </c>
    </row>
    <row r="12336" spans="1:5" x14ac:dyDescent="0.55000000000000004">
      <c r="A12336" t="str">
        <f>TEST_DATA!A12336</f>
        <v>27AAAAA12336Z5</v>
      </c>
      <c r="B12336" t="str">
        <f>TEST_DATA!B12336</f>
        <v>Mar-2023</v>
      </c>
      <c r="C12336">
        <f>TEST_DATA!C12336</f>
        <v>44949</v>
      </c>
      <c r="D12336" t="str">
        <f>TEST_DATA!D12336</f>
        <v>NON-NIL</v>
      </c>
      <c r="E12336">
        <f>TEST_DATA!E12336</f>
        <v>477</v>
      </c>
    </row>
    <row r="12337" spans="1:5" x14ac:dyDescent="0.55000000000000004">
      <c r="A12337" t="str">
        <f>TEST_DATA!A12337</f>
        <v>27AAAAA12337Z5</v>
      </c>
      <c r="B12337" t="str">
        <f>TEST_DATA!B12337</f>
        <v>Feb-2018</v>
      </c>
      <c r="C12337">
        <f>TEST_DATA!C12337</f>
        <v>43148</v>
      </c>
      <c r="D12337" t="str">
        <f>TEST_DATA!D12337</f>
        <v>NON-NIL</v>
      </c>
      <c r="E12337">
        <f>TEST_DATA!E12337</f>
        <v>1074</v>
      </c>
    </row>
    <row r="12338" spans="1:5" x14ac:dyDescent="0.55000000000000004">
      <c r="A12338" t="str">
        <f>TEST_DATA!A12338</f>
        <v>27AAAAA12338Z5</v>
      </c>
      <c r="B12338" t="str">
        <f>TEST_DATA!B12338</f>
        <v>Mar-2018</v>
      </c>
      <c r="C12338">
        <f>TEST_DATA!C12338</f>
        <v>44540</v>
      </c>
      <c r="D12338" t="str">
        <f>TEST_DATA!D12338</f>
        <v>NON-NIL</v>
      </c>
      <c r="E12338">
        <f>TEST_DATA!E12338</f>
        <v>264</v>
      </c>
    </row>
    <row r="12339" spans="1:5" x14ac:dyDescent="0.55000000000000004">
      <c r="A12339" t="str">
        <f>TEST_DATA!A12339</f>
        <v>27AAAAA12339Z5</v>
      </c>
      <c r="B12339" t="str">
        <f>TEST_DATA!B12339</f>
        <v>Aug-2018</v>
      </c>
      <c r="C12339">
        <f>TEST_DATA!C12339</f>
        <v>43414</v>
      </c>
      <c r="D12339" t="str">
        <f>TEST_DATA!D12339</f>
        <v>NON-NIL</v>
      </c>
      <c r="E12339">
        <f>TEST_DATA!E12339</f>
        <v>741</v>
      </c>
    </row>
    <row r="12340" spans="1:5" x14ac:dyDescent="0.55000000000000004">
      <c r="A12340" t="str">
        <f>TEST_DATA!A12340</f>
        <v>27AAAAA12340Z5</v>
      </c>
      <c r="B12340" t="str">
        <f>TEST_DATA!B12340</f>
        <v>May-2018</v>
      </c>
      <c r="C12340">
        <f>TEST_DATA!C12340</f>
        <v>43897</v>
      </c>
      <c r="D12340" t="str">
        <f>TEST_DATA!D12340</f>
        <v>NON-NIL</v>
      </c>
      <c r="E12340">
        <f>TEST_DATA!E12340</f>
        <v>1955</v>
      </c>
    </row>
    <row r="12341" spans="1:5" x14ac:dyDescent="0.55000000000000004">
      <c r="A12341" t="str">
        <f>TEST_DATA!A12341</f>
        <v>27AAAAA12341Z5</v>
      </c>
      <c r="B12341" t="str">
        <f>TEST_DATA!B12341</f>
        <v>Jan-2019</v>
      </c>
      <c r="C12341">
        <f>TEST_DATA!C12341</f>
        <v>45445</v>
      </c>
      <c r="D12341" t="str">
        <f>TEST_DATA!D12341</f>
        <v>NON-NIL</v>
      </c>
      <c r="E12341">
        <f>TEST_DATA!E12341</f>
        <v>970</v>
      </c>
    </row>
    <row r="12342" spans="1:5" x14ac:dyDescent="0.55000000000000004">
      <c r="A12342" t="str">
        <f>TEST_DATA!A12342</f>
        <v>27AAAAA12342Z5</v>
      </c>
      <c r="B12342" t="str">
        <f>TEST_DATA!B12342</f>
        <v>Sep-2018</v>
      </c>
      <c r="C12342">
        <f>TEST_DATA!C12342</f>
        <v>44228</v>
      </c>
      <c r="D12342" t="str">
        <f>TEST_DATA!D12342</f>
        <v>NIL</v>
      </c>
      <c r="E12342">
        <f>TEST_DATA!E12342</f>
        <v>325</v>
      </c>
    </row>
    <row r="12343" spans="1:5" x14ac:dyDescent="0.55000000000000004">
      <c r="A12343" t="str">
        <f>TEST_DATA!A12343</f>
        <v>27AAAAA12343Z5</v>
      </c>
      <c r="B12343" t="str">
        <f>TEST_DATA!B12343</f>
        <v>Nov-2017</v>
      </c>
      <c r="C12343">
        <f>TEST_DATA!C12343</f>
        <v>43372</v>
      </c>
      <c r="D12343" t="str">
        <f>TEST_DATA!D12343</f>
        <v>NON-NIL</v>
      </c>
      <c r="E12343">
        <f>TEST_DATA!E12343</f>
        <v>2110</v>
      </c>
    </row>
    <row r="12344" spans="1:5" x14ac:dyDescent="0.55000000000000004">
      <c r="A12344" t="str">
        <f>TEST_DATA!A12344</f>
        <v>27AAAAA12344Z5</v>
      </c>
      <c r="B12344" t="str">
        <f>TEST_DATA!B12344</f>
        <v>Sep-2018</v>
      </c>
      <c r="C12344">
        <f>TEST_DATA!C12344</f>
        <v>43827</v>
      </c>
      <c r="D12344" t="str">
        <f>TEST_DATA!D12344</f>
        <v>NON-NIL</v>
      </c>
      <c r="E12344">
        <f>TEST_DATA!E12344</f>
        <v>1570</v>
      </c>
    </row>
    <row r="12345" spans="1:5" x14ac:dyDescent="0.55000000000000004">
      <c r="A12345" t="str">
        <f>TEST_DATA!A12345</f>
        <v>27AAAAA12345Z5</v>
      </c>
      <c r="B12345" t="str">
        <f>TEST_DATA!B12345</f>
        <v>Dec-2024</v>
      </c>
      <c r="C12345">
        <f>TEST_DATA!C12345</f>
        <v>43763</v>
      </c>
      <c r="D12345" t="str">
        <f>TEST_DATA!D12345</f>
        <v>NIL</v>
      </c>
      <c r="E12345">
        <f>TEST_DATA!E12345</f>
        <v>2245</v>
      </c>
    </row>
    <row r="12346" spans="1:5" x14ac:dyDescent="0.55000000000000004">
      <c r="A12346" t="str">
        <f>TEST_DATA!A12346</f>
        <v>27AAAAA12346Z5</v>
      </c>
      <c r="B12346" t="str">
        <f>TEST_DATA!B12346</f>
        <v>Mar-2021</v>
      </c>
      <c r="C12346">
        <f>TEST_DATA!C12346</f>
        <v>45771</v>
      </c>
      <c r="D12346" t="str">
        <f>TEST_DATA!D12346</f>
        <v>NON-NIL</v>
      </c>
      <c r="E12346">
        <f>TEST_DATA!E12346</f>
        <v>1360</v>
      </c>
    </row>
    <row r="12347" spans="1:5" x14ac:dyDescent="0.55000000000000004">
      <c r="A12347" t="str">
        <f>TEST_DATA!A12347</f>
        <v>27AAAAA12347Z5</v>
      </c>
      <c r="B12347" t="str">
        <f>TEST_DATA!B12347</f>
        <v>Jun-2018</v>
      </c>
      <c r="C12347">
        <f>TEST_DATA!C12347</f>
        <v>43926</v>
      </c>
      <c r="D12347" t="str">
        <f>TEST_DATA!D12347</f>
        <v>NIL</v>
      </c>
      <c r="E12347">
        <f>TEST_DATA!E12347</f>
        <v>519</v>
      </c>
    </row>
    <row r="12348" spans="1:5" x14ac:dyDescent="0.55000000000000004">
      <c r="A12348" t="str">
        <f>TEST_DATA!A12348</f>
        <v>27AAAAA12348Z5</v>
      </c>
      <c r="B12348" t="str">
        <f>TEST_DATA!B12348</f>
        <v>Jan-2021</v>
      </c>
      <c r="C12348">
        <f>TEST_DATA!C12348</f>
        <v>44233</v>
      </c>
      <c r="D12348" t="str">
        <f>TEST_DATA!D12348</f>
        <v>NIL</v>
      </c>
      <c r="E12348">
        <f>TEST_DATA!E12348</f>
        <v>2618</v>
      </c>
    </row>
    <row r="12349" spans="1:5" x14ac:dyDescent="0.55000000000000004">
      <c r="A12349" t="str">
        <f>TEST_DATA!A12349</f>
        <v>27AAAAA12349Z5</v>
      </c>
      <c r="B12349" t="str">
        <f>TEST_DATA!B12349</f>
        <v>Mar-2021</v>
      </c>
      <c r="C12349">
        <f>TEST_DATA!C12349</f>
        <v>43582</v>
      </c>
      <c r="D12349" t="str">
        <f>TEST_DATA!D12349</f>
        <v>NIL</v>
      </c>
      <c r="E12349">
        <f>TEST_DATA!E12349</f>
        <v>1325</v>
      </c>
    </row>
    <row r="12350" spans="1:5" x14ac:dyDescent="0.55000000000000004">
      <c r="A12350" t="str">
        <f>TEST_DATA!A12350</f>
        <v>27AAAAA12350Z5</v>
      </c>
      <c r="B12350" t="str">
        <f>TEST_DATA!B12350</f>
        <v>Mar-2020</v>
      </c>
      <c r="C12350">
        <f>TEST_DATA!C12350</f>
        <v>43856</v>
      </c>
      <c r="D12350" t="str">
        <f>TEST_DATA!D12350</f>
        <v>NON-NIL</v>
      </c>
      <c r="E12350">
        <f>TEST_DATA!E12350</f>
        <v>1174</v>
      </c>
    </row>
    <row r="12351" spans="1:5" x14ac:dyDescent="0.55000000000000004">
      <c r="A12351" t="str">
        <f>TEST_DATA!A12351</f>
        <v>27AAAAA12351Z5</v>
      </c>
      <c r="B12351" t="str">
        <f>TEST_DATA!B12351</f>
        <v>Jun-2018</v>
      </c>
      <c r="C12351">
        <f>TEST_DATA!C12351</f>
        <v>44431</v>
      </c>
      <c r="D12351" t="str">
        <f>TEST_DATA!D12351</f>
        <v>NIL</v>
      </c>
      <c r="E12351">
        <f>TEST_DATA!E12351</f>
        <v>1794</v>
      </c>
    </row>
    <row r="12352" spans="1:5" x14ac:dyDescent="0.55000000000000004">
      <c r="A12352" t="str">
        <f>TEST_DATA!A12352</f>
        <v>27AAAAA12352Z5</v>
      </c>
      <c r="B12352" t="str">
        <f>TEST_DATA!B12352</f>
        <v>Feb-2018</v>
      </c>
      <c r="C12352">
        <f>TEST_DATA!C12352</f>
        <v>43694</v>
      </c>
      <c r="D12352" t="str">
        <f>TEST_DATA!D12352</f>
        <v>NON-NIL</v>
      </c>
      <c r="E12352">
        <f>TEST_DATA!E12352</f>
        <v>2254</v>
      </c>
    </row>
    <row r="12353" spans="1:5" x14ac:dyDescent="0.55000000000000004">
      <c r="A12353" t="str">
        <f>TEST_DATA!A12353</f>
        <v>27AAAAA12353Z5</v>
      </c>
      <c r="B12353" t="str">
        <f>TEST_DATA!B12353</f>
        <v>Jun-2018</v>
      </c>
      <c r="C12353">
        <f>TEST_DATA!C12353</f>
        <v>43499</v>
      </c>
      <c r="D12353" t="str">
        <f>TEST_DATA!D12353</f>
        <v>NIL</v>
      </c>
      <c r="E12353">
        <f>TEST_DATA!E12353</f>
        <v>1321</v>
      </c>
    </row>
    <row r="12354" spans="1:5" x14ac:dyDescent="0.55000000000000004">
      <c r="A12354" t="str">
        <f>TEST_DATA!A12354</f>
        <v>27AAAAA12354Z5</v>
      </c>
      <c r="B12354" t="str">
        <f>TEST_DATA!B12354</f>
        <v>Jan-2021</v>
      </c>
      <c r="C12354">
        <f>TEST_DATA!C12354</f>
        <v>45789</v>
      </c>
      <c r="D12354" t="str">
        <f>TEST_DATA!D12354</f>
        <v>NIL</v>
      </c>
      <c r="E12354">
        <f>TEST_DATA!E12354</f>
        <v>2341</v>
      </c>
    </row>
    <row r="12355" spans="1:5" x14ac:dyDescent="0.55000000000000004">
      <c r="A12355" t="str">
        <f>TEST_DATA!A12355</f>
        <v>27AAAAA12355Z5</v>
      </c>
      <c r="B12355" t="str">
        <f>TEST_DATA!B12355</f>
        <v>Feb-2018</v>
      </c>
      <c r="C12355">
        <f>TEST_DATA!C12355</f>
        <v>43484</v>
      </c>
      <c r="D12355" t="str">
        <f>TEST_DATA!D12355</f>
        <v>NON-NIL</v>
      </c>
      <c r="E12355">
        <f>TEST_DATA!E12355</f>
        <v>757</v>
      </c>
    </row>
    <row r="12356" spans="1:5" x14ac:dyDescent="0.55000000000000004">
      <c r="A12356" t="str">
        <f>TEST_DATA!A12356</f>
        <v>27AAAAA12356Z5</v>
      </c>
      <c r="B12356" t="str">
        <f>TEST_DATA!B12356</f>
        <v>Apr-2018</v>
      </c>
      <c r="C12356">
        <f>TEST_DATA!C12356</f>
        <v>43754</v>
      </c>
      <c r="D12356" t="str">
        <f>TEST_DATA!D12356</f>
        <v>NIL</v>
      </c>
      <c r="E12356">
        <f>TEST_DATA!E12356</f>
        <v>2693</v>
      </c>
    </row>
    <row r="12357" spans="1:5" x14ac:dyDescent="0.55000000000000004">
      <c r="A12357" t="str">
        <f>TEST_DATA!A12357</f>
        <v>27AAAAA12357Z5</v>
      </c>
      <c r="B12357" t="str">
        <f>TEST_DATA!B12357</f>
        <v>Jan-2021</v>
      </c>
      <c r="C12357">
        <f>TEST_DATA!C12357</f>
        <v>45388</v>
      </c>
      <c r="D12357" t="str">
        <f>TEST_DATA!D12357</f>
        <v>NIL</v>
      </c>
      <c r="E12357">
        <f>TEST_DATA!E12357</f>
        <v>551</v>
      </c>
    </row>
    <row r="12358" spans="1:5" x14ac:dyDescent="0.55000000000000004">
      <c r="A12358" t="str">
        <f>TEST_DATA!A12358</f>
        <v>27AAAAA12358Z5</v>
      </c>
      <c r="B12358" t="str">
        <f>TEST_DATA!B12358</f>
        <v>Jan-2018</v>
      </c>
      <c r="C12358">
        <f>TEST_DATA!C12358</f>
        <v>44166</v>
      </c>
      <c r="D12358" t="str">
        <f>TEST_DATA!D12358</f>
        <v>NIL</v>
      </c>
      <c r="E12358">
        <f>TEST_DATA!E12358</f>
        <v>1011</v>
      </c>
    </row>
    <row r="12359" spans="1:5" x14ac:dyDescent="0.55000000000000004">
      <c r="A12359" t="str">
        <f>TEST_DATA!A12359</f>
        <v>27AAAAA12359Z5</v>
      </c>
      <c r="B12359" t="str">
        <f>TEST_DATA!B12359</f>
        <v>Dec-2024</v>
      </c>
      <c r="C12359">
        <f>TEST_DATA!C12359</f>
        <v>43692</v>
      </c>
      <c r="D12359" t="str">
        <f>TEST_DATA!D12359</f>
        <v>NON-NIL</v>
      </c>
      <c r="E12359">
        <f>TEST_DATA!E12359</f>
        <v>1377</v>
      </c>
    </row>
    <row r="12360" spans="1:5" x14ac:dyDescent="0.55000000000000004">
      <c r="A12360" t="str">
        <f>TEST_DATA!A12360</f>
        <v>27AAAAA12360Z5</v>
      </c>
      <c r="B12360" t="str">
        <f>TEST_DATA!B12360</f>
        <v>Feb-2018</v>
      </c>
      <c r="C12360">
        <f>TEST_DATA!C12360</f>
        <v>43331</v>
      </c>
      <c r="D12360" t="str">
        <f>TEST_DATA!D12360</f>
        <v>NON-NIL</v>
      </c>
      <c r="E12360">
        <f>TEST_DATA!E12360</f>
        <v>797</v>
      </c>
    </row>
    <row r="12361" spans="1:5" x14ac:dyDescent="0.55000000000000004">
      <c r="A12361" t="str">
        <f>TEST_DATA!A12361</f>
        <v>27AAAAA12361Z5</v>
      </c>
      <c r="B12361" t="str">
        <f>TEST_DATA!B12361</f>
        <v>Dec-2024</v>
      </c>
      <c r="C12361">
        <f>TEST_DATA!C12361</f>
        <v>44975</v>
      </c>
      <c r="D12361" t="str">
        <f>TEST_DATA!D12361</f>
        <v>NON-NIL</v>
      </c>
      <c r="E12361">
        <f>TEST_DATA!E12361</f>
        <v>1285</v>
      </c>
    </row>
    <row r="12362" spans="1:5" x14ac:dyDescent="0.55000000000000004">
      <c r="A12362" t="str">
        <f>TEST_DATA!A12362</f>
        <v>27AAAAA12362Z5</v>
      </c>
      <c r="B12362" t="str">
        <f>TEST_DATA!B12362</f>
        <v>Dec-2022</v>
      </c>
      <c r="C12362">
        <f>TEST_DATA!C12362</f>
        <v>45684</v>
      </c>
      <c r="D12362" t="str">
        <f>TEST_DATA!D12362</f>
        <v>NIL</v>
      </c>
      <c r="E12362">
        <f>TEST_DATA!E12362</f>
        <v>2336</v>
      </c>
    </row>
    <row r="12363" spans="1:5" x14ac:dyDescent="0.55000000000000004">
      <c r="A12363" t="str">
        <f>TEST_DATA!A12363</f>
        <v>27AAAAA12363Z5</v>
      </c>
      <c r="B12363" t="str">
        <f>TEST_DATA!B12363</f>
        <v>Jul-2018</v>
      </c>
      <c r="C12363">
        <f>TEST_DATA!C12363</f>
        <v>43237</v>
      </c>
      <c r="D12363" t="str">
        <f>TEST_DATA!D12363</f>
        <v>NIL</v>
      </c>
      <c r="E12363">
        <f>TEST_DATA!E12363</f>
        <v>2991</v>
      </c>
    </row>
    <row r="12364" spans="1:5" x14ac:dyDescent="0.55000000000000004">
      <c r="A12364" t="str">
        <f>TEST_DATA!A12364</f>
        <v>27AAAAA12364Z5</v>
      </c>
      <c r="B12364" t="str">
        <f>TEST_DATA!B12364</f>
        <v>Jul-2020</v>
      </c>
      <c r="C12364">
        <f>TEST_DATA!C12364</f>
        <v>44076</v>
      </c>
      <c r="D12364" t="str">
        <f>TEST_DATA!D12364</f>
        <v>NON-NIL</v>
      </c>
      <c r="E12364">
        <f>TEST_DATA!E12364</f>
        <v>0</v>
      </c>
    </row>
    <row r="12365" spans="1:5" x14ac:dyDescent="0.55000000000000004">
      <c r="A12365" t="str">
        <f>TEST_DATA!A12365</f>
        <v>27AAAAA12365Z5</v>
      </c>
      <c r="B12365" t="str">
        <f>TEST_DATA!B12365</f>
        <v>Jun-2019</v>
      </c>
      <c r="C12365">
        <f>TEST_DATA!C12365</f>
        <v>45473</v>
      </c>
      <c r="D12365" t="str">
        <f>TEST_DATA!D12365</f>
        <v>NON-NIL</v>
      </c>
      <c r="E12365">
        <f>TEST_DATA!E12365</f>
        <v>2577</v>
      </c>
    </row>
    <row r="12366" spans="1:5" x14ac:dyDescent="0.55000000000000004">
      <c r="A12366" t="str">
        <f>TEST_DATA!A12366</f>
        <v>27AAAAA12366Z5</v>
      </c>
      <c r="B12366" t="str">
        <f>TEST_DATA!B12366</f>
        <v>May-2018</v>
      </c>
      <c r="C12366">
        <f>TEST_DATA!C12366</f>
        <v>44213</v>
      </c>
      <c r="D12366" t="str">
        <f>TEST_DATA!D12366</f>
        <v>NON-NIL</v>
      </c>
      <c r="E12366">
        <f>TEST_DATA!E12366</f>
        <v>2065</v>
      </c>
    </row>
    <row r="12367" spans="1:5" x14ac:dyDescent="0.55000000000000004">
      <c r="A12367" t="str">
        <f>TEST_DATA!A12367</f>
        <v>27AAAAA12367Z5</v>
      </c>
      <c r="B12367" t="str">
        <f>TEST_DATA!B12367</f>
        <v>May-2020</v>
      </c>
      <c r="C12367">
        <f>TEST_DATA!C12367</f>
        <v>44130</v>
      </c>
      <c r="D12367" t="str">
        <f>TEST_DATA!D12367</f>
        <v>NON-NIL</v>
      </c>
      <c r="E12367">
        <f>TEST_DATA!E12367</f>
        <v>779</v>
      </c>
    </row>
    <row r="12368" spans="1:5" x14ac:dyDescent="0.55000000000000004">
      <c r="A12368" t="str">
        <f>TEST_DATA!A12368</f>
        <v>27AAAAA12368Z5</v>
      </c>
      <c r="B12368" t="str">
        <f>TEST_DATA!B12368</f>
        <v>Sep-2018</v>
      </c>
      <c r="C12368">
        <f>TEST_DATA!C12368</f>
        <v>43787</v>
      </c>
      <c r="D12368" t="str">
        <f>TEST_DATA!D12368</f>
        <v>NIL</v>
      </c>
      <c r="E12368">
        <f>TEST_DATA!E12368</f>
        <v>194</v>
      </c>
    </row>
    <row r="12369" spans="1:5" x14ac:dyDescent="0.55000000000000004">
      <c r="A12369" t="str">
        <f>TEST_DATA!A12369</f>
        <v>27AAAAA12369Z5</v>
      </c>
      <c r="B12369" t="str">
        <f>TEST_DATA!B12369</f>
        <v>Mar-2020</v>
      </c>
      <c r="C12369">
        <f>TEST_DATA!C12369</f>
        <v>44791</v>
      </c>
      <c r="D12369" t="str">
        <f>TEST_DATA!D12369</f>
        <v>NON-NIL</v>
      </c>
      <c r="E12369">
        <f>TEST_DATA!E12369</f>
        <v>899</v>
      </c>
    </row>
    <row r="12370" spans="1:5" x14ac:dyDescent="0.55000000000000004">
      <c r="A12370" t="str">
        <f>TEST_DATA!A12370</f>
        <v>27AAAAA12370Z5</v>
      </c>
      <c r="B12370" t="str">
        <f>TEST_DATA!B12370</f>
        <v>Mar-2020</v>
      </c>
      <c r="C12370">
        <f>TEST_DATA!C12370</f>
        <v>44886</v>
      </c>
      <c r="D12370" t="str">
        <f>TEST_DATA!D12370</f>
        <v>NIL</v>
      </c>
      <c r="E12370">
        <f>TEST_DATA!E12370</f>
        <v>1791</v>
      </c>
    </row>
    <row r="12371" spans="1:5" x14ac:dyDescent="0.55000000000000004">
      <c r="A12371" t="str">
        <f>TEST_DATA!A12371</f>
        <v>27AAAAA12371Z5</v>
      </c>
      <c r="B12371" t="str">
        <f>TEST_DATA!B12371</f>
        <v>Mar-2023</v>
      </c>
      <c r="C12371">
        <f>TEST_DATA!C12371</f>
        <v>45042</v>
      </c>
      <c r="D12371" t="str">
        <f>TEST_DATA!D12371</f>
        <v>NON-NIL</v>
      </c>
      <c r="E12371">
        <f>TEST_DATA!E12371</f>
        <v>111</v>
      </c>
    </row>
    <row r="12372" spans="1:5" x14ac:dyDescent="0.55000000000000004">
      <c r="A12372" t="str">
        <f>TEST_DATA!A12372</f>
        <v>27AAAAA12372Z5</v>
      </c>
      <c r="B12372" t="str">
        <f>TEST_DATA!B12372</f>
        <v>Mar-2020</v>
      </c>
      <c r="C12372">
        <f>TEST_DATA!C12372</f>
        <v>44854</v>
      </c>
      <c r="D12372" t="str">
        <f>TEST_DATA!D12372</f>
        <v>NON-NIL</v>
      </c>
      <c r="E12372">
        <f>TEST_DATA!E12372</f>
        <v>2061</v>
      </c>
    </row>
    <row r="12373" spans="1:5" x14ac:dyDescent="0.55000000000000004">
      <c r="A12373" t="str">
        <f>TEST_DATA!A12373</f>
        <v>27AAAAA12373Z5</v>
      </c>
      <c r="B12373" t="str">
        <f>TEST_DATA!B12373</f>
        <v>Apr-2021</v>
      </c>
      <c r="C12373">
        <f>TEST_DATA!C12373</f>
        <v>44800</v>
      </c>
      <c r="D12373" t="str">
        <f>TEST_DATA!D12373</f>
        <v>NON-NIL</v>
      </c>
      <c r="E12373">
        <f>TEST_DATA!E12373</f>
        <v>45</v>
      </c>
    </row>
    <row r="12374" spans="1:5" x14ac:dyDescent="0.55000000000000004">
      <c r="A12374" t="str">
        <f>TEST_DATA!A12374</f>
        <v>27AAAAA12374Z5</v>
      </c>
      <c r="B12374" t="str">
        <f>TEST_DATA!B12374</f>
        <v>Apr-2021</v>
      </c>
      <c r="C12374">
        <f>TEST_DATA!C12374</f>
        <v>43692</v>
      </c>
      <c r="D12374" t="str">
        <f>TEST_DATA!D12374</f>
        <v>NON-NIL</v>
      </c>
      <c r="E12374">
        <f>TEST_DATA!E12374</f>
        <v>1136</v>
      </c>
    </row>
    <row r="12375" spans="1:5" x14ac:dyDescent="0.55000000000000004">
      <c r="A12375" t="str">
        <f>TEST_DATA!A12375</f>
        <v>27AAAAA12375Z5</v>
      </c>
      <c r="B12375" t="str">
        <f>TEST_DATA!B12375</f>
        <v>Jun-2018</v>
      </c>
      <c r="C12375">
        <f>TEST_DATA!C12375</f>
        <v>44272</v>
      </c>
      <c r="D12375" t="str">
        <f>TEST_DATA!D12375</f>
        <v>NIL</v>
      </c>
      <c r="E12375">
        <f>TEST_DATA!E12375</f>
        <v>1817</v>
      </c>
    </row>
    <row r="12376" spans="1:5" x14ac:dyDescent="0.55000000000000004">
      <c r="A12376" t="str">
        <f>TEST_DATA!A12376</f>
        <v>27AAAAA12376Z5</v>
      </c>
      <c r="B12376" t="str">
        <f>TEST_DATA!B12376</f>
        <v>Jul-2020</v>
      </c>
      <c r="C12376">
        <f>TEST_DATA!C12376</f>
        <v>44118</v>
      </c>
      <c r="D12376" t="str">
        <f>TEST_DATA!D12376</f>
        <v>NON-NIL</v>
      </c>
      <c r="E12376">
        <f>TEST_DATA!E12376</f>
        <v>643</v>
      </c>
    </row>
    <row r="12377" spans="1:5" x14ac:dyDescent="0.55000000000000004">
      <c r="A12377" t="str">
        <f>TEST_DATA!A12377</f>
        <v>27AAAAA12377Z5</v>
      </c>
      <c r="B12377" t="str">
        <f>TEST_DATA!B12377</f>
        <v>Apr-2020</v>
      </c>
      <c r="C12377">
        <f>TEST_DATA!C12377</f>
        <v>43886</v>
      </c>
      <c r="D12377" t="str">
        <f>TEST_DATA!D12377</f>
        <v>NIL</v>
      </c>
      <c r="E12377">
        <f>TEST_DATA!E12377</f>
        <v>70</v>
      </c>
    </row>
    <row r="12378" spans="1:5" x14ac:dyDescent="0.55000000000000004">
      <c r="A12378" t="str">
        <f>TEST_DATA!A12378</f>
        <v>27AAAAA12378Z5</v>
      </c>
      <c r="B12378" t="str">
        <f>TEST_DATA!B12378</f>
        <v>Sep-2018</v>
      </c>
      <c r="C12378">
        <f>TEST_DATA!C12378</f>
        <v>44170</v>
      </c>
      <c r="D12378" t="str">
        <f>TEST_DATA!D12378</f>
        <v>NIL</v>
      </c>
      <c r="E12378">
        <f>TEST_DATA!E12378</f>
        <v>2910</v>
      </c>
    </row>
    <row r="12379" spans="1:5" x14ac:dyDescent="0.55000000000000004">
      <c r="A12379" t="str">
        <f>TEST_DATA!A12379</f>
        <v>27AAAAA12379Z5</v>
      </c>
      <c r="B12379" t="str">
        <f>TEST_DATA!B12379</f>
        <v>Dec-2017</v>
      </c>
      <c r="C12379">
        <f>TEST_DATA!C12379</f>
        <v>44329</v>
      </c>
      <c r="D12379" t="str">
        <f>TEST_DATA!D12379</f>
        <v>NIL</v>
      </c>
      <c r="E12379">
        <f>TEST_DATA!E12379</f>
        <v>1657</v>
      </c>
    </row>
    <row r="12380" spans="1:5" x14ac:dyDescent="0.55000000000000004">
      <c r="A12380" t="str">
        <f>TEST_DATA!A12380</f>
        <v>27AAAAA12380Z5</v>
      </c>
      <c r="B12380" t="str">
        <f>TEST_DATA!B12380</f>
        <v>Jun-2018</v>
      </c>
      <c r="C12380">
        <f>TEST_DATA!C12380</f>
        <v>43219</v>
      </c>
      <c r="D12380" t="str">
        <f>TEST_DATA!D12380</f>
        <v>NON-NIL</v>
      </c>
      <c r="E12380">
        <f>TEST_DATA!E12380</f>
        <v>2116</v>
      </c>
    </row>
    <row r="12381" spans="1:5" x14ac:dyDescent="0.55000000000000004">
      <c r="A12381" t="str">
        <f>TEST_DATA!A12381</f>
        <v>27AAAAA12381Z5</v>
      </c>
      <c r="B12381" t="str">
        <f>TEST_DATA!B12381</f>
        <v>Dec-2017</v>
      </c>
      <c r="C12381">
        <f>TEST_DATA!C12381</f>
        <v>43624</v>
      </c>
      <c r="D12381" t="str">
        <f>TEST_DATA!D12381</f>
        <v>NON-NIL</v>
      </c>
      <c r="E12381">
        <f>TEST_DATA!E12381</f>
        <v>1580</v>
      </c>
    </row>
    <row r="12382" spans="1:5" x14ac:dyDescent="0.55000000000000004">
      <c r="A12382" t="str">
        <f>TEST_DATA!A12382</f>
        <v>27AAAAA12382Z5</v>
      </c>
      <c r="B12382" t="str">
        <f>TEST_DATA!B12382</f>
        <v>Feb-2018</v>
      </c>
      <c r="C12382">
        <f>TEST_DATA!C12382</f>
        <v>42949</v>
      </c>
      <c r="D12382" t="str">
        <f>TEST_DATA!D12382</f>
        <v>NON-NIL</v>
      </c>
      <c r="E12382">
        <f>TEST_DATA!E12382</f>
        <v>2544</v>
      </c>
    </row>
    <row r="12383" spans="1:5" x14ac:dyDescent="0.55000000000000004">
      <c r="A12383" t="str">
        <f>TEST_DATA!A12383</f>
        <v>27AAAAA12383Z5</v>
      </c>
      <c r="B12383" t="str">
        <f>TEST_DATA!B12383</f>
        <v>Apr-2018</v>
      </c>
      <c r="C12383">
        <f>TEST_DATA!C12383</f>
        <v>44290</v>
      </c>
      <c r="D12383" t="str">
        <f>TEST_DATA!D12383</f>
        <v>NIL</v>
      </c>
      <c r="E12383">
        <f>TEST_DATA!E12383</f>
        <v>1438</v>
      </c>
    </row>
    <row r="12384" spans="1:5" x14ac:dyDescent="0.55000000000000004">
      <c r="A12384" t="str">
        <f>TEST_DATA!A12384</f>
        <v>27AAAAA12384Z5</v>
      </c>
      <c r="B12384" t="str">
        <f>TEST_DATA!B12384</f>
        <v>Aug-2018</v>
      </c>
      <c r="C12384">
        <f>TEST_DATA!C12384</f>
        <v>43940</v>
      </c>
      <c r="D12384" t="str">
        <f>TEST_DATA!D12384</f>
        <v>NIL</v>
      </c>
      <c r="E12384">
        <f>TEST_DATA!E12384</f>
        <v>277</v>
      </c>
    </row>
    <row r="12385" spans="1:5" x14ac:dyDescent="0.55000000000000004">
      <c r="A12385" t="str">
        <f>TEST_DATA!A12385</f>
        <v>27AAAAA12385Z5</v>
      </c>
      <c r="B12385" t="str">
        <f>TEST_DATA!B12385</f>
        <v>Sep-2018</v>
      </c>
      <c r="C12385">
        <f>TEST_DATA!C12385</f>
        <v>43822</v>
      </c>
      <c r="D12385" t="str">
        <f>TEST_DATA!D12385</f>
        <v>NON-NIL</v>
      </c>
      <c r="E12385">
        <f>TEST_DATA!E12385</f>
        <v>832</v>
      </c>
    </row>
    <row r="12386" spans="1:5" x14ac:dyDescent="0.55000000000000004">
      <c r="A12386" t="str">
        <f>TEST_DATA!A12386</f>
        <v>27AAAAA12386Z5</v>
      </c>
      <c r="B12386" t="str">
        <f>TEST_DATA!B12386</f>
        <v>Mar-2020</v>
      </c>
      <c r="C12386">
        <f>TEST_DATA!C12386</f>
        <v>44736</v>
      </c>
      <c r="D12386" t="str">
        <f>TEST_DATA!D12386</f>
        <v>NIL</v>
      </c>
      <c r="E12386">
        <f>TEST_DATA!E12386</f>
        <v>1138</v>
      </c>
    </row>
    <row r="12387" spans="1:5" x14ac:dyDescent="0.55000000000000004">
      <c r="A12387" t="str">
        <f>TEST_DATA!A12387</f>
        <v>27AAAAA12387Z5</v>
      </c>
      <c r="B12387" t="str">
        <f>TEST_DATA!B12387</f>
        <v>Apr-2021</v>
      </c>
      <c r="C12387">
        <f>TEST_DATA!C12387</f>
        <v>44759</v>
      </c>
      <c r="D12387" t="str">
        <f>TEST_DATA!D12387</f>
        <v>NIL</v>
      </c>
      <c r="E12387">
        <f>TEST_DATA!E12387</f>
        <v>2935</v>
      </c>
    </row>
    <row r="12388" spans="1:5" x14ac:dyDescent="0.55000000000000004">
      <c r="A12388" t="str">
        <f>TEST_DATA!A12388</f>
        <v>27AAAAA12388Z5</v>
      </c>
      <c r="B12388" t="str">
        <f>TEST_DATA!B12388</f>
        <v>Dec-2024</v>
      </c>
      <c r="C12388">
        <f>TEST_DATA!C12388</f>
        <v>45731</v>
      </c>
      <c r="D12388" t="str">
        <f>TEST_DATA!D12388</f>
        <v>NON-NIL</v>
      </c>
      <c r="E12388">
        <f>TEST_DATA!E12388</f>
        <v>2746</v>
      </c>
    </row>
    <row r="12389" spans="1:5" x14ac:dyDescent="0.55000000000000004">
      <c r="A12389" t="str">
        <f>TEST_DATA!A12389</f>
        <v>27AAAAA12389Z5</v>
      </c>
      <c r="B12389" t="str">
        <f>TEST_DATA!B12389</f>
        <v>Aug-2017</v>
      </c>
      <c r="C12389">
        <f>TEST_DATA!C12389</f>
        <v>43953</v>
      </c>
      <c r="D12389" t="str">
        <f>TEST_DATA!D12389</f>
        <v>NON-NIL</v>
      </c>
      <c r="E12389">
        <f>TEST_DATA!E12389</f>
        <v>29</v>
      </c>
    </row>
    <row r="12390" spans="1:5" x14ac:dyDescent="0.55000000000000004">
      <c r="A12390" t="str">
        <f>TEST_DATA!A12390</f>
        <v>27AAAAA12390Z5</v>
      </c>
      <c r="B12390" t="str">
        <f>TEST_DATA!B12390</f>
        <v>Jan-2019</v>
      </c>
      <c r="C12390">
        <f>TEST_DATA!C12390</f>
        <v>44814</v>
      </c>
      <c r="D12390" t="str">
        <f>TEST_DATA!D12390</f>
        <v>NON-NIL</v>
      </c>
      <c r="E12390">
        <f>TEST_DATA!E12390</f>
        <v>821</v>
      </c>
    </row>
    <row r="12391" spans="1:5" x14ac:dyDescent="0.55000000000000004">
      <c r="A12391" t="str">
        <f>TEST_DATA!A12391</f>
        <v>27AAAAA12391Z5</v>
      </c>
      <c r="B12391" t="str">
        <f>TEST_DATA!B12391</f>
        <v>Jul-2020</v>
      </c>
      <c r="C12391">
        <f>TEST_DATA!C12391</f>
        <v>43835</v>
      </c>
      <c r="D12391" t="str">
        <f>TEST_DATA!D12391</f>
        <v>NON-NIL</v>
      </c>
      <c r="E12391">
        <f>TEST_DATA!E12391</f>
        <v>801</v>
      </c>
    </row>
    <row r="12392" spans="1:5" x14ac:dyDescent="0.55000000000000004">
      <c r="A12392" t="str">
        <f>TEST_DATA!A12392</f>
        <v>27AAAAA12392Z5</v>
      </c>
      <c r="B12392" t="str">
        <f>TEST_DATA!B12392</f>
        <v>Jan-2021</v>
      </c>
      <c r="C12392">
        <f>TEST_DATA!C12392</f>
        <v>45071</v>
      </c>
      <c r="D12392" t="str">
        <f>TEST_DATA!D12392</f>
        <v>NON-NIL</v>
      </c>
      <c r="E12392">
        <f>TEST_DATA!E12392</f>
        <v>2533</v>
      </c>
    </row>
    <row r="12393" spans="1:5" x14ac:dyDescent="0.55000000000000004">
      <c r="A12393" t="str">
        <f>TEST_DATA!A12393</f>
        <v>27AAAAA12393Z5</v>
      </c>
      <c r="B12393" t="str">
        <f>TEST_DATA!B12393</f>
        <v>May-2020</v>
      </c>
      <c r="C12393">
        <f>TEST_DATA!C12393</f>
        <v>44808</v>
      </c>
      <c r="D12393" t="str">
        <f>TEST_DATA!D12393</f>
        <v>NIL</v>
      </c>
      <c r="E12393">
        <f>TEST_DATA!E12393</f>
        <v>1791</v>
      </c>
    </row>
    <row r="12394" spans="1:5" x14ac:dyDescent="0.55000000000000004">
      <c r="A12394" t="str">
        <f>TEST_DATA!A12394</f>
        <v>27AAAAA12394Z5</v>
      </c>
      <c r="B12394" t="str">
        <f>TEST_DATA!B12394</f>
        <v>Jun-2019</v>
      </c>
      <c r="C12394">
        <f>TEST_DATA!C12394</f>
        <v>44354</v>
      </c>
      <c r="D12394" t="str">
        <f>TEST_DATA!D12394</f>
        <v>NON-NIL</v>
      </c>
      <c r="E12394">
        <f>TEST_DATA!E12394</f>
        <v>136</v>
      </c>
    </row>
    <row r="12395" spans="1:5" x14ac:dyDescent="0.55000000000000004">
      <c r="A12395" t="str">
        <f>TEST_DATA!A12395</f>
        <v>27AAAAA12395Z5</v>
      </c>
      <c r="B12395" t="str">
        <f>TEST_DATA!B12395</f>
        <v>Mar-2021</v>
      </c>
      <c r="C12395">
        <f>TEST_DATA!C12395</f>
        <v>45323</v>
      </c>
      <c r="D12395" t="str">
        <f>TEST_DATA!D12395</f>
        <v>NIL</v>
      </c>
      <c r="E12395">
        <f>TEST_DATA!E12395</f>
        <v>1430</v>
      </c>
    </row>
    <row r="12396" spans="1:5" x14ac:dyDescent="0.55000000000000004">
      <c r="A12396" t="str">
        <f>TEST_DATA!A12396</f>
        <v>27AAAAA12396Z5</v>
      </c>
      <c r="B12396" t="str">
        <f>TEST_DATA!B12396</f>
        <v>Sep-2017</v>
      </c>
      <c r="C12396">
        <f>TEST_DATA!C12396</f>
        <v>44550</v>
      </c>
      <c r="D12396" t="str">
        <f>TEST_DATA!D12396</f>
        <v>NIL</v>
      </c>
      <c r="E12396">
        <f>TEST_DATA!E12396</f>
        <v>186</v>
      </c>
    </row>
    <row r="12397" spans="1:5" x14ac:dyDescent="0.55000000000000004">
      <c r="A12397" t="str">
        <f>TEST_DATA!A12397</f>
        <v>27AAAAA12397Z5</v>
      </c>
      <c r="B12397" t="str">
        <f>TEST_DATA!B12397</f>
        <v>Aug-2018</v>
      </c>
      <c r="C12397">
        <f>TEST_DATA!C12397</f>
        <v>44158</v>
      </c>
      <c r="D12397" t="str">
        <f>TEST_DATA!D12397</f>
        <v>NON-NIL</v>
      </c>
      <c r="E12397">
        <f>TEST_DATA!E12397</f>
        <v>1836</v>
      </c>
    </row>
    <row r="12398" spans="1:5" x14ac:dyDescent="0.55000000000000004">
      <c r="A12398" t="str">
        <f>TEST_DATA!A12398</f>
        <v>27AAAAA12398Z5</v>
      </c>
      <c r="B12398" t="str">
        <f>TEST_DATA!B12398</f>
        <v>Dec-2017</v>
      </c>
      <c r="C12398">
        <f>TEST_DATA!C12398</f>
        <v>43049</v>
      </c>
      <c r="D12398" t="str">
        <f>TEST_DATA!D12398</f>
        <v>NIL</v>
      </c>
      <c r="E12398">
        <f>TEST_DATA!E12398</f>
        <v>2190</v>
      </c>
    </row>
    <row r="12399" spans="1:5" x14ac:dyDescent="0.55000000000000004">
      <c r="A12399" t="str">
        <f>TEST_DATA!A12399</f>
        <v>27AAAAA12399Z5</v>
      </c>
      <c r="B12399" t="str">
        <f>TEST_DATA!B12399</f>
        <v>Oct-2017</v>
      </c>
      <c r="C12399">
        <f>TEST_DATA!C12399</f>
        <v>43567</v>
      </c>
      <c r="D12399" t="str">
        <f>TEST_DATA!D12399</f>
        <v>NON-NIL</v>
      </c>
      <c r="E12399">
        <f>TEST_DATA!E12399</f>
        <v>2242</v>
      </c>
    </row>
    <row r="12400" spans="1:5" x14ac:dyDescent="0.55000000000000004">
      <c r="A12400" t="str">
        <f>TEST_DATA!A12400</f>
        <v>27AAAAA12400Z5</v>
      </c>
      <c r="B12400" t="str">
        <f>TEST_DATA!B12400</f>
        <v>Feb-2018</v>
      </c>
      <c r="C12400">
        <f>TEST_DATA!C12400</f>
        <v>44049</v>
      </c>
      <c r="D12400" t="str">
        <f>TEST_DATA!D12400</f>
        <v>NON-NIL</v>
      </c>
      <c r="E12400">
        <f>TEST_DATA!E12400</f>
        <v>115</v>
      </c>
    </row>
    <row r="12401" spans="1:5" x14ac:dyDescent="0.55000000000000004">
      <c r="A12401" t="str">
        <f>TEST_DATA!A12401</f>
        <v>27AAAAA12401Z5</v>
      </c>
      <c r="B12401" t="str">
        <f>TEST_DATA!B12401</f>
        <v>Dec-2022</v>
      </c>
      <c r="C12401">
        <f>TEST_DATA!C12401</f>
        <v>44216</v>
      </c>
      <c r="D12401" t="str">
        <f>TEST_DATA!D12401</f>
        <v>NON-NIL</v>
      </c>
      <c r="E12401">
        <f>TEST_DATA!E12401</f>
        <v>2132</v>
      </c>
    </row>
    <row r="12402" spans="1:5" x14ac:dyDescent="0.55000000000000004">
      <c r="A12402" t="str">
        <f>TEST_DATA!A12402</f>
        <v>27AAAAA12402Z5</v>
      </c>
      <c r="B12402" t="str">
        <f>TEST_DATA!B12402</f>
        <v>May-2018</v>
      </c>
      <c r="C12402">
        <f>TEST_DATA!C12402</f>
        <v>43376</v>
      </c>
      <c r="D12402" t="str">
        <f>TEST_DATA!D12402</f>
        <v>NON-NIL</v>
      </c>
      <c r="E12402">
        <f>TEST_DATA!E12402</f>
        <v>2331</v>
      </c>
    </row>
    <row r="12403" spans="1:5" x14ac:dyDescent="0.55000000000000004">
      <c r="A12403" t="str">
        <f>TEST_DATA!A12403</f>
        <v>27AAAAA12403Z5</v>
      </c>
      <c r="B12403" t="str">
        <f>TEST_DATA!B12403</f>
        <v>Dec-2024</v>
      </c>
      <c r="C12403">
        <f>TEST_DATA!C12403</f>
        <v>45746</v>
      </c>
      <c r="D12403" t="str">
        <f>TEST_DATA!D12403</f>
        <v>NIL</v>
      </c>
      <c r="E12403">
        <f>TEST_DATA!E12403</f>
        <v>457</v>
      </c>
    </row>
    <row r="12404" spans="1:5" x14ac:dyDescent="0.55000000000000004">
      <c r="A12404" t="str">
        <f>TEST_DATA!A12404</f>
        <v>27AAAAA12404Z5</v>
      </c>
      <c r="B12404" t="str">
        <f>TEST_DATA!B12404</f>
        <v>Apr-2018</v>
      </c>
      <c r="C12404">
        <f>TEST_DATA!C12404</f>
        <v>44401</v>
      </c>
      <c r="D12404" t="str">
        <f>TEST_DATA!D12404</f>
        <v>NIL</v>
      </c>
      <c r="E12404">
        <f>TEST_DATA!E12404</f>
        <v>1270</v>
      </c>
    </row>
    <row r="12405" spans="1:5" x14ac:dyDescent="0.55000000000000004">
      <c r="A12405" t="str">
        <f>TEST_DATA!A12405</f>
        <v>27AAAAA12405Z5</v>
      </c>
      <c r="B12405" t="str">
        <f>TEST_DATA!B12405</f>
        <v>Sep-2017</v>
      </c>
      <c r="C12405">
        <f>TEST_DATA!C12405</f>
        <v>43373</v>
      </c>
      <c r="D12405" t="str">
        <f>TEST_DATA!D12405</f>
        <v>NON-NIL</v>
      </c>
      <c r="E12405">
        <f>TEST_DATA!E12405</f>
        <v>423</v>
      </c>
    </row>
    <row r="12406" spans="1:5" x14ac:dyDescent="0.55000000000000004">
      <c r="A12406" t="str">
        <f>TEST_DATA!A12406</f>
        <v>27AAAAA12406Z5</v>
      </c>
      <c r="B12406" t="str">
        <f>TEST_DATA!B12406</f>
        <v>Jan-2019</v>
      </c>
      <c r="C12406">
        <f>TEST_DATA!C12406</f>
        <v>44454</v>
      </c>
      <c r="D12406" t="str">
        <f>TEST_DATA!D12406</f>
        <v>NIL</v>
      </c>
      <c r="E12406">
        <f>TEST_DATA!E12406</f>
        <v>1745</v>
      </c>
    </row>
    <row r="12407" spans="1:5" x14ac:dyDescent="0.55000000000000004">
      <c r="A12407" t="str">
        <f>TEST_DATA!A12407</f>
        <v>27AAAAA12407Z5</v>
      </c>
      <c r="B12407" t="str">
        <f>TEST_DATA!B12407</f>
        <v>Jul-2020</v>
      </c>
      <c r="C12407">
        <f>TEST_DATA!C12407</f>
        <v>44224</v>
      </c>
      <c r="D12407" t="str">
        <f>TEST_DATA!D12407</f>
        <v>NIL</v>
      </c>
      <c r="E12407">
        <f>TEST_DATA!E12407</f>
        <v>2167</v>
      </c>
    </row>
    <row r="12408" spans="1:5" x14ac:dyDescent="0.55000000000000004">
      <c r="A12408" t="str">
        <f>TEST_DATA!A12408</f>
        <v>27AAAAA12408Z5</v>
      </c>
      <c r="B12408" t="str">
        <f>TEST_DATA!B12408</f>
        <v>Jun-2018</v>
      </c>
      <c r="C12408">
        <f>TEST_DATA!C12408</f>
        <v>44003</v>
      </c>
      <c r="D12408" t="str">
        <f>TEST_DATA!D12408</f>
        <v>NIL</v>
      </c>
      <c r="E12408">
        <f>TEST_DATA!E12408</f>
        <v>136</v>
      </c>
    </row>
    <row r="12409" spans="1:5" x14ac:dyDescent="0.55000000000000004">
      <c r="A12409" t="str">
        <f>TEST_DATA!A12409</f>
        <v>27AAAAA12409Z5</v>
      </c>
      <c r="B12409" t="str">
        <f>TEST_DATA!B12409</f>
        <v>Aug-2018</v>
      </c>
      <c r="C12409">
        <f>TEST_DATA!C12409</f>
        <v>44062</v>
      </c>
      <c r="D12409" t="str">
        <f>TEST_DATA!D12409</f>
        <v>NON-NIL</v>
      </c>
      <c r="E12409">
        <f>TEST_DATA!E12409</f>
        <v>2799</v>
      </c>
    </row>
    <row r="12410" spans="1:5" x14ac:dyDescent="0.55000000000000004">
      <c r="A12410" t="str">
        <f>TEST_DATA!A12410</f>
        <v>27AAAAA12410Z5</v>
      </c>
      <c r="B12410" t="str">
        <f>TEST_DATA!B12410</f>
        <v>Jun-2019</v>
      </c>
      <c r="C12410">
        <f>TEST_DATA!C12410</f>
        <v>44302</v>
      </c>
      <c r="D12410" t="str">
        <f>TEST_DATA!D12410</f>
        <v>NON-NIL</v>
      </c>
      <c r="E12410">
        <f>TEST_DATA!E12410</f>
        <v>2113</v>
      </c>
    </row>
    <row r="12411" spans="1:5" x14ac:dyDescent="0.55000000000000004">
      <c r="A12411" t="str">
        <f>TEST_DATA!A12411</f>
        <v>27AAAAA12411Z5</v>
      </c>
      <c r="B12411" t="str">
        <f>TEST_DATA!B12411</f>
        <v>Oct-2017</v>
      </c>
      <c r="C12411">
        <f>TEST_DATA!C12411</f>
        <v>43784</v>
      </c>
      <c r="D12411" t="str">
        <f>TEST_DATA!D12411</f>
        <v>NON-NIL</v>
      </c>
      <c r="E12411">
        <f>TEST_DATA!E12411</f>
        <v>663</v>
      </c>
    </row>
    <row r="12412" spans="1:5" x14ac:dyDescent="0.55000000000000004">
      <c r="A12412" t="str">
        <f>TEST_DATA!A12412</f>
        <v>27AAAAA12412Z5</v>
      </c>
      <c r="B12412" t="str">
        <f>TEST_DATA!B12412</f>
        <v>Jan-2018</v>
      </c>
      <c r="C12412">
        <f>TEST_DATA!C12412</f>
        <v>44014</v>
      </c>
      <c r="D12412" t="str">
        <f>TEST_DATA!D12412</f>
        <v>NON-NIL</v>
      </c>
      <c r="E12412">
        <f>TEST_DATA!E12412</f>
        <v>1743</v>
      </c>
    </row>
    <row r="12413" spans="1:5" x14ac:dyDescent="0.55000000000000004">
      <c r="A12413" t="str">
        <f>TEST_DATA!A12413</f>
        <v>27AAAAA12413Z5</v>
      </c>
      <c r="B12413" t="str">
        <f>TEST_DATA!B12413</f>
        <v>May-2018</v>
      </c>
      <c r="C12413">
        <f>TEST_DATA!C12413</f>
        <v>44282</v>
      </c>
      <c r="D12413" t="str">
        <f>TEST_DATA!D12413</f>
        <v>NON-NIL</v>
      </c>
      <c r="E12413">
        <f>TEST_DATA!E12413</f>
        <v>188</v>
      </c>
    </row>
    <row r="12414" spans="1:5" x14ac:dyDescent="0.55000000000000004">
      <c r="A12414" t="str">
        <f>TEST_DATA!A12414</f>
        <v>27AAAAA12414Z5</v>
      </c>
      <c r="B12414" t="str">
        <f>TEST_DATA!B12414</f>
        <v>Jul-2018</v>
      </c>
      <c r="C12414">
        <f>TEST_DATA!C12414</f>
        <v>43889</v>
      </c>
      <c r="D12414" t="str">
        <f>TEST_DATA!D12414</f>
        <v>NON-NIL</v>
      </c>
      <c r="E12414">
        <f>TEST_DATA!E12414</f>
        <v>1521</v>
      </c>
    </row>
    <row r="12415" spans="1:5" x14ac:dyDescent="0.55000000000000004">
      <c r="A12415" t="str">
        <f>TEST_DATA!A12415</f>
        <v>27AAAAA12415Z5</v>
      </c>
      <c r="B12415" t="str">
        <f>TEST_DATA!B12415</f>
        <v>Jun-2018</v>
      </c>
      <c r="C12415">
        <f>TEST_DATA!C12415</f>
        <v>44072</v>
      </c>
      <c r="D12415" t="str">
        <f>TEST_DATA!D12415</f>
        <v>NON-NIL</v>
      </c>
      <c r="E12415">
        <f>TEST_DATA!E12415</f>
        <v>1838</v>
      </c>
    </row>
    <row r="12416" spans="1:5" x14ac:dyDescent="0.55000000000000004">
      <c r="A12416" t="str">
        <f>TEST_DATA!A12416</f>
        <v>27AAAAA12416Z5</v>
      </c>
      <c r="B12416" t="str">
        <f>TEST_DATA!B12416</f>
        <v>Apr-2021</v>
      </c>
      <c r="C12416">
        <f>TEST_DATA!C12416</f>
        <v>44463</v>
      </c>
      <c r="D12416" t="str">
        <f>TEST_DATA!D12416</f>
        <v>NON-NIL</v>
      </c>
      <c r="E12416">
        <f>TEST_DATA!E12416</f>
        <v>1190</v>
      </c>
    </row>
    <row r="12417" spans="1:5" x14ac:dyDescent="0.55000000000000004">
      <c r="A12417" t="str">
        <f>TEST_DATA!A12417</f>
        <v>27AAAAA12417Z5</v>
      </c>
      <c r="B12417" t="str">
        <f>TEST_DATA!B12417</f>
        <v>Oct-2017</v>
      </c>
      <c r="C12417">
        <f>TEST_DATA!C12417</f>
        <v>42923</v>
      </c>
      <c r="D12417" t="str">
        <f>TEST_DATA!D12417</f>
        <v>NON-NIL</v>
      </c>
      <c r="E12417">
        <f>TEST_DATA!E12417</f>
        <v>2616</v>
      </c>
    </row>
    <row r="12418" spans="1:5" x14ac:dyDescent="0.55000000000000004">
      <c r="A12418" t="str">
        <f>TEST_DATA!A12418</f>
        <v>27AAAAA12418Z5</v>
      </c>
      <c r="B12418" t="str">
        <f>TEST_DATA!B12418</f>
        <v>Jun-2020</v>
      </c>
      <c r="C12418">
        <f>TEST_DATA!C12418</f>
        <v>44736</v>
      </c>
      <c r="D12418" t="str">
        <f>TEST_DATA!D12418</f>
        <v>NON-NIL</v>
      </c>
      <c r="E12418">
        <f>TEST_DATA!E12418</f>
        <v>2699</v>
      </c>
    </row>
    <row r="12419" spans="1:5" x14ac:dyDescent="0.55000000000000004">
      <c r="A12419" t="str">
        <f>TEST_DATA!A12419</f>
        <v>27AAAAA12419Z5</v>
      </c>
      <c r="B12419" t="str">
        <f>TEST_DATA!B12419</f>
        <v>Nov-2017</v>
      </c>
      <c r="C12419">
        <f>TEST_DATA!C12419</f>
        <v>43641</v>
      </c>
      <c r="D12419" t="str">
        <f>TEST_DATA!D12419</f>
        <v>NIL</v>
      </c>
      <c r="E12419">
        <f>TEST_DATA!E12419</f>
        <v>1202</v>
      </c>
    </row>
    <row r="12420" spans="1:5" x14ac:dyDescent="0.55000000000000004">
      <c r="A12420" t="str">
        <f>TEST_DATA!A12420</f>
        <v>27AAAAA12420Z5</v>
      </c>
      <c r="B12420" t="str">
        <f>TEST_DATA!B12420</f>
        <v>Aug-2017</v>
      </c>
      <c r="C12420">
        <f>TEST_DATA!C12420</f>
        <v>43283</v>
      </c>
      <c r="D12420" t="str">
        <f>TEST_DATA!D12420</f>
        <v>NON-NIL</v>
      </c>
      <c r="E12420">
        <f>TEST_DATA!E12420</f>
        <v>2819</v>
      </c>
    </row>
    <row r="12421" spans="1:5" x14ac:dyDescent="0.55000000000000004">
      <c r="A12421" t="str">
        <f>TEST_DATA!A12421</f>
        <v>27AAAAA12421Z5</v>
      </c>
      <c r="B12421" t="str">
        <f>TEST_DATA!B12421</f>
        <v>Dec-2022</v>
      </c>
      <c r="C12421">
        <f>TEST_DATA!C12421</f>
        <v>45649</v>
      </c>
      <c r="D12421" t="str">
        <f>TEST_DATA!D12421</f>
        <v>NIL</v>
      </c>
      <c r="E12421">
        <f>TEST_DATA!E12421</f>
        <v>105</v>
      </c>
    </row>
    <row r="12422" spans="1:5" x14ac:dyDescent="0.55000000000000004">
      <c r="A12422" t="str">
        <f>TEST_DATA!A12422</f>
        <v>27AAAAA12422Z5</v>
      </c>
      <c r="B12422" t="str">
        <f>TEST_DATA!B12422</f>
        <v>May-2020</v>
      </c>
      <c r="C12422">
        <f>TEST_DATA!C12422</f>
        <v>44486</v>
      </c>
      <c r="D12422" t="str">
        <f>TEST_DATA!D12422</f>
        <v>NON-NIL</v>
      </c>
      <c r="E12422">
        <f>TEST_DATA!E12422</f>
        <v>2165</v>
      </c>
    </row>
    <row r="12423" spans="1:5" x14ac:dyDescent="0.55000000000000004">
      <c r="A12423" t="str">
        <f>TEST_DATA!A12423</f>
        <v>27AAAAA12423Z5</v>
      </c>
      <c r="B12423" t="str">
        <f>TEST_DATA!B12423</f>
        <v>Sep-2018</v>
      </c>
      <c r="C12423">
        <f>TEST_DATA!C12423</f>
        <v>43226</v>
      </c>
      <c r="D12423" t="str">
        <f>TEST_DATA!D12423</f>
        <v>NIL</v>
      </c>
      <c r="E12423">
        <f>TEST_DATA!E12423</f>
        <v>1403</v>
      </c>
    </row>
    <row r="12424" spans="1:5" x14ac:dyDescent="0.55000000000000004">
      <c r="A12424" t="str">
        <f>TEST_DATA!A12424</f>
        <v>27AAAAA12424Z5</v>
      </c>
      <c r="B12424" t="str">
        <f>TEST_DATA!B12424</f>
        <v>Jan-2019</v>
      </c>
      <c r="C12424">
        <f>TEST_DATA!C12424</f>
        <v>45529</v>
      </c>
      <c r="D12424" t="str">
        <f>TEST_DATA!D12424</f>
        <v>NON-NIL</v>
      </c>
      <c r="E12424">
        <f>TEST_DATA!E12424</f>
        <v>1473</v>
      </c>
    </row>
    <row r="12425" spans="1:5" x14ac:dyDescent="0.55000000000000004">
      <c r="A12425" t="str">
        <f>TEST_DATA!A12425</f>
        <v>27AAAAA12425Z5</v>
      </c>
      <c r="B12425" t="str">
        <f>TEST_DATA!B12425</f>
        <v>Apr-2021</v>
      </c>
      <c r="C12425">
        <f>TEST_DATA!C12425</f>
        <v>45401</v>
      </c>
      <c r="D12425" t="str">
        <f>TEST_DATA!D12425</f>
        <v>NIL</v>
      </c>
      <c r="E12425">
        <f>TEST_DATA!E12425</f>
        <v>190</v>
      </c>
    </row>
    <row r="12426" spans="1:5" x14ac:dyDescent="0.55000000000000004">
      <c r="A12426" t="str">
        <f>TEST_DATA!A12426</f>
        <v>27AAAAA12426Z5</v>
      </c>
      <c r="B12426" t="str">
        <f>TEST_DATA!B12426</f>
        <v>Jun-2019</v>
      </c>
      <c r="C12426">
        <f>TEST_DATA!C12426</f>
        <v>43553</v>
      </c>
      <c r="D12426" t="str">
        <f>TEST_DATA!D12426</f>
        <v>NIL</v>
      </c>
      <c r="E12426">
        <f>TEST_DATA!E12426</f>
        <v>1180</v>
      </c>
    </row>
    <row r="12427" spans="1:5" x14ac:dyDescent="0.55000000000000004">
      <c r="A12427" t="str">
        <f>TEST_DATA!A12427</f>
        <v>27AAAAA12427Z5</v>
      </c>
      <c r="B12427" t="str">
        <f>TEST_DATA!B12427</f>
        <v>Oct-2017</v>
      </c>
      <c r="C12427">
        <f>TEST_DATA!C12427</f>
        <v>42950</v>
      </c>
      <c r="D12427" t="str">
        <f>TEST_DATA!D12427</f>
        <v>NON-NIL</v>
      </c>
      <c r="E12427">
        <f>TEST_DATA!E12427</f>
        <v>350</v>
      </c>
    </row>
    <row r="12428" spans="1:5" x14ac:dyDescent="0.55000000000000004">
      <c r="A12428" t="str">
        <f>TEST_DATA!A12428</f>
        <v>27AAAAA12428Z5</v>
      </c>
      <c r="B12428" t="str">
        <f>TEST_DATA!B12428</f>
        <v>Jun-2018</v>
      </c>
      <c r="C12428">
        <f>TEST_DATA!C12428</f>
        <v>43038</v>
      </c>
      <c r="D12428" t="str">
        <f>TEST_DATA!D12428</f>
        <v>NON-NIL</v>
      </c>
      <c r="E12428">
        <f>TEST_DATA!E12428</f>
        <v>1240</v>
      </c>
    </row>
    <row r="12429" spans="1:5" x14ac:dyDescent="0.55000000000000004">
      <c r="A12429" t="str">
        <f>TEST_DATA!A12429</f>
        <v>27AAAAA12429Z5</v>
      </c>
      <c r="B12429" t="str">
        <f>TEST_DATA!B12429</f>
        <v>Mar-2020</v>
      </c>
      <c r="C12429">
        <f>TEST_DATA!C12429</f>
        <v>44332</v>
      </c>
      <c r="D12429" t="str">
        <f>TEST_DATA!D12429</f>
        <v>NIL</v>
      </c>
      <c r="E12429">
        <f>TEST_DATA!E12429</f>
        <v>1663</v>
      </c>
    </row>
    <row r="12430" spans="1:5" x14ac:dyDescent="0.55000000000000004">
      <c r="A12430" t="str">
        <f>TEST_DATA!A12430</f>
        <v>27AAAAA12430Z5</v>
      </c>
      <c r="B12430" t="str">
        <f>TEST_DATA!B12430</f>
        <v>Jul-2018</v>
      </c>
      <c r="C12430">
        <f>TEST_DATA!C12430</f>
        <v>42945</v>
      </c>
      <c r="D12430" t="str">
        <f>TEST_DATA!D12430</f>
        <v>NIL</v>
      </c>
      <c r="E12430">
        <f>TEST_DATA!E12430</f>
        <v>1753</v>
      </c>
    </row>
    <row r="12431" spans="1:5" x14ac:dyDescent="0.55000000000000004">
      <c r="A12431" t="str">
        <f>TEST_DATA!A12431</f>
        <v>27AAAAA12431Z5</v>
      </c>
      <c r="B12431" t="str">
        <f>TEST_DATA!B12431</f>
        <v>Mar-2021</v>
      </c>
      <c r="C12431">
        <f>TEST_DATA!C12431</f>
        <v>43935</v>
      </c>
      <c r="D12431" t="str">
        <f>TEST_DATA!D12431</f>
        <v>NIL</v>
      </c>
      <c r="E12431">
        <f>TEST_DATA!E12431</f>
        <v>1406</v>
      </c>
    </row>
    <row r="12432" spans="1:5" x14ac:dyDescent="0.55000000000000004">
      <c r="A12432" t="str">
        <f>TEST_DATA!A12432</f>
        <v>27AAAAA12432Z5</v>
      </c>
      <c r="B12432" t="str">
        <f>TEST_DATA!B12432</f>
        <v>May-2020</v>
      </c>
      <c r="C12432">
        <f>TEST_DATA!C12432</f>
        <v>44582</v>
      </c>
      <c r="D12432" t="str">
        <f>TEST_DATA!D12432</f>
        <v>NON-NIL</v>
      </c>
      <c r="E12432">
        <f>TEST_DATA!E12432</f>
        <v>1788</v>
      </c>
    </row>
    <row r="12433" spans="1:5" x14ac:dyDescent="0.55000000000000004">
      <c r="A12433" t="str">
        <f>TEST_DATA!A12433</f>
        <v>27AAAAA12433Z5</v>
      </c>
      <c r="B12433" t="str">
        <f>TEST_DATA!B12433</f>
        <v>Sep-2017</v>
      </c>
      <c r="C12433">
        <f>TEST_DATA!C12433</f>
        <v>43390</v>
      </c>
      <c r="D12433" t="str">
        <f>TEST_DATA!D12433</f>
        <v>NON-NIL</v>
      </c>
      <c r="E12433">
        <f>TEST_DATA!E12433</f>
        <v>68</v>
      </c>
    </row>
    <row r="12434" spans="1:5" x14ac:dyDescent="0.55000000000000004">
      <c r="A12434" t="str">
        <f>TEST_DATA!A12434</f>
        <v>27AAAAA12434Z5</v>
      </c>
      <c r="B12434" t="str">
        <f>TEST_DATA!B12434</f>
        <v>Jul-2020</v>
      </c>
      <c r="C12434">
        <f>TEST_DATA!C12434</f>
        <v>44395</v>
      </c>
      <c r="D12434" t="str">
        <f>TEST_DATA!D12434</f>
        <v>NON-NIL</v>
      </c>
      <c r="E12434">
        <f>TEST_DATA!E12434</f>
        <v>2717</v>
      </c>
    </row>
    <row r="12435" spans="1:5" x14ac:dyDescent="0.55000000000000004">
      <c r="A12435" t="str">
        <f>TEST_DATA!A12435</f>
        <v>27AAAAA12435Z5</v>
      </c>
      <c r="B12435" t="str">
        <f>TEST_DATA!B12435</f>
        <v>May-2020</v>
      </c>
      <c r="C12435">
        <f>TEST_DATA!C12435</f>
        <v>44560</v>
      </c>
      <c r="D12435" t="str">
        <f>TEST_DATA!D12435</f>
        <v>NIL</v>
      </c>
      <c r="E12435">
        <f>TEST_DATA!E12435</f>
        <v>172</v>
      </c>
    </row>
    <row r="12436" spans="1:5" x14ac:dyDescent="0.55000000000000004">
      <c r="A12436" t="str">
        <f>TEST_DATA!A12436</f>
        <v>27AAAAA12436Z5</v>
      </c>
      <c r="B12436" t="str">
        <f>TEST_DATA!B12436</f>
        <v>Aug-2017</v>
      </c>
      <c r="C12436">
        <f>TEST_DATA!C12436</f>
        <v>43555</v>
      </c>
      <c r="D12436" t="str">
        <f>TEST_DATA!D12436</f>
        <v>NON-NIL</v>
      </c>
      <c r="E12436">
        <f>TEST_DATA!E12436</f>
        <v>2260</v>
      </c>
    </row>
    <row r="12437" spans="1:5" x14ac:dyDescent="0.55000000000000004">
      <c r="A12437" t="str">
        <f>TEST_DATA!A12437</f>
        <v>27AAAAA12437Z5</v>
      </c>
      <c r="B12437" t="str">
        <f>TEST_DATA!B12437</f>
        <v>Apr-2018</v>
      </c>
      <c r="C12437">
        <f>TEST_DATA!C12437</f>
        <v>42986</v>
      </c>
      <c r="D12437" t="str">
        <f>TEST_DATA!D12437</f>
        <v>NIL</v>
      </c>
      <c r="E12437">
        <f>TEST_DATA!E12437</f>
        <v>532</v>
      </c>
    </row>
    <row r="12438" spans="1:5" x14ac:dyDescent="0.55000000000000004">
      <c r="A12438" t="str">
        <f>TEST_DATA!A12438</f>
        <v>27AAAAA12438Z5</v>
      </c>
      <c r="B12438" t="str">
        <f>TEST_DATA!B12438</f>
        <v>May-2020</v>
      </c>
      <c r="C12438">
        <f>TEST_DATA!C12438</f>
        <v>44809</v>
      </c>
      <c r="D12438" t="str">
        <f>TEST_DATA!D12438</f>
        <v>NIL</v>
      </c>
      <c r="E12438">
        <f>TEST_DATA!E12438</f>
        <v>1663</v>
      </c>
    </row>
    <row r="12439" spans="1:5" x14ac:dyDescent="0.55000000000000004">
      <c r="A12439" t="str">
        <f>TEST_DATA!A12439</f>
        <v>27AAAAA12439Z5</v>
      </c>
      <c r="B12439" t="str">
        <f>TEST_DATA!B12439</f>
        <v>Mar-2023</v>
      </c>
      <c r="C12439">
        <f>TEST_DATA!C12439</f>
        <v>45803</v>
      </c>
      <c r="D12439" t="str">
        <f>TEST_DATA!D12439</f>
        <v>NIL</v>
      </c>
      <c r="E12439">
        <f>TEST_DATA!E12439</f>
        <v>2665</v>
      </c>
    </row>
    <row r="12440" spans="1:5" x14ac:dyDescent="0.55000000000000004">
      <c r="A12440" t="str">
        <f>TEST_DATA!A12440</f>
        <v>27AAAAA12440Z5</v>
      </c>
      <c r="B12440" t="str">
        <f>TEST_DATA!B12440</f>
        <v>Jul-2018</v>
      </c>
      <c r="C12440">
        <f>TEST_DATA!C12440</f>
        <v>43552</v>
      </c>
      <c r="D12440" t="str">
        <f>TEST_DATA!D12440</f>
        <v>NON-NIL</v>
      </c>
      <c r="E12440">
        <f>TEST_DATA!E12440</f>
        <v>2555</v>
      </c>
    </row>
    <row r="12441" spans="1:5" x14ac:dyDescent="0.55000000000000004">
      <c r="A12441" t="str">
        <f>TEST_DATA!A12441</f>
        <v>27AAAAA12441Z5</v>
      </c>
      <c r="B12441" t="str">
        <f>TEST_DATA!B12441</f>
        <v>Feb-2018</v>
      </c>
      <c r="C12441">
        <f>TEST_DATA!C12441</f>
        <v>43597</v>
      </c>
      <c r="D12441" t="str">
        <f>TEST_DATA!D12441</f>
        <v>NON-NIL</v>
      </c>
      <c r="E12441">
        <f>TEST_DATA!E12441</f>
        <v>2658</v>
      </c>
    </row>
    <row r="12442" spans="1:5" x14ac:dyDescent="0.55000000000000004">
      <c r="A12442" t="str">
        <f>TEST_DATA!A12442</f>
        <v>27AAAAA12442Z5</v>
      </c>
      <c r="B12442" t="str">
        <f>TEST_DATA!B12442</f>
        <v>Jun-2018</v>
      </c>
      <c r="C12442">
        <f>TEST_DATA!C12442</f>
        <v>44430</v>
      </c>
      <c r="D12442" t="str">
        <f>TEST_DATA!D12442</f>
        <v>NIL</v>
      </c>
      <c r="E12442">
        <f>TEST_DATA!E12442</f>
        <v>2776</v>
      </c>
    </row>
    <row r="12443" spans="1:5" x14ac:dyDescent="0.55000000000000004">
      <c r="A12443" t="str">
        <f>TEST_DATA!A12443</f>
        <v>27AAAAA12443Z5</v>
      </c>
      <c r="B12443" t="str">
        <f>TEST_DATA!B12443</f>
        <v>Feb-2018</v>
      </c>
      <c r="C12443">
        <f>TEST_DATA!C12443</f>
        <v>44531</v>
      </c>
      <c r="D12443" t="str">
        <f>TEST_DATA!D12443</f>
        <v>NON-NIL</v>
      </c>
      <c r="E12443">
        <f>TEST_DATA!E12443</f>
        <v>864</v>
      </c>
    </row>
    <row r="12444" spans="1:5" x14ac:dyDescent="0.55000000000000004">
      <c r="A12444" t="str">
        <f>TEST_DATA!A12444</f>
        <v>27AAAAA12444Z5</v>
      </c>
      <c r="B12444" t="str">
        <f>TEST_DATA!B12444</f>
        <v>Dec-2019</v>
      </c>
      <c r="C12444">
        <f>TEST_DATA!C12444</f>
        <v>44357</v>
      </c>
      <c r="D12444" t="str">
        <f>TEST_DATA!D12444</f>
        <v>NON-NIL</v>
      </c>
      <c r="E12444">
        <f>TEST_DATA!E12444</f>
        <v>1199</v>
      </c>
    </row>
    <row r="12445" spans="1:5" x14ac:dyDescent="0.55000000000000004">
      <c r="A12445" t="str">
        <f>TEST_DATA!A12445</f>
        <v>27AAAAA12445Z5</v>
      </c>
      <c r="B12445" t="str">
        <f>TEST_DATA!B12445</f>
        <v>Jan-2019</v>
      </c>
      <c r="C12445">
        <f>TEST_DATA!C12445</f>
        <v>44039</v>
      </c>
      <c r="D12445" t="str">
        <f>TEST_DATA!D12445</f>
        <v>NIL</v>
      </c>
      <c r="E12445">
        <f>TEST_DATA!E12445</f>
        <v>1246</v>
      </c>
    </row>
    <row r="12446" spans="1:5" x14ac:dyDescent="0.55000000000000004">
      <c r="A12446" t="str">
        <f>TEST_DATA!A12446</f>
        <v>27AAAAA12446Z5</v>
      </c>
      <c r="B12446" t="str">
        <f>TEST_DATA!B12446</f>
        <v>Jun-2018</v>
      </c>
      <c r="C12446">
        <f>TEST_DATA!C12446</f>
        <v>43583</v>
      </c>
      <c r="D12446" t="str">
        <f>TEST_DATA!D12446</f>
        <v>NIL</v>
      </c>
      <c r="E12446">
        <f>TEST_DATA!E12446</f>
        <v>1984</v>
      </c>
    </row>
    <row r="12447" spans="1:5" x14ac:dyDescent="0.55000000000000004">
      <c r="A12447" t="str">
        <f>TEST_DATA!A12447</f>
        <v>27AAAAA12447Z5</v>
      </c>
      <c r="B12447" t="str">
        <f>TEST_DATA!B12447</f>
        <v>Aug-2017</v>
      </c>
      <c r="C12447">
        <f>TEST_DATA!C12447</f>
        <v>43990</v>
      </c>
      <c r="D12447" t="str">
        <f>TEST_DATA!D12447</f>
        <v>NIL</v>
      </c>
      <c r="E12447">
        <f>TEST_DATA!E12447</f>
        <v>965</v>
      </c>
    </row>
    <row r="12448" spans="1:5" x14ac:dyDescent="0.55000000000000004">
      <c r="A12448" t="str">
        <f>TEST_DATA!A12448</f>
        <v>27AAAAA12448Z5</v>
      </c>
      <c r="B12448" t="str">
        <f>TEST_DATA!B12448</f>
        <v>Jun-2018</v>
      </c>
      <c r="C12448">
        <f>TEST_DATA!C12448</f>
        <v>43049</v>
      </c>
      <c r="D12448" t="str">
        <f>TEST_DATA!D12448</f>
        <v>NON-NIL</v>
      </c>
      <c r="E12448">
        <f>TEST_DATA!E12448</f>
        <v>2633</v>
      </c>
    </row>
    <row r="12449" spans="1:5" x14ac:dyDescent="0.55000000000000004">
      <c r="A12449" t="str">
        <f>TEST_DATA!A12449</f>
        <v>27AAAAA12449Z5</v>
      </c>
      <c r="B12449" t="str">
        <f>TEST_DATA!B12449</f>
        <v>Jun-2020</v>
      </c>
      <c r="C12449">
        <f>TEST_DATA!C12449</f>
        <v>44207</v>
      </c>
      <c r="D12449" t="str">
        <f>TEST_DATA!D12449</f>
        <v>NON-NIL</v>
      </c>
      <c r="E12449">
        <f>TEST_DATA!E12449</f>
        <v>1114</v>
      </c>
    </row>
    <row r="12450" spans="1:5" x14ac:dyDescent="0.55000000000000004">
      <c r="A12450" t="str">
        <f>TEST_DATA!A12450</f>
        <v>27AAAAA12450Z5</v>
      </c>
      <c r="B12450" t="str">
        <f>TEST_DATA!B12450</f>
        <v>May-2020</v>
      </c>
      <c r="C12450">
        <f>TEST_DATA!C12450</f>
        <v>44664</v>
      </c>
      <c r="D12450" t="str">
        <f>TEST_DATA!D12450</f>
        <v>NON-NIL</v>
      </c>
      <c r="E12450">
        <f>TEST_DATA!E12450</f>
        <v>2876</v>
      </c>
    </row>
    <row r="12451" spans="1:5" x14ac:dyDescent="0.55000000000000004">
      <c r="A12451" t="str">
        <f>TEST_DATA!A12451</f>
        <v>27AAAAA12451Z5</v>
      </c>
      <c r="B12451" t="str">
        <f>TEST_DATA!B12451</f>
        <v>Feb-2018</v>
      </c>
      <c r="C12451">
        <f>TEST_DATA!C12451</f>
        <v>44291</v>
      </c>
      <c r="D12451" t="str">
        <f>TEST_DATA!D12451</f>
        <v>NIL</v>
      </c>
      <c r="E12451">
        <f>TEST_DATA!E12451</f>
        <v>166</v>
      </c>
    </row>
    <row r="12452" spans="1:5" x14ac:dyDescent="0.55000000000000004">
      <c r="A12452" t="str">
        <f>TEST_DATA!A12452</f>
        <v>27AAAAA12452Z5</v>
      </c>
      <c r="B12452" t="str">
        <f>TEST_DATA!B12452</f>
        <v>Jan-2021</v>
      </c>
      <c r="C12452">
        <f>TEST_DATA!C12452</f>
        <v>43608</v>
      </c>
      <c r="D12452" t="str">
        <f>TEST_DATA!D12452</f>
        <v>NON-NIL</v>
      </c>
      <c r="E12452">
        <f>TEST_DATA!E12452</f>
        <v>1462</v>
      </c>
    </row>
    <row r="12453" spans="1:5" x14ac:dyDescent="0.55000000000000004">
      <c r="A12453" t="str">
        <f>TEST_DATA!A12453</f>
        <v>27AAAAA12453Z5</v>
      </c>
      <c r="B12453" t="str">
        <f>TEST_DATA!B12453</f>
        <v>Jan-2018</v>
      </c>
      <c r="C12453">
        <f>TEST_DATA!C12453</f>
        <v>44128</v>
      </c>
      <c r="D12453" t="str">
        <f>TEST_DATA!D12453</f>
        <v>NIL</v>
      </c>
      <c r="E12453">
        <f>TEST_DATA!E12453</f>
        <v>1119</v>
      </c>
    </row>
    <row r="12454" spans="1:5" x14ac:dyDescent="0.55000000000000004">
      <c r="A12454" t="str">
        <f>TEST_DATA!A12454</f>
        <v>27AAAAA12454Z5</v>
      </c>
      <c r="B12454" t="str">
        <f>TEST_DATA!B12454</f>
        <v>Jul-2020</v>
      </c>
      <c r="C12454">
        <f>TEST_DATA!C12454</f>
        <v>44685</v>
      </c>
      <c r="D12454" t="str">
        <f>TEST_DATA!D12454</f>
        <v>NON-NIL</v>
      </c>
      <c r="E12454">
        <f>TEST_DATA!E12454</f>
        <v>2588</v>
      </c>
    </row>
    <row r="12455" spans="1:5" x14ac:dyDescent="0.55000000000000004">
      <c r="A12455" t="str">
        <f>TEST_DATA!A12455</f>
        <v>27AAAAA12455Z5</v>
      </c>
      <c r="B12455" t="str">
        <f>TEST_DATA!B12455</f>
        <v>Dec-2017</v>
      </c>
      <c r="C12455">
        <f>TEST_DATA!C12455</f>
        <v>43564</v>
      </c>
      <c r="D12455" t="str">
        <f>TEST_DATA!D12455</f>
        <v>NIL</v>
      </c>
      <c r="E12455">
        <f>TEST_DATA!E12455</f>
        <v>1235</v>
      </c>
    </row>
    <row r="12456" spans="1:5" x14ac:dyDescent="0.55000000000000004">
      <c r="A12456" t="str">
        <f>TEST_DATA!A12456</f>
        <v>27AAAAA12456Z5</v>
      </c>
      <c r="B12456" t="str">
        <f>TEST_DATA!B12456</f>
        <v>Jul-2017</v>
      </c>
      <c r="C12456">
        <f>TEST_DATA!C12456</f>
        <v>44324</v>
      </c>
      <c r="D12456" t="str">
        <f>TEST_DATA!D12456</f>
        <v>NON-NIL</v>
      </c>
      <c r="E12456">
        <f>TEST_DATA!E12456</f>
        <v>448</v>
      </c>
    </row>
    <row r="12457" spans="1:5" x14ac:dyDescent="0.55000000000000004">
      <c r="A12457" t="str">
        <f>TEST_DATA!A12457</f>
        <v>27AAAAA12457Z5</v>
      </c>
      <c r="B12457" t="str">
        <f>TEST_DATA!B12457</f>
        <v>Jan-2021</v>
      </c>
      <c r="C12457">
        <f>TEST_DATA!C12457</f>
        <v>45258</v>
      </c>
      <c r="D12457" t="str">
        <f>TEST_DATA!D12457</f>
        <v>NIL</v>
      </c>
      <c r="E12457">
        <f>TEST_DATA!E12457</f>
        <v>2312</v>
      </c>
    </row>
    <row r="12458" spans="1:5" x14ac:dyDescent="0.55000000000000004">
      <c r="A12458" t="str">
        <f>TEST_DATA!A12458</f>
        <v>27AAAAA12458Z5</v>
      </c>
      <c r="B12458" t="str">
        <f>TEST_DATA!B12458</f>
        <v>Mar-2020</v>
      </c>
      <c r="C12458">
        <f>TEST_DATA!C12458</f>
        <v>44859</v>
      </c>
      <c r="D12458" t="str">
        <f>TEST_DATA!D12458</f>
        <v>NON-NIL</v>
      </c>
      <c r="E12458">
        <f>TEST_DATA!E12458</f>
        <v>863</v>
      </c>
    </row>
    <row r="12459" spans="1:5" x14ac:dyDescent="0.55000000000000004">
      <c r="A12459" t="str">
        <f>TEST_DATA!A12459</f>
        <v>27AAAAA12459Z5</v>
      </c>
      <c r="B12459" t="str">
        <f>TEST_DATA!B12459</f>
        <v>Sep-2017</v>
      </c>
      <c r="C12459">
        <f>TEST_DATA!C12459</f>
        <v>43936</v>
      </c>
      <c r="D12459" t="str">
        <f>TEST_DATA!D12459</f>
        <v>NIL</v>
      </c>
      <c r="E12459">
        <f>TEST_DATA!E12459</f>
        <v>2416</v>
      </c>
    </row>
    <row r="12460" spans="1:5" x14ac:dyDescent="0.55000000000000004">
      <c r="A12460" t="str">
        <f>TEST_DATA!A12460</f>
        <v>27AAAAA12460Z5</v>
      </c>
      <c r="B12460" t="str">
        <f>TEST_DATA!B12460</f>
        <v>Jun-2019</v>
      </c>
      <c r="C12460">
        <f>TEST_DATA!C12460</f>
        <v>43939</v>
      </c>
      <c r="D12460" t="str">
        <f>TEST_DATA!D12460</f>
        <v>NON-NIL</v>
      </c>
      <c r="E12460">
        <f>TEST_DATA!E12460</f>
        <v>1664</v>
      </c>
    </row>
    <row r="12461" spans="1:5" x14ac:dyDescent="0.55000000000000004">
      <c r="A12461" t="str">
        <f>TEST_DATA!A12461</f>
        <v>27AAAAA12461Z5</v>
      </c>
      <c r="B12461" t="str">
        <f>TEST_DATA!B12461</f>
        <v>Dec-2019</v>
      </c>
      <c r="C12461">
        <f>TEST_DATA!C12461</f>
        <v>45763</v>
      </c>
      <c r="D12461" t="str">
        <f>TEST_DATA!D12461</f>
        <v>NIL</v>
      </c>
      <c r="E12461">
        <f>TEST_DATA!E12461</f>
        <v>912</v>
      </c>
    </row>
    <row r="12462" spans="1:5" x14ac:dyDescent="0.55000000000000004">
      <c r="A12462" t="str">
        <f>TEST_DATA!A12462</f>
        <v>27AAAAA12462Z5</v>
      </c>
      <c r="B12462" t="str">
        <f>TEST_DATA!B12462</f>
        <v>Dec-2024</v>
      </c>
      <c r="C12462">
        <f>TEST_DATA!C12462</f>
        <v>43538</v>
      </c>
      <c r="D12462" t="str">
        <f>TEST_DATA!D12462</f>
        <v>NIL</v>
      </c>
      <c r="E12462">
        <f>TEST_DATA!E12462</f>
        <v>2566</v>
      </c>
    </row>
    <row r="12463" spans="1:5" x14ac:dyDescent="0.55000000000000004">
      <c r="A12463" t="str">
        <f>TEST_DATA!A12463</f>
        <v>27AAAAA12463Z5</v>
      </c>
      <c r="B12463" t="str">
        <f>TEST_DATA!B12463</f>
        <v>Dec-2019</v>
      </c>
      <c r="C12463">
        <f>TEST_DATA!C12463</f>
        <v>44670</v>
      </c>
      <c r="D12463" t="str">
        <f>TEST_DATA!D12463</f>
        <v>NON-NIL</v>
      </c>
      <c r="E12463">
        <f>TEST_DATA!E12463</f>
        <v>2468</v>
      </c>
    </row>
    <row r="12464" spans="1:5" x14ac:dyDescent="0.55000000000000004">
      <c r="A12464" t="str">
        <f>TEST_DATA!A12464</f>
        <v>27AAAAA12464Z5</v>
      </c>
      <c r="B12464" t="str">
        <f>TEST_DATA!B12464</f>
        <v>Oct-2017</v>
      </c>
      <c r="C12464">
        <f>TEST_DATA!C12464</f>
        <v>44308</v>
      </c>
      <c r="D12464" t="str">
        <f>TEST_DATA!D12464</f>
        <v>NIL</v>
      </c>
      <c r="E12464">
        <f>TEST_DATA!E12464</f>
        <v>2250</v>
      </c>
    </row>
    <row r="12465" spans="1:5" x14ac:dyDescent="0.55000000000000004">
      <c r="A12465" t="str">
        <f>TEST_DATA!A12465</f>
        <v>27AAAAA12465Z5</v>
      </c>
      <c r="B12465" t="str">
        <f>TEST_DATA!B12465</f>
        <v>Oct-2017</v>
      </c>
      <c r="C12465">
        <f>TEST_DATA!C12465</f>
        <v>43664</v>
      </c>
      <c r="D12465" t="str">
        <f>TEST_DATA!D12465</f>
        <v>NIL</v>
      </c>
      <c r="E12465">
        <f>TEST_DATA!E12465</f>
        <v>414</v>
      </c>
    </row>
    <row r="12466" spans="1:5" x14ac:dyDescent="0.55000000000000004">
      <c r="A12466" t="str">
        <f>TEST_DATA!A12466</f>
        <v>27AAAAA12466Z5</v>
      </c>
      <c r="B12466" t="str">
        <f>TEST_DATA!B12466</f>
        <v>Jul-2018</v>
      </c>
      <c r="C12466">
        <f>TEST_DATA!C12466</f>
        <v>43433</v>
      </c>
      <c r="D12466" t="str">
        <f>TEST_DATA!D12466</f>
        <v>NON-NIL</v>
      </c>
      <c r="E12466">
        <f>TEST_DATA!E12466</f>
        <v>1069</v>
      </c>
    </row>
    <row r="12467" spans="1:5" x14ac:dyDescent="0.55000000000000004">
      <c r="A12467" t="str">
        <f>TEST_DATA!A12467</f>
        <v>27AAAAA12467Z5</v>
      </c>
      <c r="B12467" t="str">
        <f>TEST_DATA!B12467</f>
        <v>Aug-2018</v>
      </c>
      <c r="C12467">
        <f>TEST_DATA!C12467</f>
        <v>43705</v>
      </c>
      <c r="D12467" t="str">
        <f>TEST_DATA!D12467</f>
        <v>NIL</v>
      </c>
      <c r="E12467">
        <f>TEST_DATA!E12467</f>
        <v>1514</v>
      </c>
    </row>
    <row r="12468" spans="1:5" x14ac:dyDescent="0.55000000000000004">
      <c r="A12468" t="str">
        <f>TEST_DATA!A12468</f>
        <v>27AAAAA12468Z5</v>
      </c>
      <c r="B12468" t="str">
        <f>TEST_DATA!B12468</f>
        <v>Sep-2018</v>
      </c>
      <c r="C12468">
        <f>TEST_DATA!C12468</f>
        <v>43391</v>
      </c>
      <c r="D12468" t="str">
        <f>TEST_DATA!D12468</f>
        <v>NIL</v>
      </c>
      <c r="E12468">
        <f>TEST_DATA!E12468</f>
        <v>634</v>
      </c>
    </row>
    <row r="12469" spans="1:5" x14ac:dyDescent="0.55000000000000004">
      <c r="A12469" t="str">
        <f>TEST_DATA!A12469</f>
        <v>27AAAAA12469Z5</v>
      </c>
      <c r="B12469" t="str">
        <f>TEST_DATA!B12469</f>
        <v>Mar-2023</v>
      </c>
      <c r="C12469">
        <f>TEST_DATA!C12469</f>
        <v>44896</v>
      </c>
      <c r="D12469" t="str">
        <f>TEST_DATA!D12469</f>
        <v>NIL</v>
      </c>
      <c r="E12469">
        <f>TEST_DATA!E12469</f>
        <v>1727</v>
      </c>
    </row>
    <row r="12470" spans="1:5" x14ac:dyDescent="0.55000000000000004">
      <c r="A12470" t="str">
        <f>TEST_DATA!A12470</f>
        <v>27AAAAA12470Z5</v>
      </c>
      <c r="B12470" t="str">
        <f>TEST_DATA!B12470</f>
        <v>Oct-2017</v>
      </c>
      <c r="C12470">
        <f>TEST_DATA!C12470</f>
        <v>43177</v>
      </c>
      <c r="D12470" t="str">
        <f>TEST_DATA!D12470</f>
        <v>NON-NIL</v>
      </c>
      <c r="E12470">
        <f>TEST_DATA!E12470</f>
        <v>1648</v>
      </c>
    </row>
    <row r="12471" spans="1:5" x14ac:dyDescent="0.55000000000000004">
      <c r="A12471" t="str">
        <f>TEST_DATA!A12471</f>
        <v>27AAAAA12471Z5</v>
      </c>
      <c r="B12471" t="str">
        <f>TEST_DATA!B12471</f>
        <v>Mar-2020</v>
      </c>
      <c r="C12471">
        <f>TEST_DATA!C12471</f>
        <v>44856</v>
      </c>
      <c r="D12471" t="str">
        <f>TEST_DATA!D12471</f>
        <v>NON-NIL</v>
      </c>
      <c r="E12471">
        <f>TEST_DATA!E12471</f>
        <v>1616</v>
      </c>
    </row>
    <row r="12472" spans="1:5" x14ac:dyDescent="0.55000000000000004">
      <c r="A12472" t="str">
        <f>TEST_DATA!A12472</f>
        <v>27AAAAA12472Z5</v>
      </c>
      <c r="B12472" t="str">
        <f>TEST_DATA!B12472</f>
        <v>Dec-2017</v>
      </c>
      <c r="C12472">
        <f>TEST_DATA!C12472</f>
        <v>44494</v>
      </c>
      <c r="D12472" t="str">
        <f>TEST_DATA!D12472</f>
        <v>NIL</v>
      </c>
      <c r="E12472">
        <f>TEST_DATA!E12472</f>
        <v>2392</v>
      </c>
    </row>
    <row r="12473" spans="1:5" x14ac:dyDescent="0.55000000000000004">
      <c r="A12473" t="str">
        <f>TEST_DATA!A12473</f>
        <v>27AAAAA12473Z5</v>
      </c>
      <c r="B12473" t="str">
        <f>TEST_DATA!B12473</f>
        <v>Jun-2018</v>
      </c>
      <c r="C12473">
        <f>TEST_DATA!C12473</f>
        <v>43937</v>
      </c>
      <c r="D12473" t="str">
        <f>TEST_DATA!D12473</f>
        <v>NON-NIL</v>
      </c>
      <c r="E12473">
        <f>TEST_DATA!E12473</f>
        <v>2000</v>
      </c>
    </row>
    <row r="12474" spans="1:5" x14ac:dyDescent="0.55000000000000004">
      <c r="A12474" t="str">
        <f>TEST_DATA!A12474</f>
        <v>27AAAAA12474Z5</v>
      </c>
      <c r="B12474" t="str">
        <f>TEST_DATA!B12474</f>
        <v>Mar-2018</v>
      </c>
      <c r="C12474">
        <f>TEST_DATA!C12474</f>
        <v>43662</v>
      </c>
      <c r="D12474" t="str">
        <f>TEST_DATA!D12474</f>
        <v>NIL</v>
      </c>
      <c r="E12474">
        <f>TEST_DATA!E12474</f>
        <v>2274</v>
      </c>
    </row>
    <row r="12475" spans="1:5" x14ac:dyDescent="0.55000000000000004">
      <c r="A12475" t="str">
        <f>TEST_DATA!A12475</f>
        <v>27AAAAA12475Z5</v>
      </c>
      <c r="B12475" t="str">
        <f>TEST_DATA!B12475</f>
        <v>Aug-2017</v>
      </c>
      <c r="C12475">
        <f>TEST_DATA!C12475</f>
        <v>44209</v>
      </c>
      <c r="D12475" t="str">
        <f>TEST_DATA!D12475</f>
        <v>NON-NIL</v>
      </c>
      <c r="E12475">
        <f>TEST_DATA!E12475</f>
        <v>490</v>
      </c>
    </row>
    <row r="12476" spans="1:5" x14ac:dyDescent="0.55000000000000004">
      <c r="A12476" t="str">
        <f>TEST_DATA!A12476</f>
        <v>27AAAAA12476Z5</v>
      </c>
      <c r="B12476" t="str">
        <f>TEST_DATA!B12476</f>
        <v>Sep-2018</v>
      </c>
      <c r="C12476">
        <f>TEST_DATA!C12476</f>
        <v>43391</v>
      </c>
      <c r="D12476" t="str">
        <f>TEST_DATA!D12476</f>
        <v>NIL</v>
      </c>
      <c r="E12476">
        <f>TEST_DATA!E12476</f>
        <v>366</v>
      </c>
    </row>
    <row r="12477" spans="1:5" x14ac:dyDescent="0.55000000000000004">
      <c r="A12477" t="str">
        <f>TEST_DATA!A12477</f>
        <v>27AAAAA12477Z5</v>
      </c>
      <c r="B12477" t="str">
        <f>TEST_DATA!B12477</f>
        <v>Mar-2021</v>
      </c>
      <c r="C12477">
        <f>TEST_DATA!C12477</f>
        <v>44845</v>
      </c>
      <c r="D12477" t="str">
        <f>TEST_DATA!D12477</f>
        <v>NON-NIL</v>
      </c>
      <c r="E12477">
        <f>TEST_DATA!E12477</f>
        <v>385</v>
      </c>
    </row>
    <row r="12478" spans="1:5" x14ac:dyDescent="0.55000000000000004">
      <c r="A12478" t="str">
        <f>TEST_DATA!A12478</f>
        <v>27AAAAA12478Z5</v>
      </c>
      <c r="B12478" t="str">
        <f>TEST_DATA!B12478</f>
        <v>Aug-2018</v>
      </c>
      <c r="C12478">
        <f>TEST_DATA!C12478</f>
        <v>42992</v>
      </c>
      <c r="D12478" t="str">
        <f>TEST_DATA!D12478</f>
        <v>NON-NIL</v>
      </c>
      <c r="E12478">
        <f>TEST_DATA!E12478</f>
        <v>706</v>
      </c>
    </row>
    <row r="12479" spans="1:5" x14ac:dyDescent="0.55000000000000004">
      <c r="A12479" t="str">
        <f>TEST_DATA!A12479</f>
        <v>27AAAAA12479Z5</v>
      </c>
      <c r="B12479" t="str">
        <f>TEST_DATA!B12479</f>
        <v>Jul-2018</v>
      </c>
      <c r="C12479">
        <f>TEST_DATA!C12479</f>
        <v>43085</v>
      </c>
      <c r="D12479" t="str">
        <f>TEST_DATA!D12479</f>
        <v>NON-NIL</v>
      </c>
      <c r="E12479">
        <f>TEST_DATA!E12479</f>
        <v>1034</v>
      </c>
    </row>
    <row r="12480" spans="1:5" x14ac:dyDescent="0.55000000000000004">
      <c r="A12480" t="str">
        <f>TEST_DATA!A12480</f>
        <v>27AAAAA12480Z5</v>
      </c>
      <c r="B12480" t="str">
        <f>TEST_DATA!B12480</f>
        <v>Sep-2018</v>
      </c>
      <c r="C12480">
        <f>TEST_DATA!C12480</f>
        <v>43096</v>
      </c>
      <c r="D12480" t="str">
        <f>TEST_DATA!D12480</f>
        <v>NON-NIL</v>
      </c>
      <c r="E12480">
        <f>TEST_DATA!E12480</f>
        <v>1363</v>
      </c>
    </row>
    <row r="12481" spans="1:5" x14ac:dyDescent="0.55000000000000004">
      <c r="A12481" t="str">
        <f>TEST_DATA!A12481</f>
        <v>27AAAAA12481Z5</v>
      </c>
      <c r="B12481" t="str">
        <f>TEST_DATA!B12481</f>
        <v>Aug-2017</v>
      </c>
      <c r="C12481">
        <f>TEST_DATA!C12481</f>
        <v>43459</v>
      </c>
      <c r="D12481" t="str">
        <f>TEST_DATA!D12481</f>
        <v>NON-NIL</v>
      </c>
      <c r="E12481">
        <f>TEST_DATA!E12481</f>
        <v>429</v>
      </c>
    </row>
    <row r="12482" spans="1:5" x14ac:dyDescent="0.55000000000000004">
      <c r="A12482" t="str">
        <f>TEST_DATA!A12482</f>
        <v>27AAAAA12482Z5</v>
      </c>
      <c r="B12482" t="str">
        <f>TEST_DATA!B12482</f>
        <v>Jun-2018</v>
      </c>
      <c r="C12482">
        <f>TEST_DATA!C12482</f>
        <v>43296</v>
      </c>
      <c r="D12482" t="str">
        <f>TEST_DATA!D12482</f>
        <v>NON-NIL</v>
      </c>
      <c r="E12482">
        <f>TEST_DATA!E12482</f>
        <v>1070</v>
      </c>
    </row>
    <row r="12483" spans="1:5" x14ac:dyDescent="0.55000000000000004">
      <c r="A12483" t="str">
        <f>TEST_DATA!A12483</f>
        <v>27AAAAA12483Z5</v>
      </c>
      <c r="B12483" t="str">
        <f>TEST_DATA!B12483</f>
        <v>Apr-2018</v>
      </c>
      <c r="C12483">
        <f>TEST_DATA!C12483</f>
        <v>43623</v>
      </c>
      <c r="D12483" t="str">
        <f>TEST_DATA!D12483</f>
        <v>NIL</v>
      </c>
      <c r="E12483">
        <f>TEST_DATA!E12483</f>
        <v>2455</v>
      </c>
    </row>
    <row r="12484" spans="1:5" x14ac:dyDescent="0.55000000000000004">
      <c r="A12484" t="str">
        <f>TEST_DATA!A12484</f>
        <v>27AAAAA12484Z5</v>
      </c>
      <c r="B12484" t="str">
        <f>TEST_DATA!B12484</f>
        <v>Dec-2024</v>
      </c>
      <c r="C12484">
        <f>TEST_DATA!C12484</f>
        <v>45162</v>
      </c>
      <c r="D12484" t="str">
        <f>TEST_DATA!D12484</f>
        <v>NON-NIL</v>
      </c>
      <c r="E12484">
        <f>TEST_DATA!E12484</f>
        <v>2983</v>
      </c>
    </row>
    <row r="12485" spans="1:5" x14ac:dyDescent="0.55000000000000004">
      <c r="A12485" t="str">
        <f>TEST_DATA!A12485</f>
        <v>27AAAAA12485Z5</v>
      </c>
      <c r="B12485" t="str">
        <f>TEST_DATA!B12485</f>
        <v>Jun-2018</v>
      </c>
      <c r="C12485">
        <f>TEST_DATA!C12485</f>
        <v>43443</v>
      </c>
      <c r="D12485" t="str">
        <f>TEST_DATA!D12485</f>
        <v>NIL</v>
      </c>
      <c r="E12485">
        <f>TEST_DATA!E12485</f>
        <v>2702</v>
      </c>
    </row>
    <row r="12486" spans="1:5" x14ac:dyDescent="0.55000000000000004">
      <c r="A12486" t="str">
        <f>TEST_DATA!A12486</f>
        <v>27AAAAA12486Z5</v>
      </c>
      <c r="B12486" t="str">
        <f>TEST_DATA!B12486</f>
        <v>Jun-2020</v>
      </c>
      <c r="C12486">
        <f>TEST_DATA!C12486</f>
        <v>44065</v>
      </c>
      <c r="D12486" t="str">
        <f>TEST_DATA!D12486</f>
        <v>NIL</v>
      </c>
      <c r="E12486">
        <f>TEST_DATA!E12486</f>
        <v>2991</v>
      </c>
    </row>
    <row r="12487" spans="1:5" x14ac:dyDescent="0.55000000000000004">
      <c r="A12487" t="str">
        <f>TEST_DATA!A12487</f>
        <v>27AAAAA12487Z5</v>
      </c>
      <c r="B12487" t="str">
        <f>TEST_DATA!B12487</f>
        <v>Dec-2022</v>
      </c>
      <c r="C12487">
        <f>TEST_DATA!C12487</f>
        <v>45362</v>
      </c>
      <c r="D12487" t="str">
        <f>TEST_DATA!D12487</f>
        <v>NIL</v>
      </c>
      <c r="E12487">
        <f>TEST_DATA!E12487</f>
        <v>1041</v>
      </c>
    </row>
    <row r="12488" spans="1:5" x14ac:dyDescent="0.55000000000000004">
      <c r="A12488" t="str">
        <f>TEST_DATA!A12488</f>
        <v>27AAAAA12488Z5</v>
      </c>
      <c r="B12488" t="str">
        <f>TEST_DATA!B12488</f>
        <v>Apr-2020</v>
      </c>
      <c r="C12488">
        <f>TEST_DATA!C12488</f>
        <v>44867</v>
      </c>
      <c r="D12488" t="str">
        <f>TEST_DATA!D12488</f>
        <v>NON-NIL</v>
      </c>
      <c r="E12488">
        <f>TEST_DATA!E12488</f>
        <v>1755</v>
      </c>
    </row>
    <row r="12489" spans="1:5" x14ac:dyDescent="0.55000000000000004">
      <c r="A12489" t="str">
        <f>TEST_DATA!A12489</f>
        <v>27AAAAA12489Z5</v>
      </c>
      <c r="B12489" t="str">
        <f>TEST_DATA!B12489</f>
        <v>Nov-2017</v>
      </c>
      <c r="C12489">
        <f>TEST_DATA!C12489</f>
        <v>42959</v>
      </c>
      <c r="D12489" t="str">
        <f>TEST_DATA!D12489</f>
        <v>NIL</v>
      </c>
      <c r="E12489">
        <f>TEST_DATA!E12489</f>
        <v>2242</v>
      </c>
    </row>
    <row r="12490" spans="1:5" x14ac:dyDescent="0.55000000000000004">
      <c r="A12490" t="str">
        <f>TEST_DATA!A12490</f>
        <v>27AAAAA12490Z5</v>
      </c>
      <c r="B12490" t="str">
        <f>TEST_DATA!B12490</f>
        <v>Apr-2021</v>
      </c>
      <c r="C12490">
        <f>TEST_DATA!C12490</f>
        <v>44253</v>
      </c>
      <c r="D12490" t="str">
        <f>TEST_DATA!D12490</f>
        <v>NON-NIL</v>
      </c>
      <c r="E12490">
        <f>TEST_DATA!E12490</f>
        <v>1009</v>
      </c>
    </row>
    <row r="12491" spans="1:5" x14ac:dyDescent="0.55000000000000004">
      <c r="A12491" t="str">
        <f>TEST_DATA!A12491</f>
        <v>27AAAAA12491Z5</v>
      </c>
      <c r="B12491" t="str">
        <f>TEST_DATA!B12491</f>
        <v>Apr-2020</v>
      </c>
      <c r="C12491">
        <f>TEST_DATA!C12491</f>
        <v>44634</v>
      </c>
      <c r="D12491" t="str">
        <f>TEST_DATA!D12491</f>
        <v>NON-NIL</v>
      </c>
      <c r="E12491">
        <f>TEST_DATA!E12491</f>
        <v>674</v>
      </c>
    </row>
    <row r="12492" spans="1:5" x14ac:dyDescent="0.55000000000000004">
      <c r="A12492" t="str">
        <f>TEST_DATA!A12492</f>
        <v>27AAAAA12492Z5</v>
      </c>
      <c r="B12492" t="str">
        <f>TEST_DATA!B12492</f>
        <v>Apr-2018</v>
      </c>
      <c r="C12492">
        <f>TEST_DATA!C12492</f>
        <v>43272</v>
      </c>
      <c r="D12492" t="str">
        <f>TEST_DATA!D12492</f>
        <v>NON-NIL</v>
      </c>
      <c r="E12492">
        <f>TEST_DATA!E12492</f>
        <v>2744</v>
      </c>
    </row>
    <row r="12493" spans="1:5" x14ac:dyDescent="0.55000000000000004">
      <c r="A12493" t="str">
        <f>TEST_DATA!A12493</f>
        <v>27AAAAA12493Z5</v>
      </c>
      <c r="B12493" t="str">
        <f>TEST_DATA!B12493</f>
        <v>Aug-2018</v>
      </c>
      <c r="C12493">
        <f>TEST_DATA!C12493</f>
        <v>42921</v>
      </c>
      <c r="D12493" t="str">
        <f>TEST_DATA!D12493</f>
        <v>NON-NIL</v>
      </c>
      <c r="E12493">
        <f>TEST_DATA!E12493</f>
        <v>1152</v>
      </c>
    </row>
    <row r="12494" spans="1:5" x14ac:dyDescent="0.55000000000000004">
      <c r="A12494" t="str">
        <f>TEST_DATA!A12494</f>
        <v>27AAAAA12494Z5</v>
      </c>
      <c r="B12494" t="str">
        <f>TEST_DATA!B12494</f>
        <v>Jun-2020</v>
      </c>
      <c r="C12494">
        <f>TEST_DATA!C12494</f>
        <v>44078</v>
      </c>
      <c r="D12494" t="str">
        <f>TEST_DATA!D12494</f>
        <v>NON-NIL</v>
      </c>
      <c r="E12494">
        <f>TEST_DATA!E12494</f>
        <v>1788</v>
      </c>
    </row>
    <row r="12495" spans="1:5" x14ac:dyDescent="0.55000000000000004">
      <c r="A12495" t="str">
        <f>TEST_DATA!A12495</f>
        <v>27AAAAA12495Z5</v>
      </c>
      <c r="B12495" t="str">
        <f>TEST_DATA!B12495</f>
        <v>Mar-2018</v>
      </c>
      <c r="C12495">
        <f>TEST_DATA!C12495</f>
        <v>44479</v>
      </c>
      <c r="D12495" t="str">
        <f>TEST_DATA!D12495</f>
        <v>NON-NIL</v>
      </c>
      <c r="E12495">
        <f>TEST_DATA!E12495</f>
        <v>13</v>
      </c>
    </row>
    <row r="12496" spans="1:5" x14ac:dyDescent="0.55000000000000004">
      <c r="A12496" t="str">
        <f>TEST_DATA!A12496</f>
        <v>27AAAAA12496Z5</v>
      </c>
      <c r="B12496" t="str">
        <f>TEST_DATA!B12496</f>
        <v>Apr-2021</v>
      </c>
      <c r="C12496">
        <f>TEST_DATA!C12496</f>
        <v>44163</v>
      </c>
      <c r="D12496" t="str">
        <f>TEST_DATA!D12496</f>
        <v>NON-NIL</v>
      </c>
      <c r="E12496">
        <f>TEST_DATA!E12496</f>
        <v>2841</v>
      </c>
    </row>
    <row r="12497" spans="1:5" x14ac:dyDescent="0.55000000000000004">
      <c r="A12497" t="str">
        <f>TEST_DATA!A12497</f>
        <v>27AAAAA12497Z5</v>
      </c>
      <c r="B12497" t="str">
        <f>TEST_DATA!B12497</f>
        <v>Oct-2017</v>
      </c>
      <c r="C12497">
        <f>TEST_DATA!C12497</f>
        <v>43306</v>
      </c>
      <c r="D12497" t="str">
        <f>TEST_DATA!D12497</f>
        <v>NON-NIL</v>
      </c>
      <c r="E12497">
        <f>TEST_DATA!E12497</f>
        <v>783</v>
      </c>
    </row>
    <row r="12498" spans="1:5" x14ac:dyDescent="0.55000000000000004">
      <c r="A12498" t="str">
        <f>TEST_DATA!A12498</f>
        <v>27AAAAA12498Z5</v>
      </c>
      <c r="B12498" t="str">
        <f>TEST_DATA!B12498</f>
        <v>Apr-2018</v>
      </c>
      <c r="C12498">
        <f>TEST_DATA!C12498</f>
        <v>43234</v>
      </c>
      <c r="D12498" t="str">
        <f>TEST_DATA!D12498</f>
        <v>NON-NIL</v>
      </c>
      <c r="E12498">
        <f>TEST_DATA!E12498</f>
        <v>1446</v>
      </c>
    </row>
    <row r="12499" spans="1:5" x14ac:dyDescent="0.55000000000000004">
      <c r="A12499" t="str">
        <f>TEST_DATA!A12499</f>
        <v>27AAAAA12499Z5</v>
      </c>
      <c r="B12499" t="str">
        <f>TEST_DATA!B12499</f>
        <v>May-2018</v>
      </c>
      <c r="C12499">
        <f>TEST_DATA!C12499</f>
        <v>43706</v>
      </c>
      <c r="D12499" t="str">
        <f>TEST_DATA!D12499</f>
        <v>NIL</v>
      </c>
      <c r="E12499">
        <f>TEST_DATA!E12499</f>
        <v>2281</v>
      </c>
    </row>
    <row r="12500" spans="1:5" x14ac:dyDescent="0.55000000000000004">
      <c r="A12500" t="str">
        <f>TEST_DATA!A12500</f>
        <v>27AAAAA12500Z5</v>
      </c>
      <c r="B12500" t="str">
        <f>TEST_DATA!B12500</f>
        <v>Jan-2018</v>
      </c>
      <c r="C12500">
        <f>TEST_DATA!C12500</f>
        <v>43210</v>
      </c>
      <c r="D12500" t="str">
        <f>TEST_DATA!D12500</f>
        <v>NON-NIL</v>
      </c>
      <c r="E12500">
        <f>TEST_DATA!E12500</f>
        <v>2948</v>
      </c>
    </row>
    <row r="12501" spans="1:5" x14ac:dyDescent="0.55000000000000004">
      <c r="A12501" t="str">
        <f>TEST_DATA!A12501</f>
        <v>27AAAAA12501Z5</v>
      </c>
      <c r="B12501" t="str">
        <f>TEST_DATA!B12501</f>
        <v>Nov-2017</v>
      </c>
      <c r="C12501">
        <f>TEST_DATA!C12501</f>
        <v>43097</v>
      </c>
      <c r="D12501" t="str">
        <f>TEST_DATA!D12501</f>
        <v>NIL</v>
      </c>
      <c r="E12501">
        <f>TEST_DATA!E12501</f>
        <v>2184</v>
      </c>
    </row>
    <row r="12502" spans="1:5" x14ac:dyDescent="0.55000000000000004">
      <c r="A12502" t="str">
        <f>TEST_DATA!A12502</f>
        <v>27AAAAA12502Z5</v>
      </c>
      <c r="B12502" t="str">
        <f>TEST_DATA!B12502</f>
        <v>Mar-2018</v>
      </c>
      <c r="C12502">
        <f>TEST_DATA!C12502</f>
        <v>43168</v>
      </c>
      <c r="D12502" t="str">
        <f>TEST_DATA!D12502</f>
        <v>NON-NIL</v>
      </c>
      <c r="E12502">
        <f>TEST_DATA!E12502</f>
        <v>1411</v>
      </c>
    </row>
    <row r="12503" spans="1:5" x14ac:dyDescent="0.55000000000000004">
      <c r="A12503" t="str">
        <f>TEST_DATA!A12503</f>
        <v>27AAAAA12503Z5</v>
      </c>
      <c r="B12503" t="str">
        <f>TEST_DATA!B12503</f>
        <v>Sep-2017</v>
      </c>
      <c r="C12503">
        <f>TEST_DATA!C12503</f>
        <v>42935</v>
      </c>
      <c r="D12503" t="str">
        <f>TEST_DATA!D12503</f>
        <v>NON-NIL</v>
      </c>
      <c r="E12503">
        <f>TEST_DATA!E12503</f>
        <v>1118</v>
      </c>
    </row>
    <row r="12504" spans="1:5" x14ac:dyDescent="0.55000000000000004">
      <c r="A12504" t="str">
        <f>TEST_DATA!A12504</f>
        <v>27AAAAA12504Z5</v>
      </c>
      <c r="B12504" t="str">
        <f>TEST_DATA!B12504</f>
        <v>Nov-2017</v>
      </c>
      <c r="C12504">
        <f>TEST_DATA!C12504</f>
        <v>44204</v>
      </c>
      <c r="D12504" t="str">
        <f>TEST_DATA!D12504</f>
        <v>NON-NIL</v>
      </c>
      <c r="E12504">
        <f>TEST_DATA!E12504</f>
        <v>579</v>
      </c>
    </row>
    <row r="12505" spans="1:5" x14ac:dyDescent="0.55000000000000004">
      <c r="A12505" t="str">
        <f>TEST_DATA!A12505</f>
        <v>27AAAAA12505Z5</v>
      </c>
      <c r="B12505" t="str">
        <f>TEST_DATA!B12505</f>
        <v>Mar-2023</v>
      </c>
      <c r="C12505">
        <f>TEST_DATA!C12505</f>
        <v>45437</v>
      </c>
      <c r="D12505" t="str">
        <f>TEST_DATA!D12505</f>
        <v>NON-NIL</v>
      </c>
      <c r="E12505">
        <f>TEST_DATA!E12505</f>
        <v>27</v>
      </c>
    </row>
    <row r="12506" spans="1:5" x14ac:dyDescent="0.55000000000000004">
      <c r="A12506" t="str">
        <f>TEST_DATA!A12506</f>
        <v>27AAAAA12506Z5</v>
      </c>
      <c r="B12506" t="str">
        <f>TEST_DATA!B12506</f>
        <v>Jun-2018</v>
      </c>
      <c r="C12506">
        <f>TEST_DATA!C12506</f>
        <v>43740</v>
      </c>
      <c r="D12506" t="str">
        <f>TEST_DATA!D12506</f>
        <v>NIL</v>
      </c>
      <c r="E12506">
        <f>TEST_DATA!E12506</f>
        <v>2091</v>
      </c>
    </row>
    <row r="12507" spans="1:5" x14ac:dyDescent="0.55000000000000004">
      <c r="A12507" t="str">
        <f>TEST_DATA!A12507</f>
        <v>27AAAAA12507Z5</v>
      </c>
      <c r="B12507" t="str">
        <f>TEST_DATA!B12507</f>
        <v>Dec-2024</v>
      </c>
      <c r="C12507">
        <f>TEST_DATA!C12507</f>
        <v>44587</v>
      </c>
      <c r="D12507" t="str">
        <f>TEST_DATA!D12507</f>
        <v>NIL</v>
      </c>
      <c r="E12507">
        <f>TEST_DATA!E12507</f>
        <v>2855</v>
      </c>
    </row>
    <row r="12508" spans="1:5" x14ac:dyDescent="0.55000000000000004">
      <c r="A12508" t="str">
        <f>TEST_DATA!A12508</f>
        <v>27AAAAA12508Z5</v>
      </c>
      <c r="B12508" t="str">
        <f>TEST_DATA!B12508</f>
        <v>Jul-2017</v>
      </c>
      <c r="C12508">
        <f>TEST_DATA!C12508</f>
        <v>43815</v>
      </c>
      <c r="D12508" t="str">
        <f>TEST_DATA!D12508</f>
        <v>NIL</v>
      </c>
      <c r="E12508">
        <f>TEST_DATA!E12508</f>
        <v>1928</v>
      </c>
    </row>
    <row r="12509" spans="1:5" x14ac:dyDescent="0.55000000000000004">
      <c r="A12509" t="str">
        <f>TEST_DATA!A12509</f>
        <v>27AAAAA12509Z5</v>
      </c>
      <c r="B12509" t="str">
        <f>TEST_DATA!B12509</f>
        <v>Sep-2017</v>
      </c>
      <c r="C12509">
        <f>TEST_DATA!C12509</f>
        <v>43226</v>
      </c>
      <c r="D12509" t="str">
        <f>TEST_DATA!D12509</f>
        <v>NON-NIL</v>
      </c>
      <c r="E12509">
        <f>TEST_DATA!E12509</f>
        <v>770</v>
      </c>
    </row>
    <row r="12510" spans="1:5" x14ac:dyDescent="0.55000000000000004">
      <c r="A12510" t="str">
        <f>TEST_DATA!A12510</f>
        <v>27AAAAA12510Z5</v>
      </c>
      <c r="B12510" t="str">
        <f>TEST_DATA!B12510</f>
        <v>Jan-2018</v>
      </c>
      <c r="C12510">
        <f>TEST_DATA!C12510</f>
        <v>43545</v>
      </c>
      <c r="D12510" t="str">
        <f>TEST_DATA!D12510</f>
        <v>NIL</v>
      </c>
      <c r="E12510">
        <f>TEST_DATA!E12510</f>
        <v>2835</v>
      </c>
    </row>
    <row r="12511" spans="1:5" x14ac:dyDescent="0.55000000000000004">
      <c r="A12511" t="str">
        <f>TEST_DATA!A12511</f>
        <v>27AAAAA12511Z5</v>
      </c>
      <c r="B12511" t="str">
        <f>TEST_DATA!B12511</f>
        <v>Jun-2020</v>
      </c>
      <c r="C12511">
        <f>TEST_DATA!C12511</f>
        <v>44208</v>
      </c>
      <c r="D12511" t="str">
        <f>TEST_DATA!D12511</f>
        <v>NIL</v>
      </c>
      <c r="E12511">
        <f>TEST_DATA!E12511</f>
        <v>2001</v>
      </c>
    </row>
    <row r="12512" spans="1:5" x14ac:dyDescent="0.55000000000000004">
      <c r="A12512" t="str">
        <f>TEST_DATA!A12512</f>
        <v>27AAAAA12512Z5</v>
      </c>
      <c r="B12512" t="str">
        <f>TEST_DATA!B12512</f>
        <v>Jun-2019</v>
      </c>
      <c r="C12512">
        <f>TEST_DATA!C12512</f>
        <v>43897</v>
      </c>
      <c r="D12512" t="str">
        <f>TEST_DATA!D12512</f>
        <v>NIL</v>
      </c>
      <c r="E12512">
        <f>TEST_DATA!E12512</f>
        <v>620</v>
      </c>
    </row>
    <row r="12513" spans="1:5" x14ac:dyDescent="0.55000000000000004">
      <c r="A12513" t="str">
        <f>TEST_DATA!A12513</f>
        <v>27AAAAA12513Z5</v>
      </c>
      <c r="B12513" t="str">
        <f>TEST_DATA!B12513</f>
        <v>Aug-2018</v>
      </c>
      <c r="C12513">
        <f>TEST_DATA!C12513</f>
        <v>43879</v>
      </c>
      <c r="D12513" t="str">
        <f>TEST_DATA!D12513</f>
        <v>NIL</v>
      </c>
      <c r="E12513">
        <f>TEST_DATA!E12513</f>
        <v>1848</v>
      </c>
    </row>
    <row r="12514" spans="1:5" x14ac:dyDescent="0.55000000000000004">
      <c r="A12514" t="str">
        <f>TEST_DATA!A12514</f>
        <v>27AAAAA12514Z5</v>
      </c>
      <c r="B12514" t="str">
        <f>TEST_DATA!B12514</f>
        <v>Feb-2018</v>
      </c>
      <c r="C12514">
        <f>TEST_DATA!C12514</f>
        <v>43416</v>
      </c>
      <c r="D12514" t="str">
        <f>TEST_DATA!D12514</f>
        <v>NIL</v>
      </c>
      <c r="E12514">
        <f>TEST_DATA!E12514</f>
        <v>1677</v>
      </c>
    </row>
    <row r="12515" spans="1:5" x14ac:dyDescent="0.55000000000000004">
      <c r="A12515" t="str">
        <f>TEST_DATA!A12515</f>
        <v>27AAAAA12515Z5</v>
      </c>
      <c r="B12515" t="str">
        <f>TEST_DATA!B12515</f>
        <v>Nov-2017</v>
      </c>
      <c r="C12515">
        <f>TEST_DATA!C12515</f>
        <v>43836</v>
      </c>
      <c r="D12515" t="str">
        <f>TEST_DATA!D12515</f>
        <v>NON-NIL</v>
      </c>
      <c r="E12515">
        <f>TEST_DATA!E12515</f>
        <v>2953</v>
      </c>
    </row>
    <row r="12516" spans="1:5" x14ac:dyDescent="0.55000000000000004">
      <c r="A12516" t="str">
        <f>TEST_DATA!A12516</f>
        <v>27AAAAA12516Z5</v>
      </c>
      <c r="B12516" t="str">
        <f>TEST_DATA!B12516</f>
        <v>Aug-2018</v>
      </c>
      <c r="C12516">
        <f>TEST_DATA!C12516</f>
        <v>43816</v>
      </c>
      <c r="D12516" t="str">
        <f>TEST_DATA!D12516</f>
        <v>NON-NIL</v>
      </c>
      <c r="E12516">
        <f>TEST_DATA!E12516</f>
        <v>1779</v>
      </c>
    </row>
    <row r="12517" spans="1:5" x14ac:dyDescent="0.55000000000000004">
      <c r="A12517" t="str">
        <f>TEST_DATA!A12517</f>
        <v>27AAAAA12517Z5</v>
      </c>
      <c r="B12517" t="str">
        <f>TEST_DATA!B12517</f>
        <v>Dec-2024</v>
      </c>
      <c r="C12517">
        <f>TEST_DATA!C12517</f>
        <v>44841</v>
      </c>
      <c r="D12517" t="str">
        <f>TEST_DATA!D12517</f>
        <v>NIL</v>
      </c>
      <c r="E12517">
        <f>TEST_DATA!E12517</f>
        <v>2378</v>
      </c>
    </row>
    <row r="12518" spans="1:5" x14ac:dyDescent="0.55000000000000004">
      <c r="A12518" t="str">
        <f>TEST_DATA!A12518</f>
        <v>27AAAAA12518Z5</v>
      </c>
      <c r="B12518" t="str">
        <f>TEST_DATA!B12518</f>
        <v>May-2020</v>
      </c>
      <c r="C12518">
        <f>TEST_DATA!C12518</f>
        <v>44430</v>
      </c>
      <c r="D12518" t="str">
        <f>TEST_DATA!D12518</f>
        <v>NON-NIL</v>
      </c>
      <c r="E12518">
        <f>TEST_DATA!E12518</f>
        <v>2201</v>
      </c>
    </row>
    <row r="12519" spans="1:5" x14ac:dyDescent="0.55000000000000004">
      <c r="A12519" t="str">
        <f>TEST_DATA!A12519</f>
        <v>27AAAAA12519Z5</v>
      </c>
      <c r="B12519" t="str">
        <f>TEST_DATA!B12519</f>
        <v>Sep-2018</v>
      </c>
      <c r="C12519">
        <f>TEST_DATA!C12519</f>
        <v>44228</v>
      </c>
      <c r="D12519" t="str">
        <f>TEST_DATA!D12519</f>
        <v>NON-NIL</v>
      </c>
      <c r="E12519">
        <f>TEST_DATA!E12519</f>
        <v>1205</v>
      </c>
    </row>
    <row r="12520" spans="1:5" x14ac:dyDescent="0.55000000000000004">
      <c r="A12520" t="str">
        <f>TEST_DATA!A12520</f>
        <v>27AAAAA12520Z5</v>
      </c>
      <c r="B12520" t="str">
        <f>TEST_DATA!B12520</f>
        <v>Mar-2020</v>
      </c>
      <c r="C12520">
        <f>TEST_DATA!C12520</f>
        <v>44140</v>
      </c>
      <c r="D12520" t="str">
        <f>TEST_DATA!D12520</f>
        <v>NON-NIL</v>
      </c>
      <c r="E12520">
        <f>TEST_DATA!E12520</f>
        <v>1099</v>
      </c>
    </row>
    <row r="12521" spans="1:5" x14ac:dyDescent="0.55000000000000004">
      <c r="A12521" t="str">
        <f>TEST_DATA!A12521</f>
        <v>27AAAAA12521Z5</v>
      </c>
      <c r="B12521" t="str">
        <f>TEST_DATA!B12521</f>
        <v>Apr-2020</v>
      </c>
      <c r="C12521">
        <f>TEST_DATA!C12521</f>
        <v>44228</v>
      </c>
      <c r="D12521" t="str">
        <f>TEST_DATA!D12521</f>
        <v>NIL</v>
      </c>
      <c r="E12521">
        <f>TEST_DATA!E12521</f>
        <v>824</v>
      </c>
    </row>
    <row r="12522" spans="1:5" x14ac:dyDescent="0.55000000000000004">
      <c r="A12522" t="str">
        <f>TEST_DATA!A12522</f>
        <v>27AAAAA12522Z5</v>
      </c>
      <c r="B12522" t="str">
        <f>TEST_DATA!B12522</f>
        <v>Aug-2018</v>
      </c>
      <c r="C12522">
        <f>TEST_DATA!C12522</f>
        <v>43918</v>
      </c>
      <c r="D12522" t="str">
        <f>TEST_DATA!D12522</f>
        <v>NON-NIL</v>
      </c>
      <c r="E12522">
        <f>TEST_DATA!E12522</f>
        <v>2609</v>
      </c>
    </row>
    <row r="12523" spans="1:5" x14ac:dyDescent="0.55000000000000004">
      <c r="A12523" t="str">
        <f>TEST_DATA!A12523</f>
        <v>27AAAAA12523Z5</v>
      </c>
      <c r="B12523" t="str">
        <f>TEST_DATA!B12523</f>
        <v>Dec-2024</v>
      </c>
      <c r="C12523">
        <f>TEST_DATA!C12523</f>
        <v>45493</v>
      </c>
      <c r="D12523" t="str">
        <f>TEST_DATA!D12523</f>
        <v>NIL</v>
      </c>
      <c r="E12523">
        <f>TEST_DATA!E12523</f>
        <v>2980</v>
      </c>
    </row>
    <row r="12524" spans="1:5" x14ac:dyDescent="0.55000000000000004">
      <c r="A12524" t="str">
        <f>TEST_DATA!A12524</f>
        <v>27AAAAA12524Z5</v>
      </c>
      <c r="B12524" t="str">
        <f>TEST_DATA!B12524</f>
        <v>Mar-2021</v>
      </c>
      <c r="C12524">
        <f>TEST_DATA!C12524</f>
        <v>45117</v>
      </c>
      <c r="D12524" t="str">
        <f>TEST_DATA!D12524</f>
        <v>NON-NIL</v>
      </c>
      <c r="E12524">
        <f>TEST_DATA!E12524</f>
        <v>2066</v>
      </c>
    </row>
    <row r="12525" spans="1:5" x14ac:dyDescent="0.55000000000000004">
      <c r="A12525" t="str">
        <f>TEST_DATA!A12525</f>
        <v>27AAAAA12525Z5</v>
      </c>
      <c r="B12525" t="str">
        <f>TEST_DATA!B12525</f>
        <v>Mar-2018</v>
      </c>
      <c r="C12525">
        <f>TEST_DATA!C12525</f>
        <v>44369</v>
      </c>
      <c r="D12525" t="str">
        <f>TEST_DATA!D12525</f>
        <v>NIL</v>
      </c>
      <c r="E12525">
        <f>TEST_DATA!E12525</f>
        <v>2812</v>
      </c>
    </row>
    <row r="12526" spans="1:5" x14ac:dyDescent="0.55000000000000004">
      <c r="A12526" t="str">
        <f>TEST_DATA!A12526</f>
        <v>27AAAAA12526Z5</v>
      </c>
      <c r="B12526" t="str">
        <f>TEST_DATA!B12526</f>
        <v>May-2018</v>
      </c>
      <c r="C12526">
        <f>TEST_DATA!C12526</f>
        <v>43387</v>
      </c>
      <c r="D12526" t="str">
        <f>TEST_DATA!D12526</f>
        <v>NON-NIL</v>
      </c>
      <c r="E12526">
        <f>TEST_DATA!E12526</f>
        <v>2658</v>
      </c>
    </row>
    <row r="12527" spans="1:5" x14ac:dyDescent="0.55000000000000004">
      <c r="A12527" t="str">
        <f>TEST_DATA!A12527</f>
        <v>27AAAAA12527Z5</v>
      </c>
      <c r="B12527" t="str">
        <f>TEST_DATA!B12527</f>
        <v>Aug-2018</v>
      </c>
      <c r="C12527">
        <f>TEST_DATA!C12527</f>
        <v>43816</v>
      </c>
      <c r="D12527" t="str">
        <f>TEST_DATA!D12527</f>
        <v>NIL</v>
      </c>
      <c r="E12527">
        <f>TEST_DATA!E12527</f>
        <v>764</v>
      </c>
    </row>
    <row r="12528" spans="1:5" x14ac:dyDescent="0.55000000000000004">
      <c r="A12528" t="str">
        <f>TEST_DATA!A12528</f>
        <v>27AAAAA12528Z5</v>
      </c>
      <c r="B12528" t="str">
        <f>TEST_DATA!B12528</f>
        <v>Aug-2017</v>
      </c>
      <c r="C12528">
        <f>TEST_DATA!C12528</f>
        <v>43308</v>
      </c>
      <c r="D12528" t="str">
        <f>TEST_DATA!D12528</f>
        <v>NIL</v>
      </c>
      <c r="E12528">
        <f>TEST_DATA!E12528</f>
        <v>1625</v>
      </c>
    </row>
    <row r="12529" spans="1:5" x14ac:dyDescent="0.55000000000000004">
      <c r="A12529" t="str">
        <f>TEST_DATA!A12529</f>
        <v>27AAAAA12529Z5</v>
      </c>
      <c r="B12529" t="str">
        <f>TEST_DATA!B12529</f>
        <v>Oct-2017</v>
      </c>
      <c r="C12529">
        <f>TEST_DATA!C12529</f>
        <v>44377</v>
      </c>
      <c r="D12529" t="str">
        <f>TEST_DATA!D12529</f>
        <v>NIL</v>
      </c>
      <c r="E12529">
        <f>TEST_DATA!E12529</f>
        <v>439</v>
      </c>
    </row>
    <row r="12530" spans="1:5" x14ac:dyDescent="0.55000000000000004">
      <c r="A12530" t="str">
        <f>TEST_DATA!A12530</f>
        <v>27AAAAA12530Z5</v>
      </c>
      <c r="B12530" t="str">
        <f>TEST_DATA!B12530</f>
        <v>Jan-2019</v>
      </c>
      <c r="C12530">
        <f>TEST_DATA!C12530</f>
        <v>45309</v>
      </c>
      <c r="D12530" t="str">
        <f>TEST_DATA!D12530</f>
        <v>NIL</v>
      </c>
      <c r="E12530">
        <f>TEST_DATA!E12530</f>
        <v>1398</v>
      </c>
    </row>
    <row r="12531" spans="1:5" x14ac:dyDescent="0.55000000000000004">
      <c r="A12531" t="str">
        <f>TEST_DATA!A12531</f>
        <v>27AAAAA12531Z5</v>
      </c>
      <c r="B12531" t="str">
        <f>TEST_DATA!B12531</f>
        <v>Feb-2018</v>
      </c>
      <c r="C12531">
        <f>TEST_DATA!C12531</f>
        <v>43536</v>
      </c>
      <c r="D12531" t="str">
        <f>TEST_DATA!D12531</f>
        <v>NIL</v>
      </c>
      <c r="E12531">
        <f>TEST_DATA!E12531</f>
        <v>849</v>
      </c>
    </row>
    <row r="12532" spans="1:5" x14ac:dyDescent="0.55000000000000004">
      <c r="A12532" t="str">
        <f>TEST_DATA!A12532</f>
        <v>27AAAAA12532Z5</v>
      </c>
      <c r="B12532" t="str">
        <f>TEST_DATA!B12532</f>
        <v>Dec-2019</v>
      </c>
      <c r="C12532">
        <f>TEST_DATA!C12532</f>
        <v>45653</v>
      </c>
      <c r="D12532" t="str">
        <f>TEST_DATA!D12532</f>
        <v>NIL</v>
      </c>
      <c r="E12532">
        <f>TEST_DATA!E12532</f>
        <v>775</v>
      </c>
    </row>
    <row r="12533" spans="1:5" x14ac:dyDescent="0.55000000000000004">
      <c r="A12533" t="str">
        <f>TEST_DATA!A12533</f>
        <v>27AAAAA12533Z5</v>
      </c>
      <c r="B12533" t="str">
        <f>TEST_DATA!B12533</f>
        <v>Jan-2018</v>
      </c>
      <c r="C12533">
        <f>TEST_DATA!C12533</f>
        <v>43125</v>
      </c>
      <c r="D12533" t="str">
        <f>TEST_DATA!D12533</f>
        <v>NON-NIL</v>
      </c>
      <c r="E12533">
        <f>TEST_DATA!E12533</f>
        <v>2722</v>
      </c>
    </row>
    <row r="12534" spans="1:5" x14ac:dyDescent="0.55000000000000004">
      <c r="A12534" t="str">
        <f>TEST_DATA!A12534</f>
        <v>27AAAAA12534Z5</v>
      </c>
      <c r="B12534" t="str">
        <f>TEST_DATA!B12534</f>
        <v>Dec-2024</v>
      </c>
      <c r="C12534">
        <f>TEST_DATA!C12534</f>
        <v>43858</v>
      </c>
      <c r="D12534" t="str">
        <f>TEST_DATA!D12534</f>
        <v>NIL</v>
      </c>
      <c r="E12534">
        <f>TEST_DATA!E12534</f>
        <v>431</v>
      </c>
    </row>
    <row r="12535" spans="1:5" x14ac:dyDescent="0.55000000000000004">
      <c r="A12535" t="str">
        <f>TEST_DATA!A12535</f>
        <v>27AAAAA12535Z5</v>
      </c>
      <c r="B12535" t="str">
        <f>TEST_DATA!B12535</f>
        <v>Jul-2018</v>
      </c>
      <c r="C12535">
        <f>TEST_DATA!C12535</f>
        <v>43741</v>
      </c>
      <c r="D12535" t="str">
        <f>TEST_DATA!D12535</f>
        <v>NON-NIL</v>
      </c>
      <c r="E12535">
        <f>TEST_DATA!E12535</f>
        <v>2214</v>
      </c>
    </row>
    <row r="12536" spans="1:5" x14ac:dyDescent="0.55000000000000004">
      <c r="A12536" t="str">
        <f>TEST_DATA!A12536</f>
        <v>27AAAAA12536Z5</v>
      </c>
      <c r="B12536" t="str">
        <f>TEST_DATA!B12536</f>
        <v>Dec-2022</v>
      </c>
      <c r="C12536">
        <f>TEST_DATA!C12536</f>
        <v>43512</v>
      </c>
      <c r="D12536" t="str">
        <f>TEST_DATA!D12536</f>
        <v>NIL</v>
      </c>
      <c r="E12536">
        <f>TEST_DATA!E12536</f>
        <v>1022</v>
      </c>
    </row>
    <row r="12537" spans="1:5" x14ac:dyDescent="0.55000000000000004">
      <c r="A12537" t="str">
        <f>TEST_DATA!A12537</f>
        <v>27AAAAA12537Z5</v>
      </c>
      <c r="B12537" t="str">
        <f>TEST_DATA!B12537</f>
        <v>Aug-2018</v>
      </c>
      <c r="C12537">
        <f>TEST_DATA!C12537</f>
        <v>43193</v>
      </c>
      <c r="D12537" t="str">
        <f>TEST_DATA!D12537</f>
        <v>NIL</v>
      </c>
      <c r="E12537">
        <f>TEST_DATA!E12537</f>
        <v>488</v>
      </c>
    </row>
    <row r="12538" spans="1:5" x14ac:dyDescent="0.55000000000000004">
      <c r="A12538" t="str">
        <f>TEST_DATA!A12538</f>
        <v>27AAAAA12538Z5</v>
      </c>
      <c r="B12538" t="str">
        <f>TEST_DATA!B12538</f>
        <v>Mar-2023</v>
      </c>
      <c r="C12538">
        <f>TEST_DATA!C12538</f>
        <v>44375</v>
      </c>
      <c r="D12538" t="str">
        <f>TEST_DATA!D12538</f>
        <v>NON-NIL</v>
      </c>
      <c r="E12538">
        <f>TEST_DATA!E12538</f>
        <v>794</v>
      </c>
    </row>
    <row r="12539" spans="1:5" x14ac:dyDescent="0.55000000000000004">
      <c r="A12539" t="str">
        <f>TEST_DATA!A12539</f>
        <v>27AAAAA12539Z5</v>
      </c>
      <c r="B12539" t="str">
        <f>TEST_DATA!B12539</f>
        <v>Sep-2017</v>
      </c>
      <c r="C12539">
        <f>TEST_DATA!C12539</f>
        <v>43142</v>
      </c>
      <c r="D12539" t="str">
        <f>TEST_DATA!D12539</f>
        <v>NON-NIL</v>
      </c>
      <c r="E12539">
        <f>TEST_DATA!E12539</f>
        <v>1130</v>
      </c>
    </row>
    <row r="12540" spans="1:5" x14ac:dyDescent="0.55000000000000004">
      <c r="A12540" t="str">
        <f>TEST_DATA!A12540</f>
        <v>27AAAAA12540Z5</v>
      </c>
      <c r="B12540" t="str">
        <f>TEST_DATA!B12540</f>
        <v>Mar-2021</v>
      </c>
      <c r="C12540">
        <f>TEST_DATA!C12540</f>
        <v>44453</v>
      </c>
      <c r="D12540" t="str">
        <f>TEST_DATA!D12540</f>
        <v>NON-NIL</v>
      </c>
      <c r="E12540">
        <f>TEST_DATA!E12540</f>
        <v>2228</v>
      </c>
    </row>
    <row r="12541" spans="1:5" x14ac:dyDescent="0.55000000000000004">
      <c r="A12541" t="str">
        <f>TEST_DATA!A12541</f>
        <v>27AAAAA12541Z5</v>
      </c>
      <c r="B12541" t="str">
        <f>TEST_DATA!B12541</f>
        <v>Oct-2017</v>
      </c>
      <c r="C12541">
        <f>TEST_DATA!C12541</f>
        <v>43653</v>
      </c>
      <c r="D12541" t="str">
        <f>TEST_DATA!D12541</f>
        <v>NON-NIL</v>
      </c>
      <c r="E12541">
        <f>TEST_DATA!E12541</f>
        <v>1007</v>
      </c>
    </row>
    <row r="12542" spans="1:5" x14ac:dyDescent="0.55000000000000004">
      <c r="A12542" t="str">
        <f>TEST_DATA!A12542</f>
        <v>27AAAAA12542Z5</v>
      </c>
      <c r="B12542" t="str">
        <f>TEST_DATA!B12542</f>
        <v>Mar-2018</v>
      </c>
      <c r="C12542">
        <f>TEST_DATA!C12542</f>
        <v>43094</v>
      </c>
      <c r="D12542" t="str">
        <f>TEST_DATA!D12542</f>
        <v>NON-NIL</v>
      </c>
      <c r="E12542">
        <f>TEST_DATA!E12542</f>
        <v>2374</v>
      </c>
    </row>
    <row r="12543" spans="1:5" x14ac:dyDescent="0.55000000000000004">
      <c r="A12543" t="str">
        <f>TEST_DATA!A12543</f>
        <v>27AAAAA12543Z5</v>
      </c>
      <c r="B12543" t="str">
        <f>TEST_DATA!B12543</f>
        <v>Apr-2021</v>
      </c>
      <c r="C12543">
        <f>TEST_DATA!C12543</f>
        <v>43811</v>
      </c>
      <c r="D12543" t="str">
        <f>TEST_DATA!D12543</f>
        <v>NIL</v>
      </c>
      <c r="E12543">
        <f>TEST_DATA!E12543</f>
        <v>2759</v>
      </c>
    </row>
    <row r="12544" spans="1:5" x14ac:dyDescent="0.55000000000000004">
      <c r="A12544" t="str">
        <f>TEST_DATA!A12544</f>
        <v>27AAAAA12544Z5</v>
      </c>
      <c r="B12544" t="str">
        <f>TEST_DATA!B12544</f>
        <v>Jul-2018</v>
      </c>
      <c r="C12544">
        <f>TEST_DATA!C12544</f>
        <v>44503</v>
      </c>
      <c r="D12544" t="str">
        <f>TEST_DATA!D12544</f>
        <v>NON-NIL</v>
      </c>
      <c r="E12544">
        <f>TEST_DATA!E12544</f>
        <v>50</v>
      </c>
    </row>
    <row r="12545" spans="1:5" x14ac:dyDescent="0.55000000000000004">
      <c r="A12545" t="str">
        <f>TEST_DATA!A12545</f>
        <v>27AAAAA12545Z5</v>
      </c>
      <c r="B12545" t="str">
        <f>TEST_DATA!B12545</f>
        <v>Jun-2019</v>
      </c>
      <c r="C12545">
        <f>TEST_DATA!C12545</f>
        <v>45187</v>
      </c>
      <c r="D12545" t="str">
        <f>TEST_DATA!D12545</f>
        <v>NIL</v>
      </c>
      <c r="E12545">
        <f>TEST_DATA!E12545</f>
        <v>965</v>
      </c>
    </row>
    <row r="12546" spans="1:5" x14ac:dyDescent="0.55000000000000004">
      <c r="A12546" t="str">
        <f>TEST_DATA!A12546</f>
        <v>27AAAAA12546Z5</v>
      </c>
      <c r="B12546" t="str">
        <f>TEST_DATA!B12546</f>
        <v>Jul-2020</v>
      </c>
      <c r="C12546">
        <f>TEST_DATA!C12546</f>
        <v>44609</v>
      </c>
      <c r="D12546" t="str">
        <f>TEST_DATA!D12546</f>
        <v>NON-NIL</v>
      </c>
      <c r="E12546">
        <f>TEST_DATA!E12546</f>
        <v>244</v>
      </c>
    </row>
    <row r="12547" spans="1:5" x14ac:dyDescent="0.55000000000000004">
      <c r="A12547" t="str">
        <f>TEST_DATA!A12547</f>
        <v>27AAAAA12547Z5</v>
      </c>
      <c r="B12547" t="str">
        <f>TEST_DATA!B12547</f>
        <v>Apr-2018</v>
      </c>
      <c r="C12547">
        <f>TEST_DATA!C12547</f>
        <v>43730</v>
      </c>
      <c r="D12547" t="str">
        <f>TEST_DATA!D12547</f>
        <v>NIL</v>
      </c>
      <c r="E12547">
        <f>TEST_DATA!E12547</f>
        <v>578</v>
      </c>
    </row>
    <row r="12548" spans="1:5" x14ac:dyDescent="0.55000000000000004">
      <c r="A12548" t="str">
        <f>TEST_DATA!A12548</f>
        <v>27AAAAA12548Z5</v>
      </c>
      <c r="B12548" t="str">
        <f>TEST_DATA!B12548</f>
        <v>Aug-2018</v>
      </c>
      <c r="C12548">
        <f>TEST_DATA!C12548</f>
        <v>44254</v>
      </c>
      <c r="D12548" t="str">
        <f>TEST_DATA!D12548</f>
        <v>NIL</v>
      </c>
      <c r="E12548">
        <f>TEST_DATA!E12548</f>
        <v>587</v>
      </c>
    </row>
    <row r="12549" spans="1:5" x14ac:dyDescent="0.55000000000000004">
      <c r="A12549" t="str">
        <f>TEST_DATA!A12549</f>
        <v>27AAAAA12549Z5</v>
      </c>
      <c r="B12549" t="str">
        <f>TEST_DATA!B12549</f>
        <v>Apr-2018</v>
      </c>
      <c r="C12549">
        <f>TEST_DATA!C12549</f>
        <v>43929</v>
      </c>
      <c r="D12549" t="str">
        <f>TEST_DATA!D12549</f>
        <v>NIL</v>
      </c>
      <c r="E12549">
        <f>TEST_DATA!E12549</f>
        <v>592</v>
      </c>
    </row>
    <row r="12550" spans="1:5" x14ac:dyDescent="0.55000000000000004">
      <c r="A12550" t="str">
        <f>TEST_DATA!A12550</f>
        <v>27AAAAA12550Z5</v>
      </c>
      <c r="B12550" t="str">
        <f>TEST_DATA!B12550</f>
        <v>May-2018</v>
      </c>
      <c r="C12550">
        <f>TEST_DATA!C12550</f>
        <v>43131</v>
      </c>
      <c r="D12550" t="str">
        <f>TEST_DATA!D12550</f>
        <v>NIL</v>
      </c>
      <c r="E12550">
        <f>TEST_DATA!E12550</f>
        <v>1745</v>
      </c>
    </row>
    <row r="12551" spans="1:5" x14ac:dyDescent="0.55000000000000004">
      <c r="A12551" t="str">
        <f>TEST_DATA!A12551</f>
        <v>27AAAAA12551Z5</v>
      </c>
      <c r="B12551" t="str">
        <f>TEST_DATA!B12551</f>
        <v>May-2020</v>
      </c>
      <c r="C12551">
        <f>TEST_DATA!C12551</f>
        <v>44034</v>
      </c>
      <c r="D12551" t="str">
        <f>TEST_DATA!D12551</f>
        <v>NIL</v>
      </c>
      <c r="E12551">
        <f>TEST_DATA!E12551</f>
        <v>1381</v>
      </c>
    </row>
    <row r="12552" spans="1:5" x14ac:dyDescent="0.55000000000000004">
      <c r="A12552" t="str">
        <f>TEST_DATA!A12552</f>
        <v>27AAAAA12552Z5</v>
      </c>
      <c r="B12552" t="str">
        <f>TEST_DATA!B12552</f>
        <v>Aug-2017</v>
      </c>
      <c r="C12552">
        <f>TEST_DATA!C12552</f>
        <v>43768</v>
      </c>
      <c r="D12552" t="str">
        <f>TEST_DATA!D12552</f>
        <v>NIL</v>
      </c>
      <c r="E12552">
        <f>TEST_DATA!E12552</f>
        <v>266</v>
      </c>
    </row>
    <row r="12553" spans="1:5" x14ac:dyDescent="0.55000000000000004">
      <c r="A12553" t="str">
        <f>TEST_DATA!A12553</f>
        <v>27AAAAA12553Z5</v>
      </c>
      <c r="B12553" t="str">
        <f>TEST_DATA!B12553</f>
        <v>Aug-2017</v>
      </c>
      <c r="C12553">
        <f>TEST_DATA!C12553</f>
        <v>44001</v>
      </c>
      <c r="D12553" t="str">
        <f>TEST_DATA!D12553</f>
        <v>NON-NIL</v>
      </c>
      <c r="E12553">
        <f>TEST_DATA!E12553</f>
        <v>135</v>
      </c>
    </row>
    <row r="12554" spans="1:5" x14ac:dyDescent="0.55000000000000004">
      <c r="A12554" t="str">
        <f>TEST_DATA!A12554</f>
        <v>27AAAAA12554Z5</v>
      </c>
      <c r="B12554" t="str">
        <f>TEST_DATA!B12554</f>
        <v>Sep-2017</v>
      </c>
      <c r="C12554">
        <f>TEST_DATA!C12554</f>
        <v>43578</v>
      </c>
      <c r="D12554" t="str">
        <f>TEST_DATA!D12554</f>
        <v>NON-NIL</v>
      </c>
      <c r="E12554">
        <f>TEST_DATA!E12554</f>
        <v>2513</v>
      </c>
    </row>
    <row r="12555" spans="1:5" x14ac:dyDescent="0.55000000000000004">
      <c r="A12555" t="str">
        <f>TEST_DATA!A12555</f>
        <v>27AAAAA12555Z5</v>
      </c>
      <c r="B12555" t="str">
        <f>TEST_DATA!B12555</f>
        <v>Dec-2024</v>
      </c>
      <c r="C12555">
        <f>TEST_DATA!C12555</f>
        <v>45499</v>
      </c>
      <c r="D12555" t="str">
        <f>TEST_DATA!D12555</f>
        <v>NIL</v>
      </c>
      <c r="E12555">
        <f>TEST_DATA!E12555</f>
        <v>1616</v>
      </c>
    </row>
    <row r="12556" spans="1:5" x14ac:dyDescent="0.55000000000000004">
      <c r="A12556" t="str">
        <f>TEST_DATA!A12556</f>
        <v>27AAAAA12556Z5</v>
      </c>
      <c r="B12556" t="str">
        <f>TEST_DATA!B12556</f>
        <v>Nov-2017</v>
      </c>
      <c r="C12556">
        <f>TEST_DATA!C12556</f>
        <v>44369</v>
      </c>
      <c r="D12556" t="str">
        <f>TEST_DATA!D12556</f>
        <v>NIL</v>
      </c>
      <c r="E12556">
        <f>TEST_DATA!E12556</f>
        <v>152</v>
      </c>
    </row>
    <row r="12557" spans="1:5" x14ac:dyDescent="0.55000000000000004">
      <c r="A12557" t="str">
        <f>TEST_DATA!A12557</f>
        <v>27AAAAA12557Z5</v>
      </c>
      <c r="B12557" t="str">
        <f>TEST_DATA!B12557</f>
        <v>Mar-2020</v>
      </c>
      <c r="C12557">
        <f>TEST_DATA!C12557</f>
        <v>44809</v>
      </c>
      <c r="D12557" t="str">
        <f>TEST_DATA!D12557</f>
        <v>NON-NIL</v>
      </c>
      <c r="E12557">
        <f>TEST_DATA!E12557</f>
        <v>753</v>
      </c>
    </row>
    <row r="12558" spans="1:5" x14ac:dyDescent="0.55000000000000004">
      <c r="A12558" t="str">
        <f>TEST_DATA!A12558</f>
        <v>27AAAAA12558Z5</v>
      </c>
      <c r="B12558" t="str">
        <f>TEST_DATA!B12558</f>
        <v>Mar-2023</v>
      </c>
      <c r="C12558">
        <f>TEST_DATA!C12558</f>
        <v>45197</v>
      </c>
      <c r="D12558" t="str">
        <f>TEST_DATA!D12558</f>
        <v>NON-NIL</v>
      </c>
      <c r="E12558">
        <f>TEST_DATA!E12558</f>
        <v>1713</v>
      </c>
    </row>
    <row r="12559" spans="1:5" x14ac:dyDescent="0.55000000000000004">
      <c r="A12559" t="str">
        <f>TEST_DATA!A12559</f>
        <v>27AAAAA12559Z5</v>
      </c>
      <c r="B12559" t="str">
        <f>TEST_DATA!B12559</f>
        <v>Jun-2018</v>
      </c>
      <c r="C12559">
        <f>TEST_DATA!C12559</f>
        <v>43018</v>
      </c>
      <c r="D12559" t="str">
        <f>TEST_DATA!D12559</f>
        <v>NIL</v>
      </c>
      <c r="E12559">
        <f>TEST_DATA!E12559</f>
        <v>1715</v>
      </c>
    </row>
    <row r="12560" spans="1:5" x14ac:dyDescent="0.55000000000000004">
      <c r="A12560" t="str">
        <f>TEST_DATA!A12560</f>
        <v>27AAAAA12560Z5</v>
      </c>
      <c r="B12560" t="str">
        <f>TEST_DATA!B12560</f>
        <v>Dec-2019</v>
      </c>
      <c r="C12560">
        <f>TEST_DATA!C12560</f>
        <v>43846</v>
      </c>
      <c r="D12560" t="str">
        <f>TEST_DATA!D12560</f>
        <v>NON-NIL</v>
      </c>
      <c r="E12560">
        <f>TEST_DATA!E12560</f>
        <v>2282</v>
      </c>
    </row>
    <row r="12561" spans="1:5" x14ac:dyDescent="0.55000000000000004">
      <c r="A12561" t="str">
        <f>TEST_DATA!A12561</f>
        <v>27AAAAA12561Z5</v>
      </c>
      <c r="B12561" t="str">
        <f>TEST_DATA!B12561</f>
        <v>Apr-2021</v>
      </c>
      <c r="C12561">
        <f>TEST_DATA!C12561</f>
        <v>44137</v>
      </c>
      <c r="D12561" t="str">
        <f>TEST_DATA!D12561</f>
        <v>NIL</v>
      </c>
      <c r="E12561">
        <f>TEST_DATA!E12561</f>
        <v>1191</v>
      </c>
    </row>
    <row r="12562" spans="1:5" x14ac:dyDescent="0.55000000000000004">
      <c r="A12562" t="str">
        <f>TEST_DATA!A12562</f>
        <v>27AAAAA12562Z5</v>
      </c>
      <c r="B12562" t="str">
        <f>TEST_DATA!B12562</f>
        <v>Aug-2017</v>
      </c>
      <c r="C12562">
        <f>TEST_DATA!C12562</f>
        <v>43823</v>
      </c>
      <c r="D12562" t="str">
        <f>TEST_DATA!D12562</f>
        <v>NIL</v>
      </c>
      <c r="E12562">
        <f>TEST_DATA!E12562</f>
        <v>1929</v>
      </c>
    </row>
    <row r="12563" spans="1:5" x14ac:dyDescent="0.55000000000000004">
      <c r="A12563" t="str">
        <f>TEST_DATA!A12563</f>
        <v>27AAAAA12563Z5</v>
      </c>
      <c r="B12563" t="str">
        <f>TEST_DATA!B12563</f>
        <v>Jan-2018</v>
      </c>
      <c r="C12563">
        <f>TEST_DATA!C12563</f>
        <v>43027</v>
      </c>
      <c r="D12563" t="str">
        <f>TEST_DATA!D12563</f>
        <v>NON-NIL</v>
      </c>
      <c r="E12563">
        <f>TEST_DATA!E12563</f>
        <v>338</v>
      </c>
    </row>
    <row r="12564" spans="1:5" x14ac:dyDescent="0.55000000000000004">
      <c r="A12564" t="str">
        <f>TEST_DATA!A12564</f>
        <v>27AAAAA12564Z5</v>
      </c>
      <c r="B12564" t="str">
        <f>TEST_DATA!B12564</f>
        <v>Mar-2018</v>
      </c>
      <c r="C12564">
        <f>TEST_DATA!C12564</f>
        <v>44462</v>
      </c>
      <c r="D12564" t="str">
        <f>TEST_DATA!D12564</f>
        <v>NIL</v>
      </c>
      <c r="E12564">
        <f>TEST_DATA!E12564</f>
        <v>2369</v>
      </c>
    </row>
    <row r="12565" spans="1:5" x14ac:dyDescent="0.55000000000000004">
      <c r="A12565" t="str">
        <f>TEST_DATA!A12565</f>
        <v>27AAAAA12565Z5</v>
      </c>
      <c r="B12565" t="str">
        <f>TEST_DATA!B12565</f>
        <v>Jul-2017</v>
      </c>
      <c r="C12565">
        <f>TEST_DATA!C12565</f>
        <v>43316</v>
      </c>
      <c r="D12565" t="str">
        <f>TEST_DATA!D12565</f>
        <v>NIL</v>
      </c>
      <c r="E12565">
        <f>TEST_DATA!E12565</f>
        <v>2468</v>
      </c>
    </row>
    <row r="12566" spans="1:5" x14ac:dyDescent="0.55000000000000004">
      <c r="A12566" t="str">
        <f>TEST_DATA!A12566</f>
        <v>27AAAAA12566Z5</v>
      </c>
      <c r="B12566" t="str">
        <f>TEST_DATA!B12566</f>
        <v>Dec-2024</v>
      </c>
      <c r="C12566">
        <f>TEST_DATA!C12566</f>
        <v>44101</v>
      </c>
      <c r="D12566" t="str">
        <f>TEST_DATA!D12566</f>
        <v>NIL</v>
      </c>
      <c r="E12566">
        <f>TEST_DATA!E12566</f>
        <v>213</v>
      </c>
    </row>
    <row r="12567" spans="1:5" x14ac:dyDescent="0.55000000000000004">
      <c r="A12567" t="str">
        <f>TEST_DATA!A12567</f>
        <v>27AAAAA12567Z5</v>
      </c>
      <c r="B12567" t="str">
        <f>TEST_DATA!B12567</f>
        <v>May-2018</v>
      </c>
      <c r="C12567">
        <f>TEST_DATA!C12567</f>
        <v>44535</v>
      </c>
      <c r="D12567" t="str">
        <f>TEST_DATA!D12567</f>
        <v>NON-NIL</v>
      </c>
      <c r="E12567">
        <f>TEST_DATA!E12567</f>
        <v>725</v>
      </c>
    </row>
    <row r="12568" spans="1:5" x14ac:dyDescent="0.55000000000000004">
      <c r="A12568" t="str">
        <f>TEST_DATA!A12568</f>
        <v>27AAAAA12568Z5</v>
      </c>
      <c r="B12568" t="str">
        <f>TEST_DATA!B12568</f>
        <v>Jul-2018</v>
      </c>
      <c r="C12568">
        <f>TEST_DATA!C12568</f>
        <v>44547</v>
      </c>
      <c r="D12568" t="str">
        <f>TEST_DATA!D12568</f>
        <v>NIL</v>
      </c>
      <c r="E12568">
        <f>TEST_DATA!E12568</f>
        <v>1975</v>
      </c>
    </row>
    <row r="12569" spans="1:5" x14ac:dyDescent="0.55000000000000004">
      <c r="A12569" t="str">
        <f>TEST_DATA!A12569</f>
        <v>27AAAAA12569Z5</v>
      </c>
      <c r="B12569" t="str">
        <f>TEST_DATA!B12569</f>
        <v>Jul-2017</v>
      </c>
      <c r="C12569">
        <f>TEST_DATA!C12569</f>
        <v>44212</v>
      </c>
      <c r="D12569" t="str">
        <f>TEST_DATA!D12569</f>
        <v>NIL</v>
      </c>
      <c r="E12569">
        <f>TEST_DATA!E12569</f>
        <v>2670</v>
      </c>
    </row>
    <row r="12570" spans="1:5" x14ac:dyDescent="0.55000000000000004">
      <c r="A12570" t="str">
        <f>TEST_DATA!A12570</f>
        <v>27AAAAA12570Z5</v>
      </c>
      <c r="B12570" t="str">
        <f>TEST_DATA!B12570</f>
        <v>Apr-2018</v>
      </c>
      <c r="C12570">
        <f>TEST_DATA!C12570</f>
        <v>43925</v>
      </c>
      <c r="D12570" t="str">
        <f>TEST_DATA!D12570</f>
        <v>NON-NIL</v>
      </c>
      <c r="E12570">
        <f>TEST_DATA!E12570</f>
        <v>2103</v>
      </c>
    </row>
    <row r="12571" spans="1:5" x14ac:dyDescent="0.55000000000000004">
      <c r="A12571" t="str">
        <f>TEST_DATA!A12571</f>
        <v>27AAAAA12571Z5</v>
      </c>
      <c r="B12571" t="str">
        <f>TEST_DATA!B12571</f>
        <v>Dec-2022</v>
      </c>
      <c r="C12571">
        <f>TEST_DATA!C12571</f>
        <v>44802</v>
      </c>
      <c r="D12571" t="str">
        <f>TEST_DATA!D12571</f>
        <v>NON-NIL</v>
      </c>
      <c r="E12571">
        <f>TEST_DATA!E12571</f>
        <v>2554</v>
      </c>
    </row>
    <row r="12572" spans="1:5" x14ac:dyDescent="0.55000000000000004">
      <c r="A12572" t="str">
        <f>TEST_DATA!A12572</f>
        <v>27AAAAA12572Z5</v>
      </c>
      <c r="B12572" t="str">
        <f>TEST_DATA!B12572</f>
        <v>Jun-2019</v>
      </c>
      <c r="C12572">
        <f>TEST_DATA!C12572</f>
        <v>45654</v>
      </c>
      <c r="D12572" t="str">
        <f>TEST_DATA!D12572</f>
        <v>NIL</v>
      </c>
      <c r="E12572">
        <f>TEST_DATA!E12572</f>
        <v>258</v>
      </c>
    </row>
    <row r="12573" spans="1:5" x14ac:dyDescent="0.55000000000000004">
      <c r="A12573" t="str">
        <f>TEST_DATA!A12573</f>
        <v>27AAAAA12573Z5</v>
      </c>
      <c r="B12573" t="str">
        <f>TEST_DATA!B12573</f>
        <v>Feb-2018</v>
      </c>
      <c r="C12573">
        <f>TEST_DATA!C12573</f>
        <v>43261</v>
      </c>
      <c r="D12573" t="str">
        <f>TEST_DATA!D12573</f>
        <v>NON-NIL</v>
      </c>
      <c r="E12573">
        <f>TEST_DATA!E12573</f>
        <v>935</v>
      </c>
    </row>
    <row r="12574" spans="1:5" x14ac:dyDescent="0.55000000000000004">
      <c r="A12574" t="str">
        <f>TEST_DATA!A12574</f>
        <v>27AAAAA12574Z5</v>
      </c>
      <c r="B12574" t="str">
        <f>TEST_DATA!B12574</f>
        <v>Dec-2019</v>
      </c>
      <c r="C12574">
        <f>TEST_DATA!C12574</f>
        <v>43946</v>
      </c>
      <c r="D12574" t="str">
        <f>TEST_DATA!D12574</f>
        <v>NON-NIL</v>
      </c>
      <c r="E12574">
        <f>TEST_DATA!E12574</f>
        <v>713</v>
      </c>
    </row>
    <row r="12575" spans="1:5" x14ac:dyDescent="0.55000000000000004">
      <c r="A12575" t="str">
        <f>TEST_DATA!A12575</f>
        <v>27AAAAA12575Z5</v>
      </c>
      <c r="B12575" t="str">
        <f>TEST_DATA!B12575</f>
        <v>Nov-2017</v>
      </c>
      <c r="C12575">
        <f>TEST_DATA!C12575</f>
        <v>44137</v>
      </c>
      <c r="D12575" t="str">
        <f>TEST_DATA!D12575</f>
        <v>NIL</v>
      </c>
      <c r="E12575">
        <f>TEST_DATA!E12575</f>
        <v>708</v>
      </c>
    </row>
    <row r="12576" spans="1:5" x14ac:dyDescent="0.55000000000000004">
      <c r="A12576" t="str">
        <f>TEST_DATA!A12576</f>
        <v>27AAAAA12576Z5</v>
      </c>
      <c r="B12576" t="str">
        <f>TEST_DATA!B12576</f>
        <v>Nov-2017</v>
      </c>
      <c r="C12576">
        <f>TEST_DATA!C12576</f>
        <v>44094</v>
      </c>
      <c r="D12576" t="str">
        <f>TEST_DATA!D12576</f>
        <v>NON-NIL</v>
      </c>
      <c r="E12576">
        <f>TEST_DATA!E12576</f>
        <v>2746</v>
      </c>
    </row>
    <row r="12577" spans="1:5" x14ac:dyDescent="0.55000000000000004">
      <c r="A12577" t="str">
        <f>TEST_DATA!A12577</f>
        <v>27AAAAA12577Z5</v>
      </c>
      <c r="B12577" t="str">
        <f>TEST_DATA!B12577</f>
        <v>Jun-2020</v>
      </c>
      <c r="C12577">
        <f>TEST_DATA!C12577</f>
        <v>44188</v>
      </c>
      <c r="D12577" t="str">
        <f>TEST_DATA!D12577</f>
        <v>NON-NIL</v>
      </c>
      <c r="E12577">
        <f>TEST_DATA!E12577</f>
        <v>1048</v>
      </c>
    </row>
    <row r="12578" spans="1:5" x14ac:dyDescent="0.55000000000000004">
      <c r="A12578" t="str">
        <f>TEST_DATA!A12578</f>
        <v>27AAAAA12578Z5</v>
      </c>
      <c r="B12578" t="str">
        <f>TEST_DATA!B12578</f>
        <v>Aug-2017</v>
      </c>
      <c r="C12578">
        <f>TEST_DATA!C12578</f>
        <v>43146</v>
      </c>
      <c r="D12578" t="str">
        <f>TEST_DATA!D12578</f>
        <v>NON-NIL</v>
      </c>
      <c r="E12578">
        <f>TEST_DATA!E12578</f>
        <v>2427</v>
      </c>
    </row>
    <row r="12579" spans="1:5" x14ac:dyDescent="0.55000000000000004">
      <c r="A12579" t="str">
        <f>TEST_DATA!A12579</f>
        <v>27AAAAA12579Z5</v>
      </c>
      <c r="B12579" t="str">
        <f>TEST_DATA!B12579</f>
        <v>Jun-2020</v>
      </c>
      <c r="C12579">
        <f>TEST_DATA!C12579</f>
        <v>44340</v>
      </c>
      <c r="D12579" t="str">
        <f>TEST_DATA!D12579</f>
        <v>NON-NIL</v>
      </c>
      <c r="E12579">
        <f>TEST_DATA!E12579</f>
        <v>2004</v>
      </c>
    </row>
    <row r="12580" spans="1:5" x14ac:dyDescent="0.55000000000000004">
      <c r="A12580" t="str">
        <f>TEST_DATA!A12580</f>
        <v>27AAAAA12580Z5</v>
      </c>
      <c r="B12580" t="str">
        <f>TEST_DATA!B12580</f>
        <v>Mar-2021</v>
      </c>
      <c r="C12580">
        <f>TEST_DATA!C12580</f>
        <v>44972</v>
      </c>
      <c r="D12580" t="str">
        <f>TEST_DATA!D12580</f>
        <v>NON-NIL</v>
      </c>
      <c r="E12580">
        <f>TEST_DATA!E12580</f>
        <v>961</v>
      </c>
    </row>
    <row r="12581" spans="1:5" x14ac:dyDescent="0.55000000000000004">
      <c r="A12581" t="str">
        <f>TEST_DATA!A12581</f>
        <v>27AAAAA12581Z5</v>
      </c>
      <c r="B12581" t="str">
        <f>TEST_DATA!B12581</f>
        <v>May-2020</v>
      </c>
      <c r="C12581">
        <f>TEST_DATA!C12581</f>
        <v>44005</v>
      </c>
      <c r="D12581" t="str">
        <f>TEST_DATA!D12581</f>
        <v>NON-NIL</v>
      </c>
      <c r="E12581">
        <f>TEST_DATA!E12581</f>
        <v>1275</v>
      </c>
    </row>
    <row r="12582" spans="1:5" x14ac:dyDescent="0.55000000000000004">
      <c r="A12582" t="str">
        <f>TEST_DATA!A12582</f>
        <v>27AAAAA12582Z5</v>
      </c>
      <c r="B12582" t="str">
        <f>TEST_DATA!B12582</f>
        <v>Jun-2018</v>
      </c>
      <c r="C12582">
        <f>TEST_DATA!C12582</f>
        <v>44146</v>
      </c>
      <c r="D12582" t="str">
        <f>TEST_DATA!D12582</f>
        <v>NON-NIL</v>
      </c>
      <c r="E12582">
        <f>TEST_DATA!E12582</f>
        <v>1861</v>
      </c>
    </row>
    <row r="12583" spans="1:5" x14ac:dyDescent="0.55000000000000004">
      <c r="A12583" t="str">
        <f>TEST_DATA!A12583</f>
        <v>27AAAAA12583Z5</v>
      </c>
      <c r="B12583" t="str">
        <f>TEST_DATA!B12583</f>
        <v>Dec-2019</v>
      </c>
      <c r="C12583">
        <f>TEST_DATA!C12583</f>
        <v>43679</v>
      </c>
      <c r="D12583" t="str">
        <f>TEST_DATA!D12583</f>
        <v>NIL</v>
      </c>
      <c r="E12583">
        <f>TEST_DATA!E12583</f>
        <v>1947</v>
      </c>
    </row>
    <row r="12584" spans="1:5" x14ac:dyDescent="0.55000000000000004">
      <c r="A12584" t="str">
        <f>TEST_DATA!A12584</f>
        <v>27AAAAA12584Z5</v>
      </c>
      <c r="B12584" t="str">
        <f>TEST_DATA!B12584</f>
        <v>Dec-2022</v>
      </c>
      <c r="C12584">
        <f>TEST_DATA!C12584</f>
        <v>45817</v>
      </c>
      <c r="D12584" t="str">
        <f>TEST_DATA!D12584</f>
        <v>NIL</v>
      </c>
      <c r="E12584">
        <f>TEST_DATA!E12584</f>
        <v>1104</v>
      </c>
    </row>
    <row r="12585" spans="1:5" x14ac:dyDescent="0.55000000000000004">
      <c r="A12585" t="str">
        <f>TEST_DATA!A12585</f>
        <v>27AAAAA12585Z5</v>
      </c>
      <c r="B12585" t="str">
        <f>TEST_DATA!B12585</f>
        <v>Mar-2021</v>
      </c>
      <c r="C12585">
        <f>TEST_DATA!C12585</f>
        <v>45221</v>
      </c>
      <c r="D12585" t="str">
        <f>TEST_DATA!D12585</f>
        <v>NIL</v>
      </c>
      <c r="E12585">
        <f>TEST_DATA!E12585</f>
        <v>1637</v>
      </c>
    </row>
    <row r="12586" spans="1:5" x14ac:dyDescent="0.55000000000000004">
      <c r="A12586" t="str">
        <f>TEST_DATA!A12586</f>
        <v>27AAAAA12586Z5</v>
      </c>
      <c r="B12586" t="str">
        <f>TEST_DATA!B12586</f>
        <v>Aug-2018</v>
      </c>
      <c r="C12586">
        <f>TEST_DATA!C12586</f>
        <v>44143</v>
      </c>
      <c r="D12586" t="str">
        <f>TEST_DATA!D12586</f>
        <v>NIL</v>
      </c>
      <c r="E12586">
        <f>TEST_DATA!E12586</f>
        <v>1958</v>
      </c>
    </row>
    <row r="12587" spans="1:5" x14ac:dyDescent="0.55000000000000004">
      <c r="A12587" t="str">
        <f>TEST_DATA!A12587</f>
        <v>27AAAAA12587Z5</v>
      </c>
      <c r="B12587" t="str">
        <f>TEST_DATA!B12587</f>
        <v>Dec-2022</v>
      </c>
      <c r="C12587">
        <f>TEST_DATA!C12587</f>
        <v>44901</v>
      </c>
      <c r="D12587" t="str">
        <f>TEST_DATA!D12587</f>
        <v>NON-NIL</v>
      </c>
      <c r="E12587">
        <f>TEST_DATA!E12587</f>
        <v>2615</v>
      </c>
    </row>
    <row r="12588" spans="1:5" x14ac:dyDescent="0.55000000000000004">
      <c r="A12588" t="str">
        <f>TEST_DATA!A12588</f>
        <v>27AAAAA12588Z5</v>
      </c>
      <c r="B12588" t="str">
        <f>TEST_DATA!B12588</f>
        <v>May-2020</v>
      </c>
      <c r="C12588">
        <f>TEST_DATA!C12588</f>
        <v>44579</v>
      </c>
      <c r="D12588" t="str">
        <f>TEST_DATA!D12588</f>
        <v>NIL</v>
      </c>
      <c r="E12588">
        <f>TEST_DATA!E12588</f>
        <v>1147</v>
      </c>
    </row>
    <row r="12589" spans="1:5" x14ac:dyDescent="0.55000000000000004">
      <c r="A12589" t="str">
        <f>TEST_DATA!A12589</f>
        <v>27AAAAA12589Z5</v>
      </c>
      <c r="B12589" t="str">
        <f>TEST_DATA!B12589</f>
        <v>Dec-2022</v>
      </c>
      <c r="C12589">
        <f>TEST_DATA!C12589</f>
        <v>44843</v>
      </c>
      <c r="D12589" t="str">
        <f>TEST_DATA!D12589</f>
        <v>NIL</v>
      </c>
      <c r="E12589">
        <f>TEST_DATA!E12589</f>
        <v>2210</v>
      </c>
    </row>
    <row r="12590" spans="1:5" x14ac:dyDescent="0.55000000000000004">
      <c r="A12590" t="str">
        <f>TEST_DATA!A12590</f>
        <v>27AAAAA12590Z5</v>
      </c>
      <c r="B12590" t="str">
        <f>TEST_DATA!B12590</f>
        <v>Jan-2019</v>
      </c>
      <c r="C12590">
        <f>TEST_DATA!C12590</f>
        <v>44944</v>
      </c>
      <c r="D12590" t="str">
        <f>TEST_DATA!D12590</f>
        <v>NIL</v>
      </c>
      <c r="E12590">
        <f>TEST_DATA!E12590</f>
        <v>55</v>
      </c>
    </row>
    <row r="12591" spans="1:5" x14ac:dyDescent="0.55000000000000004">
      <c r="A12591" t="str">
        <f>TEST_DATA!A12591</f>
        <v>27AAAAA12591Z5</v>
      </c>
      <c r="B12591" t="str">
        <f>TEST_DATA!B12591</f>
        <v>Mar-2023</v>
      </c>
      <c r="C12591">
        <f>TEST_DATA!C12591</f>
        <v>45513</v>
      </c>
      <c r="D12591" t="str">
        <f>TEST_DATA!D12591</f>
        <v>NON-NIL</v>
      </c>
      <c r="E12591">
        <f>TEST_DATA!E12591</f>
        <v>128</v>
      </c>
    </row>
    <row r="12592" spans="1:5" x14ac:dyDescent="0.55000000000000004">
      <c r="A12592" t="str">
        <f>TEST_DATA!A12592</f>
        <v>27AAAAA12592Z5</v>
      </c>
      <c r="B12592" t="str">
        <f>TEST_DATA!B12592</f>
        <v>Apr-2020</v>
      </c>
      <c r="C12592">
        <f>TEST_DATA!C12592</f>
        <v>43942</v>
      </c>
      <c r="D12592" t="str">
        <f>TEST_DATA!D12592</f>
        <v>NIL</v>
      </c>
      <c r="E12592">
        <f>TEST_DATA!E12592</f>
        <v>473</v>
      </c>
    </row>
    <row r="12593" spans="1:5" x14ac:dyDescent="0.55000000000000004">
      <c r="A12593" t="str">
        <f>TEST_DATA!A12593</f>
        <v>27AAAAA12593Z5</v>
      </c>
      <c r="B12593" t="str">
        <f>TEST_DATA!B12593</f>
        <v>Sep-2018</v>
      </c>
      <c r="C12593">
        <f>TEST_DATA!C12593</f>
        <v>44533</v>
      </c>
      <c r="D12593" t="str">
        <f>TEST_DATA!D12593</f>
        <v>NIL</v>
      </c>
      <c r="E12593">
        <f>TEST_DATA!E12593</f>
        <v>389</v>
      </c>
    </row>
    <row r="12594" spans="1:5" x14ac:dyDescent="0.55000000000000004">
      <c r="A12594" t="str">
        <f>TEST_DATA!A12594</f>
        <v>27AAAAA12594Z5</v>
      </c>
      <c r="B12594" t="str">
        <f>TEST_DATA!B12594</f>
        <v>May-2020</v>
      </c>
      <c r="C12594">
        <f>TEST_DATA!C12594</f>
        <v>43990</v>
      </c>
      <c r="D12594" t="str">
        <f>TEST_DATA!D12594</f>
        <v>NIL</v>
      </c>
      <c r="E12594">
        <f>TEST_DATA!E12594</f>
        <v>1485</v>
      </c>
    </row>
    <row r="12595" spans="1:5" x14ac:dyDescent="0.55000000000000004">
      <c r="A12595" t="str">
        <f>TEST_DATA!A12595</f>
        <v>27AAAAA12595Z5</v>
      </c>
      <c r="B12595" t="str">
        <f>TEST_DATA!B12595</f>
        <v>Mar-2020</v>
      </c>
      <c r="C12595">
        <f>TEST_DATA!C12595</f>
        <v>44855</v>
      </c>
      <c r="D12595" t="str">
        <f>TEST_DATA!D12595</f>
        <v>NIL</v>
      </c>
      <c r="E12595">
        <f>TEST_DATA!E12595</f>
        <v>1158</v>
      </c>
    </row>
    <row r="12596" spans="1:5" x14ac:dyDescent="0.55000000000000004">
      <c r="A12596" t="str">
        <f>TEST_DATA!A12596</f>
        <v>27AAAAA12596Z5</v>
      </c>
      <c r="B12596" t="str">
        <f>TEST_DATA!B12596</f>
        <v>Jan-2018</v>
      </c>
      <c r="C12596">
        <f>TEST_DATA!C12596</f>
        <v>43346</v>
      </c>
      <c r="D12596" t="str">
        <f>TEST_DATA!D12596</f>
        <v>NIL</v>
      </c>
      <c r="E12596">
        <f>TEST_DATA!E12596</f>
        <v>450</v>
      </c>
    </row>
    <row r="12597" spans="1:5" x14ac:dyDescent="0.55000000000000004">
      <c r="A12597" t="str">
        <f>TEST_DATA!A12597</f>
        <v>27AAAAA12597Z5</v>
      </c>
      <c r="B12597" t="str">
        <f>TEST_DATA!B12597</f>
        <v>Apr-2021</v>
      </c>
      <c r="C12597">
        <f>TEST_DATA!C12597</f>
        <v>45001</v>
      </c>
      <c r="D12597" t="str">
        <f>TEST_DATA!D12597</f>
        <v>NON-NIL</v>
      </c>
      <c r="E12597">
        <f>TEST_DATA!E12597</f>
        <v>2378</v>
      </c>
    </row>
    <row r="12598" spans="1:5" x14ac:dyDescent="0.55000000000000004">
      <c r="A12598" t="str">
        <f>TEST_DATA!A12598</f>
        <v>27AAAAA12598Z5</v>
      </c>
      <c r="B12598" t="str">
        <f>TEST_DATA!B12598</f>
        <v>Aug-2018</v>
      </c>
      <c r="C12598">
        <f>TEST_DATA!C12598</f>
        <v>43458</v>
      </c>
      <c r="D12598" t="str">
        <f>TEST_DATA!D12598</f>
        <v>NIL</v>
      </c>
      <c r="E12598">
        <f>TEST_DATA!E12598</f>
        <v>473</v>
      </c>
    </row>
    <row r="12599" spans="1:5" x14ac:dyDescent="0.55000000000000004">
      <c r="A12599" t="str">
        <f>TEST_DATA!A12599</f>
        <v>27AAAAA12599Z5</v>
      </c>
      <c r="B12599" t="str">
        <f>TEST_DATA!B12599</f>
        <v>Aug-2017</v>
      </c>
      <c r="C12599">
        <f>TEST_DATA!C12599</f>
        <v>43087</v>
      </c>
      <c r="D12599" t="str">
        <f>TEST_DATA!D12599</f>
        <v>NON-NIL</v>
      </c>
      <c r="E12599">
        <f>TEST_DATA!E12599</f>
        <v>1661</v>
      </c>
    </row>
    <row r="12600" spans="1:5" x14ac:dyDescent="0.55000000000000004">
      <c r="A12600" t="str">
        <f>TEST_DATA!A12600</f>
        <v>27AAAAA12600Z5</v>
      </c>
      <c r="B12600" t="str">
        <f>TEST_DATA!B12600</f>
        <v>Jul-2017</v>
      </c>
      <c r="C12600">
        <f>TEST_DATA!C12600</f>
        <v>43102</v>
      </c>
      <c r="D12600" t="str">
        <f>TEST_DATA!D12600</f>
        <v>NIL</v>
      </c>
      <c r="E12600">
        <f>TEST_DATA!E12600</f>
        <v>855</v>
      </c>
    </row>
    <row r="12601" spans="1:5" x14ac:dyDescent="0.55000000000000004">
      <c r="A12601" t="str">
        <f>TEST_DATA!A12601</f>
        <v>27AAAAA12601Z5</v>
      </c>
      <c r="B12601" t="str">
        <f>TEST_DATA!B12601</f>
        <v>May-2018</v>
      </c>
      <c r="C12601">
        <f>TEST_DATA!C12601</f>
        <v>43297</v>
      </c>
      <c r="D12601" t="str">
        <f>TEST_DATA!D12601</f>
        <v>NIL</v>
      </c>
      <c r="E12601">
        <f>TEST_DATA!E12601</f>
        <v>1780</v>
      </c>
    </row>
    <row r="12602" spans="1:5" x14ac:dyDescent="0.55000000000000004">
      <c r="A12602" t="str">
        <f>TEST_DATA!A12602</f>
        <v>27AAAAA12602Z5</v>
      </c>
      <c r="B12602" t="str">
        <f>TEST_DATA!B12602</f>
        <v>Dec-2017</v>
      </c>
      <c r="C12602">
        <f>TEST_DATA!C12602</f>
        <v>43273</v>
      </c>
      <c r="D12602" t="str">
        <f>TEST_DATA!D12602</f>
        <v>NON-NIL</v>
      </c>
      <c r="E12602">
        <f>TEST_DATA!E12602</f>
        <v>223</v>
      </c>
    </row>
    <row r="12603" spans="1:5" x14ac:dyDescent="0.55000000000000004">
      <c r="A12603" t="str">
        <f>TEST_DATA!A12603</f>
        <v>27AAAAA12603Z5</v>
      </c>
      <c r="B12603" t="str">
        <f>TEST_DATA!B12603</f>
        <v>Jun-2020</v>
      </c>
      <c r="C12603">
        <f>TEST_DATA!C12603</f>
        <v>44255</v>
      </c>
      <c r="D12603" t="str">
        <f>TEST_DATA!D12603</f>
        <v>NIL</v>
      </c>
      <c r="E12603">
        <f>TEST_DATA!E12603</f>
        <v>1588</v>
      </c>
    </row>
    <row r="12604" spans="1:5" x14ac:dyDescent="0.55000000000000004">
      <c r="A12604" t="str">
        <f>TEST_DATA!A12604</f>
        <v>27AAAAA12604Z5</v>
      </c>
      <c r="B12604" t="str">
        <f>TEST_DATA!B12604</f>
        <v>Jan-2021</v>
      </c>
      <c r="C12604">
        <f>TEST_DATA!C12604</f>
        <v>44597</v>
      </c>
      <c r="D12604" t="str">
        <f>TEST_DATA!D12604</f>
        <v>NIL</v>
      </c>
      <c r="E12604">
        <f>TEST_DATA!E12604</f>
        <v>1582</v>
      </c>
    </row>
    <row r="12605" spans="1:5" x14ac:dyDescent="0.55000000000000004">
      <c r="A12605" t="str">
        <f>TEST_DATA!A12605</f>
        <v>27AAAAA12605Z5</v>
      </c>
      <c r="B12605" t="str">
        <f>TEST_DATA!B12605</f>
        <v>Jul-2018</v>
      </c>
      <c r="C12605">
        <f>TEST_DATA!C12605</f>
        <v>43381</v>
      </c>
      <c r="D12605" t="str">
        <f>TEST_DATA!D12605</f>
        <v>NIL</v>
      </c>
      <c r="E12605">
        <f>TEST_DATA!E12605</f>
        <v>479</v>
      </c>
    </row>
    <row r="12606" spans="1:5" x14ac:dyDescent="0.55000000000000004">
      <c r="A12606" t="str">
        <f>TEST_DATA!A12606</f>
        <v>27AAAAA12606Z5</v>
      </c>
      <c r="B12606" t="str">
        <f>TEST_DATA!B12606</f>
        <v>Jul-2018</v>
      </c>
      <c r="C12606">
        <f>TEST_DATA!C12606</f>
        <v>43110</v>
      </c>
      <c r="D12606" t="str">
        <f>TEST_DATA!D12606</f>
        <v>NON-NIL</v>
      </c>
      <c r="E12606">
        <f>TEST_DATA!E12606</f>
        <v>214</v>
      </c>
    </row>
    <row r="12607" spans="1:5" x14ac:dyDescent="0.55000000000000004">
      <c r="A12607" t="str">
        <f>TEST_DATA!A12607</f>
        <v>27AAAAA12607Z5</v>
      </c>
      <c r="B12607" t="str">
        <f>TEST_DATA!B12607</f>
        <v>Dec-2024</v>
      </c>
      <c r="C12607">
        <f>TEST_DATA!C12607</f>
        <v>45717</v>
      </c>
      <c r="D12607" t="str">
        <f>TEST_DATA!D12607</f>
        <v>NIL</v>
      </c>
      <c r="E12607">
        <f>TEST_DATA!E12607</f>
        <v>779</v>
      </c>
    </row>
    <row r="12608" spans="1:5" x14ac:dyDescent="0.55000000000000004">
      <c r="A12608" t="str">
        <f>TEST_DATA!A12608</f>
        <v>27AAAAA12608Z5</v>
      </c>
      <c r="B12608" t="str">
        <f>TEST_DATA!B12608</f>
        <v>Oct-2017</v>
      </c>
      <c r="C12608">
        <f>TEST_DATA!C12608</f>
        <v>42932</v>
      </c>
      <c r="D12608" t="str">
        <f>TEST_DATA!D12608</f>
        <v>NIL</v>
      </c>
      <c r="E12608">
        <f>TEST_DATA!E12608</f>
        <v>1947</v>
      </c>
    </row>
    <row r="12609" spans="1:5" x14ac:dyDescent="0.55000000000000004">
      <c r="A12609" t="str">
        <f>TEST_DATA!A12609</f>
        <v>27AAAAA12609Z5</v>
      </c>
      <c r="B12609" t="str">
        <f>TEST_DATA!B12609</f>
        <v>Sep-2017</v>
      </c>
      <c r="C12609">
        <f>TEST_DATA!C12609</f>
        <v>44332</v>
      </c>
      <c r="D12609" t="str">
        <f>TEST_DATA!D12609</f>
        <v>NON-NIL</v>
      </c>
      <c r="E12609">
        <f>TEST_DATA!E12609</f>
        <v>495</v>
      </c>
    </row>
    <row r="12610" spans="1:5" x14ac:dyDescent="0.55000000000000004">
      <c r="A12610" t="str">
        <f>TEST_DATA!A12610</f>
        <v>27AAAAA12610Z5</v>
      </c>
      <c r="B12610" t="str">
        <f>TEST_DATA!B12610</f>
        <v>Apr-2020</v>
      </c>
      <c r="C12610">
        <f>TEST_DATA!C12610</f>
        <v>44435</v>
      </c>
      <c r="D12610" t="str">
        <f>TEST_DATA!D12610</f>
        <v>NON-NIL</v>
      </c>
      <c r="E12610">
        <f>TEST_DATA!E12610</f>
        <v>1905</v>
      </c>
    </row>
    <row r="12611" spans="1:5" x14ac:dyDescent="0.55000000000000004">
      <c r="A12611" t="str">
        <f>TEST_DATA!A12611</f>
        <v>27AAAAA12611Z5</v>
      </c>
      <c r="B12611" t="str">
        <f>TEST_DATA!B12611</f>
        <v>Jan-2021</v>
      </c>
      <c r="C12611">
        <f>TEST_DATA!C12611</f>
        <v>44490</v>
      </c>
      <c r="D12611" t="str">
        <f>TEST_DATA!D12611</f>
        <v>NIL</v>
      </c>
      <c r="E12611">
        <f>TEST_DATA!E12611</f>
        <v>1369</v>
      </c>
    </row>
    <row r="12612" spans="1:5" x14ac:dyDescent="0.55000000000000004">
      <c r="A12612" t="str">
        <f>TEST_DATA!A12612</f>
        <v>27AAAAA12612Z5</v>
      </c>
      <c r="B12612" t="str">
        <f>TEST_DATA!B12612</f>
        <v>Mar-2021</v>
      </c>
      <c r="C12612">
        <f>TEST_DATA!C12612</f>
        <v>43917</v>
      </c>
      <c r="D12612" t="str">
        <f>TEST_DATA!D12612</f>
        <v>NON-NIL</v>
      </c>
      <c r="E12612">
        <f>TEST_DATA!E12612</f>
        <v>118</v>
      </c>
    </row>
    <row r="12613" spans="1:5" x14ac:dyDescent="0.55000000000000004">
      <c r="A12613" t="str">
        <f>TEST_DATA!A12613</f>
        <v>27AAAAA12613Z5</v>
      </c>
      <c r="B12613" t="str">
        <f>TEST_DATA!B12613</f>
        <v>Dec-2019</v>
      </c>
      <c r="C12613">
        <f>TEST_DATA!C12613</f>
        <v>43767</v>
      </c>
      <c r="D12613" t="str">
        <f>TEST_DATA!D12613</f>
        <v>NIL</v>
      </c>
      <c r="E12613">
        <f>TEST_DATA!E12613</f>
        <v>23</v>
      </c>
    </row>
    <row r="12614" spans="1:5" x14ac:dyDescent="0.55000000000000004">
      <c r="A12614" t="str">
        <f>TEST_DATA!A12614</f>
        <v>27AAAAA12614Z5</v>
      </c>
      <c r="B12614" t="str">
        <f>TEST_DATA!B12614</f>
        <v>Dec-2022</v>
      </c>
      <c r="C12614">
        <f>TEST_DATA!C12614</f>
        <v>44828</v>
      </c>
      <c r="D12614" t="str">
        <f>TEST_DATA!D12614</f>
        <v>NON-NIL</v>
      </c>
      <c r="E12614">
        <f>TEST_DATA!E12614</f>
        <v>1806</v>
      </c>
    </row>
    <row r="12615" spans="1:5" x14ac:dyDescent="0.55000000000000004">
      <c r="A12615" t="str">
        <f>TEST_DATA!A12615</f>
        <v>27AAAAA12615Z5</v>
      </c>
      <c r="B12615" t="str">
        <f>TEST_DATA!B12615</f>
        <v>Apr-2021</v>
      </c>
      <c r="C12615">
        <f>TEST_DATA!C12615</f>
        <v>44419</v>
      </c>
      <c r="D12615" t="str">
        <f>TEST_DATA!D12615</f>
        <v>NON-NIL</v>
      </c>
      <c r="E12615">
        <f>TEST_DATA!E12615</f>
        <v>644</v>
      </c>
    </row>
    <row r="12616" spans="1:5" x14ac:dyDescent="0.55000000000000004">
      <c r="A12616" t="str">
        <f>TEST_DATA!A12616</f>
        <v>27AAAAA12616Z5</v>
      </c>
      <c r="B12616" t="str">
        <f>TEST_DATA!B12616</f>
        <v>Apr-2021</v>
      </c>
      <c r="C12616">
        <f>TEST_DATA!C12616</f>
        <v>45174</v>
      </c>
      <c r="D12616" t="str">
        <f>TEST_DATA!D12616</f>
        <v>NIL</v>
      </c>
      <c r="E12616">
        <f>TEST_DATA!E12616</f>
        <v>1494</v>
      </c>
    </row>
    <row r="12617" spans="1:5" x14ac:dyDescent="0.55000000000000004">
      <c r="A12617" t="str">
        <f>TEST_DATA!A12617</f>
        <v>27AAAAA12617Z5</v>
      </c>
      <c r="B12617" t="str">
        <f>TEST_DATA!B12617</f>
        <v>Apr-2020</v>
      </c>
      <c r="C12617">
        <f>TEST_DATA!C12617</f>
        <v>44586</v>
      </c>
      <c r="D12617" t="str">
        <f>TEST_DATA!D12617</f>
        <v>NIL</v>
      </c>
      <c r="E12617">
        <f>TEST_DATA!E12617</f>
        <v>1932</v>
      </c>
    </row>
    <row r="12618" spans="1:5" x14ac:dyDescent="0.55000000000000004">
      <c r="A12618" t="str">
        <f>TEST_DATA!A12618</f>
        <v>27AAAAA12618Z5</v>
      </c>
      <c r="B12618" t="str">
        <f>TEST_DATA!B12618</f>
        <v>Apr-2021</v>
      </c>
      <c r="C12618">
        <f>TEST_DATA!C12618</f>
        <v>45236</v>
      </c>
      <c r="D12618" t="str">
        <f>TEST_DATA!D12618</f>
        <v>NIL</v>
      </c>
      <c r="E12618">
        <f>TEST_DATA!E12618</f>
        <v>1480</v>
      </c>
    </row>
    <row r="12619" spans="1:5" x14ac:dyDescent="0.55000000000000004">
      <c r="A12619" t="str">
        <f>TEST_DATA!A12619</f>
        <v>27AAAAA12619Z5</v>
      </c>
      <c r="B12619" t="str">
        <f>TEST_DATA!B12619</f>
        <v>Dec-2017</v>
      </c>
      <c r="C12619">
        <f>TEST_DATA!C12619</f>
        <v>43457</v>
      </c>
      <c r="D12619" t="str">
        <f>TEST_DATA!D12619</f>
        <v>NIL</v>
      </c>
      <c r="E12619">
        <f>TEST_DATA!E12619</f>
        <v>982</v>
      </c>
    </row>
    <row r="12620" spans="1:5" x14ac:dyDescent="0.55000000000000004">
      <c r="A12620" t="str">
        <f>TEST_DATA!A12620</f>
        <v>27AAAAA12620Z5</v>
      </c>
      <c r="B12620" t="str">
        <f>TEST_DATA!B12620</f>
        <v>May-2020</v>
      </c>
      <c r="C12620">
        <f>TEST_DATA!C12620</f>
        <v>43888</v>
      </c>
      <c r="D12620" t="str">
        <f>TEST_DATA!D12620</f>
        <v>NIL</v>
      </c>
      <c r="E12620">
        <f>TEST_DATA!E12620</f>
        <v>2885</v>
      </c>
    </row>
    <row r="12621" spans="1:5" x14ac:dyDescent="0.55000000000000004">
      <c r="A12621" t="str">
        <f>TEST_DATA!A12621</f>
        <v>27AAAAA12621Z5</v>
      </c>
      <c r="B12621" t="str">
        <f>TEST_DATA!B12621</f>
        <v>Dec-2017</v>
      </c>
      <c r="C12621">
        <f>TEST_DATA!C12621</f>
        <v>43996</v>
      </c>
      <c r="D12621" t="str">
        <f>TEST_DATA!D12621</f>
        <v>NON-NIL</v>
      </c>
      <c r="E12621">
        <f>TEST_DATA!E12621</f>
        <v>1961</v>
      </c>
    </row>
    <row r="12622" spans="1:5" x14ac:dyDescent="0.55000000000000004">
      <c r="A12622" t="str">
        <f>TEST_DATA!A12622</f>
        <v>27AAAAA12622Z5</v>
      </c>
      <c r="B12622" t="str">
        <f>TEST_DATA!B12622</f>
        <v>Oct-2017</v>
      </c>
      <c r="C12622">
        <f>TEST_DATA!C12622</f>
        <v>43028</v>
      </c>
      <c r="D12622" t="str">
        <f>TEST_DATA!D12622</f>
        <v>NON-NIL</v>
      </c>
      <c r="E12622">
        <f>TEST_DATA!E12622</f>
        <v>1696</v>
      </c>
    </row>
    <row r="12623" spans="1:5" x14ac:dyDescent="0.55000000000000004">
      <c r="A12623" t="str">
        <f>TEST_DATA!A12623</f>
        <v>27AAAAA12623Z5</v>
      </c>
      <c r="B12623" t="str">
        <f>TEST_DATA!B12623</f>
        <v>May-2018</v>
      </c>
      <c r="C12623">
        <f>TEST_DATA!C12623</f>
        <v>44437</v>
      </c>
      <c r="D12623" t="str">
        <f>TEST_DATA!D12623</f>
        <v>NON-NIL</v>
      </c>
      <c r="E12623">
        <f>TEST_DATA!E12623</f>
        <v>88</v>
      </c>
    </row>
    <row r="12624" spans="1:5" x14ac:dyDescent="0.55000000000000004">
      <c r="A12624" t="str">
        <f>TEST_DATA!A12624</f>
        <v>27AAAAA12624Z5</v>
      </c>
      <c r="B12624" t="str">
        <f>TEST_DATA!B12624</f>
        <v>Dec-2017</v>
      </c>
      <c r="C12624">
        <f>TEST_DATA!C12624</f>
        <v>43520</v>
      </c>
      <c r="D12624" t="str">
        <f>TEST_DATA!D12624</f>
        <v>NIL</v>
      </c>
      <c r="E12624">
        <f>TEST_DATA!E12624</f>
        <v>791</v>
      </c>
    </row>
    <row r="12625" spans="1:5" x14ac:dyDescent="0.55000000000000004">
      <c r="A12625" t="str">
        <f>TEST_DATA!A12625</f>
        <v>27AAAAA12625Z5</v>
      </c>
      <c r="B12625" t="str">
        <f>TEST_DATA!B12625</f>
        <v>Jun-2018</v>
      </c>
      <c r="C12625">
        <f>TEST_DATA!C12625</f>
        <v>43829</v>
      </c>
      <c r="D12625" t="str">
        <f>TEST_DATA!D12625</f>
        <v>NON-NIL</v>
      </c>
      <c r="E12625">
        <f>TEST_DATA!E12625</f>
        <v>1817</v>
      </c>
    </row>
    <row r="12626" spans="1:5" x14ac:dyDescent="0.55000000000000004">
      <c r="A12626" t="str">
        <f>TEST_DATA!A12626</f>
        <v>27AAAAA12626Z5</v>
      </c>
      <c r="B12626" t="str">
        <f>TEST_DATA!B12626</f>
        <v>Apr-2018</v>
      </c>
      <c r="C12626">
        <f>TEST_DATA!C12626</f>
        <v>43083</v>
      </c>
      <c r="D12626" t="str">
        <f>TEST_DATA!D12626</f>
        <v>NON-NIL</v>
      </c>
      <c r="E12626">
        <f>TEST_DATA!E12626</f>
        <v>2375</v>
      </c>
    </row>
    <row r="12627" spans="1:5" x14ac:dyDescent="0.55000000000000004">
      <c r="A12627" t="str">
        <f>TEST_DATA!A12627</f>
        <v>27AAAAA12627Z5</v>
      </c>
      <c r="B12627" t="str">
        <f>TEST_DATA!B12627</f>
        <v>Aug-2017</v>
      </c>
      <c r="C12627">
        <f>TEST_DATA!C12627</f>
        <v>43669</v>
      </c>
      <c r="D12627" t="str">
        <f>TEST_DATA!D12627</f>
        <v>NON-NIL</v>
      </c>
      <c r="E12627">
        <f>TEST_DATA!E12627</f>
        <v>350</v>
      </c>
    </row>
    <row r="12628" spans="1:5" x14ac:dyDescent="0.55000000000000004">
      <c r="A12628" t="str">
        <f>TEST_DATA!A12628</f>
        <v>27AAAAA12628Z5</v>
      </c>
      <c r="B12628" t="str">
        <f>TEST_DATA!B12628</f>
        <v>Jan-2019</v>
      </c>
      <c r="C12628">
        <f>TEST_DATA!C12628</f>
        <v>44846</v>
      </c>
      <c r="D12628" t="str">
        <f>TEST_DATA!D12628</f>
        <v>NIL</v>
      </c>
      <c r="E12628">
        <f>TEST_DATA!E12628</f>
        <v>619</v>
      </c>
    </row>
    <row r="12629" spans="1:5" x14ac:dyDescent="0.55000000000000004">
      <c r="A12629" t="str">
        <f>TEST_DATA!A12629</f>
        <v>27AAAAA12629Z5</v>
      </c>
      <c r="B12629" t="str">
        <f>TEST_DATA!B12629</f>
        <v>Nov-2017</v>
      </c>
      <c r="C12629">
        <f>TEST_DATA!C12629</f>
        <v>44377</v>
      </c>
      <c r="D12629" t="str">
        <f>TEST_DATA!D12629</f>
        <v>NON-NIL</v>
      </c>
      <c r="E12629">
        <f>TEST_DATA!E12629</f>
        <v>2794</v>
      </c>
    </row>
    <row r="12630" spans="1:5" x14ac:dyDescent="0.55000000000000004">
      <c r="A12630" t="str">
        <f>TEST_DATA!A12630</f>
        <v>27AAAAA12630Z5</v>
      </c>
      <c r="B12630" t="str">
        <f>TEST_DATA!B12630</f>
        <v>Apr-2020</v>
      </c>
      <c r="C12630">
        <f>TEST_DATA!C12630</f>
        <v>44841</v>
      </c>
      <c r="D12630" t="str">
        <f>TEST_DATA!D12630</f>
        <v>NON-NIL</v>
      </c>
      <c r="E12630">
        <f>TEST_DATA!E12630</f>
        <v>668</v>
      </c>
    </row>
    <row r="12631" spans="1:5" x14ac:dyDescent="0.55000000000000004">
      <c r="A12631" t="str">
        <f>TEST_DATA!A12631</f>
        <v>27AAAAA12631Z5</v>
      </c>
      <c r="B12631" t="str">
        <f>TEST_DATA!B12631</f>
        <v>Jul-2018</v>
      </c>
      <c r="C12631">
        <f>TEST_DATA!C12631</f>
        <v>43166</v>
      </c>
      <c r="D12631" t="str">
        <f>TEST_DATA!D12631</f>
        <v>NON-NIL</v>
      </c>
      <c r="E12631">
        <f>TEST_DATA!E12631</f>
        <v>2158</v>
      </c>
    </row>
    <row r="12632" spans="1:5" x14ac:dyDescent="0.55000000000000004">
      <c r="A12632" t="str">
        <f>TEST_DATA!A12632</f>
        <v>27AAAAA12632Z5</v>
      </c>
      <c r="B12632" t="str">
        <f>TEST_DATA!B12632</f>
        <v>Sep-2018</v>
      </c>
      <c r="C12632">
        <f>TEST_DATA!C12632</f>
        <v>43987</v>
      </c>
      <c r="D12632" t="str">
        <f>TEST_DATA!D12632</f>
        <v>NIL</v>
      </c>
      <c r="E12632">
        <f>TEST_DATA!E12632</f>
        <v>1642</v>
      </c>
    </row>
    <row r="12633" spans="1:5" x14ac:dyDescent="0.55000000000000004">
      <c r="A12633" t="str">
        <f>TEST_DATA!A12633</f>
        <v>27AAAAA12633Z5</v>
      </c>
      <c r="B12633" t="str">
        <f>TEST_DATA!B12633</f>
        <v>Dec-2022</v>
      </c>
      <c r="C12633">
        <f>TEST_DATA!C12633</f>
        <v>45734</v>
      </c>
      <c r="D12633" t="str">
        <f>TEST_DATA!D12633</f>
        <v>NIL</v>
      </c>
      <c r="E12633">
        <f>TEST_DATA!E12633</f>
        <v>404</v>
      </c>
    </row>
    <row r="12634" spans="1:5" x14ac:dyDescent="0.55000000000000004">
      <c r="A12634" t="str">
        <f>TEST_DATA!A12634</f>
        <v>27AAAAA12634Z5</v>
      </c>
      <c r="B12634" t="str">
        <f>TEST_DATA!B12634</f>
        <v>Jan-2019</v>
      </c>
      <c r="C12634">
        <f>TEST_DATA!C12634</f>
        <v>43899</v>
      </c>
      <c r="D12634" t="str">
        <f>TEST_DATA!D12634</f>
        <v>NON-NIL</v>
      </c>
      <c r="E12634">
        <f>TEST_DATA!E12634</f>
        <v>464</v>
      </c>
    </row>
    <row r="12635" spans="1:5" x14ac:dyDescent="0.55000000000000004">
      <c r="A12635" t="str">
        <f>TEST_DATA!A12635</f>
        <v>27AAAAA12635Z5</v>
      </c>
      <c r="B12635" t="str">
        <f>TEST_DATA!B12635</f>
        <v>Sep-2017</v>
      </c>
      <c r="C12635">
        <f>TEST_DATA!C12635</f>
        <v>43053</v>
      </c>
      <c r="D12635" t="str">
        <f>TEST_DATA!D12635</f>
        <v>NON-NIL</v>
      </c>
      <c r="E12635">
        <f>TEST_DATA!E12635</f>
        <v>665</v>
      </c>
    </row>
    <row r="12636" spans="1:5" x14ac:dyDescent="0.55000000000000004">
      <c r="A12636" t="str">
        <f>TEST_DATA!A12636</f>
        <v>27AAAAA12636Z5</v>
      </c>
      <c r="B12636" t="str">
        <f>TEST_DATA!B12636</f>
        <v>Jan-2021</v>
      </c>
      <c r="C12636">
        <f>TEST_DATA!C12636</f>
        <v>44543</v>
      </c>
      <c r="D12636" t="str">
        <f>TEST_DATA!D12636</f>
        <v>NIL</v>
      </c>
      <c r="E12636">
        <f>TEST_DATA!E12636</f>
        <v>643</v>
      </c>
    </row>
    <row r="12637" spans="1:5" x14ac:dyDescent="0.55000000000000004">
      <c r="A12637" t="str">
        <f>TEST_DATA!A12637</f>
        <v>27AAAAA12637Z5</v>
      </c>
      <c r="B12637" t="str">
        <f>TEST_DATA!B12637</f>
        <v>Apr-2018</v>
      </c>
      <c r="C12637">
        <f>TEST_DATA!C12637</f>
        <v>44354</v>
      </c>
      <c r="D12637" t="str">
        <f>TEST_DATA!D12637</f>
        <v>NON-NIL</v>
      </c>
      <c r="E12637">
        <f>TEST_DATA!E12637</f>
        <v>1492</v>
      </c>
    </row>
    <row r="12638" spans="1:5" x14ac:dyDescent="0.55000000000000004">
      <c r="A12638" t="str">
        <f>TEST_DATA!A12638</f>
        <v>27AAAAA12638Z5</v>
      </c>
      <c r="B12638" t="str">
        <f>TEST_DATA!B12638</f>
        <v>Dec-2024</v>
      </c>
      <c r="C12638">
        <f>TEST_DATA!C12638</f>
        <v>44716</v>
      </c>
      <c r="D12638" t="str">
        <f>TEST_DATA!D12638</f>
        <v>NON-NIL</v>
      </c>
      <c r="E12638">
        <f>TEST_DATA!E12638</f>
        <v>1800</v>
      </c>
    </row>
    <row r="12639" spans="1:5" x14ac:dyDescent="0.55000000000000004">
      <c r="A12639" t="str">
        <f>TEST_DATA!A12639</f>
        <v>27AAAAA12639Z5</v>
      </c>
      <c r="B12639" t="str">
        <f>TEST_DATA!B12639</f>
        <v>Jan-2018</v>
      </c>
      <c r="C12639">
        <f>TEST_DATA!C12639</f>
        <v>43069</v>
      </c>
      <c r="D12639" t="str">
        <f>TEST_DATA!D12639</f>
        <v>NIL</v>
      </c>
      <c r="E12639">
        <f>TEST_DATA!E12639</f>
        <v>1817</v>
      </c>
    </row>
    <row r="12640" spans="1:5" x14ac:dyDescent="0.55000000000000004">
      <c r="A12640" t="str">
        <f>TEST_DATA!A12640</f>
        <v>27AAAAA12640Z5</v>
      </c>
      <c r="B12640" t="str">
        <f>TEST_DATA!B12640</f>
        <v>Sep-2017</v>
      </c>
      <c r="C12640">
        <f>TEST_DATA!C12640</f>
        <v>44434</v>
      </c>
      <c r="D12640" t="str">
        <f>TEST_DATA!D12640</f>
        <v>NON-NIL</v>
      </c>
      <c r="E12640">
        <f>TEST_DATA!E12640</f>
        <v>2924</v>
      </c>
    </row>
    <row r="12641" spans="1:5" x14ac:dyDescent="0.55000000000000004">
      <c r="A12641" t="str">
        <f>TEST_DATA!A12641</f>
        <v>27AAAAA12641Z5</v>
      </c>
      <c r="B12641" t="str">
        <f>TEST_DATA!B12641</f>
        <v>Mar-2018</v>
      </c>
      <c r="C12641">
        <f>TEST_DATA!C12641</f>
        <v>43106</v>
      </c>
      <c r="D12641" t="str">
        <f>TEST_DATA!D12641</f>
        <v>NIL</v>
      </c>
      <c r="E12641">
        <f>TEST_DATA!E12641</f>
        <v>2795</v>
      </c>
    </row>
    <row r="12642" spans="1:5" x14ac:dyDescent="0.55000000000000004">
      <c r="A12642" t="str">
        <f>TEST_DATA!A12642</f>
        <v>27AAAAA12642Z5</v>
      </c>
      <c r="B12642" t="str">
        <f>TEST_DATA!B12642</f>
        <v>Aug-2018</v>
      </c>
      <c r="C12642">
        <f>TEST_DATA!C12642</f>
        <v>43740</v>
      </c>
      <c r="D12642" t="str">
        <f>TEST_DATA!D12642</f>
        <v>NON-NIL</v>
      </c>
      <c r="E12642">
        <f>TEST_DATA!E12642</f>
        <v>1270</v>
      </c>
    </row>
    <row r="12643" spans="1:5" x14ac:dyDescent="0.55000000000000004">
      <c r="A12643" t="str">
        <f>TEST_DATA!A12643</f>
        <v>27AAAAA12643Z5</v>
      </c>
      <c r="B12643" t="str">
        <f>TEST_DATA!B12643</f>
        <v>Dec-2024</v>
      </c>
      <c r="C12643">
        <f>TEST_DATA!C12643</f>
        <v>44766</v>
      </c>
      <c r="D12643" t="str">
        <f>TEST_DATA!D12643</f>
        <v>NIL</v>
      </c>
      <c r="E12643">
        <f>TEST_DATA!E12643</f>
        <v>2223</v>
      </c>
    </row>
    <row r="12644" spans="1:5" x14ac:dyDescent="0.55000000000000004">
      <c r="A12644" t="str">
        <f>TEST_DATA!A12644</f>
        <v>27AAAAA12644Z5</v>
      </c>
      <c r="B12644" t="str">
        <f>TEST_DATA!B12644</f>
        <v>Jun-2018</v>
      </c>
      <c r="C12644">
        <f>TEST_DATA!C12644</f>
        <v>43891</v>
      </c>
      <c r="D12644" t="str">
        <f>TEST_DATA!D12644</f>
        <v>NIL</v>
      </c>
      <c r="E12644">
        <f>TEST_DATA!E12644</f>
        <v>786</v>
      </c>
    </row>
    <row r="12645" spans="1:5" x14ac:dyDescent="0.55000000000000004">
      <c r="A12645" t="str">
        <f>TEST_DATA!A12645</f>
        <v>27AAAAA12645Z5</v>
      </c>
      <c r="B12645" t="str">
        <f>TEST_DATA!B12645</f>
        <v>Mar-2018</v>
      </c>
      <c r="C12645">
        <f>TEST_DATA!C12645</f>
        <v>42932</v>
      </c>
      <c r="D12645" t="str">
        <f>TEST_DATA!D12645</f>
        <v>NIL</v>
      </c>
      <c r="E12645">
        <f>TEST_DATA!E12645</f>
        <v>2660</v>
      </c>
    </row>
    <row r="12646" spans="1:5" x14ac:dyDescent="0.55000000000000004">
      <c r="A12646" t="str">
        <f>TEST_DATA!A12646</f>
        <v>27AAAAA12646Z5</v>
      </c>
      <c r="B12646" t="str">
        <f>TEST_DATA!B12646</f>
        <v>Apr-2021</v>
      </c>
      <c r="C12646">
        <f>TEST_DATA!C12646</f>
        <v>43837</v>
      </c>
      <c r="D12646" t="str">
        <f>TEST_DATA!D12646</f>
        <v>NON-NIL</v>
      </c>
      <c r="E12646">
        <f>TEST_DATA!E12646</f>
        <v>1651</v>
      </c>
    </row>
    <row r="12647" spans="1:5" x14ac:dyDescent="0.55000000000000004">
      <c r="A12647" t="str">
        <f>TEST_DATA!A12647</f>
        <v>27AAAAA12647Z5</v>
      </c>
      <c r="B12647" t="str">
        <f>TEST_DATA!B12647</f>
        <v>Dec-2024</v>
      </c>
      <c r="C12647">
        <f>TEST_DATA!C12647</f>
        <v>43831</v>
      </c>
      <c r="D12647" t="str">
        <f>TEST_DATA!D12647</f>
        <v>NON-NIL</v>
      </c>
      <c r="E12647">
        <f>TEST_DATA!E12647</f>
        <v>118</v>
      </c>
    </row>
    <row r="12648" spans="1:5" x14ac:dyDescent="0.55000000000000004">
      <c r="A12648" t="str">
        <f>TEST_DATA!A12648</f>
        <v>27AAAAA12648Z5</v>
      </c>
      <c r="B12648" t="str">
        <f>TEST_DATA!B12648</f>
        <v>Jul-2018</v>
      </c>
      <c r="C12648">
        <f>TEST_DATA!C12648</f>
        <v>43130</v>
      </c>
      <c r="D12648" t="str">
        <f>TEST_DATA!D12648</f>
        <v>NIL</v>
      </c>
      <c r="E12648">
        <f>TEST_DATA!E12648</f>
        <v>2663</v>
      </c>
    </row>
    <row r="12649" spans="1:5" x14ac:dyDescent="0.55000000000000004">
      <c r="A12649" t="str">
        <f>TEST_DATA!A12649</f>
        <v>27AAAAA12649Z5</v>
      </c>
      <c r="B12649" t="str">
        <f>TEST_DATA!B12649</f>
        <v>Dec-2024</v>
      </c>
      <c r="C12649">
        <f>TEST_DATA!C12649</f>
        <v>43616</v>
      </c>
      <c r="D12649" t="str">
        <f>TEST_DATA!D12649</f>
        <v>NIL</v>
      </c>
      <c r="E12649">
        <f>TEST_DATA!E12649</f>
        <v>424</v>
      </c>
    </row>
    <row r="12650" spans="1:5" x14ac:dyDescent="0.55000000000000004">
      <c r="A12650" t="str">
        <f>TEST_DATA!A12650</f>
        <v>27AAAAA12650Z5</v>
      </c>
      <c r="B12650" t="str">
        <f>TEST_DATA!B12650</f>
        <v>Jun-2020</v>
      </c>
      <c r="C12650">
        <f>TEST_DATA!C12650</f>
        <v>44088</v>
      </c>
      <c r="D12650" t="str">
        <f>TEST_DATA!D12650</f>
        <v>NON-NIL</v>
      </c>
      <c r="E12650">
        <f>TEST_DATA!E12650</f>
        <v>873</v>
      </c>
    </row>
    <row r="12651" spans="1:5" x14ac:dyDescent="0.55000000000000004">
      <c r="A12651" t="str">
        <f>TEST_DATA!A12651</f>
        <v>27AAAAA12651Z5</v>
      </c>
      <c r="B12651" t="str">
        <f>TEST_DATA!B12651</f>
        <v>Dec-2019</v>
      </c>
      <c r="C12651">
        <f>TEST_DATA!C12651</f>
        <v>44373</v>
      </c>
      <c r="D12651" t="str">
        <f>TEST_DATA!D12651</f>
        <v>NIL</v>
      </c>
      <c r="E12651">
        <f>TEST_DATA!E12651</f>
        <v>2722</v>
      </c>
    </row>
    <row r="12652" spans="1:5" x14ac:dyDescent="0.55000000000000004">
      <c r="A12652" t="str">
        <f>TEST_DATA!A12652</f>
        <v>27AAAAA12652Z5</v>
      </c>
      <c r="B12652" t="str">
        <f>TEST_DATA!B12652</f>
        <v>Jun-2019</v>
      </c>
      <c r="C12652">
        <f>TEST_DATA!C12652</f>
        <v>43825</v>
      </c>
      <c r="D12652" t="str">
        <f>TEST_DATA!D12652</f>
        <v>NON-NIL</v>
      </c>
      <c r="E12652">
        <f>TEST_DATA!E12652</f>
        <v>664</v>
      </c>
    </row>
    <row r="12653" spans="1:5" x14ac:dyDescent="0.55000000000000004">
      <c r="A12653" t="str">
        <f>TEST_DATA!A12653</f>
        <v>27AAAAA12653Z5</v>
      </c>
      <c r="B12653" t="str">
        <f>TEST_DATA!B12653</f>
        <v>Jul-2017</v>
      </c>
      <c r="C12653">
        <f>TEST_DATA!C12653</f>
        <v>43417</v>
      </c>
      <c r="D12653" t="str">
        <f>TEST_DATA!D12653</f>
        <v>NON-NIL</v>
      </c>
      <c r="E12653">
        <f>TEST_DATA!E12653</f>
        <v>1925</v>
      </c>
    </row>
    <row r="12654" spans="1:5" x14ac:dyDescent="0.55000000000000004">
      <c r="A12654" t="str">
        <f>TEST_DATA!A12654</f>
        <v>27AAAAA12654Z5</v>
      </c>
      <c r="B12654" t="str">
        <f>TEST_DATA!B12654</f>
        <v>Mar-2020</v>
      </c>
      <c r="C12654">
        <f>TEST_DATA!C12654</f>
        <v>44610</v>
      </c>
      <c r="D12654" t="str">
        <f>TEST_DATA!D12654</f>
        <v>NON-NIL</v>
      </c>
      <c r="E12654">
        <f>TEST_DATA!E12654</f>
        <v>1728</v>
      </c>
    </row>
    <row r="12655" spans="1:5" x14ac:dyDescent="0.55000000000000004">
      <c r="A12655" t="str">
        <f>TEST_DATA!A12655</f>
        <v>27AAAAA12655Z5</v>
      </c>
      <c r="B12655" t="str">
        <f>TEST_DATA!B12655</f>
        <v>Mar-2018</v>
      </c>
      <c r="C12655">
        <f>TEST_DATA!C12655</f>
        <v>42942</v>
      </c>
      <c r="D12655" t="str">
        <f>TEST_DATA!D12655</f>
        <v>NIL</v>
      </c>
      <c r="E12655">
        <f>TEST_DATA!E12655</f>
        <v>260</v>
      </c>
    </row>
    <row r="12656" spans="1:5" x14ac:dyDescent="0.55000000000000004">
      <c r="A12656" t="str">
        <f>TEST_DATA!A12656</f>
        <v>27AAAAA12656Z5</v>
      </c>
      <c r="B12656" t="str">
        <f>TEST_DATA!B12656</f>
        <v>Mar-2020</v>
      </c>
      <c r="C12656">
        <f>TEST_DATA!C12656</f>
        <v>43961</v>
      </c>
      <c r="D12656" t="str">
        <f>TEST_DATA!D12656</f>
        <v>NON-NIL</v>
      </c>
      <c r="E12656">
        <f>TEST_DATA!E12656</f>
        <v>1190</v>
      </c>
    </row>
    <row r="12657" spans="1:5" x14ac:dyDescent="0.55000000000000004">
      <c r="A12657" t="str">
        <f>TEST_DATA!A12657</f>
        <v>27AAAAA12657Z5</v>
      </c>
      <c r="B12657" t="str">
        <f>TEST_DATA!B12657</f>
        <v>Mar-2023</v>
      </c>
      <c r="C12657">
        <f>TEST_DATA!C12657</f>
        <v>43997</v>
      </c>
      <c r="D12657" t="str">
        <f>TEST_DATA!D12657</f>
        <v>NON-NIL</v>
      </c>
      <c r="E12657">
        <f>TEST_DATA!E12657</f>
        <v>2960</v>
      </c>
    </row>
    <row r="12658" spans="1:5" x14ac:dyDescent="0.55000000000000004">
      <c r="A12658" t="str">
        <f>TEST_DATA!A12658</f>
        <v>27AAAAA12658Z5</v>
      </c>
      <c r="B12658" t="str">
        <f>TEST_DATA!B12658</f>
        <v>Aug-2017</v>
      </c>
      <c r="C12658">
        <f>TEST_DATA!C12658</f>
        <v>44370</v>
      </c>
      <c r="D12658" t="str">
        <f>TEST_DATA!D12658</f>
        <v>NON-NIL</v>
      </c>
      <c r="E12658">
        <f>TEST_DATA!E12658</f>
        <v>2264</v>
      </c>
    </row>
    <row r="12659" spans="1:5" x14ac:dyDescent="0.55000000000000004">
      <c r="A12659" t="str">
        <f>TEST_DATA!A12659</f>
        <v>27AAAAA12659Z5</v>
      </c>
      <c r="B12659" t="str">
        <f>TEST_DATA!B12659</f>
        <v>Dec-2022</v>
      </c>
      <c r="C12659">
        <f>TEST_DATA!C12659</f>
        <v>44074</v>
      </c>
      <c r="D12659" t="str">
        <f>TEST_DATA!D12659</f>
        <v>NON-NIL</v>
      </c>
      <c r="E12659">
        <f>TEST_DATA!E12659</f>
        <v>307</v>
      </c>
    </row>
    <row r="12660" spans="1:5" x14ac:dyDescent="0.55000000000000004">
      <c r="A12660" t="str">
        <f>TEST_DATA!A12660</f>
        <v>27AAAAA12660Z5</v>
      </c>
      <c r="B12660" t="str">
        <f>TEST_DATA!B12660</f>
        <v>Oct-2017</v>
      </c>
      <c r="C12660">
        <f>TEST_DATA!C12660</f>
        <v>43779</v>
      </c>
      <c r="D12660" t="str">
        <f>TEST_DATA!D12660</f>
        <v>NON-NIL</v>
      </c>
      <c r="E12660">
        <f>TEST_DATA!E12660</f>
        <v>842</v>
      </c>
    </row>
    <row r="12661" spans="1:5" x14ac:dyDescent="0.55000000000000004">
      <c r="A12661" t="str">
        <f>TEST_DATA!A12661</f>
        <v>27AAAAA12661Z5</v>
      </c>
      <c r="B12661" t="str">
        <f>TEST_DATA!B12661</f>
        <v>Mar-2018</v>
      </c>
      <c r="C12661">
        <f>TEST_DATA!C12661</f>
        <v>44478</v>
      </c>
      <c r="D12661" t="str">
        <f>TEST_DATA!D12661</f>
        <v>NIL</v>
      </c>
      <c r="E12661">
        <f>TEST_DATA!E12661</f>
        <v>1240</v>
      </c>
    </row>
    <row r="12662" spans="1:5" x14ac:dyDescent="0.55000000000000004">
      <c r="A12662" t="str">
        <f>TEST_DATA!A12662</f>
        <v>27AAAAA12662Z5</v>
      </c>
      <c r="B12662" t="str">
        <f>TEST_DATA!B12662</f>
        <v>Jun-2020</v>
      </c>
      <c r="C12662">
        <f>TEST_DATA!C12662</f>
        <v>43973</v>
      </c>
      <c r="D12662" t="str">
        <f>TEST_DATA!D12662</f>
        <v>NIL</v>
      </c>
      <c r="E12662">
        <f>TEST_DATA!E12662</f>
        <v>1038</v>
      </c>
    </row>
    <row r="12663" spans="1:5" x14ac:dyDescent="0.55000000000000004">
      <c r="A12663" t="str">
        <f>TEST_DATA!A12663</f>
        <v>27AAAAA12663Z5</v>
      </c>
      <c r="B12663" t="str">
        <f>TEST_DATA!B12663</f>
        <v>Dec-2024</v>
      </c>
      <c r="C12663">
        <f>TEST_DATA!C12663</f>
        <v>45403</v>
      </c>
      <c r="D12663" t="str">
        <f>TEST_DATA!D12663</f>
        <v>NON-NIL</v>
      </c>
      <c r="E12663">
        <f>TEST_DATA!E12663</f>
        <v>1194</v>
      </c>
    </row>
    <row r="12664" spans="1:5" x14ac:dyDescent="0.55000000000000004">
      <c r="A12664" t="str">
        <f>TEST_DATA!A12664</f>
        <v>27AAAAA12664Z5</v>
      </c>
      <c r="B12664" t="str">
        <f>TEST_DATA!B12664</f>
        <v>Jun-2020</v>
      </c>
      <c r="C12664">
        <f>TEST_DATA!C12664</f>
        <v>44641</v>
      </c>
      <c r="D12664" t="str">
        <f>TEST_DATA!D12664</f>
        <v>NON-NIL</v>
      </c>
      <c r="E12664">
        <f>TEST_DATA!E12664</f>
        <v>591</v>
      </c>
    </row>
    <row r="12665" spans="1:5" x14ac:dyDescent="0.55000000000000004">
      <c r="A12665" t="str">
        <f>TEST_DATA!A12665</f>
        <v>27AAAAA12665Z5</v>
      </c>
      <c r="B12665" t="str">
        <f>TEST_DATA!B12665</f>
        <v>Mar-2018</v>
      </c>
      <c r="C12665">
        <f>TEST_DATA!C12665</f>
        <v>44458</v>
      </c>
      <c r="D12665" t="str">
        <f>TEST_DATA!D12665</f>
        <v>NIL</v>
      </c>
      <c r="E12665">
        <f>TEST_DATA!E12665</f>
        <v>519</v>
      </c>
    </row>
    <row r="12666" spans="1:5" x14ac:dyDescent="0.55000000000000004">
      <c r="A12666" t="str">
        <f>TEST_DATA!A12666</f>
        <v>27AAAAA12666Z5</v>
      </c>
      <c r="B12666" t="str">
        <f>TEST_DATA!B12666</f>
        <v>Feb-2018</v>
      </c>
      <c r="C12666">
        <f>TEST_DATA!C12666</f>
        <v>43044</v>
      </c>
      <c r="D12666" t="str">
        <f>TEST_DATA!D12666</f>
        <v>NON-NIL</v>
      </c>
      <c r="E12666">
        <f>TEST_DATA!E12666</f>
        <v>1203</v>
      </c>
    </row>
    <row r="12667" spans="1:5" x14ac:dyDescent="0.55000000000000004">
      <c r="A12667" t="str">
        <f>TEST_DATA!A12667</f>
        <v>27AAAAA12667Z5</v>
      </c>
      <c r="B12667" t="str">
        <f>TEST_DATA!B12667</f>
        <v>Nov-2017</v>
      </c>
      <c r="C12667">
        <f>TEST_DATA!C12667</f>
        <v>44437</v>
      </c>
      <c r="D12667" t="str">
        <f>TEST_DATA!D12667</f>
        <v>NIL</v>
      </c>
      <c r="E12667">
        <f>TEST_DATA!E12667</f>
        <v>324</v>
      </c>
    </row>
    <row r="12668" spans="1:5" x14ac:dyDescent="0.55000000000000004">
      <c r="A12668" t="str">
        <f>TEST_DATA!A12668</f>
        <v>27AAAAA12668Z5</v>
      </c>
      <c r="B12668" t="str">
        <f>TEST_DATA!B12668</f>
        <v>Aug-2018</v>
      </c>
      <c r="C12668">
        <f>TEST_DATA!C12668</f>
        <v>43963</v>
      </c>
      <c r="D12668" t="str">
        <f>TEST_DATA!D12668</f>
        <v>NON-NIL</v>
      </c>
      <c r="E12668">
        <f>TEST_DATA!E12668</f>
        <v>1639</v>
      </c>
    </row>
    <row r="12669" spans="1:5" x14ac:dyDescent="0.55000000000000004">
      <c r="A12669" t="str">
        <f>TEST_DATA!A12669</f>
        <v>27AAAAA12669Z5</v>
      </c>
      <c r="B12669" t="str">
        <f>TEST_DATA!B12669</f>
        <v>Aug-2017</v>
      </c>
      <c r="C12669">
        <f>TEST_DATA!C12669</f>
        <v>43376</v>
      </c>
      <c r="D12669" t="str">
        <f>TEST_DATA!D12669</f>
        <v>NON-NIL</v>
      </c>
      <c r="E12669">
        <f>TEST_DATA!E12669</f>
        <v>400</v>
      </c>
    </row>
    <row r="12670" spans="1:5" x14ac:dyDescent="0.55000000000000004">
      <c r="A12670" t="str">
        <f>TEST_DATA!A12670</f>
        <v>27AAAAA12670Z5</v>
      </c>
      <c r="B12670" t="str">
        <f>TEST_DATA!B12670</f>
        <v>May-2020</v>
      </c>
      <c r="C12670">
        <f>TEST_DATA!C12670</f>
        <v>44523</v>
      </c>
      <c r="D12670" t="str">
        <f>TEST_DATA!D12670</f>
        <v>NIL</v>
      </c>
      <c r="E12670">
        <f>TEST_DATA!E12670</f>
        <v>975</v>
      </c>
    </row>
    <row r="12671" spans="1:5" x14ac:dyDescent="0.55000000000000004">
      <c r="A12671" t="str">
        <f>TEST_DATA!A12671</f>
        <v>27AAAAA12671Z5</v>
      </c>
      <c r="B12671" t="str">
        <f>TEST_DATA!B12671</f>
        <v>Mar-2018</v>
      </c>
      <c r="C12671">
        <f>TEST_DATA!C12671</f>
        <v>44328</v>
      </c>
      <c r="D12671" t="str">
        <f>TEST_DATA!D12671</f>
        <v>NON-NIL</v>
      </c>
      <c r="E12671">
        <f>TEST_DATA!E12671</f>
        <v>1601</v>
      </c>
    </row>
    <row r="12672" spans="1:5" x14ac:dyDescent="0.55000000000000004">
      <c r="A12672" t="str">
        <f>TEST_DATA!A12672</f>
        <v>27AAAAA12672Z5</v>
      </c>
      <c r="B12672" t="str">
        <f>TEST_DATA!B12672</f>
        <v>May-2018</v>
      </c>
      <c r="C12672">
        <f>TEST_DATA!C12672</f>
        <v>43217</v>
      </c>
      <c r="D12672" t="str">
        <f>TEST_DATA!D12672</f>
        <v>NIL</v>
      </c>
      <c r="E12672">
        <f>TEST_DATA!E12672</f>
        <v>2028</v>
      </c>
    </row>
    <row r="12673" spans="1:5" x14ac:dyDescent="0.55000000000000004">
      <c r="A12673" t="str">
        <f>TEST_DATA!A12673</f>
        <v>27AAAAA12673Z5</v>
      </c>
      <c r="B12673" t="str">
        <f>TEST_DATA!B12673</f>
        <v>Apr-2018</v>
      </c>
      <c r="C12673">
        <f>TEST_DATA!C12673</f>
        <v>43786</v>
      </c>
      <c r="D12673" t="str">
        <f>TEST_DATA!D12673</f>
        <v>NON-NIL</v>
      </c>
      <c r="E12673">
        <f>TEST_DATA!E12673</f>
        <v>1330</v>
      </c>
    </row>
    <row r="12674" spans="1:5" x14ac:dyDescent="0.55000000000000004">
      <c r="A12674" t="str">
        <f>TEST_DATA!A12674</f>
        <v>27AAAAA12674Z5</v>
      </c>
      <c r="B12674" t="str">
        <f>TEST_DATA!B12674</f>
        <v>Jan-2018</v>
      </c>
      <c r="C12674">
        <f>TEST_DATA!C12674</f>
        <v>44476</v>
      </c>
      <c r="D12674" t="str">
        <f>TEST_DATA!D12674</f>
        <v>NIL</v>
      </c>
      <c r="E12674">
        <f>TEST_DATA!E12674</f>
        <v>403</v>
      </c>
    </row>
    <row r="12675" spans="1:5" x14ac:dyDescent="0.55000000000000004">
      <c r="A12675" t="str">
        <f>TEST_DATA!A12675</f>
        <v>27AAAAA12675Z5</v>
      </c>
      <c r="B12675" t="str">
        <f>TEST_DATA!B12675</f>
        <v>Aug-2018</v>
      </c>
      <c r="C12675">
        <f>TEST_DATA!C12675</f>
        <v>44457</v>
      </c>
      <c r="D12675" t="str">
        <f>TEST_DATA!D12675</f>
        <v>NON-NIL</v>
      </c>
      <c r="E12675">
        <f>TEST_DATA!E12675</f>
        <v>2377</v>
      </c>
    </row>
    <row r="12676" spans="1:5" x14ac:dyDescent="0.55000000000000004">
      <c r="A12676" t="str">
        <f>TEST_DATA!A12676</f>
        <v>27AAAAA12676Z5</v>
      </c>
      <c r="B12676" t="str">
        <f>TEST_DATA!B12676</f>
        <v>Apr-2021</v>
      </c>
      <c r="C12676">
        <f>TEST_DATA!C12676</f>
        <v>44754</v>
      </c>
      <c r="D12676" t="str">
        <f>TEST_DATA!D12676</f>
        <v>NIL</v>
      </c>
      <c r="E12676">
        <f>TEST_DATA!E12676</f>
        <v>1761</v>
      </c>
    </row>
    <row r="12677" spans="1:5" x14ac:dyDescent="0.55000000000000004">
      <c r="A12677" t="str">
        <f>TEST_DATA!A12677</f>
        <v>27AAAAA12677Z5</v>
      </c>
      <c r="B12677" t="str">
        <f>TEST_DATA!B12677</f>
        <v>Aug-2017</v>
      </c>
      <c r="C12677">
        <f>TEST_DATA!C12677</f>
        <v>44512</v>
      </c>
      <c r="D12677" t="str">
        <f>TEST_DATA!D12677</f>
        <v>NON-NIL</v>
      </c>
      <c r="E12677">
        <f>TEST_DATA!E12677</f>
        <v>2644</v>
      </c>
    </row>
    <row r="12678" spans="1:5" x14ac:dyDescent="0.55000000000000004">
      <c r="A12678" t="str">
        <f>TEST_DATA!A12678</f>
        <v>27AAAAA12678Z5</v>
      </c>
      <c r="B12678" t="str">
        <f>TEST_DATA!B12678</f>
        <v>Dec-2022</v>
      </c>
      <c r="C12678">
        <f>TEST_DATA!C12678</f>
        <v>44645</v>
      </c>
      <c r="D12678" t="str">
        <f>TEST_DATA!D12678</f>
        <v>NIL</v>
      </c>
      <c r="E12678">
        <f>TEST_DATA!E12678</f>
        <v>393</v>
      </c>
    </row>
    <row r="12679" spans="1:5" x14ac:dyDescent="0.55000000000000004">
      <c r="A12679" t="str">
        <f>TEST_DATA!A12679</f>
        <v>27AAAAA12679Z5</v>
      </c>
      <c r="B12679" t="str">
        <f>TEST_DATA!B12679</f>
        <v>Jul-2020</v>
      </c>
      <c r="C12679">
        <f>TEST_DATA!C12679</f>
        <v>44267</v>
      </c>
      <c r="D12679" t="str">
        <f>TEST_DATA!D12679</f>
        <v>NON-NIL</v>
      </c>
      <c r="E12679">
        <f>TEST_DATA!E12679</f>
        <v>2675</v>
      </c>
    </row>
    <row r="12680" spans="1:5" x14ac:dyDescent="0.55000000000000004">
      <c r="A12680" t="str">
        <f>TEST_DATA!A12680</f>
        <v>27AAAAA12680Z5</v>
      </c>
      <c r="B12680" t="str">
        <f>TEST_DATA!B12680</f>
        <v>Oct-2017</v>
      </c>
      <c r="C12680">
        <f>TEST_DATA!C12680</f>
        <v>43375</v>
      </c>
      <c r="D12680" t="str">
        <f>TEST_DATA!D12680</f>
        <v>NON-NIL</v>
      </c>
      <c r="E12680">
        <f>TEST_DATA!E12680</f>
        <v>2624</v>
      </c>
    </row>
    <row r="12681" spans="1:5" x14ac:dyDescent="0.55000000000000004">
      <c r="A12681" t="str">
        <f>TEST_DATA!A12681</f>
        <v>27AAAAA12681Z5</v>
      </c>
      <c r="B12681" t="str">
        <f>TEST_DATA!B12681</f>
        <v>Aug-2018</v>
      </c>
      <c r="C12681">
        <f>TEST_DATA!C12681</f>
        <v>44438</v>
      </c>
      <c r="D12681" t="str">
        <f>TEST_DATA!D12681</f>
        <v>NIL</v>
      </c>
      <c r="E12681">
        <f>TEST_DATA!E12681</f>
        <v>2591</v>
      </c>
    </row>
    <row r="12682" spans="1:5" x14ac:dyDescent="0.55000000000000004">
      <c r="A12682" t="str">
        <f>TEST_DATA!A12682</f>
        <v>27AAAAA12682Z5</v>
      </c>
      <c r="B12682" t="str">
        <f>TEST_DATA!B12682</f>
        <v>Oct-2017</v>
      </c>
      <c r="C12682">
        <f>TEST_DATA!C12682</f>
        <v>44467</v>
      </c>
      <c r="D12682" t="str">
        <f>TEST_DATA!D12682</f>
        <v>NIL</v>
      </c>
      <c r="E12682">
        <f>TEST_DATA!E12682</f>
        <v>2033</v>
      </c>
    </row>
    <row r="12683" spans="1:5" x14ac:dyDescent="0.55000000000000004">
      <c r="A12683" t="str">
        <f>TEST_DATA!A12683</f>
        <v>27AAAAA12683Z5</v>
      </c>
      <c r="B12683" t="str">
        <f>TEST_DATA!B12683</f>
        <v>Dec-2019</v>
      </c>
      <c r="C12683">
        <f>TEST_DATA!C12683</f>
        <v>43652</v>
      </c>
      <c r="D12683" t="str">
        <f>TEST_DATA!D12683</f>
        <v>NON-NIL</v>
      </c>
      <c r="E12683">
        <f>TEST_DATA!E12683</f>
        <v>2193</v>
      </c>
    </row>
    <row r="12684" spans="1:5" x14ac:dyDescent="0.55000000000000004">
      <c r="A12684" t="str">
        <f>TEST_DATA!A12684</f>
        <v>27AAAAA12684Z5</v>
      </c>
      <c r="B12684" t="str">
        <f>TEST_DATA!B12684</f>
        <v>Aug-2018</v>
      </c>
      <c r="C12684">
        <f>TEST_DATA!C12684</f>
        <v>44097</v>
      </c>
      <c r="D12684" t="str">
        <f>TEST_DATA!D12684</f>
        <v>NON-NIL</v>
      </c>
      <c r="E12684">
        <f>TEST_DATA!E12684</f>
        <v>1854</v>
      </c>
    </row>
    <row r="12685" spans="1:5" x14ac:dyDescent="0.55000000000000004">
      <c r="A12685" t="str">
        <f>TEST_DATA!A12685</f>
        <v>27AAAAA12685Z5</v>
      </c>
      <c r="B12685" t="str">
        <f>TEST_DATA!B12685</f>
        <v>Jan-2021</v>
      </c>
      <c r="C12685">
        <f>TEST_DATA!C12685</f>
        <v>45005</v>
      </c>
      <c r="D12685" t="str">
        <f>TEST_DATA!D12685</f>
        <v>NIL</v>
      </c>
      <c r="E12685">
        <f>TEST_DATA!E12685</f>
        <v>456</v>
      </c>
    </row>
    <row r="12686" spans="1:5" x14ac:dyDescent="0.55000000000000004">
      <c r="A12686" t="str">
        <f>TEST_DATA!A12686</f>
        <v>27AAAAA12686Z5</v>
      </c>
      <c r="B12686" t="str">
        <f>TEST_DATA!B12686</f>
        <v>Dec-2019</v>
      </c>
      <c r="C12686">
        <f>TEST_DATA!C12686</f>
        <v>45624</v>
      </c>
      <c r="D12686" t="str">
        <f>TEST_DATA!D12686</f>
        <v>NIL</v>
      </c>
      <c r="E12686">
        <f>TEST_DATA!E12686</f>
        <v>56</v>
      </c>
    </row>
    <row r="12687" spans="1:5" x14ac:dyDescent="0.55000000000000004">
      <c r="A12687" t="str">
        <f>TEST_DATA!A12687</f>
        <v>27AAAAA12687Z5</v>
      </c>
      <c r="B12687" t="str">
        <f>TEST_DATA!B12687</f>
        <v>Mar-2018</v>
      </c>
      <c r="C12687">
        <f>TEST_DATA!C12687</f>
        <v>43135</v>
      </c>
      <c r="D12687" t="str">
        <f>TEST_DATA!D12687</f>
        <v>NON-NIL</v>
      </c>
      <c r="E12687">
        <f>TEST_DATA!E12687</f>
        <v>2596</v>
      </c>
    </row>
    <row r="12688" spans="1:5" x14ac:dyDescent="0.55000000000000004">
      <c r="A12688" t="str">
        <f>TEST_DATA!A12688</f>
        <v>27AAAAA12688Z5</v>
      </c>
      <c r="B12688" t="str">
        <f>TEST_DATA!B12688</f>
        <v>Mar-2023</v>
      </c>
      <c r="C12688">
        <f>TEST_DATA!C12688</f>
        <v>44605</v>
      </c>
      <c r="D12688" t="str">
        <f>TEST_DATA!D12688</f>
        <v>NON-NIL</v>
      </c>
      <c r="E12688">
        <f>TEST_DATA!E12688</f>
        <v>2000</v>
      </c>
    </row>
    <row r="12689" spans="1:5" x14ac:dyDescent="0.55000000000000004">
      <c r="A12689" t="str">
        <f>TEST_DATA!A12689</f>
        <v>27AAAAA12689Z5</v>
      </c>
      <c r="B12689" t="str">
        <f>TEST_DATA!B12689</f>
        <v>Apr-2018</v>
      </c>
      <c r="C12689">
        <f>TEST_DATA!C12689</f>
        <v>43937</v>
      </c>
      <c r="D12689" t="str">
        <f>TEST_DATA!D12689</f>
        <v>NIL</v>
      </c>
      <c r="E12689">
        <f>TEST_DATA!E12689</f>
        <v>975</v>
      </c>
    </row>
    <row r="12690" spans="1:5" x14ac:dyDescent="0.55000000000000004">
      <c r="A12690" t="str">
        <f>TEST_DATA!A12690</f>
        <v>27AAAAA12690Z5</v>
      </c>
      <c r="B12690" t="str">
        <f>TEST_DATA!B12690</f>
        <v>Mar-2018</v>
      </c>
      <c r="C12690">
        <f>TEST_DATA!C12690</f>
        <v>44354</v>
      </c>
      <c r="D12690" t="str">
        <f>TEST_DATA!D12690</f>
        <v>NIL</v>
      </c>
      <c r="E12690">
        <f>TEST_DATA!E12690</f>
        <v>1520</v>
      </c>
    </row>
    <row r="12691" spans="1:5" x14ac:dyDescent="0.55000000000000004">
      <c r="A12691" t="str">
        <f>TEST_DATA!A12691</f>
        <v>27AAAAA12691Z5</v>
      </c>
      <c r="B12691" t="str">
        <f>TEST_DATA!B12691</f>
        <v>May-2020</v>
      </c>
      <c r="C12691">
        <f>TEST_DATA!C12691</f>
        <v>44791</v>
      </c>
      <c r="D12691" t="str">
        <f>TEST_DATA!D12691</f>
        <v>NIL</v>
      </c>
      <c r="E12691">
        <f>TEST_DATA!E12691</f>
        <v>1769</v>
      </c>
    </row>
    <row r="12692" spans="1:5" x14ac:dyDescent="0.55000000000000004">
      <c r="A12692" t="str">
        <f>TEST_DATA!A12692</f>
        <v>27AAAAA12692Z5</v>
      </c>
      <c r="B12692" t="str">
        <f>TEST_DATA!B12692</f>
        <v>Mar-2021</v>
      </c>
      <c r="C12692">
        <f>TEST_DATA!C12692</f>
        <v>45423</v>
      </c>
      <c r="D12692" t="str">
        <f>TEST_DATA!D12692</f>
        <v>NIL</v>
      </c>
      <c r="E12692">
        <f>TEST_DATA!E12692</f>
        <v>384</v>
      </c>
    </row>
    <row r="12693" spans="1:5" x14ac:dyDescent="0.55000000000000004">
      <c r="A12693" t="str">
        <f>TEST_DATA!A12693</f>
        <v>27AAAAA12693Z5</v>
      </c>
      <c r="B12693" t="str">
        <f>TEST_DATA!B12693</f>
        <v>Jun-2020</v>
      </c>
      <c r="C12693">
        <f>TEST_DATA!C12693</f>
        <v>44704</v>
      </c>
      <c r="D12693" t="str">
        <f>TEST_DATA!D12693</f>
        <v>NON-NIL</v>
      </c>
      <c r="E12693">
        <f>TEST_DATA!E12693</f>
        <v>639</v>
      </c>
    </row>
    <row r="12694" spans="1:5" x14ac:dyDescent="0.55000000000000004">
      <c r="A12694" t="str">
        <f>TEST_DATA!A12694</f>
        <v>27AAAAA12694Z5</v>
      </c>
      <c r="B12694" t="str">
        <f>TEST_DATA!B12694</f>
        <v>Dec-2022</v>
      </c>
      <c r="C12694">
        <f>TEST_DATA!C12694</f>
        <v>44952</v>
      </c>
      <c r="D12694" t="str">
        <f>TEST_DATA!D12694</f>
        <v>NIL</v>
      </c>
      <c r="E12694">
        <f>TEST_DATA!E12694</f>
        <v>313</v>
      </c>
    </row>
    <row r="12695" spans="1:5" x14ac:dyDescent="0.55000000000000004">
      <c r="A12695" t="str">
        <f>TEST_DATA!A12695</f>
        <v>27AAAAA12695Z5</v>
      </c>
      <c r="B12695" t="str">
        <f>TEST_DATA!B12695</f>
        <v>Jun-2020</v>
      </c>
      <c r="C12695">
        <f>TEST_DATA!C12695</f>
        <v>44821</v>
      </c>
      <c r="D12695" t="str">
        <f>TEST_DATA!D12695</f>
        <v>NON-NIL</v>
      </c>
      <c r="E12695">
        <f>TEST_DATA!E12695</f>
        <v>199</v>
      </c>
    </row>
    <row r="12696" spans="1:5" x14ac:dyDescent="0.55000000000000004">
      <c r="A12696" t="str">
        <f>TEST_DATA!A12696</f>
        <v>27AAAAA12696Z5</v>
      </c>
      <c r="B12696" t="str">
        <f>TEST_DATA!B12696</f>
        <v>Mar-2018</v>
      </c>
      <c r="C12696">
        <f>TEST_DATA!C12696</f>
        <v>42925</v>
      </c>
      <c r="D12696" t="str">
        <f>TEST_DATA!D12696</f>
        <v>NIL</v>
      </c>
      <c r="E12696">
        <f>TEST_DATA!E12696</f>
        <v>1940</v>
      </c>
    </row>
    <row r="12697" spans="1:5" x14ac:dyDescent="0.55000000000000004">
      <c r="A12697" t="str">
        <f>TEST_DATA!A12697</f>
        <v>27AAAAA12697Z5</v>
      </c>
      <c r="B12697" t="str">
        <f>TEST_DATA!B12697</f>
        <v>Jul-2017</v>
      </c>
      <c r="C12697">
        <f>TEST_DATA!C12697</f>
        <v>43086</v>
      </c>
      <c r="D12697" t="str">
        <f>TEST_DATA!D12697</f>
        <v>NIL</v>
      </c>
      <c r="E12697">
        <f>TEST_DATA!E12697</f>
        <v>2123</v>
      </c>
    </row>
    <row r="12698" spans="1:5" x14ac:dyDescent="0.55000000000000004">
      <c r="A12698" t="str">
        <f>TEST_DATA!A12698</f>
        <v>27AAAAA12698Z5</v>
      </c>
      <c r="B12698" t="str">
        <f>TEST_DATA!B12698</f>
        <v>May-2018</v>
      </c>
      <c r="C12698">
        <f>TEST_DATA!C12698</f>
        <v>44189</v>
      </c>
      <c r="D12698" t="str">
        <f>TEST_DATA!D12698</f>
        <v>NON-NIL</v>
      </c>
      <c r="E12698">
        <f>TEST_DATA!E12698</f>
        <v>2281</v>
      </c>
    </row>
    <row r="12699" spans="1:5" x14ac:dyDescent="0.55000000000000004">
      <c r="A12699" t="str">
        <f>TEST_DATA!A12699</f>
        <v>27AAAAA12699Z5</v>
      </c>
      <c r="B12699" t="str">
        <f>TEST_DATA!B12699</f>
        <v>Mar-2020</v>
      </c>
      <c r="C12699">
        <f>TEST_DATA!C12699</f>
        <v>44747</v>
      </c>
      <c r="D12699" t="str">
        <f>TEST_DATA!D12699</f>
        <v>NON-NIL</v>
      </c>
      <c r="E12699">
        <f>TEST_DATA!E12699</f>
        <v>2638</v>
      </c>
    </row>
    <row r="12700" spans="1:5" x14ac:dyDescent="0.55000000000000004">
      <c r="A12700" t="str">
        <f>TEST_DATA!A12700</f>
        <v>27AAAAA12700Z5</v>
      </c>
      <c r="B12700" t="str">
        <f>TEST_DATA!B12700</f>
        <v>Jul-2017</v>
      </c>
      <c r="C12700">
        <f>TEST_DATA!C12700</f>
        <v>44427</v>
      </c>
      <c r="D12700" t="str">
        <f>TEST_DATA!D12700</f>
        <v>NON-NIL</v>
      </c>
      <c r="E12700">
        <f>TEST_DATA!E12700</f>
        <v>692</v>
      </c>
    </row>
    <row r="12701" spans="1:5" x14ac:dyDescent="0.55000000000000004">
      <c r="A12701" t="str">
        <f>TEST_DATA!A12701</f>
        <v>27AAAAA12701Z5</v>
      </c>
      <c r="B12701" t="str">
        <f>TEST_DATA!B12701</f>
        <v>Mar-2020</v>
      </c>
      <c r="C12701">
        <f>TEST_DATA!C12701</f>
        <v>43874</v>
      </c>
      <c r="D12701" t="str">
        <f>TEST_DATA!D12701</f>
        <v>NON-NIL</v>
      </c>
      <c r="E12701">
        <f>TEST_DATA!E12701</f>
        <v>2966</v>
      </c>
    </row>
    <row r="12702" spans="1:5" x14ac:dyDescent="0.55000000000000004">
      <c r="A12702" t="str">
        <f>TEST_DATA!A12702</f>
        <v>27AAAAA12702Z5</v>
      </c>
      <c r="B12702" t="str">
        <f>TEST_DATA!B12702</f>
        <v>Apr-2021</v>
      </c>
      <c r="C12702">
        <f>TEST_DATA!C12702</f>
        <v>44917</v>
      </c>
      <c r="D12702" t="str">
        <f>TEST_DATA!D12702</f>
        <v>NIL</v>
      </c>
      <c r="E12702">
        <f>TEST_DATA!E12702</f>
        <v>2453</v>
      </c>
    </row>
    <row r="12703" spans="1:5" x14ac:dyDescent="0.55000000000000004">
      <c r="A12703" t="str">
        <f>TEST_DATA!A12703</f>
        <v>27AAAAA12703Z5</v>
      </c>
      <c r="B12703" t="str">
        <f>TEST_DATA!B12703</f>
        <v>Jun-2018</v>
      </c>
      <c r="C12703">
        <f>TEST_DATA!C12703</f>
        <v>43906</v>
      </c>
      <c r="D12703" t="str">
        <f>TEST_DATA!D12703</f>
        <v>NIL</v>
      </c>
      <c r="E12703">
        <f>TEST_DATA!E12703</f>
        <v>2056</v>
      </c>
    </row>
    <row r="12704" spans="1:5" x14ac:dyDescent="0.55000000000000004">
      <c r="A12704" t="str">
        <f>TEST_DATA!A12704</f>
        <v>27AAAAA12704Z5</v>
      </c>
      <c r="B12704" t="str">
        <f>TEST_DATA!B12704</f>
        <v>Sep-2017</v>
      </c>
      <c r="C12704">
        <f>TEST_DATA!C12704</f>
        <v>44003</v>
      </c>
      <c r="D12704" t="str">
        <f>TEST_DATA!D12704</f>
        <v>NON-NIL</v>
      </c>
      <c r="E12704">
        <f>TEST_DATA!E12704</f>
        <v>1830</v>
      </c>
    </row>
    <row r="12705" spans="1:5" x14ac:dyDescent="0.55000000000000004">
      <c r="A12705" t="str">
        <f>TEST_DATA!A12705</f>
        <v>27AAAAA12705Z5</v>
      </c>
      <c r="B12705" t="str">
        <f>TEST_DATA!B12705</f>
        <v>Jan-2021</v>
      </c>
      <c r="C12705">
        <f>TEST_DATA!C12705</f>
        <v>44093</v>
      </c>
      <c r="D12705" t="str">
        <f>TEST_DATA!D12705</f>
        <v>NON-NIL</v>
      </c>
      <c r="E12705">
        <f>TEST_DATA!E12705</f>
        <v>1631</v>
      </c>
    </row>
    <row r="12706" spans="1:5" x14ac:dyDescent="0.55000000000000004">
      <c r="A12706" t="str">
        <f>TEST_DATA!A12706</f>
        <v>27AAAAA12706Z5</v>
      </c>
      <c r="B12706" t="str">
        <f>TEST_DATA!B12706</f>
        <v>Jun-2019</v>
      </c>
      <c r="C12706">
        <f>TEST_DATA!C12706</f>
        <v>43669</v>
      </c>
      <c r="D12706" t="str">
        <f>TEST_DATA!D12706</f>
        <v>NON-NIL</v>
      </c>
      <c r="E12706">
        <f>TEST_DATA!E12706</f>
        <v>841</v>
      </c>
    </row>
    <row r="12707" spans="1:5" x14ac:dyDescent="0.55000000000000004">
      <c r="A12707" t="str">
        <f>TEST_DATA!A12707</f>
        <v>27AAAAA12707Z5</v>
      </c>
      <c r="B12707" t="str">
        <f>TEST_DATA!B12707</f>
        <v>Jan-2021</v>
      </c>
      <c r="C12707">
        <f>TEST_DATA!C12707</f>
        <v>44170</v>
      </c>
      <c r="D12707" t="str">
        <f>TEST_DATA!D12707</f>
        <v>NON-NIL</v>
      </c>
      <c r="E12707">
        <f>TEST_DATA!E12707</f>
        <v>315</v>
      </c>
    </row>
    <row r="12708" spans="1:5" x14ac:dyDescent="0.55000000000000004">
      <c r="A12708" t="str">
        <f>TEST_DATA!A12708</f>
        <v>27AAAAA12708Z5</v>
      </c>
      <c r="B12708" t="str">
        <f>TEST_DATA!B12708</f>
        <v>Aug-2018</v>
      </c>
      <c r="C12708">
        <f>TEST_DATA!C12708</f>
        <v>44218</v>
      </c>
      <c r="D12708" t="str">
        <f>TEST_DATA!D12708</f>
        <v>NIL</v>
      </c>
      <c r="E12708">
        <f>TEST_DATA!E12708</f>
        <v>370</v>
      </c>
    </row>
    <row r="12709" spans="1:5" x14ac:dyDescent="0.55000000000000004">
      <c r="A12709" t="str">
        <f>TEST_DATA!A12709</f>
        <v>27AAAAA12709Z5</v>
      </c>
      <c r="B12709" t="str">
        <f>TEST_DATA!B12709</f>
        <v>Apr-2020</v>
      </c>
      <c r="C12709">
        <f>TEST_DATA!C12709</f>
        <v>44540</v>
      </c>
      <c r="D12709" t="str">
        <f>TEST_DATA!D12709</f>
        <v>NON-NIL</v>
      </c>
      <c r="E12709">
        <f>TEST_DATA!E12709</f>
        <v>144</v>
      </c>
    </row>
    <row r="12710" spans="1:5" x14ac:dyDescent="0.55000000000000004">
      <c r="A12710" t="str">
        <f>TEST_DATA!A12710</f>
        <v>27AAAAA12710Z5</v>
      </c>
      <c r="B12710" t="str">
        <f>TEST_DATA!B12710</f>
        <v>Apr-2021</v>
      </c>
      <c r="C12710">
        <f>TEST_DATA!C12710</f>
        <v>45027</v>
      </c>
      <c r="D12710" t="str">
        <f>TEST_DATA!D12710</f>
        <v>NIL</v>
      </c>
      <c r="E12710">
        <f>TEST_DATA!E12710</f>
        <v>1998</v>
      </c>
    </row>
    <row r="12711" spans="1:5" x14ac:dyDescent="0.55000000000000004">
      <c r="A12711" t="str">
        <f>TEST_DATA!A12711</f>
        <v>27AAAAA12711Z5</v>
      </c>
      <c r="B12711" t="str">
        <f>TEST_DATA!B12711</f>
        <v>Jun-2019</v>
      </c>
      <c r="C12711">
        <f>TEST_DATA!C12711</f>
        <v>43572</v>
      </c>
      <c r="D12711" t="str">
        <f>TEST_DATA!D12711</f>
        <v>NIL</v>
      </c>
      <c r="E12711">
        <f>TEST_DATA!E12711</f>
        <v>1612</v>
      </c>
    </row>
    <row r="12712" spans="1:5" x14ac:dyDescent="0.55000000000000004">
      <c r="A12712" t="str">
        <f>TEST_DATA!A12712</f>
        <v>27AAAAA12712Z5</v>
      </c>
      <c r="B12712" t="str">
        <f>TEST_DATA!B12712</f>
        <v>Jun-2019</v>
      </c>
      <c r="C12712">
        <f>TEST_DATA!C12712</f>
        <v>44290</v>
      </c>
      <c r="D12712" t="str">
        <f>TEST_DATA!D12712</f>
        <v>NIL</v>
      </c>
      <c r="E12712">
        <f>TEST_DATA!E12712</f>
        <v>502</v>
      </c>
    </row>
    <row r="12713" spans="1:5" x14ac:dyDescent="0.55000000000000004">
      <c r="A12713" t="str">
        <f>TEST_DATA!A12713</f>
        <v>27AAAAA12713Z5</v>
      </c>
      <c r="B12713" t="str">
        <f>TEST_DATA!B12713</f>
        <v>Nov-2017</v>
      </c>
      <c r="C12713">
        <f>TEST_DATA!C12713</f>
        <v>44284</v>
      </c>
      <c r="D12713" t="str">
        <f>TEST_DATA!D12713</f>
        <v>NIL</v>
      </c>
      <c r="E12713">
        <f>TEST_DATA!E12713</f>
        <v>1885</v>
      </c>
    </row>
    <row r="12714" spans="1:5" x14ac:dyDescent="0.55000000000000004">
      <c r="A12714" t="str">
        <f>TEST_DATA!A12714</f>
        <v>27AAAAA12714Z5</v>
      </c>
      <c r="B12714" t="str">
        <f>TEST_DATA!B12714</f>
        <v>Mar-2020</v>
      </c>
      <c r="C12714">
        <f>TEST_DATA!C12714</f>
        <v>44511</v>
      </c>
      <c r="D12714" t="str">
        <f>TEST_DATA!D12714</f>
        <v>NIL</v>
      </c>
      <c r="E12714">
        <f>TEST_DATA!E12714</f>
        <v>2270</v>
      </c>
    </row>
    <row r="12715" spans="1:5" x14ac:dyDescent="0.55000000000000004">
      <c r="A12715" t="str">
        <f>TEST_DATA!A12715</f>
        <v>27AAAAA12715Z5</v>
      </c>
      <c r="B12715" t="str">
        <f>TEST_DATA!B12715</f>
        <v>Nov-2017</v>
      </c>
      <c r="C12715">
        <f>TEST_DATA!C12715</f>
        <v>44511</v>
      </c>
      <c r="D12715" t="str">
        <f>TEST_DATA!D12715</f>
        <v>NIL</v>
      </c>
      <c r="E12715">
        <f>TEST_DATA!E12715</f>
        <v>858</v>
      </c>
    </row>
    <row r="12716" spans="1:5" x14ac:dyDescent="0.55000000000000004">
      <c r="A12716" t="str">
        <f>TEST_DATA!A12716</f>
        <v>27AAAAA12716Z5</v>
      </c>
      <c r="B12716" t="str">
        <f>TEST_DATA!B12716</f>
        <v>Feb-2018</v>
      </c>
      <c r="C12716">
        <f>TEST_DATA!C12716</f>
        <v>43083</v>
      </c>
      <c r="D12716" t="str">
        <f>TEST_DATA!D12716</f>
        <v>NIL</v>
      </c>
      <c r="E12716">
        <f>TEST_DATA!E12716</f>
        <v>1348</v>
      </c>
    </row>
    <row r="12717" spans="1:5" x14ac:dyDescent="0.55000000000000004">
      <c r="A12717" t="str">
        <f>TEST_DATA!A12717</f>
        <v>27AAAAA12717Z5</v>
      </c>
      <c r="B12717" t="str">
        <f>TEST_DATA!B12717</f>
        <v>Jul-2018</v>
      </c>
      <c r="C12717">
        <f>TEST_DATA!C12717</f>
        <v>43912</v>
      </c>
      <c r="D12717" t="str">
        <f>TEST_DATA!D12717</f>
        <v>NON-NIL</v>
      </c>
      <c r="E12717">
        <f>TEST_DATA!E12717</f>
        <v>561</v>
      </c>
    </row>
    <row r="12718" spans="1:5" x14ac:dyDescent="0.55000000000000004">
      <c r="A12718" t="str">
        <f>TEST_DATA!A12718</f>
        <v>27AAAAA12718Z5</v>
      </c>
      <c r="B12718" t="str">
        <f>TEST_DATA!B12718</f>
        <v>Jun-2018</v>
      </c>
      <c r="C12718">
        <f>TEST_DATA!C12718</f>
        <v>42921</v>
      </c>
      <c r="D12718" t="str">
        <f>TEST_DATA!D12718</f>
        <v>NIL</v>
      </c>
      <c r="E12718">
        <f>TEST_DATA!E12718</f>
        <v>2126</v>
      </c>
    </row>
    <row r="12719" spans="1:5" x14ac:dyDescent="0.55000000000000004">
      <c r="A12719" t="str">
        <f>TEST_DATA!A12719</f>
        <v>27AAAAA12719Z5</v>
      </c>
      <c r="B12719" t="str">
        <f>TEST_DATA!B12719</f>
        <v>Mar-2023</v>
      </c>
      <c r="C12719">
        <f>TEST_DATA!C12719</f>
        <v>44875</v>
      </c>
      <c r="D12719" t="str">
        <f>TEST_DATA!D12719</f>
        <v>NON-NIL</v>
      </c>
      <c r="E12719">
        <f>TEST_DATA!E12719</f>
        <v>504</v>
      </c>
    </row>
    <row r="12720" spans="1:5" x14ac:dyDescent="0.55000000000000004">
      <c r="A12720" t="str">
        <f>TEST_DATA!A12720</f>
        <v>27AAAAA12720Z5</v>
      </c>
      <c r="B12720" t="str">
        <f>TEST_DATA!B12720</f>
        <v>Aug-2018</v>
      </c>
      <c r="C12720">
        <f>TEST_DATA!C12720</f>
        <v>43275</v>
      </c>
      <c r="D12720" t="str">
        <f>TEST_DATA!D12720</f>
        <v>NON-NIL</v>
      </c>
      <c r="E12720">
        <f>TEST_DATA!E12720</f>
        <v>2864</v>
      </c>
    </row>
    <row r="12721" spans="1:5" x14ac:dyDescent="0.55000000000000004">
      <c r="A12721" t="str">
        <f>TEST_DATA!A12721</f>
        <v>27AAAAA12721Z5</v>
      </c>
      <c r="B12721" t="str">
        <f>TEST_DATA!B12721</f>
        <v>Oct-2017</v>
      </c>
      <c r="C12721">
        <f>TEST_DATA!C12721</f>
        <v>43451</v>
      </c>
      <c r="D12721" t="str">
        <f>TEST_DATA!D12721</f>
        <v>NIL</v>
      </c>
      <c r="E12721">
        <f>TEST_DATA!E12721</f>
        <v>776</v>
      </c>
    </row>
    <row r="12722" spans="1:5" x14ac:dyDescent="0.55000000000000004">
      <c r="A12722" t="str">
        <f>TEST_DATA!A12722</f>
        <v>27AAAAA12722Z5</v>
      </c>
      <c r="B12722" t="str">
        <f>TEST_DATA!B12722</f>
        <v>Mar-2018</v>
      </c>
      <c r="C12722">
        <f>TEST_DATA!C12722</f>
        <v>44537</v>
      </c>
      <c r="D12722" t="str">
        <f>TEST_DATA!D12722</f>
        <v>NIL</v>
      </c>
      <c r="E12722">
        <f>TEST_DATA!E12722</f>
        <v>2034</v>
      </c>
    </row>
    <row r="12723" spans="1:5" x14ac:dyDescent="0.55000000000000004">
      <c r="A12723" t="str">
        <f>TEST_DATA!A12723</f>
        <v>27AAAAA12723Z5</v>
      </c>
      <c r="B12723" t="str">
        <f>TEST_DATA!B12723</f>
        <v>May-2020</v>
      </c>
      <c r="C12723">
        <f>TEST_DATA!C12723</f>
        <v>44843</v>
      </c>
      <c r="D12723" t="str">
        <f>TEST_DATA!D12723</f>
        <v>NIL</v>
      </c>
      <c r="E12723">
        <f>TEST_DATA!E12723</f>
        <v>589</v>
      </c>
    </row>
    <row r="12724" spans="1:5" x14ac:dyDescent="0.55000000000000004">
      <c r="A12724" t="str">
        <f>TEST_DATA!A12724</f>
        <v>27AAAAA12724Z5</v>
      </c>
      <c r="B12724" t="str">
        <f>TEST_DATA!B12724</f>
        <v>Jan-2018</v>
      </c>
      <c r="C12724">
        <f>TEST_DATA!C12724</f>
        <v>43563</v>
      </c>
      <c r="D12724" t="str">
        <f>TEST_DATA!D12724</f>
        <v>NON-NIL</v>
      </c>
      <c r="E12724">
        <f>TEST_DATA!E12724</f>
        <v>952</v>
      </c>
    </row>
    <row r="12725" spans="1:5" x14ac:dyDescent="0.55000000000000004">
      <c r="A12725" t="str">
        <f>TEST_DATA!A12725</f>
        <v>27AAAAA12725Z5</v>
      </c>
      <c r="B12725" t="str">
        <f>TEST_DATA!B12725</f>
        <v>Jul-2020</v>
      </c>
      <c r="C12725">
        <f>TEST_DATA!C12725</f>
        <v>44834</v>
      </c>
      <c r="D12725" t="str">
        <f>TEST_DATA!D12725</f>
        <v>NON-NIL</v>
      </c>
      <c r="E12725">
        <f>TEST_DATA!E12725</f>
        <v>736</v>
      </c>
    </row>
    <row r="12726" spans="1:5" x14ac:dyDescent="0.55000000000000004">
      <c r="A12726" t="str">
        <f>TEST_DATA!A12726</f>
        <v>27AAAAA12726Z5</v>
      </c>
      <c r="B12726" t="str">
        <f>TEST_DATA!B12726</f>
        <v>Apr-2021</v>
      </c>
      <c r="C12726">
        <f>TEST_DATA!C12726</f>
        <v>43880</v>
      </c>
      <c r="D12726" t="str">
        <f>TEST_DATA!D12726</f>
        <v>NON-NIL</v>
      </c>
      <c r="E12726">
        <f>TEST_DATA!E12726</f>
        <v>2959</v>
      </c>
    </row>
    <row r="12727" spans="1:5" x14ac:dyDescent="0.55000000000000004">
      <c r="A12727" t="str">
        <f>TEST_DATA!A12727</f>
        <v>27AAAAA12727Z5</v>
      </c>
      <c r="B12727" t="str">
        <f>TEST_DATA!B12727</f>
        <v>Nov-2017</v>
      </c>
      <c r="C12727">
        <f>TEST_DATA!C12727</f>
        <v>42941</v>
      </c>
      <c r="D12727" t="str">
        <f>TEST_DATA!D12727</f>
        <v>NON-NIL</v>
      </c>
      <c r="E12727">
        <f>TEST_DATA!E12727</f>
        <v>758</v>
      </c>
    </row>
    <row r="12728" spans="1:5" x14ac:dyDescent="0.55000000000000004">
      <c r="A12728" t="str">
        <f>TEST_DATA!A12728</f>
        <v>27AAAAA12728Z5</v>
      </c>
      <c r="B12728" t="str">
        <f>TEST_DATA!B12728</f>
        <v>Aug-2017</v>
      </c>
      <c r="C12728">
        <f>TEST_DATA!C12728</f>
        <v>43816</v>
      </c>
      <c r="D12728" t="str">
        <f>TEST_DATA!D12728</f>
        <v>NIL</v>
      </c>
      <c r="E12728">
        <f>TEST_DATA!E12728</f>
        <v>1970</v>
      </c>
    </row>
    <row r="12729" spans="1:5" x14ac:dyDescent="0.55000000000000004">
      <c r="A12729" t="str">
        <f>TEST_DATA!A12729</f>
        <v>27AAAAA12729Z5</v>
      </c>
      <c r="B12729" t="str">
        <f>TEST_DATA!B12729</f>
        <v>Mar-2018</v>
      </c>
      <c r="C12729">
        <f>TEST_DATA!C12729</f>
        <v>43146</v>
      </c>
      <c r="D12729" t="str">
        <f>TEST_DATA!D12729</f>
        <v>NON-NIL</v>
      </c>
      <c r="E12729">
        <f>TEST_DATA!E12729</f>
        <v>2660</v>
      </c>
    </row>
    <row r="12730" spans="1:5" x14ac:dyDescent="0.55000000000000004">
      <c r="A12730" t="str">
        <f>TEST_DATA!A12730</f>
        <v>27AAAAA12730Z5</v>
      </c>
      <c r="B12730" t="str">
        <f>TEST_DATA!B12730</f>
        <v>Jun-2019</v>
      </c>
      <c r="C12730">
        <f>TEST_DATA!C12730</f>
        <v>45331</v>
      </c>
      <c r="D12730" t="str">
        <f>TEST_DATA!D12730</f>
        <v>NIL</v>
      </c>
      <c r="E12730">
        <f>TEST_DATA!E12730</f>
        <v>2529</v>
      </c>
    </row>
    <row r="12731" spans="1:5" x14ac:dyDescent="0.55000000000000004">
      <c r="A12731" t="str">
        <f>TEST_DATA!A12731</f>
        <v>27AAAAA12731Z5</v>
      </c>
      <c r="B12731" t="str">
        <f>TEST_DATA!B12731</f>
        <v>Jul-2020</v>
      </c>
      <c r="C12731">
        <f>TEST_DATA!C12731</f>
        <v>44419</v>
      </c>
      <c r="D12731" t="str">
        <f>TEST_DATA!D12731</f>
        <v>NIL</v>
      </c>
      <c r="E12731">
        <f>TEST_DATA!E12731</f>
        <v>1402</v>
      </c>
    </row>
    <row r="12732" spans="1:5" x14ac:dyDescent="0.55000000000000004">
      <c r="A12732" t="str">
        <f>TEST_DATA!A12732</f>
        <v>27AAAAA12732Z5</v>
      </c>
      <c r="B12732" t="str">
        <f>TEST_DATA!B12732</f>
        <v>Aug-2017</v>
      </c>
      <c r="C12732">
        <f>TEST_DATA!C12732</f>
        <v>44273</v>
      </c>
      <c r="D12732" t="str">
        <f>TEST_DATA!D12732</f>
        <v>NON-NIL</v>
      </c>
      <c r="E12732">
        <f>TEST_DATA!E12732</f>
        <v>2320</v>
      </c>
    </row>
    <row r="12733" spans="1:5" x14ac:dyDescent="0.55000000000000004">
      <c r="A12733" t="str">
        <f>TEST_DATA!A12733</f>
        <v>27AAAAA12733Z5</v>
      </c>
      <c r="B12733" t="str">
        <f>TEST_DATA!B12733</f>
        <v>Nov-2017</v>
      </c>
      <c r="C12733">
        <f>TEST_DATA!C12733</f>
        <v>44275</v>
      </c>
      <c r="D12733" t="str">
        <f>TEST_DATA!D12733</f>
        <v>NON-NIL</v>
      </c>
      <c r="E12733">
        <f>TEST_DATA!E12733</f>
        <v>926</v>
      </c>
    </row>
    <row r="12734" spans="1:5" x14ac:dyDescent="0.55000000000000004">
      <c r="A12734" t="str">
        <f>TEST_DATA!A12734</f>
        <v>27AAAAA12734Z5</v>
      </c>
      <c r="B12734" t="str">
        <f>TEST_DATA!B12734</f>
        <v>Mar-2023</v>
      </c>
      <c r="C12734">
        <f>TEST_DATA!C12734</f>
        <v>43474</v>
      </c>
      <c r="D12734" t="str">
        <f>TEST_DATA!D12734</f>
        <v>NON-NIL</v>
      </c>
      <c r="E12734">
        <f>TEST_DATA!E12734</f>
        <v>1470</v>
      </c>
    </row>
    <row r="12735" spans="1:5" x14ac:dyDescent="0.55000000000000004">
      <c r="A12735" t="str">
        <f>TEST_DATA!A12735</f>
        <v>27AAAAA12735Z5</v>
      </c>
      <c r="B12735" t="str">
        <f>TEST_DATA!B12735</f>
        <v>Jul-2020</v>
      </c>
      <c r="C12735">
        <f>TEST_DATA!C12735</f>
        <v>44837</v>
      </c>
      <c r="D12735" t="str">
        <f>TEST_DATA!D12735</f>
        <v>NON-NIL</v>
      </c>
      <c r="E12735">
        <f>TEST_DATA!E12735</f>
        <v>2489</v>
      </c>
    </row>
    <row r="12736" spans="1:5" x14ac:dyDescent="0.55000000000000004">
      <c r="A12736" t="str">
        <f>TEST_DATA!A12736</f>
        <v>27AAAAA12736Z5</v>
      </c>
      <c r="B12736" t="str">
        <f>TEST_DATA!B12736</f>
        <v>Apr-2021</v>
      </c>
      <c r="C12736">
        <f>TEST_DATA!C12736</f>
        <v>44382</v>
      </c>
      <c r="D12736" t="str">
        <f>TEST_DATA!D12736</f>
        <v>NON-NIL</v>
      </c>
      <c r="E12736">
        <f>TEST_DATA!E12736</f>
        <v>1209</v>
      </c>
    </row>
    <row r="12737" spans="1:5" x14ac:dyDescent="0.55000000000000004">
      <c r="A12737" t="str">
        <f>TEST_DATA!A12737</f>
        <v>27AAAAA12737Z5</v>
      </c>
      <c r="B12737" t="str">
        <f>TEST_DATA!B12737</f>
        <v>Jun-2020</v>
      </c>
      <c r="C12737">
        <f>TEST_DATA!C12737</f>
        <v>44204</v>
      </c>
      <c r="D12737" t="str">
        <f>TEST_DATA!D12737</f>
        <v>NON-NIL</v>
      </c>
      <c r="E12737">
        <f>TEST_DATA!E12737</f>
        <v>863</v>
      </c>
    </row>
    <row r="12738" spans="1:5" x14ac:dyDescent="0.55000000000000004">
      <c r="A12738" t="str">
        <f>TEST_DATA!A12738</f>
        <v>27AAAAA12738Z5</v>
      </c>
      <c r="B12738" t="str">
        <f>TEST_DATA!B12738</f>
        <v>Sep-2018</v>
      </c>
      <c r="C12738">
        <f>TEST_DATA!C12738</f>
        <v>44115</v>
      </c>
      <c r="D12738" t="str">
        <f>TEST_DATA!D12738</f>
        <v>NON-NIL</v>
      </c>
      <c r="E12738">
        <f>TEST_DATA!E12738</f>
        <v>1858</v>
      </c>
    </row>
    <row r="12739" spans="1:5" x14ac:dyDescent="0.55000000000000004">
      <c r="A12739" t="str">
        <f>TEST_DATA!A12739</f>
        <v>27AAAAA12739Z5</v>
      </c>
      <c r="B12739" t="str">
        <f>TEST_DATA!B12739</f>
        <v>Nov-2017</v>
      </c>
      <c r="C12739">
        <f>TEST_DATA!C12739</f>
        <v>43372</v>
      </c>
      <c r="D12739" t="str">
        <f>TEST_DATA!D12739</f>
        <v>NIL</v>
      </c>
      <c r="E12739">
        <f>TEST_DATA!E12739</f>
        <v>1729</v>
      </c>
    </row>
    <row r="12740" spans="1:5" x14ac:dyDescent="0.55000000000000004">
      <c r="A12740" t="str">
        <f>TEST_DATA!A12740</f>
        <v>27AAAAA12740Z5</v>
      </c>
      <c r="B12740" t="str">
        <f>TEST_DATA!B12740</f>
        <v>Jun-2020</v>
      </c>
      <c r="C12740">
        <f>TEST_DATA!C12740</f>
        <v>43977</v>
      </c>
      <c r="D12740" t="str">
        <f>TEST_DATA!D12740</f>
        <v>NIL</v>
      </c>
      <c r="E12740">
        <f>TEST_DATA!E12740</f>
        <v>2387</v>
      </c>
    </row>
    <row r="12741" spans="1:5" x14ac:dyDescent="0.55000000000000004">
      <c r="A12741" t="str">
        <f>TEST_DATA!A12741</f>
        <v>27AAAAA12741Z5</v>
      </c>
      <c r="B12741" t="str">
        <f>TEST_DATA!B12741</f>
        <v>Nov-2017</v>
      </c>
      <c r="C12741">
        <f>TEST_DATA!C12741</f>
        <v>43091</v>
      </c>
      <c r="D12741" t="str">
        <f>TEST_DATA!D12741</f>
        <v>NIL</v>
      </c>
      <c r="E12741">
        <f>TEST_DATA!E12741</f>
        <v>1313</v>
      </c>
    </row>
    <row r="12742" spans="1:5" x14ac:dyDescent="0.55000000000000004">
      <c r="A12742" t="str">
        <f>TEST_DATA!A12742</f>
        <v>27AAAAA12742Z5</v>
      </c>
      <c r="B12742" t="str">
        <f>TEST_DATA!B12742</f>
        <v>Oct-2017</v>
      </c>
      <c r="C12742">
        <f>TEST_DATA!C12742</f>
        <v>43125</v>
      </c>
      <c r="D12742" t="str">
        <f>TEST_DATA!D12742</f>
        <v>NIL</v>
      </c>
      <c r="E12742">
        <f>TEST_DATA!E12742</f>
        <v>980</v>
      </c>
    </row>
    <row r="12743" spans="1:5" x14ac:dyDescent="0.55000000000000004">
      <c r="A12743" t="str">
        <f>TEST_DATA!A12743</f>
        <v>27AAAAA12743Z5</v>
      </c>
      <c r="B12743" t="str">
        <f>TEST_DATA!B12743</f>
        <v>May-2020</v>
      </c>
      <c r="C12743">
        <f>TEST_DATA!C12743</f>
        <v>44255</v>
      </c>
      <c r="D12743" t="str">
        <f>TEST_DATA!D12743</f>
        <v>NIL</v>
      </c>
      <c r="E12743">
        <f>TEST_DATA!E12743</f>
        <v>437</v>
      </c>
    </row>
    <row r="12744" spans="1:5" x14ac:dyDescent="0.55000000000000004">
      <c r="A12744" t="str">
        <f>TEST_DATA!A12744</f>
        <v>27AAAAA12744Z5</v>
      </c>
      <c r="B12744" t="str">
        <f>TEST_DATA!B12744</f>
        <v>Jul-2017</v>
      </c>
      <c r="C12744">
        <f>TEST_DATA!C12744</f>
        <v>43890</v>
      </c>
      <c r="D12744" t="str">
        <f>TEST_DATA!D12744</f>
        <v>NON-NIL</v>
      </c>
      <c r="E12744">
        <f>TEST_DATA!E12744</f>
        <v>768</v>
      </c>
    </row>
    <row r="12745" spans="1:5" x14ac:dyDescent="0.55000000000000004">
      <c r="A12745" t="str">
        <f>TEST_DATA!A12745</f>
        <v>27AAAAA12745Z5</v>
      </c>
      <c r="B12745" t="str">
        <f>TEST_DATA!B12745</f>
        <v>Jun-2018</v>
      </c>
      <c r="C12745">
        <f>TEST_DATA!C12745</f>
        <v>44483</v>
      </c>
      <c r="D12745" t="str">
        <f>TEST_DATA!D12745</f>
        <v>NIL</v>
      </c>
      <c r="E12745">
        <f>TEST_DATA!E12745</f>
        <v>729</v>
      </c>
    </row>
    <row r="12746" spans="1:5" x14ac:dyDescent="0.55000000000000004">
      <c r="A12746" t="str">
        <f>TEST_DATA!A12746</f>
        <v>27AAAAA12746Z5</v>
      </c>
      <c r="B12746" t="str">
        <f>TEST_DATA!B12746</f>
        <v>Mar-2023</v>
      </c>
      <c r="C12746">
        <f>TEST_DATA!C12746</f>
        <v>44531</v>
      </c>
      <c r="D12746" t="str">
        <f>TEST_DATA!D12746</f>
        <v>NON-NIL</v>
      </c>
      <c r="E12746">
        <f>TEST_DATA!E12746</f>
        <v>2362</v>
      </c>
    </row>
    <row r="12747" spans="1:5" x14ac:dyDescent="0.55000000000000004">
      <c r="A12747" t="str">
        <f>TEST_DATA!A12747</f>
        <v>27AAAAA12747Z5</v>
      </c>
      <c r="B12747" t="str">
        <f>TEST_DATA!B12747</f>
        <v>Mar-2018</v>
      </c>
      <c r="C12747">
        <f>TEST_DATA!C12747</f>
        <v>43992</v>
      </c>
      <c r="D12747" t="str">
        <f>TEST_DATA!D12747</f>
        <v>NON-NIL</v>
      </c>
      <c r="E12747">
        <f>TEST_DATA!E12747</f>
        <v>2914</v>
      </c>
    </row>
    <row r="12748" spans="1:5" x14ac:dyDescent="0.55000000000000004">
      <c r="A12748" t="str">
        <f>TEST_DATA!A12748</f>
        <v>27AAAAA12748Z5</v>
      </c>
      <c r="B12748" t="str">
        <f>TEST_DATA!B12748</f>
        <v>Jan-2021</v>
      </c>
      <c r="C12748">
        <f>TEST_DATA!C12748</f>
        <v>43890</v>
      </c>
      <c r="D12748" t="str">
        <f>TEST_DATA!D12748</f>
        <v>NIL</v>
      </c>
      <c r="E12748">
        <f>TEST_DATA!E12748</f>
        <v>864</v>
      </c>
    </row>
    <row r="12749" spans="1:5" x14ac:dyDescent="0.55000000000000004">
      <c r="A12749" t="str">
        <f>TEST_DATA!A12749</f>
        <v>27AAAAA12749Z5</v>
      </c>
      <c r="B12749" t="str">
        <f>TEST_DATA!B12749</f>
        <v>Nov-2017</v>
      </c>
      <c r="C12749">
        <f>TEST_DATA!C12749</f>
        <v>44410</v>
      </c>
      <c r="D12749" t="str">
        <f>TEST_DATA!D12749</f>
        <v>NIL</v>
      </c>
      <c r="E12749">
        <f>TEST_DATA!E12749</f>
        <v>742</v>
      </c>
    </row>
    <row r="12750" spans="1:5" x14ac:dyDescent="0.55000000000000004">
      <c r="A12750" t="str">
        <f>TEST_DATA!A12750</f>
        <v>27AAAAA12750Z5</v>
      </c>
      <c r="B12750" t="str">
        <f>TEST_DATA!B12750</f>
        <v>Feb-2018</v>
      </c>
      <c r="C12750">
        <f>TEST_DATA!C12750</f>
        <v>43265</v>
      </c>
      <c r="D12750" t="str">
        <f>TEST_DATA!D12750</f>
        <v>NIL</v>
      </c>
      <c r="E12750">
        <f>TEST_DATA!E12750</f>
        <v>2284</v>
      </c>
    </row>
    <row r="12751" spans="1:5" x14ac:dyDescent="0.55000000000000004">
      <c r="A12751" t="str">
        <f>TEST_DATA!A12751</f>
        <v>27AAAAA12751Z5</v>
      </c>
      <c r="B12751" t="str">
        <f>TEST_DATA!B12751</f>
        <v>Jan-2019</v>
      </c>
      <c r="C12751">
        <f>TEST_DATA!C12751</f>
        <v>44487</v>
      </c>
      <c r="D12751" t="str">
        <f>TEST_DATA!D12751</f>
        <v>NON-NIL</v>
      </c>
      <c r="E12751">
        <f>TEST_DATA!E12751</f>
        <v>2883</v>
      </c>
    </row>
    <row r="12752" spans="1:5" x14ac:dyDescent="0.55000000000000004">
      <c r="A12752" t="str">
        <f>TEST_DATA!A12752</f>
        <v>27AAAAA12752Z5</v>
      </c>
      <c r="B12752" t="str">
        <f>TEST_DATA!B12752</f>
        <v>Mar-2023</v>
      </c>
      <c r="C12752">
        <f>TEST_DATA!C12752</f>
        <v>45409</v>
      </c>
      <c r="D12752" t="str">
        <f>TEST_DATA!D12752</f>
        <v>NIL</v>
      </c>
      <c r="E12752">
        <f>TEST_DATA!E12752</f>
        <v>2947</v>
      </c>
    </row>
    <row r="12753" spans="1:5" x14ac:dyDescent="0.55000000000000004">
      <c r="A12753" t="str">
        <f>TEST_DATA!A12753</f>
        <v>27AAAAA12753Z5</v>
      </c>
      <c r="B12753" t="str">
        <f>TEST_DATA!B12753</f>
        <v>Mar-2020</v>
      </c>
      <c r="C12753">
        <f>TEST_DATA!C12753</f>
        <v>44454</v>
      </c>
      <c r="D12753" t="str">
        <f>TEST_DATA!D12753</f>
        <v>NIL</v>
      </c>
      <c r="E12753">
        <f>TEST_DATA!E12753</f>
        <v>2395</v>
      </c>
    </row>
    <row r="12754" spans="1:5" x14ac:dyDescent="0.55000000000000004">
      <c r="A12754" t="str">
        <f>TEST_DATA!A12754</f>
        <v>27AAAAA12754Z5</v>
      </c>
      <c r="B12754" t="str">
        <f>TEST_DATA!B12754</f>
        <v>Dec-2022</v>
      </c>
      <c r="C12754">
        <f>TEST_DATA!C12754</f>
        <v>43895</v>
      </c>
      <c r="D12754" t="str">
        <f>TEST_DATA!D12754</f>
        <v>NIL</v>
      </c>
      <c r="E12754">
        <f>TEST_DATA!E12754</f>
        <v>1966</v>
      </c>
    </row>
    <row r="12755" spans="1:5" x14ac:dyDescent="0.55000000000000004">
      <c r="A12755" t="str">
        <f>TEST_DATA!A12755</f>
        <v>27AAAAA12755Z5</v>
      </c>
      <c r="B12755" t="str">
        <f>TEST_DATA!B12755</f>
        <v>Jul-2017</v>
      </c>
      <c r="C12755">
        <f>TEST_DATA!C12755</f>
        <v>43995</v>
      </c>
      <c r="D12755" t="str">
        <f>TEST_DATA!D12755</f>
        <v>NON-NIL</v>
      </c>
      <c r="E12755">
        <f>TEST_DATA!E12755</f>
        <v>2301</v>
      </c>
    </row>
    <row r="12756" spans="1:5" x14ac:dyDescent="0.55000000000000004">
      <c r="A12756" t="str">
        <f>TEST_DATA!A12756</f>
        <v>27AAAAA12756Z5</v>
      </c>
      <c r="B12756" t="str">
        <f>TEST_DATA!B12756</f>
        <v>Dec-2024</v>
      </c>
      <c r="C12756">
        <f>TEST_DATA!C12756</f>
        <v>45266</v>
      </c>
      <c r="D12756" t="str">
        <f>TEST_DATA!D12756</f>
        <v>NIL</v>
      </c>
      <c r="E12756">
        <f>TEST_DATA!E12756</f>
        <v>1964</v>
      </c>
    </row>
    <row r="12757" spans="1:5" x14ac:dyDescent="0.55000000000000004">
      <c r="A12757" t="str">
        <f>TEST_DATA!A12757</f>
        <v>27AAAAA12757Z5</v>
      </c>
      <c r="B12757" t="str">
        <f>TEST_DATA!B12757</f>
        <v>Apr-2020</v>
      </c>
      <c r="C12757">
        <f>TEST_DATA!C12757</f>
        <v>44178</v>
      </c>
      <c r="D12757" t="str">
        <f>TEST_DATA!D12757</f>
        <v>NIL</v>
      </c>
      <c r="E12757">
        <f>TEST_DATA!E12757</f>
        <v>922</v>
      </c>
    </row>
    <row r="12758" spans="1:5" x14ac:dyDescent="0.55000000000000004">
      <c r="A12758" t="str">
        <f>TEST_DATA!A12758</f>
        <v>27AAAAA12758Z5</v>
      </c>
      <c r="B12758" t="str">
        <f>TEST_DATA!B12758</f>
        <v>Oct-2017</v>
      </c>
      <c r="C12758">
        <f>TEST_DATA!C12758</f>
        <v>43785</v>
      </c>
      <c r="D12758" t="str">
        <f>TEST_DATA!D12758</f>
        <v>NIL</v>
      </c>
      <c r="E12758">
        <f>TEST_DATA!E12758</f>
        <v>575</v>
      </c>
    </row>
    <row r="12759" spans="1:5" x14ac:dyDescent="0.55000000000000004">
      <c r="A12759" t="str">
        <f>TEST_DATA!A12759</f>
        <v>27AAAAA12759Z5</v>
      </c>
      <c r="B12759" t="str">
        <f>TEST_DATA!B12759</f>
        <v>Jul-2018</v>
      </c>
      <c r="C12759">
        <f>TEST_DATA!C12759</f>
        <v>44247</v>
      </c>
      <c r="D12759" t="str">
        <f>TEST_DATA!D12759</f>
        <v>NIL</v>
      </c>
      <c r="E12759">
        <f>TEST_DATA!E12759</f>
        <v>2112</v>
      </c>
    </row>
    <row r="12760" spans="1:5" x14ac:dyDescent="0.55000000000000004">
      <c r="A12760" t="str">
        <f>TEST_DATA!A12760</f>
        <v>27AAAAA12760Z5</v>
      </c>
      <c r="B12760" t="str">
        <f>TEST_DATA!B12760</f>
        <v>Jul-2017</v>
      </c>
      <c r="C12760">
        <f>TEST_DATA!C12760</f>
        <v>44181</v>
      </c>
      <c r="D12760" t="str">
        <f>TEST_DATA!D12760</f>
        <v>NIL</v>
      </c>
      <c r="E12760">
        <f>TEST_DATA!E12760</f>
        <v>1828</v>
      </c>
    </row>
    <row r="12761" spans="1:5" x14ac:dyDescent="0.55000000000000004">
      <c r="A12761" t="str">
        <f>TEST_DATA!A12761</f>
        <v>27AAAAA12761Z5</v>
      </c>
      <c r="B12761" t="str">
        <f>TEST_DATA!B12761</f>
        <v>Sep-2017</v>
      </c>
      <c r="C12761">
        <f>TEST_DATA!C12761</f>
        <v>43679</v>
      </c>
      <c r="D12761" t="str">
        <f>TEST_DATA!D12761</f>
        <v>NIL</v>
      </c>
      <c r="E12761">
        <f>TEST_DATA!E12761</f>
        <v>2558</v>
      </c>
    </row>
    <row r="12762" spans="1:5" x14ac:dyDescent="0.55000000000000004">
      <c r="A12762" t="str">
        <f>TEST_DATA!A12762</f>
        <v>27AAAAA12762Z5</v>
      </c>
      <c r="B12762" t="str">
        <f>TEST_DATA!B12762</f>
        <v>Feb-2018</v>
      </c>
      <c r="C12762">
        <f>TEST_DATA!C12762</f>
        <v>43069</v>
      </c>
      <c r="D12762" t="str">
        <f>TEST_DATA!D12762</f>
        <v>NON-NIL</v>
      </c>
      <c r="E12762">
        <f>TEST_DATA!E12762</f>
        <v>2225</v>
      </c>
    </row>
    <row r="12763" spans="1:5" x14ac:dyDescent="0.55000000000000004">
      <c r="A12763" t="str">
        <f>TEST_DATA!A12763</f>
        <v>27AAAAA12763Z5</v>
      </c>
      <c r="B12763" t="str">
        <f>TEST_DATA!B12763</f>
        <v>Apr-2018</v>
      </c>
      <c r="C12763">
        <f>TEST_DATA!C12763</f>
        <v>43469</v>
      </c>
      <c r="D12763" t="str">
        <f>TEST_DATA!D12763</f>
        <v>NIL</v>
      </c>
      <c r="E12763">
        <f>TEST_DATA!E12763</f>
        <v>2213</v>
      </c>
    </row>
    <row r="12764" spans="1:5" x14ac:dyDescent="0.55000000000000004">
      <c r="A12764" t="str">
        <f>TEST_DATA!A12764</f>
        <v>27AAAAA12764Z5</v>
      </c>
      <c r="B12764" t="str">
        <f>TEST_DATA!B12764</f>
        <v>Jul-2017</v>
      </c>
      <c r="C12764">
        <f>TEST_DATA!C12764</f>
        <v>43321</v>
      </c>
      <c r="D12764" t="str">
        <f>TEST_DATA!D12764</f>
        <v>NON-NIL</v>
      </c>
      <c r="E12764">
        <f>TEST_DATA!E12764</f>
        <v>2613</v>
      </c>
    </row>
    <row r="12765" spans="1:5" x14ac:dyDescent="0.55000000000000004">
      <c r="A12765" t="str">
        <f>TEST_DATA!A12765</f>
        <v>27AAAAA12765Z5</v>
      </c>
      <c r="B12765" t="str">
        <f>TEST_DATA!B12765</f>
        <v>Mar-2018</v>
      </c>
      <c r="C12765">
        <f>TEST_DATA!C12765</f>
        <v>44248</v>
      </c>
      <c r="D12765" t="str">
        <f>TEST_DATA!D12765</f>
        <v>NON-NIL</v>
      </c>
      <c r="E12765">
        <f>TEST_DATA!E12765</f>
        <v>947</v>
      </c>
    </row>
    <row r="12766" spans="1:5" x14ac:dyDescent="0.55000000000000004">
      <c r="A12766" t="str">
        <f>TEST_DATA!A12766</f>
        <v>27AAAAA12766Z5</v>
      </c>
      <c r="B12766" t="str">
        <f>TEST_DATA!B12766</f>
        <v>Dec-2019</v>
      </c>
      <c r="C12766">
        <f>TEST_DATA!C12766</f>
        <v>43971</v>
      </c>
      <c r="D12766" t="str">
        <f>TEST_DATA!D12766</f>
        <v>NIL</v>
      </c>
      <c r="E12766">
        <f>TEST_DATA!E12766</f>
        <v>914</v>
      </c>
    </row>
    <row r="12767" spans="1:5" x14ac:dyDescent="0.55000000000000004">
      <c r="A12767" t="str">
        <f>TEST_DATA!A12767</f>
        <v>27AAAAA12767Z5</v>
      </c>
      <c r="B12767" t="str">
        <f>TEST_DATA!B12767</f>
        <v>Apr-2021</v>
      </c>
      <c r="C12767">
        <f>TEST_DATA!C12767</f>
        <v>44321</v>
      </c>
      <c r="D12767" t="str">
        <f>TEST_DATA!D12767</f>
        <v>NON-NIL</v>
      </c>
      <c r="E12767">
        <f>TEST_DATA!E12767</f>
        <v>250</v>
      </c>
    </row>
    <row r="12768" spans="1:5" x14ac:dyDescent="0.55000000000000004">
      <c r="A12768" t="str">
        <f>TEST_DATA!A12768</f>
        <v>27AAAAA12768Z5</v>
      </c>
      <c r="B12768" t="str">
        <f>TEST_DATA!B12768</f>
        <v>Jun-2020</v>
      </c>
      <c r="C12768">
        <f>TEST_DATA!C12768</f>
        <v>44343</v>
      </c>
      <c r="D12768" t="str">
        <f>TEST_DATA!D12768</f>
        <v>NON-NIL</v>
      </c>
      <c r="E12768">
        <f>TEST_DATA!E12768</f>
        <v>1620</v>
      </c>
    </row>
    <row r="12769" spans="1:5" x14ac:dyDescent="0.55000000000000004">
      <c r="A12769" t="str">
        <f>TEST_DATA!A12769</f>
        <v>27AAAAA12769Z5</v>
      </c>
      <c r="B12769" t="str">
        <f>TEST_DATA!B12769</f>
        <v>Dec-2017</v>
      </c>
      <c r="C12769">
        <f>TEST_DATA!C12769</f>
        <v>43544</v>
      </c>
      <c r="D12769" t="str">
        <f>TEST_DATA!D12769</f>
        <v>NON-NIL</v>
      </c>
      <c r="E12769">
        <f>TEST_DATA!E12769</f>
        <v>1282</v>
      </c>
    </row>
    <row r="12770" spans="1:5" x14ac:dyDescent="0.55000000000000004">
      <c r="A12770" t="str">
        <f>TEST_DATA!A12770</f>
        <v>27AAAAA12770Z5</v>
      </c>
      <c r="B12770" t="str">
        <f>TEST_DATA!B12770</f>
        <v>Apr-2018</v>
      </c>
      <c r="C12770">
        <f>TEST_DATA!C12770</f>
        <v>42980</v>
      </c>
      <c r="D12770" t="str">
        <f>TEST_DATA!D12770</f>
        <v>NON-NIL</v>
      </c>
      <c r="E12770">
        <f>TEST_DATA!E12770</f>
        <v>1999</v>
      </c>
    </row>
    <row r="12771" spans="1:5" x14ac:dyDescent="0.55000000000000004">
      <c r="A12771" t="str">
        <f>TEST_DATA!A12771</f>
        <v>27AAAAA12771Z5</v>
      </c>
      <c r="B12771" t="str">
        <f>TEST_DATA!B12771</f>
        <v>Dec-2024</v>
      </c>
      <c r="C12771">
        <f>TEST_DATA!C12771</f>
        <v>43528</v>
      </c>
      <c r="D12771" t="str">
        <f>TEST_DATA!D12771</f>
        <v>NIL</v>
      </c>
      <c r="E12771">
        <f>TEST_DATA!E12771</f>
        <v>1314</v>
      </c>
    </row>
    <row r="12772" spans="1:5" x14ac:dyDescent="0.55000000000000004">
      <c r="A12772" t="str">
        <f>TEST_DATA!A12772</f>
        <v>27AAAAA12772Z5</v>
      </c>
      <c r="B12772" t="str">
        <f>TEST_DATA!B12772</f>
        <v>Feb-2018</v>
      </c>
      <c r="C12772">
        <f>TEST_DATA!C12772</f>
        <v>43646</v>
      </c>
      <c r="D12772" t="str">
        <f>TEST_DATA!D12772</f>
        <v>NON-NIL</v>
      </c>
      <c r="E12772">
        <f>TEST_DATA!E12772</f>
        <v>2662</v>
      </c>
    </row>
    <row r="12773" spans="1:5" x14ac:dyDescent="0.55000000000000004">
      <c r="A12773" t="str">
        <f>TEST_DATA!A12773</f>
        <v>27AAAAA12773Z5</v>
      </c>
      <c r="B12773" t="str">
        <f>TEST_DATA!B12773</f>
        <v>Jun-2019</v>
      </c>
      <c r="C12773">
        <f>TEST_DATA!C12773</f>
        <v>45590</v>
      </c>
      <c r="D12773" t="str">
        <f>TEST_DATA!D12773</f>
        <v>NIL</v>
      </c>
      <c r="E12773">
        <f>TEST_DATA!E12773</f>
        <v>837</v>
      </c>
    </row>
    <row r="12774" spans="1:5" x14ac:dyDescent="0.55000000000000004">
      <c r="A12774" t="str">
        <f>TEST_DATA!A12774</f>
        <v>27AAAAA12774Z5</v>
      </c>
      <c r="B12774" t="str">
        <f>TEST_DATA!B12774</f>
        <v>Mar-2018</v>
      </c>
      <c r="C12774">
        <f>TEST_DATA!C12774</f>
        <v>44047</v>
      </c>
      <c r="D12774" t="str">
        <f>TEST_DATA!D12774</f>
        <v>NIL</v>
      </c>
      <c r="E12774">
        <f>TEST_DATA!E12774</f>
        <v>2732</v>
      </c>
    </row>
    <row r="12775" spans="1:5" x14ac:dyDescent="0.55000000000000004">
      <c r="A12775" t="str">
        <f>TEST_DATA!A12775</f>
        <v>27AAAAA12775Z5</v>
      </c>
      <c r="B12775" t="str">
        <f>TEST_DATA!B12775</f>
        <v>Oct-2017</v>
      </c>
      <c r="C12775">
        <f>TEST_DATA!C12775</f>
        <v>44512</v>
      </c>
      <c r="D12775" t="str">
        <f>TEST_DATA!D12775</f>
        <v>NIL</v>
      </c>
      <c r="E12775">
        <f>TEST_DATA!E12775</f>
        <v>2735</v>
      </c>
    </row>
    <row r="12776" spans="1:5" x14ac:dyDescent="0.55000000000000004">
      <c r="A12776" t="str">
        <f>TEST_DATA!A12776</f>
        <v>27AAAAA12776Z5</v>
      </c>
      <c r="B12776" t="str">
        <f>TEST_DATA!B12776</f>
        <v>Dec-2019</v>
      </c>
      <c r="C12776">
        <f>TEST_DATA!C12776</f>
        <v>44199</v>
      </c>
      <c r="D12776" t="str">
        <f>TEST_DATA!D12776</f>
        <v>NIL</v>
      </c>
      <c r="E12776">
        <f>TEST_DATA!E12776</f>
        <v>2119</v>
      </c>
    </row>
    <row r="12777" spans="1:5" x14ac:dyDescent="0.55000000000000004">
      <c r="A12777" t="str">
        <f>TEST_DATA!A12777</f>
        <v>27AAAAA12777Z5</v>
      </c>
      <c r="B12777" t="str">
        <f>TEST_DATA!B12777</f>
        <v>May-2018</v>
      </c>
      <c r="C12777">
        <f>TEST_DATA!C12777</f>
        <v>43035</v>
      </c>
      <c r="D12777" t="str">
        <f>TEST_DATA!D12777</f>
        <v>NIL</v>
      </c>
      <c r="E12777">
        <f>TEST_DATA!E12777</f>
        <v>2986</v>
      </c>
    </row>
    <row r="12778" spans="1:5" x14ac:dyDescent="0.55000000000000004">
      <c r="A12778" t="str">
        <f>TEST_DATA!A12778</f>
        <v>27AAAAA12778Z5</v>
      </c>
      <c r="B12778" t="str">
        <f>TEST_DATA!B12778</f>
        <v>Dec-2019</v>
      </c>
      <c r="C12778">
        <f>TEST_DATA!C12778</f>
        <v>44614</v>
      </c>
      <c r="D12778" t="str">
        <f>TEST_DATA!D12778</f>
        <v>NON-NIL</v>
      </c>
      <c r="E12778">
        <f>TEST_DATA!E12778</f>
        <v>1971</v>
      </c>
    </row>
    <row r="12779" spans="1:5" x14ac:dyDescent="0.55000000000000004">
      <c r="A12779" t="str">
        <f>TEST_DATA!A12779</f>
        <v>27AAAAA12779Z5</v>
      </c>
      <c r="B12779" t="str">
        <f>TEST_DATA!B12779</f>
        <v>Mar-2020</v>
      </c>
      <c r="C12779">
        <f>TEST_DATA!C12779</f>
        <v>44170</v>
      </c>
      <c r="D12779" t="str">
        <f>TEST_DATA!D12779</f>
        <v>NON-NIL</v>
      </c>
      <c r="E12779">
        <f>TEST_DATA!E12779</f>
        <v>2111</v>
      </c>
    </row>
    <row r="12780" spans="1:5" x14ac:dyDescent="0.55000000000000004">
      <c r="A12780" t="str">
        <f>TEST_DATA!A12780</f>
        <v>27AAAAA12780Z5</v>
      </c>
      <c r="B12780" t="str">
        <f>TEST_DATA!B12780</f>
        <v>Jan-2019</v>
      </c>
      <c r="C12780">
        <f>TEST_DATA!C12780</f>
        <v>44916</v>
      </c>
      <c r="D12780" t="str">
        <f>TEST_DATA!D12780</f>
        <v>NIL</v>
      </c>
      <c r="E12780">
        <f>TEST_DATA!E12780</f>
        <v>1902</v>
      </c>
    </row>
    <row r="12781" spans="1:5" x14ac:dyDescent="0.55000000000000004">
      <c r="A12781" t="str">
        <f>TEST_DATA!A12781</f>
        <v>27AAAAA12781Z5</v>
      </c>
      <c r="B12781" t="str">
        <f>TEST_DATA!B12781</f>
        <v>Sep-2017</v>
      </c>
      <c r="C12781">
        <f>TEST_DATA!C12781</f>
        <v>43677</v>
      </c>
      <c r="D12781" t="str">
        <f>TEST_DATA!D12781</f>
        <v>NON-NIL</v>
      </c>
      <c r="E12781">
        <f>TEST_DATA!E12781</f>
        <v>1207</v>
      </c>
    </row>
    <row r="12782" spans="1:5" x14ac:dyDescent="0.55000000000000004">
      <c r="A12782" t="str">
        <f>TEST_DATA!A12782</f>
        <v>27AAAAA12782Z5</v>
      </c>
      <c r="B12782" t="str">
        <f>TEST_DATA!B12782</f>
        <v>Oct-2017</v>
      </c>
      <c r="C12782">
        <f>TEST_DATA!C12782</f>
        <v>43574</v>
      </c>
      <c r="D12782" t="str">
        <f>TEST_DATA!D12782</f>
        <v>NIL</v>
      </c>
      <c r="E12782">
        <f>TEST_DATA!E12782</f>
        <v>886</v>
      </c>
    </row>
    <row r="12783" spans="1:5" x14ac:dyDescent="0.55000000000000004">
      <c r="A12783" t="str">
        <f>TEST_DATA!A12783</f>
        <v>27AAAAA12783Z5</v>
      </c>
      <c r="B12783" t="str">
        <f>TEST_DATA!B12783</f>
        <v>Jan-2021</v>
      </c>
      <c r="C12783">
        <f>TEST_DATA!C12783</f>
        <v>43602</v>
      </c>
      <c r="D12783" t="str">
        <f>TEST_DATA!D12783</f>
        <v>NON-NIL</v>
      </c>
      <c r="E12783">
        <f>TEST_DATA!E12783</f>
        <v>66</v>
      </c>
    </row>
    <row r="12784" spans="1:5" x14ac:dyDescent="0.55000000000000004">
      <c r="A12784" t="str">
        <f>TEST_DATA!A12784</f>
        <v>27AAAAA12784Z5</v>
      </c>
      <c r="B12784" t="str">
        <f>TEST_DATA!B12784</f>
        <v>Jul-2018</v>
      </c>
      <c r="C12784">
        <f>TEST_DATA!C12784</f>
        <v>43758</v>
      </c>
      <c r="D12784" t="str">
        <f>TEST_DATA!D12784</f>
        <v>NON-NIL</v>
      </c>
      <c r="E12784">
        <f>TEST_DATA!E12784</f>
        <v>2789</v>
      </c>
    </row>
    <row r="12785" spans="1:5" x14ac:dyDescent="0.55000000000000004">
      <c r="A12785" t="str">
        <f>TEST_DATA!A12785</f>
        <v>27AAAAA12785Z5</v>
      </c>
      <c r="B12785" t="str">
        <f>TEST_DATA!B12785</f>
        <v>Dec-2024</v>
      </c>
      <c r="C12785">
        <f>TEST_DATA!C12785</f>
        <v>45487</v>
      </c>
      <c r="D12785" t="str">
        <f>TEST_DATA!D12785</f>
        <v>NIL</v>
      </c>
      <c r="E12785">
        <f>TEST_DATA!E12785</f>
        <v>2640</v>
      </c>
    </row>
    <row r="12786" spans="1:5" x14ac:dyDescent="0.55000000000000004">
      <c r="A12786" t="str">
        <f>TEST_DATA!A12786</f>
        <v>27AAAAA12786Z5</v>
      </c>
      <c r="B12786" t="str">
        <f>TEST_DATA!B12786</f>
        <v>Dec-2024</v>
      </c>
      <c r="C12786">
        <f>TEST_DATA!C12786</f>
        <v>45110</v>
      </c>
      <c r="D12786" t="str">
        <f>TEST_DATA!D12786</f>
        <v>NIL</v>
      </c>
      <c r="E12786">
        <f>TEST_DATA!E12786</f>
        <v>954</v>
      </c>
    </row>
    <row r="12787" spans="1:5" x14ac:dyDescent="0.55000000000000004">
      <c r="A12787" t="str">
        <f>TEST_DATA!A12787</f>
        <v>27AAAAA12787Z5</v>
      </c>
      <c r="B12787" t="str">
        <f>TEST_DATA!B12787</f>
        <v>Sep-2017</v>
      </c>
      <c r="C12787">
        <f>TEST_DATA!C12787</f>
        <v>43121</v>
      </c>
      <c r="D12787" t="str">
        <f>TEST_DATA!D12787</f>
        <v>NIL</v>
      </c>
      <c r="E12787">
        <f>TEST_DATA!E12787</f>
        <v>2943</v>
      </c>
    </row>
    <row r="12788" spans="1:5" x14ac:dyDescent="0.55000000000000004">
      <c r="A12788" t="str">
        <f>TEST_DATA!A12788</f>
        <v>27AAAAA12788Z5</v>
      </c>
      <c r="B12788" t="str">
        <f>TEST_DATA!B12788</f>
        <v>Aug-2018</v>
      </c>
      <c r="C12788">
        <f>TEST_DATA!C12788</f>
        <v>44344</v>
      </c>
      <c r="D12788" t="str">
        <f>TEST_DATA!D12788</f>
        <v>NIL</v>
      </c>
      <c r="E12788">
        <f>TEST_DATA!E12788</f>
        <v>427</v>
      </c>
    </row>
    <row r="12789" spans="1:5" x14ac:dyDescent="0.55000000000000004">
      <c r="A12789" t="str">
        <f>TEST_DATA!A12789</f>
        <v>27AAAAA12789Z5</v>
      </c>
      <c r="B12789" t="str">
        <f>TEST_DATA!B12789</f>
        <v>Mar-2020</v>
      </c>
      <c r="C12789">
        <f>TEST_DATA!C12789</f>
        <v>44511</v>
      </c>
      <c r="D12789" t="str">
        <f>TEST_DATA!D12789</f>
        <v>NON-NIL</v>
      </c>
      <c r="E12789">
        <f>TEST_DATA!E12789</f>
        <v>902</v>
      </c>
    </row>
    <row r="12790" spans="1:5" x14ac:dyDescent="0.55000000000000004">
      <c r="A12790" t="str">
        <f>TEST_DATA!A12790</f>
        <v>27AAAAA12790Z5</v>
      </c>
      <c r="B12790" t="str">
        <f>TEST_DATA!B12790</f>
        <v>Jul-2017</v>
      </c>
      <c r="C12790">
        <f>TEST_DATA!C12790</f>
        <v>44135</v>
      </c>
      <c r="D12790" t="str">
        <f>TEST_DATA!D12790</f>
        <v>NIL</v>
      </c>
      <c r="E12790">
        <f>TEST_DATA!E12790</f>
        <v>2007</v>
      </c>
    </row>
    <row r="12791" spans="1:5" x14ac:dyDescent="0.55000000000000004">
      <c r="A12791" t="str">
        <f>TEST_DATA!A12791</f>
        <v>27AAAAA12791Z5</v>
      </c>
      <c r="B12791" t="str">
        <f>TEST_DATA!B12791</f>
        <v>Jan-2018</v>
      </c>
      <c r="C12791">
        <f>TEST_DATA!C12791</f>
        <v>44404</v>
      </c>
      <c r="D12791" t="str">
        <f>TEST_DATA!D12791</f>
        <v>NIL</v>
      </c>
      <c r="E12791">
        <f>TEST_DATA!E12791</f>
        <v>779</v>
      </c>
    </row>
    <row r="12792" spans="1:5" x14ac:dyDescent="0.55000000000000004">
      <c r="A12792" t="str">
        <f>TEST_DATA!A12792</f>
        <v>27AAAAA12792Z5</v>
      </c>
      <c r="B12792" t="str">
        <f>TEST_DATA!B12792</f>
        <v>Mar-2018</v>
      </c>
      <c r="C12792">
        <f>TEST_DATA!C12792</f>
        <v>44320</v>
      </c>
      <c r="D12792" t="str">
        <f>TEST_DATA!D12792</f>
        <v>NIL</v>
      </c>
      <c r="E12792">
        <f>TEST_DATA!E12792</f>
        <v>943</v>
      </c>
    </row>
    <row r="12793" spans="1:5" x14ac:dyDescent="0.55000000000000004">
      <c r="A12793" t="str">
        <f>TEST_DATA!A12793</f>
        <v>27AAAAA12793Z5</v>
      </c>
      <c r="B12793" t="str">
        <f>TEST_DATA!B12793</f>
        <v>Jan-2019</v>
      </c>
      <c r="C12793">
        <f>TEST_DATA!C12793</f>
        <v>45484</v>
      </c>
      <c r="D12793" t="str">
        <f>TEST_DATA!D12793</f>
        <v>NIL</v>
      </c>
      <c r="E12793">
        <f>TEST_DATA!E12793</f>
        <v>1910</v>
      </c>
    </row>
    <row r="12794" spans="1:5" x14ac:dyDescent="0.55000000000000004">
      <c r="A12794" t="str">
        <f>TEST_DATA!A12794</f>
        <v>27AAAAA12794Z5</v>
      </c>
      <c r="B12794" t="str">
        <f>TEST_DATA!B12794</f>
        <v>Jul-2017</v>
      </c>
      <c r="C12794">
        <f>TEST_DATA!C12794</f>
        <v>44502</v>
      </c>
      <c r="D12794" t="str">
        <f>TEST_DATA!D12794</f>
        <v>NIL</v>
      </c>
      <c r="E12794">
        <f>TEST_DATA!E12794</f>
        <v>1989</v>
      </c>
    </row>
    <row r="12795" spans="1:5" x14ac:dyDescent="0.55000000000000004">
      <c r="A12795" t="str">
        <f>TEST_DATA!A12795</f>
        <v>27AAAAA12795Z5</v>
      </c>
      <c r="B12795" t="str">
        <f>TEST_DATA!B12795</f>
        <v>Mar-2020</v>
      </c>
      <c r="C12795">
        <f>TEST_DATA!C12795</f>
        <v>44263</v>
      </c>
      <c r="D12795" t="str">
        <f>TEST_DATA!D12795</f>
        <v>NIL</v>
      </c>
      <c r="E12795">
        <f>TEST_DATA!E12795</f>
        <v>1696</v>
      </c>
    </row>
    <row r="12796" spans="1:5" x14ac:dyDescent="0.55000000000000004">
      <c r="A12796" t="str">
        <f>TEST_DATA!A12796</f>
        <v>27AAAAA12796Z5</v>
      </c>
      <c r="B12796" t="str">
        <f>TEST_DATA!B12796</f>
        <v>Oct-2017</v>
      </c>
      <c r="C12796">
        <f>TEST_DATA!C12796</f>
        <v>44019</v>
      </c>
      <c r="D12796" t="str">
        <f>TEST_DATA!D12796</f>
        <v>NIL</v>
      </c>
      <c r="E12796">
        <f>TEST_DATA!E12796</f>
        <v>208</v>
      </c>
    </row>
    <row r="12797" spans="1:5" x14ac:dyDescent="0.55000000000000004">
      <c r="A12797" t="str">
        <f>TEST_DATA!A12797</f>
        <v>27AAAAA12797Z5</v>
      </c>
      <c r="B12797" t="str">
        <f>TEST_DATA!B12797</f>
        <v>Dec-2024</v>
      </c>
      <c r="C12797">
        <f>TEST_DATA!C12797</f>
        <v>43525</v>
      </c>
      <c r="D12797" t="str">
        <f>TEST_DATA!D12797</f>
        <v>NON-NIL</v>
      </c>
      <c r="E12797">
        <f>TEST_DATA!E12797</f>
        <v>1519</v>
      </c>
    </row>
    <row r="12798" spans="1:5" x14ac:dyDescent="0.55000000000000004">
      <c r="A12798" t="str">
        <f>TEST_DATA!A12798</f>
        <v>27AAAAA12798Z5</v>
      </c>
      <c r="B12798" t="str">
        <f>TEST_DATA!B12798</f>
        <v>Jun-2019</v>
      </c>
      <c r="C12798">
        <f>TEST_DATA!C12798</f>
        <v>43996</v>
      </c>
      <c r="D12798" t="str">
        <f>TEST_DATA!D12798</f>
        <v>NIL</v>
      </c>
      <c r="E12798">
        <f>TEST_DATA!E12798</f>
        <v>1953</v>
      </c>
    </row>
    <row r="12799" spans="1:5" x14ac:dyDescent="0.55000000000000004">
      <c r="A12799" t="str">
        <f>TEST_DATA!A12799</f>
        <v>27AAAAA12799Z5</v>
      </c>
      <c r="B12799" t="str">
        <f>TEST_DATA!B12799</f>
        <v>Nov-2017</v>
      </c>
      <c r="C12799">
        <f>TEST_DATA!C12799</f>
        <v>43114</v>
      </c>
      <c r="D12799" t="str">
        <f>TEST_DATA!D12799</f>
        <v>NON-NIL</v>
      </c>
      <c r="E12799">
        <f>TEST_DATA!E12799</f>
        <v>747</v>
      </c>
    </row>
    <row r="12800" spans="1:5" x14ac:dyDescent="0.55000000000000004">
      <c r="A12800" t="str">
        <f>TEST_DATA!A12800</f>
        <v>27AAAAA12800Z5</v>
      </c>
      <c r="B12800" t="str">
        <f>TEST_DATA!B12800</f>
        <v>Dec-2022</v>
      </c>
      <c r="C12800">
        <f>TEST_DATA!C12800</f>
        <v>44573</v>
      </c>
      <c r="D12800" t="str">
        <f>TEST_DATA!D12800</f>
        <v>NON-NIL</v>
      </c>
      <c r="E12800">
        <f>TEST_DATA!E12800</f>
        <v>2837</v>
      </c>
    </row>
    <row r="12801" spans="1:5" x14ac:dyDescent="0.55000000000000004">
      <c r="A12801" t="str">
        <f>TEST_DATA!A12801</f>
        <v>27AAAAA12801Z5</v>
      </c>
      <c r="B12801" t="str">
        <f>TEST_DATA!B12801</f>
        <v>Apr-2018</v>
      </c>
      <c r="C12801">
        <f>TEST_DATA!C12801</f>
        <v>43177</v>
      </c>
      <c r="D12801" t="str">
        <f>TEST_DATA!D12801</f>
        <v>NON-NIL</v>
      </c>
      <c r="E12801">
        <f>TEST_DATA!E12801</f>
        <v>1767</v>
      </c>
    </row>
    <row r="12802" spans="1:5" x14ac:dyDescent="0.55000000000000004">
      <c r="A12802" t="str">
        <f>TEST_DATA!A12802</f>
        <v>27AAAAA12802Z5</v>
      </c>
      <c r="B12802" t="str">
        <f>TEST_DATA!B12802</f>
        <v>Dec-2019</v>
      </c>
      <c r="C12802">
        <f>TEST_DATA!C12802</f>
        <v>44571</v>
      </c>
      <c r="D12802" t="str">
        <f>TEST_DATA!D12802</f>
        <v>NON-NIL</v>
      </c>
      <c r="E12802">
        <f>TEST_DATA!E12802</f>
        <v>998</v>
      </c>
    </row>
    <row r="12803" spans="1:5" x14ac:dyDescent="0.55000000000000004">
      <c r="A12803" t="str">
        <f>TEST_DATA!A12803</f>
        <v>27AAAAA12803Z5</v>
      </c>
      <c r="B12803" t="str">
        <f>TEST_DATA!B12803</f>
        <v>Nov-2017</v>
      </c>
      <c r="C12803">
        <f>TEST_DATA!C12803</f>
        <v>43654</v>
      </c>
      <c r="D12803" t="str">
        <f>TEST_DATA!D12803</f>
        <v>NON-NIL</v>
      </c>
      <c r="E12803">
        <f>TEST_DATA!E12803</f>
        <v>248</v>
      </c>
    </row>
    <row r="12804" spans="1:5" x14ac:dyDescent="0.55000000000000004">
      <c r="A12804" t="str">
        <f>TEST_DATA!A12804</f>
        <v>27AAAAA12804Z5</v>
      </c>
      <c r="B12804" t="str">
        <f>TEST_DATA!B12804</f>
        <v>Mar-2021</v>
      </c>
      <c r="C12804">
        <f>TEST_DATA!C12804</f>
        <v>45205</v>
      </c>
      <c r="D12804" t="str">
        <f>TEST_DATA!D12804</f>
        <v>NON-NIL</v>
      </c>
      <c r="E12804">
        <f>TEST_DATA!E12804</f>
        <v>550</v>
      </c>
    </row>
    <row r="12805" spans="1:5" x14ac:dyDescent="0.55000000000000004">
      <c r="A12805" t="str">
        <f>TEST_DATA!A12805</f>
        <v>27AAAAA12805Z5</v>
      </c>
      <c r="B12805" t="str">
        <f>TEST_DATA!B12805</f>
        <v>Mar-2020</v>
      </c>
      <c r="C12805">
        <f>TEST_DATA!C12805</f>
        <v>43880</v>
      </c>
      <c r="D12805" t="str">
        <f>TEST_DATA!D12805</f>
        <v>NON-NIL</v>
      </c>
      <c r="E12805">
        <f>TEST_DATA!E12805</f>
        <v>2934</v>
      </c>
    </row>
    <row r="12806" spans="1:5" x14ac:dyDescent="0.55000000000000004">
      <c r="A12806" t="str">
        <f>TEST_DATA!A12806</f>
        <v>27AAAAA12806Z5</v>
      </c>
      <c r="B12806" t="str">
        <f>TEST_DATA!B12806</f>
        <v>Dec-2024</v>
      </c>
      <c r="C12806">
        <f>TEST_DATA!C12806</f>
        <v>44362</v>
      </c>
      <c r="D12806" t="str">
        <f>TEST_DATA!D12806</f>
        <v>NON-NIL</v>
      </c>
      <c r="E12806">
        <f>TEST_DATA!E12806</f>
        <v>1806</v>
      </c>
    </row>
    <row r="12807" spans="1:5" x14ac:dyDescent="0.55000000000000004">
      <c r="A12807" t="str">
        <f>TEST_DATA!A12807</f>
        <v>27AAAAA12807Z5</v>
      </c>
      <c r="B12807" t="str">
        <f>TEST_DATA!B12807</f>
        <v>Apr-2020</v>
      </c>
      <c r="C12807">
        <f>TEST_DATA!C12807</f>
        <v>44076</v>
      </c>
      <c r="D12807" t="str">
        <f>TEST_DATA!D12807</f>
        <v>NIL</v>
      </c>
      <c r="E12807">
        <f>TEST_DATA!E12807</f>
        <v>99</v>
      </c>
    </row>
    <row r="12808" spans="1:5" x14ac:dyDescent="0.55000000000000004">
      <c r="A12808" t="str">
        <f>TEST_DATA!A12808</f>
        <v>27AAAAA12808Z5</v>
      </c>
      <c r="B12808" t="str">
        <f>TEST_DATA!B12808</f>
        <v>Dec-2022</v>
      </c>
      <c r="C12808">
        <f>TEST_DATA!C12808</f>
        <v>45310</v>
      </c>
      <c r="D12808" t="str">
        <f>TEST_DATA!D12808</f>
        <v>NIL</v>
      </c>
      <c r="E12808">
        <f>TEST_DATA!E12808</f>
        <v>2982</v>
      </c>
    </row>
    <row r="12809" spans="1:5" x14ac:dyDescent="0.55000000000000004">
      <c r="A12809" t="str">
        <f>TEST_DATA!A12809</f>
        <v>27AAAAA12809Z5</v>
      </c>
      <c r="B12809" t="str">
        <f>TEST_DATA!B12809</f>
        <v>Aug-2017</v>
      </c>
      <c r="C12809">
        <f>TEST_DATA!C12809</f>
        <v>44189</v>
      </c>
      <c r="D12809" t="str">
        <f>TEST_DATA!D12809</f>
        <v>NON-NIL</v>
      </c>
      <c r="E12809">
        <f>TEST_DATA!E12809</f>
        <v>1952</v>
      </c>
    </row>
    <row r="12810" spans="1:5" x14ac:dyDescent="0.55000000000000004">
      <c r="A12810" t="str">
        <f>TEST_DATA!A12810</f>
        <v>27AAAAA12810Z5</v>
      </c>
      <c r="B12810" t="str">
        <f>TEST_DATA!B12810</f>
        <v>Dec-2019</v>
      </c>
      <c r="C12810">
        <f>TEST_DATA!C12810</f>
        <v>43558</v>
      </c>
      <c r="D12810" t="str">
        <f>TEST_DATA!D12810</f>
        <v>NIL</v>
      </c>
      <c r="E12810">
        <f>TEST_DATA!E12810</f>
        <v>1285</v>
      </c>
    </row>
    <row r="12811" spans="1:5" x14ac:dyDescent="0.55000000000000004">
      <c r="A12811" t="str">
        <f>TEST_DATA!A12811</f>
        <v>27AAAAA12811Z5</v>
      </c>
      <c r="B12811" t="str">
        <f>TEST_DATA!B12811</f>
        <v>Jul-2020</v>
      </c>
      <c r="C12811">
        <f>TEST_DATA!C12811</f>
        <v>44488</v>
      </c>
      <c r="D12811" t="str">
        <f>TEST_DATA!D12811</f>
        <v>NIL</v>
      </c>
      <c r="E12811">
        <f>TEST_DATA!E12811</f>
        <v>2200</v>
      </c>
    </row>
    <row r="12812" spans="1:5" x14ac:dyDescent="0.55000000000000004">
      <c r="A12812" t="str">
        <f>TEST_DATA!A12812</f>
        <v>27AAAAA12812Z5</v>
      </c>
      <c r="B12812" t="str">
        <f>TEST_DATA!B12812</f>
        <v>Oct-2017</v>
      </c>
      <c r="C12812">
        <f>TEST_DATA!C12812</f>
        <v>44081</v>
      </c>
      <c r="D12812" t="str">
        <f>TEST_DATA!D12812</f>
        <v>NON-NIL</v>
      </c>
      <c r="E12812">
        <f>TEST_DATA!E12812</f>
        <v>2210</v>
      </c>
    </row>
    <row r="12813" spans="1:5" x14ac:dyDescent="0.55000000000000004">
      <c r="A12813" t="str">
        <f>TEST_DATA!A12813</f>
        <v>27AAAAA12813Z5</v>
      </c>
      <c r="B12813" t="str">
        <f>TEST_DATA!B12813</f>
        <v>Mar-2023</v>
      </c>
      <c r="C12813">
        <f>TEST_DATA!C12813</f>
        <v>44543</v>
      </c>
      <c r="D12813" t="str">
        <f>TEST_DATA!D12813</f>
        <v>NON-NIL</v>
      </c>
      <c r="E12813">
        <f>TEST_DATA!E12813</f>
        <v>1318</v>
      </c>
    </row>
    <row r="12814" spans="1:5" x14ac:dyDescent="0.55000000000000004">
      <c r="A12814" t="str">
        <f>TEST_DATA!A12814</f>
        <v>27AAAAA12814Z5</v>
      </c>
      <c r="B12814" t="str">
        <f>TEST_DATA!B12814</f>
        <v>Aug-2018</v>
      </c>
      <c r="C12814">
        <f>TEST_DATA!C12814</f>
        <v>43585</v>
      </c>
      <c r="D12814" t="str">
        <f>TEST_DATA!D12814</f>
        <v>NON-NIL</v>
      </c>
      <c r="E12814">
        <f>TEST_DATA!E12814</f>
        <v>2855</v>
      </c>
    </row>
    <row r="12815" spans="1:5" x14ac:dyDescent="0.55000000000000004">
      <c r="A12815" t="str">
        <f>TEST_DATA!A12815</f>
        <v>27AAAAA12815Z5</v>
      </c>
      <c r="B12815" t="str">
        <f>TEST_DATA!B12815</f>
        <v>Jan-2021</v>
      </c>
      <c r="C12815">
        <f>TEST_DATA!C12815</f>
        <v>45672</v>
      </c>
      <c r="D12815" t="str">
        <f>TEST_DATA!D12815</f>
        <v>NIL</v>
      </c>
      <c r="E12815">
        <f>TEST_DATA!E12815</f>
        <v>2986</v>
      </c>
    </row>
    <row r="12816" spans="1:5" x14ac:dyDescent="0.55000000000000004">
      <c r="A12816" t="str">
        <f>TEST_DATA!A12816</f>
        <v>27AAAAA12816Z5</v>
      </c>
      <c r="B12816" t="str">
        <f>TEST_DATA!B12816</f>
        <v>Sep-2018</v>
      </c>
      <c r="C12816">
        <f>TEST_DATA!C12816</f>
        <v>43456</v>
      </c>
      <c r="D12816" t="str">
        <f>TEST_DATA!D12816</f>
        <v>NON-NIL</v>
      </c>
      <c r="E12816">
        <f>TEST_DATA!E12816</f>
        <v>759</v>
      </c>
    </row>
    <row r="12817" spans="1:5" x14ac:dyDescent="0.55000000000000004">
      <c r="A12817" t="str">
        <f>TEST_DATA!A12817</f>
        <v>27AAAAA12817Z5</v>
      </c>
      <c r="B12817" t="str">
        <f>TEST_DATA!B12817</f>
        <v>Aug-2017</v>
      </c>
      <c r="C12817">
        <f>TEST_DATA!C12817</f>
        <v>43561</v>
      </c>
      <c r="D12817" t="str">
        <f>TEST_DATA!D12817</f>
        <v>NON-NIL</v>
      </c>
      <c r="E12817">
        <f>TEST_DATA!E12817</f>
        <v>227</v>
      </c>
    </row>
    <row r="12818" spans="1:5" x14ac:dyDescent="0.55000000000000004">
      <c r="A12818" t="str">
        <f>TEST_DATA!A12818</f>
        <v>27AAAAA12818Z5</v>
      </c>
      <c r="B12818" t="str">
        <f>TEST_DATA!B12818</f>
        <v>May-2020</v>
      </c>
      <c r="C12818">
        <f>TEST_DATA!C12818</f>
        <v>44571</v>
      </c>
      <c r="D12818" t="str">
        <f>TEST_DATA!D12818</f>
        <v>NIL</v>
      </c>
      <c r="E12818">
        <f>TEST_DATA!E12818</f>
        <v>1515</v>
      </c>
    </row>
    <row r="12819" spans="1:5" x14ac:dyDescent="0.55000000000000004">
      <c r="A12819" t="str">
        <f>TEST_DATA!A12819</f>
        <v>27AAAAA12819Z5</v>
      </c>
      <c r="B12819" t="str">
        <f>TEST_DATA!B12819</f>
        <v>Jul-2020</v>
      </c>
      <c r="C12819">
        <f>TEST_DATA!C12819</f>
        <v>44498</v>
      </c>
      <c r="D12819" t="str">
        <f>TEST_DATA!D12819</f>
        <v>NON-NIL</v>
      </c>
      <c r="E12819">
        <f>TEST_DATA!E12819</f>
        <v>1983</v>
      </c>
    </row>
    <row r="12820" spans="1:5" x14ac:dyDescent="0.55000000000000004">
      <c r="A12820" t="str">
        <f>TEST_DATA!A12820</f>
        <v>27AAAAA12820Z5</v>
      </c>
      <c r="B12820" t="str">
        <f>TEST_DATA!B12820</f>
        <v>Apr-2021</v>
      </c>
      <c r="C12820">
        <f>TEST_DATA!C12820</f>
        <v>44615</v>
      </c>
      <c r="D12820" t="str">
        <f>TEST_DATA!D12820</f>
        <v>NIL</v>
      </c>
      <c r="E12820">
        <f>TEST_DATA!E12820</f>
        <v>2310</v>
      </c>
    </row>
    <row r="12821" spans="1:5" x14ac:dyDescent="0.55000000000000004">
      <c r="A12821" t="str">
        <f>TEST_DATA!A12821</f>
        <v>27AAAAA12821Z5</v>
      </c>
      <c r="B12821" t="str">
        <f>TEST_DATA!B12821</f>
        <v>Apr-2021</v>
      </c>
      <c r="C12821">
        <f>TEST_DATA!C12821</f>
        <v>44179</v>
      </c>
      <c r="D12821" t="str">
        <f>TEST_DATA!D12821</f>
        <v>NIL</v>
      </c>
      <c r="E12821">
        <f>TEST_DATA!E12821</f>
        <v>479</v>
      </c>
    </row>
    <row r="12822" spans="1:5" x14ac:dyDescent="0.55000000000000004">
      <c r="A12822" t="str">
        <f>TEST_DATA!A12822</f>
        <v>27AAAAA12822Z5</v>
      </c>
      <c r="B12822" t="str">
        <f>TEST_DATA!B12822</f>
        <v>Jan-2021</v>
      </c>
      <c r="C12822">
        <f>TEST_DATA!C12822</f>
        <v>45078</v>
      </c>
      <c r="D12822" t="str">
        <f>TEST_DATA!D12822</f>
        <v>NON-NIL</v>
      </c>
      <c r="E12822">
        <f>TEST_DATA!E12822</f>
        <v>1294</v>
      </c>
    </row>
    <row r="12823" spans="1:5" x14ac:dyDescent="0.55000000000000004">
      <c r="A12823" t="str">
        <f>TEST_DATA!A12823</f>
        <v>27AAAAA12823Z5</v>
      </c>
      <c r="B12823" t="str">
        <f>TEST_DATA!B12823</f>
        <v>Apr-2020</v>
      </c>
      <c r="C12823">
        <f>TEST_DATA!C12823</f>
        <v>44328</v>
      </c>
      <c r="D12823" t="str">
        <f>TEST_DATA!D12823</f>
        <v>NIL</v>
      </c>
      <c r="E12823">
        <f>TEST_DATA!E12823</f>
        <v>98</v>
      </c>
    </row>
    <row r="12824" spans="1:5" x14ac:dyDescent="0.55000000000000004">
      <c r="A12824" t="str">
        <f>TEST_DATA!A12824</f>
        <v>27AAAAA12824Z5</v>
      </c>
      <c r="B12824" t="str">
        <f>TEST_DATA!B12824</f>
        <v>Sep-2017</v>
      </c>
      <c r="C12824">
        <f>TEST_DATA!C12824</f>
        <v>43375</v>
      </c>
      <c r="D12824" t="str">
        <f>TEST_DATA!D12824</f>
        <v>NON-NIL</v>
      </c>
      <c r="E12824">
        <f>TEST_DATA!E12824</f>
        <v>2570</v>
      </c>
    </row>
    <row r="12825" spans="1:5" x14ac:dyDescent="0.55000000000000004">
      <c r="A12825" t="str">
        <f>TEST_DATA!A12825</f>
        <v>27AAAAA12825Z5</v>
      </c>
      <c r="B12825" t="str">
        <f>TEST_DATA!B12825</f>
        <v>Sep-2017</v>
      </c>
      <c r="C12825">
        <f>TEST_DATA!C12825</f>
        <v>43537</v>
      </c>
      <c r="D12825" t="str">
        <f>TEST_DATA!D12825</f>
        <v>NIL</v>
      </c>
      <c r="E12825">
        <f>TEST_DATA!E12825</f>
        <v>1429</v>
      </c>
    </row>
    <row r="12826" spans="1:5" x14ac:dyDescent="0.55000000000000004">
      <c r="A12826" t="str">
        <f>TEST_DATA!A12826</f>
        <v>27AAAAA12826Z5</v>
      </c>
      <c r="B12826" t="str">
        <f>TEST_DATA!B12826</f>
        <v>Jan-2021</v>
      </c>
      <c r="C12826">
        <f>TEST_DATA!C12826</f>
        <v>45673</v>
      </c>
      <c r="D12826" t="str">
        <f>TEST_DATA!D12826</f>
        <v>NIL</v>
      </c>
      <c r="E12826">
        <f>TEST_DATA!E12826</f>
        <v>1587</v>
      </c>
    </row>
    <row r="12827" spans="1:5" x14ac:dyDescent="0.55000000000000004">
      <c r="A12827" t="str">
        <f>TEST_DATA!A12827</f>
        <v>27AAAAA12827Z5</v>
      </c>
      <c r="B12827" t="str">
        <f>TEST_DATA!B12827</f>
        <v>May-2020</v>
      </c>
      <c r="C12827">
        <f>TEST_DATA!C12827</f>
        <v>44811</v>
      </c>
      <c r="D12827" t="str">
        <f>TEST_DATA!D12827</f>
        <v>NIL</v>
      </c>
      <c r="E12827">
        <f>TEST_DATA!E12827</f>
        <v>2338</v>
      </c>
    </row>
    <row r="12828" spans="1:5" x14ac:dyDescent="0.55000000000000004">
      <c r="A12828" t="str">
        <f>TEST_DATA!A12828</f>
        <v>27AAAAA12828Z5</v>
      </c>
      <c r="B12828" t="str">
        <f>TEST_DATA!B12828</f>
        <v>Sep-2017</v>
      </c>
      <c r="C12828">
        <f>TEST_DATA!C12828</f>
        <v>43438</v>
      </c>
      <c r="D12828" t="str">
        <f>TEST_DATA!D12828</f>
        <v>NON-NIL</v>
      </c>
      <c r="E12828">
        <f>TEST_DATA!E12828</f>
        <v>1775</v>
      </c>
    </row>
    <row r="12829" spans="1:5" x14ac:dyDescent="0.55000000000000004">
      <c r="A12829" t="str">
        <f>TEST_DATA!A12829</f>
        <v>27AAAAA12829Z5</v>
      </c>
      <c r="B12829" t="str">
        <f>TEST_DATA!B12829</f>
        <v>Jun-2018</v>
      </c>
      <c r="C12829">
        <f>TEST_DATA!C12829</f>
        <v>43550</v>
      </c>
      <c r="D12829" t="str">
        <f>TEST_DATA!D12829</f>
        <v>NON-NIL</v>
      </c>
      <c r="E12829">
        <f>TEST_DATA!E12829</f>
        <v>22</v>
      </c>
    </row>
    <row r="12830" spans="1:5" x14ac:dyDescent="0.55000000000000004">
      <c r="A12830" t="str">
        <f>TEST_DATA!A12830</f>
        <v>27AAAAA12830Z5</v>
      </c>
      <c r="B12830" t="str">
        <f>TEST_DATA!B12830</f>
        <v>Aug-2017</v>
      </c>
      <c r="C12830">
        <f>TEST_DATA!C12830</f>
        <v>42944</v>
      </c>
      <c r="D12830" t="str">
        <f>TEST_DATA!D12830</f>
        <v>NIL</v>
      </c>
      <c r="E12830">
        <f>TEST_DATA!E12830</f>
        <v>1203</v>
      </c>
    </row>
    <row r="12831" spans="1:5" x14ac:dyDescent="0.55000000000000004">
      <c r="A12831" t="str">
        <f>TEST_DATA!A12831</f>
        <v>27AAAAA12831Z5</v>
      </c>
      <c r="B12831" t="str">
        <f>TEST_DATA!B12831</f>
        <v>Aug-2017</v>
      </c>
      <c r="C12831">
        <f>TEST_DATA!C12831</f>
        <v>42963</v>
      </c>
      <c r="D12831" t="str">
        <f>TEST_DATA!D12831</f>
        <v>NON-NIL</v>
      </c>
      <c r="E12831">
        <f>TEST_DATA!E12831</f>
        <v>2921</v>
      </c>
    </row>
    <row r="12832" spans="1:5" x14ac:dyDescent="0.55000000000000004">
      <c r="A12832" t="str">
        <f>TEST_DATA!A12832</f>
        <v>27AAAAA12832Z5</v>
      </c>
      <c r="B12832" t="str">
        <f>TEST_DATA!B12832</f>
        <v>Aug-2018</v>
      </c>
      <c r="C12832">
        <f>TEST_DATA!C12832</f>
        <v>43438</v>
      </c>
      <c r="D12832" t="str">
        <f>TEST_DATA!D12832</f>
        <v>NON-NIL</v>
      </c>
      <c r="E12832">
        <f>TEST_DATA!E12832</f>
        <v>1031</v>
      </c>
    </row>
    <row r="12833" spans="1:5" x14ac:dyDescent="0.55000000000000004">
      <c r="A12833" t="str">
        <f>TEST_DATA!A12833</f>
        <v>27AAAAA12833Z5</v>
      </c>
      <c r="B12833" t="str">
        <f>TEST_DATA!B12833</f>
        <v>Apr-2020</v>
      </c>
      <c r="C12833">
        <f>TEST_DATA!C12833</f>
        <v>44777</v>
      </c>
      <c r="D12833" t="str">
        <f>TEST_DATA!D12833</f>
        <v>NON-NIL</v>
      </c>
      <c r="E12833">
        <f>TEST_DATA!E12833</f>
        <v>2164</v>
      </c>
    </row>
    <row r="12834" spans="1:5" x14ac:dyDescent="0.55000000000000004">
      <c r="A12834" t="str">
        <f>TEST_DATA!A12834</f>
        <v>27AAAAA12834Z5</v>
      </c>
      <c r="B12834" t="str">
        <f>TEST_DATA!B12834</f>
        <v>Apr-2021</v>
      </c>
      <c r="C12834">
        <f>TEST_DATA!C12834</f>
        <v>44330</v>
      </c>
      <c r="D12834" t="str">
        <f>TEST_DATA!D12834</f>
        <v>NON-NIL</v>
      </c>
      <c r="E12834">
        <f>TEST_DATA!E12834</f>
        <v>2997</v>
      </c>
    </row>
    <row r="12835" spans="1:5" x14ac:dyDescent="0.55000000000000004">
      <c r="A12835" t="str">
        <f>TEST_DATA!A12835</f>
        <v>27AAAAA12835Z5</v>
      </c>
      <c r="B12835" t="str">
        <f>TEST_DATA!B12835</f>
        <v>Dec-2019</v>
      </c>
      <c r="C12835">
        <f>TEST_DATA!C12835</f>
        <v>45271</v>
      </c>
      <c r="D12835" t="str">
        <f>TEST_DATA!D12835</f>
        <v>NON-NIL</v>
      </c>
      <c r="E12835">
        <f>TEST_DATA!E12835</f>
        <v>697</v>
      </c>
    </row>
    <row r="12836" spans="1:5" x14ac:dyDescent="0.55000000000000004">
      <c r="A12836" t="str">
        <f>TEST_DATA!A12836</f>
        <v>27AAAAA12836Z5</v>
      </c>
      <c r="B12836" t="str">
        <f>TEST_DATA!B12836</f>
        <v>Jun-2018</v>
      </c>
      <c r="C12836">
        <f>TEST_DATA!C12836</f>
        <v>43749</v>
      </c>
      <c r="D12836" t="str">
        <f>TEST_DATA!D12836</f>
        <v>NIL</v>
      </c>
      <c r="E12836">
        <f>TEST_DATA!E12836</f>
        <v>1155</v>
      </c>
    </row>
    <row r="12837" spans="1:5" x14ac:dyDescent="0.55000000000000004">
      <c r="A12837" t="str">
        <f>TEST_DATA!A12837</f>
        <v>27AAAAA12837Z5</v>
      </c>
      <c r="B12837" t="str">
        <f>TEST_DATA!B12837</f>
        <v>Dec-2024</v>
      </c>
      <c r="C12837">
        <f>TEST_DATA!C12837</f>
        <v>45725</v>
      </c>
      <c r="D12837" t="str">
        <f>TEST_DATA!D12837</f>
        <v>NIL</v>
      </c>
      <c r="E12837">
        <f>TEST_DATA!E12837</f>
        <v>1155</v>
      </c>
    </row>
    <row r="12838" spans="1:5" x14ac:dyDescent="0.55000000000000004">
      <c r="A12838" t="str">
        <f>TEST_DATA!A12838</f>
        <v>27AAAAA12838Z5</v>
      </c>
      <c r="B12838" t="str">
        <f>TEST_DATA!B12838</f>
        <v>Jul-2018</v>
      </c>
      <c r="C12838">
        <f>TEST_DATA!C12838</f>
        <v>43787</v>
      </c>
      <c r="D12838" t="str">
        <f>TEST_DATA!D12838</f>
        <v>NIL</v>
      </c>
      <c r="E12838">
        <f>TEST_DATA!E12838</f>
        <v>1295</v>
      </c>
    </row>
    <row r="12839" spans="1:5" x14ac:dyDescent="0.55000000000000004">
      <c r="A12839" t="str">
        <f>TEST_DATA!A12839</f>
        <v>27AAAAA12839Z5</v>
      </c>
      <c r="B12839" t="str">
        <f>TEST_DATA!B12839</f>
        <v>Sep-2018</v>
      </c>
      <c r="C12839">
        <f>TEST_DATA!C12839</f>
        <v>43781</v>
      </c>
      <c r="D12839" t="str">
        <f>TEST_DATA!D12839</f>
        <v>NIL</v>
      </c>
      <c r="E12839">
        <f>TEST_DATA!E12839</f>
        <v>340</v>
      </c>
    </row>
    <row r="12840" spans="1:5" x14ac:dyDescent="0.55000000000000004">
      <c r="A12840" t="str">
        <f>TEST_DATA!A12840</f>
        <v>27AAAAA12840Z5</v>
      </c>
      <c r="B12840" t="str">
        <f>TEST_DATA!B12840</f>
        <v>Jan-2018</v>
      </c>
      <c r="C12840">
        <f>TEST_DATA!C12840</f>
        <v>44003</v>
      </c>
      <c r="D12840" t="str">
        <f>TEST_DATA!D12840</f>
        <v>NIL</v>
      </c>
      <c r="E12840">
        <f>TEST_DATA!E12840</f>
        <v>2853</v>
      </c>
    </row>
    <row r="12841" spans="1:5" x14ac:dyDescent="0.55000000000000004">
      <c r="A12841" t="str">
        <f>TEST_DATA!A12841</f>
        <v>27AAAAA12841Z5</v>
      </c>
      <c r="B12841" t="str">
        <f>TEST_DATA!B12841</f>
        <v>Jan-2019</v>
      </c>
      <c r="C12841">
        <f>TEST_DATA!C12841</f>
        <v>44823</v>
      </c>
      <c r="D12841" t="str">
        <f>TEST_DATA!D12841</f>
        <v>NIL</v>
      </c>
      <c r="E12841">
        <f>TEST_DATA!E12841</f>
        <v>365</v>
      </c>
    </row>
    <row r="12842" spans="1:5" x14ac:dyDescent="0.55000000000000004">
      <c r="A12842" t="str">
        <f>TEST_DATA!A12842</f>
        <v>27AAAAA12842Z5</v>
      </c>
      <c r="B12842" t="str">
        <f>TEST_DATA!B12842</f>
        <v>Jun-2019</v>
      </c>
      <c r="C12842">
        <f>TEST_DATA!C12842</f>
        <v>43925</v>
      </c>
      <c r="D12842" t="str">
        <f>TEST_DATA!D12842</f>
        <v>NIL</v>
      </c>
      <c r="E12842">
        <f>TEST_DATA!E12842</f>
        <v>2734</v>
      </c>
    </row>
    <row r="12843" spans="1:5" x14ac:dyDescent="0.55000000000000004">
      <c r="A12843" t="str">
        <f>TEST_DATA!A12843</f>
        <v>27AAAAA12843Z5</v>
      </c>
      <c r="B12843" t="str">
        <f>TEST_DATA!B12843</f>
        <v>Dec-2024</v>
      </c>
      <c r="C12843">
        <f>TEST_DATA!C12843</f>
        <v>43903</v>
      </c>
      <c r="D12843" t="str">
        <f>TEST_DATA!D12843</f>
        <v>NON-NIL</v>
      </c>
      <c r="E12843">
        <f>TEST_DATA!E12843</f>
        <v>1445</v>
      </c>
    </row>
    <row r="12844" spans="1:5" x14ac:dyDescent="0.55000000000000004">
      <c r="A12844" t="str">
        <f>TEST_DATA!A12844</f>
        <v>27AAAAA12844Z5</v>
      </c>
      <c r="B12844" t="str">
        <f>TEST_DATA!B12844</f>
        <v>Dec-2017</v>
      </c>
      <c r="C12844">
        <f>TEST_DATA!C12844</f>
        <v>44312</v>
      </c>
      <c r="D12844" t="str">
        <f>TEST_DATA!D12844</f>
        <v>NON-NIL</v>
      </c>
      <c r="E12844">
        <f>TEST_DATA!E12844</f>
        <v>245</v>
      </c>
    </row>
    <row r="12845" spans="1:5" x14ac:dyDescent="0.55000000000000004">
      <c r="A12845" t="str">
        <f>TEST_DATA!A12845</f>
        <v>27AAAAA12845Z5</v>
      </c>
      <c r="B12845" t="str">
        <f>TEST_DATA!B12845</f>
        <v>Dec-2019</v>
      </c>
      <c r="C12845">
        <f>TEST_DATA!C12845</f>
        <v>43947</v>
      </c>
      <c r="D12845" t="str">
        <f>TEST_DATA!D12845</f>
        <v>NON-NIL</v>
      </c>
      <c r="E12845">
        <f>TEST_DATA!E12845</f>
        <v>2318</v>
      </c>
    </row>
    <row r="12846" spans="1:5" x14ac:dyDescent="0.55000000000000004">
      <c r="A12846" t="str">
        <f>TEST_DATA!A12846</f>
        <v>27AAAAA12846Z5</v>
      </c>
      <c r="B12846" t="str">
        <f>TEST_DATA!B12846</f>
        <v>May-2018</v>
      </c>
      <c r="C12846">
        <f>TEST_DATA!C12846</f>
        <v>44149</v>
      </c>
      <c r="D12846" t="str">
        <f>TEST_DATA!D12846</f>
        <v>NIL</v>
      </c>
      <c r="E12846">
        <f>TEST_DATA!E12846</f>
        <v>1262</v>
      </c>
    </row>
    <row r="12847" spans="1:5" x14ac:dyDescent="0.55000000000000004">
      <c r="A12847" t="str">
        <f>TEST_DATA!A12847</f>
        <v>27AAAAA12847Z5</v>
      </c>
      <c r="B12847" t="str">
        <f>TEST_DATA!B12847</f>
        <v>Feb-2018</v>
      </c>
      <c r="C12847">
        <f>TEST_DATA!C12847</f>
        <v>43139</v>
      </c>
      <c r="D12847" t="str">
        <f>TEST_DATA!D12847</f>
        <v>NON-NIL</v>
      </c>
      <c r="E12847">
        <f>TEST_DATA!E12847</f>
        <v>88</v>
      </c>
    </row>
    <row r="12848" spans="1:5" x14ac:dyDescent="0.55000000000000004">
      <c r="A12848" t="str">
        <f>TEST_DATA!A12848</f>
        <v>27AAAAA12848Z5</v>
      </c>
      <c r="B12848" t="str">
        <f>TEST_DATA!B12848</f>
        <v>Sep-2018</v>
      </c>
      <c r="C12848">
        <f>TEST_DATA!C12848</f>
        <v>43061</v>
      </c>
      <c r="D12848" t="str">
        <f>TEST_DATA!D12848</f>
        <v>NON-NIL</v>
      </c>
      <c r="E12848">
        <f>TEST_DATA!E12848</f>
        <v>1051</v>
      </c>
    </row>
    <row r="12849" spans="1:5" x14ac:dyDescent="0.55000000000000004">
      <c r="A12849" t="str">
        <f>TEST_DATA!A12849</f>
        <v>27AAAAA12849Z5</v>
      </c>
      <c r="B12849" t="str">
        <f>TEST_DATA!B12849</f>
        <v>Sep-2017</v>
      </c>
      <c r="C12849">
        <f>TEST_DATA!C12849</f>
        <v>44211</v>
      </c>
      <c r="D12849" t="str">
        <f>TEST_DATA!D12849</f>
        <v>NON-NIL</v>
      </c>
      <c r="E12849">
        <f>TEST_DATA!E12849</f>
        <v>2800</v>
      </c>
    </row>
    <row r="12850" spans="1:5" x14ac:dyDescent="0.55000000000000004">
      <c r="A12850" t="str">
        <f>TEST_DATA!A12850</f>
        <v>27AAAAA12850Z5</v>
      </c>
      <c r="B12850" t="str">
        <f>TEST_DATA!B12850</f>
        <v>Mar-2018</v>
      </c>
      <c r="C12850">
        <f>TEST_DATA!C12850</f>
        <v>43902</v>
      </c>
      <c r="D12850" t="str">
        <f>TEST_DATA!D12850</f>
        <v>NON-NIL</v>
      </c>
      <c r="E12850">
        <f>TEST_DATA!E12850</f>
        <v>2956</v>
      </c>
    </row>
    <row r="12851" spans="1:5" x14ac:dyDescent="0.55000000000000004">
      <c r="A12851" t="str">
        <f>TEST_DATA!A12851</f>
        <v>27AAAAA12851Z5</v>
      </c>
      <c r="B12851" t="str">
        <f>TEST_DATA!B12851</f>
        <v>Jun-2020</v>
      </c>
      <c r="C12851">
        <f>TEST_DATA!C12851</f>
        <v>44624</v>
      </c>
      <c r="D12851" t="str">
        <f>TEST_DATA!D12851</f>
        <v>NIL</v>
      </c>
      <c r="E12851">
        <f>TEST_DATA!E12851</f>
        <v>415</v>
      </c>
    </row>
    <row r="12852" spans="1:5" x14ac:dyDescent="0.55000000000000004">
      <c r="A12852" t="str">
        <f>TEST_DATA!A12852</f>
        <v>27AAAAA12852Z5</v>
      </c>
      <c r="B12852" t="str">
        <f>TEST_DATA!B12852</f>
        <v>May-2020</v>
      </c>
      <c r="C12852">
        <f>TEST_DATA!C12852</f>
        <v>43912</v>
      </c>
      <c r="D12852" t="str">
        <f>TEST_DATA!D12852</f>
        <v>NIL</v>
      </c>
      <c r="E12852">
        <f>TEST_DATA!E12852</f>
        <v>640</v>
      </c>
    </row>
    <row r="12853" spans="1:5" x14ac:dyDescent="0.55000000000000004">
      <c r="A12853" t="str">
        <f>TEST_DATA!A12853</f>
        <v>27AAAAA12853Z5</v>
      </c>
      <c r="B12853" t="str">
        <f>TEST_DATA!B12853</f>
        <v>Jul-2020</v>
      </c>
      <c r="C12853">
        <f>TEST_DATA!C12853</f>
        <v>44337</v>
      </c>
      <c r="D12853" t="str">
        <f>TEST_DATA!D12853</f>
        <v>NIL</v>
      </c>
      <c r="E12853">
        <f>TEST_DATA!E12853</f>
        <v>2391</v>
      </c>
    </row>
    <row r="12854" spans="1:5" x14ac:dyDescent="0.55000000000000004">
      <c r="A12854" t="str">
        <f>TEST_DATA!A12854</f>
        <v>27AAAAA12854Z5</v>
      </c>
      <c r="B12854" t="str">
        <f>TEST_DATA!B12854</f>
        <v>Sep-2018</v>
      </c>
      <c r="C12854">
        <f>TEST_DATA!C12854</f>
        <v>43740</v>
      </c>
      <c r="D12854" t="str">
        <f>TEST_DATA!D12854</f>
        <v>NON-NIL</v>
      </c>
      <c r="E12854">
        <f>TEST_DATA!E12854</f>
        <v>237</v>
      </c>
    </row>
    <row r="12855" spans="1:5" x14ac:dyDescent="0.55000000000000004">
      <c r="A12855" t="str">
        <f>TEST_DATA!A12855</f>
        <v>27AAAAA12855Z5</v>
      </c>
      <c r="B12855" t="str">
        <f>TEST_DATA!B12855</f>
        <v>Dec-2017</v>
      </c>
      <c r="C12855">
        <f>TEST_DATA!C12855</f>
        <v>43658</v>
      </c>
      <c r="D12855" t="str">
        <f>TEST_DATA!D12855</f>
        <v>NON-NIL</v>
      </c>
      <c r="E12855">
        <f>TEST_DATA!E12855</f>
        <v>1539</v>
      </c>
    </row>
    <row r="12856" spans="1:5" x14ac:dyDescent="0.55000000000000004">
      <c r="A12856" t="str">
        <f>TEST_DATA!A12856</f>
        <v>27AAAAA12856Z5</v>
      </c>
      <c r="B12856" t="str">
        <f>TEST_DATA!B12856</f>
        <v>Oct-2017</v>
      </c>
      <c r="C12856">
        <f>TEST_DATA!C12856</f>
        <v>43763</v>
      </c>
      <c r="D12856" t="str">
        <f>TEST_DATA!D12856</f>
        <v>NON-NIL</v>
      </c>
      <c r="E12856">
        <f>TEST_DATA!E12856</f>
        <v>1198</v>
      </c>
    </row>
    <row r="12857" spans="1:5" x14ac:dyDescent="0.55000000000000004">
      <c r="A12857" t="str">
        <f>TEST_DATA!A12857</f>
        <v>27AAAAA12857Z5</v>
      </c>
      <c r="B12857" t="str">
        <f>TEST_DATA!B12857</f>
        <v>Mar-2018</v>
      </c>
      <c r="C12857">
        <f>TEST_DATA!C12857</f>
        <v>43694</v>
      </c>
      <c r="D12857" t="str">
        <f>TEST_DATA!D12857</f>
        <v>NON-NIL</v>
      </c>
      <c r="E12857">
        <f>TEST_DATA!E12857</f>
        <v>1158</v>
      </c>
    </row>
    <row r="12858" spans="1:5" x14ac:dyDescent="0.55000000000000004">
      <c r="A12858" t="str">
        <f>TEST_DATA!A12858</f>
        <v>27AAAAA12858Z5</v>
      </c>
      <c r="B12858" t="str">
        <f>TEST_DATA!B12858</f>
        <v>Jun-2018</v>
      </c>
      <c r="C12858">
        <f>TEST_DATA!C12858</f>
        <v>44475</v>
      </c>
      <c r="D12858" t="str">
        <f>TEST_DATA!D12858</f>
        <v>NIL</v>
      </c>
      <c r="E12858">
        <f>TEST_DATA!E12858</f>
        <v>1029</v>
      </c>
    </row>
    <row r="12859" spans="1:5" x14ac:dyDescent="0.55000000000000004">
      <c r="A12859" t="str">
        <f>TEST_DATA!A12859</f>
        <v>27AAAAA12859Z5</v>
      </c>
      <c r="B12859" t="str">
        <f>TEST_DATA!B12859</f>
        <v>Jun-2020</v>
      </c>
      <c r="C12859">
        <f>TEST_DATA!C12859</f>
        <v>44462</v>
      </c>
      <c r="D12859" t="str">
        <f>TEST_DATA!D12859</f>
        <v>NIL</v>
      </c>
      <c r="E12859">
        <f>TEST_DATA!E12859</f>
        <v>2720</v>
      </c>
    </row>
    <row r="12860" spans="1:5" x14ac:dyDescent="0.55000000000000004">
      <c r="A12860" t="str">
        <f>TEST_DATA!A12860</f>
        <v>27AAAAA12860Z5</v>
      </c>
      <c r="B12860" t="str">
        <f>TEST_DATA!B12860</f>
        <v>Dec-2019</v>
      </c>
      <c r="C12860">
        <f>TEST_DATA!C12860</f>
        <v>44399</v>
      </c>
      <c r="D12860" t="str">
        <f>TEST_DATA!D12860</f>
        <v>NIL</v>
      </c>
      <c r="E12860">
        <f>TEST_DATA!E12860</f>
        <v>2082</v>
      </c>
    </row>
    <row r="12861" spans="1:5" x14ac:dyDescent="0.55000000000000004">
      <c r="A12861" t="str">
        <f>TEST_DATA!A12861</f>
        <v>27AAAAA12861Z5</v>
      </c>
      <c r="B12861" t="str">
        <f>TEST_DATA!B12861</f>
        <v>Dec-2024</v>
      </c>
      <c r="C12861">
        <f>TEST_DATA!C12861</f>
        <v>43741</v>
      </c>
      <c r="D12861" t="str">
        <f>TEST_DATA!D12861</f>
        <v>NIL</v>
      </c>
      <c r="E12861">
        <f>TEST_DATA!E12861</f>
        <v>991</v>
      </c>
    </row>
    <row r="12862" spans="1:5" x14ac:dyDescent="0.55000000000000004">
      <c r="A12862" t="str">
        <f>TEST_DATA!A12862</f>
        <v>27AAAAA12862Z5</v>
      </c>
      <c r="B12862" t="str">
        <f>TEST_DATA!B12862</f>
        <v>Mar-2023</v>
      </c>
      <c r="C12862">
        <f>TEST_DATA!C12862</f>
        <v>45284</v>
      </c>
      <c r="D12862" t="str">
        <f>TEST_DATA!D12862</f>
        <v>NIL</v>
      </c>
      <c r="E12862">
        <f>TEST_DATA!E12862</f>
        <v>1113</v>
      </c>
    </row>
    <row r="12863" spans="1:5" x14ac:dyDescent="0.55000000000000004">
      <c r="A12863" t="str">
        <f>TEST_DATA!A12863</f>
        <v>27AAAAA12863Z5</v>
      </c>
      <c r="B12863" t="str">
        <f>TEST_DATA!B12863</f>
        <v>Jan-2021</v>
      </c>
      <c r="C12863">
        <f>TEST_DATA!C12863</f>
        <v>44608</v>
      </c>
      <c r="D12863" t="str">
        <f>TEST_DATA!D12863</f>
        <v>NON-NIL</v>
      </c>
      <c r="E12863">
        <f>TEST_DATA!E12863</f>
        <v>2917</v>
      </c>
    </row>
    <row r="12864" spans="1:5" x14ac:dyDescent="0.55000000000000004">
      <c r="A12864" t="str">
        <f>TEST_DATA!A12864</f>
        <v>27AAAAA12864Z5</v>
      </c>
      <c r="B12864" t="str">
        <f>TEST_DATA!B12864</f>
        <v>Apr-2020</v>
      </c>
      <c r="C12864">
        <f>TEST_DATA!C12864</f>
        <v>44152</v>
      </c>
      <c r="D12864" t="str">
        <f>TEST_DATA!D12864</f>
        <v>NON-NIL</v>
      </c>
      <c r="E12864">
        <f>TEST_DATA!E12864</f>
        <v>2936</v>
      </c>
    </row>
    <row r="12865" spans="1:5" x14ac:dyDescent="0.55000000000000004">
      <c r="A12865" t="str">
        <f>TEST_DATA!A12865</f>
        <v>27AAAAA12865Z5</v>
      </c>
      <c r="B12865" t="str">
        <f>TEST_DATA!B12865</f>
        <v>May-2018</v>
      </c>
      <c r="C12865">
        <f>TEST_DATA!C12865</f>
        <v>44093</v>
      </c>
      <c r="D12865" t="str">
        <f>TEST_DATA!D12865</f>
        <v>NIL</v>
      </c>
      <c r="E12865">
        <f>TEST_DATA!E12865</f>
        <v>2939</v>
      </c>
    </row>
    <row r="12866" spans="1:5" x14ac:dyDescent="0.55000000000000004">
      <c r="A12866" t="str">
        <f>TEST_DATA!A12866</f>
        <v>27AAAAA12866Z5</v>
      </c>
      <c r="B12866" t="str">
        <f>TEST_DATA!B12866</f>
        <v>Mar-2023</v>
      </c>
      <c r="C12866">
        <f>TEST_DATA!C12866</f>
        <v>44556</v>
      </c>
      <c r="D12866" t="str">
        <f>TEST_DATA!D12866</f>
        <v>NON-NIL</v>
      </c>
      <c r="E12866">
        <f>TEST_DATA!E12866</f>
        <v>2171</v>
      </c>
    </row>
    <row r="12867" spans="1:5" x14ac:dyDescent="0.55000000000000004">
      <c r="A12867" t="str">
        <f>TEST_DATA!A12867</f>
        <v>27AAAAA12867Z5</v>
      </c>
      <c r="B12867" t="str">
        <f>TEST_DATA!B12867</f>
        <v>Mar-2020</v>
      </c>
      <c r="C12867">
        <f>TEST_DATA!C12867</f>
        <v>44457</v>
      </c>
      <c r="D12867" t="str">
        <f>TEST_DATA!D12867</f>
        <v>NIL</v>
      </c>
      <c r="E12867">
        <f>TEST_DATA!E12867</f>
        <v>20</v>
      </c>
    </row>
    <row r="12868" spans="1:5" x14ac:dyDescent="0.55000000000000004">
      <c r="A12868" t="str">
        <f>TEST_DATA!A12868</f>
        <v>27AAAAA12868Z5</v>
      </c>
      <c r="B12868" t="str">
        <f>TEST_DATA!B12868</f>
        <v>Mar-2020</v>
      </c>
      <c r="C12868">
        <f>TEST_DATA!C12868</f>
        <v>44464</v>
      </c>
      <c r="D12868" t="str">
        <f>TEST_DATA!D12868</f>
        <v>NON-NIL</v>
      </c>
      <c r="E12868">
        <f>TEST_DATA!E12868</f>
        <v>1391</v>
      </c>
    </row>
    <row r="12869" spans="1:5" x14ac:dyDescent="0.55000000000000004">
      <c r="A12869" t="str">
        <f>TEST_DATA!A12869</f>
        <v>27AAAAA12869Z5</v>
      </c>
      <c r="B12869" t="str">
        <f>TEST_DATA!B12869</f>
        <v>Mar-2023</v>
      </c>
      <c r="C12869">
        <f>TEST_DATA!C12869</f>
        <v>45695</v>
      </c>
      <c r="D12869" t="str">
        <f>TEST_DATA!D12869</f>
        <v>NON-NIL</v>
      </c>
      <c r="E12869">
        <f>TEST_DATA!E12869</f>
        <v>1659</v>
      </c>
    </row>
    <row r="12870" spans="1:5" x14ac:dyDescent="0.55000000000000004">
      <c r="A12870" t="str">
        <f>TEST_DATA!A12870</f>
        <v>27AAAAA12870Z5</v>
      </c>
      <c r="B12870" t="str">
        <f>TEST_DATA!B12870</f>
        <v>Feb-2018</v>
      </c>
      <c r="C12870">
        <f>TEST_DATA!C12870</f>
        <v>44546</v>
      </c>
      <c r="D12870" t="str">
        <f>TEST_DATA!D12870</f>
        <v>NIL</v>
      </c>
      <c r="E12870">
        <f>TEST_DATA!E12870</f>
        <v>2639</v>
      </c>
    </row>
    <row r="12871" spans="1:5" x14ac:dyDescent="0.55000000000000004">
      <c r="A12871" t="str">
        <f>TEST_DATA!A12871</f>
        <v>27AAAAA12871Z5</v>
      </c>
      <c r="B12871" t="str">
        <f>TEST_DATA!B12871</f>
        <v>Jan-2021</v>
      </c>
      <c r="C12871">
        <f>TEST_DATA!C12871</f>
        <v>44650</v>
      </c>
      <c r="D12871" t="str">
        <f>TEST_DATA!D12871</f>
        <v>NON-NIL</v>
      </c>
      <c r="E12871">
        <f>TEST_DATA!E12871</f>
        <v>2294</v>
      </c>
    </row>
    <row r="12872" spans="1:5" x14ac:dyDescent="0.55000000000000004">
      <c r="A12872" t="str">
        <f>TEST_DATA!A12872</f>
        <v>27AAAAA12872Z5</v>
      </c>
      <c r="B12872" t="str">
        <f>TEST_DATA!B12872</f>
        <v>Jul-2017</v>
      </c>
      <c r="C12872">
        <f>TEST_DATA!C12872</f>
        <v>44235</v>
      </c>
      <c r="D12872" t="str">
        <f>TEST_DATA!D12872</f>
        <v>NON-NIL</v>
      </c>
      <c r="E12872">
        <f>TEST_DATA!E12872</f>
        <v>999</v>
      </c>
    </row>
    <row r="12873" spans="1:5" x14ac:dyDescent="0.55000000000000004">
      <c r="A12873" t="str">
        <f>TEST_DATA!A12873</f>
        <v>27AAAAA12873Z5</v>
      </c>
      <c r="B12873" t="str">
        <f>TEST_DATA!B12873</f>
        <v>Jan-2019</v>
      </c>
      <c r="C12873">
        <f>TEST_DATA!C12873</f>
        <v>45093</v>
      </c>
      <c r="D12873" t="str">
        <f>TEST_DATA!D12873</f>
        <v>NON-NIL</v>
      </c>
      <c r="E12873">
        <f>TEST_DATA!E12873</f>
        <v>1712</v>
      </c>
    </row>
    <row r="12874" spans="1:5" x14ac:dyDescent="0.55000000000000004">
      <c r="A12874" t="str">
        <f>TEST_DATA!A12874</f>
        <v>27AAAAA12874Z5</v>
      </c>
      <c r="B12874" t="str">
        <f>TEST_DATA!B12874</f>
        <v>Apr-2021</v>
      </c>
      <c r="C12874">
        <f>TEST_DATA!C12874</f>
        <v>44509</v>
      </c>
      <c r="D12874" t="str">
        <f>TEST_DATA!D12874</f>
        <v>NON-NIL</v>
      </c>
      <c r="E12874">
        <f>TEST_DATA!E12874</f>
        <v>842</v>
      </c>
    </row>
    <row r="12875" spans="1:5" x14ac:dyDescent="0.55000000000000004">
      <c r="A12875" t="str">
        <f>TEST_DATA!A12875</f>
        <v>27AAAAA12875Z5</v>
      </c>
      <c r="B12875" t="str">
        <f>TEST_DATA!B12875</f>
        <v>Sep-2018</v>
      </c>
      <c r="C12875">
        <f>TEST_DATA!C12875</f>
        <v>44004</v>
      </c>
      <c r="D12875" t="str">
        <f>TEST_DATA!D12875</f>
        <v>NIL</v>
      </c>
      <c r="E12875">
        <f>TEST_DATA!E12875</f>
        <v>1317</v>
      </c>
    </row>
    <row r="12876" spans="1:5" x14ac:dyDescent="0.55000000000000004">
      <c r="A12876" t="str">
        <f>TEST_DATA!A12876</f>
        <v>27AAAAA12876Z5</v>
      </c>
      <c r="B12876" t="str">
        <f>TEST_DATA!B12876</f>
        <v>Feb-2018</v>
      </c>
      <c r="C12876">
        <f>TEST_DATA!C12876</f>
        <v>43478</v>
      </c>
      <c r="D12876" t="str">
        <f>TEST_DATA!D12876</f>
        <v>NIL</v>
      </c>
      <c r="E12876">
        <f>TEST_DATA!E12876</f>
        <v>1436</v>
      </c>
    </row>
    <row r="12877" spans="1:5" x14ac:dyDescent="0.55000000000000004">
      <c r="A12877" t="str">
        <f>TEST_DATA!A12877</f>
        <v>27AAAAA12877Z5</v>
      </c>
      <c r="B12877" t="str">
        <f>TEST_DATA!B12877</f>
        <v>Oct-2017</v>
      </c>
      <c r="C12877">
        <f>TEST_DATA!C12877</f>
        <v>44069</v>
      </c>
      <c r="D12877" t="str">
        <f>TEST_DATA!D12877</f>
        <v>NIL</v>
      </c>
      <c r="E12877">
        <f>TEST_DATA!E12877</f>
        <v>2203</v>
      </c>
    </row>
    <row r="12878" spans="1:5" x14ac:dyDescent="0.55000000000000004">
      <c r="A12878" t="str">
        <f>TEST_DATA!A12878</f>
        <v>27AAAAA12878Z5</v>
      </c>
      <c r="B12878" t="str">
        <f>TEST_DATA!B12878</f>
        <v>Sep-2018</v>
      </c>
      <c r="C12878">
        <f>TEST_DATA!C12878</f>
        <v>43168</v>
      </c>
      <c r="D12878" t="str">
        <f>TEST_DATA!D12878</f>
        <v>NON-NIL</v>
      </c>
      <c r="E12878">
        <f>TEST_DATA!E12878</f>
        <v>519</v>
      </c>
    </row>
    <row r="12879" spans="1:5" x14ac:dyDescent="0.55000000000000004">
      <c r="A12879" t="str">
        <f>TEST_DATA!A12879</f>
        <v>27AAAAA12879Z5</v>
      </c>
      <c r="B12879" t="str">
        <f>TEST_DATA!B12879</f>
        <v>Mar-2023</v>
      </c>
      <c r="C12879">
        <f>TEST_DATA!C12879</f>
        <v>45670</v>
      </c>
      <c r="D12879" t="str">
        <f>TEST_DATA!D12879</f>
        <v>NON-NIL</v>
      </c>
      <c r="E12879">
        <f>TEST_DATA!E12879</f>
        <v>1255</v>
      </c>
    </row>
    <row r="12880" spans="1:5" x14ac:dyDescent="0.55000000000000004">
      <c r="A12880" t="str">
        <f>TEST_DATA!A12880</f>
        <v>27AAAAA12880Z5</v>
      </c>
      <c r="B12880" t="str">
        <f>TEST_DATA!B12880</f>
        <v>Sep-2018</v>
      </c>
      <c r="C12880">
        <f>TEST_DATA!C12880</f>
        <v>43808</v>
      </c>
      <c r="D12880" t="str">
        <f>TEST_DATA!D12880</f>
        <v>NON-NIL</v>
      </c>
      <c r="E12880">
        <f>TEST_DATA!E12880</f>
        <v>1771</v>
      </c>
    </row>
    <row r="12881" spans="1:5" x14ac:dyDescent="0.55000000000000004">
      <c r="A12881" t="str">
        <f>TEST_DATA!A12881</f>
        <v>27AAAAA12881Z5</v>
      </c>
      <c r="B12881" t="str">
        <f>TEST_DATA!B12881</f>
        <v>Aug-2018</v>
      </c>
      <c r="C12881">
        <f>TEST_DATA!C12881</f>
        <v>44338</v>
      </c>
      <c r="D12881" t="str">
        <f>TEST_DATA!D12881</f>
        <v>NON-NIL</v>
      </c>
      <c r="E12881">
        <f>TEST_DATA!E12881</f>
        <v>234</v>
      </c>
    </row>
    <row r="12882" spans="1:5" x14ac:dyDescent="0.55000000000000004">
      <c r="A12882" t="str">
        <f>TEST_DATA!A12882</f>
        <v>27AAAAA12882Z5</v>
      </c>
      <c r="B12882" t="str">
        <f>TEST_DATA!B12882</f>
        <v>Jul-2020</v>
      </c>
      <c r="C12882">
        <f>TEST_DATA!C12882</f>
        <v>43998</v>
      </c>
      <c r="D12882" t="str">
        <f>TEST_DATA!D12882</f>
        <v>NIL</v>
      </c>
      <c r="E12882">
        <f>TEST_DATA!E12882</f>
        <v>2463</v>
      </c>
    </row>
    <row r="12883" spans="1:5" x14ac:dyDescent="0.55000000000000004">
      <c r="A12883" t="str">
        <f>TEST_DATA!A12883</f>
        <v>27AAAAA12883Z5</v>
      </c>
      <c r="B12883" t="str">
        <f>TEST_DATA!B12883</f>
        <v>Jan-2018</v>
      </c>
      <c r="C12883">
        <f>TEST_DATA!C12883</f>
        <v>43664</v>
      </c>
      <c r="D12883" t="str">
        <f>TEST_DATA!D12883</f>
        <v>NIL</v>
      </c>
      <c r="E12883">
        <f>TEST_DATA!E12883</f>
        <v>1558</v>
      </c>
    </row>
    <row r="12884" spans="1:5" x14ac:dyDescent="0.55000000000000004">
      <c r="A12884" t="str">
        <f>TEST_DATA!A12884</f>
        <v>27AAAAA12884Z5</v>
      </c>
      <c r="B12884" t="str">
        <f>TEST_DATA!B12884</f>
        <v>Dec-2022</v>
      </c>
      <c r="C12884">
        <f>TEST_DATA!C12884</f>
        <v>44502</v>
      </c>
      <c r="D12884" t="str">
        <f>TEST_DATA!D12884</f>
        <v>NIL</v>
      </c>
      <c r="E12884">
        <f>TEST_DATA!E12884</f>
        <v>1402</v>
      </c>
    </row>
    <row r="12885" spans="1:5" x14ac:dyDescent="0.55000000000000004">
      <c r="A12885" t="str">
        <f>TEST_DATA!A12885</f>
        <v>27AAAAA12885Z5</v>
      </c>
      <c r="B12885" t="str">
        <f>TEST_DATA!B12885</f>
        <v>Mar-2020</v>
      </c>
      <c r="C12885">
        <f>TEST_DATA!C12885</f>
        <v>44262</v>
      </c>
      <c r="D12885" t="str">
        <f>TEST_DATA!D12885</f>
        <v>NIL</v>
      </c>
      <c r="E12885">
        <f>TEST_DATA!E12885</f>
        <v>1836</v>
      </c>
    </row>
    <row r="12886" spans="1:5" x14ac:dyDescent="0.55000000000000004">
      <c r="A12886" t="str">
        <f>TEST_DATA!A12886</f>
        <v>27AAAAA12886Z5</v>
      </c>
      <c r="B12886" t="str">
        <f>TEST_DATA!B12886</f>
        <v>Aug-2018</v>
      </c>
      <c r="C12886">
        <f>TEST_DATA!C12886</f>
        <v>44103</v>
      </c>
      <c r="D12886" t="str">
        <f>TEST_DATA!D12886</f>
        <v>NON-NIL</v>
      </c>
      <c r="E12886">
        <f>TEST_DATA!E12886</f>
        <v>63</v>
      </c>
    </row>
    <row r="12887" spans="1:5" x14ac:dyDescent="0.55000000000000004">
      <c r="A12887" t="str">
        <f>TEST_DATA!A12887</f>
        <v>27AAAAA12887Z5</v>
      </c>
      <c r="B12887" t="str">
        <f>TEST_DATA!B12887</f>
        <v>Jun-2019</v>
      </c>
      <c r="C12887">
        <f>TEST_DATA!C12887</f>
        <v>44920</v>
      </c>
      <c r="D12887" t="str">
        <f>TEST_DATA!D12887</f>
        <v>NON-NIL</v>
      </c>
      <c r="E12887">
        <f>TEST_DATA!E12887</f>
        <v>1832</v>
      </c>
    </row>
    <row r="12888" spans="1:5" x14ac:dyDescent="0.55000000000000004">
      <c r="A12888" t="str">
        <f>TEST_DATA!A12888</f>
        <v>27AAAAA12888Z5</v>
      </c>
      <c r="B12888" t="str">
        <f>TEST_DATA!B12888</f>
        <v>May-2018</v>
      </c>
      <c r="C12888">
        <f>TEST_DATA!C12888</f>
        <v>44094</v>
      </c>
      <c r="D12888" t="str">
        <f>TEST_DATA!D12888</f>
        <v>NIL</v>
      </c>
      <c r="E12888">
        <f>TEST_DATA!E12888</f>
        <v>107</v>
      </c>
    </row>
    <row r="12889" spans="1:5" x14ac:dyDescent="0.55000000000000004">
      <c r="A12889" t="str">
        <f>TEST_DATA!A12889</f>
        <v>27AAAAA12889Z5</v>
      </c>
      <c r="B12889" t="str">
        <f>TEST_DATA!B12889</f>
        <v>May-2020</v>
      </c>
      <c r="C12889">
        <f>TEST_DATA!C12889</f>
        <v>44598</v>
      </c>
      <c r="D12889" t="str">
        <f>TEST_DATA!D12889</f>
        <v>NON-NIL</v>
      </c>
      <c r="E12889">
        <f>TEST_DATA!E12889</f>
        <v>870</v>
      </c>
    </row>
    <row r="12890" spans="1:5" x14ac:dyDescent="0.55000000000000004">
      <c r="A12890" t="str">
        <f>TEST_DATA!A12890</f>
        <v>27AAAAA12890Z5</v>
      </c>
      <c r="B12890" t="str">
        <f>TEST_DATA!B12890</f>
        <v>Apr-2021</v>
      </c>
      <c r="C12890">
        <f>TEST_DATA!C12890</f>
        <v>45168</v>
      </c>
      <c r="D12890" t="str">
        <f>TEST_DATA!D12890</f>
        <v>NON-NIL</v>
      </c>
      <c r="E12890">
        <f>TEST_DATA!E12890</f>
        <v>190</v>
      </c>
    </row>
    <row r="12891" spans="1:5" x14ac:dyDescent="0.55000000000000004">
      <c r="A12891" t="str">
        <f>TEST_DATA!A12891</f>
        <v>27AAAAA12891Z5</v>
      </c>
      <c r="B12891" t="str">
        <f>TEST_DATA!B12891</f>
        <v>Jun-2020</v>
      </c>
      <c r="C12891">
        <f>TEST_DATA!C12891</f>
        <v>44451</v>
      </c>
      <c r="D12891" t="str">
        <f>TEST_DATA!D12891</f>
        <v>NON-NIL</v>
      </c>
      <c r="E12891">
        <f>TEST_DATA!E12891</f>
        <v>1824</v>
      </c>
    </row>
    <row r="12892" spans="1:5" x14ac:dyDescent="0.55000000000000004">
      <c r="A12892" t="str">
        <f>TEST_DATA!A12892</f>
        <v>27AAAAA12892Z5</v>
      </c>
      <c r="B12892" t="str">
        <f>TEST_DATA!B12892</f>
        <v>Jan-2019</v>
      </c>
      <c r="C12892">
        <f>TEST_DATA!C12892</f>
        <v>45437</v>
      </c>
      <c r="D12892" t="str">
        <f>TEST_DATA!D12892</f>
        <v>NIL</v>
      </c>
      <c r="E12892">
        <f>TEST_DATA!E12892</f>
        <v>1112</v>
      </c>
    </row>
    <row r="12893" spans="1:5" x14ac:dyDescent="0.55000000000000004">
      <c r="A12893" t="str">
        <f>TEST_DATA!A12893</f>
        <v>27AAAAA12893Z5</v>
      </c>
      <c r="B12893" t="str">
        <f>TEST_DATA!B12893</f>
        <v>Aug-2017</v>
      </c>
      <c r="C12893">
        <f>TEST_DATA!C12893</f>
        <v>43644</v>
      </c>
      <c r="D12893" t="str">
        <f>TEST_DATA!D12893</f>
        <v>NON-NIL</v>
      </c>
      <c r="E12893">
        <f>TEST_DATA!E12893</f>
        <v>1917</v>
      </c>
    </row>
    <row r="12894" spans="1:5" x14ac:dyDescent="0.55000000000000004">
      <c r="A12894" t="str">
        <f>TEST_DATA!A12894</f>
        <v>27AAAAA12894Z5</v>
      </c>
      <c r="B12894" t="str">
        <f>TEST_DATA!B12894</f>
        <v>Aug-2017</v>
      </c>
      <c r="C12894">
        <f>TEST_DATA!C12894</f>
        <v>43193</v>
      </c>
      <c r="D12894" t="str">
        <f>TEST_DATA!D12894</f>
        <v>NON-NIL</v>
      </c>
      <c r="E12894">
        <f>TEST_DATA!E12894</f>
        <v>74</v>
      </c>
    </row>
    <row r="12895" spans="1:5" x14ac:dyDescent="0.55000000000000004">
      <c r="A12895" t="str">
        <f>TEST_DATA!A12895</f>
        <v>27AAAAA12895Z5</v>
      </c>
      <c r="B12895" t="str">
        <f>TEST_DATA!B12895</f>
        <v>Jul-2020</v>
      </c>
      <c r="C12895">
        <f>TEST_DATA!C12895</f>
        <v>44006</v>
      </c>
      <c r="D12895" t="str">
        <f>TEST_DATA!D12895</f>
        <v>NON-NIL</v>
      </c>
      <c r="E12895">
        <f>TEST_DATA!E12895</f>
        <v>1509</v>
      </c>
    </row>
    <row r="12896" spans="1:5" x14ac:dyDescent="0.55000000000000004">
      <c r="A12896" t="str">
        <f>TEST_DATA!A12896</f>
        <v>27AAAAA12896Z5</v>
      </c>
      <c r="B12896" t="str">
        <f>TEST_DATA!B12896</f>
        <v>Apr-2018</v>
      </c>
      <c r="C12896">
        <f>TEST_DATA!C12896</f>
        <v>43441</v>
      </c>
      <c r="D12896" t="str">
        <f>TEST_DATA!D12896</f>
        <v>NON-NIL</v>
      </c>
      <c r="E12896">
        <f>TEST_DATA!E12896</f>
        <v>146</v>
      </c>
    </row>
    <row r="12897" spans="1:5" x14ac:dyDescent="0.55000000000000004">
      <c r="A12897" t="str">
        <f>TEST_DATA!A12897</f>
        <v>27AAAAA12897Z5</v>
      </c>
      <c r="B12897" t="str">
        <f>TEST_DATA!B12897</f>
        <v>May-2020</v>
      </c>
      <c r="C12897">
        <f>TEST_DATA!C12897</f>
        <v>44487</v>
      </c>
      <c r="D12897" t="str">
        <f>TEST_DATA!D12897</f>
        <v>NON-NIL</v>
      </c>
      <c r="E12897">
        <f>TEST_DATA!E12897</f>
        <v>1326</v>
      </c>
    </row>
    <row r="12898" spans="1:5" x14ac:dyDescent="0.55000000000000004">
      <c r="A12898" t="str">
        <f>TEST_DATA!A12898</f>
        <v>27AAAAA12898Z5</v>
      </c>
      <c r="B12898" t="str">
        <f>TEST_DATA!B12898</f>
        <v>Nov-2017</v>
      </c>
      <c r="C12898">
        <f>TEST_DATA!C12898</f>
        <v>43675</v>
      </c>
      <c r="D12898" t="str">
        <f>TEST_DATA!D12898</f>
        <v>NON-NIL</v>
      </c>
      <c r="E12898">
        <f>TEST_DATA!E12898</f>
        <v>2580</v>
      </c>
    </row>
    <row r="12899" spans="1:5" x14ac:dyDescent="0.55000000000000004">
      <c r="A12899" t="str">
        <f>TEST_DATA!A12899</f>
        <v>27AAAAA12899Z5</v>
      </c>
      <c r="B12899" t="str">
        <f>TEST_DATA!B12899</f>
        <v>Jan-2018</v>
      </c>
      <c r="C12899">
        <f>TEST_DATA!C12899</f>
        <v>43921</v>
      </c>
      <c r="D12899" t="str">
        <f>TEST_DATA!D12899</f>
        <v>NON-NIL</v>
      </c>
      <c r="E12899">
        <f>TEST_DATA!E12899</f>
        <v>1094</v>
      </c>
    </row>
    <row r="12900" spans="1:5" x14ac:dyDescent="0.55000000000000004">
      <c r="A12900" t="str">
        <f>TEST_DATA!A12900</f>
        <v>27AAAAA12900Z5</v>
      </c>
      <c r="B12900" t="str">
        <f>TEST_DATA!B12900</f>
        <v>Jan-2021</v>
      </c>
      <c r="C12900">
        <f>TEST_DATA!C12900</f>
        <v>45717</v>
      </c>
      <c r="D12900" t="str">
        <f>TEST_DATA!D12900</f>
        <v>NON-NIL</v>
      </c>
      <c r="E12900">
        <f>TEST_DATA!E12900</f>
        <v>1462</v>
      </c>
    </row>
    <row r="12901" spans="1:5" x14ac:dyDescent="0.55000000000000004">
      <c r="A12901" t="str">
        <f>TEST_DATA!A12901</f>
        <v>27AAAAA12901Z5</v>
      </c>
      <c r="B12901" t="str">
        <f>TEST_DATA!B12901</f>
        <v>May-2018</v>
      </c>
      <c r="C12901">
        <f>TEST_DATA!C12901</f>
        <v>44417</v>
      </c>
      <c r="D12901" t="str">
        <f>TEST_DATA!D12901</f>
        <v>NON-NIL</v>
      </c>
      <c r="E12901">
        <f>TEST_DATA!E12901</f>
        <v>2906</v>
      </c>
    </row>
    <row r="12902" spans="1:5" x14ac:dyDescent="0.55000000000000004">
      <c r="A12902" t="str">
        <f>TEST_DATA!A12902</f>
        <v>27AAAAA12902Z5</v>
      </c>
      <c r="B12902" t="str">
        <f>TEST_DATA!B12902</f>
        <v>Jun-2020</v>
      </c>
      <c r="C12902">
        <f>TEST_DATA!C12902</f>
        <v>44800</v>
      </c>
      <c r="D12902" t="str">
        <f>TEST_DATA!D12902</f>
        <v>NON-NIL</v>
      </c>
      <c r="E12902">
        <f>TEST_DATA!E12902</f>
        <v>2757</v>
      </c>
    </row>
    <row r="12903" spans="1:5" x14ac:dyDescent="0.55000000000000004">
      <c r="A12903" t="str">
        <f>TEST_DATA!A12903</f>
        <v>27AAAAA12903Z5</v>
      </c>
      <c r="B12903" t="str">
        <f>TEST_DATA!B12903</f>
        <v>Aug-2018</v>
      </c>
      <c r="C12903">
        <f>TEST_DATA!C12903</f>
        <v>43348</v>
      </c>
      <c r="D12903" t="str">
        <f>TEST_DATA!D12903</f>
        <v>NIL</v>
      </c>
      <c r="E12903">
        <f>TEST_DATA!E12903</f>
        <v>1385</v>
      </c>
    </row>
    <row r="12904" spans="1:5" x14ac:dyDescent="0.55000000000000004">
      <c r="A12904" t="str">
        <f>TEST_DATA!A12904</f>
        <v>27AAAAA12904Z5</v>
      </c>
      <c r="B12904" t="str">
        <f>TEST_DATA!B12904</f>
        <v>Jul-2020</v>
      </c>
      <c r="C12904">
        <f>TEST_DATA!C12904</f>
        <v>44387</v>
      </c>
      <c r="D12904" t="str">
        <f>TEST_DATA!D12904</f>
        <v>NIL</v>
      </c>
      <c r="E12904">
        <f>TEST_DATA!E12904</f>
        <v>13</v>
      </c>
    </row>
    <row r="12905" spans="1:5" x14ac:dyDescent="0.55000000000000004">
      <c r="A12905" t="str">
        <f>TEST_DATA!A12905</f>
        <v>27AAAAA12905Z5</v>
      </c>
      <c r="B12905" t="str">
        <f>TEST_DATA!B12905</f>
        <v>Jul-2020</v>
      </c>
      <c r="C12905">
        <f>TEST_DATA!C12905</f>
        <v>44514</v>
      </c>
      <c r="D12905" t="str">
        <f>TEST_DATA!D12905</f>
        <v>NIL</v>
      </c>
      <c r="E12905">
        <f>TEST_DATA!E12905</f>
        <v>2315</v>
      </c>
    </row>
    <row r="12906" spans="1:5" x14ac:dyDescent="0.55000000000000004">
      <c r="A12906" t="str">
        <f>TEST_DATA!A12906</f>
        <v>27AAAAA12906Z5</v>
      </c>
      <c r="B12906" t="str">
        <f>TEST_DATA!B12906</f>
        <v>Dec-2024</v>
      </c>
      <c r="C12906">
        <f>TEST_DATA!C12906</f>
        <v>44864</v>
      </c>
      <c r="D12906" t="str">
        <f>TEST_DATA!D12906</f>
        <v>NIL</v>
      </c>
      <c r="E12906">
        <f>TEST_DATA!E12906</f>
        <v>40</v>
      </c>
    </row>
    <row r="12907" spans="1:5" x14ac:dyDescent="0.55000000000000004">
      <c r="A12907" t="str">
        <f>TEST_DATA!A12907</f>
        <v>27AAAAA12907Z5</v>
      </c>
      <c r="B12907" t="str">
        <f>TEST_DATA!B12907</f>
        <v>Jun-2020</v>
      </c>
      <c r="C12907">
        <f>TEST_DATA!C12907</f>
        <v>44751</v>
      </c>
      <c r="D12907" t="str">
        <f>TEST_DATA!D12907</f>
        <v>NIL</v>
      </c>
      <c r="E12907">
        <f>TEST_DATA!E12907</f>
        <v>1926</v>
      </c>
    </row>
    <row r="12908" spans="1:5" x14ac:dyDescent="0.55000000000000004">
      <c r="A12908" t="str">
        <f>TEST_DATA!A12908</f>
        <v>27AAAAA12908Z5</v>
      </c>
      <c r="B12908" t="str">
        <f>TEST_DATA!B12908</f>
        <v>Jan-2021</v>
      </c>
      <c r="C12908">
        <f>TEST_DATA!C12908</f>
        <v>45391</v>
      </c>
      <c r="D12908" t="str">
        <f>TEST_DATA!D12908</f>
        <v>NIL</v>
      </c>
      <c r="E12908">
        <f>TEST_DATA!E12908</f>
        <v>2162</v>
      </c>
    </row>
    <row r="12909" spans="1:5" x14ac:dyDescent="0.55000000000000004">
      <c r="A12909" t="str">
        <f>TEST_DATA!A12909</f>
        <v>27AAAAA12909Z5</v>
      </c>
      <c r="B12909" t="str">
        <f>TEST_DATA!B12909</f>
        <v>May-2020</v>
      </c>
      <c r="C12909">
        <f>TEST_DATA!C12909</f>
        <v>44123</v>
      </c>
      <c r="D12909" t="str">
        <f>TEST_DATA!D12909</f>
        <v>NON-NIL</v>
      </c>
      <c r="E12909">
        <f>TEST_DATA!E12909</f>
        <v>1593</v>
      </c>
    </row>
    <row r="12910" spans="1:5" x14ac:dyDescent="0.55000000000000004">
      <c r="A12910" t="str">
        <f>TEST_DATA!A12910</f>
        <v>27AAAAA12910Z5</v>
      </c>
      <c r="B12910" t="str">
        <f>TEST_DATA!B12910</f>
        <v>Mar-2020</v>
      </c>
      <c r="C12910">
        <f>TEST_DATA!C12910</f>
        <v>44500</v>
      </c>
      <c r="D12910" t="str">
        <f>TEST_DATA!D12910</f>
        <v>NON-NIL</v>
      </c>
      <c r="E12910">
        <f>TEST_DATA!E12910</f>
        <v>246</v>
      </c>
    </row>
    <row r="12911" spans="1:5" x14ac:dyDescent="0.55000000000000004">
      <c r="A12911" t="str">
        <f>TEST_DATA!A12911</f>
        <v>27AAAAA12911Z5</v>
      </c>
      <c r="B12911" t="str">
        <f>TEST_DATA!B12911</f>
        <v>Jul-2020</v>
      </c>
      <c r="C12911">
        <f>TEST_DATA!C12911</f>
        <v>44389</v>
      </c>
      <c r="D12911" t="str">
        <f>TEST_DATA!D12911</f>
        <v>NIL</v>
      </c>
      <c r="E12911">
        <f>TEST_DATA!E12911</f>
        <v>2642</v>
      </c>
    </row>
    <row r="12912" spans="1:5" x14ac:dyDescent="0.55000000000000004">
      <c r="A12912" t="str">
        <f>TEST_DATA!A12912</f>
        <v>27AAAAA12912Z5</v>
      </c>
      <c r="B12912" t="str">
        <f>TEST_DATA!B12912</f>
        <v>Aug-2018</v>
      </c>
      <c r="C12912">
        <f>TEST_DATA!C12912</f>
        <v>43742</v>
      </c>
      <c r="D12912" t="str">
        <f>TEST_DATA!D12912</f>
        <v>NIL</v>
      </c>
      <c r="E12912">
        <f>TEST_DATA!E12912</f>
        <v>961</v>
      </c>
    </row>
    <row r="12913" spans="1:5" x14ac:dyDescent="0.55000000000000004">
      <c r="A12913" t="str">
        <f>TEST_DATA!A12913</f>
        <v>27AAAAA12913Z5</v>
      </c>
      <c r="B12913" t="str">
        <f>TEST_DATA!B12913</f>
        <v>Aug-2018</v>
      </c>
      <c r="C12913">
        <f>TEST_DATA!C12913</f>
        <v>43784</v>
      </c>
      <c r="D12913" t="str">
        <f>TEST_DATA!D12913</f>
        <v>NIL</v>
      </c>
      <c r="E12913">
        <f>TEST_DATA!E12913</f>
        <v>2605</v>
      </c>
    </row>
    <row r="12914" spans="1:5" x14ac:dyDescent="0.55000000000000004">
      <c r="A12914" t="str">
        <f>TEST_DATA!A12914</f>
        <v>27AAAAA12914Z5</v>
      </c>
      <c r="B12914" t="str">
        <f>TEST_DATA!B12914</f>
        <v>Dec-2017</v>
      </c>
      <c r="C12914">
        <f>TEST_DATA!C12914</f>
        <v>44510</v>
      </c>
      <c r="D12914" t="str">
        <f>TEST_DATA!D12914</f>
        <v>NON-NIL</v>
      </c>
      <c r="E12914">
        <f>TEST_DATA!E12914</f>
        <v>1782</v>
      </c>
    </row>
    <row r="12915" spans="1:5" x14ac:dyDescent="0.55000000000000004">
      <c r="A12915" t="str">
        <f>TEST_DATA!A12915</f>
        <v>27AAAAA12915Z5</v>
      </c>
      <c r="B12915" t="str">
        <f>TEST_DATA!B12915</f>
        <v>Jun-2020</v>
      </c>
      <c r="C12915">
        <f>TEST_DATA!C12915</f>
        <v>44458</v>
      </c>
      <c r="D12915" t="str">
        <f>TEST_DATA!D12915</f>
        <v>NON-NIL</v>
      </c>
      <c r="E12915">
        <f>TEST_DATA!E12915</f>
        <v>2215</v>
      </c>
    </row>
    <row r="12916" spans="1:5" x14ac:dyDescent="0.55000000000000004">
      <c r="A12916" t="str">
        <f>TEST_DATA!A12916</f>
        <v>27AAAAA12916Z5</v>
      </c>
      <c r="B12916" t="str">
        <f>TEST_DATA!B12916</f>
        <v>Dec-2017</v>
      </c>
      <c r="C12916">
        <f>TEST_DATA!C12916</f>
        <v>44230</v>
      </c>
      <c r="D12916" t="str">
        <f>TEST_DATA!D12916</f>
        <v>NON-NIL</v>
      </c>
      <c r="E12916">
        <f>TEST_DATA!E12916</f>
        <v>805</v>
      </c>
    </row>
    <row r="12917" spans="1:5" x14ac:dyDescent="0.55000000000000004">
      <c r="A12917" t="str">
        <f>TEST_DATA!A12917</f>
        <v>27AAAAA12917Z5</v>
      </c>
      <c r="B12917" t="str">
        <f>TEST_DATA!B12917</f>
        <v>Jul-2020</v>
      </c>
      <c r="C12917">
        <f>TEST_DATA!C12917</f>
        <v>44569</v>
      </c>
      <c r="D12917" t="str">
        <f>TEST_DATA!D12917</f>
        <v>NIL</v>
      </c>
      <c r="E12917">
        <f>TEST_DATA!E12917</f>
        <v>231</v>
      </c>
    </row>
    <row r="12918" spans="1:5" x14ac:dyDescent="0.55000000000000004">
      <c r="A12918" t="str">
        <f>TEST_DATA!A12918</f>
        <v>27AAAAA12918Z5</v>
      </c>
      <c r="B12918" t="str">
        <f>TEST_DATA!B12918</f>
        <v>Jan-2019</v>
      </c>
      <c r="C12918">
        <f>TEST_DATA!C12918</f>
        <v>45096</v>
      </c>
      <c r="D12918" t="str">
        <f>TEST_DATA!D12918</f>
        <v>NIL</v>
      </c>
      <c r="E12918">
        <f>TEST_DATA!E12918</f>
        <v>1770</v>
      </c>
    </row>
    <row r="12919" spans="1:5" x14ac:dyDescent="0.55000000000000004">
      <c r="A12919" t="str">
        <f>TEST_DATA!A12919</f>
        <v>27AAAAA12919Z5</v>
      </c>
      <c r="B12919" t="str">
        <f>TEST_DATA!B12919</f>
        <v>Jun-2018</v>
      </c>
      <c r="C12919">
        <f>TEST_DATA!C12919</f>
        <v>43375</v>
      </c>
      <c r="D12919" t="str">
        <f>TEST_DATA!D12919</f>
        <v>NON-NIL</v>
      </c>
      <c r="E12919">
        <f>TEST_DATA!E12919</f>
        <v>2030</v>
      </c>
    </row>
    <row r="12920" spans="1:5" x14ac:dyDescent="0.55000000000000004">
      <c r="A12920" t="str">
        <f>TEST_DATA!A12920</f>
        <v>27AAAAA12920Z5</v>
      </c>
      <c r="B12920" t="str">
        <f>TEST_DATA!B12920</f>
        <v>Mar-2023</v>
      </c>
      <c r="C12920">
        <f>TEST_DATA!C12920</f>
        <v>45378</v>
      </c>
      <c r="D12920" t="str">
        <f>TEST_DATA!D12920</f>
        <v>NON-NIL</v>
      </c>
      <c r="E12920">
        <f>TEST_DATA!E12920</f>
        <v>571</v>
      </c>
    </row>
    <row r="12921" spans="1:5" x14ac:dyDescent="0.55000000000000004">
      <c r="A12921" t="str">
        <f>TEST_DATA!A12921</f>
        <v>27AAAAA12921Z5</v>
      </c>
      <c r="B12921" t="str">
        <f>TEST_DATA!B12921</f>
        <v>Mar-2018</v>
      </c>
      <c r="C12921">
        <f>TEST_DATA!C12921</f>
        <v>43922</v>
      </c>
      <c r="D12921" t="str">
        <f>TEST_DATA!D12921</f>
        <v>NIL</v>
      </c>
      <c r="E12921">
        <f>TEST_DATA!E12921</f>
        <v>1720</v>
      </c>
    </row>
    <row r="12922" spans="1:5" x14ac:dyDescent="0.55000000000000004">
      <c r="A12922" t="str">
        <f>TEST_DATA!A12922</f>
        <v>27AAAAA12922Z5</v>
      </c>
      <c r="B12922" t="str">
        <f>TEST_DATA!B12922</f>
        <v>Apr-2018</v>
      </c>
      <c r="C12922">
        <f>TEST_DATA!C12922</f>
        <v>44072</v>
      </c>
      <c r="D12922" t="str">
        <f>TEST_DATA!D12922</f>
        <v>NIL</v>
      </c>
      <c r="E12922">
        <f>TEST_DATA!E12922</f>
        <v>2401</v>
      </c>
    </row>
    <row r="12923" spans="1:5" x14ac:dyDescent="0.55000000000000004">
      <c r="A12923" t="str">
        <f>TEST_DATA!A12923</f>
        <v>27AAAAA12923Z5</v>
      </c>
      <c r="B12923" t="str">
        <f>TEST_DATA!B12923</f>
        <v>Oct-2017</v>
      </c>
      <c r="C12923">
        <f>TEST_DATA!C12923</f>
        <v>43714</v>
      </c>
      <c r="D12923" t="str">
        <f>TEST_DATA!D12923</f>
        <v>NIL</v>
      </c>
      <c r="E12923">
        <f>TEST_DATA!E12923</f>
        <v>2786</v>
      </c>
    </row>
    <row r="12924" spans="1:5" x14ac:dyDescent="0.55000000000000004">
      <c r="A12924" t="str">
        <f>TEST_DATA!A12924</f>
        <v>27AAAAA12924Z5</v>
      </c>
      <c r="B12924" t="str">
        <f>TEST_DATA!B12924</f>
        <v>Aug-2018</v>
      </c>
      <c r="C12924">
        <f>TEST_DATA!C12924</f>
        <v>44108</v>
      </c>
      <c r="D12924" t="str">
        <f>TEST_DATA!D12924</f>
        <v>NON-NIL</v>
      </c>
      <c r="E12924">
        <f>TEST_DATA!E12924</f>
        <v>88</v>
      </c>
    </row>
    <row r="12925" spans="1:5" x14ac:dyDescent="0.55000000000000004">
      <c r="A12925" t="str">
        <f>TEST_DATA!A12925</f>
        <v>27AAAAA12925Z5</v>
      </c>
      <c r="B12925" t="str">
        <f>TEST_DATA!B12925</f>
        <v>Mar-2023</v>
      </c>
      <c r="C12925">
        <f>TEST_DATA!C12925</f>
        <v>45394</v>
      </c>
      <c r="D12925" t="str">
        <f>TEST_DATA!D12925</f>
        <v>NIL</v>
      </c>
      <c r="E12925">
        <f>TEST_DATA!E12925</f>
        <v>1405</v>
      </c>
    </row>
    <row r="12926" spans="1:5" x14ac:dyDescent="0.55000000000000004">
      <c r="A12926" t="str">
        <f>TEST_DATA!A12926</f>
        <v>27AAAAA12926Z5</v>
      </c>
      <c r="B12926" t="str">
        <f>TEST_DATA!B12926</f>
        <v>Apr-2020</v>
      </c>
      <c r="C12926">
        <f>TEST_DATA!C12926</f>
        <v>44191</v>
      </c>
      <c r="D12926" t="str">
        <f>TEST_DATA!D12926</f>
        <v>NON-NIL</v>
      </c>
      <c r="E12926">
        <f>TEST_DATA!E12926</f>
        <v>147</v>
      </c>
    </row>
    <row r="12927" spans="1:5" x14ac:dyDescent="0.55000000000000004">
      <c r="A12927" t="str">
        <f>TEST_DATA!A12927</f>
        <v>27AAAAA12927Z5</v>
      </c>
      <c r="B12927" t="str">
        <f>TEST_DATA!B12927</f>
        <v>Oct-2017</v>
      </c>
      <c r="C12927">
        <f>TEST_DATA!C12927</f>
        <v>43712</v>
      </c>
      <c r="D12927" t="str">
        <f>TEST_DATA!D12927</f>
        <v>NIL</v>
      </c>
      <c r="E12927">
        <f>TEST_DATA!E12927</f>
        <v>1428</v>
      </c>
    </row>
    <row r="12928" spans="1:5" x14ac:dyDescent="0.55000000000000004">
      <c r="A12928" t="str">
        <f>TEST_DATA!A12928</f>
        <v>27AAAAA12928Z5</v>
      </c>
      <c r="B12928" t="str">
        <f>TEST_DATA!B12928</f>
        <v>Aug-2018</v>
      </c>
      <c r="C12928">
        <f>TEST_DATA!C12928</f>
        <v>44172</v>
      </c>
      <c r="D12928" t="str">
        <f>TEST_DATA!D12928</f>
        <v>NON-NIL</v>
      </c>
      <c r="E12928">
        <f>TEST_DATA!E12928</f>
        <v>2171</v>
      </c>
    </row>
    <row r="12929" spans="1:5" x14ac:dyDescent="0.55000000000000004">
      <c r="A12929" t="str">
        <f>TEST_DATA!A12929</f>
        <v>27AAAAA12929Z5</v>
      </c>
      <c r="B12929" t="str">
        <f>TEST_DATA!B12929</f>
        <v>Aug-2017</v>
      </c>
      <c r="C12929">
        <f>TEST_DATA!C12929</f>
        <v>43900</v>
      </c>
      <c r="D12929" t="str">
        <f>TEST_DATA!D12929</f>
        <v>NIL</v>
      </c>
      <c r="E12929">
        <f>TEST_DATA!E12929</f>
        <v>852</v>
      </c>
    </row>
    <row r="12930" spans="1:5" x14ac:dyDescent="0.55000000000000004">
      <c r="A12930" t="str">
        <f>TEST_DATA!A12930</f>
        <v>27AAAAA12930Z5</v>
      </c>
      <c r="B12930" t="str">
        <f>TEST_DATA!B12930</f>
        <v>Aug-2017</v>
      </c>
      <c r="C12930">
        <f>TEST_DATA!C12930</f>
        <v>43896</v>
      </c>
      <c r="D12930" t="str">
        <f>TEST_DATA!D12930</f>
        <v>NIL</v>
      </c>
      <c r="E12930">
        <f>TEST_DATA!E12930</f>
        <v>86</v>
      </c>
    </row>
    <row r="12931" spans="1:5" x14ac:dyDescent="0.55000000000000004">
      <c r="A12931" t="str">
        <f>TEST_DATA!A12931</f>
        <v>27AAAAA12931Z5</v>
      </c>
      <c r="B12931" t="str">
        <f>TEST_DATA!B12931</f>
        <v>Jun-2019</v>
      </c>
      <c r="C12931">
        <f>TEST_DATA!C12931</f>
        <v>43725</v>
      </c>
      <c r="D12931" t="str">
        <f>TEST_DATA!D12931</f>
        <v>NIL</v>
      </c>
      <c r="E12931">
        <f>TEST_DATA!E12931</f>
        <v>883</v>
      </c>
    </row>
    <row r="12932" spans="1:5" x14ac:dyDescent="0.55000000000000004">
      <c r="A12932" t="str">
        <f>TEST_DATA!A12932</f>
        <v>27AAAAA12932Z5</v>
      </c>
      <c r="B12932" t="str">
        <f>TEST_DATA!B12932</f>
        <v>Mar-2021</v>
      </c>
      <c r="C12932">
        <f>TEST_DATA!C12932</f>
        <v>44727</v>
      </c>
      <c r="D12932" t="str">
        <f>TEST_DATA!D12932</f>
        <v>NIL</v>
      </c>
      <c r="E12932">
        <f>TEST_DATA!E12932</f>
        <v>579</v>
      </c>
    </row>
    <row r="12933" spans="1:5" x14ac:dyDescent="0.55000000000000004">
      <c r="A12933" t="str">
        <f>TEST_DATA!A12933</f>
        <v>27AAAAA12933Z5</v>
      </c>
      <c r="B12933" t="str">
        <f>TEST_DATA!B12933</f>
        <v>Jan-2018</v>
      </c>
      <c r="C12933">
        <f>TEST_DATA!C12933</f>
        <v>44495</v>
      </c>
      <c r="D12933" t="str">
        <f>TEST_DATA!D12933</f>
        <v>NON-NIL</v>
      </c>
      <c r="E12933">
        <f>TEST_DATA!E12933</f>
        <v>1227</v>
      </c>
    </row>
    <row r="12934" spans="1:5" x14ac:dyDescent="0.55000000000000004">
      <c r="A12934" t="str">
        <f>TEST_DATA!A12934</f>
        <v>27AAAAA12934Z5</v>
      </c>
      <c r="B12934" t="str">
        <f>TEST_DATA!B12934</f>
        <v>Feb-2018</v>
      </c>
      <c r="C12934">
        <f>TEST_DATA!C12934</f>
        <v>43281</v>
      </c>
      <c r="D12934" t="str">
        <f>TEST_DATA!D12934</f>
        <v>NON-NIL</v>
      </c>
      <c r="E12934">
        <f>TEST_DATA!E12934</f>
        <v>2351</v>
      </c>
    </row>
    <row r="12935" spans="1:5" x14ac:dyDescent="0.55000000000000004">
      <c r="A12935" t="str">
        <f>TEST_DATA!A12935</f>
        <v>27AAAAA12935Z5</v>
      </c>
      <c r="B12935" t="str">
        <f>TEST_DATA!B12935</f>
        <v>Mar-2023</v>
      </c>
      <c r="C12935">
        <f>TEST_DATA!C12935</f>
        <v>44185</v>
      </c>
      <c r="D12935" t="str">
        <f>TEST_DATA!D12935</f>
        <v>NON-NIL</v>
      </c>
      <c r="E12935">
        <f>TEST_DATA!E12935</f>
        <v>2553</v>
      </c>
    </row>
    <row r="12936" spans="1:5" x14ac:dyDescent="0.55000000000000004">
      <c r="A12936" t="str">
        <f>TEST_DATA!A12936</f>
        <v>27AAAAA12936Z5</v>
      </c>
      <c r="B12936" t="str">
        <f>TEST_DATA!B12936</f>
        <v>Apr-2018</v>
      </c>
      <c r="C12936">
        <f>TEST_DATA!C12936</f>
        <v>43117</v>
      </c>
      <c r="D12936" t="str">
        <f>TEST_DATA!D12936</f>
        <v>NIL</v>
      </c>
      <c r="E12936">
        <f>TEST_DATA!E12936</f>
        <v>369</v>
      </c>
    </row>
    <row r="12937" spans="1:5" x14ac:dyDescent="0.55000000000000004">
      <c r="A12937" t="str">
        <f>TEST_DATA!A12937</f>
        <v>27AAAAA12937Z5</v>
      </c>
      <c r="B12937" t="str">
        <f>TEST_DATA!B12937</f>
        <v>Jul-2020</v>
      </c>
      <c r="C12937">
        <f>TEST_DATA!C12937</f>
        <v>44607</v>
      </c>
      <c r="D12937" t="str">
        <f>TEST_DATA!D12937</f>
        <v>NON-NIL</v>
      </c>
      <c r="E12937">
        <f>TEST_DATA!E12937</f>
        <v>2501</v>
      </c>
    </row>
    <row r="12938" spans="1:5" x14ac:dyDescent="0.55000000000000004">
      <c r="A12938" t="str">
        <f>TEST_DATA!A12938</f>
        <v>27AAAAA12938Z5</v>
      </c>
      <c r="B12938" t="str">
        <f>TEST_DATA!B12938</f>
        <v>Apr-2020</v>
      </c>
      <c r="C12938">
        <f>TEST_DATA!C12938</f>
        <v>44072</v>
      </c>
      <c r="D12938" t="str">
        <f>TEST_DATA!D12938</f>
        <v>NIL</v>
      </c>
      <c r="E12938">
        <f>TEST_DATA!E12938</f>
        <v>2641</v>
      </c>
    </row>
    <row r="12939" spans="1:5" x14ac:dyDescent="0.55000000000000004">
      <c r="A12939" t="str">
        <f>TEST_DATA!A12939</f>
        <v>27AAAAA12939Z5</v>
      </c>
      <c r="B12939" t="str">
        <f>TEST_DATA!B12939</f>
        <v>Jul-2020</v>
      </c>
      <c r="C12939">
        <f>TEST_DATA!C12939</f>
        <v>44188</v>
      </c>
      <c r="D12939" t="str">
        <f>TEST_DATA!D12939</f>
        <v>NON-NIL</v>
      </c>
      <c r="E12939">
        <f>TEST_DATA!E12939</f>
        <v>1722</v>
      </c>
    </row>
    <row r="12940" spans="1:5" x14ac:dyDescent="0.55000000000000004">
      <c r="A12940" t="str">
        <f>TEST_DATA!A12940</f>
        <v>27AAAAA12940Z5</v>
      </c>
      <c r="B12940" t="str">
        <f>TEST_DATA!B12940</f>
        <v>Dec-2024</v>
      </c>
      <c r="C12940">
        <f>TEST_DATA!C12940</f>
        <v>44542</v>
      </c>
      <c r="D12940" t="str">
        <f>TEST_DATA!D12940</f>
        <v>NIL</v>
      </c>
      <c r="E12940">
        <f>TEST_DATA!E12940</f>
        <v>1012</v>
      </c>
    </row>
    <row r="12941" spans="1:5" x14ac:dyDescent="0.55000000000000004">
      <c r="A12941" t="str">
        <f>TEST_DATA!A12941</f>
        <v>27AAAAA12941Z5</v>
      </c>
      <c r="B12941" t="str">
        <f>TEST_DATA!B12941</f>
        <v>Sep-2017</v>
      </c>
      <c r="C12941">
        <f>TEST_DATA!C12941</f>
        <v>43136</v>
      </c>
      <c r="D12941" t="str">
        <f>TEST_DATA!D12941</f>
        <v>NIL</v>
      </c>
      <c r="E12941">
        <f>TEST_DATA!E12941</f>
        <v>2266</v>
      </c>
    </row>
    <row r="12942" spans="1:5" x14ac:dyDescent="0.55000000000000004">
      <c r="A12942" t="str">
        <f>TEST_DATA!A12942</f>
        <v>27AAAAA12942Z5</v>
      </c>
      <c r="B12942" t="str">
        <f>TEST_DATA!B12942</f>
        <v>Sep-2018</v>
      </c>
      <c r="C12942">
        <f>TEST_DATA!C12942</f>
        <v>44144</v>
      </c>
      <c r="D12942" t="str">
        <f>TEST_DATA!D12942</f>
        <v>NIL</v>
      </c>
      <c r="E12942">
        <f>TEST_DATA!E12942</f>
        <v>1077</v>
      </c>
    </row>
    <row r="12943" spans="1:5" x14ac:dyDescent="0.55000000000000004">
      <c r="A12943" t="str">
        <f>TEST_DATA!A12943</f>
        <v>27AAAAA12943Z5</v>
      </c>
      <c r="B12943" t="str">
        <f>TEST_DATA!B12943</f>
        <v>Aug-2018</v>
      </c>
      <c r="C12943">
        <f>TEST_DATA!C12943</f>
        <v>43648</v>
      </c>
      <c r="D12943" t="str">
        <f>TEST_DATA!D12943</f>
        <v>NON-NIL</v>
      </c>
      <c r="E12943">
        <f>TEST_DATA!E12943</f>
        <v>392</v>
      </c>
    </row>
    <row r="12944" spans="1:5" x14ac:dyDescent="0.55000000000000004">
      <c r="A12944" t="str">
        <f>TEST_DATA!A12944</f>
        <v>27AAAAA12944Z5</v>
      </c>
      <c r="B12944" t="str">
        <f>TEST_DATA!B12944</f>
        <v>Sep-2017</v>
      </c>
      <c r="C12944">
        <f>TEST_DATA!C12944</f>
        <v>44255</v>
      </c>
      <c r="D12944" t="str">
        <f>TEST_DATA!D12944</f>
        <v>NIL</v>
      </c>
      <c r="E12944">
        <f>TEST_DATA!E12944</f>
        <v>112</v>
      </c>
    </row>
    <row r="12945" spans="1:5" x14ac:dyDescent="0.55000000000000004">
      <c r="A12945" t="str">
        <f>TEST_DATA!A12945</f>
        <v>27AAAAA12945Z5</v>
      </c>
      <c r="B12945" t="str">
        <f>TEST_DATA!B12945</f>
        <v>Apr-2021</v>
      </c>
      <c r="C12945">
        <f>TEST_DATA!C12945</f>
        <v>44238</v>
      </c>
      <c r="D12945" t="str">
        <f>TEST_DATA!D12945</f>
        <v>NIL</v>
      </c>
      <c r="E12945">
        <f>TEST_DATA!E12945</f>
        <v>2305</v>
      </c>
    </row>
    <row r="12946" spans="1:5" x14ac:dyDescent="0.55000000000000004">
      <c r="A12946" t="str">
        <f>TEST_DATA!A12946</f>
        <v>27AAAAA12946Z5</v>
      </c>
      <c r="B12946" t="str">
        <f>TEST_DATA!B12946</f>
        <v>Dec-2022</v>
      </c>
      <c r="C12946">
        <f>TEST_DATA!C12946</f>
        <v>43709</v>
      </c>
      <c r="D12946" t="str">
        <f>TEST_DATA!D12946</f>
        <v>NON-NIL</v>
      </c>
      <c r="E12946">
        <f>TEST_DATA!E12946</f>
        <v>2468</v>
      </c>
    </row>
    <row r="12947" spans="1:5" x14ac:dyDescent="0.55000000000000004">
      <c r="A12947" t="str">
        <f>TEST_DATA!A12947</f>
        <v>27AAAAA12947Z5</v>
      </c>
      <c r="B12947" t="str">
        <f>TEST_DATA!B12947</f>
        <v>Jul-2018</v>
      </c>
      <c r="C12947">
        <f>TEST_DATA!C12947</f>
        <v>43802</v>
      </c>
      <c r="D12947" t="str">
        <f>TEST_DATA!D12947</f>
        <v>NON-NIL</v>
      </c>
      <c r="E12947">
        <f>TEST_DATA!E12947</f>
        <v>2647</v>
      </c>
    </row>
    <row r="12948" spans="1:5" x14ac:dyDescent="0.55000000000000004">
      <c r="A12948" t="str">
        <f>TEST_DATA!A12948</f>
        <v>27AAAAA12948Z5</v>
      </c>
      <c r="B12948" t="str">
        <f>TEST_DATA!B12948</f>
        <v>Mar-2020</v>
      </c>
      <c r="C12948">
        <f>TEST_DATA!C12948</f>
        <v>44350</v>
      </c>
      <c r="D12948" t="str">
        <f>TEST_DATA!D12948</f>
        <v>NIL</v>
      </c>
      <c r="E12948">
        <f>TEST_DATA!E12948</f>
        <v>888</v>
      </c>
    </row>
    <row r="12949" spans="1:5" x14ac:dyDescent="0.55000000000000004">
      <c r="A12949" t="str">
        <f>TEST_DATA!A12949</f>
        <v>27AAAAA12949Z5</v>
      </c>
      <c r="B12949" t="str">
        <f>TEST_DATA!B12949</f>
        <v>Mar-2020</v>
      </c>
      <c r="C12949">
        <f>TEST_DATA!C12949</f>
        <v>44425</v>
      </c>
      <c r="D12949" t="str">
        <f>TEST_DATA!D12949</f>
        <v>NIL</v>
      </c>
      <c r="E12949">
        <f>TEST_DATA!E12949</f>
        <v>2284</v>
      </c>
    </row>
    <row r="12950" spans="1:5" x14ac:dyDescent="0.55000000000000004">
      <c r="A12950" t="str">
        <f>TEST_DATA!A12950</f>
        <v>27AAAAA12950Z5</v>
      </c>
      <c r="B12950" t="str">
        <f>TEST_DATA!B12950</f>
        <v>Jun-2020</v>
      </c>
      <c r="C12950">
        <f>TEST_DATA!C12950</f>
        <v>44256</v>
      </c>
      <c r="D12950" t="str">
        <f>TEST_DATA!D12950</f>
        <v>NON-NIL</v>
      </c>
      <c r="E12950">
        <f>TEST_DATA!E12950</f>
        <v>1463</v>
      </c>
    </row>
    <row r="12951" spans="1:5" x14ac:dyDescent="0.55000000000000004">
      <c r="A12951" t="str">
        <f>TEST_DATA!A12951</f>
        <v>27AAAAA12951Z5</v>
      </c>
      <c r="B12951" t="str">
        <f>TEST_DATA!B12951</f>
        <v>Dec-2024</v>
      </c>
      <c r="C12951">
        <f>TEST_DATA!C12951</f>
        <v>44641</v>
      </c>
      <c r="D12951" t="str">
        <f>TEST_DATA!D12951</f>
        <v>NIL</v>
      </c>
      <c r="E12951">
        <f>TEST_DATA!E12951</f>
        <v>2170</v>
      </c>
    </row>
    <row r="12952" spans="1:5" x14ac:dyDescent="0.55000000000000004">
      <c r="A12952" t="str">
        <f>TEST_DATA!A12952</f>
        <v>27AAAAA12952Z5</v>
      </c>
      <c r="B12952" t="str">
        <f>TEST_DATA!B12952</f>
        <v>Jun-2019</v>
      </c>
      <c r="C12952">
        <f>TEST_DATA!C12952</f>
        <v>44694</v>
      </c>
      <c r="D12952" t="str">
        <f>TEST_DATA!D12952</f>
        <v>NON-NIL</v>
      </c>
      <c r="E12952">
        <f>TEST_DATA!E12952</f>
        <v>992</v>
      </c>
    </row>
    <row r="12953" spans="1:5" x14ac:dyDescent="0.55000000000000004">
      <c r="A12953" t="str">
        <f>TEST_DATA!A12953</f>
        <v>27AAAAA12953Z5</v>
      </c>
      <c r="B12953" t="str">
        <f>TEST_DATA!B12953</f>
        <v>Jan-2019</v>
      </c>
      <c r="C12953">
        <f>TEST_DATA!C12953</f>
        <v>45429</v>
      </c>
      <c r="D12953" t="str">
        <f>TEST_DATA!D12953</f>
        <v>NIL</v>
      </c>
      <c r="E12953">
        <f>TEST_DATA!E12953</f>
        <v>1255</v>
      </c>
    </row>
    <row r="12954" spans="1:5" x14ac:dyDescent="0.55000000000000004">
      <c r="A12954" t="str">
        <f>TEST_DATA!A12954</f>
        <v>27AAAAA12954Z5</v>
      </c>
      <c r="B12954" t="str">
        <f>TEST_DATA!B12954</f>
        <v>May-2020</v>
      </c>
      <c r="C12954">
        <f>TEST_DATA!C12954</f>
        <v>44495</v>
      </c>
      <c r="D12954" t="str">
        <f>TEST_DATA!D12954</f>
        <v>NIL</v>
      </c>
      <c r="E12954">
        <f>TEST_DATA!E12954</f>
        <v>997</v>
      </c>
    </row>
    <row r="12955" spans="1:5" x14ac:dyDescent="0.55000000000000004">
      <c r="A12955" t="str">
        <f>TEST_DATA!A12955</f>
        <v>27AAAAA12955Z5</v>
      </c>
      <c r="B12955" t="str">
        <f>TEST_DATA!B12955</f>
        <v>Jul-2017</v>
      </c>
      <c r="C12955">
        <f>TEST_DATA!C12955</f>
        <v>44414</v>
      </c>
      <c r="D12955" t="str">
        <f>TEST_DATA!D12955</f>
        <v>NIL</v>
      </c>
      <c r="E12955">
        <f>TEST_DATA!E12955</f>
        <v>1837</v>
      </c>
    </row>
    <row r="12956" spans="1:5" x14ac:dyDescent="0.55000000000000004">
      <c r="A12956" t="str">
        <f>TEST_DATA!A12956</f>
        <v>27AAAAA12956Z5</v>
      </c>
      <c r="B12956" t="str">
        <f>TEST_DATA!B12956</f>
        <v>Jan-2019</v>
      </c>
      <c r="C12956">
        <f>TEST_DATA!C12956</f>
        <v>44025</v>
      </c>
      <c r="D12956" t="str">
        <f>TEST_DATA!D12956</f>
        <v>NIL</v>
      </c>
      <c r="E12956">
        <f>TEST_DATA!E12956</f>
        <v>1859</v>
      </c>
    </row>
    <row r="12957" spans="1:5" x14ac:dyDescent="0.55000000000000004">
      <c r="A12957" t="str">
        <f>TEST_DATA!A12957</f>
        <v>27AAAAA12957Z5</v>
      </c>
      <c r="B12957" t="str">
        <f>TEST_DATA!B12957</f>
        <v>Mar-2020</v>
      </c>
      <c r="C12957">
        <f>TEST_DATA!C12957</f>
        <v>44249</v>
      </c>
      <c r="D12957" t="str">
        <f>TEST_DATA!D12957</f>
        <v>NIL</v>
      </c>
      <c r="E12957">
        <f>TEST_DATA!E12957</f>
        <v>1642</v>
      </c>
    </row>
    <row r="12958" spans="1:5" x14ac:dyDescent="0.55000000000000004">
      <c r="A12958" t="str">
        <f>TEST_DATA!A12958</f>
        <v>27AAAAA12958Z5</v>
      </c>
      <c r="B12958" t="str">
        <f>TEST_DATA!B12958</f>
        <v>Dec-2017</v>
      </c>
      <c r="C12958">
        <f>TEST_DATA!C12958</f>
        <v>43649</v>
      </c>
      <c r="D12958" t="str">
        <f>TEST_DATA!D12958</f>
        <v>NIL</v>
      </c>
      <c r="E12958">
        <f>TEST_DATA!E12958</f>
        <v>1351</v>
      </c>
    </row>
    <row r="12959" spans="1:5" x14ac:dyDescent="0.55000000000000004">
      <c r="A12959" t="str">
        <f>TEST_DATA!A12959</f>
        <v>27AAAAA12959Z5</v>
      </c>
      <c r="B12959" t="str">
        <f>TEST_DATA!B12959</f>
        <v>Jun-2018</v>
      </c>
      <c r="C12959">
        <f>TEST_DATA!C12959</f>
        <v>43322</v>
      </c>
      <c r="D12959" t="str">
        <f>TEST_DATA!D12959</f>
        <v>NIL</v>
      </c>
      <c r="E12959">
        <f>TEST_DATA!E12959</f>
        <v>1738</v>
      </c>
    </row>
    <row r="12960" spans="1:5" x14ac:dyDescent="0.55000000000000004">
      <c r="A12960" t="str">
        <f>TEST_DATA!A12960</f>
        <v>27AAAAA12960Z5</v>
      </c>
      <c r="B12960" t="str">
        <f>TEST_DATA!B12960</f>
        <v>Sep-2018</v>
      </c>
      <c r="C12960">
        <f>TEST_DATA!C12960</f>
        <v>44181</v>
      </c>
      <c r="D12960" t="str">
        <f>TEST_DATA!D12960</f>
        <v>NIL</v>
      </c>
      <c r="E12960">
        <f>TEST_DATA!E12960</f>
        <v>1138</v>
      </c>
    </row>
    <row r="12961" spans="1:5" x14ac:dyDescent="0.55000000000000004">
      <c r="A12961" t="str">
        <f>TEST_DATA!A12961</f>
        <v>27AAAAA12961Z5</v>
      </c>
      <c r="B12961" t="str">
        <f>TEST_DATA!B12961</f>
        <v>Mar-2023</v>
      </c>
      <c r="C12961">
        <f>TEST_DATA!C12961</f>
        <v>44716</v>
      </c>
      <c r="D12961" t="str">
        <f>TEST_DATA!D12961</f>
        <v>NIL</v>
      </c>
      <c r="E12961">
        <f>TEST_DATA!E12961</f>
        <v>2830</v>
      </c>
    </row>
    <row r="12962" spans="1:5" x14ac:dyDescent="0.55000000000000004">
      <c r="A12962" t="str">
        <f>TEST_DATA!A12962</f>
        <v>27AAAAA12962Z5</v>
      </c>
      <c r="B12962" t="str">
        <f>TEST_DATA!B12962</f>
        <v>Sep-2018</v>
      </c>
      <c r="C12962">
        <f>TEST_DATA!C12962</f>
        <v>43211</v>
      </c>
      <c r="D12962" t="str">
        <f>TEST_DATA!D12962</f>
        <v>NON-NIL</v>
      </c>
      <c r="E12962">
        <f>TEST_DATA!E12962</f>
        <v>2287</v>
      </c>
    </row>
    <row r="12963" spans="1:5" x14ac:dyDescent="0.55000000000000004">
      <c r="A12963" t="str">
        <f>TEST_DATA!A12963</f>
        <v>27AAAAA12963Z5</v>
      </c>
      <c r="B12963" t="str">
        <f>TEST_DATA!B12963</f>
        <v>Jul-2020</v>
      </c>
      <c r="C12963">
        <f>TEST_DATA!C12963</f>
        <v>44775</v>
      </c>
      <c r="D12963" t="str">
        <f>TEST_DATA!D12963</f>
        <v>NON-NIL</v>
      </c>
      <c r="E12963">
        <f>TEST_DATA!E12963</f>
        <v>2413</v>
      </c>
    </row>
    <row r="12964" spans="1:5" x14ac:dyDescent="0.55000000000000004">
      <c r="A12964" t="str">
        <f>TEST_DATA!A12964</f>
        <v>27AAAAA12964Z5</v>
      </c>
      <c r="B12964" t="str">
        <f>TEST_DATA!B12964</f>
        <v>Dec-2024</v>
      </c>
      <c r="C12964">
        <f>TEST_DATA!C12964</f>
        <v>44451</v>
      </c>
      <c r="D12964" t="str">
        <f>TEST_DATA!D12964</f>
        <v>NON-NIL</v>
      </c>
      <c r="E12964">
        <f>TEST_DATA!E12964</f>
        <v>2435</v>
      </c>
    </row>
    <row r="12965" spans="1:5" x14ac:dyDescent="0.55000000000000004">
      <c r="A12965" t="str">
        <f>TEST_DATA!A12965</f>
        <v>27AAAAA12965Z5</v>
      </c>
      <c r="B12965" t="str">
        <f>TEST_DATA!B12965</f>
        <v>Sep-2017</v>
      </c>
      <c r="C12965">
        <f>TEST_DATA!C12965</f>
        <v>44558</v>
      </c>
      <c r="D12965" t="str">
        <f>TEST_DATA!D12965</f>
        <v>NIL</v>
      </c>
      <c r="E12965">
        <f>TEST_DATA!E12965</f>
        <v>2156</v>
      </c>
    </row>
    <row r="12966" spans="1:5" x14ac:dyDescent="0.55000000000000004">
      <c r="A12966" t="str">
        <f>TEST_DATA!A12966</f>
        <v>27AAAAA12966Z5</v>
      </c>
      <c r="B12966" t="str">
        <f>TEST_DATA!B12966</f>
        <v>Aug-2018</v>
      </c>
      <c r="C12966">
        <f>TEST_DATA!C12966</f>
        <v>43823</v>
      </c>
      <c r="D12966" t="str">
        <f>TEST_DATA!D12966</f>
        <v>NIL</v>
      </c>
      <c r="E12966">
        <f>TEST_DATA!E12966</f>
        <v>2074</v>
      </c>
    </row>
    <row r="12967" spans="1:5" x14ac:dyDescent="0.55000000000000004">
      <c r="A12967" t="str">
        <f>TEST_DATA!A12967</f>
        <v>27AAAAA12967Z5</v>
      </c>
      <c r="B12967" t="str">
        <f>TEST_DATA!B12967</f>
        <v>Jan-2019</v>
      </c>
      <c r="C12967">
        <f>TEST_DATA!C12967</f>
        <v>45432</v>
      </c>
      <c r="D12967" t="str">
        <f>TEST_DATA!D12967</f>
        <v>NON-NIL</v>
      </c>
      <c r="E12967">
        <f>TEST_DATA!E12967</f>
        <v>2039</v>
      </c>
    </row>
    <row r="12968" spans="1:5" x14ac:dyDescent="0.55000000000000004">
      <c r="A12968" t="str">
        <f>TEST_DATA!A12968</f>
        <v>27AAAAA12968Z5</v>
      </c>
      <c r="B12968" t="str">
        <f>TEST_DATA!B12968</f>
        <v>Apr-2021</v>
      </c>
      <c r="C12968">
        <f>TEST_DATA!C12968</f>
        <v>45671</v>
      </c>
      <c r="D12968" t="str">
        <f>TEST_DATA!D12968</f>
        <v>NON-NIL</v>
      </c>
      <c r="E12968">
        <f>TEST_DATA!E12968</f>
        <v>2525</v>
      </c>
    </row>
    <row r="12969" spans="1:5" x14ac:dyDescent="0.55000000000000004">
      <c r="A12969" t="str">
        <f>TEST_DATA!A12969</f>
        <v>27AAAAA12969Z5</v>
      </c>
      <c r="B12969" t="str">
        <f>TEST_DATA!B12969</f>
        <v>Sep-2017</v>
      </c>
      <c r="C12969">
        <f>TEST_DATA!C12969</f>
        <v>43023</v>
      </c>
      <c r="D12969" t="str">
        <f>TEST_DATA!D12969</f>
        <v>NON-NIL</v>
      </c>
      <c r="E12969">
        <f>TEST_DATA!E12969</f>
        <v>73</v>
      </c>
    </row>
    <row r="12970" spans="1:5" x14ac:dyDescent="0.55000000000000004">
      <c r="A12970" t="str">
        <f>TEST_DATA!A12970</f>
        <v>27AAAAA12970Z5</v>
      </c>
      <c r="B12970" t="str">
        <f>TEST_DATA!B12970</f>
        <v>Sep-2018</v>
      </c>
      <c r="C12970">
        <f>TEST_DATA!C12970</f>
        <v>43694</v>
      </c>
      <c r="D12970" t="str">
        <f>TEST_DATA!D12970</f>
        <v>NIL</v>
      </c>
      <c r="E12970">
        <f>TEST_DATA!E12970</f>
        <v>2444</v>
      </c>
    </row>
    <row r="12971" spans="1:5" x14ac:dyDescent="0.55000000000000004">
      <c r="A12971" t="str">
        <f>TEST_DATA!A12971</f>
        <v>27AAAAA12971Z5</v>
      </c>
      <c r="B12971" t="str">
        <f>TEST_DATA!B12971</f>
        <v>Jul-2018</v>
      </c>
      <c r="C12971">
        <f>TEST_DATA!C12971</f>
        <v>44187</v>
      </c>
      <c r="D12971" t="str">
        <f>TEST_DATA!D12971</f>
        <v>NON-NIL</v>
      </c>
      <c r="E12971">
        <f>TEST_DATA!E12971</f>
        <v>1284</v>
      </c>
    </row>
    <row r="12972" spans="1:5" x14ac:dyDescent="0.55000000000000004">
      <c r="A12972" t="str">
        <f>TEST_DATA!A12972</f>
        <v>27AAAAA12972Z5</v>
      </c>
      <c r="B12972" t="str">
        <f>TEST_DATA!B12972</f>
        <v>Dec-2017</v>
      </c>
      <c r="C12972">
        <f>TEST_DATA!C12972</f>
        <v>44451</v>
      </c>
      <c r="D12972" t="str">
        <f>TEST_DATA!D12972</f>
        <v>NON-NIL</v>
      </c>
      <c r="E12972">
        <f>TEST_DATA!E12972</f>
        <v>410</v>
      </c>
    </row>
    <row r="12973" spans="1:5" x14ac:dyDescent="0.55000000000000004">
      <c r="A12973" t="str">
        <f>TEST_DATA!A12973</f>
        <v>27AAAAA12973Z5</v>
      </c>
      <c r="B12973" t="str">
        <f>TEST_DATA!B12973</f>
        <v>Jan-2021</v>
      </c>
      <c r="C12973">
        <f>TEST_DATA!C12973</f>
        <v>44763</v>
      </c>
      <c r="D12973" t="str">
        <f>TEST_DATA!D12973</f>
        <v>NON-NIL</v>
      </c>
      <c r="E12973">
        <f>TEST_DATA!E12973</f>
        <v>902</v>
      </c>
    </row>
    <row r="12974" spans="1:5" x14ac:dyDescent="0.55000000000000004">
      <c r="A12974" t="str">
        <f>TEST_DATA!A12974</f>
        <v>27AAAAA12974Z5</v>
      </c>
      <c r="B12974" t="str">
        <f>TEST_DATA!B12974</f>
        <v>Sep-2017</v>
      </c>
      <c r="C12974">
        <f>TEST_DATA!C12974</f>
        <v>44280</v>
      </c>
      <c r="D12974" t="str">
        <f>TEST_DATA!D12974</f>
        <v>NIL</v>
      </c>
      <c r="E12974">
        <f>TEST_DATA!E12974</f>
        <v>576</v>
      </c>
    </row>
    <row r="12975" spans="1:5" x14ac:dyDescent="0.55000000000000004">
      <c r="A12975" t="str">
        <f>TEST_DATA!A12975</f>
        <v>27AAAAA12975Z5</v>
      </c>
      <c r="B12975" t="str">
        <f>TEST_DATA!B12975</f>
        <v>Jul-2017</v>
      </c>
      <c r="C12975">
        <f>TEST_DATA!C12975</f>
        <v>43502</v>
      </c>
      <c r="D12975" t="str">
        <f>TEST_DATA!D12975</f>
        <v>NIL</v>
      </c>
      <c r="E12975">
        <f>TEST_DATA!E12975</f>
        <v>1080</v>
      </c>
    </row>
    <row r="12976" spans="1:5" x14ac:dyDescent="0.55000000000000004">
      <c r="A12976" t="str">
        <f>TEST_DATA!A12976</f>
        <v>27AAAAA12976Z5</v>
      </c>
      <c r="B12976" t="str">
        <f>TEST_DATA!B12976</f>
        <v>Sep-2017</v>
      </c>
      <c r="C12976">
        <f>TEST_DATA!C12976</f>
        <v>44359</v>
      </c>
      <c r="D12976" t="str">
        <f>TEST_DATA!D12976</f>
        <v>NIL</v>
      </c>
      <c r="E12976">
        <f>TEST_DATA!E12976</f>
        <v>1884</v>
      </c>
    </row>
    <row r="12977" spans="1:5" x14ac:dyDescent="0.55000000000000004">
      <c r="A12977" t="str">
        <f>TEST_DATA!A12977</f>
        <v>27AAAAA12977Z5</v>
      </c>
      <c r="B12977" t="str">
        <f>TEST_DATA!B12977</f>
        <v>Apr-2021</v>
      </c>
      <c r="C12977">
        <f>TEST_DATA!C12977</f>
        <v>43884</v>
      </c>
      <c r="D12977" t="str">
        <f>TEST_DATA!D12977</f>
        <v>NIL</v>
      </c>
      <c r="E12977">
        <f>TEST_DATA!E12977</f>
        <v>551</v>
      </c>
    </row>
    <row r="12978" spans="1:5" x14ac:dyDescent="0.55000000000000004">
      <c r="A12978" t="str">
        <f>TEST_DATA!A12978</f>
        <v>27AAAAA12978Z5</v>
      </c>
      <c r="B12978" t="str">
        <f>TEST_DATA!B12978</f>
        <v>Apr-2020</v>
      </c>
      <c r="C12978">
        <f>TEST_DATA!C12978</f>
        <v>44404</v>
      </c>
      <c r="D12978" t="str">
        <f>TEST_DATA!D12978</f>
        <v>NIL</v>
      </c>
      <c r="E12978">
        <f>TEST_DATA!E12978</f>
        <v>2819</v>
      </c>
    </row>
    <row r="12979" spans="1:5" x14ac:dyDescent="0.55000000000000004">
      <c r="A12979" t="str">
        <f>TEST_DATA!A12979</f>
        <v>27AAAAA12979Z5</v>
      </c>
      <c r="B12979" t="str">
        <f>TEST_DATA!B12979</f>
        <v>Feb-2018</v>
      </c>
      <c r="C12979">
        <f>TEST_DATA!C12979</f>
        <v>43851</v>
      </c>
      <c r="D12979" t="str">
        <f>TEST_DATA!D12979</f>
        <v>NIL</v>
      </c>
      <c r="E12979">
        <f>TEST_DATA!E12979</f>
        <v>737</v>
      </c>
    </row>
    <row r="12980" spans="1:5" x14ac:dyDescent="0.55000000000000004">
      <c r="A12980" t="str">
        <f>TEST_DATA!A12980</f>
        <v>27AAAAA12980Z5</v>
      </c>
      <c r="B12980" t="str">
        <f>TEST_DATA!B12980</f>
        <v>Aug-2018</v>
      </c>
      <c r="C12980">
        <f>TEST_DATA!C12980</f>
        <v>43663</v>
      </c>
      <c r="D12980" t="str">
        <f>TEST_DATA!D12980</f>
        <v>NON-NIL</v>
      </c>
      <c r="E12980">
        <f>TEST_DATA!E12980</f>
        <v>2167</v>
      </c>
    </row>
    <row r="12981" spans="1:5" x14ac:dyDescent="0.55000000000000004">
      <c r="A12981" t="str">
        <f>TEST_DATA!A12981</f>
        <v>27AAAAA12981Z5</v>
      </c>
      <c r="B12981" t="str">
        <f>TEST_DATA!B12981</f>
        <v>Oct-2017</v>
      </c>
      <c r="C12981">
        <f>TEST_DATA!C12981</f>
        <v>43513</v>
      </c>
      <c r="D12981" t="str">
        <f>TEST_DATA!D12981</f>
        <v>NON-NIL</v>
      </c>
      <c r="E12981">
        <f>TEST_DATA!E12981</f>
        <v>909</v>
      </c>
    </row>
    <row r="12982" spans="1:5" x14ac:dyDescent="0.55000000000000004">
      <c r="A12982" t="str">
        <f>TEST_DATA!A12982</f>
        <v>27AAAAA12982Z5</v>
      </c>
      <c r="B12982" t="str">
        <f>TEST_DATA!B12982</f>
        <v>Apr-2021</v>
      </c>
      <c r="C12982">
        <f>TEST_DATA!C12982</f>
        <v>44930</v>
      </c>
      <c r="D12982" t="str">
        <f>TEST_DATA!D12982</f>
        <v>NON-NIL</v>
      </c>
      <c r="E12982">
        <f>TEST_DATA!E12982</f>
        <v>122</v>
      </c>
    </row>
    <row r="12983" spans="1:5" x14ac:dyDescent="0.55000000000000004">
      <c r="A12983" t="str">
        <f>TEST_DATA!A12983</f>
        <v>27AAAAA12983Z5</v>
      </c>
      <c r="B12983" t="str">
        <f>TEST_DATA!B12983</f>
        <v>Sep-2017</v>
      </c>
      <c r="C12983">
        <f>TEST_DATA!C12983</f>
        <v>44109</v>
      </c>
      <c r="D12983" t="str">
        <f>TEST_DATA!D12983</f>
        <v>NIL</v>
      </c>
      <c r="E12983">
        <f>TEST_DATA!E12983</f>
        <v>1515</v>
      </c>
    </row>
    <row r="12984" spans="1:5" x14ac:dyDescent="0.55000000000000004">
      <c r="A12984" t="str">
        <f>TEST_DATA!A12984</f>
        <v>27AAAAA12984Z5</v>
      </c>
      <c r="B12984" t="str">
        <f>TEST_DATA!B12984</f>
        <v>Jan-2018</v>
      </c>
      <c r="C12984">
        <f>TEST_DATA!C12984</f>
        <v>43046</v>
      </c>
      <c r="D12984" t="str">
        <f>TEST_DATA!D12984</f>
        <v>NIL</v>
      </c>
      <c r="E12984">
        <f>TEST_DATA!E12984</f>
        <v>124</v>
      </c>
    </row>
    <row r="12985" spans="1:5" x14ac:dyDescent="0.55000000000000004">
      <c r="A12985" t="str">
        <f>TEST_DATA!A12985</f>
        <v>27AAAAA12985Z5</v>
      </c>
      <c r="B12985" t="str">
        <f>TEST_DATA!B12985</f>
        <v>Dec-2024</v>
      </c>
      <c r="C12985">
        <f>TEST_DATA!C12985</f>
        <v>43932</v>
      </c>
      <c r="D12985" t="str">
        <f>TEST_DATA!D12985</f>
        <v>NON-NIL</v>
      </c>
      <c r="E12985">
        <f>TEST_DATA!E12985</f>
        <v>2093</v>
      </c>
    </row>
    <row r="12986" spans="1:5" x14ac:dyDescent="0.55000000000000004">
      <c r="A12986" t="str">
        <f>TEST_DATA!A12986</f>
        <v>27AAAAA12986Z5</v>
      </c>
      <c r="B12986" t="str">
        <f>TEST_DATA!B12986</f>
        <v>Apr-2018</v>
      </c>
      <c r="C12986">
        <f>TEST_DATA!C12986</f>
        <v>43673</v>
      </c>
      <c r="D12986" t="str">
        <f>TEST_DATA!D12986</f>
        <v>NON-NIL</v>
      </c>
      <c r="E12986">
        <f>TEST_DATA!E12986</f>
        <v>1814</v>
      </c>
    </row>
    <row r="12987" spans="1:5" x14ac:dyDescent="0.55000000000000004">
      <c r="A12987" t="str">
        <f>TEST_DATA!A12987</f>
        <v>27AAAAA12987Z5</v>
      </c>
      <c r="B12987" t="str">
        <f>TEST_DATA!B12987</f>
        <v>Dec-2022</v>
      </c>
      <c r="C12987">
        <f>TEST_DATA!C12987</f>
        <v>44388</v>
      </c>
      <c r="D12987" t="str">
        <f>TEST_DATA!D12987</f>
        <v>NIL</v>
      </c>
      <c r="E12987">
        <f>TEST_DATA!E12987</f>
        <v>896</v>
      </c>
    </row>
    <row r="12988" spans="1:5" x14ac:dyDescent="0.55000000000000004">
      <c r="A12988" t="str">
        <f>TEST_DATA!A12988</f>
        <v>27AAAAA12988Z5</v>
      </c>
      <c r="B12988" t="str">
        <f>TEST_DATA!B12988</f>
        <v>Jan-2019</v>
      </c>
      <c r="C12988">
        <f>TEST_DATA!C12988</f>
        <v>43701</v>
      </c>
      <c r="D12988" t="str">
        <f>TEST_DATA!D12988</f>
        <v>NIL</v>
      </c>
      <c r="E12988">
        <f>TEST_DATA!E12988</f>
        <v>2965</v>
      </c>
    </row>
    <row r="12989" spans="1:5" x14ac:dyDescent="0.55000000000000004">
      <c r="A12989" t="str">
        <f>TEST_DATA!A12989</f>
        <v>27AAAAA12989Z5</v>
      </c>
      <c r="B12989" t="str">
        <f>TEST_DATA!B12989</f>
        <v>Jul-2020</v>
      </c>
      <c r="C12989">
        <f>TEST_DATA!C12989</f>
        <v>43965</v>
      </c>
      <c r="D12989" t="str">
        <f>TEST_DATA!D12989</f>
        <v>NON-NIL</v>
      </c>
      <c r="E12989">
        <f>TEST_DATA!E12989</f>
        <v>1127</v>
      </c>
    </row>
    <row r="12990" spans="1:5" x14ac:dyDescent="0.55000000000000004">
      <c r="A12990" t="str">
        <f>TEST_DATA!A12990</f>
        <v>27AAAAA12990Z5</v>
      </c>
      <c r="B12990" t="str">
        <f>TEST_DATA!B12990</f>
        <v>Mar-2020</v>
      </c>
      <c r="C12990">
        <f>TEST_DATA!C12990</f>
        <v>44221</v>
      </c>
      <c r="D12990" t="str">
        <f>TEST_DATA!D12990</f>
        <v>NIL</v>
      </c>
      <c r="E12990">
        <f>TEST_DATA!E12990</f>
        <v>1847</v>
      </c>
    </row>
    <row r="12991" spans="1:5" x14ac:dyDescent="0.55000000000000004">
      <c r="A12991" t="str">
        <f>TEST_DATA!A12991</f>
        <v>27AAAAA12991Z5</v>
      </c>
      <c r="B12991" t="str">
        <f>TEST_DATA!B12991</f>
        <v>Jun-2018</v>
      </c>
      <c r="C12991">
        <f>TEST_DATA!C12991</f>
        <v>43766</v>
      </c>
      <c r="D12991" t="str">
        <f>TEST_DATA!D12991</f>
        <v>NIL</v>
      </c>
      <c r="E12991">
        <f>TEST_DATA!E12991</f>
        <v>2046</v>
      </c>
    </row>
    <row r="12992" spans="1:5" x14ac:dyDescent="0.55000000000000004">
      <c r="A12992" t="str">
        <f>TEST_DATA!A12992</f>
        <v>27AAAAA12992Z5</v>
      </c>
      <c r="B12992" t="str">
        <f>TEST_DATA!B12992</f>
        <v>Feb-2018</v>
      </c>
      <c r="C12992">
        <f>TEST_DATA!C12992</f>
        <v>42930</v>
      </c>
      <c r="D12992" t="str">
        <f>TEST_DATA!D12992</f>
        <v>NIL</v>
      </c>
      <c r="E12992">
        <f>TEST_DATA!E12992</f>
        <v>424</v>
      </c>
    </row>
    <row r="12993" spans="1:5" x14ac:dyDescent="0.55000000000000004">
      <c r="A12993" t="str">
        <f>TEST_DATA!A12993</f>
        <v>27AAAAA12993Z5</v>
      </c>
      <c r="B12993" t="str">
        <f>TEST_DATA!B12993</f>
        <v>Jul-2020</v>
      </c>
      <c r="C12993">
        <f>TEST_DATA!C12993</f>
        <v>44742</v>
      </c>
      <c r="D12993" t="str">
        <f>TEST_DATA!D12993</f>
        <v>NIL</v>
      </c>
      <c r="E12993">
        <f>TEST_DATA!E12993</f>
        <v>1856</v>
      </c>
    </row>
    <row r="12994" spans="1:5" x14ac:dyDescent="0.55000000000000004">
      <c r="A12994" t="str">
        <f>TEST_DATA!A12994</f>
        <v>27AAAAA12994Z5</v>
      </c>
      <c r="B12994" t="str">
        <f>TEST_DATA!B12994</f>
        <v>Jan-2018</v>
      </c>
      <c r="C12994">
        <f>TEST_DATA!C12994</f>
        <v>43400</v>
      </c>
      <c r="D12994" t="str">
        <f>TEST_DATA!D12994</f>
        <v>NON-NIL</v>
      </c>
      <c r="E12994">
        <f>TEST_DATA!E12994</f>
        <v>2595</v>
      </c>
    </row>
    <row r="12995" spans="1:5" x14ac:dyDescent="0.55000000000000004">
      <c r="A12995" t="str">
        <f>TEST_DATA!A12995</f>
        <v>27AAAAA12995Z5</v>
      </c>
      <c r="B12995" t="str">
        <f>TEST_DATA!B12995</f>
        <v>Jun-2020</v>
      </c>
      <c r="C12995">
        <f>TEST_DATA!C12995</f>
        <v>43921</v>
      </c>
      <c r="D12995" t="str">
        <f>TEST_DATA!D12995</f>
        <v>NIL</v>
      </c>
      <c r="E12995">
        <f>TEST_DATA!E12995</f>
        <v>23</v>
      </c>
    </row>
    <row r="12996" spans="1:5" x14ac:dyDescent="0.55000000000000004">
      <c r="A12996" t="str">
        <f>TEST_DATA!A12996</f>
        <v>27AAAAA12996Z5</v>
      </c>
      <c r="B12996" t="str">
        <f>TEST_DATA!B12996</f>
        <v>Oct-2017</v>
      </c>
      <c r="C12996">
        <f>TEST_DATA!C12996</f>
        <v>44269</v>
      </c>
      <c r="D12996" t="str">
        <f>TEST_DATA!D12996</f>
        <v>NON-NIL</v>
      </c>
      <c r="E12996">
        <f>TEST_DATA!E12996</f>
        <v>2317</v>
      </c>
    </row>
    <row r="12997" spans="1:5" x14ac:dyDescent="0.55000000000000004">
      <c r="A12997" t="str">
        <f>TEST_DATA!A12997</f>
        <v>27AAAAA12997Z5</v>
      </c>
      <c r="B12997" t="str">
        <f>TEST_DATA!B12997</f>
        <v>Dec-2017</v>
      </c>
      <c r="C12997">
        <f>TEST_DATA!C12997</f>
        <v>43764</v>
      </c>
      <c r="D12997" t="str">
        <f>TEST_DATA!D12997</f>
        <v>NIL</v>
      </c>
      <c r="E12997">
        <f>TEST_DATA!E12997</f>
        <v>314</v>
      </c>
    </row>
    <row r="12998" spans="1:5" x14ac:dyDescent="0.55000000000000004">
      <c r="A12998" t="str">
        <f>TEST_DATA!A12998</f>
        <v>27AAAAA12998Z5</v>
      </c>
      <c r="B12998" t="str">
        <f>TEST_DATA!B12998</f>
        <v>Dec-2022</v>
      </c>
      <c r="C12998">
        <f>TEST_DATA!C12998</f>
        <v>45725</v>
      </c>
      <c r="D12998" t="str">
        <f>TEST_DATA!D12998</f>
        <v>NIL</v>
      </c>
      <c r="E12998">
        <f>TEST_DATA!E12998</f>
        <v>652</v>
      </c>
    </row>
    <row r="12999" spans="1:5" x14ac:dyDescent="0.55000000000000004">
      <c r="A12999" t="str">
        <f>TEST_DATA!A12999</f>
        <v>27AAAAA12999Z5</v>
      </c>
      <c r="B12999" t="str">
        <f>TEST_DATA!B12999</f>
        <v>Jan-2021</v>
      </c>
      <c r="C12999">
        <f>TEST_DATA!C12999</f>
        <v>44535</v>
      </c>
      <c r="D12999" t="str">
        <f>TEST_DATA!D12999</f>
        <v>NIL</v>
      </c>
      <c r="E12999">
        <f>TEST_DATA!E12999</f>
        <v>0</v>
      </c>
    </row>
    <row r="13000" spans="1:5" x14ac:dyDescent="0.55000000000000004">
      <c r="A13000" t="str">
        <f>TEST_DATA!A13000</f>
        <v>27AAAAA13000Z5</v>
      </c>
      <c r="B13000" t="str">
        <f>TEST_DATA!B13000</f>
        <v>Aug-2018</v>
      </c>
      <c r="C13000">
        <f>TEST_DATA!C13000</f>
        <v>43075</v>
      </c>
      <c r="D13000" t="str">
        <f>TEST_DATA!D13000</f>
        <v>NIL</v>
      </c>
      <c r="E13000">
        <f>TEST_DATA!E13000</f>
        <v>2147</v>
      </c>
    </row>
    <row r="13001" spans="1:5" x14ac:dyDescent="0.55000000000000004">
      <c r="A13001" t="str">
        <f>TEST_DATA!A13001</f>
        <v>27AAAAA13001Z5</v>
      </c>
      <c r="B13001" t="str">
        <f>TEST_DATA!B13001</f>
        <v>Jul-2018</v>
      </c>
      <c r="C13001">
        <f>TEST_DATA!C13001</f>
        <v>43602</v>
      </c>
      <c r="D13001" t="str">
        <f>TEST_DATA!D13001</f>
        <v>NON-NIL</v>
      </c>
      <c r="E13001">
        <f>TEST_DATA!E13001</f>
        <v>2836</v>
      </c>
    </row>
    <row r="13002" spans="1:5" x14ac:dyDescent="0.55000000000000004">
      <c r="A13002" t="str">
        <f>TEST_DATA!A13002</f>
        <v>27AAAAA13002Z5</v>
      </c>
      <c r="B13002" t="str">
        <f>TEST_DATA!B13002</f>
        <v>Mar-2020</v>
      </c>
      <c r="C13002">
        <f>TEST_DATA!C13002</f>
        <v>44704</v>
      </c>
      <c r="D13002" t="str">
        <f>TEST_DATA!D13002</f>
        <v>NON-NIL</v>
      </c>
      <c r="E13002">
        <f>TEST_DATA!E13002</f>
        <v>217</v>
      </c>
    </row>
    <row r="13003" spans="1:5" x14ac:dyDescent="0.55000000000000004">
      <c r="A13003" t="str">
        <f>TEST_DATA!A13003</f>
        <v>27AAAAA13003Z5</v>
      </c>
      <c r="B13003" t="str">
        <f>TEST_DATA!B13003</f>
        <v>Dec-2017</v>
      </c>
      <c r="C13003">
        <f>TEST_DATA!C13003</f>
        <v>44248</v>
      </c>
      <c r="D13003" t="str">
        <f>TEST_DATA!D13003</f>
        <v>NON-NIL</v>
      </c>
      <c r="E13003">
        <f>TEST_DATA!E13003</f>
        <v>348</v>
      </c>
    </row>
    <row r="13004" spans="1:5" x14ac:dyDescent="0.55000000000000004">
      <c r="A13004" t="str">
        <f>TEST_DATA!A13004</f>
        <v>27AAAAA13004Z5</v>
      </c>
      <c r="B13004" t="str">
        <f>TEST_DATA!B13004</f>
        <v>Mar-2018</v>
      </c>
      <c r="C13004">
        <f>TEST_DATA!C13004</f>
        <v>43428</v>
      </c>
      <c r="D13004" t="str">
        <f>TEST_DATA!D13004</f>
        <v>NON-NIL</v>
      </c>
      <c r="E13004">
        <f>TEST_DATA!E13004</f>
        <v>2222</v>
      </c>
    </row>
    <row r="13005" spans="1:5" x14ac:dyDescent="0.55000000000000004">
      <c r="A13005" t="str">
        <f>TEST_DATA!A13005</f>
        <v>27AAAAA13005Z5</v>
      </c>
      <c r="B13005" t="str">
        <f>TEST_DATA!B13005</f>
        <v>Jan-2021</v>
      </c>
      <c r="C13005">
        <f>TEST_DATA!C13005</f>
        <v>43635</v>
      </c>
      <c r="D13005" t="str">
        <f>TEST_DATA!D13005</f>
        <v>NON-NIL</v>
      </c>
      <c r="E13005">
        <f>TEST_DATA!E13005</f>
        <v>1929</v>
      </c>
    </row>
    <row r="13006" spans="1:5" x14ac:dyDescent="0.55000000000000004">
      <c r="A13006" t="str">
        <f>TEST_DATA!A13006</f>
        <v>27AAAAA13006Z5</v>
      </c>
      <c r="B13006" t="str">
        <f>TEST_DATA!B13006</f>
        <v>Sep-2017</v>
      </c>
      <c r="C13006">
        <f>TEST_DATA!C13006</f>
        <v>43048</v>
      </c>
      <c r="D13006" t="str">
        <f>TEST_DATA!D13006</f>
        <v>NIL</v>
      </c>
      <c r="E13006">
        <f>TEST_DATA!E13006</f>
        <v>133</v>
      </c>
    </row>
    <row r="13007" spans="1:5" x14ac:dyDescent="0.55000000000000004">
      <c r="A13007" t="str">
        <f>TEST_DATA!A13007</f>
        <v>27AAAAA13007Z5</v>
      </c>
      <c r="B13007" t="str">
        <f>TEST_DATA!B13007</f>
        <v>Apr-2018</v>
      </c>
      <c r="C13007">
        <f>TEST_DATA!C13007</f>
        <v>43611</v>
      </c>
      <c r="D13007" t="str">
        <f>TEST_DATA!D13007</f>
        <v>NIL</v>
      </c>
      <c r="E13007">
        <f>TEST_DATA!E13007</f>
        <v>339</v>
      </c>
    </row>
    <row r="13008" spans="1:5" x14ac:dyDescent="0.55000000000000004">
      <c r="A13008" t="str">
        <f>TEST_DATA!A13008</f>
        <v>27AAAAA13008Z5</v>
      </c>
      <c r="B13008" t="str">
        <f>TEST_DATA!B13008</f>
        <v>Dec-2024</v>
      </c>
      <c r="C13008">
        <f>TEST_DATA!C13008</f>
        <v>44759</v>
      </c>
      <c r="D13008" t="str">
        <f>TEST_DATA!D13008</f>
        <v>NIL</v>
      </c>
      <c r="E13008">
        <f>TEST_DATA!E13008</f>
        <v>286</v>
      </c>
    </row>
    <row r="13009" spans="1:5" x14ac:dyDescent="0.55000000000000004">
      <c r="A13009" t="str">
        <f>TEST_DATA!A13009</f>
        <v>27AAAAA13009Z5</v>
      </c>
      <c r="B13009" t="str">
        <f>TEST_DATA!B13009</f>
        <v>Jul-2020</v>
      </c>
      <c r="C13009">
        <f>TEST_DATA!C13009</f>
        <v>44061</v>
      </c>
      <c r="D13009" t="str">
        <f>TEST_DATA!D13009</f>
        <v>NON-NIL</v>
      </c>
      <c r="E13009">
        <f>TEST_DATA!E13009</f>
        <v>2503</v>
      </c>
    </row>
    <row r="13010" spans="1:5" x14ac:dyDescent="0.55000000000000004">
      <c r="A13010" t="str">
        <f>TEST_DATA!A13010</f>
        <v>27AAAAA13010Z5</v>
      </c>
      <c r="B13010" t="str">
        <f>TEST_DATA!B13010</f>
        <v>Dec-2024</v>
      </c>
      <c r="C13010">
        <f>TEST_DATA!C13010</f>
        <v>45130</v>
      </c>
      <c r="D13010" t="str">
        <f>TEST_DATA!D13010</f>
        <v>NIL</v>
      </c>
      <c r="E13010">
        <f>TEST_DATA!E13010</f>
        <v>618</v>
      </c>
    </row>
    <row r="13011" spans="1:5" x14ac:dyDescent="0.55000000000000004">
      <c r="A13011" t="str">
        <f>TEST_DATA!A13011</f>
        <v>27AAAAA13011Z5</v>
      </c>
      <c r="B13011" t="str">
        <f>TEST_DATA!B13011</f>
        <v>Jan-2019</v>
      </c>
      <c r="C13011">
        <f>TEST_DATA!C13011</f>
        <v>45129</v>
      </c>
      <c r="D13011" t="str">
        <f>TEST_DATA!D13011</f>
        <v>NIL</v>
      </c>
      <c r="E13011">
        <f>TEST_DATA!E13011</f>
        <v>2878</v>
      </c>
    </row>
    <row r="13012" spans="1:5" x14ac:dyDescent="0.55000000000000004">
      <c r="A13012" t="str">
        <f>TEST_DATA!A13012</f>
        <v>27AAAAA13012Z5</v>
      </c>
      <c r="B13012" t="str">
        <f>TEST_DATA!B13012</f>
        <v>Mar-2023</v>
      </c>
      <c r="C13012">
        <f>TEST_DATA!C13012</f>
        <v>44588</v>
      </c>
      <c r="D13012" t="str">
        <f>TEST_DATA!D13012</f>
        <v>NON-NIL</v>
      </c>
      <c r="E13012">
        <f>TEST_DATA!E13012</f>
        <v>1985</v>
      </c>
    </row>
    <row r="13013" spans="1:5" x14ac:dyDescent="0.55000000000000004">
      <c r="A13013" t="str">
        <f>TEST_DATA!A13013</f>
        <v>27AAAAA13013Z5</v>
      </c>
      <c r="B13013" t="str">
        <f>TEST_DATA!B13013</f>
        <v>Apr-2020</v>
      </c>
      <c r="C13013">
        <f>TEST_DATA!C13013</f>
        <v>44726</v>
      </c>
      <c r="D13013" t="str">
        <f>TEST_DATA!D13013</f>
        <v>NON-NIL</v>
      </c>
      <c r="E13013">
        <f>TEST_DATA!E13013</f>
        <v>203</v>
      </c>
    </row>
    <row r="13014" spans="1:5" x14ac:dyDescent="0.55000000000000004">
      <c r="A13014" t="str">
        <f>TEST_DATA!A13014</f>
        <v>27AAAAA13014Z5</v>
      </c>
      <c r="B13014" t="str">
        <f>TEST_DATA!B13014</f>
        <v>Mar-2023</v>
      </c>
      <c r="C13014">
        <f>TEST_DATA!C13014</f>
        <v>44806</v>
      </c>
      <c r="D13014" t="str">
        <f>TEST_DATA!D13014</f>
        <v>NON-NIL</v>
      </c>
      <c r="E13014">
        <f>TEST_DATA!E13014</f>
        <v>2057</v>
      </c>
    </row>
    <row r="13015" spans="1:5" x14ac:dyDescent="0.55000000000000004">
      <c r="A13015" t="str">
        <f>TEST_DATA!A13015</f>
        <v>27AAAAA13015Z5</v>
      </c>
      <c r="B13015" t="str">
        <f>TEST_DATA!B13015</f>
        <v>Dec-2022</v>
      </c>
      <c r="C13015">
        <f>TEST_DATA!C13015</f>
        <v>44827</v>
      </c>
      <c r="D13015" t="str">
        <f>TEST_DATA!D13015</f>
        <v>NON-NIL</v>
      </c>
      <c r="E13015">
        <f>TEST_DATA!E13015</f>
        <v>613</v>
      </c>
    </row>
    <row r="13016" spans="1:5" x14ac:dyDescent="0.55000000000000004">
      <c r="A13016" t="str">
        <f>TEST_DATA!A13016</f>
        <v>27AAAAA13016Z5</v>
      </c>
      <c r="B13016" t="str">
        <f>TEST_DATA!B13016</f>
        <v>May-2018</v>
      </c>
      <c r="C13016">
        <f>TEST_DATA!C13016</f>
        <v>43884</v>
      </c>
      <c r="D13016" t="str">
        <f>TEST_DATA!D13016</f>
        <v>NON-NIL</v>
      </c>
      <c r="E13016">
        <f>TEST_DATA!E13016</f>
        <v>33</v>
      </c>
    </row>
    <row r="13017" spans="1:5" x14ac:dyDescent="0.55000000000000004">
      <c r="A13017" t="str">
        <f>TEST_DATA!A13017</f>
        <v>27AAAAA13017Z5</v>
      </c>
      <c r="B13017" t="str">
        <f>TEST_DATA!B13017</f>
        <v>Dec-2022</v>
      </c>
      <c r="C13017">
        <f>TEST_DATA!C13017</f>
        <v>44585</v>
      </c>
      <c r="D13017" t="str">
        <f>TEST_DATA!D13017</f>
        <v>NIL</v>
      </c>
      <c r="E13017">
        <f>TEST_DATA!E13017</f>
        <v>735</v>
      </c>
    </row>
    <row r="13018" spans="1:5" x14ac:dyDescent="0.55000000000000004">
      <c r="A13018" t="str">
        <f>TEST_DATA!A13018</f>
        <v>27AAAAA13018Z5</v>
      </c>
      <c r="B13018" t="str">
        <f>TEST_DATA!B13018</f>
        <v>Apr-2018</v>
      </c>
      <c r="C13018">
        <f>TEST_DATA!C13018</f>
        <v>43737</v>
      </c>
      <c r="D13018" t="str">
        <f>TEST_DATA!D13018</f>
        <v>NON-NIL</v>
      </c>
      <c r="E13018">
        <f>TEST_DATA!E13018</f>
        <v>233</v>
      </c>
    </row>
    <row r="13019" spans="1:5" x14ac:dyDescent="0.55000000000000004">
      <c r="A13019" t="str">
        <f>TEST_DATA!A13019</f>
        <v>27AAAAA13019Z5</v>
      </c>
      <c r="B13019" t="str">
        <f>TEST_DATA!B13019</f>
        <v>Jul-2018</v>
      </c>
      <c r="C13019">
        <f>TEST_DATA!C13019</f>
        <v>44126</v>
      </c>
      <c r="D13019" t="str">
        <f>TEST_DATA!D13019</f>
        <v>NON-NIL</v>
      </c>
      <c r="E13019">
        <f>TEST_DATA!E13019</f>
        <v>2715</v>
      </c>
    </row>
    <row r="13020" spans="1:5" x14ac:dyDescent="0.55000000000000004">
      <c r="A13020" t="str">
        <f>TEST_DATA!A13020</f>
        <v>27AAAAA13020Z5</v>
      </c>
      <c r="B13020" t="str">
        <f>TEST_DATA!B13020</f>
        <v>Jan-2021</v>
      </c>
      <c r="C13020">
        <f>TEST_DATA!C13020</f>
        <v>45514</v>
      </c>
      <c r="D13020" t="str">
        <f>TEST_DATA!D13020</f>
        <v>NON-NIL</v>
      </c>
      <c r="E13020">
        <f>TEST_DATA!E13020</f>
        <v>449</v>
      </c>
    </row>
    <row r="13021" spans="1:5" x14ac:dyDescent="0.55000000000000004">
      <c r="A13021" t="str">
        <f>TEST_DATA!A13021</f>
        <v>27AAAAA13021Z5</v>
      </c>
      <c r="B13021" t="str">
        <f>TEST_DATA!B13021</f>
        <v>Mar-2021</v>
      </c>
      <c r="C13021">
        <f>TEST_DATA!C13021</f>
        <v>45481</v>
      </c>
      <c r="D13021" t="str">
        <f>TEST_DATA!D13021</f>
        <v>NON-NIL</v>
      </c>
      <c r="E13021">
        <f>TEST_DATA!E13021</f>
        <v>1056</v>
      </c>
    </row>
    <row r="13022" spans="1:5" x14ac:dyDescent="0.55000000000000004">
      <c r="A13022" t="str">
        <f>TEST_DATA!A13022</f>
        <v>27AAAAA13022Z5</v>
      </c>
      <c r="B13022" t="str">
        <f>TEST_DATA!B13022</f>
        <v>Dec-2024</v>
      </c>
      <c r="C13022">
        <f>TEST_DATA!C13022</f>
        <v>43899</v>
      </c>
      <c r="D13022" t="str">
        <f>TEST_DATA!D13022</f>
        <v>NIL</v>
      </c>
      <c r="E13022">
        <f>TEST_DATA!E13022</f>
        <v>2042</v>
      </c>
    </row>
    <row r="13023" spans="1:5" x14ac:dyDescent="0.55000000000000004">
      <c r="A13023" t="str">
        <f>TEST_DATA!A13023</f>
        <v>27AAAAA13023Z5</v>
      </c>
      <c r="B13023" t="str">
        <f>TEST_DATA!B13023</f>
        <v>Mar-2021</v>
      </c>
      <c r="C13023">
        <f>TEST_DATA!C13023</f>
        <v>45509</v>
      </c>
      <c r="D13023" t="str">
        <f>TEST_DATA!D13023</f>
        <v>NIL</v>
      </c>
      <c r="E13023">
        <f>TEST_DATA!E13023</f>
        <v>474</v>
      </c>
    </row>
    <row r="13024" spans="1:5" x14ac:dyDescent="0.55000000000000004">
      <c r="A13024" t="str">
        <f>TEST_DATA!A13024</f>
        <v>27AAAAA13024Z5</v>
      </c>
      <c r="B13024" t="str">
        <f>TEST_DATA!B13024</f>
        <v>Apr-2018</v>
      </c>
      <c r="C13024">
        <f>TEST_DATA!C13024</f>
        <v>44067</v>
      </c>
      <c r="D13024" t="str">
        <f>TEST_DATA!D13024</f>
        <v>NIL</v>
      </c>
      <c r="E13024">
        <f>TEST_DATA!E13024</f>
        <v>1567</v>
      </c>
    </row>
    <row r="13025" spans="1:5" x14ac:dyDescent="0.55000000000000004">
      <c r="A13025" t="str">
        <f>TEST_DATA!A13025</f>
        <v>27AAAAA13025Z5</v>
      </c>
      <c r="B13025" t="str">
        <f>TEST_DATA!B13025</f>
        <v>Aug-2017</v>
      </c>
      <c r="C13025">
        <f>TEST_DATA!C13025</f>
        <v>43672</v>
      </c>
      <c r="D13025" t="str">
        <f>TEST_DATA!D13025</f>
        <v>NIL</v>
      </c>
      <c r="E13025">
        <f>TEST_DATA!E13025</f>
        <v>309</v>
      </c>
    </row>
    <row r="13026" spans="1:5" x14ac:dyDescent="0.55000000000000004">
      <c r="A13026" t="str">
        <f>TEST_DATA!A13026</f>
        <v>27AAAAA13026Z5</v>
      </c>
      <c r="B13026" t="str">
        <f>TEST_DATA!B13026</f>
        <v>Mar-2020</v>
      </c>
      <c r="C13026">
        <f>TEST_DATA!C13026</f>
        <v>44853</v>
      </c>
      <c r="D13026" t="str">
        <f>TEST_DATA!D13026</f>
        <v>NON-NIL</v>
      </c>
      <c r="E13026">
        <f>TEST_DATA!E13026</f>
        <v>1450</v>
      </c>
    </row>
    <row r="13027" spans="1:5" x14ac:dyDescent="0.55000000000000004">
      <c r="A13027" t="str">
        <f>TEST_DATA!A13027</f>
        <v>27AAAAA13027Z5</v>
      </c>
      <c r="B13027" t="str">
        <f>TEST_DATA!B13027</f>
        <v>Jan-2019</v>
      </c>
      <c r="C13027">
        <f>TEST_DATA!C13027</f>
        <v>43638</v>
      </c>
      <c r="D13027" t="str">
        <f>TEST_DATA!D13027</f>
        <v>NIL</v>
      </c>
      <c r="E13027">
        <f>TEST_DATA!E13027</f>
        <v>1644</v>
      </c>
    </row>
    <row r="13028" spans="1:5" x14ac:dyDescent="0.55000000000000004">
      <c r="A13028" t="str">
        <f>TEST_DATA!A13028</f>
        <v>27AAAAA13028Z5</v>
      </c>
      <c r="B13028" t="str">
        <f>TEST_DATA!B13028</f>
        <v>Jan-2019</v>
      </c>
      <c r="C13028">
        <f>TEST_DATA!C13028</f>
        <v>45712</v>
      </c>
      <c r="D13028" t="str">
        <f>TEST_DATA!D13028</f>
        <v>NON-NIL</v>
      </c>
      <c r="E13028">
        <f>TEST_DATA!E13028</f>
        <v>1335</v>
      </c>
    </row>
    <row r="13029" spans="1:5" x14ac:dyDescent="0.55000000000000004">
      <c r="A13029" t="str">
        <f>TEST_DATA!A13029</f>
        <v>27AAAAA13029Z5</v>
      </c>
      <c r="B13029" t="str">
        <f>TEST_DATA!B13029</f>
        <v>Dec-2024</v>
      </c>
      <c r="C13029">
        <f>TEST_DATA!C13029</f>
        <v>43657</v>
      </c>
      <c r="D13029" t="str">
        <f>TEST_DATA!D13029</f>
        <v>NON-NIL</v>
      </c>
      <c r="E13029">
        <f>TEST_DATA!E13029</f>
        <v>1109</v>
      </c>
    </row>
    <row r="13030" spans="1:5" x14ac:dyDescent="0.55000000000000004">
      <c r="A13030" t="str">
        <f>TEST_DATA!A13030</f>
        <v>27AAAAA13030Z5</v>
      </c>
      <c r="B13030" t="str">
        <f>TEST_DATA!B13030</f>
        <v>Jan-2021</v>
      </c>
      <c r="C13030">
        <f>TEST_DATA!C13030</f>
        <v>44652</v>
      </c>
      <c r="D13030" t="str">
        <f>TEST_DATA!D13030</f>
        <v>NIL</v>
      </c>
      <c r="E13030">
        <f>TEST_DATA!E13030</f>
        <v>1224</v>
      </c>
    </row>
    <row r="13031" spans="1:5" x14ac:dyDescent="0.55000000000000004">
      <c r="A13031" t="str">
        <f>TEST_DATA!A13031</f>
        <v>27AAAAA13031Z5</v>
      </c>
      <c r="B13031" t="str">
        <f>TEST_DATA!B13031</f>
        <v>Dec-2024</v>
      </c>
      <c r="C13031">
        <f>TEST_DATA!C13031</f>
        <v>44608</v>
      </c>
      <c r="D13031" t="str">
        <f>TEST_DATA!D13031</f>
        <v>NIL</v>
      </c>
      <c r="E13031">
        <f>TEST_DATA!E13031</f>
        <v>2556</v>
      </c>
    </row>
    <row r="13032" spans="1:5" x14ac:dyDescent="0.55000000000000004">
      <c r="A13032" t="str">
        <f>TEST_DATA!A13032</f>
        <v>27AAAAA13032Z5</v>
      </c>
      <c r="B13032" t="str">
        <f>TEST_DATA!B13032</f>
        <v>Mar-2018</v>
      </c>
      <c r="C13032">
        <f>TEST_DATA!C13032</f>
        <v>44485</v>
      </c>
      <c r="D13032" t="str">
        <f>TEST_DATA!D13032</f>
        <v>NIL</v>
      </c>
      <c r="E13032">
        <f>TEST_DATA!E13032</f>
        <v>1656</v>
      </c>
    </row>
    <row r="13033" spans="1:5" x14ac:dyDescent="0.55000000000000004">
      <c r="A13033" t="str">
        <f>TEST_DATA!A13033</f>
        <v>27AAAAA13033Z5</v>
      </c>
      <c r="B13033" t="str">
        <f>TEST_DATA!B13033</f>
        <v>Jan-2019</v>
      </c>
      <c r="C13033">
        <f>TEST_DATA!C13033</f>
        <v>43542</v>
      </c>
      <c r="D13033" t="str">
        <f>TEST_DATA!D13033</f>
        <v>NIL</v>
      </c>
      <c r="E13033">
        <f>TEST_DATA!E13033</f>
        <v>2867</v>
      </c>
    </row>
    <row r="13034" spans="1:5" x14ac:dyDescent="0.55000000000000004">
      <c r="A13034" t="str">
        <f>TEST_DATA!A13034</f>
        <v>27AAAAA13034Z5</v>
      </c>
      <c r="B13034" t="str">
        <f>TEST_DATA!B13034</f>
        <v>Jun-2018</v>
      </c>
      <c r="C13034">
        <f>TEST_DATA!C13034</f>
        <v>43006</v>
      </c>
      <c r="D13034" t="str">
        <f>TEST_DATA!D13034</f>
        <v>NIL</v>
      </c>
      <c r="E13034">
        <f>TEST_DATA!E13034</f>
        <v>1345</v>
      </c>
    </row>
    <row r="13035" spans="1:5" x14ac:dyDescent="0.55000000000000004">
      <c r="A13035" t="str">
        <f>TEST_DATA!A13035</f>
        <v>27AAAAA13035Z5</v>
      </c>
      <c r="B13035" t="str">
        <f>TEST_DATA!B13035</f>
        <v>Dec-2022</v>
      </c>
      <c r="C13035">
        <f>TEST_DATA!C13035</f>
        <v>43973</v>
      </c>
      <c r="D13035" t="str">
        <f>TEST_DATA!D13035</f>
        <v>NIL</v>
      </c>
      <c r="E13035">
        <f>TEST_DATA!E13035</f>
        <v>1795</v>
      </c>
    </row>
    <row r="13036" spans="1:5" x14ac:dyDescent="0.55000000000000004">
      <c r="A13036" t="str">
        <f>TEST_DATA!A13036</f>
        <v>27AAAAA13036Z5</v>
      </c>
      <c r="B13036" t="str">
        <f>TEST_DATA!B13036</f>
        <v>Jun-2020</v>
      </c>
      <c r="C13036">
        <f>TEST_DATA!C13036</f>
        <v>44879</v>
      </c>
      <c r="D13036" t="str">
        <f>TEST_DATA!D13036</f>
        <v>NON-NIL</v>
      </c>
      <c r="E13036">
        <f>TEST_DATA!E13036</f>
        <v>724</v>
      </c>
    </row>
    <row r="13037" spans="1:5" x14ac:dyDescent="0.55000000000000004">
      <c r="A13037" t="str">
        <f>TEST_DATA!A13037</f>
        <v>27AAAAA13037Z5</v>
      </c>
      <c r="B13037" t="str">
        <f>TEST_DATA!B13037</f>
        <v>Aug-2018</v>
      </c>
      <c r="C13037">
        <f>TEST_DATA!C13037</f>
        <v>43961</v>
      </c>
      <c r="D13037" t="str">
        <f>TEST_DATA!D13037</f>
        <v>NON-NIL</v>
      </c>
      <c r="E13037">
        <f>TEST_DATA!E13037</f>
        <v>2528</v>
      </c>
    </row>
    <row r="13038" spans="1:5" x14ac:dyDescent="0.55000000000000004">
      <c r="A13038" t="str">
        <f>TEST_DATA!A13038</f>
        <v>27AAAAA13038Z5</v>
      </c>
      <c r="B13038" t="str">
        <f>TEST_DATA!B13038</f>
        <v>Sep-2018</v>
      </c>
      <c r="C13038">
        <f>TEST_DATA!C13038</f>
        <v>43005</v>
      </c>
      <c r="D13038" t="str">
        <f>TEST_DATA!D13038</f>
        <v>NON-NIL</v>
      </c>
      <c r="E13038">
        <f>TEST_DATA!E13038</f>
        <v>585</v>
      </c>
    </row>
    <row r="13039" spans="1:5" x14ac:dyDescent="0.55000000000000004">
      <c r="A13039" t="str">
        <f>TEST_DATA!A13039</f>
        <v>27AAAAA13039Z5</v>
      </c>
      <c r="B13039" t="str">
        <f>TEST_DATA!B13039</f>
        <v>Mar-2018</v>
      </c>
      <c r="C13039">
        <f>TEST_DATA!C13039</f>
        <v>43045</v>
      </c>
      <c r="D13039" t="str">
        <f>TEST_DATA!D13039</f>
        <v>NON-NIL</v>
      </c>
      <c r="E13039">
        <f>TEST_DATA!E13039</f>
        <v>2972</v>
      </c>
    </row>
    <row r="13040" spans="1:5" x14ac:dyDescent="0.55000000000000004">
      <c r="A13040" t="str">
        <f>TEST_DATA!A13040</f>
        <v>27AAAAA13040Z5</v>
      </c>
      <c r="B13040" t="str">
        <f>TEST_DATA!B13040</f>
        <v>Mar-2020</v>
      </c>
      <c r="C13040">
        <f>TEST_DATA!C13040</f>
        <v>44865</v>
      </c>
      <c r="D13040" t="str">
        <f>TEST_DATA!D13040</f>
        <v>NIL</v>
      </c>
      <c r="E13040">
        <f>TEST_DATA!E13040</f>
        <v>1207</v>
      </c>
    </row>
    <row r="13041" spans="1:5" x14ac:dyDescent="0.55000000000000004">
      <c r="A13041" t="str">
        <f>TEST_DATA!A13041</f>
        <v>27AAAAA13041Z5</v>
      </c>
      <c r="B13041" t="str">
        <f>TEST_DATA!B13041</f>
        <v>Nov-2017</v>
      </c>
      <c r="C13041">
        <f>TEST_DATA!C13041</f>
        <v>42928</v>
      </c>
      <c r="D13041" t="str">
        <f>TEST_DATA!D13041</f>
        <v>NON-NIL</v>
      </c>
      <c r="E13041">
        <f>TEST_DATA!E13041</f>
        <v>1565</v>
      </c>
    </row>
    <row r="13042" spans="1:5" x14ac:dyDescent="0.55000000000000004">
      <c r="A13042" t="str">
        <f>TEST_DATA!A13042</f>
        <v>27AAAAA13042Z5</v>
      </c>
      <c r="B13042" t="str">
        <f>TEST_DATA!B13042</f>
        <v>Jun-2020</v>
      </c>
      <c r="C13042">
        <f>TEST_DATA!C13042</f>
        <v>43991</v>
      </c>
      <c r="D13042" t="str">
        <f>TEST_DATA!D13042</f>
        <v>NON-NIL</v>
      </c>
      <c r="E13042">
        <f>TEST_DATA!E13042</f>
        <v>2676</v>
      </c>
    </row>
    <row r="13043" spans="1:5" x14ac:dyDescent="0.55000000000000004">
      <c r="A13043" t="str">
        <f>TEST_DATA!A13043</f>
        <v>27AAAAA13043Z5</v>
      </c>
      <c r="B13043" t="str">
        <f>TEST_DATA!B13043</f>
        <v>Jul-2017</v>
      </c>
      <c r="C13043">
        <f>TEST_DATA!C13043</f>
        <v>43007</v>
      </c>
      <c r="D13043" t="str">
        <f>TEST_DATA!D13043</f>
        <v>NON-NIL</v>
      </c>
      <c r="E13043">
        <f>TEST_DATA!E13043</f>
        <v>2190</v>
      </c>
    </row>
    <row r="13044" spans="1:5" x14ac:dyDescent="0.55000000000000004">
      <c r="A13044" t="str">
        <f>TEST_DATA!A13044</f>
        <v>27AAAAA13044Z5</v>
      </c>
      <c r="B13044" t="str">
        <f>TEST_DATA!B13044</f>
        <v>Sep-2017</v>
      </c>
      <c r="C13044">
        <f>TEST_DATA!C13044</f>
        <v>43459</v>
      </c>
      <c r="D13044" t="str">
        <f>TEST_DATA!D13044</f>
        <v>NIL</v>
      </c>
      <c r="E13044">
        <f>TEST_DATA!E13044</f>
        <v>1744</v>
      </c>
    </row>
    <row r="13045" spans="1:5" x14ac:dyDescent="0.55000000000000004">
      <c r="A13045" t="str">
        <f>TEST_DATA!A13045</f>
        <v>27AAAAA13045Z5</v>
      </c>
      <c r="B13045" t="str">
        <f>TEST_DATA!B13045</f>
        <v>Jun-2018</v>
      </c>
      <c r="C13045">
        <f>TEST_DATA!C13045</f>
        <v>44098</v>
      </c>
      <c r="D13045" t="str">
        <f>TEST_DATA!D13045</f>
        <v>NON-NIL</v>
      </c>
      <c r="E13045">
        <f>TEST_DATA!E13045</f>
        <v>631</v>
      </c>
    </row>
    <row r="13046" spans="1:5" x14ac:dyDescent="0.55000000000000004">
      <c r="A13046" t="str">
        <f>TEST_DATA!A13046</f>
        <v>27AAAAA13046Z5</v>
      </c>
      <c r="B13046" t="str">
        <f>TEST_DATA!B13046</f>
        <v>Jun-2020</v>
      </c>
      <c r="C13046">
        <f>TEST_DATA!C13046</f>
        <v>44293</v>
      </c>
      <c r="D13046" t="str">
        <f>TEST_DATA!D13046</f>
        <v>NON-NIL</v>
      </c>
      <c r="E13046">
        <f>TEST_DATA!E13046</f>
        <v>1603</v>
      </c>
    </row>
    <row r="13047" spans="1:5" x14ac:dyDescent="0.55000000000000004">
      <c r="A13047" t="str">
        <f>TEST_DATA!A13047</f>
        <v>27AAAAA13047Z5</v>
      </c>
      <c r="B13047" t="str">
        <f>TEST_DATA!B13047</f>
        <v>Aug-2018</v>
      </c>
      <c r="C13047">
        <f>TEST_DATA!C13047</f>
        <v>44426</v>
      </c>
      <c r="D13047" t="str">
        <f>TEST_DATA!D13047</f>
        <v>NIL</v>
      </c>
      <c r="E13047">
        <f>TEST_DATA!E13047</f>
        <v>2798</v>
      </c>
    </row>
    <row r="13048" spans="1:5" x14ac:dyDescent="0.55000000000000004">
      <c r="A13048" t="str">
        <f>TEST_DATA!A13048</f>
        <v>27AAAAA13048Z5</v>
      </c>
      <c r="B13048" t="str">
        <f>TEST_DATA!B13048</f>
        <v>Aug-2017</v>
      </c>
      <c r="C13048">
        <f>TEST_DATA!C13048</f>
        <v>43557</v>
      </c>
      <c r="D13048" t="str">
        <f>TEST_DATA!D13048</f>
        <v>NON-NIL</v>
      </c>
      <c r="E13048">
        <f>TEST_DATA!E13048</f>
        <v>497</v>
      </c>
    </row>
    <row r="13049" spans="1:5" x14ac:dyDescent="0.55000000000000004">
      <c r="A13049" t="str">
        <f>TEST_DATA!A13049</f>
        <v>27AAAAA13049Z5</v>
      </c>
      <c r="B13049" t="str">
        <f>TEST_DATA!B13049</f>
        <v>Mar-2023</v>
      </c>
      <c r="C13049">
        <f>TEST_DATA!C13049</f>
        <v>45346</v>
      </c>
      <c r="D13049" t="str">
        <f>TEST_DATA!D13049</f>
        <v>NIL</v>
      </c>
      <c r="E13049">
        <f>TEST_DATA!E13049</f>
        <v>1320</v>
      </c>
    </row>
    <row r="13050" spans="1:5" x14ac:dyDescent="0.55000000000000004">
      <c r="A13050" t="str">
        <f>TEST_DATA!A13050</f>
        <v>27AAAAA13050Z5</v>
      </c>
      <c r="B13050" t="str">
        <f>TEST_DATA!B13050</f>
        <v>Aug-2017</v>
      </c>
      <c r="C13050">
        <f>TEST_DATA!C13050</f>
        <v>42976</v>
      </c>
      <c r="D13050" t="str">
        <f>TEST_DATA!D13050</f>
        <v>NON-NIL</v>
      </c>
      <c r="E13050">
        <f>TEST_DATA!E13050</f>
        <v>1771</v>
      </c>
    </row>
    <row r="13051" spans="1:5" x14ac:dyDescent="0.55000000000000004">
      <c r="A13051" t="str">
        <f>TEST_DATA!A13051</f>
        <v>27AAAAA13051Z5</v>
      </c>
      <c r="B13051" t="str">
        <f>TEST_DATA!B13051</f>
        <v>Jul-2017</v>
      </c>
      <c r="C13051">
        <f>TEST_DATA!C13051</f>
        <v>43081</v>
      </c>
      <c r="D13051" t="str">
        <f>TEST_DATA!D13051</f>
        <v>NON-NIL</v>
      </c>
      <c r="E13051">
        <f>TEST_DATA!E13051</f>
        <v>1424</v>
      </c>
    </row>
    <row r="13052" spans="1:5" x14ac:dyDescent="0.55000000000000004">
      <c r="A13052" t="str">
        <f>TEST_DATA!A13052</f>
        <v>27AAAAA13052Z5</v>
      </c>
      <c r="B13052" t="str">
        <f>TEST_DATA!B13052</f>
        <v>Mar-2021</v>
      </c>
      <c r="C13052">
        <f>TEST_DATA!C13052</f>
        <v>43920</v>
      </c>
      <c r="D13052" t="str">
        <f>TEST_DATA!D13052</f>
        <v>NIL</v>
      </c>
      <c r="E13052">
        <f>TEST_DATA!E13052</f>
        <v>22</v>
      </c>
    </row>
    <row r="13053" spans="1:5" x14ac:dyDescent="0.55000000000000004">
      <c r="A13053" t="str">
        <f>TEST_DATA!A13053</f>
        <v>27AAAAA13053Z5</v>
      </c>
      <c r="B13053" t="str">
        <f>TEST_DATA!B13053</f>
        <v>Dec-2024</v>
      </c>
      <c r="C13053">
        <f>TEST_DATA!C13053</f>
        <v>45304</v>
      </c>
      <c r="D13053" t="str">
        <f>TEST_DATA!D13053</f>
        <v>NON-NIL</v>
      </c>
      <c r="E13053">
        <f>TEST_DATA!E13053</f>
        <v>2267</v>
      </c>
    </row>
    <row r="13054" spans="1:5" x14ac:dyDescent="0.55000000000000004">
      <c r="A13054" t="str">
        <f>TEST_DATA!A13054</f>
        <v>27AAAAA13054Z5</v>
      </c>
      <c r="B13054" t="str">
        <f>TEST_DATA!B13054</f>
        <v>Mar-2018</v>
      </c>
      <c r="C13054">
        <f>TEST_DATA!C13054</f>
        <v>43283</v>
      </c>
      <c r="D13054" t="str">
        <f>TEST_DATA!D13054</f>
        <v>NON-NIL</v>
      </c>
      <c r="E13054">
        <f>TEST_DATA!E13054</f>
        <v>1506</v>
      </c>
    </row>
    <row r="13055" spans="1:5" x14ac:dyDescent="0.55000000000000004">
      <c r="A13055" t="str">
        <f>TEST_DATA!A13055</f>
        <v>27AAAAA13055Z5</v>
      </c>
      <c r="B13055" t="str">
        <f>TEST_DATA!B13055</f>
        <v>Jun-2018</v>
      </c>
      <c r="C13055">
        <f>TEST_DATA!C13055</f>
        <v>43852</v>
      </c>
      <c r="D13055" t="str">
        <f>TEST_DATA!D13055</f>
        <v>NON-NIL</v>
      </c>
      <c r="E13055">
        <f>TEST_DATA!E13055</f>
        <v>420</v>
      </c>
    </row>
    <row r="13056" spans="1:5" x14ac:dyDescent="0.55000000000000004">
      <c r="A13056" t="str">
        <f>TEST_DATA!A13056</f>
        <v>27AAAAA13056Z5</v>
      </c>
      <c r="B13056" t="str">
        <f>TEST_DATA!B13056</f>
        <v>Jun-2019</v>
      </c>
      <c r="C13056">
        <f>TEST_DATA!C13056</f>
        <v>45218</v>
      </c>
      <c r="D13056" t="str">
        <f>TEST_DATA!D13056</f>
        <v>NON-NIL</v>
      </c>
      <c r="E13056">
        <f>TEST_DATA!E13056</f>
        <v>1975</v>
      </c>
    </row>
    <row r="13057" spans="1:5" x14ac:dyDescent="0.55000000000000004">
      <c r="A13057" t="str">
        <f>TEST_DATA!A13057</f>
        <v>27AAAAA13057Z5</v>
      </c>
      <c r="B13057" t="str">
        <f>TEST_DATA!B13057</f>
        <v>Apr-2021</v>
      </c>
      <c r="C13057">
        <f>TEST_DATA!C13057</f>
        <v>43653</v>
      </c>
      <c r="D13057" t="str">
        <f>TEST_DATA!D13057</f>
        <v>NON-NIL</v>
      </c>
      <c r="E13057">
        <f>TEST_DATA!E13057</f>
        <v>1752</v>
      </c>
    </row>
    <row r="13058" spans="1:5" x14ac:dyDescent="0.55000000000000004">
      <c r="A13058" t="str">
        <f>TEST_DATA!A13058</f>
        <v>27AAAAA13058Z5</v>
      </c>
      <c r="B13058" t="str">
        <f>TEST_DATA!B13058</f>
        <v>Jan-2019</v>
      </c>
      <c r="C13058">
        <f>TEST_DATA!C13058</f>
        <v>44003</v>
      </c>
      <c r="D13058" t="str">
        <f>TEST_DATA!D13058</f>
        <v>NIL</v>
      </c>
      <c r="E13058">
        <f>TEST_DATA!E13058</f>
        <v>2474</v>
      </c>
    </row>
    <row r="13059" spans="1:5" x14ac:dyDescent="0.55000000000000004">
      <c r="A13059" t="str">
        <f>TEST_DATA!A13059</f>
        <v>27AAAAA13059Z5</v>
      </c>
      <c r="B13059" t="str">
        <f>TEST_DATA!B13059</f>
        <v>Jan-2021</v>
      </c>
      <c r="C13059">
        <f>TEST_DATA!C13059</f>
        <v>44118</v>
      </c>
      <c r="D13059" t="str">
        <f>TEST_DATA!D13059</f>
        <v>NIL</v>
      </c>
      <c r="E13059">
        <f>TEST_DATA!E13059</f>
        <v>2266</v>
      </c>
    </row>
    <row r="13060" spans="1:5" x14ac:dyDescent="0.55000000000000004">
      <c r="A13060" t="str">
        <f>TEST_DATA!A13060</f>
        <v>27AAAAA13060Z5</v>
      </c>
      <c r="B13060" t="str">
        <f>TEST_DATA!B13060</f>
        <v>Mar-2021</v>
      </c>
      <c r="C13060">
        <f>TEST_DATA!C13060</f>
        <v>44418</v>
      </c>
      <c r="D13060" t="str">
        <f>TEST_DATA!D13060</f>
        <v>NON-NIL</v>
      </c>
      <c r="E13060">
        <f>TEST_DATA!E13060</f>
        <v>2401</v>
      </c>
    </row>
    <row r="13061" spans="1:5" x14ac:dyDescent="0.55000000000000004">
      <c r="A13061" t="str">
        <f>TEST_DATA!A13061</f>
        <v>27AAAAA13061Z5</v>
      </c>
      <c r="B13061" t="str">
        <f>TEST_DATA!B13061</f>
        <v>Mar-2023</v>
      </c>
      <c r="C13061">
        <f>TEST_DATA!C13061</f>
        <v>43946</v>
      </c>
      <c r="D13061" t="str">
        <f>TEST_DATA!D13061</f>
        <v>NON-NIL</v>
      </c>
      <c r="E13061">
        <f>TEST_DATA!E13061</f>
        <v>840</v>
      </c>
    </row>
    <row r="13062" spans="1:5" x14ac:dyDescent="0.55000000000000004">
      <c r="A13062" t="str">
        <f>TEST_DATA!A13062</f>
        <v>27AAAAA13062Z5</v>
      </c>
      <c r="B13062" t="str">
        <f>TEST_DATA!B13062</f>
        <v>Jul-2017</v>
      </c>
      <c r="C13062">
        <f>TEST_DATA!C13062</f>
        <v>44217</v>
      </c>
      <c r="D13062" t="str">
        <f>TEST_DATA!D13062</f>
        <v>NIL</v>
      </c>
      <c r="E13062">
        <f>TEST_DATA!E13062</f>
        <v>453</v>
      </c>
    </row>
    <row r="13063" spans="1:5" x14ac:dyDescent="0.55000000000000004">
      <c r="A13063" t="str">
        <f>TEST_DATA!A13063</f>
        <v>27AAAAA13063Z5</v>
      </c>
      <c r="B13063" t="str">
        <f>TEST_DATA!B13063</f>
        <v>Jun-2018</v>
      </c>
      <c r="C13063">
        <f>TEST_DATA!C13063</f>
        <v>43241</v>
      </c>
      <c r="D13063" t="str">
        <f>TEST_DATA!D13063</f>
        <v>NON-NIL</v>
      </c>
      <c r="E13063">
        <f>TEST_DATA!E13063</f>
        <v>723</v>
      </c>
    </row>
    <row r="13064" spans="1:5" x14ac:dyDescent="0.55000000000000004">
      <c r="A13064" t="str">
        <f>TEST_DATA!A13064</f>
        <v>27AAAAA13064Z5</v>
      </c>
      <c r="B13064" t="str">
        <f>TEST_DATA!B13064</f>
        <v>Jan-2021</v>
      </c>
      <c r="C13064">
        <f>TEST_DATA!C13064</f>
        <v>44955</v>
      </c>
      <c r="D13064" t="str">
        <f>TEST_DATA!D13064</f>
        <v>NON-NIL</v>
      </c>
      <c r="E13064">
        <f>TEST_DATA!E13064</f>
        <v>2190</v>
      </c>
    </row>
    <row r="13065" spans="1:5" x14ac:dyDescent="0.55000000000000004">
      <c r="A13065" t="str">
        <f>TEST_DATA!A13065</f>
        <v>27AAAAA13065Z5</v>
      </c>
      <c r="B13065" t="str">
        <f>TEST_DATA!B13065</f>
        <v>Feb-2018</v>
      </c>
      <c r="C13065">
        <f>TEST_DATA!C13065</f>
        <v>43318</v>
      </c>
      <c r="D13065" t="str">
        <f>TEST_DATA!D13065</f>
        <v>NON-NIL</v>
      </c>
      <c r="E13065">
        <f>TEST_DATA!E13065</f>
        <v>1899</v>
      </c>
    </row>
    <row r="13066" spans="1:5" x14ac:dyDescent="0.55000000000000004">
      <c r="A13066" t="str">
        <f>TEST_DATA!A13066</f>
        <v>27AAAAA13066Z5</v>
      </c>
      <c r="B13066" t="str">
        <f>TEST_DATA!B13066</f>
        <v>Mar-2018</v>
      </c>
      <c r="C13066">
        <f>TEST_DATA!C13066</f>
        <v>44524</v>
      </c>
      <c r="D13066" t="str">
        <f>TEST_DATA!D13066</f>
        <v>NIL</v>
      </c>
      <c r="E13066">
        <f>TEST_DATA!E13066</f>
        <v>2145</v>
      </c>
    </row>
    <row r="13067" spans="1:5" x14ac:dyDescent="0.55000000000000004">
      <c r="A13067" t="str">
        <f>TEST_DATA!A13067</f>
        <v>27AAAAA13067Z5</v>
      </c>
      <c r="B13067" t="str">
        <f>TEST_DATA!B13067</f>
        <v>Jun-2020</v>
      </c>
      <c r="C13067">
        <f>TEST_DATA!C13067</f>
        <v>44040</v>
      </c>
      <c r="D13067" t="str">
        <f>TEST_DATA!D13067</f>
        <v>NIL</v>
      </c>
      <c r="E13067">
        <f>TEST_DATA!E13067</f>
        <v>2813</v>
      </c>
    </row>
    <row r="13068" spans="1:5" x14ac:dyDescent="0.55000000000000004">
      <c r="A13068" t="str">
        <f>TEST_DATA!A13068</f>
        <v>27AAAAA13068Z5</v>
      </c>
      <c r="B13068" t="str">
        <f>TEST_DATA!B13068</f>
        <v>Mar-2021</v>
      </c>
      <c r="C13068">
        <f>TEST_DATA!C13068</f>
        <v>43650</v>
      </c>
      <c r="D13068" t="str">
        <f>TEST_DATA!D13068</f>
        <v>NON-NIL</v>
      </c>
      <c r="E13068">
        <f>TEST_DATA!E13068</f>
        <v>2428</v>
      </c>
    </row>
    <row r="13069" spans="1:5" x14ac:dyDescent="0.55000000000000004">
      <c r="A13069" t="str">
        <f>TEST_DATA!A13069</f>
        <v>27AAAAA13069Z5</v>
      </c>
      <c r="B13069" t="str">
        <f>TEST_DATA!B13069</f>
        <v>Mar-2020</v>
      </c>
      <c r="C13069">
        <f>TEST_DATA!C13069</f>
        <v>44379</v>
      </c>
      <c r="D13069" t="str">
        <f>TEST_DATA!D13069</f>
        <v>NON-NIL</v>
      </c>
      <c r="E13069">
        <f>TEST_DATA!E13069</f>
        <v>2818</v>
      </c>
    </row>
    <row r="13070" spans="1:5" x14ac:dyDescent="0.55000000000000004">
      <c r="A13070" t="str">
        <f>TEST_DATA!A13070</f>
        <v>27AAAAA13070Z5</v>
      </c>
      <c r="B13070" t="str">
        <f>TEST_DATA!B13070</f>
        <v>Sep-2018</v>
      </c>
      <c r="C13070">
        <f>TEST_DATA!C13070</f>
        <v>44203</v>
      </c>
      <c r="D13070" t="str">
        <f>TEST_DATA!D13070</f>
        <v>NON-NIL</v>
      </c>
      <c r="E13070">
        <f>TEST_DATA!E13070</f>
        <v>2420</v>
      </c>
    </row>
    <row r="13071" spans="1:5" x14ac:dyDescent="0.55000000000000004">
      <c r="A13071" t="str">
        <f>TEST_DATA!A13071</f>
        <v>27AAAAA13071Z5</v>
      </c>
      <c r="B13071" t="str">
        <f>TEST_DATA!B13071</f>
        <v>Jan-2021</v>
      </c>
      <c r="C13071">
        <f>TEST_DATA!C13071</f>
        <v>45650</v>
      </c>
      <c r="D13071" t="str">
        <f>TEST_DATA!D13071</f>
        <v>NIL</v>
      </c>
      <c r="E13071">
        <f>TEST_DATA!E13071</f>
        <v>371</v>
      </c>
    </row>
    <row r="13072" spans="1:5" x14ac:dyDescent="0.55000000000000004">
      <c r="A13072" t="str">
        <f>TEST_DATA!A13072</f>
        <v>27AAAAA13072Z5</v>
      </c>
      <c r="B13072" t="str">
        <f>TEST_DATA!B13072</f>
        <v>Dec-2017</v>
      </c>
      <c r="C13072">
        <f>TEST_DATA!C13072</f>
        <v>44291</v>
      </c>
      <c r="D13072" t="str">
        <f>TEST_DATA!D13072</f>
        <v>NIL</v>
      </c>
      <c r="E13072">
        <f>TEST_DATA!E13072</f>
        <v>1401</v>
      </c>
    </row>
    <row r="13073" spans="1:5" x14ac:dyDescent="0.55000000000000004">
      <c r="A13073" t="str">
        <f>TEST_DATA!A13073</f>
        <v>27AAAAA13073Z5</v>
      </c>
      <c r="B13073" t="str">
        <f>TEST_DATA!B13073</f>
        <v>Mar-2021</v>
      </c>
      <c r="C13073">
        <f>TEST_DATA!C13073</f>
        <v>45124</v>
      </c>
      <c r="D13073" t="str">
        <f>TEST_DATA!D13073</f>
        <v>NIL</v>
      </c>
      <c r="E13073">
        <f>TEST_DATA!E13073</f>
        <v>249</v>
      </c>
    </row>
    <row r="13074" spans="1:5" x14ac:dyDescent="0.55000000000000004">
      <c r="A13074" t="str">
        <f>TEST_DATA!A13074</f>
        <v>27AAAAA13074Z5</v>
      </c>
      <c r="B13074" t="str">
        <f>TEST_DATA!B13074</f>
        <v>Dec-2019</v>
      </c>
      <c r="C13074">
        <f>TEST_DATA!C13074</f>
        <v>44351</v>
      </c>
      <c r="D13074" t="str">
        <f>TEST_DATA!D13074</f>
        <v>NON-NIL</v>
      </c>
      <c r="E13074">
        <f>TEST_DATA!E13074</f>
        <v>393</v>
      </c>
    </row>
    <row r="13075" spans="1:5" x14ac:dyDescent="0.55000000000000004">
      <c r="A13075" t="str">
        <f>TEST_DATA!A13075</f>
        <v>27AAAAA13075Z5</v>
      </c>
      <c r="B13075" t="str">
        <f>TEST_DATA!B13075</f>
        <v>Jan-2021</v>
      </c>
      <c r="C13075">
        <f>TEST_DATA!C13075</f>
        <v>43525</v>
      </c>
      <c r="D13075" t="str">
        <f>TEST_DATA!D13075</f>
        <v>NIL</v>
      </c>
      <c r="E13075">
        <f>TEST_DATA!E13075</f>
        <v>609</v>
      </c>
    </row>
    <row r="13076" spans="1:5" x14ac:dyDescent="0.55000000000000004">
      <c r="A13076" t="str">
        <f>TEST_DATA!A13076</f>
        <v>27AAAAA13076Z5</v>
      </c>
      <c r="B13076" t="str">
        <f>TEST_DATA!B13076</f>
        <v>Jun-2018</v>
      </c>
      <c r="C13076">
        <f>TEST_DATA!C13076</f>
        <v>43922</v>
      </c>
      <c r="D13076" t="str">
        <f>TEST_DATA!D13076</f>
        <v>NIL</v>
      </c>
      <c r="E13076">
        <f>TEST_DATA!E13076</f>
        <v>286</v>
      </c>
    </row>
    <row r="13077" spans="1:5" x14ac:dyDescent="0.55000000000000004">
      <c r="A13077" t="str">
        <f>TEST_DATA!A13077</f>
        <v>27AAAAA13077Z5</v>
      </c>
      <c r="B13077" t="str">
        <f>TEST_DATA!B13077</f>
        <v>Mar-2023</v>
      </c>
      <c r="C13077">
        <f>TEST_DATA!C13077</f>
        <v>45118</v>
      </c>
      <c r="D13077" t="str">
        <f>TEST_DATA!D13077</f>
        <v>NIL</v>
      </c>
      <c r="E13077">
        <f>TEST_DATA!E13077</f>
        <v>2939</v>
      </c>
    </row>
    <row r="13078" spans="1:5" x14ac:dyDescent="0.55000000000000004">
      <c r="A13078" t="str">
        <f>TEST_DATA!A13078</f>
        <v>27AAAAA13078Z5</v>
      </c>
      <c r="B13078" t="str">
        <f>TEST_DATA!B13078</f>
        <v>Aug-2017</v>
      </c>
      <c r="C13078">
        <f>TEST_DATA!C13078</f>
        <v>44422</v>
      </c>
      <c r="D13078" t="str">
        <f>TEST_DATA!D13078</f>
        <v>NON-NIL</v>
      </c>
      <c r="E13078">
        <f>TEST_DATA!E13078</f>
        <v>2942</v>
      </c>
    </row>
    <row r="13079" spans="1:5" x14ac:dyDescent="0.55000000000000004">
      <c r="A13079" t="str">
        <f>TEST_DATA!A13079</f>
        <v>27AAAAA13079Z5</v>
      </c>
      <c r="B13079" t="str">
        <f>TEST_DATA!B13079</f>
        <v>Feb-2018</v>
      </c>
      <c r="C13079">
        <f>TEST_DATA!C13079</f>
        <v>43854</v>
      </c>
      <c r="D13079" t="str">
        <f>TEST_DATA!D13079</f>
        <v>NIL</v>
      </c>
      <c r="E13079">
        <f>TEST_DATA!E13079</f>
        <v>927</v>
      </c>
    </row>
    <row r="13080" spans="1:5" x14ac:dyDescent="0.55000000000000004">
      <c r="A13080" t="str">
        <f>TEST_DATA!A13080</f>
        <v>27AAAAA13080Z5</v>
      </c>
      <c r="B13080" t="str">
        <f>TEST_DATA!B13080</f>
        <v>Dec-2024</v>
      </c>
      <c r="C13080">
        <f>TEST_DATA!C13080</f>
        <v>44988</v>
      </c>
      <c r="D13080" t="str">
        <f>TEST_DATA!D13080</f>
        <v>NON-NIL</v>
      </c>
      <c r="E13080">
        <f>TEST_DATA!E13080</f>
        <v>2535</v>
      </c>
    </row>
    <row r="13081" spans="1:5" x14ac:dyDescent="0.55000000000000004">
      <c r="A13081" t="str">
        <f>TEST_DATA!A13081</f>
        <v>27AAAAA13081Z5</v>
      </c>
      <c r="B13081" t="str">
        <f>TEST_DATA!B13081</f>
        <v>Jun-2018</v>
      </c>
      <c r="C13081">
        <f>TEST_DATA!C13081</f>
        <v>44192</v>
      </c>
      <c r="D13081" t="str">
        <f>TEST_DATA!D13081</f>
        <v>NIL</v>
      </c>
      <c r="E13081">
        <f>TEST_DATA!E13081</f>
        <v>1302</v>
      </c>
    </row>
    <row r="13082" spans="1:5" x14ac:dyDescent="0.55000000000000004">
      <c r="A13082" t="str">
        <f>TEST_DATA!A13082</f>
        <v>27AAAAA13082Z5</v>
      </c>
      <c r="B13082" t="str">
        <f>TEST_DATA!B13082</f>
        <v>Oct-2017</v>
      </c>
      <c r="C13082">
        <f>TEST_DATA!C13082</f>
        <v>43718</v>
      </c>
      <c r="D13082" t="str">
        <f>TEST_DATA!D13082</f>
        <v>NON-NIL</v>
      </c>
      <c r="E13082">
        <f>TEST_DATA!E13082</f>
        <v>1551</v>
      </c>
    </row>
    <row r="13083" spans="1:5" x14ac:dyDescent="0.55000000000000004">
      <c r="A13083" t="str">
        <f>TEST_DATA!A13083</f>
        <v>27AAAAA13083Z5</v>
      </c>
      <c r="B13083" t="str">
        <f>TEST_DATA!B13083</f>
        <v>Mar-2021</v>
      </c>
      <c r="C13083">
        <f>TEST_DATA!C13083</f>
        <v>43780</v>
      </c>
      <c r="D13083" t="str">
        <f>TEST_DATA!D13083</f>
        <v>NON-NIL</v>
      </c>
      <c r="E13083">
        <f>TEST_DATA!E13083</f>
        <v>2888</v>
      </c>
    </row>
    <row r="13084" spans="1:5" x14ac:dyDescent="0.55000000000000004">
      <c r="A13084" t="str">
        <f>TEST_DATA!A13084</f>
        <v>27AAAAA13084Z5</v>
      </c>
      <c r="B13084" t="str">
        <f>TEST_DATA!B13084</f>
        <v>Aug-2018</v>
      </c>
      <c r="C13084">
        <f>TEST_DATA!C13084</f>
        <v>43227</v>
      </c>
      <c r="D13084" t="str">
        <f>TEST_DATA!D13084</f>
        <v>NON-NIL</v>
      </c>
      <c r="E13084">
        <f>TEST_DATA!E13084</f>
        <v>1422</v>
      </c>
    </row>
    <row r="13085" spans="1:5" x14ac:dyDescent="0.55000000000000004">
      <c r="A13085" t="str">
        <f>TEST_DATA!A13085</f>
        <v>27AAAAA13085Z5</v>
      </c>
      <c r="B13085" t="str">
        <f>TEST_DATA!B13085</f>
        <v>Dec-2019</v>
      </c>
      <c r="C13085">
        <f>TEST_DATA!C13085</f>
        <v>45090</v>
      </c>
      <c r="D13085" t="str">
        <f>TEST_DATA!D13085</f>
        <v>NIL</v>
      </c>
      <c r="E13085">
        <f>TEST_DATA!E13085</f>
        <v>1580</v>
      </c>
    </row>
    <row r="13086" spans="1:5" x14ac:dyDescent="0.55000000000000004">
      <c r="A13086" t="str">
        <f>TEST_DATA!A13086</f>
        <v>27AAAAA13086Z5</v>
      </c>
      <c r="B13086" t="str">
        <f>TEST_DATA!B13086</f>
        <v>Mar-2023</v>
      </c>
      <c r="C13086">
        <f>TEST_DATA!C13086</f>
        <v>43688</v>
      </c>
      <c r="D13086" t="str">
        <f>TEST_DATA!D13086</f>
        <v>NIL</v>
      </c>
      <c r="E13086">
        <f>TEST_DATA!E13086</f>
        <v>1473</v>
      </c>
    </row>
    <row r="13087" spans="1:5" x14ac:dyDescent="0.55000000000000004">
      <c r="A13087" t="str">
        <f>TEST_DATA!A13087</f>
        <v>27AAAAA13087Z5</v>
      </c>
      <c r="B13087" t="str">
        <f>TEST_DATA!B13087</f>
        <v>Feb-2018</v>
      </c>
      <c r="C13087">
        <f>TEST_DATA!C13087</f>
        <v>43686</v>
      </c>
      <c r="D13087" t="str">
        <f>TEST_DATA!D13087</f>
        <v>NON-NIL</v>
      </c>
      <c r="E13087">
        <f>TEST_DATA!E13087</f>
        <v>770</v>
      </c>
    </row>
    <row r="13088" spans="1:5" x14ac:dyDescent="0.55000000000000004">
      <c r="A13088" t="str">
        <f>TEST_DATA!A13088</f>
        <v>27AAAAA13088Z5</v>
      </c>
      <c r="B13088" t="str">
        <f>TEST_DATA!B13088</f>
        <v>Nov-2017</v>
      </c>
      <c r="C13088">
        <f>TEST_DATA!C13088</f>
        <v>43041</v>
      </c>
      <c r="D13088" t="str">
        <f>TEST_DATA!D13088</f>
        <v>NIL</v>
      </c>
      <c r="E13088">
        <f>TEST_DATA!E13088</f>
        <v>728</v>
      </c>
    </row>
    <row r="13089" spans="1:5" x14ac:dyDescent="0.55000000000000004">
      <c r="A13089" t="str">
        <f>TEST_DATA!A13089</f>
        <v>27AAAAA13089Z5</v>
      </c>
      <c r="B13089" t="str">
        <f>TEST_DATA!B13089</f>
        <v>May-2018</v>
      </c>
      <c r="C13089">
        <f>TEST_DATA!C13089</f>
        <v>43482</v>
      </c>
      <c r="D13089" t="str">
        <f>TEST_DATA!D13089</f>
        <v>NON-NIL</v>
      </c>
      <c r="E13089">
        <f>TEST_DATA!E13089</f>
        <v>188</v>
      </c>
    </row>
    <row r="13090" spans="1:5" x14ac:dyDescent="0.55000000000000004">
      <c r="A13090" t="str">
        <f>TEST_DATA!A13090</f>
        <v>27AAAAA13090Z5</v>
      </c>
      <c r="B13090" t="str">
        <f>TEST_DATA!B13090</f>
        <v>Apr-2021</v>
      </c>
      <c r="C13090">
        <f>TEST_DATA!C13090</f>
        <v>45717</v>
      </c>
      <c r="D13090" t="str">
        <f>TEST_DATA!D13090</f>
        <v>NIL</v>
      </c>
      <c r="E13090">
        <f>TEST_DATA!E13090</f>
        <v>1586</v>
      </c>
    </row>
    <row r="13091" spans="1:5" x14ac:dyDescent="0.55000000000000004">
      <c r="A13091" t="str">
        <f>TEST_DATA!A13091</f>
        <v>27AAAAA13091Z5</v>
      </c>
      <c r="B13091" t="str">
        <f>TEST_DATA!B13091</f>
        <v>Apr-2020</v>
      </c>
      <c r="C13091">
        <f>TEST_DATA!C13091</f>
        <v>44380</v>
      </c>
      <c r="D13091" t="str">
        <f>TEST_DATA!D13091</f>
        <v>NIL</v>
      </c>
      <c r="E13091">
        <f>TEST_DATA!E13091</f>
        <v>2508</v>
      </c>
    </row>
    <row r="13092" spans="1:5" x14ac:dyDescent="0.55000000000000004">
      <c r="A13092" t="str">
        <f>TEST_DATA!A13092</f>
        <v>27AAAAA13092Z5</v>
      </c>
      <c r="B13092" t="str">
        <f>TEST_DATA!B13092</f>
        <v>Sep-2018</v>
      </c>
      <c r="C13092">
        <f>TEST_DATA!C13092</f>
        <v>44062</v>
      </c>
      <c r="D13092" t="str">
        <f>TEST_DATA!D13092</f>
        <v>NON-NIL</v>
      </c>
      <c r="E13092">
        <f>TEST_DATA!E13092</f>
        <v>836</v>
      </c>
    </row>
    <row r="13093" spans="1:5" x14ac:dyDescent="0.55000000000000004">
      <c r="A13093" t="str">
        <f>TEST_DATA!A13093</f>
        <v>27AAAAA13093Z5</v>
      </c>
      <c r="B13093" t="str">
        <f>TEST_DATA!B13093</f>
        <v>Dec-2022</v>
      </c>
      <c r="C13093">
        <f>TEST_DATA!C13093</f>
        <v>45755</v>
      </c>
      <c r="D13093" t="str">
        <f>TEST_DATA!D13093</f>
        <v>NON-NIL</v>
      </c>
      <c r="E13093">
        <f>TEST_DATA!E13093</f>
        <v>396</v>
      </c>
    </row>
    <row r="13094" spans="1:5" x14ac:dyDescent="0.55000000000000004">
      <c r="A13094" t="str">
        <f>TEST_DATA!A13094</f>
        <v>27AAAAA13094Z5</v>
      </c>
      <c r="B13094" t="str">
        <f>TEST_DATA!B13094</f>
        <v>Dec-2022</v>
      </c>
      <c r="C13094">
        <f>TEST_DATA!C13094</f>
        <v>45660</v>
      </c>
      <c r="D13094" t="str">
        <f>TEST_DATA!D13094</f>
        <v>NIL</v>
      </c>
      <c r="E13094">
        <f>TEST_DATA!E13094</f>
        <v>2605</v>
      </c>
    </row>
    <row r="13095" spans="1:5" x14ac:dyDescent="0.55000000000000004">
      <c r="A13095" t="str">
        <f>TEST_DATA!A13095</f>
        <v>27AAAAA13095Z5</v>
      </c>
      <c r="B13095" t="str">
        <f>TEST_DATA!B13095</f>
        <v>Dec-2024</v>
      </c>
      <c r="C13095">
        <f>TEST_DATA!C13095</f>
        <v>44643</v>
      </c>
      <c r="D13095" t="str">
        <f>TEST_DATA!D13095</f>
        <v>NIL</v>
      </c>
      <c r="E13095">
        <f>TEST_DATA!E13095</f>
        <v>229</v>
      </c>
    </row>
    <row r="13096" spans="1:5" x14ac:dyDescent="0.55000000000000004">
      <c r="A13096" t="str">
        <f>TEST_DATA!A13096</f>
        <v>27AAAAA13096Z5</v>
      </c>
      <c r="B13096" t="str">
        <f>TEST_DATA!B13096</f>
        <v>Aug-2017</v>
      </c>
      <c r="C13096">
        <f>TEST_DATA!C13096</f>
        <v>44227</v>
      </c>
      <c r="D13096" t="str">
        <f>TEST_DATA!D13096</f>
        <v>NIL</v>
      </c>
      <c r="E13096">
        <f>TEST_DATA!E13096</f>
        <v>1790</v>
      </c>
    </row>
    <row r="13097" spans="1:5" x14ac:dyDescent="0.55000000000000004">
      <c r="A13097" t="str">
        <f>TEST_DATA!A13097</f>
        <v>27AAAAA13097Z5</v>
      </c>
      <c r="B13097" t="str">
        <f>TEST_DATA!B13097</f>
        <v>Jul-2018</v>
      </c>
      <c r="C13097">
        <f>TEST_DATA!C13097</f>
        <v>43577</v>
      </c>
      <c r="D13097" t="str">
        <f>TEST_DATA!D13097</f>
        <v>NON-NIL</v>
      </c>
      <c r="E13097">
        <f>TEST_DATA!E13097</f>
        <v>2110</v>
      </c>
    </row>
    <row r="13098" spans="1:5" x14ac:dyDescent="0.55000000000000004">
      <c r="A13098" t="str">
        <f>TEST_DATA!A13098</f>
        <v>27AAAAA13098Z5</v>
      </c>
      <c r="B13098" t="str">
        <f>TEST_DATA!B13098</f>
        <v>Apr-2018</v>
      </c>
      <c r="C13098">
        <f>TEST_DATA!C13098</f>
        <v>43410</v>
      </c>
      <c r="D13098" t="str">
        <f>TEST_DATA!D13098</f>
        <v>NIL</v>
      </c>
      <c r="E13098">
        <f>TEST_DATA!E13098</f>
        <v>111</v>
      </c>
    </row>
    <row r="13099" spans="1:5" x14ac:dyDescent="0.55000000000000004">
      <c r="A13099" t="str">
        <f>TEST_DATA!A13099</f>
        <v>27AAAAA13099Z5</v>
      </c>
      <c r="B13099" t="str">
        <f>TEST_DATA!B13099</f>
        <v>Mar-2021</v>
      </c>
      <c r="C13099">
        <f>TEST_DATA!C13099</f>
        <v>43489</v>
      </c>
      <c r="D13099" t="str">
        <f>TEST_DATA!D13099</f>
        <v>NON-NIL</v>
      </c>
      <c r="E13099">
        <f>TEST_DATA!E13099</f>
        <v>1763</v>
      </c>
    </row>
    <row r="13100" spans="1:5" x14ac:dyDescent="0.55000000000000004">
      <c r="A13100" t="str">
        <f>TEST_DATA!A13100</f>
        <v>27AAAAA13100Z5</v>
      </c>
      <c r="B13100" t="str">
        <f>TEST_DATA!B13100</f>
        <v>Aug-2017</v>
      </c>
      <c r="C13100">
        <f>TEST_DATA!C13100</f>
        <v>43378</v>
      </c>
      <c r="D13100" t="str">
        <f>TEST_DATA!D13100</f>
        <v>NON-NIL</v>
      </c>
      <c r="E13100">
        <f>TEST_DATA!E13100</f>
        <v>2662</v>
      </c>
    </row>
    <row r="13101" spans="1:5" x14ac:dyDescent="0.55000000000000004">
      <c r="A13101" t="str">
        <f>TEST_DATA!A13101</f>
        <v>27AAAAA13101Z5</v>
      </c>
      <c r="B13101" t="str">
        <f>TEST_DATA!B13101</f>
        <v>Jul-2020</v>
      </c>
      <c r="C13101">
        <f>TEST_DATA!C13101</f>
        <v>44679</v>
      </c>
      <c r="D13101" t="str">
        <f>TEST_DATA!D13101</f>
        <v>NIL</v>
      </c>
      <c r="E13101">
        <f>TEST_DATA!E13101</f>
        <v>2903</v>
      </c>
    </row>
    <row r="13102" spans="1:5" x14ac:dyDescent="0.55000000000000004">
      <c r="A13102" t="str">
        <f>TEST_DATA!A13102</f>
        <v>27AAAAA13102Z5</v>
      </c>
      <c r="B13102" t="str">
        <f>TEST_DATA!B13102</f>
        <v>Dec-2019</v>
      </c>
      <c r="C13102">
        <f>TEST_DATA!C13102</f>
        <v>45499</v>
      </c>
      <c r="D13102" t="str">
        <f>TEST_DATA!D13102</f>
        <v>NIL</v>
      </c>
      <c r="E13102">
        <f>TEST_DATA!E13102</f>
        <v>1572</v>
      </c>
    </row>
    <row r="13103" spans="1:5" x14ac:dyDescent="0.55000000000000004">
      <c r="A13103" t="str">
        <f>TEST_DATA!A13103</f>
        <v>27AAAAA13103Z5</v>
      </c>
      <c r="B13103" t="str">
        <f>TEST_DATA!B13103</f>
        <v>Mar-2018</v>
      </c>
      <c r="C13103">
        <f>TEST_DATA!C13103</f>
        <v>44074</v>
      </c>
      <c r="D13103" t="str">
        <f>TEST_DATA!D13103</f>
        <v>NIL</v>
      </c>
      <c r="E13103">
        <f>TEST_DATA!E13103</f>
        <v>1926</v>
      </c>
    </row>
    <row r="13104" spans="1:5" x14ac:dyDescent="0.55000000000000004">
      <c r="A13104" t="str">
        <f>TEST_DATA!A13104</f>
        <v>27AAAAA13104Z5</v>
      </c>
      <c r="B13104" t="str">
        <f>TEST_DATA!B13104</f>
        <v>Jun-2018</v>
      </c>
      <c r="C13104">
        <f>TEST_DATA!C13104</f>
        <v>44194</v>
      </c>
      <c r="D13104" t="str">
        <f>TEST_DATA!D13104</f>
        <v>NIL</v>
      </c>
      <c r="E13104">
        <f>TEST_DATA!E13104</f>
        <v>1165</v>
      </c>
    </row>
    <row r="13105" spans="1:5" x14ac:dyDescent="0.55000000000000004">
      <c r="A13105" t="str">
        <f>TEST_DATA!A13105</f>
        <v>27AAAAA13105Z5</v>
      </c>
      <c r="B13105" t="str">
        <f>TEST_DATA!B13105</f>
        <v>Apr-2018</v>
      </c>
      <c r="C13105">
        <f>TEST_DATA!C13105</f>
        <v>43874</v>
      </c>
      <c r="D13105" t="str">
        <f>TEST_DATA!D13105</f>
        <v>NIL</v>
      </c>
      <c r="E13105">
        <f>TEST_DATA!E13105</f>
        <v>2602</v>
      </c>
    </row>
    <row r="13106" spans="1:5" x14ac:dyDescent="0.55000000000000004">
      <c r="A13106" t="str">
        <f>TEST_DATA!A13106</f>
        <v>27AAAAA13106Z5</v>
      </c>
      <c r="B13106" t="str">
        <f>TEST_DATA!B13106</f>
        <v>Dec-2022</v>
      </c>
      <c r="C13106">
        <f>TEST_DATA!C13106</f>
        <v>44755</v>
      </c>
      <c r="D13106" t="str">
        <f>TEST_DATA!D13106</f>
        <v>NIL</v>
      </c>
      <c r="E13106">
        <f>TEST_DATA!E13106</f>
        <v>236</v>
      </c>
    </row>
    <row r="13107" spans="1:5" x14ac:dyDescent="0.55000000000000004">
      <c r="A13107" t="str">
        <f>TEST_DATA!A13107</f>
        <v>27AAAAA13107Z5</v>
      </c>
      <c r="B13107" t="str">
        <f>TEST_DATA!B13107</f>
        <v>Mar-2018</v>
      </c>
      <c r="C13107">
        <f>TEST_DATA!C13107</f>
        <v>43879</v>
      </c>
      <c r="D13107" t="str">
        <f>TEST_DATA!D13107</f>
        <v>NIL</v>
      </c>
      <c r="E13107">
        <f>TEST_DATA!E13107</f>
        <v>518</v>
      </c>
    </row>
    <row r="13108" spans="1:5" x14ac:dyDescent="0.55000000000000004">
      <c r="A13108" t="str">
        <f>TEST_DATA!A13108</f>
        <v>27AAAAA13108Z5</v>
      </c>
      <c r="B13108" t="str">
        <f>TEST_DATA!B13108</f>
        <v>Jan-2019</v>
      </c>
      <c r="C13108">
        <f>TEST_DATA!C13108</f>
        <v>45635</v>
      </c>
      <c r="D13108" t="str">
        <f>TEST_DATA!D13108</f>
        <v>NIL</v>
      </c>
      <c r="E13108">
        <f>TEST_DATA!E13108</f>
        <v>654</v>
      </c>
    </row>
    <row r="13109" spans="1:5" x14ac:dyDescent="0.55000000000000004">
      <c r="A13109" t="str">
        <f>TEST_DATA!A13109</f>
        <v>27AAAAA13109Z5</v>
      </c>
      <c r="B13109" t="str">
        <f>TEST_DATA!B13109</f>
        <v>Mar-2023</v>
      </c>
      <c r="C13109">
        <f>TEST_DATA!C13109</f>
        <v>45331</v>
      </c>
      <c r="D13109" t="str">
        <f>TEST_DATA!D13109</f>
        <v>NON-NIL</v>
      </c>
      <c r="E13109">
        <f>TEST_DATA!E13109</f>
        <v>1076</v>
      </c>
    </row>
    <row r="13110" spans="1:5" x14ac:dyDescent="0.55000000000000004">
      <c r="A13110" t="str">
        <f>TEST_DATA!A13110</f>
        <v>27AAAAA13110Z5</v>
      </c>
      <c r="B13110" t="str">
        <f>TEST_DATA!B13110</f>
        <v>Jun-2018</v>
      </c>
      <c r="C13110">
        <f>TEST_DATA!C13110</f>
        <v>43149</v>
      </c>
      <c r="D13110" t="str">
        <f>TEST_DATA!D13110</f>
        <v>NIL</v>
      </c>
      <c r="E13110">
        <f>TEST_DATA!E13110</f>
        <v>17</v>
      </c>
    </row>
    <row r="13111" spans="1:5" x14ac:dyDescent="0.55000000000000004">
      <c r="A13111" t="str">
        <f>TEST_DATA!A13111</f>
        <v>27AAAAA13111Z5</v>
      </c>
      <c r="B13111" t="str">
        <f>TEST_DATA!B13111</f>
        <v>Jun-2020</v>
      </c>
      <c r="C13111">
        <f>TEST_DATA!C13111</f>
        <v>43928</v>
      </c>
      <c r="D13111" t="str">
        <f>TEST_DATA!D13111</f>
        <v>NON-NIL</v>
      </c>
      <c r="E13111">
        <f>TEST_DATA!E13111</f>
        <v>2582</v>
      </c>
    </row>
    <row r="13112" spans="1:5" x14ac:dyDescent="0.55000000000000004">
      <c r="A13112" t="str">
        <f>TEST_DATA!A13112</f>
        <v>27AAAAA13112Z5</v>
      </c>
      <c r="B13112" t="str">
        <f>TEST_DATA!B13112</f>
        <v>Apr-2021</v>
      </c>
      <c r="C13112">
        <f>TEST_DATA!C13112</f>
        <v>43670</v>
      </c>
      <c r="D13112" t="str">
        <f>TEST_DATA!D13112</f>
        <v>NIL</v>
      </c>
      <c r="E13112">
        <f>TEST_DATA!E13112</f>
        <v>2552</v>
      </c>
    </row>
    <row r="13113" spans="1:5" x14ac:dyDescent="0.55000000000000004">
      <c r="A13113" t="str">
        <f>TEST_DATA!A13113</f>
        <v>27AAAAA13113Z5</v>
      </c>
      <c r="B13113" t="str">
        <f>TEST_DATA!B13113</f>
        <v>Dec-2019</v>
      </c>
      <c r="C13113">
        <f>TEST_DATA!C13113</f>
        <v>44808</v>
      </c>
      <c r="D13113" t="str">
        <f>TEST_DATA!D13113</f>
        <v>NON-NIL</v>
      </c>
      <c r="E13113">
        <f>TEST_DATA!E13113</f>
        <v>1345</v>
      </c>
    </row>
    <row r="13114" spans="1:5" x14ac:dyDescent="0.55000000000000004">
      <c r="A13114" t="str">
        <f>TEST_DATA!A13114</f>
        <v>27AAAAA13114Z5</v>
      </c>
      <c r="B13114" t="str">
        <f>TEST_DATA!B13114</f>
        <v>Apr-2018</v>
      </c>
      <c r="C13114">
        <f>TEST_DATA!C13114</f>
        <v>43904</v>
      </c>
      <c r="D13114" t="str">
        <f>TEST_DATA!D13114</f>
        <v>NIL</v>
      </c>
      <c r="E13114">
        <f>TEST_DATA!E13114</f>
        <v>2220</v>
      </c>
    </row>
    <row r="13115" spans="1:5" x14ac:dyDescent="0.55000000000000004">
      <c r="A13115" t="str">
        <f>TEST_DATA!A13115</f>
        <v>27AAAAA13115Z5</v>
      </c>
      <c r="B13115" t="str">
        <f>TEST_DATA!B13115</f>
        <v>Jun-2019</v>
      </c>
      <c r="C13115">
        <f>TEST_DATA!C13115</f>
        <v>43466</v>
      </c>
      <c r="D13115" t="str">
        <f>TEST_DATA!D13115</f>
        <v>NON-NIL</v>
      </c>
      <c r="E13115">
        <f>TEST_DATA!E13115</f>
        <v>737</v>
      </c>
    </row>
    <row r="13116" spans="1:5" x14ac:dyDescent="0.55000000000000004">
      <c r="A13116" t="str">
        <f>TEST_DATA!A13116</f>
        <v>27AAAAA13116Z5</v>
      </c>
      <c r="B13116" t="str">
        <f>TEST_DATA!B13116</f>
        <v>Jan-2019</v>
      </c>
      <c r="C13116">
        <f>TEST_DATA!C13116</f>
        <v>44725</v>
      </c>
      <c r="D13116" t="str">
        <f>TEST_DATA!D13116</f>
        <v>NIL</v>
      </c>
      <c r="E13116">
        <f>TEST_DATA!E13116</f>
        <v>1567</v>
      </c>
    </row>
    <row r="13117" spans="1:5" x14ac:dyDescent="0.55000000000000004">
      <c r="A13117" t="str">
        <f>TEST_DATA!A13117</f>
        <v>27AAAAA13117Z5</v>
      </c>
      <c r="B13117" t="str">
        <f>TEST_DATA!B13117</f>
        <v>Dec-2017</v>
      </c>
      <c r="C13117">
        <f>TEST_DATA!C13117</f>
        <v>43962</v>
      </c>
      <c r="D13117" t="str">
        <f>TEST_DATA!D13117</f>
        <v>NIL</v>
      </c>
      <c r="E13117">
        <f>TEST_DATA!E13117</f>
        <v>2053</v>
      </c>
    </row>
    <row r="13118" spans="1:5" x14ac:dyDescent="0.55000000000000004">
      <c r="A13118" t="str">
        <f>TEST_DATA!A13118</f>
        <v>27AAAAA13118Z5</v>
      </c>
      <c r="B13118" t="str">
        <f>TEST_DATA!B13118</f>
        <v>May-2018</v>
      </c>
      <c r="C13118">
        <f>TEST_DATA!C13118</f>
        <v>44522</v>
      </c>
      <c r="D13118" t="str">
        <f>TEST_DATA!D13118</f>
        <v>NIL</v>
      </c>
      <c r="E13118">
        <f>TEST_DATA!E13118</f>
        <v>1820</v>
      </c>
    </row>
    <row r="13119" spans="1:5" x14ac:dyDescent="0.55000000000000004">
      <c r="A13119" t="str">
        <f>TEST_DATA!A13119</f>
        <v>27AAAAA13119Z5</v>
      </c>
      <c r="B13119" t="str">
        <f>TEST_DATA!B13119</f>
        <v>Dec-2017</v>
      </c>
      <c r="C13119">
        <f>TEST_DATA!C13119</f>
        <v>43622</v>
      </c>
      <c r="D13119" t="str">
        <f>TEST_DATA!D13119</f>
        <v>NON-NIL</v>
      </c>
      <c r="E13119">
        <f>TEST_DATA!E13119</f>
        <v>916</v>
      </c>
    </row>
    <row r="13120" spans="1:5" x14ac:dyDescent="0.55000000000000004">
      <c r="A13120" t="str">
        <f>TEST_DATA!A13120</f>
        <v>27AAAAA13120Z5</v>
      </c>
      <c r="B13120" t="str">
        <f>TEST_DATA!B13120</f>
        <v>Dec-2017</v>
      </c>
      <c r="C13120">
        <f>TEST_DATA!C13120</f>
        <v>42943</v>
      </c>
      <c r="D13120" t="str">
        <f>TEST_DATA!D13120</f>
        <v>NON-NIL</v>
      </c>
      <c r="E13120">
        <f>TEST_DATA!E13120</f>
        <v>2840</v>
      </c>
    </row>
    <row r="13121" spans="1:5" x14ac:dyDescent="0.55000000000000004">
      <c r="A13121" t="str">
        <f>TEST_DATA!A13121</f>
        <v>27AAAAA13121Z5</v>
      </c>
      <c r="B13121" t="str">
        <f>TEST_DATA!B13121</f>
        <v>Nov-2017</v>
      </c>
      <c r="C13121">
        <f>TEST_DATA!C13121</f>
        <v>44015</v>
      </c>
      <c r="D13121" t="str">
        <f>TEST_DATA!D13121</f>
        <v>NON-NIL</v>
      </c>
      <c r="E13121">
        <f>TEST_DATA!E13121</f>
        <v>298</v>
      </c>
    </row>
    <row r="13122" spans="1:5" x14ac:dyDescent="0.55000000000000004">
      <c r="A13122" t="str">
        <f>TEST_DATA!A13122</f>
        <v>27AAAAA13122Z5</v>
      </c>
      <c r="B13122" t="str">
        <f>TEST_DATA!B13122</f>
        <v>May-2018</v>
      </c>
      <c r="C13122">
        <f>TEST_DATA!C13122</f>
        <v>43674</v>
      </c>
      <c r="D13122" t="str">
        <f>TEST_DATA!D13122</f>
        <v>NIL</v>
      </c>
      <c r="E13122">
        <f>TEST_DATA!E13122</f>
        <v>479</v>
      </c>
    </row>
    <row r="13123" spans="1:5" x14ac:dyDescent="0.55000000000000004">
      <c r="A13123" t="str">
        <f>TEST_DATA!A13123</f>
        <v>27AAAAA13123Z5</v>
      </c>
      <c r="B13123" t="str">
        <f>TEST_DATA!B13123</f>
        <v>Jan-2018</v>
      </c>
      <c r="C13123">
        <f>TEST_DATA!C13123</f>
        <v>43591</v>
      </c>
      <c r="D13123" t="str">
        <f>TEST_DATA!D13123</f>
        <v>NIL</v>
      </c>
      <c r="E13123">
        <f>TEST_DATA!E13123</f>
        <v>1035</v>
      </c>
    </row>
    <row r="13124" spans="1:5" x14ac:dyDescent="0.55000000000000004">
      <c r="A13124" t="str">
        <f>TEST_DATA!A13124</f>
        <v>27AAAAA13124Z5</v>
      </c>
      <c r="B13124" t="str">
        <f>TEST_DATA!B13124</f>
        <v>Sep-2018</v>
      </c>
      <c r="C13124">
        <f>TEST_DATA!C13124</f>
        <v>43082</v>
      </c>
      <c r="D13124" t="str">
        <f>TEST_DATA!D13124</f>
        <v>NIL</v>
      </c>
      <c r="E13124">
        <f>TEST_DATA!E13124</f>
        <v>1792</v>
      </c>
    </row>
    <row r="13125" spans="1:5" x14ac:dyDescent="0.55000000000000004">
      <c r="A13125" t="str">
        <f>TEST_DATA!A13125</f>
        <v>27AAAAA13125Z5</v>
      </c>
      <c r="B13125" t="str">
        <f>TEST_DATA!B13125</f>
        <v>Dec-2019</v>
      </c>
      <c r="C13125">
        <f>TEST_DATA!C13125</f>
        <v>45555</v>
      </c>
      <c r="D13125" t="str">
        <f>TEST_DATA!D13125</f>
        <v>NON-NIL</v>
      </c>
      <c r="E13125">
        <f>TEST_DATA!E13125</f>
        <v>2754</v>
      </c>
    </row>
    <row r="13126" spans="1:5" x14ac:dyDescent="0.55000000000000004">
      <c r="A13126" t="str">
        <f>TEST_DATA!A13126</f>
        <v>27AAAAA13126Z5</v>
      </c>
      <c r="B13126" t="str">
        <f>TEST_DATA!B13126</f>
        <v>Mar-2021</v>
      </c>
      <c r="C13126">
        <f>TEST_DATA!C13126</f>
        <v>44881</v>
      </c>
      <c r="D13126" t="str">
        <f>TEST_DATA!D13126</f>
        <v>NIL</v>
      </c>
      <c r="E13126">
        <f>TEST_DATA!E13126</f>
        <v>2947</v>
      </c>
    </row>
    <row r="13127" spans="1:5" x14ac:dyDescent="0.55000000000000004">
      <c r="A13127" t="str">
        <f>TEST_DATA!A13127</f>
        <v>27AAAAA13127Z5</v>
      </c>
      <c r="B13127" t="str">
        <f>TEST_DATA!B13127</f>
        <v>Jun-2018</v>
      </c>
      <c r="C13127">
        <f>TEST_DATA!C13127</f>
        <v>43167</v>
      </c>
      <c r="D13127" t="str">
        <f>TEST_DATA!D13127</f>
        <v>NIL</v>
      </c>
      <c r="E13127">
        <f>TEST_DATA!E13127</f>
        <v>2549</v>
      </c>
    </row>
    <row r="13128" spans="1:5" x14ac:dyDescent="0.55000000000000004">
      <c r="A13128" t="str">
        <f>TEST_DATA!A13128</f>
        <v>27AAAAA13128Z5</v>
      </c>
      <c r="B13128" t="str">
        <f>TEST_DATA!B13128</f>
        <v>Jan-2021</v>
      </c>
      <c r="C13128">
        <f>TEST_DATA!C13128</f>
        <v>43959</v>
      </c>
      <c r="D13128" t="str">
        <f>TEST_DATA!D13128</f>
        <v>NON-NIL</v>
      </c>
      <c r="E13128">
        <f>TEST_DATA!E13128</f>
        <v>359</v>
      </c>
    </row>
    <row r="13129" spans="1:5" x14ac:dyDescent="0.55000000000000004">
      <c r="A13129" t="str">
        <f>TEST_DATA!A13129</f>
        <v>27AAAAA13129Z5</v>
      </c>
      <c r="B13129" t="str">
        <f>TEST_DATA!B13129</f>
        <v>Jun-2019</v>
      </c>
      <c r="C13129">
        <f>TEST_DATA!C13129</f>
        <v>43566</v>
      </c>
      <c r="D13129" t="str">
        <f>TEST_DATA!D13129</f>
        <v>NON-NIL</v>
      </c>
      <c r="E13129">
        <f>TEST_DATA!E13129</f>
        <v>379</v>
      </c>
    </row>
    <row r="13130" spans="1:5" x14ac:dyDescent="0.55000000000000004">
      <c r="A13130" t="str">
        <f>TEST_DATA!A13130</f>
        <v>27AAAAA13130Z5</v>
      </c>
      <c r="B13130" t="str">
        <f>TEST_DATA!B13130</f>
        <v>Dec-2022</v>
      </c>
      <c r="C13130">
        <f>TEST_DATA!C13130</f>
        <v>44651</v>
      </c>
      <c r="D13130" t="str">
        <f>TEST_DATA!D13130</f>
        <v>NIL</v>
      </c>
      <c r="E13130">
        <f>TEST_DATA!E13130</f>
        <v>520</v>
      </c>
    </row>
    <row r="13131" spans="1:5" x14ac:dyDescent="0.55000000000000004">
      <c r="A13131" t="str">
        <f>TEST_DATA!A13131</f>
        <v>27AAAAA13131Z5</v>
      </c>
      <c r="B13131" t="str">
        <f>TEST_DATA!B13131</f>
        <v>Jul-2017</v>
      </c>
      <c r="C13131">
        <f>TEST_DATA!C13131</f>
        <v>44377</v>
      </c>
      <c r="D13131" t="str">
        <f>TEST_DATA!D13131</f>
        <v>NIL</v>
      </c>
      <c r="E13131">
        <f>TEST_DATA!E13131</f>
        <v>2017</v>
      </c>
    </row>
    <row r="13132" spans="1:5" x14ac:dyDescent="0.55000000000000004">
      <c r="A13132" t="str">
        <f>TEST_DATA!A13132</f>
        <v>27AAAAA13132Z5</v>
      </c>
      <c r="B13132" t="str">
        <f>TEST_DATA!B13132</f>
        <v>Mar-2018</v>
      </c>
      <c r="C13132">
        <f>TEST_DATA!C13132</f>
        <v>44211</v>
      </c>
      <c r="D13132" t="str">
        <f>TEST_DATA!D13132</f>
        <v>NIL</v>
      </c>
      <c r="E13132">
        <f>TEST_DATA!E13132</f>
        <v>1125</v>
      </c>
    </row>
    <row r="13133" spans="1:5" x14ac:dyDescent="0.55000000000000004">
      <c r="A13133" t="str">
        <f>TEST_DATA!A13133</f>
        <v>27AAAAA13133Z5</v>
      </c>
      <c r="B13133" t="str">
        <f>TEST_DATA!B13133</f>
        <v>Jan-2021</v>
      </c>
      <c r="C13133">
        <f>TEST_DATA!C13133</f>
        <v>44996</v>
      </c>
      <c r="D13133" t="str">
        <f>TEST_DATA!D13133</f>
        <v>NIL</v>
      </c>
      <c r="E13133">
        <f>TEST_DATA!E13133</f>
        <v>1356</v>
      </c>
    </row>
    <row r="13134" spans="1:5" x14ac:dyDescent="0.55000000000000004">
      <c r="A13134" t="str">
        <f>TEST_DATA!A13134</f>
        <v>27AAAAA13134Z5</v>
      </c>
      <c r="B13134" t="str">
        <f>TEST_DATA!B13134</f>
        <v>Aug-2018</v>
      </c>
      <c r="C13134">
        <f>TEST_DATA!C13134</f>
        <v>44105</v>
      </c>
      <c r="D13134" t="str">
        <f>TEST_DATA!D13134</f>
        <v>NIL</v>
      </c>
      <c r="E13134">
        <f>TEST_DATA!E13134</f>
        <v>885</v>
      </c>
    </row>
    <row r="13135" spans="1:5" x14ac:dyDescent="0.55000000000000004">
      <c r="A13135" t="str">
        <f>TEST_DATA!A13135</f>
        <v>27AAAAA13135Z5</v>
      </c>
      <c r="B13135" t="str">
        <f>TEST_DATA!B13135</f>
        <v>Apr-2021</v>
      </c>
      <c r="C13135">
        <f>TEST_DATA!C13135</f>
        <v>44096</v>
      </c>
      <c r="D13135" t="str">
        <f>TEST_DATA!D13135</f>
        <v>NON-NIL</v>
      </c>
      <c r="E13135">
        <f>TEST_DATA!E13135</f>
        <v>1667</v>
      </c>
    </row>
    <row r="13136" spans="1:5" x14ac:dyDescent="0.55000000000000004">
      <c r="A13136" t="str">
        <f>TEST_DATA!A13136</f>
        <v>27AAAAA13136Z5</v>
      </c>
      <c r="B13136" t="str">
        <f>TEST_DATA!B13136</f>
        <v>Jul-2020</v>
      </c>
      <c r="C13136">
        <f>TEST_DATA!C13136</f>
        <v>44128</v>
      </c>
      <c r="D13136" t="str">
        <f>TEST_DATA!D13136</f>
        <v>NON-NIL</v>
      </c>
      <c r="E13136">
        <f>TEST_DATA!E13136</f>
        <v>2300</v>
      </c>
    </row>
    <row r="13137" spans="1:5" x14ac:dyDescent="0.55000000000000004">
      <c r="A13137" t="str">
        <f>TEST_DATA!A13137</f>
        <v>27AAAAA13137Z5</v>
      </c>
      <c r="B13137" t="str">
        <f>TEST_DATA!B13137</f>
        <v>Mar-2020</v>
      </c>
      <c r="C13137">
        <f>TEST_DATA!C13137</f>
        <v>44374</v>
      </c>
      <c r="D13137" t="str">
        <f>TEST_DATA!D13137</f>
        <v>NON-NIL</v>
      </c>
      <c r="E13137">
        <f>TEST_DATA!E13137</f>
        <v>926</v>
      </c>
    </row>
    <row r="13138" spans="1:5" x14ac:dyDescent="0.55000000000000004">
      <c r="A13138" t="str">
        <f>TEST_DATA!A13138</f>
        <v>27AAAAA13138Z5</v>
      </c>
      <c r="B13138" t="str">
        <f>TEST_DATA!B13138</f>
        <v>Jun-2019</v>
      </c>
      <c r="C13138">
        <f>TEST_DATA!C13138</f>
        <v>45372</v>
      </c>
      <c r="D13138" t="str">
        <f>TEST_DATA!D13138</f>
        <v>NIL</v>
      </c>
      <c r="E13138">
        <f>TEST_DATA!E13138</f>
        <v>172</v>
      </c>
    </row>
    <row r="13139" spans="1:5" x14ac:dyDescent="0.55000000000000004">
      <c r="A13139" t="str">
        <f>TEST_DATA!A13139</f>
        <v>27AAAAA13139Z5</v>
      </c>
      <c r="B13139" t="str">
        <f>TEST_DATA!B13139</f>
        <v>Mar-2020</v>
      </c>
      <c r="C13139">
        <f>TEST_DATA!C13139</f>
        <v>44139</v>
      </c>
      <c r="D13139" t="str">
        <f>TEST_DATA!D13139</f>
        <v>NON-NIL</v>
      </c>
      <c r="E13139">
        <f>TEST_DATA!E13139</f>
        <v>729</v>
      </c>
    </row>
    <row r="13140" spans="1:5" x14ac:dyDescent="0.55000000000000004">
      <c r="A13140" t="str">
        <f>TEST_DATA!A13140</f>
        <v>27AAAAA13140Z5</v>
      </c>
      <c r="B13140" t="str">
        <f>TEST_DATA!B13140</f>
        <v>Mar-2023</v>
      </c>
      <c r="C13140">
        <f>TEST_DATA!C13140</f>
        <v>44300</v>
      </c>
      <c r="D13140" t="str">
        <f>TEST_DATA!D13140</f>
        <v>NIL</v>
      </c>
      <c r="E13140">
        <f>TEST_DATA!E13140</f>
        <v>1537</v>
      </c>
    </row>
    <row r="13141" spans="1:5" x14ac:dyDescent="0.55000000000000004">
      <c r="A13141" t="str">
        <f>TEST_DATA!A13141</f>
        <v>27AAAAA13141Z5</v>
      </c>
      <c r="B13141" t="str">
        <f>TEST_DATA!B13141</f>
        <v>Aug-2017</v>
      </c>
      <c r="C13141">
        <f>TEST_DATA!C13141</f>
        <v>43668</v>
      </c>
      <c r="D13141" t="str">
        <f>TEST_DATA!D13141</f>
        <v>NON-NIL</v>
      </c>
      <c r="E13141">
        <f>TEST_DATA!E13141</f>
        <v>813</v>
      </c>
    </row>
    <row r="13142" spans="1:5" x14ac:dyDescent="0.55000000000000004">
      <c r="A13142" t="str">
        <f>TEST_DATA!A13142</f>
        <v>27AAAAA13142Z5</v>
      </c>
      <c r="B13142" t="str">
        <f>TEST_DATA!B13142</f>
        <v>Aug-2018</v>
      </c>
      <c r="C13142">
        <f>TEST_DATA!C13142</f>
        <v>43009</v>
      </c>
      <c r="D13142" t="str">
        <f>TEST_DATA!D13142</f>
        <v>NON-NIL</v>
      </c>
      <c r="E13142">
        <f>TEST_DATA!E13142</f>
        <v>331</v>
      </c>
    </row>
    <row r="13143" spans="1:5" x14ac:dyDescent="0.55000000000000004">
      <c r="A13143" t="str">
        <f>TEST_DATA!A13143</f>
        <v>27AAAAA13143Z5</v>
      </c>
      <c r="B13143" t="str">
        <f>TEST_DATA!B13143</f>
        <v>Nov-2017</v>
      </c>
      <c r="C13143">
        <f>TEST_DATA!C13143</f>
        <v>43534</v>
      </c>
      <c r="D13143" t="str">
        <f>TEST_DATA!D13143</f>
        <v>NIL</v>
      </c>
      <c r="E13143">
        <f>TEST_DATA!E13143</f>
        <v>833</v>
      </c>
    </row>
    <row r="13144" spans="1:5" x14ac:dyDescent="0.55000000000000004">
      <c r="A13144" t="str">
        <f>TEST_DATA!A13144</f>
        <v>27AAAAA13144Z5</v>
      </c>
      <c r="B13144" t="str">
        <f>TEST_DATA!B13144</f>
        <v>Jan-2019</v>
      </c>
      <c r="C13144">
        <f>TEST_DATA!C13144</f>
        <v>44306</v>
      </c>
      <c r="D13144" t="str">
        <f>TEST_DATA!D13144</f>
        <v>NON-NIL</v>
      </c>
      <c r="E13144">
        <f>TEST_DATA!E13144</f>
        <v>2521</v>
      </c>
    </row>
    <row r="13145" spans="1:5" x14ac:dyDescent="0.55000000000000004">
      <c r="A13145" t="str">
        <f>TEST_DATA!A13145</f>
        <v>27AAAAA13145Z5</v>
      </c>
      <c r="B13145" t="str">
        <f>TEST_DATA!B13145</f>
        <v>Sep-2017</v>
      </c>
      <c r="C13145">
        <f>TEST_DATA!C13145</f>
        <v>43197</v>
      </c>
      <c r="D13145" t="str">
        <f>TEST_DATA!D13145</f>
        <v>NON-NIL</v>
      </c>
      <c r="E13145">
        <f>TEST_DATA!E13145</f>
        <v>2192</v>
      </c>
    </row>
    <row r="13146" spans="1:5" x14ac:dyDescent="0.55000000000000004">
      <c r="A13146" t="str">
        <f>TEST_DATA!A13146</f>
        <v>27AAAAA13146Z5</v>
      </c>
      <c r="B13146" t="str">
        <f>TEST_DATA!B13146</f>
        <v>Dec-2022</v>
      </c>
      <c r="C13146">
        <f>TEST_DATA!C13146</f>
        <v>43750</v>
      </c>
      <c r="D13146" t="str">
        <f>TEST_DATA!D13146</f>
        <v>NIL</v>
      </c>
      <c r="E13146">
        <f>TEST_DATA!E13146</f>
        <v>1762</v>
      </c>
    </row>
    <row r="13147" spans="1:5" x14ac:dyDescent="0.55000000000000004">
      <c r="A13147" t="str">
        <f>TEST_DATA!A13147</f>
        <v>27AAAAA13147Z5</v>
      </c>
      <c r="B13147" t="str">
        <f>TEST_DATA!B13147</f>
        <v>Jul-2018</v>
      </c>
      <c r="C13147">
        <f>TEST_DATA!C13147</f>
        <v>44101</v>
      </c>
      <c r="D13147" t="str">
        <f>TEST_DATA!D13147</f>
        <v>NON-NIL</v>
      </c>
      <c r="E13147">
        <f>TEST_DATA!E13147</f>
        <v>776</v>
      </c>
    </row>
    <row r="13148" spans="1:5" x14ac:dyDescent="0.55000000000000004">
      <c r="A13148" t="str">
        <f>TEST_DATA!A13148</f>
        <v>27AAAAA13148Z5</v>
      </c>
      <c r="B13148" t="str">
        <f>TEST_DATA!B13148</f>
        <v>Aug-2018</v>
      </c>
      <c r="C13148">
        <f>TEST_DATA!C13148</f>
        <v>43526</v>
      </c>
      <c r="D13148" t="str">
        <f>TEST_DATA!D13148</f>
        <v>NIL</v>
      </c>
      <c r="E13148">
        <f>TEST_DATA!E13148</f>
        <v>1751</v>
      </c>
    </row>
    <row r="13149" spans="1:5" x14ac:dyDescent="0.55000000000000004">
      <c r="A13149" t="str">
        <f>TEST_DATA!A13149</f>
        <v>27AAAAA13149Z5</v>
      </c>
      <c r="B13149" t="str">
        <f>TEST_DATA!B13149</f>
        <v>Jun-2018</v>
      </c>
      <c r="C13149">
        <f>TEST_DATA!C13149</f>
        <v>44305</v>
      </c>
      <c r="D13149" t="str">
        <f>TEST_DATA!D13149</f>
        <v>NIL</v>
      </c>
      <c r="E13149">
        <f>TEST_DATA!E13149</f>
        <v>344</v>
      </c>
    </row>
    <row r="13150" spans="1:5" x14ac:dyDescent="0.55000000000000004">
      <c r="A13150" t="str">
        <f>TEST_DATA!A13150</f>
        <v>27AAAAA13150Z5</v>
      </c>
      <c r="B13150" t="str">
        <f>TEST_DATA!B13150</f>
        <v>Jun-2020</v>
      </c>
      <c r="C13150">
        <f>TEST_DATA!C13150</f>
        <v>44458</v>
      </c>
      <c r="D13150" t="str">
        <f>TEST_DATA!D13150</f>
        <v>NON-NIL</v>
      </c>
      <c r="E13150">
        <f>TEST_DATA!E13150</f>
        <v>2838</v>
      </c>
    </row>
    <row r="13151" spans="1:5" x14ac:dyDescent="0.55000000000000004">
      <c r="A13151" t="str">
        <f>TEST_DATA!A13151</f>
        <v>27AAAAA13151Z5</v>
      </c>
      <c r="B13151" t="str">
        <f>TEST_DATA!B13151</f>
        <v>Apr-2020</v>
      </c>
      <c r="C13151">
        <f>TEST_DATA!C13151</f>
        <v>44404</v>
      </c>
      <c r="D13151" t="str">
        <f>TEST_DATA!D13151</f>
        <v>NON-NIL</v>
      </c>
      <c r="E13151">
        <f>TEST_DATA!E13151</f>
        <v>1723</v>
      </c>
    </row>
    <row r="13152" spans="1:5" x14ac:dyDescent="0.55000000000000004">
      <c r="A13152" t="str">
        <f>TEST_DATA!A13152</f>
        <v>27AAAAA13152Z5</v>
      </c>
      <c r="B13152" t="str">
        <f>TEST_DATA!B13152</f>
        <v>Dec-2019</v>
      </c>
      <c r="C13152">
        <f>TEST_DATA!C13152</f>
        <v>43946</v>
      </c>
      <c r="D13152" t="str">
        <f>TEST_DATA!D13152</f>
        <v>NON-NIL</v>
      </c>
      <c r="E13152">
        <f>TEST_DATA!E13152</f>
        <v>129</v>
      </c>
    </row>
    <row r="13153" spans="1:5" x14ac:dyDescent="0.55000000000000004">
      <c r="A13153" t="str">
        <f>TEST_DATA!A13153</f>
        <v>27AAAAA13153Z5</v>
      </c>
      <c r="B13153" t="str">
        <f>TEST_DATA!B13153</f>
        <v>Mar-2021</v>
      </c>
      <c r="C13153">
        <f>TEST_DATA!C13153</f>
        <v>45690</v>
      </c>
      <c r="D13153" t="str">
        <f>TEST_DATA!D13153</f>
        <v>NON-NIL</v>
      </c>
      <c r="E13153">
        <f>TEST_DATA!E13153</f>
        <v>445</v>
      </c>
    </row>
    <row r="13154" spans="1:5" x14ac:dyDescent="0.55000000000000004">
      <c r="A13154" t="str">
        <f>TEST_DATA!A13154</f>
        <v>27AAAAA13154Z5</v>
      </c>
      <c r="B13154" t="str">
        <f>TEST_DATA!B13154</f>
        <v>Apr-2018</v>
      </c>
      <c r="C13154">
        <f>TEST_DATA!C13154</f>
        <v>43698</v>
      </c>
      <c r="D13154" t="str">
        <f>TEST_DATA!D13154</f>
        <v>NIL</v>
      </c>
      <c r="E13154">
        <f>TEST_DATA!E13154</f>
        <v>2675</v>
      </c>
    </row>
    <row r="13155" spans="1:5" x14ac:dyDescent="0.55000000000000004">
      <c r="A13155" t="str">
        <f>TEST_DATA!A13155</f>
        <v>27AAAAA13155Z5</v>
      </c>
      <c r="B13155" t="str">
        <f>TEST_DATA!B13155</f>
        <v>Oct-2017</v>
      </c>
      <c r="C13155">
        <f>TEST_DATA!C13155</f>
        <v>44010</v>
      </c>
      <c r="D13155" t="str">
        <f>TEST_DATA!D13155</f>
        <v>NON-NIL</v>
      </c>
      <c r="E13155">
        <f>TEST_DATA!E13155</f>
        <v>2528</v>
      </c>
    </row>
    <row r="13156" spans="1:5" x14ac:dyDescent="0.55000000000000004">
      <c r="A13156" t="str">
        <f>TEST_DATA!A13156</f>
        <v>27AAAAA13156Z5</v>
      </c>
      <c r="B13156" t="str">
        <f>TEST_DATA!B13156</f>
        <v>Dec-2019</v>
      </c>
      <c r="C13156">
        <f>TEST_DATA!C13156</f>
        <v>45837</v>
      </c>
      <c r="D13156" t="str">
        <f>TEST_DATA!D13156</f>
        <v>NON-NIL</v>
      </c>
      <c r="E13156">
        <f>TEST_DATA!E13156</f>
        <v>1682</v>
      </c>
    </row>
    <row r="13157" spans="1:5" x14ac:dyDescent="0.55000000000000004">
      <c r="A13157" t="str">
        <f>TEST_DATA!A13157</f>
        <v>27AAAAA13157Z5</v>
      </c>
      <c r="B13157" t="str">
        <f>TEST_DATA!B13157</f>
        <v>Mar-2021</v>
      </c>
      <c r="C13157">
        <f>TEST_DATA!C13157</f>
        <v>44400</v>
      </c>
      <c r="D13157" t="str">
        <f>TEST_DATA!D13157</f>
        <v>NIL</v>
      </c>
      <c r="E13157">
        <f>TEST_DATA!E13157</f>
        <v>2759</v>
      </c>
    </row>
    <row r="13158" spans="1:5" x14ac:dyDescent="0.55000000000000004">
      <c r="A13158" t="str">
        <f>TEST_DATA!A13158</f>
        <v>27AAAAA13158Z5</v>
      </c>
      <c r="B13158" t="str">
        <f>TEST_DATA!B13158</f>
        <v>Mar-2021</v>
      </c>
      <c r="C13158">
        <f>TEST_DATA!C13158</f>
        <v>43655</v>
      </c>
      <c r="D13158" t="str">
        <f>TEST_DATA!D13158</f>
        <v>NIL</v>
      </c>
      <c r="E13158">
        <f>TEST_DATA!E13158</f>
        <v>812</v>
      </c>
    </row>
    <row r="13159" spans="1:5" x14ac:dyDescent="0.55000000000000004">
      <c r="A13159" t="str">
        <f>TEST_DATA!A13159</f>
        <v>27AAAAA13159Z5</v>
      </c>
      <c r="B13159" t="str">
        <f>TEST_DATA!B13159</f>
        <v>Jul-2017</v>
      </c>
      <c r="C13159">
        <f>TEST_DATA!C13159</f>
        <v>43492</v>
      </c>
      <c r="D13159" t="str">
        <f>TEST_DATA!D13159</f>
        <v>NIL</v>
      </c>
      <c r="E13159">
        <f>TEST_DATA!E13159</f>
        <v>860</v>
      </c>
    </row>
    <row r="13160" spans="1:5" x14ac:dyDescent="0.55000000000000004">
      <c r="A13160" t="str">
        <f>TEST_DATA!A13160</f>
        <v>27AAAAA13160Z5</v>
      </c>
      <c r="B13160" t="str">
        <f>TEST_DATA!B13160</f>
        <v>Feb-2018</v>
      </c>
      <c r="C13160">
        <f>TEST_DATA!C13160</f>
        <v>43371</v>
      </c>
      <c r="D13160" t="str">
        <f>TEST_DATA!D13160</f>
        <v>NIL</v>
      </c>
      <c r="E13160">
        <f>TEST_DATA!E13160</f>
        <v>424</v>
      </c>
    </row>
    <row r="13161" spans="1:5" x14ac:dyDescent="0.55000000000000004">
      <c r="A13161" t="str">
        <f>TEST_DATA!A13161</f>
        <v>27AAAAA13161Z5</v>
      </c>
      <c r="B13161" t="str">
        <f>TEST_DATA!B13161</f>
        <v>Jun-2020</v>
      </c>
      <c r="C13161">
        <f>TEST_DATA!C13161</f>
        <v>44622</v>
      </c>
      <c r="D13161" t="str">
        <f>TEST_DATA!D13161</f>
        <v>NIL</v>
      </c>
      <c r="E13161">
        <f>TEST_DATA!E13161</f>
        <v>594</v>
      </c>
    </row>
    <row r="13162" spans="1:5" x14ac:dyDescent="0.55000000000000004">
      <c r="A13162" t="str">
        <f>TEST_DATA!A13162</f>
        <v>27AAAAA13162Z5</v>
      </c>
      <c r="B13162" t="str">
        <f>TEST_DATA!B13162</f>
        <v>May-2018</v>
      </c>
      <c r="C13162">
        <f>TEST_DATA!C13162</f>
        <v>42972</v>
      </c>
      <c r="D13162" t="str">
        <f>TEST_DATA!D13162</f>
        <v>NIL</v>
      </c>
      <c r="E13162">
        <f>TEST_DATA!E13162</f>
        <v>2030</v>
      </c>
    </row>
    <row r="13163" spans="1:5" x14ac:dyDescent="0.55000000000000004">
      <c r="A13163" t="str">
        <f>TEST_DATA!A13163</f>
        <v>27AAAAA13163Z5</v>
      </c>
      <c r="B13163" t="str">
        <f>TEST_DATA!B13163</f>
        <v>Jul-2017</v>
      </c>
      <c r="C13163">
        <f>TEST_DATA!C13163</f>
        <v>43446</v>
      </c>
      <c r="D13163" t="str">
        <f>TEST_DATA!D13163</f>
        <v>NIL</v>
      </c>
      <c r="E13163">
        <f>TEST_DATA!E13163</f>
        <v>99</v>
      </c>
    </row>
    <row r="13164" spans="1:5" x14ac:dyDescent="0.55000000000000004">
      <c r="A13164" t="str">
        <f>TEST_DATA!A13164</f>
        <v>27AAAAA13164Z5</v>
      </c>
      <c r="B13164" t="str">
        <f>TEST_DATA!B13164</f>
        <v>Mar-2021</v>
      </c>
      <c r="C13164">
        <f>TEST_DATA!C13164</f>
        <v>44737</v>
      </c>
      <c r="D13164" t="str">
        <f>TEST_DATA!D13164</f>
        <v>NIL</v>
      </c>
      <c r="E13164">
        <f>TEST_DATA!E13164</f>
        <v>2237</v>
      </c>
    </row>
    <row r="13165" spans="1:5" x14ac:dyDescent="0.55000000000000004">
      <c r="A13165" t="str">
        <f>TEST_DATA!A13165</f>
        <v>27AAAAA13165Z5</v>
      </c>
      <c r="B13165" t="str">
        <f>TEST_DATA!B13165</f>
        <v>Aug-2018</v>
      </c>
      <c r="C13165">
        <f>TEST_DATA!C13165</f>
        <v>43694</v>
      </c>
      <c r="D13165" t="str">
        <f>TEST_DATA!D13165</f>
        <v>NON-NIL</v>
      </c>
      <c r="E13165">
        <f>TEST_DATA!E13165</f>
        <v>2109</v>
      </c>
    </row>
    <row r="13166" spans="1:5" x14ac:dyDescent="0.55000000000000004">
      <c r="A13166" t="str">
        <f>TEST_DATA!A13166</f>
        <v>27AAAAA13166Z5</v>
      </c>
      <c r="B13166" t="str">
        <f>TEST_DATA!B13166</f>
        <v>Apr-2018</v>
      </c>
      <c r="C13166">
        <f>TEST_DATA!C13166</f>
        <v>43874</v>
      </c>
      <c r="D13166" t="str">
        <f>TEST_DATA!D13166</f>
        <v>NIL</v>
      </c>
      <c r="E13166">
        <f>TEST_DATA!E13166</f>
        <v>2046</v>
      </c>
    </row>
    <row r="13167" spans="1:5" x14ac:dyDescent="0.55000000000000004">
      <c r="A13167" t="str">
        <f>TEST_DATA!A13167</f>
        <v>27AAAAA13167Z5</v>
      </c>
      <c r="B13167" t="str">
        <f>TEST_DATA!B13167</f>
        <v>May-2020</v>
      </c>
      <c r="C13167">
        <f>TEST_DATA!C13167</f>
        <v>44143</v>
      </c>
      <c r="D13167" t="str">
        <f>TEST_DATA!D13167</f>
        <v>NON-NIL</v>
      </c>
      <c r="E13167">
        <f>TEST_DATA!E13167</f>
        <v>175</v>
      </c>
    </row>
    <row r="13168" spans="1:5" x14ac:dyDescent="0.55000000000000004">
      <c r="A13168" t="str">
        <f>TEST_DATA!A13168</f>
        <v>27AAAAA13168Z5</v>
      </c>
      <c r="B13168" t="str">
        <f>TEST_DATA!B13168</f>
        <v>Jan-2021</v>
      </c>
      <c r="C13168">
        <f>TEST_DATA!C13168</f>
        <v>44122</v>
      </c>
      <c r="D13168" t="str">
        <f>TEST_DATA!D13168</f>
        <v>NON-NIL</v>
      </c>
      <c r="E13168">
        <f>TEST_DATA!E13168</f>
        <v>1288</v>
      </c>
    </row>
    <row r="13169" spans="1:5" x14ac:dyDescent="0.55000000000000004">
      <c r="A13169" t="str">
        <f>TEST_DATA!A13169</f>
        <v>27AAAAA13169Z5</v>
      </c>
      <c r="B13169" t="str">
        <f>TEST_DATA!B13169</f>
        <v>Jan-2019</v>
      </c>
      <c r="C13169">
        <f>TEST_DATA!C13169</f>
        <v>45539</v>
      </c>
      <c r="D13169" t="str">
        <f>TEST_DATA!D13169</f>
        <v>NON-NIL</v>
      </c>
      <c r="E13169">
        <f>TEST_DATA!E13169</f>
        <v>1747</v>
      </c>
    </row>
    <row r="13170" spans="1:5" x14ac:dyDescent="0.55000000000000004">
      <c r="A13170" t="str">
        <f>TEST_DATA!A13170</f>
        <v>27AAAAA13170Z5</v>
      </c>
      <c r="B13170" t="str">
        <f>TEST_DATA!B13170</f>
        <v>Jan-2018</v>
      </c>
      <c r="C13170">
        <f>TEST_DATA!C13170</f>
        <v>43763</v>
      </c>
      <c r="D13170" t="str">
        <f>TEST_DATA!D13170</f>
        <v>NIL</v>
      </c>
      <c r="E13170">
        <f>TEST_DATA!E13170</f>
        <v>1461</v>
      </c>
    </row>
    <row r="13171" spans="1:5" x14ac:dyDescent="0.55000000000000004">
      <c r="A13171" t="str">
        <f>TEST_DATA!A13171</f>
        <v>27AAAAA13171Z5</v>
      </c>
      <c r="B13171" t="str">
        <f>TEST_DATA!B13171</f>
        <v>Jan-2018</v>
      </c>
      <c r="C13171">
        <f>TEST_DATA!C13171</f>
        <v>43911</v>
      </c>
      <c r="D13171" t="str">
        <f>TEST_DATA!D13171</f>
        <v>NIL</v>
      </c>
      <c r="E13171">
        <f>TEST_DATA!E13171</f>
        <v>2170</v>
      </c>
    </row>
    <row r="13172" spans="1:5" x14ac:dyDescent="0.55000000000000004">
      <c r="A13172" t="str">
        <f>TEST_DATA!A13172</f>
        <v>27AAAAA13172Z5</v>
      </c>
      <c r="B13172" t="str">
        <f>TEST_DATA!B13172</f>
        <v>Aug-2017</v>
      </c>
      <c r="C13172">
        <f>TEST_DATA!C13172</f>
        <v>44053</v>
      </c>
      <c r="D13172" t="str">
        <f>TEST_DATA!D13172</f>
        <v>NIL</v>
      </c>
      <c r="E13172">
        <f>TEST_DATA!E13172</f>
        <v>824</v>
      </c>
    </row>
    <row r="13173" spans="1:5" x14ac:dyDescent="0.55000000000000004">
      <c r="A13173" t="str">
        <f>TEST_DATA!A13173</f>
        <v>27AAAAA13173Z5</v>
      </c>
      <c r="B13173" t="str">
        <f>TEST_DATA!B13173</f>
        <v>Jan-2018</v>
      </c>
      <c r="C13173">
        <f>TEST_DATA!C13173</f>
        <v>43005</v>
      </c>
      <c r="D13173" t="str">
        <f>TEST_DATA!D13173</f>
        <v>NON-NIL</v>
      </c>
      <c r="E13173">
        <f>TEST_DATA!E13173</f>
        <v>121</v>
      </c>
    </row>
    <row r="13174" spans="1:5" x14ac:dyDescent="0.55000000000000004">
      <c r="A13174" t="str">
        <f>TEST_DATA!A13174</f>
        <v>27AAAAA13174Z5</v>
      </c>
      <c r="B13174" t="str">
        <f>TEST_DATA!B13174</f>
        <v>Sep-2017</v>
      </c>
      <c r="C13174">
        <f>TEST_DATA!C13174</f>
        <v>44163</v>
      </c>
      <c r="D13174" t="str">
        <f>TEST_DATA!D13174</f>
        <v>NIL</v>
      </c>
      <c r="E13174">
        <f>TEST_DATA!E13174</f>
        <v>1206</v>
      </c>
    </row>
    <row r="13175" spans="1:5" x14ac:dyDescent="0.55000000000000004">
      <c r="A13175" t="str">
        <f>TEST_DATA!A13175</f>
        <v>27AAAAA13175Z5</v>
      </c>
      <c r="B13175" t="str">
        <f>TEST_DATA!B13175</f>
        <v>Sep-2018</v>
      </c>
      <c r="C13175">
        <f>TEST_DATA!C13175</f>
        <v>43940</v>
      </c>
      <c r="D13175" t="str">
        <f>TEST_DATA!D13175</f>
        <v>NIL</v>
      </c>
      <c r="E13175">
        <f>TEST_DATA!E13175</f>
        <v>2584</v>
      </c>
    </row>
    <row r="13176" spans="1:5" x14ac:dyDescent="0.55000000000000004">
      <c r="A13176" t="str">
        <f>TEST_DATA!A13176</f>
        <v>27AAAAA13176Z5</v>
      </c>
      <c r="B13176" t="str">
        <f>TEST_DATA!B13176</f>
        <v>Jun-2020</v>
      </c>
      <c r="C13176">
        <f>TEST_DATA!C13176</f>
        <v>44786</v>
      </c>
      <c r="D13176" t="str">
        <f>TEST_DATA!D13176</f>
        <v>NON-NIL</v>
      </c>
      <c r="E13176">
        <f>TEST_DATA!E13176</f>
        <v>406</v>
      </c>
    </row>
    <row r="13177" spans="1:5" x14ac:dyDescent="0.55000000000000004">
      <c r="A13177" t="str">
        <f>TEST_DATA!A13177</f>
        <v>27AAAAA13177Z5</v>
      </c>
      <c r="B13177" t="str">
        <f>TEST_DATA!B13177</f>
        <v>Jun-2019</v>
      </c>
      <c r="C13177">
        <f>TEST_DATA!C13177</f>
        <v>45088</v>
      </c>
      <c r="D13177" t="str">
        <f>TEST_DATA!D13177</f>
        <v>NIL</v>
      </c>
      <c r="E13177">
        <f>TEST_DATA!E13177</f>
        <v>427</v>
      </c>
    </row>
    <row r="13178" spans="1:5" x14ac:dyDescent="0.55000000000000004">
      <c r="A13178" t="str">
        <f>TEST_DATA!A13178</f>
        <v>27AAAAA13178Z5</v>
      </c>
      <c r="B13178" t="str">
        <f>TEST_DATA!B13178</f>
        <v>Jul-2017</v>
      </c>
      <c r="C13178">
        <f>TEST_DATA!C13178</f>
        <v>44070</v>
      </c>
      <c r="D13178" t="str">
        <f>TEST_DATA!D13178</f>
        <v>NON-NIL</v>
      </c>
      <c r="E13178">
        <f>TEST_DATA!E13178</f>
        <v>770</v>
      </c>
    </row>
    <row r="13179" spans="1:5" x14ac:dyDescent="0.55000000000000004">
      <c r="A13179" t="str">
        <f>TEST_DATA!A13179</f>
        <v>27AAAAA13179Z5</v>
      </c>
      <c r="B13179" t="str">
        <f>TEST_DATA!B13179</f>
        <v>Jul-2018</v>
      </c>
      <c r="C13179">
        <f>TEST_DATA!C13179</f>
        <v>43859</v>
      </c>
      <c r="D13179" t="str">
        <f>TEST_DATA!D13179</f>
        <v>NIL</v>
      </c>
      <c r="E13179">
        <f>TEST_DATA!E13179</f>
        <v>2070</v>
      </c>
    </row>
    <row r="13180" spans="1:5" x14ac:dyDescent="0.55000000000000004">
      <c r="A13180" t="str">
        <f>TEST_DATA!A13180</f>
        <v>27AAAAA13180Z5</v>
      </c>
      <c r="B13180" t="str">
        <f>TEST_DATA!B13180</f>
        <v>May-2020</v>
      </c>
      <c r="C13180">
        <f>TEST_DATA!C13180</f>
        <v>43970</v>
      </c>
      <c r="D13180" t="str">
        <f>TEST_DATA!D13180</f>
        <v>NON-NIL</v>
      </c>
      <c r="E13180">
        <f>TEST_DATA!E13180</f>
        <v>2230</v>
      </c>
    </row>
    <row r="13181" spans="1:5" x14ac:dyDescent="0.55000000000000004">
      <c r="A13181" t="str">
        <f>TEST_DATA!A13181</f>
        <v>27AAAAA13181Z5</v>
      </c>
      <c r="B13181" t="str">
        <f>TEST_DATA!B13181</f>
        <v>Mar-2020</v>
      </c>
      <c r="C13181">
        <f>TEST_DATA!C13181</f>
        <v>44624</v>
      </c>
      <c r="D13181" t="str">
        <f>TEST_DATA!D13181</f>
        <v>NIL</v>
      </c>
      <c r="E13181">
        <f>TEST_DATA!E13181</f>
        <v>56</v>
      </c>
    </row>
    <row r="13182" spans="1:5" x14ac:dyDescent="0.55000000000000004">
      <c r="A13182" t="str">
        <f>TEST_DATA!A13182</f>
        <v>27AAAAA13182Z5</v>
      </c>
      <c r="B13182" t="str">
        <f>TEST_DATA!B13182</f>
        <v>Jul-2018</v>
      </c>
      <c r="C13182">
        <f>TEST_DATA!C13182</f>
        <v>44504</v>
      </c>
      <c r="D13182" t="str">
        <f>TEST_DATA!D13182</f>
        <v>NON-NIL</v>
      </c>
      <c r="E13182">
        <f>TEST_DATA!E13182</f>
        <v>2065</v>
      </c>
    </row>
    <row r="13183" spans="1:5" x14ac:dyDescent="0.55000000000000004">
      <c r="A13183" t="str">
        <f>TEST_DATA!A13183</f>
        <v>27AAAAA13183Z5</v>
      </c>
      <c r="B13183" t="str">
        <f>TEST_DATA!B13183</f>
        <v>Jun-2020</v>
      </c>
      <c r="C13183">
        <f>TEST_DATA!C13183</f>
        <v>44903</v>
      </c>
      <c r="D13183" t="str">
        <f>TEST_DATA!D13183</f>
        <v>NIL</v>
      </c>
      <c r="E13183">
        <f>TEST_DATA!E13183</f>
        <v>653</v>
      </c>
    </row>
    <row r="13184" spans="1:5" x14ac:dyDescent="0.55000000000000004">
      <c r="A13184" t="str">
        <f>TEST_DATA!A13184</f>
        <v>27AAAAA13184Z5</v>
      </c>
      <c r="B13184" t="str">
        <f>TEST_DATA!B13184</f>
        <v>Jan-2019</v>
      </c>
      <c r="C13184">
        <f>TEST_DATA!C13184</f>
        <v>43658</v>
      </c>
      <c r="D13184" t="str">
        <f>TEST_DATA!D13184</f>
        <v>NON-NIL</v>
      </c>
      <c r="E13184">
        <f>TEST_DATA!E13184</f>
        <v>2977</v>
      </c>
    </row>
    <row r="13185" spans="1:5" x14ac:dyDescent="0.55000000000000004">
      <c r="A13185" t="str">
        <f>TEST_DATA!A13185</f>
        <v>27AAAAA13185Z5</v>
      </c>
      <c r="B13185" t="str">
        <f>TEST_DATA!B13185</f>
        <v>Mar-2023</v>
      </c>
      <c r="C13185">
        <f>TEST_DATA!C13185</f>
        <v>44135</v>
      </c>
      <c r="D13185" t="str">
        <f>TEST_DATA!D13185</f>
        <v>NON-NIL</v>
      </c>
      <c r="E13185">
        <f>TEST_DATA!E13185</f>
        <v>703</v>
      </c>
    </row>
    <row r="13186" spans="1:5" x14ac:dyDescent="0.55000000000000004">
      <c r="A13186" t="str">
        <f>TEST_DATA!A13186</f>
        <v>27AAAAA13186Z5</v>
      </c>
      <c r="B13186" t="str">
        <f>TEST_DATA!B13186</f>
        <v>Dec-2019</v>
      </c>
      <c r="C13186">
        <f>TEST_DATA!C13186</f>
        <v>44556</v>
      </c>
      <c r="D13186" t="str">
        <f>TEST_DATA!D13186</f>
        <v>NON-NIL</v>
      </c>
      <c r="E13186">
        <f>TEST_DATA!E13186</f>
        <v>1321</v>
      </c>
    </row>
    <row r="13187" spans="1:5" x14ac:dyDescent="0.55000000000000004">
      <c r="A13187" t="str">
        <f>TEST_DATA!A13187</f>
        <v>27AAAAA13187Z5</v>
      </c>
      <c r="B13187" t="str">
        <f>TEST_DATA!B13187</f>
        <v>Jun-2019</v>
      </c>
      <c r="C13187">
        <f>TEST_DATA!C13187</f>
        <v>43561</v>
      </c>
      <c r="D13187" t="str">
        <f>TEST_DATA!D13187</f>
        <v>NON-NIL</v>
      </c>
      <c r="E13187">
        <f>TEST_DATA!E13187</f>
        <v>2236</v>
      </c>
    </row>
    <row r="13188" spans="1:5" x14ac:dyDescent="0.55000000000000004">
      <c r="A13188" t="str">
        <f>TEST_DATA!A13188</f>
        <v>27AAAAA13188Z5</v>
      </c>
      <c r="B13188" t="str">
        <f>TEST_DATA!B13188</f>
        <v>Mar-2021</v>
      </c>
      <c r="C13188">
        <f>TEST_DATA!C13188</f>
        <v>43773</v>
      </c>
      <c r="D13188" t="str">
        <f>TEST_DATA!D13188</f>
        <v>NON-NIL</v>
      </c>
      <c r="E13188">
        <f>TEST_DATA!E13188</f>
        <v>2444</v>
      </c>
    </row>
    <row r="13189" spans="1:5" x14ac:dyDescent="0.55000000000000004">
      <c r="A13189" t="str">
        <f>TEST_DATA!A13189</f>
        <v>27AAAAA13189Z5</v>
      </c>
      <c r="B13189" t="str">
        <f>TEST_DATA!B13189</f>
        <v>Nov-2017</v>
      </c>
      <c r="C13189">
        <f>TEST_DATA!C13189</f>
        <v>43238</v>
      </c>
      <c r="D13189" t="str">
        <f>TEST_DATA!D13189</f>
        <v>NON-NIL</v>
      </c>
      <c r="E13189">
        <f>TEST_DATA!E13189</f>
        <v>413</v>
      </c>
    </row>
    <row r="13190" spans="1:5" x14ac:dyDescent="0.55000000000000004">
      <c r="A13190" t="str">
        <f>TEST_DATA!A13190</f>
        <v>27AAAAA13190Z5</v>
      </c>
      <c r="B13190" t="str">
        <f>TEST_DATA!B13190</f>
        <v>Jun-2020</v>
      </c>
      <c r="C13190">
        <f>TEST_DATA!C13190</f>
        <v>44765</v>
      </c>
      <c r="D13190" t="str">
        <f>TEST_DATA!D13190</f>
        <v>NON-NIL</v>
      </c>
      <c r="E13190">
        <f>TEST_DATA!E13190</f>
        <v>34</v>
      </c>
    </row>
    <row r="13191" spans="1:5" x14ac:dyDescent="0.55000000000000004">
      <c r="A13191" t="str">
        <f>TEST_DATA!A13191</f>
        <v>27AAAAA13191Z5</v>
      </c>
      <c r="B13191" t="str">
        <f>TEST_DATA!B13191</f>
        <v>Jan-2018</v>
      </c>
      <c r="C13191">
        <f>TEST_DATA!C13191</f>
        <v>43169</v>
      </c>
      <c r="D13191" t="str">
        <f>TEST_DATA!D13191</f>
        <v>NIL</v>
      </c>
      <c r="E13191">
        <f>TEST_DATA!E13191</f>
        <v>2283</v>
      </c>
    </row>
    <row r="13192" spans="1:5" x14ac:dyDescent="0.55000000000000004">
      <c r="A13192" t="str">
        <f>TEST_DATA!A13192</f>
        <v>27AAAAA13192Z5</v>
      </c>
      <c r="B13192" t="str">
        <f>TEST_DATA!B13192</f>
        <v>Aug-2017</v>
      </c>
      <c r="C13192">
        <f>TEST_DATA!C13192</f>
        <v>44004</v>
      </c>
      <c r="D13192" t="str">
        <f>TEST_DATA!D13192</f>
        <v>NIL</v>
      </c>
      <c r="E13192">
        <f>TEST_DATA!E13192</f>
        <v>1082</v>
      </c>
    </row>
    <row r="13193" spans="1:5" x14ac:dyDescent="0.55000000000000004">
      <c r="A13193" t="str">
        <f>TEST_DATA!A13193</f>
        <v>27AAAAA13193Z5</v>
      </c>
      <c r="B13193" t="str">
        <f>TEST_DATA!B13193</f>
        <v>Dec-2019</v>
      </c>
      <c r="C13193">
        <f>TEST_DATA!C13193</f>
        <v>43483</v>
      </c>
      <c r="D13193" t="str">
        <f>TEST_DATA!D13193</f>
        <v>NON-NIL</v>
      </c>
      <c r="E13193">
        <f>TEST_DATA!E13193</f>
        <v>2971</v>
      </c>
    </row>
    <row r="13194" spans="1:5" x14ac:dyDescent="0.55000000000000004">
      <c r="A13194" t="str">
        <f>TEST_DATA!A13194</f>
        <v>27AAAAA13194Z5</v>
      </c>
      <c r="B13194" t="str">
        <f>TEST_DATA!B13194</f>
        <v>Mar-2018</v>
      </c>
      <c r="C13194">
        <f>TEST_DATA!C13194</f>
        <v>43444</v>
      </c>
      <c r="D13194" t="str">
        <f>TEST_DATA!D13194</f>
        <v>NON-NIL</v>
      </c>
      <c r="E13194">
        <f>TEST_DATA!E13194</f>
        <v>2256</v>
      </c>
    </row>
    <row r="13195" spans="1:5" x14ac:dyDescent="0.55000000000000004">
      <c r="A13195" t="str">
        <f>TEST_DATA!A13195</f>
        <v>27AAAAA13195Z5</v>
      </c>
      <c r="B13195" t="str">
        <f>TEST_DATA!B13195</f>
        <v>Mar-2020</v>
      </c>
      <c r="C13195">
        <f>TEST_DATA!C13195</f>
        <v>43922</v>
      </c>
      <c r="D13195" t="str">
        <f>TEST_DATA!D13195</f>
        <v>NON-NIL</v>
      </c>
      <c r="E13195">
        <f>TEST_DATA!E13195</f>
        <v>2187</v>
      </c>
    </row>
    <row r="13196" spans="1:5" x14ac:dyDescent="0.55000000000000004">
      <c r="A13196" t="str">
        <f>TEST_DATA!A13196</f>
        <v>27AAAAA13196Z5</v>
      </c>
      <c r="B13196" t="str">
        <f>TEST_DATA!B13196</f>
        <v>Feb-2018</v>
      </c>
      <c r="C13196">
        <f>TEST_DATA!C13196</f>
        <v>43311</v>
      </c>
      <c r="D13196" t="str">
        <f>TEST_DATA!D13196</f>
        <v>NON-NIL</v>
      </c>
      <c r="E13196">
        <f>TEST_DATA!E13196</f>
        <v>1705</v>
      </c>
    </row>
    <row r="13197" spans="1:5" x14ac:dyDescent="0.55000000000000004">
      <c r="A13197" t="str">
        <f>TEST_DATA!A13197</f>
        <v>27AAAAA13197Z5</v>
      </c>
      <c r="B13197" t="str">
        <f>TEST_DATA!B13197</f>
        <v>Dec-2024</v>
      </c>
      <c r="C13197">
        <f>TEST_DATA!C13197</f>
        <v>44769</v>
      </c>
      <c r="D13197" t="str">
        <f>TEST_DATA!D13197</f>
        <v>NON-NIL</v>
      </c>
      <c r="E13197">
        <f>TEST_DATA!E13197</f>
        <v>2834</v>
      </c>
    </row>
    <row r="13198" spans="1:5" x14ac:dyDescent="0.55000000000000004">
      <c r="A13198" t="str">
        <f>TEST_DATA!A13198</f>
        <v>27AAAAA13198Z5</v>
      </c>
      <c r="B13198" t="str">
        <f>TEST_DATA!B13198</f>
        <v>Sep-2018</v>
      </c>
      <c r="C13198">
        <f>TEST_DATA!C13198</f>
        <v>44424</v>
      </c>
      <c r="D13198" t="str">
        <f>TEST_DATA!D13198</f>
        <v>NIL</v>
      </c>
      <c r="E13198">
        <f>TEST_DATA!E13198</f>
        <v>1584</v>
      </c>
    </row>
    <row r="13199" spans="1:5" x14ac:dyDescent="0.55000000000000004">
      <c r="A13199" t="str">
        <f>TEST_DATA!A13199</f>
        <v>27AAAAA13199Z5</v>
      </c>
      <c r="B13199" t="str">
        <f>TEST_DATA!B13199</f>
        <v>Aug-2017</v>
      </c>
      <c r="C13199">
        <f>TEST_DATA!C13199</f>
        <v>43291</v>
      </c>
      <c r="D13199" t="str">
        <f>TEST_DATA!D13199</f>
        <v>NIL</v>
      </c>
      <c r="E13199">
        <f>TEST_DATA!E13199</f>
        <v>886</v>
      </c>
    </row>
    <row r="13200" spans="1:5" x14ac:dyDescent="0.55000000000000004">
      <c r="A13200" t="str">
        <f>TEST_DATA!A13200</f>
        <v>27AAAAA13200Z5</v>
      </c>
      <c r="B13200" t="str">
        <f>TEST_DATA!B13200</f>
        <v>Sep-2017</v>
      </c>
      <c r="C13200">
        <f>TEST_DATA!C13200</f>
        <v>44289</v>
      </c>
      <c r="D13200" t="str">
        <f>TEST_DATA!D13200</f>
        <v>NIL</v>
      </c>
      <c r="E13200">
        <f>TEST_DATA!E13200</f>
        <v>1729</v>
      </c>
    </row>
    <row r="13201" spans="1:5" x14ac:dyDescent="0.55000000000000004">
      <c r="A13201" t="str">
        <f>TEST_DATA!A13201</f>
        <v>27AAAAA13201Z5</v>
      </c>
      <c r="B13201" t="str">
        <f>TEST_DATA!B13201</f>
        <v>Jul-2020</v>
      </c>
      <c r="C13201">
        <f>TEST_DATA!C13201</f>
        <v>44696</v>
      </c>
      <c r="D13201" t="str">
        <f>TEST_DATA!D13201</f>
        <v>NON-NIL</v>
      </c>
      <c r="E13201">
        <f>TEST_DATA!E13201</f>
        <v>1219</v>
      </c>
    </row>
    <row r="13202" spans="1:5" x14ac:dyDescent="0.55000000000000004">
      <c r="A13202" t="str">
        <f>TEST_DATA!A13202</f>
        <v>27AAAAA13202Z5</v>
      </c>
      <c r="B13202" t="str">
        <f>TEST_DATA!B13202</f>
        <v>Aug-2017</v>
      </c>
      <c r="C13202">
        <f>TEST_DATA!C13202</f>
        <v>43572</v>
      </c>
      <c r="D13202" t="str">
        <f>TEST_DATA!D13202</f>
        <v>NON-NIL</v>
      </c>
      <c r="E13202">
        <f>TEST_DATA!E13202</f>
        <v>2602</v>
      </c>
    </row>
    <row r="13203" spans="1:5" x14ac:dyDescent="0.55000000000000004">
      <c r="A13203" t="str">
        <f>TEST_DATA!A13203</f>
        <v>27AAAAA13203Z5</v>
      </c>
      <c r="B13203" t="str">
        <f>TEST_DATA!B13203</f>
        <v>Jun-2020</v>
      </c>
      <c r="C13203">
        <f>TEST_DATA!C13203</f>
        <v>44452</v>
      </c>
      <c r="D13203" t="str">
        <f>TEST_DATA!D13203</f>
        <v>NIL</v>
      </c>
      <c r="E13203">
        <f>TEST_DATA!E13203</f>
        <v>2622</v>
      </c>
    </row>
    <row r="13204" spans="1:5" x14ac:dyDescent="0.55000000000000004">
      <c r="A13204" t="str">
        <f>TEST_DATA!A13204</f>
        <v>27AAAAA13204Z5</v>
      </c>
      <c r="B13204" t="str">
        <f>TEST_DATA!B13204</f>
        <v>Jul-2017</v>
      </c>
      <c r="C13204">
        <f>TEST_DATA!C13204</f>
        <v>44004</v>
      </c>
      <c r="D13204" t="str">
        <f>TEST_DATA!D13204</f>
        <v>NON-NIL</v>
      </c>
      <c r="E13204">
        <f>TEST_DATA!E13204</f>
        <v>2968</v>
      </c>
    </row>
    <row r="13205" spans="1:5" x14ac:dyDescent="0.55000000000000004">
      <c r="A13205" t="str">
        <f>TEST_DATA!A13205</f>
        <v>27AAAAA13205Z5</v>
      </c>
      <c r="B13205" t="str">
        <f>TEST_DATA!B13205</f>
        <v>Dec-2019</v>
      </c>
      <c r="C13205">
        <f>TEST_DATA!C13205</f>
        <v>43501</v>
      </c>
      <c r="D13205" t="str">
        <f>TEST_DATA!D13205</f>
        <v>NIL</v>
      </c>
      <c r="E13205">
        <f>TEST_DATA!E13205</f>
        <v>1823</v>
      </c>
    </row>
    <row r="13206" spans="1:5" x14ac:dyDescent="0.55000000000000004">
      <c r="A13206" t="str">
        <f>TEST_DATA!A13206</f>
        <v>27AAAAA13206Z5</v>
      </c>
      <c r="B13206" t="str">
        <f>TEST_DATA!B13206</f>
        <v>Jun-2019</v>
      </c>
      <c r="C13206">
        <f>TEST_DATA!C13206</f>
        <v>44174</v>
      </c>
      <c r="D13206" t="str">
        <f>TEST_DATA!D13206</f>
        <v>NON-NIL</v>
      </c>
      <c r="E13206">
        <f>TEST_DATA!E13206</f>
        <v>2891</v>
      </c>
    </row>
    <row r="13207" spans="1:5" x14ac:dyDescent="0.55000000000000004">
      <c r="A13207" t="str">
        <f>TEST_DATA!A13207</f>
        <v>27AAAAA13207Z5</v>
      </c>
      <c r="B13207" t="str">
        <f>TEST_DATA!B13207</f>
        <v>Dec-2022</v>
      </c>
      <c r="C13207">
        <f>TEST_DATA!C13207</f>
        <v>44453</v>
      </c>
      <c r="D13207" t="str">
        <f>TEST_DATA!D13207</f>
        <v>NON-NIL</v>
      </c>
      <c r="E13207">
        <f>TEST_DATA!E13207</f>
        <v>437</v>
      </c>
    </row>
    <row r="13208" spans="1:5" x14ac:dyDescent="0.55000000000000004">
      <c r="A13208" t="str">
        <f>TEST_DATA!A13208</f>
        <v>27AAAAA13208Z5</v>
      </c>
      <c r="B13208" t="str">
        <f>TEST_DATA!B13208</f>
        <v>Nov-2017</v>
      </c>
      <c r="C13208">
        <f>TEST_DATA!C13208</f>
        <v>43773</v>
      </c>
      <c r="D13208" t="str">
        <f>TEST_DATA!D13208</f>
        <v>NON-NIL</v>
      </c>
      <c r="E13208">
        <f>TEST_DATA!E13208</f>
        <v>94</v>
      </c>
    </row>
    <row r="13209" spans="1:5" x14ac:dyDescent="0.55000000000000004">
      <c r="A13209" t="str">
        <f>TEST_DATA!A13209</f>
        <v>27AAAAA13209Z5</v>
      </c>
      <c r="B13209" t="str">
        <f>TEST_DATA!B13209</f>
        <v>Apr-2018</v>
      </c>
      <c r="C13209">
        <f>TEST_DATA!C13209</f>
        <v>43081</v>
      </c>
      <c r="D13209" t="str">
        <f>TEST_DATA!D13209</f>
        <v>NON-NIL</v>
      </c>
      <c r="E13209">
        <f>TEST_DATA!E13209</f>
        <v>1310</v>
      </c>
    </row>
    <row r="13210" spans="1:5" x14ac:dyDescent="0.55000000000000004">
      <c r="A13210" t="str">
        <f>TEST_DATA!A13210</f>
        <v>27AAAAA13210Z5</v>
      </c>
      <c r="B13210" t="str">
        <f>TEST_DATA!B13210</f>
        <v>Jan-2019</v>
      </c>
      <c r="C13210">
        <f>TEST_DATA!C13210</f>
        <v>45679</v>
      </c>
      <c r="D13210" t="str">
        <f>TEST_DATA!D13210</f>
        <v>NIL</v>
      </c>
      <c r="E13210">
        <f>TEST_DATA!E13210</f>
        <v>962</v>
      </c>
    </row>
    <row r="13211" spans="1:5" x14ac:dyDescent="0.55000000000000004">
      <c r="A13211" t="str">
        <f>TEST_DATA!A13211</f>
        <v>27AAAAA13211Z5</v>
      </c>
      <c r="B13211" t="str">
        <f>TEST_DATA!B13211</f>
        <v>May-2020</v>
      </c>
      <c r="C13211">
        <f>TEST_DATA!C13211</f>
        <v>44731</v>
      </c>
      <c r="D13211" t="str">
        <f>TEST_DATA!D13211</f>
        <v>NIL</v>
      </c>
      <c r="E13211">
        <f>TEST_DATA!E13211</f>
        <v>2926</v>
      </c>
    </row>
    <row r="13212" spans="1:5" x14ac:dyDescent="0.55000000000000004">
      <c r="A13212" t="str">
        <f>TEST_DATA!A13212</f>
        <v>27AAAAA13212Z5</v>
      </c>
      <c r="B13212" t="str">
        <f>TEST_DATA!B13212</f>
        <v>Sep-2017</v>
      </c>
      <c r="C13212">
        <f>TEST_DATA!C13212</f>
        <v>43498</v>
      </c>
      <c r="D13212" t="str">
        <f>TEST_DATA!D13212</f>
        <v>NIL</v>
      </c>
      <c r="E13212">
        <f>TEST_DATA!E13212</f>
        <v>489</v>
      </c>
    </row>
    <row r="13213" spans="1:5" x14ac:dyDescent="0.55000000000000004">
      <c r="A13213" t="str">
        <f>TEST_DATA!A13213</f>
        <v>27AAAAA13213Z5</v>
      </c>
      <c r="B13213" t="str">
        <f>TEST_DATA!B13213</f>
        <v>Dec-2022</v>
      </c>
      <c r="C13213">
        <f>TEST_DATA!C13213</f>
        <v>45423</v>
      </c>
      <c r="D13213" t="str">
        <f>TEST_DATA!D13213</f>
        <v>NON-NIL</v>
      </c>
      <c r="E13213">
        <f>TEST_DATA!E13213</f>
        <v>1588</v>
      </c>
    </row>
    <row r="13214" spans="1:5" x14ac:dyDescent="0.55000000000000004">
      <c r="A13214" t="str">
        <f>TEST_DATA!A13214</f>
        <v>27AAAAA13214Z5</v>
      </c>
      <c r="B13214" t="str">
        <f>TEST_DATA!B13214</f>
        <v>Nov-2017</v>
      </c>
      <c r="C13214">
        <f>TEST_DATA!C13214</f>
        <v>43470</v>
      </c>
      <c r="D13214" t="str">
        <f>TEST_DATA!D13214</f>
        <v>NON-NIL</v>
      </c>
      <c r="E13214">
        <f>TEST_DATA!E13214</f>
        <v>2433</v>
      </c>
    </row>
    <row r="13215" spans="1:5" x14ac:dyDescent="0.55000000000000004">
      <c r="A13215" t="str">
        <f>TEST_DATA!A13215</f>
        <v>27AAAAA13215Z5</v>
      </c>
      <c r="B13215" t="str">
        <f>TEST_DATA!B13215</f>
        <v>Apr-2020</v>
      </c>
      <c r="C13215">
        <f>TEST_DATA!C13215</f>
        <v>44395</v>
      </c>
      <c r="D13215" t="str">
        <f>TEST_DATA!D13215</f>
        <v>NON-NIL</v>
      </c>
      <c r="E13215">
        <f>TEST_DATA!E13215</f>
        <v>1008</v>
      </c>
    </row>
    <row r="13216" spans="1:5" x14ac:dyDescent="0.55000000000000004">
      <c r="A13216" t="str">
        <f>TEST_DATA!A13216</f>
        <v>27AAAAA13216Z5</v>
      </c>
      <c r="B13216" t="str">
        <f>TEST_DATA!B13216</f>
        <v>Jan-2018</v>
      </c>
      <c r="C13216">
        <f>TEST_DATA!C13216</f>
        <v>43144</v>
      </c>
      <c r="D13216" t="str">
        <f>TEST_DATA!D13216</f>
        <v>NON-NIL</v>
      </c>
      <c r="E13216">
        <f>TEST_DATA!E13216</f>
        <v>2230</v>
      </c>
    </row>
    <row r="13217" spans="1:5" x14ac:dyDescent="0.55000000000000004">
      <c r="A13217" t="str">
        <f>TEST_DATA!A13217</f>
        <v>27AAAAA13217Z5</v>
      </c>
      <c r="B13217" t="str">
        <f>TEST_DATA!B13217</f>
        <v>Dec-2017</v>
      </c>
      <c r="C13217">
        <f>TEST_DATA!C13217</f>
        <v>43837</v>
      </c>
      <c r="D13217" t="str">
        <f>TEST_DATA!D13217</f>
        <v>NIL</v>
      </c>
      <c r="E13217">
        <f>TEST_DATA!E13217</f>
        <v>2958</v>
      </c>
    </row>
    <row r="13218" spans="1:5" x14ac:dyDescent="0.55000000000000004">
      <c r="A13218" t="str">
        <f>TEST_DATA!A13218</f>
        <v>27AAAAA13218Z5</v>
      </c>
      <c r="B13218" t="str">
        <f>TEST_DATA!B13218</f>
        <v>Apr-2021</v>
      </c>
      <c r="C13218">
        <f>TEST_DATA!C13218</f>
        <v>43625</v>
      </c>
      <c r="D13218" t="str">
        <f>TEST_DATA!D13218</f>
        <v>NON-NIL</v>
      </c>
      <c r="E13218">
        <f>TEST_DATA!E13218</f>
        <v>2659</v>
      </c>
    </row>
    <row r="13219" spans="1:5" x14ac:dyDescent="0.55000000000000004">
      <c r="A13219" t="str">
        <f>TEST_DATA!A13219</f>
        <v>27AAAAA13219Z5</v>
      </c>
      <c r="B13219" t="str">
        <f>TEST_DATA!B13219</f>
        <v>Mar-2023</v>
      </c>
      <c r="C13219">
        <f>TEST_DATA!C13219</f>
        <v>45422</v>
      </c>
      <c r="D13219" t="str">
        <f>TEST_DATA!D13219</f>
        <v>NON-NIL</v>
      </c>
      <c r="E13219">
        <f>TEST_DATA!E13219</f>
        <v>1780</v>
      </c>
    </row>
    <row r="13220" spans="1:5" x14ac:dyDescent="0.55000000000000004">
      <c r="A13220" t="str">
        <f>TEST_DATA!A13220</f>
        <v>27AAAAA13220Z5</v>
      </c>
      <c r="B13220" t="str">
        <f>TEST_DATA!B13220</f>
        <v>Nov-2017</v>
      </c>
      <c r="C13220">
        <f>TEST_DATA!C13220</f>
        <v>42982</v>
      </c>
      <c r="D13220" t="str">
        <f>TEST_DATA!D13220</f>
        <v>NON-NIL</v>
      </c>
      <c r="E13220">
        <f>TEST_DATA!E13220</f>
        <v>57</v>
      </c>
    </row>
    <row r="13221" spans="1:5" x14ac:dyDescent="0.55000000000000004">
      <c r="A13221" t="str">
        <f>TEST_DATA!A13221</f>
        <v>27AAAAA13221Z5</v>
      </c>
      <c r="B13221" t="str">
        <f>TEST_DATA!B13221</f>
        <v>Sep-2018</v>
      </c>
      <c r="C13221">
        <f>TEST_DATA!C13221</f>
        <v>43983</v>
      </c>
      <c r="D13221" t="str">
        <f>TEST_DATA!D13221</f>
        <v>NON-NIL</v>
      </c>
      <c r="E13221">
        <f>TEST_DATA!E13221</f>
        <v>2928</v>
      </c>
    </row>
    <row r="13222" spans="1:5" x14ac:dyDescent="0.55000000000000004">
      <c r="A13222" t="str">
        <f>TEST_DATA!A13222</f>
        <v>27AAAAA13222Z5</v>
      </c>
      <c r="B13222" t="str">
        <f>TEST_DATA!B13222</f>
        <v>Jul-2018</v>
      </c>
      <c r="C13222">
        <f>TEST_DATA!C13222</f>
        <v>43435</v>
      </c>
      <c r="D13222" t="str">
        <f>TEST_DATA!D13222</f>
        <v>NIL</v>
      </c>
      <c r="E13222">
        <f>TEST_DATA!E13222</f>
        <v>470</v>
      </c>
    </row>
    <row r="13223" spans="1:5" x14ac:dyDescent="0.55000000000000004">
      <c r="A13223" t="str">
        <f>TEST_DATA!A13223</f>
        <v>27AAAAA13223Z5</v>
      </c>
      <c r="B13223" t="str">
        <f>TEST_DATA!B13223</f>
        <v>May-2018</v>
      </c>
      <c r="C13223">
        <f>TEST_DATA!C13223</f>
        <v>43822</v>
      </c>
      <c r="D13223" t="str">
        <f>TEST_DATA!D13223</f>
        <v>NON-NIL</v>
      </c>
      <c r="E13223">
        <f>TEST_DATA!E13223</f>
        <v>1205</v>
      </c>
    </row>
    <row r="13224" spans="1:5" x14ac:dyDescent="0.55000000000000004">
      <c r="A13224" t="str">
        <f>TEST_DATA!A13224</f>
        <v>27AAAAA13224Z5</v>
      </c>
      <c r="B13224" t="str">
        <f>TEST_DATA!B13224</f>
        <v>Aug-2018</v>
      </c>
      <c r="C13224">
        <f>TEST_DATA!C13224</f>
        <v>43707</v>
      </c>
      <c r="D13224" t="str">
        <f>TEST_DATA!D13224</f>
        <v>NIL</v>
      </c>
      <c r="E13224">
        <f>TEST_DATA!E13224</f>
        <v>478</v>
      </c>
    </row>
    <row r="13225" spans="1:5" x14ac:dyDescent="0.55000000000000004">
      <c r="A13225" t="str">
        <f>TEST_DATA!A13225</f>
        <v>27AAAAA13225Z5</v>
      </c>
      <c r="B13225" t="str">
        <f>TEST_DATA!B13225</f>
        <v>Apr-2020</v>
      </c>
      <c r="C13225">
        <f>TEST_DATA!C13225</f>
        <v>44825</v>
      </c>
      <c r="D13225" t="str">
        <f>TEST_DATA!D13225</f>
        <v>NON-NIL</v>
      </c>
      <c r="E13225">
        <f>TEST_DATA!E13225</f>
        <v>1750</v>
      </c>
    </row>
    <row r="13226" spans="1:5" x14ac:dyDescent="0.55000000000000004">
      <c r="A13226" t="str">
        <f>TEST_DATA!A13226</f>
        <v>27AAAAA13226Z5</v>
      </c>
      <c r="B13226" t="str">
        <f>TEST_DATA!B13226</f>
        <v>May-2018</v>
      </c>
      <c r="C13226">
        <f>TEST_DATA!C13226</f>
        <v>44209</v>
      </c>
      <c r="D13226" t="str">
        <f>TEST_DATA!D13226</f>
        <v>NIL</v>
      </c>
      <c r="E13226">
        <f>TEST_DATA!E13226</f>
        <v>1294</v>
      </c>
    </row>
    <row r="13227" spans="1:5" x14ac:dyDescent="0.55000000000000004">
      <c r="A13227" t="str">
        <f>TEST_DATA!A13227</f>
        <v>27AAAAA13227Z5</v>
      </c>
      <c r="B13227" t="str">
        <f>TEST_DATA!B13227</f>
        <v>Dec-2024</v>
      </c>
      <c r="C13227">
        <f>TEST_DATA!C13227</f>
        <v>44873</v>
      </c>
      <c r="D13227" t="str">
        <f>TEST_DATA!D13227</f>
        <v>NON-NIL</v>
      </c>
      <c r="E13227">
        <f>TEST_DATA!E13227</f>
        <v>613</v>
      </c>
    </row>
    <row r="13228" spans="1:5" x14ac:dyDescent="0.55000000000000004">
      <c r="A13228" t="str">
        <f>TEST_DATA!A13228</f>
        <v>27AAAAA13228Z5</v>
      </c>
      <c r="B13228" t="str">
        <f>TEST_DATA!B13228</f>
        <v>Mar-2018</v>
      </c>
      <c r="C13228">
        <f>TEST_DATA!C13228</f>
        <v>43601</v>
      </c>
      <c r="D13228" t="str">
        <f>TEST_DATA!D13228</f>
        <v>NON-NIL</v>
      </c>
      <c r="E13228">
        <f>TEST_DATA!E13228</f>
        <v>1646</v>
      </c>
    </row>
    <row r="13229" spans="1:5" x14ac:dyDescent="0.55000000000000004">
      <c r="A13229" t="str">
        <f>TEST_DATA!A13229</f>
        <v>27AAAAA13229Z5</v>
      </c>
      <c r="B13229" t="str">
        <f>TEST_DATA!B13229</f>
        <v>Sep-2018</v>
      </c>
      <c r="C13229">
        <f>TEST_DATA!C13229</f>
        <v>43274</v>
      </c>
      <c r="D13229" t="str">
        <f>TEST_DATA!D13229</f>
        <v>NIL</v>
      </c>
      <c r="E13229">
        <f>TEST_DATA!E13229</f>
        <v>2345</v>
      </c>
    </row>
    <row r="13230" spans="1:5" x14ac:dyDescent="0.55000000000000004">
      <c r="A13230" t="str">
        <f>TEST_DATA!A13230</f>
        <v>27AAAAA13230Z5</v>
      </c>
      <c r="B13230" t="str">
        <f>TEST_DATA!B13230</f>
        <v>Apr-2020</v>
      </c>
      <c r="C13230">
        <f>TEST_DATA!C13230</f>
        <v>43943</v>
      </c>
      <c r="D13230" t="str">
        <f>TEST_DATA!D13230</f>
        <v>NON-NIL</v>
      </c>
      <c r="E13230">
        <f>TEST_DATA!E13230</f>
        <v>663</v>
      </c>
    </row>
    <row r="13231" spans="1:5" x14ac:dyDescent="0.55000000000000004">
      <c r="A13231" t="str">
        <f>TEST_DATA!A13231</f>
        <v>27AAAAA13231Z5</v>
      </c>
      <c r="B13231" t="str">
        <f>TEST_DATA!B13231</f>
        <v>Nov-2017</v>
      </c>
      <c r="C13231">
        <f>TEST_DATA!C13231</f>
        <v>44388</v>
      </c>
      <c r="D13231" t="str">
        <f>TEST_DATA!D13231</f>
        <v>NON-NIL</v>
      </c>
      <c r="E13231">
        <f>TEST_DATA!E13231</f>
        <v>1934</v>
      </c>
    </row>
    <row r="13232" spans="1:5" x14ac:dyDescent="0.55000000000000004">
      <c r="A13232" t="str">
        <f>TEST_DATA!A13232</f>
        <v>27AAAAA13232Z5</v>
      </c>
      <c r="B13232" t="str">
        <f>TEST_DATA!B13232</f>
        <v>Apr-2020</v>
      </c>
      <c r="C13232">
        <f>TEST_DATA!C13232</f>
        <v>44386</v>
      </c>
      <c r="D13232" t="str">
        <f>TEST_DATA!D13232</f>
        <v>NIL</v>
      </c>
      <c r="E13232">
        <f>TEST_DATA!E13232</f>
        <v>1775</v>
      </c>
    </row>
    <row r="13233" spans="1:5" x14ac:dyDescent="0.55000000000000004">
      <c r="A13233" t="str">
        <f>TEST_DATA!A13233</f>
        <v>27AAAAA13233Z5</v>
      </c>
      <c r="B13233" t="str">
        <f>TEST_DATA!B13233</f>
        <v>Jun-2020</v>
      </c>
      <c r="C13233">
        <f>TEST_DATA!C13233</f>
        <v>43879</v>
      </c>
      <c r="D13233" t="str">
        <f>TEST_DATA!D13233</f>
        <v>NIL</v>
      </c>
      <c r="E13233">
        <f>TEST_DATA!E13233</f>
        <v>1287</v>
      </c>
    </row>
    <row r="13234" spans="1:5" x14ac:dyDescent="0.55000000000000004">
      <c r="A13234" t="str">
        <f>TEST_DATA!A13234</f>
        <v>27AAAAA13234Z5</v>
      </c>
      <c r="B13234" t="str">
        <f>TEST_DATA!B13234</f>
        <v>Mar-2021</v>
      </c>
      <c r="C13234">
        <f>TEST_DATA!C13234</f>
        <v>44530</v>
      </c>
      <c r="D13234" t="str">
        <f>TEST_DATA!D13234</f>
        <v>NIL</v>
      </c>
      <c r="E13234">
        <f>TEST_DATA!E13234</f>
        <v>932</v>
      </c>
    </row>
    <row r="13235" spans="1:5" x14ac:dyDescent="0.55000000000000004">
      <c r="A13235" t="str">
        <f>TEST_DATA!A13235</f>
        <v>27AAAAA13235Z5</v>
      </c>
      <c r="B13235" t="str">
        <f>TEST_DATA!B13235</f>
        <v>Jun-2019</v>
      </c>
      <c r="C13235">
        <f>TEST_DATA!C13235</f>
        <v>44136</v>
      </c>
      <c r="D13235" t="str">
        <f>TEST_DATA!D13235</f>
        <v>NON-NIL</v>
      </c>
      <c r="E13235">
        <f>TEST_DATA!E13235</f>
        <v>2937</v>
      </c>
    </row>
    <row r="13236" spans="1:5" x14ac:dyDescent="0.55000000000000004">
      <c r="A13236" t="str">
        <f>TEST_DATA!A13236</f>
        <v>27AAAAA13236Z5</v>
      </c>
      <c r="B13236" t="str">
        <f>TEST_DATA!B13236</f>
        <v>Feb-2018</v>
      </c>
      <c r="C13236">
        <f>TEST_DATA!C13236</f>
        <v>44057</v>
      </c>
      <c r="D13236" t="str">
        <f>TEST_DATA!D13236</f>
        <v>NON-NIL</v>
      </c>
      <c r="E13236">
        <f>TEST_DATA!E13236</f>
        <v>2748</v>
      </c>
    </row>
    <row r="13237" spans="1:5" x14ac:dyDescent="0.55000000000000004">
      <c r="A13237" t="str">
        <f>TEST_DATA!A13237</f>
        <v>27AAAAA13237Z5</v>
      </c>
      <c r="B13237" t="str">
        <f>TEST_DATA!B13237</f>
        <v>Dec-2019</v>
      </c>
      <c r="C13237">
        <f>TEST_DATA!C13237</f>
        <v>45618</v>
      </c>
      <c r="D13237" t="str">
        <f>TEST_DATA!D13237</f>
        <v>NIL</v>
      </c>
      <c r="E13237">
        <f>TEST_DATA!E13237</f>
        <v>969</v>
      </c>
    </row>
    <row r="13238" spans="1:5" x14ac:dyDescent="0.55000000000000004">
      <c r="A13238" t="str">
        <f>TEST_DATA!A13238</f>
        <v>27AAAAA13238Z5</v>
      </c>
      <c r="B13238" t="str">
        <f>TEST_DATA!B13238</f>
        <v>Apr-2020</v>
      </c>
      <c r="C13238">
        <f>TEST_DATA!C13238</f>
        <v>44107</v>
      </c>
      <c r="D13238" t="str">
        <f>TEST_DATA!D13238</f>
        <v>NIL</v>
      </c>
      <c r="E13238">
        <f>TEST_DATA!E13238</f>
        <v>2197</v>
      </c>
    </row>
    <row r="13239" spans="1:5" x14ac:dyDescent="0.55000000000000004">
      <c r="A13239" t="str">
        <f>TEST_DATA!A13239</f>
        <v>27AAAAA13239Z5</v>
      </c>
      <c r="B13239" t="str">
        <f>TEST_DATA!B13239</f>
        <v>Jun-2020</v>
      </c>
      <c r="C13239">
        <f>TEST_DATA!C13239</f>
        <v>44905</v>
      </c>
      <c r="D13239" t="str">
        <f>TEST_DATA!D13239</f>
        <v>NON-NIL</v>
      </c>
      <c r="E13239">
        <f>TEST_DATA!E13239</f>
        <v>564</v>
      </c>
    </row>
    <row r="13240" spans="1:5" x14ac:dyDescent="0.55000000000000004">
      <c r="A13240" t="str">
        <f>TEST_DATA!A13240</f>
        <v>27AAAAA13240Z5</v>
      </c>
      <c r="B13240" t="str">
        <f>TEST_DATA!B13240</f>
        <v>Nov-2017</v>
      </c>
      <c r="C13240">
        <f>TEST_DATA!C13240</f>
        <v>43650</v>
      </c>
      <c r="D13240" t="str">
        <f>TEST_DATA!D13240</f>
        <v>NON-NIL</v>
      </c>
      <c r="E13240">
        <f>TEST_DATA!E13240</f>
        <v>1733</v>
      </c>
    </row>
    <row r="13241" spans="1:5" x14ac:dyDescent="0.55000000000000004">
      <c r="A13241" t="str">
        <f>TEST_DATA!A13241</f>
        <v>27AAAAA13241Z5</v>
      </c>
      <c r="B13241" t="str">
        <f>TEST_DATA!B13241</f>
        <v>May-2020</v>
      </c>
      <c r="C13241">
        <f>TEST_DATA!C13241</f>
        <v>44857</v>
      </c>
      <c r="D13241" t="str">
        <f>TEST_DATA!D13241</f>
        <v>NON-NIL</v>
      </c>
      <c r="E13241">
        <f>TEST_DATA!E13241</f>
        <v>764</v>
      </c>
    </row>
    <row r="13242" spans="1:5" x14ac:dyDescent="0.55000000000000004">
      <c r="A13242" t="str">
        <f>TEST_DATA!A13242</f>
        <v>27AAAAA13242Z5</v>
      </c>
      <c r="B13242" t="str">
        <f>TEST_DATA!B13242</f>
        <v>Mar-2020</v>
      </c>
      <c r="C13242">
        <f>TEST_DATA!C13242</f>
        <v>44675</v>
      </c>
      <c r="D13242" t="str">
        <f>TEST_DATA!D13242</f>
        <v>NON-NIL</v>
      </c>
      <c r="E13242">
        <f>TEST_DATA!E13242</f>
        <v>355</v>
      </c>
    </row>
    <row r="13243" spans="1:5" x14ac:dyDescent="0.55000000000000004">
      <c r="A13243" t="str">
        <f>TEST_DATA!A13243</f>
        <v>27AAAAA13243Z5</v>
      </c>
      <c r="B13243" t="str">
        <f>TEST_DATA!B13243</f>
        <v>Aug-2017</v>
      </c>
      <c r="C13243">
        <f>TEST_DATA!C13243</f>
        <v>43381</v>
      </c>
      <c r="D13243" t="str">
        <f>TEST_DATA!D13243</f>
        <v>NON-NIL</v>
      </c>
      <c r="E13243">
        <f>TEST_DATA!E13243</f>
        <v>1644</v>
      </c>
    </row>
    <row r="13244" spans="1:5" x14ac:dyDescent="0.55000000000000004">
      <c r="A13244" t="str">
        <f>TEST_DATA!A13244</f>
        <v>27AAAAA13244Z5</v>
      </c>
      <c r="B13244" t="str">
        <f>TEST_DATA!B13244</f>
        <v>Jun-2018</v>
      </c>
      <c r="C13244">
        <f>TEST_DATA!C13244</f>
        <v>43935</v>
      </c>
      <c r="D13244" t="str">
        <f>TEST_DATA!D13244</f>
        <v>NON-NIL</v>
      </c>
      <c r="E13244">
        <f>TEST_DATA!E13244</f>
        <v>2627</v>
      </c>
    </row>
    <row r="13245" spans="1:5" x14ac:dyDescent="0.55000000000000004">
      <c r="A13245" t="str">
        <f>TEST_DATA!A13245</f>
        <v>27AAAAA13245Z5</v>
      </c>
      <c r="B13245" t="str">
        <f>TEST_DATA!B13245</f>
        <v>Dec-2019</v>
      </c>
      <c r="C13245">
        <f>TEST_DATA!C13245</f>
        <v>43678</v>
      </c>
      <c r="D13245" t="str">
        <f>TEST_DATA!D13245</f>
        <v>NON-NIL</v>
      </c>
      <c r="E13245">
        <f>TEST_DATA!E13245</f>
        <v>822</v>
      </c>
    </row>
    <row r="13246" spans="1:5" x14ac:dyDescent="0.55000000000000004">
      <c r="A13246" t="str">
        <f>TEST_DATA!A13246</f>
        <v>27AAAAA13246Z5</v>
      </c>
      <c r="B13246" t="str">
        <f>TEST_DATA!B13246</f>
        <v>Jan-2019</v>
      </c>
      <c r="C13246">
        <f>TEST_DATA!C13246</f>
        <v>43790</v>
      </c>
      <c r="D13246" t="str">
        <f>TEST_DATA!D13246</f>
        <v>NON-NIL</v>
      </c>
      <c r="E13246">
        <f>TEST_DATA!E13246</f>
        <v>2374</v>
      </c>
    </row>
    <row r="13247" spans="1:5" x14ac:dyDescent="0.55000000000000004">
      <c r="A13247" t="str">
        <f>TEST_DATA!A13247</f>
        <v>27AAAAA13247Z5</v>
      </c>
      <c r="B13247" t="str">
        <f>TEST_DATA!B13247</f>
        <v>Dec-2017</v>
      </c>
      <c r="C13247">
        <f>TEST_DATA!C13247</f>
        <v>43757</v>
      </c>
      <c r="D13247" t="str">
        <f>TEST_DATA!D13247</f>
        <v>NIL</v>
      </c>
      <c r="E13247">
        <f>TEST_DATA!E13247</f>
        <v>1970</v>
      </c>
    </row>
    <row r="13248" spans="1:5" x14ac:dyDescent="0.55000000000000004">
      <c r="A13248" t="str">
        <f>TEST_DATA!A13248</f>
        <v>27AAAAA13248Z5</v>
      </c>
      <c r="B13248" t="str">
        <f>TEST_DATA!B13248</f>
        <v>Feb-2018</v>
      </c>
      <c r="C13248">
        <f>TEST_DATA!C13248</f>
        <v>44200</v>
      </c>
      <c r="D13248" t="str">
        <f>TEST_DATA!D13248</f>
        <v>NON-NIL</v>
      </c>
      <c r="E13248">
        <f>TEST_DATA!E13248</f>
        <v>16</v>
      </c>
    </row>
    <row r="13249" spans="1:5" x14ac:dyDescent="0.55000000000000004">
      <c r="A13249" t="str">
        <f>TEST_DATA!A13249</f>
        <v>27AAAAA13249Z5</v>
      </c>
      <c r="B13249" t="str">
        <f>TEST_DATA!B13249</f>
        <v>May-2020</v>
      </c>
      <c r="C13249">
        <f>TEST_DATA!C13249</f>
        <v>44647</v>
      </c>
      <c r="D13249" t="str">
        <f>TEST_DATA!D13249</f>
        <v>NIL</v>
      </c>
      <c r="E13249">
        <f>TEST_DATA!E13249</f>
        <v>214</v>
      </c>
    </row>
    <row r="13250" spans="1:5" x14ac:dyDescent="0.55000000000000004">
      <c r="A13250" t="str">
        <f>TEST_DATA!A13250</f>
        <v>27AAAAA13250Z5</v>
      </c>
      <c r="B13250" t="str">
        <f>TEST_DATA!B13250</f>
        <v>Jan-2021</v>
      </c>
      <c r="C13250">
        <f>TEST_DATA!C13250</f>
        <v>43782</v>
      </c>
      <c r="D13250" t="str">
        <f>TEST_DATA!D13250</f>
        <v>NIL</v>
      </c>
      <c r="E13250">
        <f>TEST_DATA!E13250</f>
        <v>1752</v>
      </c>
    </row>
    <row r="13251" spans="1:5" x14ac:dyDescent="0.55000000000000004">
      <c r="A13251" t="str">
        <f>TEST_DATA!A13251</f>
        <v>27AAAAA13251Z5</v>
      </c>
      <c r="B13251" t="str">
        <f>TEST_DATA!B13251</f>
        <v>Aug-2018</v>
      </c>
      <c r="C13251">
        <f>TEST_DATA!C13251</f>
        <v>43501</v>
      </c>
      <c r="D13251" t="str">
        <f>TEST_DATA!D13251</f>
        <v>NON-NIL</v>
      </c>
      <c r="E13251">
        <f>TEST_DATA!E13251</f>
        <v>2607</v>
      </c>
    </row>
    <row r="13252" spans="1:5" x14ac:dyDescent="0.55000000000000004">
      <c r="A13252" t="str">
        <f>TEST_DATA!A13252</f>
        <v>27AAAAA13252Z5</v>
      </c>
      <c r="B13252" t="str">
        <f>TEST_DATA!B13252</f>
        <v>Dec-2022</v>
      </c>
      <c r="C13252">
        <f>TEST_DATA!C13252</f>
        <v>43614</v>
      </c>
      <c r="D13252" t="str">
        <f>TEST_DATA!D13252</f>
        <v>NON-NIL</v>
      </c>
      <c r="E13252">
        <f>TEST_DATA!E13252</f>
        <v>309</v>
      </c>
    </row>
    <row r="13253" spans="1:5" x14ac:dyDescent="0.55000000000000004">
      <c r="A13253" t="str">
        <f>TEST_DATA!A13253</f>
        <v>27AAAAA13253Z5</v>
      </c>
      <c r="B13253" t="str">
        <f>TEST_DATA!B13253</f>
        <v>Apr-2018</v>
      </c>
      <c r="C13253">
        <f>TEST_DATA!C13253</f>
        <v>44155</v>
      </c>
      <c r="D13253" t="str">
        <f>TEST_DATA!D13253</f>
        <v>NIL</v>
      </c>
      <c r="E13253">
        <f>TEST_DATA!E13253</f>
        <v>2320</v>
      </c>
    </row>
    <row r="13254" spans="1:5" x14ac:dyDescent="0.55000000000000004">
      <c r="A13254" t="str">
        <f>TEST_DATA!A13254</f>
        <v>27AAAAA13254Z5</v>
      </c>
      <c r="B13254" t="str">
        <f>TEST_DATA!B13254</f>
        <v>Mar-2023</v>
      </c>
      <c r="C13254">
        <f>TEST_DATA!C13254</f>
        <v>43808</v>
      </c>
      <c r="D13254" t="str">
        <f>TEST_DATA!D13254</f>
        <v>NIL</v>
      </c>
      <c r="E13254">
        <f>TEST_DATA!E13254</f>
        <v>192</v>
      </c>
    </row>
    <row r="13255" spans="1:5" x14ac:dyDescent="0.55000000000000004">
      <c r="A13255" t="str">
        <f>TEST_DATA!A13255</f>
        <v>27AAAAA13255Z5</v>
      </c>
      <c r="B13255" t="str">
        <f>TEST_DATA!B13255</f>
        <v>Apr-2020</v>
      </c>
      <c r="C13255">
        <f>TEST_DATA!C13255</f>
        <v>44048</v>
      </c>
      <c r="D13255" t="str">
        <f>TEST_DATA!D13255</f>
        <v>NON-NIL</v>
      </c>
      <c r="E13255">
        <f>TEST_DATA!E13255</f>
        <v>1606</v>
      </c>
    </row>
    <row r="13256" spans="1:5" x14ac:dyDescent="0.55000000000000004">
      <c r="A13256" t="str">
        <f>TEST_DATA!A13256</f>
        <v>27AAAAA13256Z5</v>
      </c>
      <c r="B13256" t="str">
        <f>TEST_DATA!B13256</f>
        <v>Jun-2018</v>
      </c>
      <c r="C13256">
        <f>TEST_DATA!C13256</f>
        <v>44280</v>
      </c>
      <c r="D13256" t="str">
        <f>TEST_DATA!D13256</f>
        <v>NON-NIL</v>
      </c>
      <c r="E13256">
        <f>TEST_DATA!E13256</f>
        <v>1265</v>
      </c>
    </row>
    <row r="13257" spans="1:5" x14ac:dyDescent="0.55000000000000004">
      <c r="A13257" t="str">
        <f>TEST_DATA!A13257</f>
        <v>27AAAAA13257Z5</v>
      </c>
      <c r="B13257" t="str">
        <f>TEST_DATA!B13257</f>
        <v>May-2018</v>
      </c>
      <c r="C13257">
        <f>TEST_DATA!C13257</f>
        <v>43553</v>
      </c>
      <c r="D13257" t="str">
        <f>TEST_DATA!D13257</f>
        <v>NIL</v>
      </c>
      <c r="E13257">
        <f>TEST_DATA!E13257</f>
        <v>158</v>
      </c>
    </row>
    <row r="13258" spans="1:5" x14ac:dyDescent="0.55000000000000004">
      <c r="A13258" t="str">
        <f>TEST_DATA!A13258</f>
        <v>27AAAAA13258Z5</v>
      </c>
      <c r="B13258" t="str">
        <f>TEST_DATA!B13258</f>
        <v>Aug-2017</v>
      </c>
      <c r="C13258">
        <f>TEST_DATA!C13258</f>
        <v>43113</v>
      </c>
      <c r="D13258" t="str">
        <f>TEST_DATA!D13258</f>
        <v>NON-NIL</v>
      </c>
      <c r="E13258">
        <f>TEST_DATA!E13258</f>
        <v>2125</v>
      </c>
    </row>
    <row r="13259" spans="1:5" x14ac:dyDescent="0.55000000000000004">
      <c r="A13259" t="str">
        <f>TEST_DATA!A13259</f>
        <v>27AAAAA13259Z5</v>
      </c>
      <c r="B13259" t="str">
        <f>TEST_DATA!B13259</f>
        <v>Mar-2023</v>
      </c>
      <c r="C13259">
        <f>TEST_DATA!C13259</f>
        <v>44566</v>
      </c>
      <c r="D13259" t="str">
        <f>TEST_DATA!D13259</f>
        <v>NON-NIL</v>
      </c>
      <c r="E13259">
        <f>TEST_DATA!E13259</f>
        <v>533</v>
      </c>
    </row>
    <row r="13260" spans="1:5" x14ac:dyDescent="0.55000000000000004">
      <c r="A13260" t="str">
        <f>TEST_DATA!A13260</f>
        <v>27AAAAA13260Z5</v>
      </c>
      <c r="B13260" t="str">
        <f>TEST_DATA!B13260</f>
        <v>May-2020</v>
      </c>
      <c r="C13260">
        <f>TEST_DATA!C13260</f>
        <v>44836</v>
      </c>
      <c r="D13260" t="str">
        <f>TEST_DATA!D13260</f>
        <v>NON-NIL</v>
      </c>
      <c r="E13260">
        <f>TEST_DATA!E13260</f>
        <v>2665</v>
      </c>
    </row>
    <row r="13261" spans="1:5" x14ac:dyDescent="0.55000000000000004">
      <c r="A13261" t="str">
        <f>TEST_DATA!A13261</f>
        <v>27AAAAA13261Z5</v>
      </c>
      <c r="B13261" t="str">
        <f>TEST_DATA!B13261</f>
        <v>Jul-2020</v>
      </c>
      <c r="C13261">
        <f>TEST_DATA!C13261</f>
        <v>44151</v>
      </c>
      <c r="D13261" t="str">
        <f>TEST_DATA!D13261</f>
        <v>NIL</v>
      </c>
      <c r="E13261">
        <f>TEST_DATA!E13261</f>
        <v>2648</v>
      </c>
    </row>
    <row r="13262" spans="1:5" x14ac:dyDescent="0.55000000000000004">
      <c r="A13262" t="str">
        <f>TEST_DATA!A13262</f>
        <v>27AAAAA13262Z5</v>
      </c>
      <c r="B13262" t="str">
        <f>TEST_DATA!B13262</f>
        <v>May-2018</v>
      </c>
      <c r="C13262">
        <f>TEST_DATA!C13262</f>
        <v>43287</v>
      </c>
      <c r="D13262" t="str">
        <f>TEST_DATA!D13262</f>
        <v>NIL</v>
      </c>
      <c r="E13262">
        <f>TEST_DATA!E13262</f>
        <v>1392</v>
      </c>
    </row>
    <row r="13263" spans="1:5" x14ac:dyDescent="0.55000000000000004">
      <c r="A13263" t="str">
        <f>TEST_DATA!A13263</f>
        <v>27AAAAA13263Z5</v>
      </c>
      <c r="B13263" t="str">
        <f>TEST_DATA!B13263</f>
        <v>Jun-2020</v>
      </c>
      <c r="C13263">
        <f>TEST_DATA!C13263</f>
        <v>44868</v>
      </c>
      <c r="D13263" t="str">
        <f>TEST_DATA!D13263</f>
        <v>NON-NIL</v>
      </c>
      <c r="E13263">
        <f>TEST_DATA!E13263</f>
        <v>2811</v>
      </c>
    </row>
    <row r="13264" spans="1:5" x14ac:dyDescent="0.55000000000000004">
      <c r="A13264" t="str">
        <f>TEST_DATA!A13264</f>
        <v>27AAAAA13264Z5</v>
      </c>
      <c r="B13264" t="str">
        <f>TEST_DATA!B13264</f>
        <v>Dec-2022</v>
      </c>
      <c r="C13264">
        <f>TEST_DATA!C13264</f>
        <v>44274</v>
      </c>
      <c r="D13264" t="str">
        <f>TEST_DATA!D13264</f>
        <v>NIL</v>
      </c>
      <c r="E13264">
        <f>TEST_DATA!E13264</f>
        <v>2044</v>
      </c>
    </row>
    <row r="13265" spans="1:5" x14ac:dyDescent="0.55000000000000004">
      <c r="A13265" t="str">
        <f>TEST_DATA!A13265</f>
        <v>27AAAAA13265Z5</v>
      </c>
      <c r="B13265" t="str">
        <f>TEST_DATA!B13265</f>
        <v>Mar-2021</v>
      </c>
      <c r="C13265">
        <f>TEST_DATA!C13265</f>
        <v>44278</v>
      </c>
      <c r="D13265" t="str">
        <f>TEST_DATA!D13265</f>
        <v>NIL</v>
      </c>
      <c r="E13265">
        <f>TEST_DATA!E13265</f>
        <v>446</v>
      </c>
    </row>
    <row r="13266" spans="1:5" x14ac:dyDescent="0.55000000000000004">
      <c r="A13266" t="str">
        <f>TEST_DATA!A13266</f>
        <v>27AAAAA13266Z5</v>
      </c>
      <c r="B13266" t="str">
        <f>TEST_DATA!B13266</f>
        <v>Aug-2018</v>
      </c>
      <c r="C13266">
        <f>TEST_DATA!C13266</f>
        <v>43729</v>
      </c>
      <c r="D13266" t="str">
        <f>TEST_DATA!D13266</f>
        <v>NON-NIL</v>
      </c>
      <c r="E13266">
        <f>TEST_DATA!E13266</f>
        <v>1637</v>
      </c>
    </row>
    <row r="13267" spans="1:5" x14ac:dyDescent="0.55000000000000004">
      <c r="A13267" t="str">
        <f>TEST_DATA!A13267</f>
        <v>27AAAAA13267Z5</v>
      </c>
      <c r="B13267" t="str">
        <f>TEST_DATA!B13267</f>
        <v>Mar-2020</v>
      </c>
      <c r="C13267">
        <f>TEST_DATA!C13267</f>
        <v>44048</v>
      </c>
      <c r="D13267" t="str">
        <f>TEST_DATA!D13267</f>
        <v>NIL</v>
      </c>
      <c r="E13267">
        <f>TEST_DATA!E13267</f>
        <v>1832</v>
      </c>
    </row>
    <row r="13268" spans="1:5" x14ac:dyDescent="0.55000000000000004">
      <c r="A13268" t="str">
        <f>TEST_DATA!A13268</f>
        <v>27AAAAA13268Z5</v>
      </c>
      <c r="B13268" t="str">
        <f>TEST_DATA!B13268</f>
        <v>Aug-2017</v>
      </c>
      <c r="C13268">
        <f>TEST_DATA!C13268</f>
        <v>44201</v>
      </c>
      <c r="D13268" t="str">
        <f>TEST_DATA!D13268</f>
        <v>NON-NIL</v>
      </c>
      <c r="E13268">
        <f>TEST_DATA!E13268</f>
        <v>269</v>
      </c>
    </row>
    <row r="13269" spans="1:5" x14ac:dyDescent="0.55000000000000004">
      <c r="A13269" t="str">
        <f>TEST_DATA!A13269</f>
        <v>27AAAAA13269Z5</v>
      </c>
      <c r="B13269" t="str">
        <f>TEST_DATA!B13269</f>
        <v>Mar-2023</v>
      </c>
      <c r="C13269">
        <f>TEST_DATA!C13269</f>
        <v>43949</v>
      </c>
      <c r="D13269" t="str">
        <f>TEST_DATA!D13269</f>
        <v>NON-NIL</v>
      </c>
      <c r="E13269">
        <f>TEST_DATA!E13269</f>
        <v>381</v>
      </c>
    </row>
    <row r="13270" spans="1:5" x14ac:dyDescent="0.55000000000000004">
      <c r="A13270" t="str">
        <f>TEST_DATA!A13270</f>
        <v>27AAAAA13270Z5</v>
      </c>
      <c r="B13270" t="str">
        <f>TEST_DATA!B13270</f>
        <v>Jan-2018</v>
      </c>
      <c r="C13270">
        <f>TEST_DATA!C13270</f>
        <v>44287</v>
      </c>
      <c r="D13270" t="str">
        <f>TEST_DATA!D13270</f>
        <v>NON-NIL</v>
      </c>
      <c r="E13270">
        <f>TEST_DATA!E13270</f>
        <v>3</v>
      </c>
    </row>
    <row r="13271" spans="1:5" x14ac:dyDescent="0.55000000000000004">
      <c r="A13271" t="str">
        <f>TEST_DATA!A13271</f>
        <v>27AAAAA13271Z5</v>
      </c>
      <c r="B13271" t="str">
        <f>TEST_DATA!B13271</f>
        <v>May-2020</v>
      </c>
      <c r="C13271">
        <f>TEST_DATA!C13271</f>
        <v>44131</v>
      </c>
      <c r="D13271" t="str">
        <f>TEST_DATA!D13271</f>
        <v>NON-NIL</v>
      </c>
      <c r="E13271">
        <f>TEST_DATA!E13271</f>
        <v>137</v>
      </c>
    </row>
    <row r="13272" spans="1:5" x14ac:dyDescent="0.55000000000000004">
      <c r="A13272" t="str">
        <f>TEST_DATA!A13272</f>
        <v>27AAAAA13272Z5</v>
      </c>
      <c r="B13272" t="str">
        <f>TEST_DATA!B13272</f>
        <v>Jul-2017</v>
      </c>
      <c r="C13272">
        <f>TEST_DATA!C13272</f>
        <v>43750</v>
      </c>
      <c r="D13272" t="str">
        <f>TEST_DATA!D13272</f>
        <v>NON-NIL</v>
      </c>
      <c r="E13272">
        <f>TEST_DATA!E13272</f>
        <v>721</v>
      </c>
    </row>
    <row r="13273" spans="1:5" x14ac:dyDescent="0.55000000000000004">
      <c r="A13273" t="str">
        <f>TEST_DATA!A13273</f>
        <v>27AAAAA13273Z5</v>
      </c>
      <c r="B13273" t="str">
        <f>TEST_DATA!B13273</f>
        <v>Nov-2017</v>
      </c>
      <c r="C13273">
        <f>TEST_DATA!C13273</f>
        <v>43855</v>
      </c>
      <c r="D13273" t="str">
        <f>TEST_DATA!D13273</f>
        <v>NON-NIL</v>
      </c>
      <c r="E13273">
        <f>TEST_DATA!E13273</f>
        <v>1053</v>
      </c>
    </row>
    <row r="13274" spans="1:5" x14ac:dyDescent="0.55000000000000004">
      <c r="A13274" t="str">
        <f>TEST_DATA!A13274</f>
        <v>27AAAAA13274Z5</v>
      </c>
      <c r="B13274" t="str">
        <f>TEST_DATA!B13274</f>
        <v>Feb-2018</v>
      </c>
      <c r="C13274">
        <f>TEST_DATA!C13274</f>
        <v>43552</v>
      </c>
      <c r="D13274" t="str">
        <f>TEST_DATA!D13274</f>
        <v>NON-NIL</v>
      </c>
      <c r="E13274">
        <f>TEST_DATA!E13274</f>
        <v>2750</v>
      </c>
    </row>
    <row r="13275" spans="1:5" x14ac:dyDescent="0.55000000000000004">
      <c r="A13275" t="str">
        <f>TEST_DATA!A13275</f>
        <v>27AAAAA13275Z5</v>
      </c>
      <c r="B13275" t="str">
        <f>TEST_DATA!B13275</f>
        <v>Aug-2018</v>
      </c>
      <c r="C13275">
        <f>TEST_DATA!C13275</f>
        <v>43610</v>
      </c>
      <c r="D13275" t="str">
        <f>TEST_DATA!D13275</f>
        <v>NIL</v>
      </c>
      <c r="E13275">
        <f>TEST_DATA!E13275</f>
        <v>1765</v>
      </c>
    </row>
    <row r="13276" spans="1:5" x14ac:dyDescent="0.55000000000000004">
      <c r="A13276" t="str">
        <f>TEST_DATA!A13276</f>
        <v>27AAAAA13276Z5</v>
      </c>
      <c r="B13276" t="str">
        <f>TEST_DATA!B13276</f>
        <v>Jun-2020</v>
      </c>
      <c r="C13276">
        <f>TEST_DATA!C13276</f>
        <v>44560</v>
      </c>
      <c r="D13276" t="str">
        <f>TEST_DATA!D13276</f>
        <v>NIL</v>
      </c>
      <c r="E13276">
        <f>TEST_DATA!E13276</f>
        <v>1310</v>
      </c>
    </row>
    <row r="13277" spans="1:5" x14ac:dyDescent="0.55000000000000004">
      <c r="A13277" t="str">
        <f>TEST_DATA!A13277</f>
        <v>27AAAAA13277Z5</v>
      </c>
      <c r="B13277" t="str">
        <f>TEST_DATA!B13277</f>
        <v>Jan-2018</v>
      </c>
      <c r="C13277">
        <f>TEST_DATA!C13277</f>
        <v>43499</v>
      </c>
      <c r="D13277" t="str">
        <f>TEST_DATA!D13277</f>
        <v>NON-NIL</v>
      </c>
      <c r="E13277">
        <f>TEST_DATA!E13277</f>
        <v>2008</v>
      </c>
    </row>
    <row r="13278" spans="1:5" x14ac:dyDescent="0.55000000000000004">
      <c r="A13278" t="str">
        <f>TEST_DATA!A13278</f>
        <v>27AAAAA13278Z5</v>
      </c>
      <c r="B13278" t="str">
        <f>TEST_DATA!B13278</f>
        <v>Jun-2020</v>
      </c>
      <c r="C13278">
        <f>TEST_DATA!C13278</f>
        <v>44370</v>
      </c>
      <c r="D13278" t="str">
        <f>TEST_DATA!D13278</f>
        <v>NIL</v>
      </c>
      <c r="E13278">
        <f>TEST_DATA!E13278</f>
        <v>334</v>
      </c>
    </row>
    <row r="13279" spans="1:5" x14ac:dyDescent="0.55000000000000004">
      <c r="A13279" t="str">
        <f>TEST_DATA!A13279</f>
        <v>27AAAAA13279Z5</v>
      </c>
      <c r="B13279" t="str">
        <f>TEST_DATA!B13279</f>
        <v>Aug-2018</v>
      </c>
      <c r="C13279">
        <f>TEST_DATA!C13279</f>
        <v>42947</v>
      </c>
      <c r="D13279" t="str">
        <f>TEST_DATA!D13279</f>
        <v>NIL</v>
      </c>
      <c r="E13279">
        <f>TEST_DATA!E13279</f>
        <v>2082</v>
      </c>
    </row>
    <row r="13280" spans="1:5" x14ac:dyDescent="0.55000000000000004">
      <c r="A13280" t="str">
        <f>TEST_DATA!A13280</f>
        <v>27AAAAA13280Z5</v>
      </c>
      <c r="B13280" t="str">
        <f>TEST_DATA!B13280</f>
        <v>Jun-2018</v>
      </c>
      <c r="C13280">
        <f>TEST_DATA!C13280</f>
        <v>44352</v>
      </c>
      <c r="D13280" t="str">
        <f>TEST_DATA!D13280</f>
        <v>NON-NIL</v>
      </c>
      <c r="E13280">
        <f>TEST_DATA!E13280</f>
        <v>787</v>
      </c>
    </row>
    <row r="13281" spans="1:5" x14ac:dyDescent="0.55000000000000004">
      <c r="A13281" t="str">
        <f>TEST_DATA!A13281</f>
        <v>27AAAAA13281Z5</v>
      </c>
      <c r="B13281" t="str">
        <f>TEST_DATA!B13281</f>
        <v>Jul-2020</v>
      </c>
      <c r="C13281">
        <f>TEST_DATA!C13281</f>
        <v>44851</v>
      </c>
      <c r="D13281" t="str">
        <f>TEST_DATA!D13281</f>
        <v>NON-NIL</v>
      </c>
      <c r="E13281">
        <f>TEST_DATA!E13281</f>
        <v>1471</v>
      </c>
    </row>
    <row r="13282" spans="1:5" x14ac:dyDescent="0.55000000000000004">
      <c r="A13282" t="str">
        <f>TEST_DATA!A13282</f>
        <v>27AAAAA13282Z5</v>
      </c>
      <c r="B13282" t="str">
        <f>TEST_DATA!B13282</f>
        <v>Apr-2020</v>
      </c>
      <c r="C13282">
        <f>TEST_DATA!C13282</f>
        <v>44841</v>
      </c>
      <c r="D13282" t="str">
        <f>TEST_DATA!D13282</f>
        <v>NON-NIL</v>
      </c>
      <c r="E13282">
        <f>TEST_DATA!E13282</f>
        <v>2309</v>
      </c>
    </row>
    <row r="13283" spans="1:5" x14ac:dyDescent="0.55000000000000004">
      <c r="A13283" t="str">
        <f>TEST_DATA!A13283</f>
        <v>27AAAAA13283Z5</v>
      </c>
      <c r="B13283" t="str">
        <f>TEST_DATA!B13283</f>
        <v>Jan-2021</v>
      </c>
      <c r="C13283">
        <f>TEST_DATA!C13283</f>
        <v>44233</v>
      </c>
      <c r="D13283" t="str">
        <f>TEST_DATA!D13283</f>
        <v>NIL</v>
      </c>
      <c r="E13283">
        <f>TEST_DATA!E13283</f>
        <v>1066</v>
      </c>
    </row>
    <row r="13284" spans="1:5" x14ac:dyDescent="0.55000000000000004">
      <c r="A13284" t="str">
        <f>TEST_DATA!A13284</f>
        <v>27AAAAA13284Z5</v>
      </c>
      <c r="B13284" t="str">
        <f>TEST_DATA!B13284</f>
        <v>Jan-2021</v>
      </c>
      <c r="C13284">
        <f>TEST_DATA!C13284</f>
        <v>43751</v>
      </c>
      <c r="D13284" t="str">
        <f>TEST_DATA!D13284</f>
        <v>NON-NIL</v>
      </c>
      <c r="E13284">
        <f>TEST_DATA!E13284</f>
        <v>1323</v>
      </c>
    </row>
    <row r="13285" spans="1:5" x14ac:dyDescent="0.55000000000000004">
      <c r="A13285" t="str">
        <f>TEST_DATA!A13285</f>
        <v>27AAAAA13285Z5</v>
      </c>
      <c r="B13285" t="str">
        <f>TEST_DATA!B13285</f>
        <v>Dec-2017</v>
      </c>
      <c r="C13285">
        <f>TEST_DATA!C13285</f>
        <v>44533</v>
      </c>
      <c r="D13285" t="str">
        <f>TEST_DATA!D13285</f>
        <v>NIL</v>
      </c>
      <c r="E13285">
        <f>TEST_DATA!E13285</f>
        <v>935</v>
      </c>
    </row>
    <row r="13286" spans="1:5" x14ac:dyDescent="0.55000000000000004">
      <c r="A13286" t="str">
        <f>TEST_DATA!A13286</f>
        <v>27AAAAA13286Z5</v>
      </c>
      <c r="B13286" t="str">
        <f>TEST_DATA!B13286</f>
        <v>Aug-2017</v>
      </c>
      <c r="C13286">
        <f>TEST_DATA!C13286</f>
        <v>43119</v>
      </c>
      <c r="D13286" t="str">
        <f>TEST_DATA!D13286</f>
        <v>NON-NIL</v>
      </c>
      <c r="E13286">
        <f>TEST_DATA!E13286</f>
        <v>1121</v>
      </c>
    </row>
    <row r="13287" spans="1:5" x14ac:dyDescent="0.55000000000000004">
      <c r="A13287" t="str">
        <f>TEST_DATA!A13287</f>
        <v>27AAAAA13287Z5</v>
      </c>
      <c r="B13287" t="str">
        <f>TEST_DATA!B13287</f>
        <v>Jan-2021</v>
      </c>
      <c r="C13287">
        <f>TEST_DATA!C13287</f>
        <v>44412</v>
      </c>
      <c r="D13287" t="str">
        <f>TEST_DATA!D13287</f>
        <v>NIL</v>
      </c>
      <c r="E13287">
        <f>TEST_DATA!E13287</f>
        <v>2698</v>
      </c>
    </row>
    <row r="13288" spans="1:5" x14ac:dyDescent="0.55000000000000004">
      <c r="A13288" t="str">
        <f>TEST_DATA!A13288</f>
        <v>27AAAAA13288Z5</v>
      </c>
      <c r="B13288" t="str">
        <f>TEST_DATA!B13288</f>
        <v>Feb-2018</v>
      </c>
      <c r="C13288">
        <f>TEST_DATA!C13288</f>
        <v>44201</v>
      </c>
      <c r="D13288" t="str">
        <f>TEST_DATA!D13288</f>
        <v>NIL</v>
      </c>
      <c r="E13288">
        <f>TEST_DATA!E13288</f>
        <v>2470</v>
      </c>
    </row>
    <row r="13289" spans="1:5" x14ac:dyDescent="0.55000000000000004">
      <c r="A13289" t="str">
        <f>TEST_DATA!A13289</f>
        <v>27AAAAA13289Z5</v>
      </c>
      <c r="B13289" t="str">
        <f>TEST_DATA!B13289</f>
        <v>Jan-2019</v>
      </c>
      <c r="C13289">
        <f>TEST_DATA!C13289</f>
        <v>45341</v>
      </c>
      <c r="D13289" t="str">
        <f>TEST_DATA!D13289</f>
        <v>NON-NIL</v>
      </c>
      <c r="E13289">
        <f>TEST_DATA!E13289</f>
        <v>1207</v>
      </c>
    </row>
    <row r="13290" spans="1:5" x14ac:dyDescent="0.55000000000000004">
      <c r="A13290" t="str">
        <f>TEST_DATA!A13290</f>
        <v>27AAAAA13290Z5</v>
      </c>
      <c r="B13290" t="str">
        <f>TEST_DATA!B13290</f>
        <v>May-2020</v>
      </c>
      <c r="C13290">
        <f>TEST_DATA!C13290</f>
        <v>44419</v>
      </c>
      <c r="D13290" t="str">
        <f>TEST_DATA!D13290</f>
        <v>NIL</v>
      </c>
      <c r="E13290">
        <f>TEST_DATA!E13290</f>
        <v>933</v>
      </c>
    </row>
    <row r="13291" spans="1:5" x14ac:dyDescent="0.55000000000000004">
      <c r="A13291" t="str">
        <f>TEST_DATA!A13291</f>
        <v>27AAAAA13291Z5</v>
      </c>
      <c r="B13291" t="str">
        <f>TEST_DATA!B13291</f>
        <v>Mar-2021</v>
      </c>
      <c r="C13291">
        <f>TEST_DATA!C13291</f>
        <v>44061</v>
      </c>
      <c r="D13291" t="str">
        <f>TEST_DATA!D13291</f>
        <v>NON-NIL</v>
      </c>
      <c r="E13291">
        <f>TEST_DATA!E13291</f>
        <v>1413</v>
      </c>
    </row>
    <row r="13292" spans="1:5" x14ac:dyDescent="0.55000000000000004">
      <c r="A13292" t="str">
        <f>TEST_DATA!A13292</f>
        <v>27AAAAA13292Z5</v>
      </c>
      <c r="B13292" t="str">
        <f>TEST_DATA!B13292</f>
        <v>Jun-2020</v>
      </c>
      <c r="C13292">
        <f>TEST_DATA!C13292</f>
        <v>44766</v>
      </c>
      <c r="D13292" t="str">
        <f>TEST_DATA!D13292</f>
        <v>NON-NIL</v>
      </c>
      <c r="E13292">
        <f>TEST_DATA!E13292</f>
        <v>2043</v>
      </c>
    </row>
    <row r="13293" spans="1:5" x14ac:dyDescent="0.55000000000000004">
      <c r="A13293" t="str">
        <f>TEST_DATA!A13293</f>
        <v>27AAAAA13293Z5</v>
      </c>
      <c r="B13293" t="str">
        <f>TEST_DATA!B13293</f>
        <v>Jul-2020</v>
      </c>
      <c r="C13293">
        <f>TEST_DATA!C13293</f>
        <v>44409</v>
      </c>
      <c r="D13293" t="str">
        <f>TEST_DATA!D13293</f>
        <v>NIL</v>
      </c>
      <c r="E13293">
        <f>TEST_DATA!E13293</f>
        <v>1208</v>
      </c>
    </row>
    <row r="13294" spans="1:5" x14ac:dyDescent="0.55000000000000004">
      <c r="A13294" t="str">
        <f>TEST_DATA!A13294</f>
        <v>27AAAAA13294Z5</v>
      </c>
      <c r="B13294" t="str">
        <f>TEST_DATA!B13294</f>
        <v>Mar-2023</v>
      </c>
      <c r="C13294">
        <f>TEST_DATA!C13294</f>
        <v>45401</v>
      </c>
      <c r="D13294" t="str">
        <f>TEST_DATA!D13294</f>
        <v>NON-NIL</v>
      </c>
      <c r="E13294">
        <f>TEST_DATA!E13294</f>
        <v>530</v>
      </c>
    </row>
    <row r="13295" spans="1:5" x14ac:dyDescent="0.55000000000000004">
      <c r="A13295" t="str">
        <f>TEST_DATA!A13295</f>
        <v>27AAAAA13295Z5</v>
      </c>
      <c r="B13295" t="str">
        <f>TEST_DATA!B13295</f>
        <v>Mar-2018</v>
      </c>
      <c r="C13295">
        <f>TEST_DATA!C13295</f>
        <v>44220</v>
      </c>
      <c r="D13295" t="str">
        <f>TEST_DATA!D13295</f>
        <v>NON-NIL</v>
      </c>
      <c r="E13295">
        <f>TEST_DATA!E13295</f>
        <v>2946</v>
      </c>
    </row>
    <row r="13296" spans="1:5" x14ac:dyDescent="0.55000000000000004">
      <c r="A13296" t="str">
        <f>TEST_DATA!A13296</f>
        <v>27AAAAA13296Z5</v>
      </c>
      <c r="B13296" t="str">
        <f>TEST_DATA!B13296</f>
        <v>Mar-2018</v>
      </c>
      <c r="C13296">
        <f>TEST_DATA!C13296</f>
        <v>44187</v>
      </c>
      <c r="D13296" t="str">
        <f>TEST_DATA!D13296</f>
        <v>NON-NIL</v>
      </c>
      <c r="E13296">
        <f>TEST_DATA!E13296</f>
        <v>615</v>
      </c>
    </row>
    <row r="13297" spans="1:5" x14ac:dyDescent="0.55000000000000004">
      <c r="A13297" t="str">
        <f>TEST_DATA!A13297</f>
        <v>27AAAAA13297Z5</v>
      </c>
      <c r="B13297" t="str">
        <f>TEST_DATA!B13297</f>
        <v>Apr-2021</v>
      </c>
      <c r="C13297">
        <f>TEST_DATA!C13297</f>
        <v>45554</v>
      </c>
      <c r="D13297" t="str">
        <f>TEST_DATA!D13297</f>
        <v>NIL</v>
      </c>
      <c r="E13297">
        <f>TEST_DATA!E13297</f>
        <v>2709</v>
      </c>
    </row>
    <row r="13298" spans="1:5" x14ac:dyDescent="0.55000000000000004">
      <c r="A13298" t="str">
        <f>TEST_DATA!A13298</f>
        <v>27AAAAA13298Z5</v>
      </c>
      <c r="B13298" t="str">
        <f>TEST_DATA!B13298</f>
        <v>Mar-2021</v>
      </c>
      <c r="C13298">
        <f>TEST_DATA!C13298</f>
        <v>44677</v>
      </c>
      <c r="D13298" t="str">
        <f>TEST_DATA!D13298</f>
        <v>NIL</v>
      </c>
      <c r="E13298">
        <f>TEST_DATA!E13298</f>
        <v>2305</v>
      </c>
    </row>
    <row r="13299" spans="1:5" x14ac:dyDescent="0.55000000000000004">
      <c r="A13299" t="str">
        <f>TEST_DATA!A13299</f>
        <v>27AAAAA13299Z5</v>
      </c>
      <c r="B13299" t="str">
        <f>TEST_DATA!B13299</f>
        <v>Apr-2021</v>
      </c>
      <c r="C13299">
        <f>TEST_DATA!C13299</f>
        <v>43507</v>
      </c>
      <c r="D13299" t="str">
        <f>TEST_DATA!D13299</f>
        <v>NON-NIL</v>
      </c>
      <c r="E13299">
        <f>TEST_DATA!E13299</f>
        <v>1845</v>
      </c>
    </row>
    <row r="13300" spans="1:5" x14ac:dyDescent="0.55000000000000004">
      <c r="A13300" t="str">
        <f>TEST_DATA!A13300</f>
        <v>27AAAAA13300Z5</v>
      </c>
      <c r="B13300" t="str">
        <f>TEST_DATA!B13300</f>
        <v>May-2020</v>
      </c>
      <c r="C13300">
        <f>TEST_DATA!C13300</f>
        <v>43983</v>
      </c>
      <c r="D13300" t="str">
        <f>TEST_DATA!D13300</f>
        <v>NIL</v>
      </c>
      <c r="E13300">
        <f>TEST_DATA!E13300</f>
        <v>131</v>
      </c>
    </row>
    <row r="13301" spans="1:5" x14ac:dyDescent="0.55000000000000004">
      <c r="A13301" t="str">
        <f>TEST_DATA!A13301</f>
        <v>27AAAAA13301Z5</v>
      </c>
      <c r="B13301" t="str">
        <f>TEST_DATA!B13301</f>
        <v>Apr-2020</v>
      </c>
      <c r="C13301">
        <f>TEST_DATA!C13301</f>
        <v>44736</v>
      </c>
      <c r="D13301" t="str">
        <f>TEST_DATA!D13301</f>
        <v>NON-NIL</v>
      </c>
      <c r="E13301">
        <f>TEST_DATA!E13301</f>
        <v>1194</v>
      </c>
    </row>
    <row r="13302" spans="1:5" x14ac:dyDescent="0.55000000000000004">
      <c r="A13302" t="str">
        <f>TEST_DATA!A13302</f>
        <v>27AAAAA13302Z5</v>
      </c>
      <c r="B13302" t="str">
        <f>TEST_DATA!B13302</f>
        <v>Dec-2017</v>
      </c>
      <c r="C13302">
        <f>TEST_DATA!C13302</f>
        <v>44173</v>
      </c>
      <c r="D13302" t="str">
        <f>TEST_DATA!D13302</f>
        <v>NIL</v>
      </c>
      <c r="E13302">
        <f>TEST_DATA!E13302</f>
        <v>2371</v>
      </c>
    </row>
    <row r="13303" spans="1:5" x14ac:dyDescent="0.55000000000000004">
      <c r="A13303" t="str">
        <f>TEST_DATA!A13303</f>
        <v>27AAAAA13303Z5</v>
      </c>
      <c r="B13303" t="str">
        <f>TEST_DATA!B13303</f>
        <v>Mar-2020</v>
      </c>
      <c r="C13303">
        <f>TEST_DATA!C13303</f>
        <v>44338</v>
      </c>
      <c r="D13303" t="str">
        <f>TEST_DATA!D13303</f>
        <v>NIL</v>
      </c>
      <c r="E13303">
        <f>TEST_DATA!E13303</f>
        <v>1553</v>
      </c>
    </row>
    <row r="13304" spans="1:5" x14ac:dyDescent="0.55000000000000004">
      <c r="A13304" t="str">
        <f>TEST_DATA!A13304</f>
        <v>27AAAAA13304Z5</v>
      </c>
      <c r="B13304" t="str">
        <f>TEST_DATA!B13304</f>
        <v>May-2020</v>
      </c>
      <c r="C13304">
        <f>TEST_DATA!C13304</f>
        <v>44362</v>
      </c>
      <c r="D13304" t="str">
        <f>TEST_DATA!D13304</f>
        <v>NIL</v>
      </c>
      <c r="E13304">
        <f>TEST_DATA!E13304</f>
        <v>496</v>
      </c>
    </row>
    <row r="13305" spans="1:5" x14ac:dyDescent="0.55000000000000004">
      <c r="A13305" t="str">
        <f>TEST_DATA!A13305</f>
        <v>27AAAAA13305Z5</v>
      </c>
      <c r="B13305" t="str">
        <f>TEST_DATA!B13305</f>
        <v>Nov-2017</v>
      </c>
      <c r="C13305">
        <f>TEST_DATA!C13305</f>
        <v>43946</v>
      </c>
      <c r="D13305" t="str">
        <f>TEST_DATA!D13305</f>
        <v>NIL</v>
      </c>
      <c r="E13305">
        <f>TEST_DATA!E13305</f>
        <v>1735</v>
      </c>
    </row>
    <row r="13306" spans="1:5" x14ac:dyDescent="0.55000000000000004">
      <c r="A13306" t="str">
        <f>TEST_DATA!A13306</f>
        <v>27AAAAA13306Z5</v>
      </c>
      <c r="B13306" t="str">
        <f>TEST_DATA!B13306</f>
        <v>Jun-2018</v>
      </c>
      <c r="C13306">
        <f>TEST_DATA!C13306</f>
        <v>43953</v>
      </c>
      <c r="D13306" t="str">
        <f>TEST_DATA!D13306</f>
        <v>NON-NIL</v>
      </c>
      <c r="E13306">
        <f>TEST_DATA!E13306</f>
        <v>2475</v>
      </c>
    </row>
    <row r="13307" spans="1:5" x14ac:dyDescent="0.55000000000000004">
      <c r="A13307" t="str">
        <f>TEST_DATA!A13307</f>
        <v>27AAAAA13307Z5</v>
      </c>
      <c r="B13307" t="str">
        <f>TEST_DATA!B13307</f>
        <v>Jan-2019</v>
      </c>
      <c r="C13307">
        <f>TEST_DATA!C13307</f>
        <v>43672</v>
      </c>
      <c r="D13307" t="str">
        <f>TEST_DATA!D13307</f>
        <v>NIL</v>
      </c>
      <c r="E13307">
        <f>TEST_DATA!E13307</f>
        <v>1164</v>
      </c>
    </row>
    <row r="13308" spans="1:5" x14ac:dyDescent="0.55000000000000004">
      <c r="A13308" t="str">
        <f>TEST_DATA!A13308</f>
        <v>27AAAAA13308Z5</v>
      </c>
      <c r="B13308" t="str">
        <f>TEST_DATA!B13308</f>
        <v>Jun-2019</v>
      </c>
      <c r="C13308">
        <f>TEST_DATA!C13308</f>
        <v>43758</v>
      </c>
      <c r="D13308" t="str">
        <f>TEST_DATA!D13308</f>
        <v>NIL</v>
      </c>
      <c r="E13308">
        <f>TEST_DATA!E13308</f>
        <v>1402</v>
      </c>
    </row>
    <row r="13309" spans="1:5" x14ac:dyDescent="0.55000000000000004">
      <c r="A13309" t="str">
        <f>TEST_DATA!A13309</f>
        <v>27AAAAA13309Z5</v>
      </c>
      <c r="B13309" t="str">
        <f>TEST_DATA!B13309</f>
        <v>May-2020</v>
      </c>
      <c r="C13309">
        <f>TEST_DATA!C13309</f>
        <v>44575</v>
      </c>
      <c r="D13309" t="str">
        <f>TEST_DATA!D13309</f>
        <v>NON-NIL</v>
      </c>
      <c r="E13309">
        <f>TEST_DATA!E13309</f>
        <v>2309</v>
      </c>
    </row>
    <row r="13310" spans="1:5" x14ac:dyDescent="0.55000000000000004">
      <c r="A13310" t="str">
        <f>TEST_DATA!A13310</f>
        <v>27AAAAA13310Z5</v>
      </c>
      <c r="B13310" t="str">
        <f>TEST_DATA!B13310</f>
        <v>Mar-2020</v>
      </c>
      <c r="C13310">
        <f>TEST_DATA!C13310</f>
        <v>44012</v>
      </c>
      <c r="D13310" t="str">
        <f>TEST_DATA!D13310</f>
        <v>NON-NIL</v>
      </c>
      <c r="E13310">
        <f>TEST_DATA!E13310</f>
        <v>2165</v>
      </c>
    </row>
    <row r="13311" spans="1:5" x14ac:dyDescent="0.55000000000000004">
      <c r="A13311" t="str">
        <f>TEST_DATA!A13311</f>
        <v>27AAAAA13311Z5</v>
      </c>
      <c r="B13311" t="str">
        <f>TEST_DATA!B13311</f>
        <v>Jan-2021</v>
      </c>
      <c r="C13311">
        <f>TEST_DATA!C13311</f>
        <v>44535</v>
      </c>
      <c r="D13311" t="str">
        <f>TEST_DATA!D13311</f>
        <v>NIL</v>
      </c>
      <c r="E13311">
        <f>TEST_DATA!E13311</f>
        <v>1083</v>
      </c>
    </row>
    <row r="13312" spans="1:5" x14ac:dyDescent="0.55000000000000004">
      <c r="A13312" t="str">
        <f>TEST_DATA!A13312</f>
        <v>27AAAAA13312Z5</v>
      </c>
      <c r="B13312" t="str">
        <f>TEST_DATA!B13312</f>
        <v>Jun-2020</v>
      </c>
      <c r="C13312">
        <f>TEST_DATA!C13312</f>
        <v>44549</v>
      </c>
      <c r="D13312" t="str">
        <f>TEST_DATA!D13312</f>
        <v>NON-NIL</v>
      </c>
      <c r="E13312">
        <f>TEST_DATA!E13312</f>
        <v>1434</v>
      </c>
    </row>
    <row r="13313" spans="1:5" x14ac:dyDescent="0.55000000000000004">
      <c r="A13313" t="str">
        <f>TEST_DATA!A13313</f>
        <v>27AAAAA13313Z5</v>
      </c>
      <c r="B13313" t="str">
        <f>TEST_DATA!B13313</f>
        <v>Oct-2017</v>
      </c>
      <c r="C13313">
        <f>TEST_DATA!C13313</f>
        <v>44249</v>
      </c>
      <c r="D13313" t="str">
        <f>TEST_DATA!D13313</f>
        <v>NIL</v>
      </c>
      <c r="E13313">
        <f>TEST_DATA!E13313</f>
        <v>913</v>
      </c>
    </row>
    <row r="13314" spans="1:5" x14ac:dyDescent="0.55000000000000004">
      <c r="A13314" t="str">
        <f>TEST_DATA!A13314</f>
        <v>27AAAAA13314Z5</v>
      </c>
      <c r="B13314" t="str">
        <f>TEST_DATA!B13314</f>
        <v>Apr-2018</v>
      </c>
      <c r="C13314">
        <f>TEST_DATA!C13314</f>
        <v>43335</v>
      </c>
      <c r="D13314" t="str">
        <f>TEST_DATA!D13314</f>
        <v>NON-NIL</v>
      </c>
      <c r="E13314">
        <f>TEST_DATA!E13314</f>
        <v>1127</v>
      </c>
    </row>
    <row r="13315" spans="1:5" x14ac:dyDescent="0.55000000000000004">
      <c r="A13315" t="str">
        <f>TEST_DATA!A13315</f>
        <v>27AAAAA13315Z5</v>
      </c>
      <c r="B13315" t="str">
        <f>TEST_DATA!B13315</f>
        <v>Aug-2017</v>
      </c>
      <c r="C13315">
        <f>TEST_DATA!C13315</f>
        <v>44384</v>
      </c>
      <c r="D13315" t="str">
        <f>TEST_DATA!D13315</f>
        <v>NON-NIL</v>
      </c>
      <c r="E13315">
        <f>TEST_DATA!E13315</f>
        <v>2833</v>
      </c>
    </row>
    <row r="13316" spans="1:5" x14ac:dyDescent="0.55000000000000004">
      <c r="A13316" t="str">
        <f>TEST_DATA!A13316</f>
        <v>27AAAAA13316Z5</v>
      </c>
      <c r="B13316" t="str">
        <f>TEST_DATA!B13316</f>
        <v>Jul-2017</v>
      </c>
      <c r="C13316">
        <f>TEST_DATA!C13316</f>
        <v>43969</v>
      </c>
      <c r="D13316" t="str">
        <f>TEST_DATA!D13316</f>
        <v>NIL</v>
      </c>
      <c r="E13316">
        <f>TEST_DATA!E13316</f>
        <v>1697</v>
      </c>
    </row>
    <row r="13317" spans="1:5" x14ac:dyDescent="0.55000000000000004">
      <c r="A13317" t="str">
        <f>TEST_DATA!A13317</f>
        <v>27AAAAA13317Z5</v>
      </c>
      <c r="B13317" t="str">
        <f>TEST_DATA!B13317</f>
        <v>Mar-2023</v>
      </c>
      <c r="C13317">
        <f>TEST_DATA!C13317</f>
        <v>44352</v>
      </c>
      <c r="D13317" t="str">
        <f>TEST_DATA!D13317</f>
        <v>NIL</v>
      </c>
      <c r="E13317">
        <f>TEST_DATA!E13317</f>
        <v>980</v>
      </c>
    </row>
    <row r="13318" spans="1:5" x14ac:dyDescent="0.55000000000000004">
      <c r="A13318" t="str">
        <f>TEST_DATA!A13318</f>
        <v>27AAAAA13318Z5</v>
      </c>
      <c r="B13318" t="str">
        <f>TEST_DATA!B13318</f>
        <v>Mar-2020</v>
      </c>
      <c r="C13318">
        <f>TEST_DATA!C13318</f>
        <v>44504</v>
      </c>
      <c r="D13318" t="str">
        <f>TEST_DATA!D13318</f>
        <v>NON-NIL</v>
      </c>
      <c r="E13318">
        <f>TEST_DATA!E13318</f>
        <v>977</v>
      </c>
    </row>
    <row r="13319" spans="1:5" x14ac:dyDescent="0.55000000000000004">
      <c r="A13319" t="str">
        <f>TEST_DATA!A13319</f>
        <v>27AAAAA13319Z5</v>
      </c>
      <c r="B13319" t="str">
        <f>TEST_DATA!B13319</f>
        <v>May-2018</v>
      </c>
      <c r="C13319">
        <f>TEST_DATA!C13319</f>
        <v>43838</v>
      </c>
      <c r="D13319" t="str">
        <f>TEST_DATA!D13319</f>
        <v>NON-NIL</v>
      </c>
      <c r="E13319">
        <f>TEST_DATA!E13319</f>
        <v>1335</v>
      </c>
    </row>
    <row r="13320" spans="1:5" x14ac:dyDescent="0.55000000000000004">
      <c r="A13320" t="str">
        <f>TEST_DATA!A13320</f>
        <v>27AAAAA13320Z5</v>
      </c>
      <c r="B13320" t="str">
        <f>TEST_DATA!B13320</f>
        <v>Apr-2020</v>
      </c>
      <c r="C13320">
        <f>TEST_DATA!C13320</f>
        <v>43873</v>
      </c>
      <c r="D13320" t="str">
        <f>TEST_DATA!D13320</f>
        <v>NON-NIL</v>
      </c>
      <c r="E13320">
        <f>TEST_DATA!E13320</f>
        <v>857</v>
      </c>
    </row>
    <row r="13321" spans="1:5" x14ac:dyDescent="0.55000000000000004">
      <c r="A13321" t="str">
        <f>TEST_DATA!A13321</f>
        <v>27AAAAA13321Z5</v>
      </c>
      <c r="B13321" t="str">
        <f>TEST_DATA!B13321</f>
        <v>Jul-2020</v>
      </c>
      <c r="C13321">
        <f>TEST_DATA!C13321</f>
        <v>44083</v>
      </c>
      <c r="D13321" t="str">
        <f>TEST_DATA!D13321</f>
        <v>NIL</v>
      </c>
      <c r="E13321">
        <f>TEST_DATA!E13321</f>
        <v>2142</v>
      </c>
    </row>
    <row r="13322" spans="1:5" x14ac:dyDescent="0.55000000000000004">
      <c r="A13322" t="str">
        <f>TEST_DATA!A13322</f>
        <v>27AAAAA13322Z5</v>
      </c>
      <c r="B13322" t="str">
        <f>TEST_DATA!B13322</f>
        <v>Dec-2017</v>
      </c>
      <c r="C13322">
        <f>TEST_DATA!C13322</f>
        <v>43067</v>
      </c>
      <c r="D13322" t="str">
        <f>TEST_DATA!D13322</f>
        <v>NIL</v>
      </c>
      <c r="E13322">
        <f>TEST_DATA!E13322</f>
        <v>292</v>
      </c>
    </row>
    <row r="13323" spans="1:5" x14ac:dyDescent="0.55000000000000004">
      <c r="A13323" t="str">
        <f>TEST_DATA!A13323</f>
        <v>27AAAAA13323Z5</v>
      </c>
      <c r="B13323" t="str">
        <f>TEST_DATA!B13323</f>
        <v>Dec-2017</v>
      </c>
      <c r="C13323">
        <f>TEST_DATA!C13323</f>
        <v>43722</v>
      </c>
      <c r="D13323" t="str">
        <f>TEST_DATA!D13323</f>
        <v>NON-NIL</v>
      </c>
      <c r="E13323">
        <f>TEST_DATA!E13323</f>
        <v>2610</v>
      </c>
    </row>
    <row r="13324" spans="1:5" x14ac:dyDescent="0.55000000000000004">
      <c r="A13324" t="str">
        <f>TEST_DATA!A13324</f>
        <v>27AAAAA13324Z5</v>
      </c>
      <c r="B13324" t="str">
        <f>TEST_DATA!B13324</f>
        <v>Nov-2017</v>
      </c>
      <c r="C13324">
        <f>TEST_DATA!C13324</f>
        <v>43110</v>
      </c>
      <c r="D13324" t="str">
        <f>TEST_DATA!D13324</f>
        <v>NIL</v>
      </c>
      <c r="E13324">
        <f>TEST_DATA!E13324</f>
        <v>1308</v>
      </c>
    </row>
    <row r="13325" spans="1:5" x14ac:dyDescent="0.55000000000000004">
      <c r="A13325" t="str">
        <f>TEST_DATA!A13325</f>
        <v>27AAAAA13325Z5</v>
      </c>
      <c r="B13325" t="str">
        <f>TEST_DATA!B13325</f>
        <v>Mar-2018</v>
      </c>
      <c r="C13325">
        <f>TEST_DATA!C13325</f>
        <v>43454</v>
      </c>
      <c r="D13325" t="str">
        <f>TEST_DATA!D13325</f>
        <v>NON-NIL</v>
      </c>
      <c r="E13325">
        <f>TEST_DATA!E13325</f>
        <v>2267</v>
      </c>
    </row>
    <row r="13326" spans="1:5" x14ac:dyDescent="0.55000000000000004">
      <c r="A13326" t="str">
        <f>TEST_DATA!A13326</f>
        <v>27AAAAA13326Z5</v>
      </c>
      <c r="B13326" t="str">
        <f>TEST_DATA!B13326</f>
        <v>Jun-2019</v>
      </c>
      <c r="C13326">
        <f>TEST_DATA!C13326</f>
        <v>44356</v>
      </c>
      <c r="D13326" t="str">
        <f>TEST_DATA!D13326</f>
        <v>NON-NIL</v>
      </c>
      <c r="E13326">
        <f>TEST_DATA!E13326</f>
        <v>2603</v>
      </c>
    </row>
    <row r="13327" spans="1:5" x14ac:dyDescent="0.55000000000000004">
      <c r="A13327" t="str">
        <f>TEST_DATA!A13327</f>
        <v>27AAAAA13327Z5</v>
      </c>
      <c r="B13327" t="str">
        <f>TEST_DATA!B13327</f>
        <v>Sep-2018</v>
      </c>
      <c r="C13327">
        <f>TEST_DATA!C13327</f>
        <v>43023</v>
      </c>
      <c r="D13327" t="str">
        <f>TEST_DATA!D13327</f>
        <v>NON-NIL</v>
      </c>
      <c r="E13327">
        <f>TEST_DATA!E13327</f>
        <v>238</v>
      </c>
    </row>
    <row r="13328" spans="1:5" x14ac:dyDescent="0.55000000000000004">
      <c r="A13328" t="str">
        <f>TEST_DATA!A13328</f>
        <v>27AAAAA13328Z5</v>
      </c>
      <c r="B13328" t="str">
        <f>TEST_DATA!B13328</f>
        <v>Jun-2018</v>
      </c>
      <c r="C13328">
        <f>TEST_DATA!C13328</f>
        <v>42974</v>
      </c>
      <c r="D13328" t="str">
        <f>TEST_DATA!D13328</f>
        <v>NON-NIL</v>
      </c>
      <c r="E13328">
        <f>TEST_DATA!E13328</f>
        <v>102</v>
      </c>
    </row>
    <row r="13329" spans="1:5" x14ac:dyDescent="0.55000000000000004">
      <c r="A13329" t="str">
        <f>TEST_DATA!A13329</f>
        <v>27AAAAA13329Z5</v>
      </c>
      <c r="B13329" t="str">
        <f>TEST_DATA!B13329</f>
        <v>Apr-2020</v>
      </c>
      <c r="C13329">
        <f>TEST_DATA!C13329</f>
        <v>44590</v>
      </c>
      <c r="D13329" t="str">
        <f>TEST_DATA!D13329</f>
        <v>NIL</v>
      </c>
      <c r="E13329">
        <f>TEST_DATA!E13329</f>
        <v>2615</v>
      </c>
    </row>
    <row r="13330" spans="1:5" x14ac:dyDescent="0.55000000000000004">
      <c r="A13330" t="str">
        <f>TEST_DATA!A13330</f>
        <v>27AAAAA13330Z5</v>
      </c>
      <c r="B13330" t="str">
        <f>TEST_DATA!B13330</f>
        <v>Jul-2018</v>
      </c>
      <c r="C13330">
        <f>TEST_DATA!C13330</f>
        <v>43183</v>
      </c>
      <c r="D13330" t="str">
        <f>TEST_DATA!D13330</f>
        <v>NON-NIL</v>
      </c>
      <c r="E13330">
        <f>TEST_DATA!E13330</f>
        <v>2739</v>
      </c>
    </row>
    <row r="13331" spans="1:5" x14ac:dyDescent="0.55000000000000004">
      <c r="A13331" t="str">
        <f>TEST_DATA!A13331</f>
        <v>27AAAAA13331Z5</v>
      </c>
      <c r="B13331" t="str">
        <f>TEST_DATA!B13331</f>
        <v>Jan-2018</v>
      </c>
      <c r="C13331">
        <f>TEST_DATA!C13331</f>
        <v>43296</v>
      </c>
      <c r="D13331" t="str">
        <f>TEST_DATA!D13331</f>
        <v>NON-NIL</v>
      </c>
      <c r="E13331">
        <f>TEST_DATA!E13331</f>
        <v>1657</v>
      </c>
    </row>
    <row r="13332" spans="1:5" x14ac:dyDescent="0.55000000000000004">
      <c r="A13332" t="str">
        <f>TEST_DATA!A13332</f>
        <v>27AAAAA13332Z5</v>
      </c>
      <c r="B13332" t="str">
        <f>TEST_DATA!B13332</f>
        <v>Dec-2017</v>
      </c>
      <c r="C13332">
        <f>TEST_DATA!C13332</f>
        <v>43439</v>
      </c>
      <c r="D13332" t="str">
        <f>TEST_DATA!D13332</f>
        <v>NIL</v>
      </c>
      <c r="E13332">
        <f>TEST_DATA!E13332</f>
        <v>532</v>
      </c>
    </row>
    <row r="13333" spans="1:5" x14ac:dyDescent="0.55000000000000004">
      <c r="A13333" t="str">
        <f>TEST_DATA!A13333</f>
        <v>27AAAAA13333Z5</v>
      </c>
      <c r="B13333" t="str">
        <f>TEST_DATA!B13333</f>
        <v>Aug-2018</v>
      </c>
      <c r="C13333">
        <f>TEST_DATA!C13333</f>
        <v>43602</v>
      </c>
      <c r="D13333" t="str">
        <f>TEST_DATA!D13333</f>
        <v>NON-NIL</v>
      </c>
      <c r="E13333">
        <f>TEST_DATA!E13333</f>
        <v>626</v>
      </c>
    </row>
    <row r="13334" spans="1:5" x14ac:dyDescent="0.55000000000000004">
      <c r="A13334" t="str">
        <f>TEST_DATA!A13334</f>
        <v>27AAAAA13334Z5</v>
      </c>
      <c r="B13334" t="str">
        <f>TEST_DATA!B13334</f>
        <v>Jul-2017</v>
      </c>
      <c r="C13334">
        <f>TEST_DATA!C13334</f>
        <v>44491</v>
      </c>
      <c r="D13334" t="str">
        <f>TEST_DATA!D13334</f>
        <v>NON-NIL</v>
      </c>
      <c r="E13334">
        <f>TEST_DATA!E13334</f>
        <v>2483</v>
      </c>
    </row>
    <row r="13335" spans="1:5" x14ac:dyDescent="0.55000000000000004">
      <c r="A13335" t="str">
        <f>TEST_DATA!A13335</f>
        <v>27AAAAA13335Z5</v>
      </c>
      <c r="B13335" t="str">
        <f>TEST_DATA!B13335</f>
        <v>Jun-2019</v>
      </c>
      <c r="C13335">
        <f>TEST_DATA!C13335</f>
        <v>43681</v>
      </c>
      <c r="D13335" t="str">
        <f>TEST_DATA!D13335</f>
        <v>NON-NIL</v>
      </c>
      <c r="E13335">
        <f>TEST_DATA!E13335</f>
        <v>2011</v>
      </c>
    </row>
    <row r="13336" spans="1:5" x14ac:dyDescent="0.55000000000000004">
      <c r="A13336" t="str">
        <f>TEST_DATA!A13336</f>
        <v>27AAAAA13336Z5</v>
      </c>
      <c r="B13336" t="str">
        <f>TEST_DATA!B13336</f>
        <v>Aug-2017</v>
      </c>
      <c r="C13336">
        <f>TEST_DATA!C13336</f>
        <v>43902</v>
      </c>
      <c r="D13336" t="str">
        <f>TEST_DATA!D13336</f>
        <v>NIL</v>
      </c>
      <c r="E13336">
        <f>TEST_DATA!E13336</f>
        <v>1806</v>
      </c>
    </row>
    <row r="13337" spans="1:5" x14ac:dyDescent="0.55000000000000004">
      <c r="A13337" t="str">
        <f>TEST_DATA!A13337</f>
        <v>27AAAAA13337Z5</v>
      </c>
      <c r="B13337" t="str">
        <f>TEST_DATA!B13337</f>
        <v>Apr-2020</v>
      </c>
      <c r="C13337">
        <f>TEST_DATA!C13337</f>
        <v>44890</v>
      </c>
      <c r="D13337" t="str">
        <f>TEST_DATA!D13337</f>
        <v>NON-NIL</v>
      </c>
      <c r="E13337">
        <f>TEST_DATA!E13337</f>
        <v>2026</v>
      </c>
    </row>
    <row r="13338" spans="1:5" x14ac:dyDescent="0.55000000000000004">
      <c r="A13338" t="str">
        <f>TEST_DATA!A13338</f>
        <v>27AAAAA13338Z5</v>
      </c>
      <c r="B13338" t="str">
        <f>TEST_DATA!B13338</f>
        <v>Jun-2020</v>
      </c>
      <c r="C13338">
        <f>TEST_DATA!C13338</f>
        <v>44504</v>
      </c>
      <c r="D13338" t="str">
        <f>TEST_DATA!D13338</f>
        <v>NIL</v>
      </c>
      <c r="E13338">
        <f>TEST_DATA!E13338</f>
        <v>2868</v>
      </c>
    </row>
    <row r="13339" spans="1:5" x14ac:dyDescent="0.55000000000000004">
      <c r="A13339" t="str">
        <f>TEST_DATA!A13339</f>
        <v>27AAAAA13339Z5</v>
      </c>
      <c r="B13339" t="str">
        <f>TEST_DATA!B13339</f>
        <v>May-2020</v>
      </c>
      <c r="C13339">
        <f>TEST_DATA!C13339</f>
        <v>44221</v>
      </c>
      <c r="D13339" t="str">
        <f>TEST_DATA!D13339</f>
        <v>NON-NIL</v>
      </c>
      <c r="E13339">
        <f>TEST_DATA!E13339</f>
        <v>799</v>
      </c>
    </row>
    <row r="13340" spans="1:5" x14ac:dyDescent="0.55000000000000004">
      <c r="A13340" t="str">
        <f>TEST_DATA!A13340</f>
        <v>27AAAAA13340Z5</v>
      </c>
      <c r="B13340" t="str">
        <f>TEST_DATA!B13340</f>
        <v>Jul-2018</v>
      </c>
      <c r="C13340">
        <f>TEST_DATA!C13340</f>
        <v>44075</v>
      </c>
      <c r="D13340" t="str">
        <f>TEST_DATA!D13340</f>
        <v>NIL</v>
      </c>
      <c r="E13340">
        <f>TEST_DATA!E13340</f>
        <v>2126</v>
      </c>
    </row>
    <row r="13341" spans="1:5" x14ac:dyDescent="0.55000000000000004">
      <c r="A13341" t="str">
        <f>TEST_DATA!A13341</f>
        <v>27AAAAA13341Z5</v>
      </c>
      <c r="B13341" t="str">
        <f>TEST_DATA!B13341</f>
        <v>Apr-2018</v>
      </c>
      <c r="C13341">
        <f>TEST_DATA!C13341</f>
        <v>43658</v>
      </c>
      <c r="D13341" t="str">
        <f>TEST_DATA!D13341</f>
        <v>NON-NIL</v>
      </c>
      <c r="E13341">
        <f>TEST_DATA!E13341</f>
        <v>1096</v>
      </c>
    </row>
    <row r="13342" spans="1:5" x14ac:dyDescent="0.55000000000000004">
      <c r="A13342" t="str">
        <f>TEST_DATA!A13342</f>
        <v>27AAAAA13342Z5</v>
      </c>
      <c r="B13342" t="str">
        <f>TEST_DATA!B13342</f>
        <v>Oct-2017</v>
      </c>
      <c r="C13342">
        <f>TEST_DATA!C13342</f>
        <v>44307</v>
      </c>
      <c r="D13342" t="str">
        <f>TEST_DATA!D13342</f>
        <v>NIL</v>
      </c>
      <c r="E13342">
        <f>TEST_DATA!E13342</f>
        <v>2076</v>
      </c>
    </row>
    <row r="13343" spans="1:5" x14ac:dyDescent="0.55000000000000004">
      <c r="A13343" t="str">
        <f>TEST_DATA!A13343</f>
        <v>27AAAAA13343Z5</v>
      </c>
      <c r="B13343" t="str">
        <f>TEST_DATA!B13343</f>
        <v>Jun-2018</v>
      </c>
      <c r="C13343">
        <f>TEST_DATA!C13343</f>
        <v>43843</v>
      </c>
      <c r="D13343" t="str">
        <f>TEST_DATA!D13343</f>
        <v>NIL</v>
      </c>
      <c r="E13343">
        <f>TEST_DATA!E13343</f>
        <v>2159</v>
      </c>
    </row>
    <row r="13344" spans="1:5" x14ac:dyDescent="0.55000000000000004">
      <c r="A13344" t="str">
        <f>TEST_DATA!A13344</f>
        <v>27AAAAA13344Z5</v>
      </c>
      <c r="B13344" t="str">
        <f>TEST_DATA!B13344</f>
        <v>Dec-2017</v>
      </c>
      <c r="C13344">
        <f>TEST_DATA!C13344</f>
        <v>43735</v>
      </c>
      <c r="D13344" t="str">
        <f>TEST_DATA!D13344</f>
        <v>NIL</v>
      </c>
      <c r="E13344">
        <f>TEST_DATA!E13344</f>
        <v>2476</v>
      </c>
    </row>
    <row r="13345" spans="1:5" x14ac:dyDescent="0.55000000000000004">
      <c r="A13345" t="str">
        <f>TEST_DATA!A13345</f>
        <v>27AAAAA13345Z5</v>
      </c>
      <c r="B13345" t="str">
        <f>TEST_DATA!B13345</f>
        <v>Jul-2017</v>
      </c>
      <c r="C13345">
        <f>TEST_DATA!C13345</f>
        <v>43123</v>
      </c>
      <c r="D13345" t="str">
        <f>TEST_DATA!D13345</f>
        <v>NON-NIL</v>
      </c>
      <c r="E13345">
        <f>TEST_DATA!E13345</f>
        <v>1441</v>
      </c>
    </row>
    <row r="13346" spans="1:5" x14ac:dyDescent="0.55000000000000004">
      <c r="A13346" t="str">
        <f>TEST_DATA!A13346</f>
        <v>27AAAAA13346Z5</v>
      </c>
      <c r="B13346" t="str">
        <f>TEST_DATA!B13346</f>
        <v>Oct-2017</v>
      </c>
      <c r="C13346">
        <f>TEST_DATA!C13346</f>
        <v>43563</v>
      </c>
      <c r="D13346" t="str">
        <f>TEST_DATA!D13346</f>
        <v>NON-NIL</v>
      </c>
      <c r="E13346">
        <f>TEST_DATA!E13346</f>
        <v>679</v>
      </c>
    </row>
    <row r="13347" spans="1:5" x14ac:dyDescent="0.55000000000000004">
      <c r="A13347" t="str">
        <f>TEST_DATA!A13347</f>
        <v>27AAAAA13347Z5</v>
      </c>
      <c r="B13347" t="str">
        <f>TEST_DATA!B13347</f>
        <v>Jan-2019</v>
      </c>
      <c r="C13347">
        <f>TEST_DATA!C13347</f>
        <v>44629</v>
      </c>
      <c r="D13347" t="str">
        <f>TEST_DATA!D13347</f>
        <v>NON-NIL</v>
      </c>
      <c r="E13347">
        <f>TEST_DATA!E13347</f>
        <v>2225</v>
      </c>
    </row>
    <row r="13348" spans="1:5" x14ac:dyDescent="0.55000000000000004">
      <c r="A13348" t="str">
        <f>TEST_DATA!A13348</f>
        <v>27AAAAA13348Z5</v>
      </c>
      <c r="B13348" t="str">
        <f>TEST_DATA!B13348</f>
        <v>Dec-2022</v>
      </c>
      <c r="C13348">
        <f>TEST_DATA!C13348</f>
        <v>45489</v>
      </c>
      <c r="D13348" t="str">
        <f>TEST_DATA!D13348</f>
        <v>NIL</v>
      </c>
      <c r="E13348">
        <f>TEST_DATA!E13348</f>
        <v>1479</v>
      </c>
    </row>
    <row r="13349" spans="1:5" x14ac:dyDescent="0.55000000000000004">
      <c r="A13349" t="str">
        <f>TEST_DATA!A13349</f>
        <v>27AAAAA13349Z5</v>
      </c>
      <c r="B13349" t="str">
        <f>TEST_DATA!B13349</f>
        <v>May-2020</v>
      </c>
      <c r="C13349">
        <f>TEST_DATA!C13349</f>
        <v>44509</v>
      </c>
      <c r="D13349" t="str">
        <f>TEST_DATA!D13349</f>
        <v>NIL</v>
      </c>
      <c r="E13349">
        <f>TEST_DATA!E13349</f>
        <v>790</v>
      </c>
    </row>
    <row r="13350" spans="1:5" x14ac:dyDescent="0.55000000000000004">
      <c r="A13350" t="str">
        <f>TEST_DATA!A13350</f>
        <v>27AAAAA13350Z5</v>
      </c>
      <c r="B13350" t="str">
        <f>TEST_DATA!B13350</f>
        <v>Jan-2018</v>
      </c>
      <c r="C13350">
        <f>TEST_DATA!C13350</f>
        <v>43061</v>
      </c>
      <c r="D13350" t="str">
        <f>TEST_DATA!D13350</f>
        <v>NON-NIL</v>
      </c>
      <c r="E13350">
        <f>TEST_DATA!E13350</f>
        <v>2351</v>
      </c>
    </row>
    <row r="13351" spans="1:5" x14ac:dyDescent="0.55000000000000004">
      <c r="A13351" t="str">
        <f>TEST_DATA!A13351</f>
        <v>27AAAAA13351Z5</v>
      </c>
      <c r="B13351" t="str">
        <f>TEST_DATA!B13351</f>
        <v>Mar-2021</v>
      </c>
      <c r="C13351">
        <f>TEST_DATA!C13351</f>
        <v>44398</v>
      </c>
      <c r="D13351" t="str">
        <f>TEST_DATA!D13351</f>
        <v>NIL</v>
      </c>
      <c r="E13351">
        <f>TEST_DATA!E13351</f>
        <v>2724</v>
      </c>
    </row>
    <row r="13352" spans="1:5" x14ac:dyDescent="0.55000000000000004">
      <c r="A13352" t="str">
        <f>TEST_DATA!A13352</f>
        <v>27AAAAA13352Z5</v>
      </c>
      <c r="B13352" t="str">
        <f>TEST_DATA!B13352</f>
        <v>Jan-2018</v>
      </c>
      <c r="C13352">
        <f>TEST_DATA!C13352</f>
        <v>44230</v>
      </c>
      <c r="D13352" t="str">
        <f>TEST_DATA!D13352</f>
        <v>NON-NIL</v>
      </c>
      <c r="E13352">
        <f>TEST_DATA!E13352</f>
        <v>2027</v>
      </c>
    </row>
    <row r="13353" spans="1:5" x14ac:dyDescent="0.55000000000000004">
      <c r="A13353" t="str">
        <f>TEST_DATA!A13353</f>
        <v>27AAAAA13353Z5</v>
      </c>
      <c r="B13353" t="str">
        <f>TEST_DATA!B13353</f>
        <v>May-2018</v>
      </c>
      <c r="C13353">
        <f>TEST_DATA!C13353</f>
        <v>43701</v>
      </c>
      <c r="D13353" t="str">
        <f>TEST_DATA!D13353</f>
        <v>NIL</v>
      </c>
      <c r="E13353">
        <f>TEST_DATA!E13353</f>
        <v>2524</v>
      </c>
    </row>
    <row r="13354" spans="1:5" x14ac:dyDescent="0.55000000000000004">
      <c r="A13354" t="str">
        <f>TEST_DATA!A13354</f>
        <v>27AAAAA13354Z5</v>
      </c>
      <c r="B13354" t="str">
        <f>TEST_DATA!B13354</f>
        <v>Dec-2022</v>
      </c>
      <c r="C13354">
        <f>TEST_DATA!C13354</f>
        <v>45198</v>
      </c>
      <c r="D13354" t="str">
        <f>TEST_DATA!D13354</f>
        <v>NIL</v>
      </c>
      <c r="E13354">
        <f>TEST_DATA!E13354</f>
        <v>1903</v>
      </c>
    </row>
    <row r="13355" spans="1:5" x14ac:dyDescent="0.55000000000000004">
      <c r="A13355" t="str">
        <f>TEST_DATA!A13355</f>
        <v>27AAAAA13355Z5</v>
      </c>
      <c r="B13355" t="str">
        <f>TEST_DATA!B13355</f>
        <v>Jul-2018</v>
      </c>
      <c r="C13355">
        <f>TEST_DATA!C13355</f>
        <v>43655</v>
      </c>
      <c r="D13355" t="str">
        <f>TEST_DATA!D13355</f>
        <v>NIL</v>
      </c>
      <c r="E13355">
        <f>TEST_DATA!E13355</f>
        <v>583</v>
      </c>
    </row>
    <row r="13356" spans="1:5" x14ac:dyDescent="0.55000000000000004">
      <c r="A13356" t="str">
        <f>TEST_DATA!A13356</f>
        <v>27AAAAA13356Z5</v>
      </c>
      <c r="B13356" t="str">
        <f>TEST_DATA!B13356</f>
        <v>Oct-2017</v>
      </c>
      <c r="C13356">
        <f>TEST_DATA!C13356</f>
        <v>44560</v>
      </c>
      <c r="D13356" t="str">
        <f>TEST_DATA!D13356</f>
        <v>NIL</v>
      </c>
      <c r="E13356">
        <f>TEST_DATA!E13356</f>
        <v>83</v>
      </c>
    </row>
    <row r="13357" spans="1:5" x14ac:dyDescent="0.55000000000000004">
      <c r="A13357" t="str">
        <f>TEST_DATA!A13357</f>
        <v>27AAAAA13357Z5</v>
      </c>
      <c r="B13357" t="str">
        <f>TEST_DATA!B13357</f>
        <v>Apr-2021</v>
      </c>
      <c r="C13357">
        <f>TEST_DATA!C13357</f>
        <v>43643</v>
      </c>
      <c r="D13357" t="str">
        <f>TEST_DATA!D13357</f>
        <v>NIL</v>
      </c>
      <c r="E13357">
        <f>TEST_DATA!E13357</f>
        <v>2042</v>
      </c>
    </row>
    <row r="13358" spans="1:5" x14ac:dyDescent="0.55000000000000004">
      <c r="A13358" t="str">
        <f>TEST_DATA!A13358</f>
        <v>27AAAAA13358Z5</v>
      </c>
      <c r="B13358" t="str">
        <f>TEST_DATA!B13358</f>
        <v>Jun-2019</v>
      </c>
      <c r="C13358">
        <f>TEST_DATA!C13358</f>
        <v>45203</v>
      </c>
      <c r="D13358" t="str">
        <f>TEST_DATA!D13358</f>
        <v>NON-NIL</v>
      </c>
      <c r="E13358">
        <f>TEST_DATA!E13358</f>
        <v>2715</v>
      </c>
    </row>
    <row r="13359" spans="1:5" x14ac:dyDescent="0.55000000000000004">
      <c r="A13359" t="str">
        <f>TEST_DATA!A13359</f>
        <v>27AAAAA13359Z5</v>
      </c>
      <c r="B13359" t="str">
        <f>TEST_DATA!B13359</f>
        <v>Apr-2020</v>
      </c>
      <c r="C13359">
        <f>TEST_DATA!C13359</f>
        <v>44561</v>
      </c>
      <c r="D13359" t="str">
        <f>TEST_DATA!D13359</f>
        <v>NON-NIL</v>
      </c>
      <c r="E13359">
        <f>TEST_DATA!E13359</f>
        <v>231</v>
      </c>
    </row>
    <row r="13360" spans="1:5" x14ac:dyDescent="0.55000000000000004">
      <c r="A13360" t="str">
        <f>TEST_DATA!A13360</f>
        <v>27AAAAA13360Z5</v>
      </c>
      <c r="B13360" t="str">
        <f>TEST_DATA!B13360</f>
        <v>Mar-2021</v>
      </c>
      <c r="C13360">
        <f>TEST_DATA!C13360</f>
        <v>43486</v>
      </c>
      <c r="D13360" t="str">
        <f>TEST_DATA!D13360</f>
        <v>NON-NIL</v>
      </c>
      <c r="E13360">
        <f>TEST_DATA!E13360</f>
        <v>494</v>
      </c>
    </row>
    <row r="13361" spans="1:5" x14ac:dyDescent="0.55000000000000004">
      <c r="A13361" t="str">
        <f>TEST_DATA!A13361</f>
        <v>27AAAAA13361Z5</v>
      </c>
      <c r="B13361" t="str">
        <f>TEST_DATA!B13361</f>
        <v>May-2020</v>
      </c>
      <c r="C13361">
        <f>TEST_DATA!C13361</f>
        <v>44087</v>
      </c>
      <c r="D13361" t="str">
        <f>TEST_DATA!D13361</f>
        <v>NON-NIL</v>
      </c>
      <c r="E13361">
        <f>TEST_DATA!E13361</f>
        <v>931</v>
      </c>
    </row>
    <row r="13362" spans="1:5" x14ac:dyDescent="0.55000000000000004">
      <c r="A13362" t="str">
        <f>TEST_DATA!A13362</f>
        <v>27AAAAA13362Z5</v>
      </c>
      <c r="B13362" t="str">
        <f>TEST_DATA!B13362</f>
        <v>Jun-2019</v>
      </c>
      <c r="C13362">
        <f>TEST_DATA!C13362</f>
        <v>43684</v>
      </c>
      <c r="D13362" t="str">
        <f>TEST_DATA!D13362</f>
        <v>NON-NIL</v>
      </c>
      <c r="E13362">
        <f>TEST_DATA!E13362</f>
        <v>791</v>
      </c>
    </row>
    <row r="13363" spans="1:5" x14ac:dyDescent="0.55000000000000004">
      <c r="A13363" t="str">
        <f>TEST_DATA!A13363</f>
        <v>27AAAAA13363Z5</v>
      </c>
      <c r="B13363" t="str">
        <f>TEST_DATA!B13363</f>
        <v>Oct-2017</v>
      </c>
      <c r="C13363">
        <f>TEST_DATA!C13363</f>
        <v>44174</v>
      </c>
      <c r="D13363" t="str">
        <f>TEST_DATA!D13363</f>
        <v>NIL</v>
      </c>
      <c r="E13363">
        <f>TEST_DATA!E13363</f>
        <v>1355</v>
      </c>
    </row>
    <row r="13364" spans="1:5" x14ac:dyDescent="0.55000000000000004">
      <c r="A13364" t="str">
        <f>TEST_DATA!A13364</f>
        <v>27AAAAA13364Z5</v>
      </c>
      <c r="B13364" t="str">
        <f>TEST_DATA!B13364</f>
        <v>Dec-2024</v>
      </c>
      <c r="C13364">
        <f>TEST_DATA!C13364</f>
        <v>44349</v>
      </c>
      <c r="D13364" t="str">
        <f>TEST_DATA!D13364</f>
        <v>NON-NIL</v>
      </c>
      <c r="E13364">
        <f>TEST_DATA!E13364</f>
        <v>1569</v>
      </c>
    </row>
    <row r="13365" spans="1:5" x14ac:dyDescent="0.55000000000000004">
      <c r="A13365" t="str">
        <f>TEST_DATA!A13365</f>
        <v>27AAAAA13365Z5</v>
      </c>
      <c r="B13365" t="str">
        <f>TEST_DATA!B13365</f>
        <v>Apr-2020</v>
      </c>
      <c r="C13365">
        <f>TEST_DATA!C13365</f>
        <v>44257</v>
      </c>
      <c r="D13365" t="str">
        <f>TEST_DATA!D13365</f>
        <v>NIL</v>
      </c>
      <c r="E13365">
        <f>TEST_DATA!E13365</f>
        <v>2990</v>
      </c>
    </row>
    <row r="13366" spans="1:5" x14ac:dyDescent="0.55000000000000004">
      <c r="A13366" t="str">
        <f>TEST_DATA!A13366</f>
        <v>27AAAAA13366Z5</v>
      </c>
      <c r="B13366" t="str">
        <f>TEST_DATA!B13366</f>
        <v>Dec-2019</v>
      </c>
      <c r="C13366">
        <f>TEST_DATA!C13366</f>
        <v>45381</v>
      </c>
      <c r="D13366" t="str">
        <f>TEST_DATA!D13366</f>
        <v>NIL</v>
      </c>
      <c r="E13366">
        <f>TEST_DATA!E13366</f>
        <v>2903</v>
      </c>
    </row>
    <row r="13367" spans="1:5" x14ac:dyDescent="0.55000000000000004">
      <c r="A13367" t="str">
        <f>TEST_DATA!A13367</f>
        <v>27AAAAA13367Z5</v>
      </c>
      <c r="B13367" t="str">
        <f>TEST_DATA!B13367</f>
        <v>Mar-2023</v>
      </c>
      <c r="C13367">
        <f>TEST_DATA!C13367</f>
        <v>45505</v>
      </c>
      <c r="D13367" t="str">
        <f>TEST_DATA!D13367</f>
        <v>NON-NIL</v>
      </c>
      <c r="E13367">
        <f>TEST_DATA!E13367</f>
        <v>2766</v>
      </c>
    </row>
    <row r="13368" spans="1:5" x14ac:dyDescent="0.55000000000000004">
      <c r="A13368" t="str">
        <f>TEST_DATA!A13368</f>
        <v>27AAAAA13368Z5</v>
      </c>
      <c r="B13368" t="str">
        <f>TEST_DATA!B13368</f>
        <v>Dec-2022</v>
      </c>
      <c r="C13368">
        <f>TEST_DATA!C13368</f>
        <v>45042</v>
      </c>
      <c r="D13368" t="str">
        <f>TEST_DATA!D13368</f>
        <v>NIL</v>
      </c>
      <c r="E13368">
        <f>TEST_DATA!E13368</f>
        <v>733</v>
      </c>
    </row>
    <row r="13369" spans="1:5" x14ac:dyDescent="0.55000000000000004">
      <c r="A13369" t="str">
        <f>TEST_DATA!A13369</f>
        <v>27AAAAA13369Z5</v>
      </c>
      <c r="B13369" t="str">
        <f>TEST_DATA!B13369</f>
        <v>Jul-2018</v>
      </c>
      <c r="C13369">
        <f>TEST_DATA!C13369</f>
        <v>43972</v>
      </c>
      <c r="D13369" t="str">
        <f>TEST_DATA!D13369</f>
        <v>NON-NIL</v>
      </c>
      <c r="E13369">
        <f>TEST_DATA!E13369</f>
        <v>1299</v>
      </c>
    </row>
    <row r="13370" spans="1:5" x14ac:dyDescent="0.55000000000000004">
      <c r="A13370" t="str">
        <f>TEST_DATA!A13370</f>
        <v>27AAAAA13370Z5</v>
      </c>
      <c r="B13370" t="str">
        <f>TEST_DATA!B13370</f>
        <v>Jan-2018</v>
      </c>
      <c r="C13370">
        <f>TEST_DATA!C13370</f>
        <v>43098</v>
      </c>
      <c r="D13370" t="str">
        <f>TEST_DATA!D13370</f>
        <v>NIL</v>
      </c>
      <c r="E13370">
        <f>TEST_DATA!E13370</f>
        <v>1425</v>
      </c>
    </row>
    <row r="13371" spans="1:5" x14ac:dyDescent="0.55000000000000004">
      <c r="A13371" t="str">
        <f>TEST_DATA!A13371</f>
        <v>27AAAAA13371Z5</v>
      </c>
      <c r="B13371" t="str">
        <f>TEST_DATA!B13371</f>
        <v>Dec-2017</v>
      </c>
      <c r="C13371">
        <f>TEST_DATA!C13371</f>
        <v>44285</v>
      </c>
      <c r="D13371" t="str">
        <f>TEST_DATA!D13371</f>
        <v>NON-NIL</v>
      </c>
      <c r="E13371">
        <f>TEST_DATA!E13371</f>
        <v>845</v>
      </c>
    </row>
    <row r="13372" spans="1:5" x14ac:dyDescent="0.55000000000000004">
      <c r="A13372" t="str">
        <f>TEST_DATA!A13372</f>
        <v>27AAAAA13372Z5</v>
      </c>
      <c r="B13372" t="str">
        <f>TEST_DATA!B13372</f>
        <v>Dec-2019</v>
      </c>
      <c r="C13372">
        <f>TEST_DATA!C13372</f>
        <v>45481</v>
      </c>
      <c r="D13372" t="str">
        <f>TEST_DATA!D13372</f>
        <v>NIL</v>
      </c>
      <c r="E13372">
        <f>TEST_DATA!E13372</f>
        <v>2688</v>
      </c>
    </row>
    <row r="13373" spans="1:5" x14ac:dyDescent="0.55000000000000004">
      <c r="A13373" t="str">
        <f>TEST_DATA!A13373</f>
        <v>27AAAAA13373Z5</v>
      </c>
      <c r="B13373" t="str">
        <f>TEST_DATA!B13373</f>
        <v>Jul-2017</v>
      </c>
      <c r="C13373">
        <f>TEST_DATA!C13373</f>
        <v>43827</v>
      </c>
      <c r="D13373" t="str">
        <f>TEST_DATA!D13373</f>
        <v>NON-NIL</v>
      </c>
      <c r="E13373">
        <f>TEST_DATA!E13373</f>
        <v>1827</v>
      </c>
    </row>
    <row r="13374" spans="1:5" x14ac:dyDescent="0.55000000000000004">
      <c r="A13374" t="str">
        <f>TEST_DATA!A13374</f>
        <v>27AAAAA13374Z5</v>
      </c>
      <c r="B13374" t="str">
        <f>TEST_DATA!B13374</f>
        <v>Apr-2020</v>
      </c>
      <c r="C13374">
        <f>TEST_DATA!C13374</f>
        <v>44225</v>
      </c>
      <c r="D13374" t="str">
        <f>TEST_DATA!D13374</f>
        <v>NIL</v>
      </c>
      <c r="E13374">
        <f>TEST_DATA!E13374</f>
        <v>1271</v>
      </c>
    </row>
    <row r="13375" spans="1:5" x14ac:dyDescent="0.55000000000000004">
      <c r="A13375" t="str">
        <f>TEST_DATA!A13375</f>
        <v>27AAAAA13375Z5</v>
      </c>
      <c r="B13375" t="str">
        <f>TEST_DATA!B13375</f>
        <v>Mar-2023</v>
      </c>
      <c r="C13375">
        <f>TEST_DATA!C13375</f>
        <v>44693</v>
      </c>
      <c r="D13375" t="str">
        <f>TEST_DATA!D13375</f>
        <v>NON-NIL</v>
      </c>
      <c r="E13375">
        <f>TEST_DATA!E13375</f>
        <v>2679</v>
      </c>
    </row>
    <row r="13376" spans="1:5" x14ac:dyDescent="0.55000000000000004">
      <c r="A13376" t="str">
        <f>TEST_DATA!A13376</f>
        <v>27AAAAA13376Z5</v>
      </c>
      <c r="B13376" t="str">
        <f>TEST_DATA!B13376</f>
        <v>Apr-2020</v>
      </c>
      <c r="C13376">
        <f>TEST_DATA!C13376</f>
        <v>44379</v>
      </c>
      <c r="D13376" t="str">
        <f>TEST_DATA!D13376</f>
        <v>NIL</v>
      </c>
      <c r="E13376">
        <f>TEST_DATA!E13376</f>
        <v>2431</v>
      </c>
    </row>
    <row r="13377" spans="1:5" x14ac:dyDescent="0.55000000000000004">
      <c r="A13377" t="str">
        <f>TEST_DATA!A13377</f>
        <v>27AAAAA13377Z5</v>
      </c>
      <c r="B13377" t="str">
        <f>TEST_DATA!B13377</f>
        <v>Jul-2020</v>
      </c>
      <c r="C13377">
        <f>TEST_DATA!C13377</f>
        <v>44600</v>
      </c>
      <c r="D13377" t="str">
        <f>TEST_DATA!D13377</f>
        <v>NON-NIL</v>
      </c>
      <c r="E13377">
        <f>TEST_DATA!E13377</f>
        <v>1292</v>
      </c>
    </row>
    <row r="13378" spans="1:5" x14ac:dyDescent="0.55000000000000004">
      <c r="A13378" t="str">
        <f>TEST_DATA!A13378</f>
        <v>27AAAAA13378Z5</v>
      </c>
      <c r="B13378" t="str">
        <f>TEST_DATA!B13378</f>
        <v>Jun-2020</v>
      </c>
      <c r="C13378">
        <f>TEST_DATA!C13378</f>
        <v>44618</v>
      </c>
      <c r="D13378" t="str">
        <f>TEST_DATA!D13378</f>
        <v>NIL</v>
      </c>
      <c r="E13378">
        <f>TEST_DATA!E13378</f>
        <v>2592</v>
      </c>
    </row>
    <row r="13379" spans="1:5" x14ac:dyDescent="0.55000000000000004">
      <c r="A13379" t="str">
        <f>TEST_DATA!A13379</f>
        <v>27AAAAA13379Z5</v>
      </c>
      <c r="B13379" t="str">
        <f>TEST_DATA!B13379</f>
        <v>Mar-2018</v>
      </c>
      <c r="C13379">
        <f>TEST_DATA!C13379</f>
        <v>44287</v>
      </c>
      <c r="D13379" t="str">
        <f>TEST_DATA!D13379</f>
        <v>NIL</v>
      </c>
      <c r="E13379">
        <f>TEST_DATA!E13379</f>
        <v>2264</v>
      </c>
    </row>
    <row r="13380" spans="1:5" x14ac:dyDescent="0.55000000000000004">
      <c r="A13380" t="str">
        <f>TEST_DATA!A13380</f>
        <v>27AAAAA13380Z5</v>
      </c>
      <c r="B13380" t="str">
        <f>TEST_DATA!B13380</f>
        <v>Mar-2018</v>
      </c>
      <c r="C13380">
        <f>TEST_DATA!C13380</f>
        <v>42929</v>
      </c>
      <c r="D13380" t="str">
        <f>TEST_DATA!D13380</f>
        <v>NIL</v>
      </c>
      <c r="E13380">
        <f>TEST_DATA!E13380</f>
        <v>2019</v>
      </c>
    </row>
    <row r="13381" spans="1:5" x14ac:dyDescent="0.55000000000000004">
      <c r="A13381" t="str">
        <f>TEST_DATA!A13381</f>
        <v>27AAAAA13381Z5</v>
      </c>
      <c r="B13381" t="str">
        <f>TEST_DATA!B13381</f>
        <v>Sep-2018</v>
      </c>
      <c r="C13381">
        <f>TEST_DATA!C13381</f>
        <v>44278</v>
      </c>
      <c r="D13381" t="str">
        <f>TEST_DATA!D13381</f>
        <v>NIL</v>
      </c>
      <c r="E13381">
        <f>TEST_DATA!E13381</f>
        <v>1453</v>
      </c>
    </row>
    <row r="13382" spans="1:5" x14ac:dyDescent="0.55000000000000004">
      <c r="A13382" t="str">
        <f>TEST_DATA!A13382</f>
        <v>27AAAAA13382Z5</v>
      </c>
      <c r="B13382" t="str">
        <f>TEST_DATA!B13382</f>
        <v>Sep-2018</v>
      </c>
      <c r="C13382">
        <f>TEST_DATA!C13382</f>
        <v>43385</v>
      </c>
      <c r="D13382" t="str">
        <f>TEST_DATA!D13382</f>
        <v>NON-NIL</v>
      </c>
      <c r="E13382">
        <f>TEST_DATA!E13382</f>
        <v>2162</v>
      </c>
    </row>
    <row r="13383" spans="1:5" x14ac:dyDescent="0.55000000000000004">
      <c r="A13383" t="str">
        <f>TEST_DATA!A13383</f>
        <v>27AAAAA13383Z5</v>
      </c>
      <c r="B13383" t="str">
        <f>TEST_DATA!B13383</f>
        <v>May-2018</v>
      </c>
      <c r="C13383">
        <f>TEST_DATA!C13383</f>
        <v>42928</v>
      </c>
      <c r="D13383" t="str">
        <f>TEST_DATA!D13383</f>
        <v>NON-NIL</v>
      </c>
      <c r="E13383">
        <f>TEST_DATA!E13383</f>
        <v>240</v>
      </c>
    </row>
    <row r="13384" spans="1:5" x14ac:dyDescent="0.55000000000000004">
      <c r="A13384" t="str">
        <f>TEST_DATA!A13384</f>
        <v>27AAAAA13384Z5</v>
      </c>
      <c r="B13384" t="str">
        <f>TEST_DATA!B13384</f>
        <v>May-2018</v>
      </c>
      <c r="C13384">
        <f>TEST_DATA!C13384</f>
        <v>44297</v>
      </c>
      <c r="D13384" t="str">
        <f>TEST_DATA!D13384</f>
        <v>NIL</v>
      </c>
      <c r="E13384">
        <f>TEST_DATA!E13384</f>
        <v>2218</v>
      </c>
    </row>
    <row r="13385" spans="1:5" x14ac:dyDescent="0.55000000000000004">
      <c r="A13385" t="str">
        <f>TEST_DATA!A13385</f>
        <v>27AAAAA13385Z5</v>
      </c>
      <c r="B13385" t="str">
        <f>TEST_DATA!B13385</f>
        <v>Nov-2017</v>
      </c>
      <c r="C13385">
        <f>TEST_DATA!C13385</f>
        <v>43632</v>
      </c>
      <c r="D13385" t="str">
        <f>TEST_DATA!D13385</f>
        <v>NIL</v>
      </c>
      <c r="E13385">
        <f>TEST_DATA!E13385</f>
        <v>2647</v>
      </c>
    </row>
    <row r="13386" spans="1:5" x14ac:dyDescent="0.55000000000000004">
      <c r="A13386" t="str">
        <f>TEST_DATA!A13386</f>
        <v>27AAAAA13386Z5</v>
      </c>
      <c r="B13386" t="str">
        <f>TEST_DATA!B13386</f>
        <v>Oct-2017</v>
      </c>
      <c r="C13386">
        <f>TEST_DATA!C13386</f>
        <v>44535</v>
      </c>
      <c r="D13386" t="str">
        <f>TEST_DATA!D13386</f>
        <v>NIL</v>
      </c>
      <c r="E13386">
        <f>TEST_DATA!E13386</f>
        <v>784</v>
      </c>
    </row>
    <row r="13387" spans="1:5" x14ac:dyDescent="0.55000000000000004">
      <c r="A13387" t="str">
        <f>TEST_DATA!A13387</f>
        <v>27AAAAA13387Z5</v>
      </c>
      <c r="B13387" t="str">
        <f>TEST_DATA!B13387</f>
        <v>Sep-2017</v>
      </c>
      <c r="C13387">
        <f>TEST_DATA!C13387</f>
        <v>44254</v>
      </c>
      <c r="D13387" t="str">
        <f>TEST_DATA!D13387</f>
        <v>NON-NIL</v>
      </c>
      <c r="E13387">
        <f>TEST_DATA!E13387</f>
        <v>1855</v>
      </c>
    </row>
    <row r="13388" spans="1:5" x14ac:dyDescent="0.55000000000000004">
      <c r="A13388" t="str">
        <f>TEST_DATA!A13388</f>
        <v>27AAAAA13388Z5</v>
      </c>
      <c r="B13388" t="str">
        <f>TEST_DATA!B13388</f>
        <v>Nov-2017</v>
      </c>
      <c r="C13388">
        <f>TEST_DATA!C13388</f>
        <v>42955</v>
      </c>
      <c r="D13388" t="str">
        <f>TEST_DATA!D13388</f>
        <v>NON-NIL</v>
      </c>
      <c r="E13388">
        <f>TEST_DATA!E13388</f>
        <v>1454</v>
      </c>
    </row>
    <row r="13389" spans="1:5" x14ac:dyDescent="0.55000000000000004">
      <c r="A13389" t="str">
        <f>TEST_DATA!A13389</f>
        <v>27AAAAA13389Z5</v>
      </c>
      <c r="B13389" t="str">
        <f>TEST_DATA!B13389</f>
        <v>Mar-2020</v>
      </c>
      <c r="C13389">
        <f>TEST_DATA!C13389</f>
        <v>44046</v>
      </c>
      <c r="D13389" t="str">
        <f>TEST_DATA!D13389</f>
        <v>NON-NIL</v>
      </c>
      <c r="E13389">
        <f>TEST_DATA!E13389</f>
        <v>1137</v>
      </c>
    </row>
    <row r="13390" spans="1:5" x14ac:dyDescent="0.55000000000000004">
      <c r="A13390" t="str">
        <f>TEST_DATA!A13390</f>
        <v>27AAAAA13390Z5</v>
      </c>
      <c r="B13390" t="str">
        <f>TEST_DATA!B13390</f>
        <v>Dec-2022</v>
      </c>
      <c r="C13390">
        <f>TEST_DATA!C13390</f>
        <v>44994</v>
      </c>
      <c r="D13390" t="str">
        <f>TEST_DATA!D13390</f>
        <v>NON-NIL</v>
      </c>
      <c r="E13390">
        <f>TEST_DATA!E13390</f>
        <v>1759</v>
      </c>
    </row>
    <row r="13391" spans="1:5" x14ac:dyDescent="0.55000000000000004">
      <c r="A13391" t="str">
        <f>TEST_DATA!A13391</f>
        <v>27AAAAA13391Z5</v>
      </c>
      <c r="B13391" t="str">
        <f>TEST_DATA!B13391</f>
        <v>Sep-2017</v>
      </c>
      <c r="C13391">
        <f>TEST_DATA!C13391</f>
        <v>44185</v>
      </c>
      <c r="D13391" t="str">
        <f>TEST_DATA!D13391</f>
        <v>NON-NIL</v>
      </c>
      <c r="E13391">
        <f>TEST_DATA!E13391</f>
        <v>1648</v>
      </c>
    </row>
    <row r="13392" spans="1:5" x14ac:dyDescent="0.55000000000000004">
      <c r="A13392" t="str">
        <f>TEST_DATA!A13392</f>
        <v>27AAAAA13392Z5</v>
      </c>
      <c r="B13392" t="str">
        <f>TEST_DATA!B13392</f>
        <v>Jan-2021</v>
      </c>
      <c r="C13392">
        <f>TEST_DATA!C13392</f>
        <v>45346</v>
      </c>
      <c r="D13392" t="str">
        <f>TEST_DATA!D13392</f>
        <v>NON-NIL</v>
      </c>
      <c r="E13392">
        <f>TEST_DATA!E13392</f>
        <v>39</v>
      </c>
    </row>
    <row r="13393" spans="1:5" x14ac:dyDescent="0.55000000000000004">
      <c r="A13393" t="str">
        <f>TEST_DATA!A13393</f>
        <v>27AAAAA13393Z5</v>
      </c>
      <c r="B13393" t="str">
        <f>TEST_DATA!B13393</f>
        <v>Sep-2017</v>
      </c>
      <c r="C13393">
        <f>TEST_DATA!C13393</f>
        <v>44391</v>
      </c>
      <c r="D13393" t="str">
        <f>TEST_DATA!D13393</f>
        <v>NON-NIL</v>
      </c>
      <c r="E13393">
        <f>TEST_DATA!E13393</f>
        <v>223</v>
      </c>
    </row>
    <row r="13394" spans="1:5" x14ac:dyDescent="0.55000000000000004">
      <c r="A13394" t="str">
        <f>TEST_DATA!A13394</f>
        <v>27AAAAA13394Z5</v>
      </c>
      <c r="B13394" t="str">
        <f>TEST_DATA!B13394</f>
        <v>Jul-2020</v>
      </c>
      <c r="C13394">
        <f>TEST_DATA!C13394</f>
        <v>44384</v>
      </c>
      <c r="D13394" t="str">
        <f>TEST_DATA!D13394</f>
        <v>NIL</v>
      </c>
      <c r="E13394">
        <f>TEST_DATA!E13394</f>
        <v>1114</v>
      </c>
    </row>
    <row r="13395" spans="1:5" x14ac:dyDescent="0.55000000000000004">
      <c r="A13395" t="str">
        <f>TEST_DATA!A13395</f>
        <v>27AAAAA13395Z5</v>
      </c>
      <c r="B13395" t="str">
        <f>TEST_DATA!B13395</f>
        <v>Jul-2017</v>
      </c>
      <c r="C13395">
        <f>TEST_DATA!C13395</f>
        <v>44491</v>
      </c>
      <c r="D13395" t="str">
        <f>TEST_DATA!D13395</f>
        <v>NIL</v>
      </c>
      <c r="E13395">
        <f>TEST_DATA!E13395</f>
        <v>4</v>
      </c>
    </row>
    <row r="13396" spans="1:5" x14ac:dyDescent="0.55000000000000004">
      <c r="A13396" t="str">
        <f>TEST_DATA!A13396</f>
        <v>27AAAAA13396Z5</v>
      </c>
      <c r="B13396" t="str">
        <f>TEST_DATA!B13396</f>
        <v>Dec-2017</v>
      </c>
      <c r="C13396">
        <f>TEST_DATA!C13396</f>
        <v>43720</v>
      </c>
      <c r="D13396" t="str">
        <f>TEST_DATA!D13396</f>
        <v>NON-NIL</v>
      </c>
      <c r="E13396">
        <f>TEST_DATA!E13396</f>
        <v>1401</v>
      </c>
    </row>
    <row r="13397" spans="1:5" x14ac:dyDescent="0.55000000000000004">
      <c r="A13397" t="str">
        <f>TEST_DATA!A13397</f>
        <v>27AAAAA13397Z5</v>
      </c>
      <c r="B13397" t="str">
        <f>TEST_DATA!B13397</f>
        <v>Sep-2018</v>
      </c>
      <c r="C13397">
        <f>TEST_DATA!C13397</f>
        <v>43692</v>
      </c>
      <c r="D13397" t="str">
        <f>TEST_DATA!D13397</f>
        <v>NON-NIL</v>
      </c>
      <c r="E13397">
        <f>TEST_DATA!E13397</f>
        <v>1890</v>
      </c>
    </row>
    <row r="13398" spans="1:5" x14ac:dyDescent="0.55000000000000004">
      <c r="A13398" t="str">
        <f>TEST_DATA!A13398</f>
        <v>27AAAAA13398Z5</v>
      </c>
      <c r="B13398" t="str">
        <f>TEST_DATA!B13398</f>
        <v>Jun-2018</v>
      </c>
      <c r="C13398">
        <f>TEST_DATA!C13398</f>
        <v>43775</v>
      </c>
      <c r="D13398" t="str">
        <f>TEST_DATA!D13398</f>
        <v>NON-NIL</v>
      </c>
      <c r="E13398">
        <f>TEST_DATA!E13398</f>
        <v>1485</v>
      </c>
    </row>
    <row r="13399" spans="1:5" x14ac:dyDescent="0.55000000000000004">
      <c r="A13399" t="str">
        <f>TEST_DATA!A13399</f>
        <v>27AAAAA13399Z5</v>
      </c>
      <c r="B13399" t="str">
        <f>TEST_DATA!B13399</f>
        <v>Jan-2021</v>
      </c>
      <c r="C13399">
        <f>TEST_DATA!C13399</f>
        <v>45341</v>
      </c>
      <c r="D13399" t="str">
        <f>TEST_DATA!D13399</f>
        <v>NIL</v>
      </c>
      <c r="E13399">
        <f>TEST_DATA!E13399</f>
        <v>2970</v>
      </c>
    </row>
    <row r="13400" spans="1:5" x14ac:dyDescent="0.55000000000000004">
      <c r="A13400" t="str">
        <f>TEST_DATA!A13400</f>
        <v>27AAAAA13400Z5</v>
      </c>
      <c r="B13400" t="str">
        <f>TEST_DATA!B13400</f>
        <v>Nov-2017</v>
      </c>
      <c r="C13400">
        <f>TEST_DATA!C13400</f>
        <v>44121</v>
      </c>
      <c r="D13400" t="str">
        <f>TEST_DATA!D13400</f>
        <v>NON-NIL</v>
      </c>
      <c r="E13400">
        <f>TEST_DATA!E13400</f>
        <v>1964</v>
      </c>
    </row>
    <row r="13401" spans="1:5" x14ac:dyDescent="0.55000000000000004">
      <c r="A13401" t="str">
        <f>TEST_DATA!A13401</f>
        <v>27AAAAA13401Z5</v>
      </c>
      <c r="B13401" t="str">
        <f>TEST_DATA!B13401</f>
        <v>Apr-2018</v>
      </c>
      <c r="C13401">
        <f>TEST_DATA!C13401</f>
        <v>43088</v>
      </c>
      <c r="D13401" t="str">
        <f>TEST_DATA!D13401</f>
        <v>NIL</v>
      </c>
      <c r="E13401">
        <f>TEST_DATA!E13401</f>
        <v>1382</v>
      </c>
    </row>
    <row r="13402" spans="1:5" x14ac:dyDescent="0.55000000000000004">
      <c r="A13402" t="str">
        <f>TEST_DATA!A13402</f>
        <v>27AAAAA13402Z5</v>
      </c>
      <c r="B13402" t="str">
        <f>TEST_DATA!B13402</f>
        <v>Jul-2017</v>
      </c>
      <c r="C13402">
        <f>TEST_DATA!C13402</f>
        <v>43804</v>
      </c>
      <c r="D13402" t="str">
        <f>TEST_DATA!D13402</f>
        <v>NON-NIL</v>
      </c>
      <c r="E13402">
        <f>TEST_DATA!E13402</f>
        <v>2516</v>
      </c>
    </row>
    <row r="13403" spans="1:5" x14ac:dyDescent="0.55000000000000004">
      <c r="A13403" t="str">
        <f>TEST_DATA!A13403</f>
        <v>27AAAAA13403Z5</v>
      </c>
      <c r="B13403" t="str">
        <f>TEST_DATA!B13403</f>
        <v>Jul-2017</v>
      </c>
      <c r="C13403">
        <f>TEST_DATA!C13403</f>
        <v>44539</v>
      </c>
      <c r="D13403" t="str">
        <f>TEST_DATA!D13403</f>
        <v>NIL</v>
      </c>
      <c r="E13403">
        <f>TEST_DATA!E13403</f>
        <v>988</v>
      </c>
    </row>
    <row r="13404" spans="1:5" x14ac:dyDescent="0.55000000000000004">
      <c r="A13404" t="str">
        <f>TEST_DATA!A13404</f>
        <v>27AAAAA13404Z5</v>
      </c>
      <c r="B13404" t="str">
        <f>TEST_DATA!B13404</f>
        <v>Feb-2018</v>
      </c>
      <c r="C13404">
        <f>TEST_DATA!C13404</f>
        <v>43028</v>
      </c>
      <c r="D13404" t="str">
        <f>TEST_DATA!D13404</f>
        <v>NON-NIL</v>
      </c>
      <c r="E13404">
        <f>TEST_DATA!E13404</f>
        <v>1745</v>
      </c>
    </row>
    <row r="13405" spans="1:5" x14ac:dyDescent="0.55000000000000004">
      <c r="A13405" t="str">
        <f>TEST_DATA!A13405</f>
        <v>27AAAAA13405Z5</v>
      </c>
      <c r="B13405" t="str">
        <f>TEST_DATA!B13405</f>
        <v>Mar-2021</v>
      </c>
      <c r="C13405">
        <f>TEST_DATA!C13405</f>
        <v>44227</v>
      </c>
      <c r="D13405" t="str">
        <f>TEST_DATA!D13405</f>
        <v>NIL</v>
      </c>
      <c r="E13405">
        <f>TEST_DATA!E13405</f>
        <v>1272</v>
      </c>
    </row>
    <row r="13406" spans="1:5" x14ac:dyDescent="0.55000000000000004">
      <c r="A13406" t="str">
        <f>TEST_DATA!A13406</f>
        <v>27AAAAA13406Z5</v>
      </c>
      <c r="B13406" t="str">
        <f>TEST_DATA!B13406</f>
        <v>Jul-2020</v>
      </c>
      <c r="C13406">
        <f>TEST_DATA!C13406</f>
        <v>44824</v>
      </c>
      <c r="D13406" t="str">
        <f>TEST_DATA!D13406</f>
        <v>NIL</v>
      </c>
      <c r="E13406">
        <f>TEST_DATA!E13406</f>
        <v>1712</v>
      </c>
    </row>
    <row r="13407" spans="1:5" x14ac:dyDescent="0.55000000000000004">
      <c r="A13407" t="str">
        <f>TEST_DATA!A13407</f>
        <v>27AAAAA13407Z5</v>
      </c>
      <c r="B13407" t="str">
        <f>TEST_DATA!B13407</f>
        <v>Dec-2022</v>
      </c>
      <c r="C13407">
        <f>TEST_DATA!C13407</f>
        <v>43866</v>
      </c>
      <c r="D13407" t="str">
        <f>TEST_DATA!D13407</f>
        <v>NON-NIL</v>
      </c>
      <c r="E13407">
        <f>TEST_DATA!E13407</f>
        <v>1369</v>
      </c>
    </row>
    <row r="13408" spans="1:5" x14ac:dyDescent="0.55000000000000004">
      <c r="A13408" t="str">
        <f>TEST_DATA!A13408</f>
        <v>27AAAAA13408Z5</v>
      </c>
      <c r="B13408" t="str">
        <f>TEST_DATA!B13408</f>
        <v>Feb-2018</v>
      </c>
      <c r="C13408">
        <f>TEST_DATA!C13408</f>
        <v>43864</v>
      </c>
      <c r="D13408" t="str">
        <f>TEST_DATA!D13408</f>
        <v>NIL</v>
      </c>
      <c r="E13408">
        <f>TEST_DATA!E13408</f>
        <v>51</v>
      </c>
    </row>
    <row r="13409" spans="1:5" x14ac:dyDescent="0.55000000000000004">
      <c r="A13409" t="str">
        <f>TEST_DATA!A13409</f>
        <v>27AAAAA13409Z5</v>
      </c>
      <c r="B13409" t="str">
        <f>TEST_DATA!B13409</f>
        <v>May-2018</v>
      </c>
      <c r="C13409">
        <f>TEST_DATA!C13409</f>
        <v>43334</v>
      </c>
      <c r="D13409" t="str">
        <f>TEST_DATA!D13409</f>
        <v>NON-NIL</v>
      </c>
      <c r="E13409">
        <f>TEST_DATA!E13409</f>
        <v>675</v>
      </c>
    </row>
    <row r="13410" spans="1:5" x14ac:dyDescent="0.55000000000000004">
      <c r="A13410" t="str">
        <f>TEST_DATA!A13410</f>
        <v>27AAAAA13410Z5</v>
      </c>
      <c r="B13410" t="str">
        <f>TEST_DATA!B13410</f>
        <v>Dec-2019</v>
      </c>
      <c r="C13410">
        <f>TEST_DATA!C13410</f>
        <v>43466</v>
      </c>
      <c r="D13410" t="str">
        <f>TEST_DATA!D13410</f>
        <v>NON-NIL</v>
      </c>
      <c r="E13410">
        <f>TEST_DATA!E13410</f>
        <v>2905</v>
      </c>
    </row>
    <row r="13411" spans="1:5" x14ac:dyDescent="0.55000000000000004">
      <c r="A13411" t="str">
        <f>TEST_DATA!A13411</f>
        <v>27AAAAA13411Z5</v>
      </c>
      <c r="B13411" t="str">
        <f>TEST_DATA!B13411</f>
        <v>Jun-2019</v>
      </c>
      <c r="C13411">
        <f>TEST_DATA!C13411</f>
        <v>43753</v>
      </c>
      <c r="D13411" t="str">
        <f>TEST_DATA!D13411</f>
        <v>NON-NIL</v>
      </c>
      <c r="E13411">
        <f>TEST_DATA!E13411</f>
        <v>610</v>
      </c>
    </row>
    <row r="13412" spans="1:5" x14ac:dyDescent="0.55000000000000004">
      <c r="A13412" t="str">
        <f>TEST_DATA!A13412</f>
        <v>27AAAAA13412Z5</v>
      </c>
      <c r="B13412" t="str">
        <f>TEST_DATA!B13412</f>
        <v>Mar-2020</v>
      </c>
      <c r="C13412">
        <f>TEST_DATA!C13412</f>
        <v>44245</v>
      </c>
      <c r="D13412" t="str">
        <f>TEST_DATA!D13412</f>
        <v>NIL</v>
      </c>
      <c r="E13412">
        <f>TEST_DATA!E13412</f>
        <v>2357</v>
      </c>
    </row>
    <row r="13413" spans="1:5" x14ac:dyDescent="0.55000000000000004">
      <c r="A13413" t="str">
        <f>TEST_DATA!A13413</f>
        <v>27AAAAA13413Z5</v>
      </c>
      <c r="B13413" t="str">
        <f>TEST_DATA!B13413</f>
        <v>Apr-2021</v>
      </c>
      <c r="C13413">
        <f>TEST_DATA!C13413</f>
        <v>45013</v>
      </c>
      <c r="D13413" t="str">
        <f>TEST_DATA!D13413</f>
        <v>NIL</v>
      </c>
      <c r="E13413">
        <f>TEST_DATA!E13413</f>
        <v>1440</v>
      </c>
    </row>
    <row r="13414" spans="1:5" x14ac:dyDescent="0.55000000000000004">
      <c r="A13414" t="str">
        <f>TEST_DATA!A13414</f>
        <v>27AAAAA13414Z5</v>
      </c>
      <c r="B13414" t="str">
        <f>TEST_DATA!B13414</f>
        <v>Mar-2023</v>
      </c>
      <c r="C13414">
        <f>TEST_DATA!C13414</f>
        <v>43696</v>
      </c>
      <c r="D13414" t="str">
        <f>TEST_DATA!D13414</f>
        <v>NON-NIL</v>
      </c>
      <c r="E13414">
        <f>TEST_DATA!E13414</f>
        <v>456</v>
      </c>
    </row>
    <row r="13415" spans="1:5" x14ac:dyDescent="0.55000000000000004">
      <c r="A13415" t="str">
        <f>TEST_DATA!A13415</f>
        <v>27AAAAA13415Z5</v>
      </c>
      <c r="B13415" t="str">
        <f>TEST_DATA!B13415</f>
        <v>Mar-2023</v>
      </c>
      <c r="C13415">
        <f>TEST_DATA!C13415</f>
        <v>43672</v>
      </c>
      <c r="D13415" t="str">
        <f>TEST_DATA!D13415</f>
        <v>NON-NIL</v>
      </c>
      <c r="E13415">
        <f>TEST_DATA!E13415</f>
        <v>1630</v>
      </c>
    </row>
    <row r="13416" spans="1:5" x14ac:dyDescent="0.55000000000000004">
      <c r="A13416" t="str">
        <f>TEST_DATA!A13416</f>
        <v>27AAAAA13416Z5</v>
      </c>
      <c r="B13416" t="str">
        <f>TEST_DATA!B13416</f>
        <v>Oct-2017</v>
      </c>
      <c r="C13416">
        <f>TEST_DATA!C13416</f>
        <v>43730</v>
      </c>
      <c r="D13416" t="str">
        <f>TEST_DATA!D13416</f>
        <v>NIL</v>
      </c>
      <c r="E13416">
        <f>TEST_DATA!E13416</f>
        <v>902</v>
      </c>
    </row>
    <row r="13417" spans="1:5" x14ac:dyDescent="0.55000000000000004">
      <c r="A13417" t="str">
        <f>TEST_DATA!A13417</f>
        <v>27AAAAA13417Z5</v>
      </c>
      <c r="B13417" t="str">
        <f>TEST_DATA!B13417</f>
        <v>Aug-2018</v>
      </c>
      <c r="C13417">
        <f>TEST_DATA!C13417</f>
        <v>43858</v>
      </c>
      <c r="D13417" t="str">
        <f>TEST_DATA!D13417</f>
        <v>NIL</v>
      </c>
      <c r="E13417">
        <f>TEST_DATA!E13417</f>
        <v>1358</v>
      </c>
    </row>
    <row r="13418" spans="1:5" x14ac:dyDescent="0.55000000000000004">
      <c r="A13418" t="str">
        <f>TEST_DATA!A13418</f>
        <v>27AAAAA13418Z5</v>
      </c>
      <c r="B13418" t="str">
        <f>TEST_DATA!B13418</f>
        <v>Mar-2020</v>
      </c>
      <c r="C13418">
        <f>TEST_DATA!C13418</f>
        <v>43951</v>
      </c>
      <c r="D13418" t="str">
        <f>TEST_DATA!D13418</f>
        <v>NON-NIL</v>
      </c>
      <c r="E13418">
        <f>TEST_DATA!E13418</f>
        <v>485</v>
      </c>
    </row>
    <row r="13419" spans="1:5" x14ac:dyDescent="0.55000000000000004">
      <c r="A13419" t="str">
        <f>TEST_DATA!A13419</f>
        <v>27AAAAA13419Z5</v>
      </c>
      <c r="B13419" t="str">
        <f>TEST_DATA!B13419</f>
        <v>Oct-2017</v>
      </c>
      <c r="C13419">
        <f>TEST_DATA!C13419</f>
        <v>43859</v>
      </c>
      <c r="D13419" t="str">
        <f>TEST_DATA!D13419</f>
        <v>NON-NIL</v>
      </c>
      <c r="E13419">
        <f>TEST_DATA!E13419</f>
        <v>1814</v>
      </c>
    </row>
    <row r="13420" spans="1:5" x14ac:dyDescent="0.55000000000000004">
      <c r="A13420" t="str">
        <f>TEST_DATA!A13420</f>
        <v>27AAAAA13420Z5</v>
      </c>
      <c r="B13420" t="str">
        <f>TEST_DATA!B13420</f>
        <v>Apr-2020</v>
      </c>
      <c r="C13420">
        <f>TEST_DATA!C13420</f>
        <v>44713</v>
      </c>
      <c r="D13420" t="str">
        <f>TEST_DATA!D13420</f>
        <v>NIL</v>
      </c>
      <c r="E13420">
        <f>TEST_DATA!E13420</f>
        <v>425</v>
      </c>
    </row>
    <row r="13421" spans="1:5" x14ac:dyDescent="0.55000000000000004">
      <c r="A13421" t="str">
        <f>TEST_DATA!A13421</f>
        <v>27AAAAA13421Z5</v>
      </c>
      <c r="B13421" t="str">
        <f>TEST_DATA!B13421</f>
        <v>Apr-2020</v>
      </c>
      <c r="C13421">
        <f>TEST_DATA!C13421</f>
        <v>44414</v>
      </c>
      <c r="D13421" t="str">
        <f>TEST_DATA!D13421</f>
        <v>NON-NIL</v>
      </c>
      <c r="E13421">
        <f>TEST_DATA!E13421</f>
        <v>1815</v>
      </c>
    </row>
    <row r="13422" spans="1:5" x14ac:dyDescent="0.55000000000000004">
      <c r="A13422" t="str">
        <f>TEST_DATA!A13422</f>
        <v>27AAAAA13422Z5</v>
      </c>
      <c r="B13422" t="str">
        <f>TEST_DATA!B13422</f>
        <v>Aug-2017</v>
      </c>
      <c r="C13422">
        <f>TEST_DATA!C13422</f>
        <v>44079</v>
      </c>
      <c r="D13422" t="str">
        <f>TEST_DATA!D13422</f>
        <v>NON-NIL</v>
      </c>
      <c r="E13422">
        <f>TEST_DATA!E13422</f>
        <v>2757</v>
      </c>
    </row>
    <row r="13423" spans="1:5" x14ac:dyDescent="0.55000000000000004">
      <c r="A13423" t="str">
        <f>TEST_DATA!A13423</f>
        <v>27AAAAA13423Z5</v>
      </c>
      <c r="B13423" t="str">
        <f>TEST_DATA!B13423</f>
        <v>Aug-2017</v>
      </c>
      <c r="C13423">
        <f>TEST_DATA!C13423</f>
        <v>44042</v>
      </c>
      <c r="D13423" t="str">
        <f>TEST_DATA!D13423</f>
        <v>NON-NIL</v>
      </c>
      <c r="E13423">
        <f>TEST_DATA!E13423</f>
        <v>1110</v>
      </c>
    </row>
    <row r="13424" spans="1:5" x14ac:dyDescent="0.55000000000000004">
      <c r="A13424" t="str">
        <f>TEST_DATA!A13424</f>
        <v>27AAAAA13424Z5</v>
      </c>
      <c r="B13424" t="str">
        <f>TEST_DATA!B13424</f>
        <v>Apr-2020</v>
      </c>
      <c r="C13424">
        <f>TEST_DATA!C13424</f>
        <v>44691</v>
      </c>
      <c r="D13424" t="str">
        <f>TEST_DATA!D13424</f>
        <v>NIL</v>
      </c>
      <c r="E13424">
        <f>TEST_DATA!E13424</f>
        <v>609</v>
      </c>
    </row>
    <row r="13425" spans="1:5" x14ac:dyDescent="0.55000000000000004">
      <c r="A13425" t="str">
        <f>TEST_DATA!A13425</f>
        <v>27AAAAA13425Z5</v>
      </c>
      <c r="B13425" t="str">
        <f>TEST_DATA!B13425</f>
        <v>Nov-2017</v>
      </c>
      <c r="C13425">
        <f>TEST_DATA!C13425</f>
        <v>44156</v>
      </c>
      <c r="D13425" t="str">
        <f>TEST_DATA!D13425</f>
        <v>NIL</v>
      </c>
      <c r="E13425">
        <f>TEST_DATA!E13425</f>
        <v>75</v>
      </c>
    </row>
    <row r="13426" spans="1:5" x14ac:dyDescent="0.55000000000000004">
      <c r="A13426" t="str">
        <f>TEST_DATA!A13426</f>
        <v>27AAAAA13426Z5</v>
      </c>
      <c r="B13426" t="str">
        <f>TEST_DATA!B13426</f>
        <v>Jun-2019</v>
      </c>
      <c r="C13426">
        <f>TEST_DATA!C13426</f>
        <v>45473</v>
      </c>
      <c r="D13426" t="str">
        <f>TEST_DATA!D13426</f>
        <v>NON-NIL</v>
      </c>
      <c r="E13426">
        <f>TEST_DATA!E13426</f>
        <v>2916</v>
      </c>
    </row>
    <row r="13427" spans="1:5" x14ac:dyDescent="0.55000000000000004">
      <c r="A13427" t="str">
        <f>TEST_DATA!A13427</f>
        <v>27AAAAA13427Z5</v>
      </c>
      <c r="B13427" t="str">
        <f>TEST_DATA!B13427</f>
        <v>Jan-2019</v>
      </c>
      <c r="C13427">
        <f>TEST_DATA!C13427</f>
        <v>45318</v>
      </c>
      <c r="D13427" t="str">
        <f>TEST_DATA!D13427</f>
        <v>NIL</v>
      </c>
      <c r="E13427">
        <f>TEST_DATA!E13427</f>
        <v>1048</v>
      </c>
    </row>
    <row r="13428" spans="1:5" x14ac:dyDescent="0.55000000000000004">
      <c r="A13428" t="str">
        <f>TEST_DATA!A13428</f>
        <v>27AAAAA13428Z5</v>
      </c>
      <c r="B13428" t="str">
        <f>TEST_DATA!B13428</f>
        <v>Mar-2021</v>
      </c>
      <c r="C13428">
        <f>TEST_DATA!C13428</f>
        <v>44353</v>
      </c>
      <c r="D13428" t="str">
        <f>TEST_DATA!D13428</f>
        <v>NON-NIL</v>
      </c>
      <c r="E13428">
        <f>TEST_DATA!E13428</f>
        <v>1426</v>
      </c>
    </row>
    <row r="13429" spans="1:5" x14ac:dyDescent="0.55000000000000004">
      <c r="A13429" t="str">
        <f>TEST_DATA!A13429</f>
        <v>27AAAAA13429Z5</v>
      </c>
      <c r="B13429" t="str">
        <f>TEST_DATA!B13429</f>
        <v>Apr-2020</v>
      </c>
      <c r="C13429">
        <f>TEST_DATA!C13429</f>
        <v>44656</v>
      </c>
      <c r="D13429" t="str">
        <f>TEST_DATA!D13429</f>
        <v>NON-NIL</v>
      </c>
      <c r="E13429">
        <f>TEST_DATA!E13429</f>
        <v>2203</v>
      </c>
    </row>
    <row r="13430" spans="1:5" x14ac:dyDescent="0.55000000000000004">
      <c r="A13430" t="str">
        <f>TEST_DATA!A13430</f>
        <v>27AAAAA13430Z5</v>
      </c>
      <c r="B13430" t="str">
        <f>TEST_DATA!B13430</f>
        <v>Jun-2020</v>
      </c>
      <c r="C13430">
        <f>TEST_DATA!C13430</f>
        <v>44713</v>
      </c>
      <c r="D13430" t="str">
        <f>TEST_DATA!D13430</f>
        <v>NIL</v>
      </c>
      <c r="E13430">
        <f>TEST_DATA!E13430</f>
        <v>1830</v>
      </c>
    </row>
    <row r="13431" spans="1:5" x14ac:dyDescent="0.55000000000000004">
      <c r="A13431" t="str">
        <f>TEST_DATA!A13431</f>
        <v>27AAAAA13431Z5</v>
      </c>
      <c r="B13431" t="str">
        <f>TEST_DATA!B13431</f>
        <v>Mar-2018</v>
      </c>
      <c r="C13431">
        <f>TEST_DATA!C13431</f>
        <v>43945</v>
      </c>
      <c r="D13431" t="str">
        <f>TEST_DATA!D13431</f>
        <v>NIL</v>
      </c>
      <c r="E13431">
        <f>TEST_DATA!E13431</f>
        <v>2850</v>
      </c>
    </row>
    <row r="13432" spans="1:5" x14ac:dyDescent="0.55000000000000004">
      <c r="A13432" t="str">
        <f>TEST_DATA!A13432</f>
        <v>27AAAAA13432Z5</v>
      </c>
      <c r="B13432" t="str">
        <f>TEST_DATA!B13432</f>
        <v>Feb-2018</v>
      </c>
      <c r="C13432">
        <f>TEST_DATA!C13432</f>
        <v>42942</v>
      </c>
      <c r="D13432" t="str">
        <f>TEST_DATA!D13432</f>
        <v>NIL</v>
      </c>
      <c r="E13432">
        <f>TEST_DATA!E13432</f>
        <v>2334</v>
      </c>
    </row>
    <row r="13433" spans="1:5" x14ac:dyDescent="0.55000000000000004">
      <c r="A13433" t="str">
        <f>TEST_DATA!A13433</f>
        <v>27AAAAA13433Z5</v>
      </c>
      <c r="B13433" t="str">
        <f>TEST_DATA!B13433</f>
        <v>Jul-2020</v>
      </c>
      <c r="C13433">
        <f>TEST_DATA!C13433</f>
        <v>44732</v>
      </c>
      <c r="D13433" t="str">
        <f>TEST_DATA!D13433</f>
        <v>NIL</v>
      </c>
      <c r="E13433">
        <f>TEST_DATA!E13433</f>
        <v>1328</v>
      </c>
    </row>
    <row r="13434" spans="1:5" x14ac:dyDescent="0.55000000000000004">
      <c r="A13434" t="str">
        <f>TEST_DATA!A13434</f>
        <v>27AAAAA13434Z5</v>
      </c>
      <c r="B13434" t="str">
        <f>TEST_DATA!B13434</f>
        <v>Mar-2018</v>
      </c>
      <c r="C13434">
        <f>TEST_DATA!C13434</f>
        <v>43916</v>
      </c>
      <c r="D13434" t="str">
        <f>TEST_DATA!D13434</f>
        <v>NON-NIL</v>
      </c>
      <c r="E13434">
        <f>TEST_DATA!E13434</f>
        <v>2418</v>
      </c>
    </row>
    <row r="13435" spans="1:5" x14ac:dyDescent="0.55000000000000004">
      <c r="A13435" t="str">
        <f>TEST_DATA!A13435</f>
        <v>27AAAAA13435Z5</v>
      </c>
      <c r="B13435" t="str">
        <f>TEST_DATA!B13435</f>
        <v>Jun-2018</v>
      </c>
      <c r="C13435">
        <f>TEST_DATA!C13435</f>
        <v>42949</v>
      </c>
      <c r="D13435" t="str">
        <f>TEST_DATA!D13435</f>
        <v>NIL</v>
      </c>
      <c r="E13435">
        <f>TEST_DATA!E13435</f>
        <v>796</v>
      </c>
    </row>
    <row r="13436" spans="1:5" x14ac:dyDescent="0.55000000000000004">
      <c r="A13436" t="str">
        <f>TEST_DATA!A13436</f>
        <v>27AAAAA13436Z5</v>
      </c>
      <c r="B13436" t="str">
        <f>TEST_DATA!B13436</f>
        <v>Mar-2023</v>
      </c>
      <c r="C13436">
        <f>TEST_DATA!C13436</f>
        <v>44351</v>
      </c>
      <c r="D13436" t="str">
        <f>TEST_DATA!D13436</f>
        <v>NON-NIL</v>
      </c>
      <c r="E13436">
        <f>TEST_DATA!E13436</f>
        <v>1852</v>
      </c>
    </row>
    <row r="13437" spans="1:5" x14ac:dyDescent="0.55000000000000004">
      <c r="A13437" t="str">
        <f>TEST_DATA!A13437</f>
        <v>27AAAAA13437Z5</v>
      </c>
      <c r="B13437" t="str">
        <f>TEST_DATA!B13437</f>
        <v>Mar-2023</v>
      </c>
      <c r="C13437">
        <f>TEST_DATA!C13437</f>
        <v>44086</v>
      </c>
      <c r="D13437" t="str">
        <f>TEST_DATA!D13437</f>
        <v>NIL</v>
      </c>
      <c r="E13437">
        <f>TEST_DATA!E13437</f>
        <v>268</v>
      </c>
    </row>
    <row r="13438" spans="1:5" x14ac:dyDescent="0.55000000000000004">
      <c r="A13438" t="str">
        <f>TEST_DATA!A13438</f>
        <v>27AAAAA13438Z5</v>
      </c>
      <c r="B13438" t="str">
        <f>TEST_DATA!B13438</f>
        <v>Dec-2022</v>
      </c>
      <c r="C13438">
        <f>TEST_DATA!C13438</f>
        <v>44807</v>
      </c>
      <c r="D13438" t="str">
        <f>TEST_DATA!D13438</f>
        <v>NON-NIL</v>
      </c>
      <c r="E13438">
        <f>TEST_DATA!E13438</f>
        <v>1827</v>
      </c>
    </row>
    <row r="13439" spans="1:5" x14ac:dyDescent="0.55000000000000004">
      <c r="A13439" t="str">
        <f>TEST_DATA!A13439</f>
        <v>27AAAAA13439Z5</v>
      </c>
      <c r="B13439" t="str">
        <f>TEST_DATA!B13439</f>
        <v>Mar-2021</v>
      </c>
      <c r="C13439">
        <f>TEST_DATA!C13439</f>
        <v>45603</v>
      </c>
      <c r="D13439" t="str">
        <f>TEST_DATA!D13439</f>
        <v>NIL</v>
      </c>
      <c r="E13439">
        <f>TEST_DATA!E13439</f>
        <v>1134</v>
      </c>
    </row>
    <row r="13440" spans="1:5" x14ac:dyDescent="0.55000000000000004">
      <c r="A13440" t="str">
        <f>TEST_DATA!A13440</f>
        <v>27AAAAA13440Z5</v>
      </c>
      <c r="B13440" t="str">
        <f>TEST_DATA!B13440</f>
        <v>Jul-2017</v>
      </c>
      <c r="C13440">
        <f>TEST_DATA!C13440</f>
        <v>44014</v>
      </c>
      <c r="D13440" t="str">
        <f>TEST_DATA!D13440</f>
        <v>NIL</v>
      </c>
      <c r="E13440">
        <f>TEST_DATA!E13440</f>
        <v>2190</v>
      </c>
    </row>
    <row r="13441" spans="1:5" x14ac:dyDescent="0.55000000000000004">
      <c r="A13441" t="str">
        <f>TEST_DATA!A13441</f>
        <v>27AAAAA13441Z5</v>
      </c>
      <c r="B13441" t="str">
        <f>TEST_DATA!B13441</f>
        <v>Dec-2017</v>
      </c>
      <c r="C13441">
        <f>TEST_DATA!C13441</f>
        <v>43518</v>
      </c>
      <c r="D13441" t="str">
        <f>TEST_DATA!D13441</f>
        <v>NON-NIL</v>
      </c>
      <c r="E13441">
        <f>TEST_DATA!E13441</f>
        <v>1263</v>
      </c>
    </row>
    <row r="13442" spans="1:5" x14ac:dyDescent="0.55000000000000004">
      <c r="A13442" t="str">
        <f>TEST_DATA!A13442</f>
        <v>27AAAAA13442Z5</v>
      </c>
      <c r="B13442" t="str">
        <f>TEST_DATA!B13442</f>
        <v>Apr-2020</v>
      </c>
      <c r="C13442">
        <f>TEST_DATA!C13442</f>
        <v>44074</v>
      </c>
      <c r="D13442" t="str">
        <f>TEST_DATA!D13442</f>
        <v>NIL</v>
      </c>
      <c r="E13442">
        <f>TEST_DATA!E13442</f>
        <v>1840</v>
      </c>
    </row>
    <row r="13443" spans="1:5" x14ac:dyDescent="0.55000000000000004">
      <c r="A13443" t="str">
        <f>TEST_DATA!A13443</f>
        <v>27AAAAA13443Z5</v>
      </c>
      <c r="B13443" t="str">
        <f>TEST_DATA!B13443</f>
        <v>Sep-2017</v>
      </c>
      <c r="C13443">
        <f>TEST_DATA!C13443</f>
        <v>43777</v>
      </c>
      <c r="D13443" t="str">
        <f>TEST_DATA!D13443</f>
        <v>NON-NIL</v>
      </c>
      <c r="E13443">
        <f>TEST_DATA!E13443</f>
        <v>229</v>
      </c>
    </row>
    <row r="13444" spans="1:5" x14ac:dyDescent="0.55000000000000004">
      <c r="A13444" t="str">
        <f>TEST_DATA!A13444</f>
        <v>27AAAAA13444Z5</v>
      </c>
      <c r="B13444" t="str">
        <f>TEST_DATA!B13444</f>
        <v>Mar-2020</v>
      </c>
      <c r="C13444">
        <f>TEST_DATA!C13444</f>
        <v>44401</v>
      </c>
      <c r="D13444" t="str">
        <f>TEST_DATA!D13444</f>
        <v>NIL</v>
      </c>
      <c r="E13444">
        <f>TEST_DATA!E13444</f>
        <v>2719</v>
      </c>
    </row>
    <row r="13445" spans="1:5" x14ac:dyDescent="0.55000000000000004">
      <c r="A13445" t="str">
        <f>TEST_DATA!A13445</f>
        <v>27AAAAA13445Z5</v>
      </c>
      <c r="B13445" t="str">
        <f>TEST_DATA!B13445</f>
        <v>Apr-2021</v>
      </c>
      <c r="C13445">
        <f>TEST_DATA!C13445</f>
        <v>44353</v>
      </c>
      <c r="D13445" t="str">
        <f>TEST_DATA!D13445</f>
        <v>NIL</v>
      </c>
      <c r="E13445">
        <f>TEST_DATA!E13445</f>
        <v>1530</v>
      </c>
    </row>
    <row r="13446" spans="1:5" x14ac:dyDescent="0.55000000000000004">
      <c r="A13446" t="str">
        <f>TEST_DATA!A13446</f>
        <v>27AAAAA13446Z5</v>
      </c>
      <c r="B13446" t="str">
        <f>TEST_DATA!B13446</f>
        <v>Mar-2020</v>
      </c>
      <c r="C13446">
        <f>TEST_DATA!C13446</f>
        <v>44667</v>
      </c>
      <c r="D13446" t="str">
        <f>TEST_DATA!D13446</f>
        <v>NIL</v>
      </c>
      <c r="E13446">
        <f>TEST_DATA!E13446</f>
        <v>1921</v>
      </c>
    </row>
    <row r="13447" spans="1:5" x14ac:dyDescent="0.55000000000000004">
      <c r="A13447" t="str">
        <f>TEST_DATA!A13447</f>
        <v>27AAAAA13447Z5</v>
      </c>
      <c r="B13447" t="str">
        <f>TEST_DATA!B13447</f>
        <v>Dec-2019</v>
      </c>
      <c r="C13447">
        <f>TEST_DATA!C13447</f>
        <v>43817</v>
      </c>
      <c r="D13447" t="str">
        <f>TEST_DATA!D13447</f>
        <v>NIL</v>
      </c>
      <c r="E13447">
        <f>TEST_DATA!E13447</f>
        <v>483</v>
      </c>
    </row>
    <row r="13448" spans="1:5" x14ac:dyDescent="0.55000000000000004">
      <c r="A13448" t="str">
        <f>TEST_DATA!A13448</f>
        <v>27AAAAA13448Z5</v>
      </c>
      <c r="B13448" t="str">
        <f>TEST_DATA!B13448</f>
        <v>Dec-2024</v>
      </c>
      <c r="C13448">
        <f>TEST_DATA!C13448</f>
        <v>43722</v>
      </c>
      <c r="D13448" t="str">
        <f>TEST_DATA!D13448</f>
        <v>NON-NIL</v>
      </c>
      <c r="E13448">
        <f>TEST_DATA!E13448</f>
        <v>435</v>
      </c>
    </row>
    <row r="13449" spans="1:5" x14ac:dyDescent="0.55000000000000004">
      <c r="A13449" t="str">
        <f>TEST_DATA!A13449</f>
        <v>27AAAAA13449Z5</v>
      </c>
      <c r="B13449" t="str">
        <f>TEST_DATA!B13449</f>
        <v>Jun-2019</v>
      </c>
      <c r="C13449">
        <f>TEST_DATA!C13449</f>
        <v>43771</v>
      </c>
      <c r="D13449" t="str">
        <f>TEST_DATA!D13449</f>
        <v>NIL</v>
      </c>
      <c r="E13449">
        <f>TEST_DATA!E13449</f>
        <v>1561</v>
      </c>
    </row>
    <row r="13450" spans="1:5" x14ac:dyDescent="0.55000000000000004">
      <c r="A13450" t="str">
        <f>TEST_DATA!A13450</f>
        <v>27AAAAA13450Z5</v>
      </c>
      <c r="B13450" t="str">
        <f>TEST_DATA!B13450</f>
        <v>Apr-2021</v>
      </c>
      <c r="C13450">
        <f>TEST_DATA!C13450</f>
        <v>43561</v>
      </c>
      <c r="D13450" t="str">
        <f>TEST_DATA!D13450</f>
        <v>NIL</v>
      </c>
      <c r="E13450">
        <f>TEST_DATA!E13450</f>
        <v>1129</v>
      </c>
    </row>
    <row r="13451" spans="1:5" x14ac:dyDescent="0.55000000000000004">
      <c r="A13451" t="str">
        <f>TEST_DATA!A13451</f>
        <v>27AAAAA13451Z5</v>
      </c>
      <c r="B13451" t="str">
        <f>TEST_DATA!B13451</f>
        <v>Dec-2024</v>
      </c>
      <c r="C13451">
        <f>TEST_DATA!C13451</f>
        <v>45268</v>
      </c>
      <c r="D13451" t="str">
        <f>TEST_DATA!D13451</f>
        <v>NIL</v>
      </c>
      <c r="E13451">
        <f>TEST_DATA!E13451</f>
        <v>1244</v>
      </c>
    </row>
    <row r="13452" spans="1:5" x14ac:dyDescent="0.55000000000000004">
      <c r="A13452" t="str">
        <f>TEST_DATA!A13452</f>
        <v>27AAAAA13452Z5</v>
      </c>
      <c r="B13452" t="str">
        <f>TEST_DATA!B13452</f>
        <v>Aug-2018</v>
      </c>
      <c r="C13452">
        <f>TEST_DATA!C13452</f>
        <v>44419</v>
      </c>
      <c r="D13452" t="str">
        <f>TEST_DATA!D13452</f>
        <v>NON-NIL</v>
      </c>
      <c r="E13452">
        <f>TEST_DATA!E13452</f>
        <v>1152</v>
      </c>
    </row>
    <row r="13453" spans="1:5" x14ac:dyDescent="0.55000000000000004">
      <c r="A13453" t="str">
        <f>TEST_DATA!A13453</f>
        <v>27AAAAA13453Z5</v>
      </c>
      <c r="B13453" t="str">
        <f>TEST_DATA!B13453</f>
        <v>Apr-2020</v>
      </c>
      <c r="C13453">
        <f>TEST_DATA!C13453</f>
        <v>44367</v>
      </c>
      <c r="D13453" t="str">
        <f>TEST_DATA!D13453</f>
        <v>NIL</v>
      </c>
      <c r="E13453">
        <f>TEST_DATA!E13453</f>
        <v>1421</v>
      </c>
    </row>
    <row r="13454" spans="1:5" x14ac:dyDescent="0.55000000000000004">
      <c r="A13454" t="str">
        <f>TEST_DATA!A13454</f>
        <v>27AAAAA13454Z5</v>
      </c>
      <c r="B13454" t="str">
        <f>TEST_DATA!B13454</f>
        <v>Jun-2020</v>
      </c>
      <c r="C13454">
        <f>TEST_DATA!C13454</f>
        <v>43963</v>
      </c>
      <c r="D13454" t="str">
        <f>TEST_DATA!D13454</f>
        <v>NON-NIL</v>
      </c>
      <c r="E13454">
        <f>TEST_DATA!E13454</f>
        <v>402</v>
      </c>
    </row>
    <row r="13455" spans="1:5" x14ac:dyDescent="0.55000000000000004">
      <c r="A13455" t="str">
        <f>TEST_DATA!A13455</f>
        <v>27AAAAA13455Z5</v>
      </c>
      <c r="B13455" t="str">
        <f>TEST_DATA!B13455</f>
        <v>Apr-2020</v>
      </c>
      <c r="C13455">
        <f>TEST_DATA!C13455</f>
        <v>44287</v>
      </c>
      <c r="D13455" t="str">
        <f>TEST_DATA!D13455</f>
        <v>NON-NIL</v>
      </c>
      <c r="E13455">
        <f>TEST_DATA!E13455</f>
        <v>637</v>
      </c>
    </row>
    <row r="13456" spans="1:5" x14ac:dyDescent="0.55000000000000004">
      <c r="A13456" t="str">
        <f>TEST_DATA!A13456</f>
        <v>27AAAAA13456Z5</v>
      </c>
      <c r="B13456" t="str">
        <f>TEST_DATA!B13456</f>
        <v>Jan-2019</v>
      </c>
      <c r="C13456">
        <f>TEST_DATA!C13456</f>
        <v>45758</v>
      </c>
      <c r="D13456" t="str">
        <f>TEST_DATA!D13456</f>
        <v>NIL</v>
      </c>
      <c r="E13456">
        <f>TEST_DATA!E13456</f>
        <v>2880</v>
      </c>
    </row>
    <row r="13457" spans="1:5" x14ac:dyDescent="0.55000000000000004">
      <c r="A13457" t="str">
        <f>TEST_DATA!A13457</f>
        <v>27AAAAA13457Z5</v>
      </c>
      <c r="B13457" t="str">
        <f>TEST_DATA!B13457</f>
        <v>May-2020</v>
      </c>
      <c r="C13457">
        <f>TEST_DATA!C13457</f>
        <v>43979</v>
      </c>
      <c r="D13457" t="str">
        <f>TEST_DATA!D13457</f>
        <v>NIL</v>
      </c>
      <c r="E13457">
        <f>TEST_DATA!E13457</f>
        <v>1777</v>
      </c>
    </row>
    <row r="13458" spans="1:5" x14ac:dyDescent="0.55000000000000004">
      <c r="A13458" t="str">
        <f>TEST_DATA!A13458</f>
        <v>27AAAAA13458Z5</v>
      </c>
      <c r="B13458" t="str">
        <f>TEST_DATA!B13458</f>
        <v>Apr-2021</v>
      </c>
      <c r="C13458">
        <f>TEST_DATA!C13458</f>
        <v>45656</v>
      </c>
      <c r="D13458" t="str">
        <f>TEST_DATA!D13458</f>
        <v>NIL</v>
      </c>
      <c r="E13458">
        <f>TEST_DATA!E13458</f>
        <v>86</v>
      </c>
    </row>
    <row r="13459" spans="1:5" x14ac:dyDescent="0.55000000000000004">
      <c r="A13459" t="str">
        <f>TEST_DATA!A13459</f>
        <v>27AAAAA13459Z5</v>
      </c>
      <c r="B13459" t="str">
        <f>TEST_DATA!B13459</f>
        <v>Apr-2020</v>
      </c>
      <c r="C13459">
        <f>TEST_DATA!C13459</f>
        <v>44856</v>
      </c>
      <c r="D13459" t="str">
        <f>TEST_DATA!D13459</f>
        <v>NON-NIL</v>
      </c>
      <c r="E13459">
        <f>TEST_DATA!E13459</f>
        <v>2777</v>
      </c>
    </row>
    <row r="13460" spans="1:5" x14ac:dyDescent="0.55000000000000004">
      <c r="A13460" t="str">
        <f>TEST_DATA!A13460</f>
        <v>27AAAAA13460Z5</v>
      </c>
      <c r="B13460" t="str">
        <f>TEST_DATA!B13460</f>
        <v>Aug-2017</v>
      </c>
      <c r="C13460">
        <f>TEST_DATA!C13460</f>
        <v>44228</v>
      </c>
      <c r="D13460" t="str">
        <f>TEST_DATA!D13460</f>
        <v>NON-NIL</v>
      </c>
      <c r="E13460">
        <f>TEST_DATA!E13460</f>
        <v>2140</v>
      </c>
    </row>
    <row r="13461" spans="1:5" x14ac:dyDescent="0.55000000000000004">
      <c r="A13461" t="str">
        <f>TEST_DATA!A13461</f>
        <v>27AAAAA13461Z5</v>
      </c>
      <c r="B13461" t="str">
        <f>TEST_DATA!B13461</f>
        <v>Sep-2017</v>
      </c>
      <c r="C13461">
        <f>TEST_DATA!C13461</f>
        <v>43513</v>
      </c>
      <c r="D13461" t="str">
        <f>TEST_DATA!D13461</f>
        <v>NON-NIL</v>
      </c>
      <c r="E13461">
        <f>TEST_DATA!E13461</f>
        <v>330</v>
      </c>
    </row>
    <row r="13462" spans="1:5" x14ac:dyDescent="0.55000000000000004">
      <c r="A13462" t="str">
        <f>TEST_DATA!A13462</f>
        <v>27AAAAA13462Z5</v>
      </c>
      <c r="B13462" t="str">
        <f>TEST_DATA!B13462</f>
        <v>Aug-2018</v>
      </c>
      <c r="C13462">
        <f>TEST_DATA!C13462</f>
        <v>44225</v>
      </c>
      <c r="D13462" t="str">
        <f>TEST_DATA!D13462</f>
        <v>NON-NIL</v>
      </c>
      <c r="E13462">
        <f>TEST_DATA!E13462</f>
        <v>2959</v>
      </c>
    </row>
    <row r="13463" spans="1:5" x14ac:dyDescent="0.55000000000000004">
      <c r="A13463" t="str">
        <f>TEST_DATA!A13463</f>
        <v>27AAAAA13463Z5</v>
      </c>
      <c r="B13463" t="str">
        <f>TEST_DATA!B13463</f>
        <v>Jul-2018</v>
      </c>
      <c r="C13463">
        <f>TEST_DATA!C13463</f>
        <v>43113</v>
      </c>
      <c r="D13463" t="str">
        <f>TEST_DATA!D13463</f>
        <v>NIL</v>
      </c>
      <c r="E13463">
        <f>TEST_DATA!E13463</f>
        <v>1953</v>
      </c>
    </row>
    <row r="13464" spans="1:5" x14ac:dyDescent="0.55000000000000004">
      <c r="A13464" t="str">
        <f>TEST_DATA!A13464</f>
        <v>27AAAAA13464Z5</v>
      </c>
      <c r="B13464" t="str">
        <f>TEST_DATA!B13464</f>
        <v>Mar-2021</v>
      </c>
      <c r="C13464">
        <f>TEST_DATA!C13464</f>
        <v>45377</v>
      </c>
      <c r="D13464" t="str">
        <f>TEST_DATA!D13464</f>
        <v>NIL</v>
      </c>
      <c r="E13464">
        <f>TEST_DATA!E13464</f>
        <v>2495</v>
      </c>
    </row>
    <row r="13465" spans="1:5" x14ac:dyDescent="0.55000000000000004">
      <c r="A13465" t="str">
        <f>TEST_DATA!A13465</f>
        <v>27AAAAA13465Z5</v>
      </c>
      <c r="B13465" t="str">
        <f>TEST_DATA!B13465</f>
        <v>Mar-2018</v>
      </c>
      <c r="C13465">
        <f>TEST_DATA!C13465</f>
        <v>43251</v>
      </c>
      <c r="D13465" t="str">
        <f>TEST_DATA!D13465</f>
        <v>NIL</v>
      </c>
      <c r="E13465">
        <f>TEST_DATA!E13465</f>
        <v>1676</v>
      </c>
    </row>
    <row r="13466" spans="1:5" x14ac:dyDescent="0.55000000000000004">
      <c r="A13466" t="str">
        <f>TEST_DATA!A13466</f>
        <v>27AAAAA13466Z5</v>
      </c>
      <c r="B13466" t="str">
        <f>TEST_DATA!B13466</f>
        <v>Dec-2024</v>
      </c>
      <c r="C13466">
        <f>TEST_DATA!C13466</f>
        <v>45386</v>
      </c>
      <c r="D13466" t="str">
        <f>TEST_DATA!D13466</f>
        <v>NIL</v>
      </c>
      <c r="E13466">
        <f>TEST_DATA!E13466</f>
        <v>2281</v>
      </c>
    </row>
    <row r="13467" spans="1:5" x14ac:dyDescent="0.55000000000000004">
      <c r="A13467" t="str">
        <f>TEST_DATA!A13467</f>
        <v>27AAAAA13467Z5</v>
      </c>
      <c r="B13467" t="str">
        <f>TEST_DATA!B13467</f>
        <v>Jul-2017</v>
      </c>
      <c r="C13467">
        <f>TEST_DATA!C13467</f>
        <v>43618</v>
      </c>
      <c r="D13467" t="str">
        <f>TEST_DATA!D13467</f>
        <v>NON-NIL</v>
      </c>
      <c r="E13467">
        <f>TEST_DATA!E13467</f>
        <v>2270</v>
      </c>
    </row>
    <row r="13468" spans="1:5" x14ac:dyDescent="0.55000000000000004">
      <c r="A13468" t="str">
        <f>TEST_DATA!A13468</f>
        <v>27AAAAA13468Z5</v>
      </c>
      <c r="B13468" t="str">
        <f>TEST_DATA!B13468</f>
        <v>Nov-2017</v>
      </c>
      <c r="C13468">
        <f>TEST_DATA!C13468</f>
        <v>43490</v>
      </c>
      <c r="D13468" t="str">
        <f>TEST_DATA!D13468</f>
        <v>NIL</v>
      </c>
      <c r="E13468">
        <f>TEST_DATA!E13468</f>
        <v>1044</v>
      </c>
    </row>
    <row r="13469" spans="1:5" x14ac:dyDescent="0.55000000000000004">
      <c r="A13469" t="str">
        <f>TEST_DATA!A13469</f>
        <v>27AAAAA13469Z5</v>
      </c>
      <c r="B13469" t="str">
        <f>TEST_DATA!B13469</f>
        <v>Apr-2020</v>
      </c>
      <c r="C13469">
        <f>TEST_DATA!C13469</f>
        <v>44813</v>
      </c>
      <c r="D13469" t="str">
        <f>TEST_DATA!D13469</f>
        <v>NON-NIL</v>
      </c>
      <c r="E13469">
        <f>TEST_DATA!E13469</f>
        <v>2915</v>
      </c>
    </row>
    <row r="13470" spans="1:5" x14ac:dyDescent="0.55000000000000004">
      <c r="A13470" t="str">
        <f>TEST_DATA!A13470</f>
        <v>27AAAAA13470Z5</v>
      </c>
      <c r="B13470" t="str">
        <f>TEST_DATA!B13470</f>
        <v>Jun-2020</v>
      </c>
      <c r="C13470">
        <f>TEST_DATA!C13470</f>
        <v>44491</v>
      </c>
      <c r="D13470" t="str">
        <f>TEST_DATA!D13470</f>
        <v>NON-NIL</v>
      </c>
      <c r="E13470">
        <f>TEST_DATA!E13470</f>
        <v>723</v>
      </c>
    </row>
    <row r="13471" spans="1:5" x14ac:dyDescent="0.55000000000000004">
      <c r="A13471" t="str">
        <f>TEST_DATA!A13471</f>
        <v>27AAAAA13471Z5</v>
      </c>
      <c r="B13471" t="str">
        <f>TEST_DATA!B13471</f>
        <v>Apr-2018</v>
      </c>
      <c r="C13471">
        <f>TEST_DATA!C13471</f>
        <v>42930</v>
      </c>
      <c r="D13471" t="str">
        <f>TEST_DATA!D13471</f>
        <v>NIL</v>
      </c>
      <c r="E13471">
        <f>TEST_DATA!E13471</f>
        <v>944</v>
      </c>
    </row>
    <row r="13472" spans="1:5" x14ac:dyDescent="0.55000000000000004">
      <c r="A13472" t="str">
        <f>TEST_DATA!A13472</f>
        <v>27AAAAA13472Z5</v>
      </c>
      <c r="B13472" t="str">
        <f>TEST_DATA!B13472</f>
        <v>Aug-2017</v>
      </c>
      <c r="C13472">
        <f>TEST_DATA!C13472</f>
        <v>43321</v>
      </c>
      <c r="D13472" t="str">
        <f>TEST_DATA!D13472</f>
        <v>NIL</v>
      </c>
      <c r="E13472">
        <f>TEST_DATA!E13472</f>
        <v>1497</v>
      </c>
    </row>
    <row r="13473" spans="1:5" x14ac:dyDescent="0.55000000000000004">
      <c r="A13473" t="str">
        <f>TEST_DATA!A13473</f>
        <v>27AAAAA13473Z5</v>
      </c>
      <c r="B13473" t="str">
        <f>TEST_DATA!B13473</f>
        <v>Sep-2017</v>
      </c>
      <c r="C13473">
        <f>TEST_DATA!C13473</f>
        <v>44445</v>
      </c>
      <c r="D13473" t="str">
        <f>TEST_DATA!D13473</f>
        <v>NON-NIL</v>
      </c>
      <c r="E13473">
        <f>TEST_DATA!E13473</f>
        <v>378</v>
      </c>
    </row>
    <row r="13474" spans="1:5" x14ac:dyDescent="0.55000000000000004">
      <c r="A13474" t="str">
        <f>TEST_DATA!A13474</f>
        <v>27AAAAA13474Z5</v>
      </c>
      <c r="B13474" t="str">
        <f>TEST_DATA!B13474</f>
        <v>Sep-2018</v>
      </c>
      <c r="C13474">
        <f>TEST_DATA!C13474</f>
        <v>43628</v>
      </c>
      <c r="D13474" t="str">
        <f>TEST_DATA!D13474</f>
        <v>NON-NIL</v>
      </c>
      <c r="E13474">
        <f>TEST_DATA!E13474</f>
        <v>729</v>
      </c>
    </row>
    <row r="13475" spans="1:5" x14ac:dyDescent="0.55000000000000004">
      <c r="A13475" t="str">
        <f>TEST_DATA!A13475</f>
        <v>27AAAAA13475Z5</v>
      </c>
      <c r="B13475" t="str">
        <f>TEST_DATA!B13475</f>
        <v>Mar-2021</v>
      </c>
      <c r="C13475">
        <f>TEST_DATA!C13475</f>
        <v>44089</v>
      </c>
      <c r="D13475" t="str">
        <f>TEST_DATA!D13475</f>
        <v>NON-NIL</v>
      </c>
      <c r="E13475">
        <f>TEST_DATA!E13475</f>
        <v>2501</v>
      </c>
    </row>
    <row r="13476" spans="1:5" x14ac:dyDescent="0.55000000000000004">
      <c r="A13476" t="str">
        <f>TEST_DATA!A13476</f>
        <v>27AAAAA13476Z5</v>
      </c>
      <c r="B13476" t="str">
        <f>TEST_DATA!B13476</f>
        <v>Apr-2018</v>
      </c>
      <c r="C13476">
        <f>TEST_DATA!C13476</f>
        <v>44214</v>
      </c>
      <c r="D13476" t="str">
        <f>TEST_DATA!D13476</f>
        <v>NON-NIL</v>
      </c>
      <c r="E13476">
        <f>TEST_DATA!E13476</f>
        <v>1717</v>
      </c>
    </row>
    <row r="13477" spans="1:5" x14ac:dyDescent="0.55000000000000004">
      <c r="A13477" t="str">
        <f>TEST_DATA!A13477</f>
        <v>27AAAAA13477Z5</v>
      </c>
      <c r="B13477" t="str">
        <f>TEST_DATA!B13477</f>
        <v>Mar-2018</v>
      </c>
      <c r="C13477">
        <f>TEST_DATA!C13477</f>
        <v>44238</v>
      </c>
      <c r="D13477" t="str">
        <f>TEST_DATA!D13477</f>
        <v>NIL</v>
      </c>
      <c r="E13477">
        <f>TEST_DATA!E13477</f>
        <v>2498</v>
      </c>
    </row>
    <row r="13478" spans="1:5" x14ac:dyDescent="0.55000000000000004">
      <c r="A13478" t="str">
        <f>TEST_DATA!A13478</f>
        <v>27AAAAA13478Z5</v>
      </c>
      <c r="B13478" t="str">
        <f>TEST_DATA!B13478</f>
        <v>Mar-2018</v>
      </c>
      <c r="C13478">
        <f>TEST_DATA!C13478</f>
        <v>44124</v>
      </c>
      <c r="D13478" t="str">
        <f>TEST_DATA!D13478</f>
        <v>NON-NIL</v>
      </c>
      <c r="E13478">
        <f>TEST_DATA!E13478</f>
        <v>2072</v>
      </c>
    </row>
    <row r="13479" spans="1:5" x14ac:dyDescent="0.55000000000000004">
      <c r="A13479" t="str">
        <f>TEST_DATA!A13479</f>
        <v>27AAAAA13479Z5</v>
      </c>
      <c r="B13479" t="str">
        <f>TEST_DATA!B13479</f>
        <v>Jan-2018</v>
      </c>
      <c r="C13479">
        <f>TEST_DATA!C13479</f>
        <v>43287</v>
      </c>
      <c r="D13479" t="str">
        <f>TEST_DATA!D13479</f>
        <v>NON-NIL</v>
      </c>
      <c r="E13479">
        <f>TEST_DATA!E13479</f>
        <v>308</v>
      </c>
    </row>
    <row r="13480" spans="1:5" x14ac:dyDescent="0.55000000000000004">
      <c r="A13480" t="str">
        <f>TEST_DATA!A13480</f>
        <v>27AAAAA13480Z5</v>
      </c>
      <c r="B13480" t="str">
        <f>TEST_DATA!B13480</f>
        <v>Apr-2020</v>
      </c>
      <c r="C13480">
        <f>TEST_DATA!C13480</f>
        <v>43908</v>
      </c>
      <c r="D13480" t="str">
        <f>TEST_DATA!D13480</f>
        <v>NIL</v>
      </c>
      <c r="E13480">
        <f>TEST_DATA!E13480</f>
        <v>41</v>
      </c>
    </row>
    <row r="13481" spans="1:5" x14ac:dyDescent="0.55000000000000004">
      <c r="A13481" t="str">
        <f>TEST_DATA!A13481</f>
        <v>27AAAAA13481Z5</v>
      </c>
      <c r="B13481" t="str">
        <f>TEST_DATA!B13481</f>
        <v>Nov-2017</v>
      </c>
      <c r="C13481">
        <f>TEST_DATA!C13481</f>
        <v>43743</v>
      </c>
      <c r="D13481" t="str">
        <f>TEST_DATA!D13481</f>
        <v>NIL</v>
      </c>
      <c r="E13481">
        <f>TEST_DATA!E13481</f>
        <v>869</v>
      </c>
    </row>
    <row r="13482" spans="1:5" x14ac:dyDescent="0.55000000000000004">
      <c r="A13482" t="str">
        <f>TEST_DATA!A13482</f>
        <v>27AAAAA13482Z5</v>
      </c>
      <c r="B13482" t="str">
        <f>TEST_DATA!B13482</f>
        <v>Mar-2018</v>
      </c>
      <c r="C13482">
        <f>TEST_DATA!C13482</f>
        <v>44192</v>
      </c>
      <c r="D13482" t="str">
        <f>TEST_DATA!D13482</f>
        <v>NIL</v>
      </c>
      <c r="E13482">
        <f>TEST_DATA!E13482</f>
        <v>593</v>
      </c>
    </row>
    <row r="13483" spans="1:5" x14ac:dyDescent="0.55000000000000004">
      <c r="A13483" t="str">
        <f>TEST_DATA!A13483</f>
        <v>27AAAAA13483Z5</v>
      </c>
      <c r="B13483" t="str">
        <f>TEST_DATA!B13483</f>
        <v>Sep-2018</v>
      </c>
      <c r="C13483">
        <f>TEST_DATA!C13483</f>
        <v>44456</v>
      </c>
      <c r="D13483" t="str">
        <f>TEST_DATA!D13483</f>
        <v>NON-NIL</v>
      </c>
      <c r="E13483">
        <f>TEST_DATA!E13483</f>
        <v>2856</v>
      </c>
    </row>
    <row r="13484" spans="1:5" x14ac:dyDescent="0.55000000000000004">
      <c r="A13484" t="str">
        <f>TEST_DATA!A13484</f>
        <v>27AAAAA13484Z5</v>
      </c>
      <c r="B13484" t="str">
        <f>TEST_DATA!B13484</f>
        <v>Mar-2021</v>
      </c>
      <c r="C13484">
        <f>TEST_DATA!C13484</f>
        <v>45405</v>
      </c>
      <c r="D13484" t="str">
        <f>TEST_DATA!D13484</f>
        <v>NIL</v>
      </c>
      <c r="E13484">
        <f>TEST_DATA!E13484</f>
        <v>2177</v>
      </c>
    </row>
    <row r="13485" spans="1:5" x14ac:dyDescent="0.55000000000000004">
      <c r="A13485" t="str">
        <f>TEST_DATA!A13485</f>
        <v>27AAAAA13485Z5</v>
      </c>
      <c r="B13485" t="str">
        <f>TEST_DATA!B13485</f>
        <v>May-2018</v>
      </c>
      <c r="C13485">
        <f>TEST_DATA!C13485</f>
        <v>44099</v>
      </c>
      <c r="D13485" t="str">
        <f>TEST_DATA!D13485</f>
        <v>NON-NIL</v>
      </c>
      <c r="E13485">
        <f>TEST_DATA!E13485</f>
        <v>2781</v>
      </c>
    </row>
    <row r="13486" spans="1:5" x14ac:dyDescent="0.55000000000000004">
      <c r="A13486" t="str">
        <f>TEST_DATA!A13486</f>
        <v>27AAAAA13486Z5</v>
      </c>
      <c r="B13486" t="str">
        <f>TEST_DATA!B13486</f>
        <v>Dec-2017</v>
      </c>
      <c r="C13486">
        <f>TEST_DATA!C13486</f>
        <v>43782</v>
      </c>
      <c r="D13486" t="str">
        <f>TEST_DATA!D13486</f>
        <v>NIL</v>
      </c>
      <c r="E13486">
        <f>TEST_DATA!E13486</f>
        <v>961</v>
      </c>
    </row>
    <row r="13487" spans="1:5" x14ac:dyDescent="0.55000000000000004">
      <c r="A13487" t="str">
        <f>TEST_DATA!A13487</f>
        <v>27AAAAA13487Z5</v>
      </c>
      <c r="B13487" t="str">
        <f>TEST_DATA!B13487</f>
        <v>Apr-2020</v>
      </c>
      <c r="C13487">
        <f>TEST_DATA!C13487</f>
        <v>44569</v>
      </c>
      <c r="D13487" t="str">
        <f>TEST_DATA!D13487</f>
        <v>NON-NIL</v>
      </c>
      <c r="E13487">
        <f>TEST_DATA!E13487</f>
        <v>1081</v>
      </c>
    </row>
    <row r="13488" spans="1:5" x14ac:dyDescent="0.55000000000000004">
      <c r="A13488" t="str">
        <f>TEST_DATA!A13488</f>
        <v>27AAAAA13488Z5</v>
      </c>
      <c r="B13488" t="str">
        <f>TEST_DATA!B13488</f>
        <v>Jan-2018</v>
      </c>
      <c r="C13488">
        <f>TEST_DATA!C13488</f>
        <v>44338</v>
      </c>
      <c r="D13488" t="str">
        <f>TEST_DATA!D13488</f>
        <v>NON-NIL</v>
      </c>
      <c r="E13488">
        <f>TEST_DATA!E13488</f>
        <v>1048</v>
      </c>
    </row>
    <row r="13489" spans="1:5" x14ac:dyDescent="0.55000000000000004">
      <c r="A13489" t="str">
        <f>TEST_DATA!A13489</f>
        <v>27AAAAA13489Z5</v>
      </c>
      <c r="B13489" t="str">
        <f>TEST_DATA!B13489</f>
        <v>Dec-2019</v>
      </c>
      <c r="C13489">
        <f>TEST_DATA!C13489</f>
        <v>44210</v>
      </c>
      <c r="D13489" t="str">
        <f>TEST_DATA!D13489</f>
        <v>NIL</v>
      </c>
      <c r="E13489">
        <f>TEST_DATA!E13489</f>
        <v>987</v>
      </c>
    </row>
    <row r="13490" spans="1:5" x14ac:dyDescent="0.55000000000000004">
      <c r="A13490" t="str">
        <f>TEST_DATA!A13490</f>
        <v>27AAAAA13490Z5</v>
      </c>
      <c r="B13490" t="str">
        <f>TEST_DATA!B13490</f>
        <v>Jun-2019</v>
      </c>
      <c r="C13490">
        <f>TEST_DATA!C13490</f>
        <v>43483</v>
      </c>
      <c r="D13490" t="str">
        <f>TEST_DATA!D13490</f>
        <v>NIL</v>
      </c>
      <c r="E13490">
        <f>TEST_DATA!E13490</f>
        <v>494</v>
      </c>
    </row>
    <row r="13491" spans="1:5" x14ac:dyDescent="0.55000000000000004">
      <c r="A13491" t="str">
        <f>TEST_DATA!A13491</f>
        <v>27AAAAA13491Z5</v>
      </c>
      <c r="B13491" t="str">
        <f>TEST_DATA!B13491</f>
        <v>May-2018</v>
      </c>
      <c r="C13491">
        <f>TEST_DATA!C13491</f>
        <v>44244</v>
      </c>
      <c r="D13491" t="str">
        <f>TEST_DATA!D13491</f>
        <v>NON-NIL</v>
      </c>
      <c r="E13491">
        <f>TEST_DATA!E13491</f>
        <v>1954</v>
      </c>
    </row>
    <row r="13492" spans="1:5" x14ac:dyDescent="0.55000000000000004">
      <c r="A13492" t="str">
        <f>TEST_DATA!A13492</f>
        <v>27AAAAA13492Z5</v>
      </c>
      <c r="B13492" t="str">
        <f>TEST_DATA!B13492</f>
        <v>Jul-2018</v>
      </c>
      <c r="C13492">
        <f>TEST_DATA!C13492</f>
        <v>44149</v>
      </c>
      <c r="D13492" t="str">
        <f>TEST_DATA!D13492</f>
        <v>NON-NIL</v>
      </c>
      <c r="E13492">
        <f>TEST_DATA!E13492</f>
        <v>408</v>
      </c>
    </row>
    <row r="13493" spans="1:5" x14ac:dyDescent="0.55000000000000004">
      <c r="A13493" t="str">
        <f>TEST_DATA!A13493</f>
        <v>27AAAAA13493Z5</v>
      </c>
      <c r="B13493" t="str">
        <f>TEST_DATA!B13493</f>
        <v>Jun-2020</v>
      </c>
      <c r="C13493">
        <f>TEST_DATA!C13493</f>
        <v>44590</v>
      </c>
      <c r="D13493" t="str">
        <f>TEST_DATA!D13493</f>
        <v>NIL</v>
      </c>
      <c r="E13493">
        <f>TEST_DATA!E13493</f>
        <v>863</v>
      </c>
    </row>
    <row r="13494" spans="1:5" x14ac:dyDescent="0.55000000000000004">
      <c r="A13494" t="str">
        <f>TEST_DATA!A13494</f>
        <v>27AAAAA13494Z5</v>
      </c>
      <c r="B13494" t="str">
        <f>TEST_DATA!B13494</f>
        <v>Apr-2020</v>
      </c>
      <c r="C13494">
        <f>TEST_DATA!C13494</f>
        <v>44573</v>
      </c>
      <c r="D13494" t="str">
        <f>TEST_DATA!D13494</f>
        <v>NON-NIL</v>
      </c>
      <c r="E13494">
        <f>TEST_DATA!E13494</f>
        <v>1017</v>
      </c>
    </row>
    <row r="13495" spans="1:5" x14ac:dyDescent="0.55000000000000004">
      <c r="A13495" t="str">
        <f>TEST_DATA!A13495</f>
        <v>27AAAAA13495Z5</v>
      </c>
      <c r="B13495" t="str">
        <f>TEST_DATA!B13495</f>
        <v>Dec-2017</v>
      </c>
      <c r="C13495">
        <f>TEST_DATA!C13495</f>
        <v>43336</v>
      </c>
      <c r="D13495" t="str">
        <f>TEST_DATA!D13495</f>
        <v>NON-NIL</v>
      </c>
      <c r="E13495">
        <f>TEST_DATA!E13495</f>
        <v>1481</v>
      </c>
    </row>
    <row r="13496" spans="1:5" x14ac:dyDescent="0.55000000000000004">
      <c r="A13496" t="str">
        <f>TEST_DATA!A13496</f>
        <v>27AAAAA13496Z5</v>
      </c>
      <c r="B13496" t="str">
        <f>TEST_DATA!B13496</f>
        <v>Jul-2017</v>
      </c>
      <c r="C13496">
        <f>TEST_DATA!C13496</f>
        <v>43949</v>
      </c>
      <c r="D13496" t="str">
        <f>TEST_DATA!D13496</f>
        <v>NIL</v>
      </c>
      <c r="E13496">
        <f>TEST_DATA!E13496</f>
        <v>2497</v>
      </c>
    </row>
    <row r="13497" spans="1:5" x14ac:dyDescent="0.55000000000000004">
      <c r="A13497" t="str">
        <f>TEST_DATA!A13497</f>
        <v>27AAAAA13497Z5</v>
      </c>
      <c r="B13497" t="str">
        <f>TEST_DATA!B13497</f>
        <v>Jan-2019</v>
      </c>
      <c r="C13497">
        <f>TEST_DATA!C13497</f>
        <v>44458</v>
      </c>
      <c r="D13497" t="str">
        <f>TEST_DATA!D13497</f>
        <v>NIL</v>
      </c>
      <c r="E13497">
        <f>TEST_DATA!E13497</f>
        <v>1895</v>
      </c>
    </row>
    <row r="13498" spans="1:5" x14ac:dyDescent="0.55000000000000004">
      <c r="A13498" t="str">
        <f>TEST_DATA!A13498</f>
        <v>27AAAAA13498Z5</v>
      </c>
      <c r="B13498" t="str">
        <f>TEST_DATA!B13498</f>
        <v>May-2018</v>
      </c>
      <c r="C13498">
        <f>TEST_DATA!C13498</f>
        <v>43258</v>
      </c>
      <c r="D13498" t="str">
        <f>TEST_DATA!D13498</f>
        <v>NON-NIL</v>
      </c>
      <c r="E13498">
        <f>TEST_DATA!E13498</f>
        <v>612</v>
      </c>
    </row>
    <row r="13499" spans="1:5" x14ac:dyDescent="0.55000000000000004">
      <c r="A13499" t="str">
        <f>TEST_DATA!A13499</f>
        <v>27AAAAA13499Z5</v>
      </c>
      <c r="B13499" t="str">
        <f>TEST_DATA!B13499</f>
        <v>Jun-2020</v>
      </c>
      <c r="C13499">
        <f>TEST_DATA!C13499</f>
        <v>44282</v>
      </c>
      <c r="D13499" t="str">
        <f>TEST_DATA!D13499</f>
        <v>NIL</v>
      </c>
      <c r="E13499">
        <f>TEST_DATA!E13499</f>
        <v>1141</v>
      </c>
    </row>
    <row r="13500" spans="1:5" x14ac:dyDescent="0.55000000000000004">
      <c r="A13500" t="str">
        <f>TEST_DATA!A13500</f>
        <v>27AAAAA13500Z5</v>
      </c>
      <c r="B13500" t="str">
        <f>TEST_DATA!B13500</f>
        <v>Feb-2018</v>
      </c>
      <c r="C13500">
        <f>TEST_DATA!C13500</f>
        <v>43431</v>
      </c>
      <c r="D13500" t="str">
        <f>TEST_DATA!D13500</f>
        <v>NIL</v>
      </c>
      <c r="E13500">
        <f>TEST_DATA!E13500</f>
        <v>393</v>
      </c>
    </row>
    <row r="13501" spans="1:5" x14ac:dyDescent="0.55000000000000004">
      <c r="A13501" t="str">
        <f>TEST_DATA!A13501</f>
        <v>27AAAAA13501Z5</v>
      </c>
      <c r="B13501" t="str">
        <f>TEST_DATA!B13501</f>
        <v>Jan-2021</v>
      </c>
      <c r="C13501">
        <f>TEST_DATA!C13501</f>
        <v>44303</v>
      </c>
      <c r="D13501" t="str">
        <f>TEST_DATA!D13501</f>
        <v>NON-NIL</v>
      </c>
      <c r="E13501">
        <f>TEST_DATA!E13501</f>
        <v>1976</v>
      </c>
    </row>
    <row r="13502" spans="1:5" x14ac:dyDescent="0.55000000000000004">
      <c r="A13502" t="str">
        <f>TEST_DATA!A13502</f>
        <v>27AAAAA13502Z5</v>
      </c>
      <c r="B13502" t="str">
        <f>TEST_DATA!B13502</f>
        <v>Apr-2021</v>
      </c>
      <c r="C13502">
        <f>TEST_DATA!C13502</f>
        <v>45825</v>
      </c>
      <c r="D13502" t="str">
        <f>TEST_DATA!D13502</f>
        <v>NON-NIL</v>
      </c>
      <c r="E13502">
        <f>TEST_DATA!E13502</f>
        <v>1334</v>
      </c>
    </row>
    <row r="13503" spans="1:5" x14ac:dyDescent="0.55000000000000004">
      <c r="A13503" t="str">
        <f>TEST_DATA!A13503</f>
        <v>27AAAAA13503Z5</v>
      </c>
      <c r="B13503" t="str">
        <f>TEST_DATA!B13503</f>
        <v>Aug-2018</v>
      </c>
      <c r="C13503">
        <f>TEST_DATA!C13503</f>
        <v>43256</v>
      </c>
      <c r="D13503" t="str">
        <f>TEST_DATA!D13503</f>
        <v>NIL</v>
      </c>
      <c r="E13503">
        <f>TEST_DATA!E13503</f>
        <v>2010</v>
      </c>
    </row>
    <row r="13504" spans="1:5" x14ac:dyDescent="0.55000000000000004">
      <c r="A13504" t="str">
        <f>TEST_DATA!A13504</f>
        <v>27AAAAA13504Z5</v>
      </c>
      <c r="B13504" t="str">
        <f>TEST_DATA!B13504</f>
        <v>Jan-2018</v>
      </c>
      <c r="C13504">
        <f>TEST_DATA!C13504</f>
        <v>43373</v>
      </c>
      <c r="D13504" t="str">
        <f>TEST_DATA!D13504</f>
        <v>NON-NIL</v>
      </c>
      <c r="E13504">
        <f>TEST_DATA!E13504</f>
        <v>77</v>
      </c>
    </row>
    <row r="13505" spans="1:5" x14ac:dyDescent="0.55000000000000004">
      <c r="A13505" t="str">
        <f>TEST_DATA!A13505</f>
        <v>27AAAAA13505Z5</v>
      </c>
      <c r="B13505" t="str">
        <f>TEST_DATA!B13505</f>
        <v>Jul-2017</v>
      </c>
      <c r="C13505">
        <f>TEST_DATA!C13505</f>
        <v>43777</v>
      </c>
      <c r="D13505" t="str">
        <f>TEST_DATA!D13505</f>
        <v>NON-NIL</v>
      </c>
      <c r="E13505">
        <f>TEST_DATA!E13505</f>
        <v>2829</v>
      </c>
    </row>
    <row r="13506" spans="1:5" x14ac:dyDescent="0.55000000000000004">
      <c r="A13506" t="str">
        <f>TEST_DATA!A13506</f>
        <v>27AAAAA13506Z5</v>
      </c>
      <c r="B13506" t="str">
        <f>TEST_DATA!B13506</f>
        <v>May-2018</v>
      </c>
      <c r="C13506">
        <f>TEST_DATA!C13506</f>
        <v>44496</v>
      </c>
      <c r="D13506" t="str">
        <f>TEST_DATA!D13506</f>
        <v>NON-NIL</v>
      </c>
      <c r="E13506">
        <f>TEST_DATA!E13506</f>
        <v>2950</v>
      </c>
    </row>
    <row r="13507" spans="1:5" x14ac:dyDescent="0.55000000000000004">
      <c r="A13507" t="str">
        <f>TEST_DATA!A13507</f>
        <v>27AAAAA13507Z5</v>
      </c>
      <c r="B13507" t="str">
        <f>TEST_DATA!B13507</f>
        <v>Jun-2019</v>
      </c>
      <c r="C13507">
        <f>TEST_DATA!C13507</f>
        <v>43647</v>
      </c>
      <c r="D13507" t="str">
        <f>TEST_DATA!D13507</f>
        <v>NON-NIL</v>
      </c>
      <c r="E13507">
        <f>TEST_DATA!E13507</f>
        <v>2123</v>
      </c>
    </row>
    <row r="13508" spans="1:5" x14ac:dyDescent="0.55000000000000004">
      <c r="A13508" t="str">
        <f>TEST_DATA!A13508</f>
        <v>27AAAAA13508Z5</v>
      </c>
      <c r="B13508" t="str">
        <f>TEST_DATA!B13508</f>
        <v>Dec-2017</v>
      </c>
      <c r="C13508">
        <f>TEST_DATA!C13508</f>
        <v>44172</v>
      </c>
      <c r="D13508" t="str">
        <f>TEST_DATA!D13508</f>
        <v>NON-NIL</v>
      </c>
      <c r="E13508">
        <f>TEST_DATA!E13508</f>
        <v>170</v>
      </c>
    </row>
    <row r="13509" spans="1:5" x14ac:dyDescent="0.55000000000000004">
      <c r="A13509" t="str">
        <f>TEST_DATA!A13509</f>
        <v>27AAAAA13509Z5</v>
      </c>
      <c r="B13509" t="str">
        <f>TEST_DATA!B13509</f>
        <v>Jan-2019</v>
      </c>
      <c r="C13509">
        <f>TEST_DATA!C13509</f>
        <v>45682</v>
      </c>
      <c r="D13509" t="str">
        <f>TEST_DATA!D13509</f>
        <v>NIL</v>
      </c>
      <c r="E13509">
        <f>TEST_DATA!E13509</f>
        <v>2127</v>
      </c>
    </row>
    <row r="13510" spans="1:5" x14ac:dyDescent="0.55000000000000004">
      <c r="A13510" t="str">
        <f>TEST_DATA!A13510</f>
        <v>27AAAAA13510Z5</v>
      </c>
      <c r="B13510" t="str">
        <f>TEST_DATA!B13510</f>
        <v>Jul-2018</v>
      </c>
      <c r="C13510">
        <f>TEST_DATA!C13510</f>
        <v>43300</v>
      </c>
      <c r="D13510" t="str">
        <f>TEST_DATA!D13510</f>
        <v>NON-NIL</v>
      </c>
      <c r="E13510">
        <f>TEST_DATA!E13510</f>
        <v>1422</v>
      </c>
    </row>
    <row r="13511" spans="1:5" x14ac:dyDescent="0.55000000000000004">
      <c r="A13511" t="str">
        <f>TEST_DATA!A13511</f>
        <v>27AAAAA13511Z5</v>
      </c>
      <c r="B13511" t="str">
        <f>TEST_DATA!B13511</f>
        <v>Jun-2019</v>
      </c>
      <c r="C13511">
        <f>TEST_DATA!C13511</f>
        <v>45271</v>
      </c>
      <c r="D13511" t="str">
        <f>TEST_DATA!D13511</f>
        <v>NIL</v>
      </c>
      <c r="E13511">
        <f>TEST_DATA!E13511</f>
        <v>2361</v>
      </c>
    </row>
    <row r="13512" spans="1:5" x14ac:dyDescent="0.55000000000000004">
      <c r="A13512" t="str">
        <f>TEST_DATA!A13512</f>
        <v>27AAAAA13512Z5</v>
      </c>
      <c r="B13512" t="str">
        <f>TEST_DATA!B13512</f>
        <v>Jan-2018</v>
      </c>
      <c r="C13512">
        <f>TEST_DATA!C13512</f>
        <v>44417</v>
      </c>
      <c r="D13512" t="str">
        <f>TEST_DATA!D13512</f>
        <v>NON-NIL</v>
      </c>
      <c r="E13512">
        <f>TEST_DATA!E13512</f>
        <v>95</v>
      </c>
    </row>
    <row r="13513" spans="1:5" x14ac:dyDescent="0.55000000000000004">
      <c r="A13513" t="str">
        <f>TEST_DATA!A13513</f>
        <v>27AAAAA13513Z5</v>
      </c>
      <c r="B13513" t="str">
        <f>TEST_DATA!B13513</f>
        <v>Mar-2021</v>
      </c>
      <c r="C13513">
        <f>TEST_DATA!C13513</f>
        <v>45218</v>
      </c>
      <c r="D13513" t="str">
        <f>TEST_DATA!D13513</f>
        <v>NIL</v>
      </c>
      <c r="E13513">
        <f>TEST_DATA!E13513</f>
        <v>2580</v>
      </c>
    </row>
    <row r="13514" spans="1:5" x14ac:dyDescent="0.55000000000000004">
      <c r="A13514" t="str">
        <f>TEST_DATA!A13514</f>
        <v>27AAAAA13514Z5</v>
      </c>
      <c r="B13514" t="str">
        <f>TEST_DATA!B13514</f>
        <v>May-2020</v>
      </c>
      <c r="C13514">
        <f>TEST_DATA!C13514</f>
        <v>44570</v>
      </c>
      <c r="D13514" t="str">
        <f>TEST_DATA!D13514</f>
        <v>NON-NIL</v>
      </c>
      <c r="E13514">
        <f>TEST_DATA!E13514</f>
        <v>2965</v>
      </c>
    </row>
    <row r="13515" spans="1:5" x14ac:dyDescent="0.55000000000000004">
      <c r="A13515" t="str">
        <f>TEST_DATA!A13515</f>
        <v>27AAAAA13515Z5</v>
      </c>
      <c r="B13515" t="str">
        <f>TEST_DATA!B13515</f>
        <v>Jan-2018</v>
      </c>
      <c r="C13515">
        <f>TEST_DATA!C13515</f>
        <v>43696</v>
      </c>
      <c r="D13515" t="str">
        <f>TEST_DATA!D13515</f>
        <v>NIL</v>
      </c>
      <c r="E13515">
        <f>TEST_DATA!E13515</f>
        <v>2144</v>
      </c>
    </row>
    <row r="13516" spans="1:5" x14ac:dyDescent="0.55000000000000004">
      <c r="A13516" t="str">
        <f>TEST_DATA!A13516</f>
        <v>27AAAAA13516Z5</v>
      </c>
      <c r="B13516" t="str">
        <f>TEST_DATA!B13516</f>
        <v>Aug-2017</v>
      </c>
      <c r="C13516">
        <f>TEST_DATA!C13516</f>
        <v>43669</v>
      </c>
      <c r="D13516" t="str">
        <f>TEST_DATA!D13516</f>
        <v>NON-NIL</v>
      </c>
      <c r="E13516">
        <f>TEST_DATA!E13516</f>
        <v>2205</v>
      </c>
    </row>
    <row r="13517" spans="1:5" x14ac:dyDescent="0.55000000000000004">
      <c r="A13517" t="str">
        <f>TEST_DATA!A13517</f>
        <v>27AAAAA13517Z5</v>
      </c>
      <c r="B13517" t="str">
        <f>TEST_DATA!B13517</f>
        <v>Nov-2017</v>
      </c>
      <c r="C13517">
        <f>TEST_DATA!C13517</f>
        <v>44302</v>
      </c>
      <c r="D13517" t="str">
        <f>TEST_DATA!D13517</f>
        <v>NIL</v>
      </c>
      <c r="E13517">
        <f>TEST_DATA!E13517</f>
        <v>1712</v>
      </c>
    </row>
    <row r="13518" spans="1:5" x14ac:dyDescent="0.55000000000000004">
      <c r="A13518" t="str">
        <f>TEST_DATA!A13518</f>
        <v>27AAAAA13518Z5</v>
      </c>
      <c r="B13518" t="str">
        <f>TEST_DATA!B13518</f>
        <v>Nov-2017</v>
      </c>
      <c r="C13518">
        <f>TEST_DATA!C13518</f>
        <v>44464</v>
      </c>
      <c r="D13518" t="str">
        <f>TEST_DATA!D13518</f>
        <v>NIL</v>
      </c>
      <c r="E13518">
        <f>TEST_DATA!E13518</f>
        <v>2894</v>
      </c>
    </row>
    <row r="13519" spans="1:5" x14ac:dyDescent="0.55000000000000004">
      <c r="A13519" t="str">
        <f>TEST_DATA!A13519</f>
        <v>27AAAAA13519Z5</v>
      </c>
      <c r="B13519" t="str">
        <f>TEST_DATA!B13519</f>
        <v>Jun-2020</v>
      </c>
      <c r="C13519">
        <f>TEST_DATA!C13519</f>
        <v>44000</v>
      </c>
      <c r="D13519" t="str">
        <f>TEST_DATA!D13519</f>
        <v>NON-NIL</v>
      </c>
      <c r="E13519">
        <f>TEST_DATA!E13519</f>
        <v>1884</v>
      </c>
    </row>
    <row r="13520" spans="1:5" x14ac:dyDescent="0.55000000000000004">
      <c r="A13520" t="str">
        <f>TEST_DATA!A13520</f>
        <v>27AAAAA13520Z5</v>
      </c>
      <c r="B13520" t="str">
        <f>TEST_DATA!B13520</f>
        <v>Jun-2018</v>
      </c>
      <c r="C13520">
        <f>TEST_DATA!C13520</f>
        <v>42958</v>
      </c>
      <c r="D13520" t="str">
        <f>TEST_DATA!D13520</f>
        <v>NIL</v>
      </c>
      <c r="E13520">
        <f>TEST_DATA!E13520</f>
        <v>345</v>
      </c>
    </row>
    <row r="13521" spans="1:5" x14ac:dyDescent="0.55000000000000004">
      <c r="A13521" t="str">
        <f>TEST_DATA!A13521</f>
        <v>27AAAAA13521Z5</v>
      </c>
      <c r="B13521" t="str">
        <f>TEST_DATA!B13521</f>
        <v>Jun-2018</v>
      </c>
      <c r="C13521">
        <f>TEST_DATA!C13521</f>
        <v>43322</v>
      </c>
      <c r="D13521" t="str">
        <f>TEST_DATA!D13521</f>
        <v>NIL</v>
      </c>
      <c r="E13521">
        <f>TEST_DATA!E13521</f>
        <v>2604</v>
      </c>
    </row>
    <row r="13522" spans="1:5" x14ac:dyDescent="0.55000000000000004">
      <c r="A13522" t="str">
        <f>TEST_DATA!A13522</f>
        <v>27AAAAA13522Z5</v>
      </c>
      <c r="B13522" t="str">
        <f>TEST_DATA!B13522</f>
        <v>Sep-2018</v>
      </c>
      <c r="C13522">
        <f>TEST_DATA!C13522</f>
        <v>44447</v>
      </c>
      <c r="D13522" t="str">
        <f>TEST_DATA!D13522</f>
        <v>NIL</v>
      </c>
      <c r="E13522">
        <f>TEST_DATA!E13522</f>
        <v>880</v>
      </c>
    </row>
    <row r="13523" spans="1:5" x14ac:dyDescent="0.55000000000000004">
      <c r="A13523" t="str">
        <f>TEST_DATA!A13523</f>
        <v>27AAAAA13523Z5</v>
      </c>
      <c r="B13523" t="str">
        <f>TEST_DATA!B13523</f>
        <v>Dec-2022</v>
      </c>
      <c r="C13523">
        <f>TEST_DATA!C13523</f>
        <v>44697</v>
      </c>
      <c r="D13523" t="str">
        <f>TEST_DATA!D13523</f>
        <v>NIL</v>
      </c>
      <c r="E13523">
        <f>TEST_DATA!E13523</f>
        <v>1169</v>
      </c>
    </row>
    <row r="13524" spans="1:5" x14ac:dyDescent="0.55000000000000004">
      <c r="A13524" t="str">
        <f>TEST_DATA!A13524</f>
        <v>27AAAAA13524Z5</v>
      </c>
      <c r="B13524" t="str">
        <f>TEST_DATA!B13524</f>
        <v>Sep-2018</v>
      </c>
      <c r="C13524">
        <f>TEST_DATA!C13524</f>
        <v>43893</v>
      </c>
      <c r="D13524" t="str">
        <f>TEST_DATA!D13524</f>
        <v>NON-NIL</v>
      </c>
      <c r="E13524">
        <f>TEST_DATA!E13524</f>
        <v>1555</v>
      </c>
    </row>
    <row r="13525" spans="1:5" x14ac:dyDescent="0.55000000000000004">
      <c r="A13525" t="str">
        <f>TEST_DATA!A13525</f>
        <v>27AAAAA13525Z5</v>
      </c>
      <c r="B13525" t="str">
        <f>TEST_DATA!B13525</f>
        <v>Mar-2023</v>
      </c>
      <c r="C13525">
        <f>TEST_DATA!C13525</f>
        <v>45697</v>
      </c>
      <c r="D13525" t="str">
        <f>TEST_DATA!D13525</f>
        <v>NON-NIL</v>
      </c>
      <c r="E13525">
        <f>TEST_DATA!E13525</f>
        <v>866</v>
      </c>
    </row>
    <row r="13526" spans="1:5" x14ac:dyDescent="0.55000000000000004">
      <c r="A13526" t="str">
        <f>TEST_DATA!A13526</f>
        <v>27AAAAA13526Z5</v>
      </c>
      <c r="B13526" t="str">
        <f>TEST_DATA!B13526</f>
        <v>Jan-2021</v>
      </c>
      <c r="C13526">
        <f>TEST_DATA!C13526</f>
        <v>45463</v>
      </c>
      <c r="D13526" t="str">
        <f>TEST_DATA!D13526</f>
        <v>NIL</v>
      </c>
      <c r="E13526">
        <f>TEST_DATA!E13526</f>
        <v>968</v>
      </c>
    </row>
    <row r="13527" spans="1:5" x14ac:dyDescent="0.55000000000000004">
      <c r="A13527" t="str">
        <f>TEST_DATA!A13527</f>
        <v>27AAAAA13527Z5</v>
      </c>
      <c r="B13527" t="str">
        <f>TEST_DATA!B13527</f>
        <v>Sep-2018</v>
      </c>
      <c r="C13527">
        <f>TEST_DATA!C13527</f>
        <v>44125</v>
      </c>
      <c r="D13527" t="str">
        <f>TEST_DATA!D13527</f>
        <v>NON-NIL</v>
      </c>
      <c r="E13527">
        <f>TEST_DATA!E13527</f>
        <v>32</v>
      </c>
    </row>
    <row r="13528" spans="1:5" x14ac:dyDescent="0.55000000000000004">
      <c r="A13528" t="str">
        <f>TEST_DATA!A13528</f>
        <v>27AAAAA13528Z5</v>
      </c>
      <c r="B13528" t="str">
        <f>TEST_DATA!B13528</f>
        <v>Jun-2019</v>
      </c>
      <c r="C13528">
        <f>TEST_DATA!C13528</f>
        <v>43593</v>
      </c>
      <c r="D13528" t="str">
        <f>TEST_DATA!D13528</f>
        <v>NON-NIL</v>
      </c>
      <c r="E13528">
        <f>TEST_DATA!E13528</f>
        <v>1016</v>
      </c>
    </row>
    <row r="13529" spans="1:5" x14ac:dyDescent="0.55000000000000004">
      <c r="A13529" t="str">
        <f>TEST_DATA!A13529</f>
        <v>27AAAAA13529Z5</v>
      </c>
      <c r="B13529" t="str">
        <f>TEST_DATA!B13529</f>
        <v>Jun-2019</v>
      </c>
      <c r="C13529">
        <f>TEST_DATA!C13529</f>
        <v>44220</v>
      </c>
      <c r="D13529" t="str">
        <f>TEST_DATA!D13529</f>
        <v>NIL</v>
      </c>
      <c r="E13529">
        <f>TEST_DATA!E13529</f>
        <v>720</v>
      </c>
    </row>
    <row r="13530" spans="1:5" x14ac:dyDescent="0.55000000000000004">
      <c r="A13530" t="str">
        <f>TEST_DATA!A13530</f>
        <v>27AAAAA13530Z5</v>
      </c>
      <c r="B13530" t="str">
        <f>TEST_DATA!B13530</f>
        <v>Jul-2020</v>
      </c>
      <c r="C13530">
        <f>TEST_DATA!C13530</f>
        <v>44138</v>
      </c>
      <c r="D13530" t="str">
        <f>TEST_DATA!D13530</f>
        <v>NIL</v>
      </c>
      <c r="E13530">
        <f>TEST_DATA!E13530</f>
        <v>2699</v>
      </c>
    </row>
    <row r="13531" spans="1:5" x14ac:dyDescent="0.55000000000000004">
      <c r="A13531" t="str">
        <f>TEST_DATA!A13531</f>
        <v>27AAAAA13531Z5</v>
      </c>
      <c r="B13531" t="str">
        <f>TEST_DATA!B13531</f>
        <v>Mar-2023</v>
      </c>
      <c r="C13531">
        <f>TEST_DATA!C13531</f>
        <v>45064</v>
      </c>
      <c r="D13531" t="str">
        <f>TEST_DATA!D13531</f>
        <v>NON-NIL</v>
      </c>
      <c r="E13531">
        <f>TEST_DATA!E13531</f>
        <v>1855</v>
      </c>
    </row>
    <row r="13532" spans="1:5" x14ac:dyDescent="0.55000000000000004">
      <c r="A13532" t="str">
        <f>TEST_DATA!A13532</f>
        <v>27AAAAA13532Z5</v>
      </c>
      <c r="B13532" t="str">
        <f>TEST_DATA!B13532</f>
        <v>Jul-2020</v>
      </c>
      <c r="C13532">
        <f>TEST_DATA!C13532</f>
        <v>44575</v>
      </c>
      <c r="D13532" t="str">
        <f>TEST_DATA!D13532</f>
        <v>NIL</v>
      </c>
      <c r="E13532">
        <f>TEST_DATA!E13532</f>
        <v>2642</v>
      </c>
    </row>
    <row r="13533" spans="1:5" x14ac:dyDescent="0.55000000000000004">
      <c r="A13533" t="str">
        <f>TEST_DATA!A13533</f>
        <v>27AAAAA13533Z5</v>
      </c>
      <c r="B13533" t="str">
        <f>TEST_DATA!B13533</f>
        <v>Jan-2019</v>
      </c>
      <c r="C13533">
        <f>TEST_DATA!C13533</f>
        <v>45059</v>
      </c>
      <c r="D13533" t="str">
        <f>TEST_DATA!D13533</f>
        <v>NON-NIL</v>
      </c>
      <c r="E13533">
        <f>TEST_DATA!E13533</f>
        <v>1180</v>
      </c>
    </row>
    <row r="13534" spans="1:5" x14ac:dyDescent="0.55000000000000004">
      <c r="A13534" t="str">
        <f>TEST_DATA!A13534</f>
        <v>27AAAAA13534Z5</v>
      </c>
      <c r="B13534" t="str">
        <f>TEST_DATA!B13534</f>
        <v>May-2018</v>
      </c>
      <c r="C13534">
        <f>TEST_DATA!C13534</f>
        <v>43150</v>
      </c>
      <c r="D13534" t="str">
        <f>TEST_DATA!D13534</f>
        <v>NIL</v>
      </c>
      <c r="E13534">
        <f>TEST_DATA!E13534</f>
        <v>2565</v>
      </c>
    </row>
    <row r="13535" spans="1:5" x14ac:dyDescent="0.55000000000000004">
      <c r="A13535" t="str">
        <f>TEST_DATA!A13535</f>
        <v>27AAAAA13535Z5</v>
      </c>
      <c r="B13535" t="str">
        <f>TEST_DATA!B13535</f>
        <v>May-2018</v>
      </c>
      <c r="C13535">
        <f>TEST_DATA!C13535</f>
        <v>43702</v>
      </c>
      <c r="D13535" t="str">
        <f>TEST_DATA!D13535</f>
        <v>NIL</v>
      </c>
      <c r="E13535">
        <f>TEST_DATA!E13535</f>
        <v>692</v>
      </c>
    </row>
    <row r="13536" spans="1:5" x14ac:dyDescent="0.55000000000000004">
      <c r="A13536" t="str">
        <f>TEST_DATA!A13536</f>
        <v>27AAAAA13536Z5</v>
      </c>
      <c r="B13536" t="str">
        <f>TEST_DATA!B13536</f>
        <v>Nov-2017</v>
      </c>
      <c r="C13536">
        <f>TEST_DATA!C13536</f>
        <v>42941</v>
      </c>
      <c r="D13536" t="str">
        <f>TEST_DATA!D13536</f>
        <v>NIL</v>
      </c>
      <c r="E13536">
        <f>TEST_DATA!E13536</f>
        <v>1149</v>
      </c>
    </row>
    <row r="13537" spans="1:5" x14ac:dyDescent="0.55000000000000004">
      <c r="A13537" t="str">
        <f>TEST_DATA!A13537</f>
        <v>27AAAAA13537Z5</v>
      </c>
      <c r="B13537" t="str">
        <f>TEST_DATA!B13537</f>
        <v>Mar-2021</v>
      </c>
      <c r="C13537">
        <f>TEST_DATA!C13537</f>
        <v>45136</v>
      </c>
      <c r="D13537" t="str">
        <f>TEST_DATA!D13537</f>
        <v>NON-NIL</v>
      </c>
      <c r="E13537">
        <f>TEST_DATA!E13537</f>
        <v>2771</v>
      </c>
    </row>
    <row r="13538" spans="1:5" x14ac:dyDescent="0.55000000000000004">
      <c r="A13538" t="str">
        <f>TEST_DATA!A13538</f>
        <v>27AAAAA13538Z5</v>
      </c>
      <c r="B13538" t="str">
        <f>TEST_DATA!B13538</f>
        <v>Mar-2018</v>
      </c>
      <c r="C13538">
        <f>TEST_DATA!C13538</f>
        <v>44555</v>
      </c>
      <c r="D13538" t="str">
        <f>TEST_DATA!D13538</f>
        <v>NIL</v>
      </c>
      <c r="E13538">
        <f>TEST_DATA!E13538</f>
        <v>2408</v>
      </c>
    </row>
    <row r="13539" spans="1:5" x14ac:dyDescent="0.55000000000000004">
      <c r="A13539" t="str">
        <f>TEST_DATA!A13539</f>
        <v>27AAAAA13539Z5</v>
      </c>
      <c r="B13539" t="str">
        <f>TEST_DATA!B13539</f>
        <v>Mar-2020</v>
      </c>
      <c r="C13539">
        <f>TEST_DATA!C13539</f>
        <v>44622</v>
      </c>
      <c r="D13539" t="str">
        <f>TEST_DATA!D13539</f>
        <v>NIL</v>
      </c>
      <c r="E13539">
        <f>TEST_DATA!E13539</f>
        <v>858</v>
      </c>
    </row>
    <row r="13540" spans="1:5" x14ac:dyDescent="0.55000000000000004">
      <c r="A13540" t="str">
        <f>TEST_DATA!A13540</f>
        <v>27AAAAA13540Z5</v>
      </c>
      <c r="B13540" t="str">
        <f>TEST_DATA!B13540</f>
        <v>Jun-2019</v>
      </c>
      <c r="C13540">
        <f>TEST_DATA!C13540</f>
        <v>43698</v>
      </c>
      <c r="D13540" t="str">
        <f>TEST_DATA!D13540</f>
        <v>NON-NIL</v>
      </c>
      <c r="E13540">
        <f>TEST_DATA!E13540</f>
        <v>307</v>
      </c>
    </row>
    <row r="13541" spans="1:5" x14ac:dyDescent="0.55000000000000004">
      <c r="A13541" t="str">
        <f>TEST_DATA!A13541</f>
        <v>27AAAAA13541Z5</v>
      </c>
      <c r="B13541" t="str">
        <f>TEST_DATA!B13541</f>
        <v>Dec-2019</v>
      </c>
      <c r="C13541">
        <f>TEST_DATA!C13541</f>
        <v>45006</v>
      </c>
      <c r="D13541" t="str">
        <f>TEST_DATA!D13541</f>
        <v>NIL</v>
      </c>
      <c r="E13541">
        <f>TEST_DATA!E13541</f>
        <v>2985</v>
      </c>
    </row>
    <row r="13542" spans="1:5" x14ac:dyDescent="0.55000000000000004">
      <c r="A13542" t="str">
        <f>TEST_DATA!A13542</f>
        <v>27AAAAA13542Z5</v>
      </c>
      <c r="B13542" t="str">
        <f>TEST_DATA!B13542</f>
        <v>Aug-2018</v>
      </c>
      <c r="C13542">
        <f>TEST_DATA!C13542</f>
        <v>44084</v>
      </c>
      <c r="D13542" t="str">
        <f>TEST_DATA!D13542</f>
        <v>NIL</v>
      </c>
      <c r="E13542">
        <f>TEST_DATA!E13542</f>
        <v>2478</v>
      </c>
    </row>
    <row r="13543" spans="1:5" x14ac:dyDescent="0.55000000000000004">
      <c r="A13543" t="str">
        <f>TEST_DATA!A13543</f>
        <v>27AAAAA13543Z5</v>
      </c>
      <c r="B13543" t="str">
        <f>TEST_DATA!B13543</f>
        <v>Apr-2020</v>
      </c>
      <c r="C13543">
        <f>TEST_DATA!C13543</f>
        <v>44369</v>
      </c>
      <c r="D13543" t="str">
        <f>TEST_DATA!D13543</f>
        <v>NON-NIL</v>
      </c>
      <c r="E13543">
        <f>TEST_DATA!E13543</f>
        <v>304</v>
      </c>
    </row>
    <row r="13544" spans="1:5" x14ac:dyDescent="0.55000000000000004">
      <c r="A13544" t="str">
        <f>TEST_DATA!A13544</f>
        <v>27AAAAA13544Z5</v>
      </c>
      <c r="B13544" t="str">
        <f>TEST_DATA!B13544</f>
        <v>Aug-2017</v>
      </c>
      <c r="C13544">
        <f>TEST_DATA!C13544</f>
        <v>43704</v>
      </c>
      <c r="D13544" t="str">
        <f>TEST_DATA!D13544</f>
        <v>NIL</v>
      </c>
      <c r="E13544">
        <f>TEST_DATA!E13544</f>
        <v>2124</v>
      </c>
    </row>
    <row r="13545" spans="1:5" x14ac:dyDescent="0.55000000000000004">
      <c r="A13545" t="str">
        <f>TEST_DATA!A13545</f>
        <v>27AAAAA13545Z5</v>
      </c>
      <c r="B13545" t="str">
        <f>TEST_DATA!B13545</f>
        <v>Jan-2021</v>
      </c>
      <c r="C13545">
        <f>TEST_DATA!C13545</f>
        <v>44088</v>
      </c>
      <c r="D13545" t="str">
        <f>TEST_DATA!D13545</f>
        <v>NIL</v>
      </c>
      <c r="E13545">
        <f>TEST_DATA!E13545</f>
        <v>289</v>
      </c>
    </row>
    <row r="13546" spans="1:5" x14ac:dyDescent="0.55000000000000004">
      <c r="A13546" t="str">
        <f>TEST_DATA!A13546</f>
        <v>27AAAAA13546Z5</v>
      </c>
      <c r="B13546" t="str">
        <f>TEST_DATA!B13546</f>
        <v>Jul-2018</v>
      </c>
      <c r="C13546">
        <f>TEST_DATA!C13546</f>
        <v>43215</v>
      </c>
      <c r="D13546" t="str">
        <f>TEST_DATA!D13546</f>
        <v>NON-NIL</v>
      </c>
      <c r="E13546">
        <f>TEST_DATA!E13546</f>
        <v>60</v>
      </c>
    </row>
    <row r="13547" spans="1:5" x14ac:dyDescent="0.55000000000000004">
      <c r="A13547" t="str">
        <f>TEST_DATA!A13547</f>
        <v>27AAAAA13547Z5</v>
      </c>
      <c r="B13547" t="str">
        <f>TEST_DATA!B13547</f>
        <v>Apr-2018</v>
      </c>
      <c r="C13547">
        <f>TEST_DATA!C13547</f>
        <v>44338</v>
      </c>
      <c r="D13547" t="str">
        <f>TEST_DATA!D13547</f>
        <v>NIL</v>
      </c>
      <c r="E13547">
        <f>TEST_DATA!E13547</f>
        <v>1985</v>
      </c>
    </row>
    <row r="13548" spans="1:5" x14ac:dyDescent="0.55000000000000004">
      <c r="A13548" t="str">
        <f>TEST_DATA!A13548</f>
        <v>27AAAAA13548Z5</v>
      </c>
      <c r="B13548" t="str">
        <f>TEST_DATA!B13548</f>
        <v>Jun-2019</v>
      </c>
      <c r="C13548">
        <f>TEST_DATA!C13548</f>
        <v>44994</v>
      </c>
      <c r="D13548" t="str">
        <f>TEST_DATA!D13548</f>
        <v>NON-NIL</v>
      </c>
      <c r="E13548">
        <f>TEST_DATA!E13548</f>
        <v>433</v>
      </c>
    </row>
    <row r="13549" spans="1:5" x14ac:dyDescent="0.55000000000000004">
      <c r="A13549" t="str">
        <f>TEST_DATA!A13549</f>
        <v>27AAAAA13549Z5</v>
      </c>
      <c r="B13549" t="str">
        <f>TEST_DATA!B13549</f>
        <v>Mar-2021</v>
      </c>
      <c r="C13549">
        <f>TEST_DATA!C13549</f>
        <v>43700</v>
      </c>
      <c r="D13549" t="str">
        <f>TEST_DATA!D13549</f>
        <v>NIL</v>
      </c>
      <c r="E13549">
        <f>TEST_DATA!E13549</f>
        <v>1726</v>
      </c>
    </row>
    <row r="13550" spans="1:5" x14ac:dyDescent="0.55000000000000004">
      <c r="A13550" t="str">
        <f>TEST_DATA!A13550</f>
        <v>27AAAAA13550Z5</v>
      </c>
      <c r="B13550" t="str">
        <f>TEST_DATA!B13550</f>
        <v>May-2020</v>
      </c>
      <c r="C13550">
        <f>TEST_DATA!C13550</f>
        <v>44221</v>
      </c>
      <c r="D13550" t="str">
        <f>TEST_DATA!D13550</f>
        <v>NIL</v>
      </c>
      <c r="E13550">
        <f>TEST_DATA!E13550</f>
        <v>1475</v>
      </c>
    </row>
    <row r="13551" spans="1:5" x14ac:dyDescent="0.55000000000000004">
      <c r="A13551" t="str">
        <f>TEST_DATA!A13551</f>
        <v>27AAAAA13551Z5</v>
      </c>
      <c r="B13551" t="str">
        <f>TEST_DATA!B13551</f>
        <v>Jul-2018</v>
      </c>
      <c r="C13551">
        <f>TEST_DATA!C13551</f>
        <v>44142</v>
      </c>
      <c r="D13551" t="str">
        <f>TEST_DATA!D13551</f>
        <v>NON-NIL</v>
      </c>
      <c r="E13551">
        <f>TEST_DATA!E13551</f>
        <v>2667</v>
      </c>
    </row>
    <row r="13552" spans="1:5" x14ac:dyDescent="0.55000000000000004">
      <c r="A13552" t="str">
        <f>TEST_DATA!A13552</f>
        <v>27AAAAA13552Z5</v>
      </c>
      <c r="B13552" t="str">
        <f>TEST_DATA!B13552</f>
        <v>May-2020</v>
      </c>
      <c r="C13552">
        <f>TEST_DATA!C13552</f>
        <v>44681</v>
      </c>
      <c r="D13552" t="str">
        <f>TEST_DATA!D13552</f>
        <v>NIL</v>
      </c>
      <c r="E13552">
        <f>TEST_DATA!E13552</f>
        <v>1294</v>
      </c>
    </row>
    <row r="13553" spans="1:5" x14ac:dyDescent="0.55000000000000004">
      <c r="A13553" t="str">
        <f>TEST_DATA!A13553</f>
        <v>27AAAAA13553Z5</v>
      </c>
      <c r="B13553" t="str">
        <f>TEST_DATA!B13553</f>
        <v>May-2020</v>
      </c>
      <c r="C13553">
        <f>TEST_DATA!C13553</f>
        <v>43901</v>
      </c>
      <c r="D13553" t="str">
        <f>TEST_DATA!D13553</f>
        <v>NON-NIL</v>
      </c>
      <c r="E13553">
        <f>TEST_DATA!E13553</f>
        <v>2512</v>
      </c>
    </row>
    <row r="13554" spans="1:5" x14ac:dyDescent="0.55000000000000004">
      <c r="A13554" t="str">
        <f>TEST_DATA!A13554</f>
        <v>27AAAAA13554Z5</v>
      </c>
      <c r="B13554" t="str">
        <f>TEST_DATA!B13554</f>
        <v>Apr-2018</v>
      </c>
      <c r="C13554">
        <f>TEST_DATA!C13554</f>
        <v>43067</v>
      </c>
      <c r="D13554" t="str">
        <f>TEST_DATA!D13554</f>
        <v>NIL</v>
      </c>
      <c r="E13554">
        <f>TEST_DATA!E13554</f>
        <v>877</v>
      </c>
    </row>
    <row r="13555" spans="1:5" x14ac:dyDescent="0.55000000000000004">
      <c r="A13555" t="str">
        <f>TEST_DATA!A13555</f>
        <v>27AAAAA13555Z5</v>
      </c>
      <c r="B13555" t="str">
        <f>TEST_DATA!B13555</f>
        <v>May-2018</v>
      </c>
      <c r="C13555">
        <f>TEST_DATA!C13555</f>
        <v>43261</v>
      </c>
      <c r="D13555" t="str">
        <f>TEST_DATA!D13555</f>
        <v>NIL</v>
      </c>
      <c r="E13555">
        <f>TEST_DATA!E13555</f>
        <v>2774</v>
      </c>
    </row>
    <row r="13556" spans="1:5" x14ac:dyDescent="0.55000000000000004">
      <c r="A13556" t="str">
        <f>TEST_DATA!A13556</f>
        <v>27AAAAA13556Z5</v>
      </c>
      <c r="B13556" t="str">
        <f>TEST_DATA!B13556</f>
        <v>Dec-2019</v>
      </c>
      <c r="C13556">
        <f>TEST_DATA!C13556</f>
        <v>45573</v>
      </c>
      <c r="D13556" t="str">
        <f>TEST_DATA!D13556</f>
        <v>NON-NIL</v>
      </c>
      <c r="E13556">
        <f>TEST_DATA!E13556</f>
        <v>127</v>
      </c>
    </row>
    <row r="13557" spans="1:5" x14ac:dyDescent="0.55000000000000004">
      <c r="A13557" t="str">
        <f>TEST_DATA!A13557</f>
        <v>27AAAAA13557Z5</v>
      </c>
      <c r="B13557" t="str">
        <f>TEST_DATA!B13557</f>
        <v>Jun-2019</v>
      </c>
      <c r="C13557">
        <f>TEST_DATA!C13557</f>
        <v>43746</v>
      </c>
      <c r="D13557" t="str">
        <f>TEST_DATA!D13557</f>
        <v>NIL</v>
      </c>
      <c r="E13557">
        <f>TEST_DATA!E13557</f>
        <v>14</v>
      </c>
    </row>
    <row r="13558" spans="1:5" x14ac:dyDescent="0.55000000000000004">
      <c r="A13558" t="str">
        <f>TEST_DATA!A13558</f>
        <v>27AAAAA13558Z5</v>
      </c>
      <c r="B13558" t="str">
        <f>TEST_DATA!B13558</f>
        <v>Sep-2018</v>
      </c>
      <c r="C13558">
        <f>TEST_DATA!C13558</f>
        <v>43120</v>
      </c>
      <c r="D13558" t="str">
        <f>TEST_DATA!D13558</f>
        <v>NON-NIL</v>
      </c>
      <c r="E13558">
        <f>TEST_DATA!E13558</f>
        <v>2440</v>
      </c>
    </row>
    <row r="13559" spans="1:5" x14ac:dyDescent="0.55000000000000004">
      <c r="A13559" t="str">
        <f>TEST_DATA!A13559</f>
        <v>27AAAAA13559Z5</v>
      </c>
      <c r="B13559" t="str">
        <f>TEST_DATA!B13559</f>
        <v>Jan-2021</v>
      </c>
      <c r="C13559">
        <f>TEST_DATA!C13559</f>
        <v>44180</v>
      </c>
      <c r="D13559" t="str">
        <f>TEST_DATA!D13559</f>
        <v>NIL</v>
      </c>
      <c r="E13559">
        <f>TEST_DATA!E13559</f>
        <v>2883</v>
      </c>
    </row>
    <row r="13560" spans="1:5" x14ac:dyDescent="0.55000000000000004">
      <c r="A13560" t="str">
        <f>TEST_DATA!A13560</f>
        <v>27AAAAA13560Z5</v>
      </c>
      <c r="B13560" t="str">
        <f>TEST_DATA!B13560</f>
        <v>Jul-2018</v>
      </c>
      <c r="C13560">
        <f>TEST_DATA!C13560</f>
        <v>42969</v>
      </c>
      <c r="D13560" t="str">
        <f>TEST_DATA!D13560</f>
        <v>NIL</v>
      </c>
      <c r="E13560">
        <f>TEST_DATA!E13560</f>
        <v>1695</v>
      </c>
    </row>
    <row r="13561" spans="1:5" x14ac:dyDescent="0.55000000000000004">
      <c r="A13561" t="str">
        <f>TEST_DATA!A13561</f>
        <v>27AAAAA13561Z5</v>
      </c>
      <c r="B13561" t="str">
        <f>TEST_DATA!B13561</f>
        <v>Jun-2019</v>
      </c>
      <c r="C13561">
        <f>TEST_DATA!C13561</f>
        <v>43586</v>
      </c>
      <c r="D13561" t="str">
        <f>TEST_DATA!D13561</f>
        <v>NON-NIL</v>
      </c>
      <c r="E13561">
        <f>TEST_DATA!E13561</f>
        <v>2287</v>
      </c>
    </row>
    <row r="13562" spans="1:5" x14ac:dyDescent="0.55000000000000004">
      <c r="A13562" t="str">
        <f>TEST_DATA!A13562</f>
        <v>27AAAAA13562Z5</v>
      </c>
      <c r="B13562" t="str">
        <f>TEST_DATA!B13562</f>
        <v>Jun-2020</v>
      </c>
      <c r="C13562">
        <f>TEST_DATA!C13562</f>
        <v>44866</v>
      </c>
      <c r="D13562" t="str">
        <f>TEST_DATA!D13562</f>
        <v>NON-NIL</v>
      </c>
      <c r="E13562">
        <f>TEST_DATA!E13562</f>
        <v>1069</v>
      </c>
    </row>
    <row r="13563" spans="1:5" x14ac:dyDescent="0.55000000000000004">
      <c r="A13563" t="str">
        <f>TEST_DATA!A13563</f>
        <v>27AAAAA13563Z5</v>
      </c>
      <c r="B13563" t="str">
        <f>TEST_DATA!B13563</f>
        <v>Apr-2021</v>
      </c>
      <c r="C13563">
        <f>TEST_DATA!C13563</f>
        <v>44580</v>
      </c>
      <c r="D13563" t="str">
        <f>TEST_DATA!D13563</f>
        <v>NIL</v>
      </c>
      <c r="E13563">
        <f>TEST_DATA!E13563</f>
        <v>1998</v>
      </c>
    </row>
    <row r="13564" spans="1:5" x14ac:dyDescent="0.55000000000000004">
      <c r="A13564" t="str">
        <f>TEST_DATA!A13564</f>
        <v>27AAAAA13564Z5</v>
      </c>
      <c r="B13564" t="str">
        <f>TEST_DATA!B13564</f>
        <v>Nov-2017</v>
      </c>
      <c r="C13564">
        <f>TEST_DATA!C13564</f>
        <v>44513</v>
      </c>
      <c r="D13564" t="str">
        <f>TEST_DATA!D13564</f>
        <v>NIL</v>
      </c>
      <c r="E13564">
        <f>TEST_DATA!E13564</f>
        <v>812</v>
      </c>
    </row>
    <row r="13565" spans="1:5" x14ac:dyDescent="0.55000000000000004">
      <c r="A13565" t="str">
        <f>TEST_DATA!A13565</f>
        <v>27AAAAA13565Z5</v>
      </c>
      <c r="B13565" t="str">
        <f>TEST_DATA!B13565</f>
        <v>Dec-2017</v>
      </c>
      <c r="C13565">
        <f>TEST_DATA!C13565</f>
        <v>43800</v>
      </c>
      <c r="D13565" t="str">
        <f>TEST_DATA!D13565</f>
        <v>NON-NIL</v>
      </c>
      <c r="E13565">
        <f>TEST_DATA!E13565</f>
        <v>2030</v>
      </c>
    </row>
    <row r="13566" spans="1:5" x14ac:dyDescent="0.55000000000000004">
      <c r="A13566" t="str">
        <f>TEST_DATA!A13566</f>
        <v>27AAAAA13566Z5</v>
      </c>
      <c r="B13566" t="str">
        <f>TEST_DATA!B13566</f>
        <v>Mar-2023</v>
      </c>
      <c r="C13566">
        <f>TEST_DATA!C13566</f>
        <v>45172</v>
      </c>
      <c r="D13566" t="str">
        <f>TEST_DATA!D13566</f>
        <v>NIL</v>
      </c>
      <c r="E13566">
        <f>TEST_DATA!E13566</f>
        <v>2289</v>
      </c>
    </row>
    <row r="13567" spans="1:5" x14ac:dyDescent="0.55000000000000004">
      <c r="A13567" t="str">
        <f>TEST_DATA!A13567</f>
        <v>27AAAAA13567Z5</v>
      </c>
      <c r="B13567" t="str">
        <f>TEST_DATA!B13567</f>
        <v>Apr-2021</v>
      </c>
      <c r="C13567">
        <f>TEST_DATA!C13567</f>
        <v>44382</v>
      </c>
      <c r="D13567" t="str">
        <f>TEST_DATA!D13567</f>
        <v>NIL</v>
      </c>
      <c r="E13567">
        <f>TEST_DATA!E13567</f>
        <v>2929</v>
      </c>
    </row>
    <row r="13568" spans="1:5" x14ac:dyDescent="0.55000000000000004">
      <c r="A13568" t="str">
        <f>TEST_DATA!A13568</f>
        <v>27AAAAA13568Z5</v>
      </c>
      <c r="B13568" t="str">
        <f>TEST_DATA!B13568</f>
        <v>Mar-2020</v>
      </c>
      <c r="C13568">
        <f>TEST_DATA!C13568</f>
        <v>43986</v>
      </c>
      <c r="D13568" t="str">
        <f>TEST_DATA!D13568</f>
        <v>NIL</v>
      </c>
      <c r="E13568">
        <f>TEST_DATA!E13568</f>
        <v>1246</v>
      </c>
    </row>
    <row r="13569" spans="1:5" x14ac:dyDescent="0.55000000000000004">
      <c r="A13569" t="str">
        <f>TEST_DATA!A13569</f>
        <v>27AAAAA13569Z5</v>
      </c>
      <c r="B13569" t="str">
        <f>TEST_DATA!B13569</f>
        <v>Feb-2018</v>
      </c>
      <c r="C13569">
        <f>TEST_DATA!C13569</f>
        <v>43966</v>
      </c>
      <c r="D13569" t="str">
        <f>TEST_DATA!D13569</f>
        <v>NON-NIL</v>
      </c>
      <c r="E13569">
        <f>TEST_DATA!E13569</f>
        <v>2860</v>
      </c>
    </row>
    <row r="13570" spans="1:5" x14ac:dyDescent="0.55000000000000004">
      <c r="A13570" t="str">
        <f>TEST_DATA!A13570</f>
        <v>27AAAAA13570Z5</v>
      </c>
      <c r="B13570" t="str">
        <f>TEST_DATA!B13570</f>
        <v>Feb-2018</v>
      </c>
      <c r="C13570">
        <f>TEST_DATA!C13570</f>
        <v>43012</v>
      </c>
      <c r="D13570" t="str">
        <f>TEST_DATA!D13570</f>
        <v>NON-NIL</v>
      </c>
      <c r="E13570">
        <f>TEST_DATA!E13570</f>
        <v>2334</v>
      </c>
    </row>
    <row r="13571" spans="1:5" x14ac:dyDescent="0.55000000000000004">
      <c r="A13571" t="str">
        <f>TEST_DATA!A13571</f>
        <v>27AAAAA13571Z5</v>
      </c>
      <c r="B13571" t="str">
        <f>TEST_DATA!B13571</f>
        <v>Jan-2019</v>
      </c>
      <c r="C13571">
        <f>TEST_DATA!C13571</f>
        <v>44815</v>
      </c>
      <c r="D13571" t="str">
        <f>TEST_DATA!D13571</f>
        <v>NON-NIL</v>
      </c>
      <c r="E13571">
        <f>TEST_DATA!E13571</f>
        <v>2099</v>
      </c>
    </row>
    <row r="13572" spans="1:5" x14ac:dyDescent="0.55000000000000004">
      <c r="A13572" t="str">
        <f>TEST_DATA!A13572</f>
        <v>27AAAAA13572Z5</v>
      </c>
      <c r="B13572" t="str">
        <f>TEST_DATA!B13572</f>
        <v>Jul-2020</v>
      </c>
      <c r="C13572">
        <f>TEST_DATA!C13572</f>
        <v>44366</v>
      </c>
      <c r="D13572" t="str">
        <f>TEST_DATA!D13572</f>
        <v>NIL</v>
      </c>
      <c r="E13572">
        <f>TEST_DATA!E13572</f>
        <v>480</v>
      </c>
    </row>
    <row r="13573" spans="1:5" x14ac:dyDescent="0.55000000000000004">
      <c r="A13573" t="str">
        <f>TEST_DATA!A13573</f>
        <v>27AAAAA13573Z5</v>
      </c>
      <c r="B13573" t="str">
        <f>TEST_DATA!B13573</f>
        <v>Dec-2019</v>
      </c>
      <c r="C13573">
        <f>TEST_DATA!C13573</f>
        <v>43963</v>
      </c>
      <c r="D13573" t="str">
        <f>TEST_DATA!D13573</f>
        <v>NIL</v>
      </c>
      <c r="E13573">
        <f>TEST_DATA!E13573</f>
        <v>269</v>
      </c>
    </row>
    <row r="13574" spans="1:5" x14ac:dyDescent="0.55000000000000004">
      <c r="A13574" t="str">
        <f>TEST_DATA!A13574</f>
        <v>27AAAAA13574Z5</v>
      </c>
      <c r="B13574" t="str">
        <f>TEST_DATA!B13574</f>
        <v>Apr-2021</v>
      </c>
      <c r="C13574">
        <f>TEST_DATA!C13574</f>
        <v>45618</v>
      </c>
      <c r="D13574" t="str">
        <f>TEST_DATA!D13574</f>
        <v>NON-NIL</v>
      </c>
      <c r="E13574">
        <f>TEST_DATA!E13574</f>
        <v>1143</v>
      </c>
    </row>
    <row r="13575" spans="1:5" x14ac:dyDescent="0.55000000000000004">
      <c r="A13575" t="str">
        <f>TEST_DATA!A13575</f>
        <v>27AAAAA13575Z5</v>
      </c>
      <c r="B13575" t="str">
        <f>TEST_DATA!B13575</f>
        <v>Sep-2018</v>
      </c>
      <c r="C13575">
        <f>TEST_DATA!C13575</f>
        <v>43257</v>
      </c>
      <c r="D13575" t="str">
        <f>TEST_DATA!D13575</f>
        <v>NIL</v>
      </c>
      <c r="E13575">
        <f>TEST_DATA!E13575</f>
        <v>2922</v>
      </c>
    </row>
    <row r="13576" spans="1:5" x14ac:dyDescent="0.55000000000000004">
      <c r="A13576" t="str">
        <f>TEST_DATA!A13576</f>
        <v>27AAAAA13576Z5</v>
      </c>
      <c r="B13576" t="str">
        <f>TEST_DATA!B13576</f>
        <v>Jul-2020</v>
      </c>
      <c r="C13576">
        <f>TEST_DATA!C13576</f>
        <v>44298</v>
      </c>
      <c r="D13576" t="str">
        <f>TEST_DATA!D13576</f>
        <v>NIL</v>
      </c>
      <c r="E13576">
        <f>TEST_DATA!E13576</f>
        <v>503</v>
      </c>
    </row>
    <row r="13577" spans="1:5" x14ac:dyDescent="0.55000000000000004">
      <c r="A13577" t="str">
        <f>TEST_DATA!A13577</f>
        <v>27AAAAA13577Z5</v>
      </c>
      <c r="B13577" t="str">
        <f>TEST_DATA!B13577</f>
        <v>Dec-2017</v>
      </c>
      <c r="C13577">
        <f>TEST_DATA!C13577</f>
        <v>43708</v>
      </c>
      <c r="D13577" t="str">
        <f>TEST_DATA!D13577</f>
        <v>NON-NIL</v>
      </c>
      <c r="E13577">
        <f>TEST_DATA!E13577</f>
        <v>2535</v>
      </c>
    </row>
    <row r="13578" spans="1:5" x14ac:dyDescent="0.55000000000000004">
      <c r="A13578" t="str">
        <f>TEST_DATA!A13578</f>
        <v>27AAAAA13578Z5</v>
      </c>
      <c r="B13578" t="str">
        <f>TEST_DATA!B13578</f>
        <v>Jul-2020</v>
      </c>
      <c r="C13578">
        <f>TEST_DATA!C13578</f>
        <v>44733</v>
      </c>
      <c r="D13578" t="str">
        <f>TEST_DATA!D13578</f>
        <v>NON-NIL</v>
      </c>
      <c r="E13578">
        <f>TEST_DATA!E13578</f>
        <v>1587</v>
      </c>
    </row>
    <row r="13579" spans="1:5" x14ac:dyDescent="0.55000000000000004">
      <c r="A13579" t="str">
        <f>TEST_DATA!A13579</f>
        <v>27AAAAA13579Z5</v>
      </c>
      <c r="B13579" t="str">
        <f>TEST_DATA!B13579</f>
        <v>Jul-2017</v>
      </c>
      <c r="C13579">
        <f>TEST_DATA!C13579</f>
        <v>43361</v>
      </c>
      <c r="D13579" t="str">
        <f>TEST_DATA!D13579</f>
        <v>NIL</v>
      </c>
      <c r="E13579">
        <f>TEST_DATA!E13579</f>
        <v>537</v>
      </c>
    </row>
    <row r="13580" spans="1:5" x14ac:dyDescent="0.55000000000000004">
      <c r="A13580" t="str">
        <f>TEST_DATA!A13580</f>
        <v>27AAAAA13580Z5</v>
      </c>
      <c r="B13580" t="str">
        <f>TEST_DATA!B13580</f>
        <v>Jun-2020</v>
      </c>
      <c r="C13580">
        <f>TEST_DATA!C13580</f>
        <v>44266</v>
      </c>
      <c r="D13580" t="str">
        <f>TEST_DATA!D13580</f>
        <v>NIL</v>
      </c>
      <c r="E13580">
        <f>TEST_DATA!E13580</f>
        <v>544</v>
      </c>
    </row>
    <row r="13581" spans="1:5" x14ac:dyDescent="0.55000000000000004">
      <c r="A13581" t="str">
        <f>TEST_DATA!A13581</f>
        <v>27AAAAA13581Z5</v>
      </c>
      <c r="B13581" t="str">
        <f>TEST_DATA!B13581</f>
        <v>Sep-2017</v>
      </c>
      <c r="C13581">
        <f>TEST_DATA!C13581</f>
        <v>43919</v>
      </c>
      <c r="D13581" t="str">
        <f>TEST_DATA!D13581</f>
        <v>NIL</v>
      </c>
      <c r="E13581">
        <f>TEST_DATA!E13581</f>
        <v>1834</v>
      </c>
    </row>
    <row r="13582" spans="1:5" x14ac:dyDescent="0.55000000000000004">
      <c r="A13582" t="str">
        <f>TEST_DATA!A13582</f>
        <v>27AAAAA13582Z5</v>
      </c>
      <c r="B13582" t="str">
        <f>TEST_DATA!B13582</f>
        <v>Apr-2021</v>
      </c>
      <c r="C13582">
        <f>TEST_DATA!C13582</f>
        <v>43535</v>
      </c>
      <c r="D13582" t="str">
        <f>TEST_DATA!D13582</f>
        <v>NON-NIL</v>
      </c>
      <c r="E13582">
        <f>TEST_DATA!E13582</f>
        <v>727</v>
      </c>
    </row>
    <row r="13583" spans="1:5" x14ac:dyDescent="0.55000000000000004">
      <c r="A13583" t="str">
        <f>TEST_DATA!A13583</f>
        <v>27AAAAA13583Z5</v>
      </c>
      <c r="B13583" t="str">
        <f>TEST_DATA!B13583</f>
        <v>Jul-2020</v>
      </c>
      <c r="C13583">
        <f>TEST_DATA!C13583</f>
        <v>44331</v>
      </c>
      <c r="D13583" t="str">
        <f>TEST_DATA!D13583</f>
        <v>NIL</v>
      </c>
      <c r="E13583">
        <f>TEST_DATA!E13583</f>
        <v>2023</v>
      </c>
    </row>
    <row r="13584" spans="1:5" x14ac:dyDescent="0.55000000000000004">
      <c r="A13584" t="str">
        <f>TEST_DATA!A13584</f>
        <v>27AAAAA13584Z5</v>
      </c>
      <c r="B13584" t="str">
        <f>TEST_DATA!B13584</f>
        <v>Mar-2023</v>
      </c>
      <c r="C13584">
        <f>TEST_DATA!C13584</f>
        <v>44755</v>
      </c>
      <c r="D13584" t="str">
        <f>TEST_DATA!D13584</f>
        <v>NIL</v>
      </c>
      <c r="E13584">
        <f>TEST_DATA!E13584</f>
        <v>325</v>
      </c>
    </row>
    <row r="13585" spans="1:5" x14ac:dyDescent="0.55000000000000004">
      <c r="A13585" t="str">
        <f>TEST_DATA!A13585</f>
        <v>27AAAAA13585Z5</v>
      </c>
      <c r="B13585" t="str">
        <f>TEST_DATA!B13585</f>
        <v>Dec-2019</v>
      </c>
      <c r="C13585">
        <f>TEST_DATA!C13585</f>
        <v>44766</v>
      </c>
      <c r="D13585" t="str">
        <f>TEST_DATA!D13585</f>
        <v>NIL</v>
      </c>
      <c r="E13585">
        <f>TEST_DATA!E13585</f>
        <v>99</v>
      </c>
    </row>
    <row r="13586" spans="1:5" x14ac:dyDescent="0.55000000000000004">
      <c r="A13586" t="str">
        <f>TEST_DATA!A13586</f>
        <v>27AAAAA13586Z5</v>
      </c>
      <c r="B13586" t="str">
        <f>TEST_DATA!B13586</f>
        <v>Aug-2018</v>
      </c>
      <c r="C13586">
        <f>TEST_DATA!C13586</f>
        <v>43364</v>
      </c>
      <c r="D13586" t="str">
        <f>TEST_DATA!D13586</f>
        <v>NIL</v>
      </c>
      <c r="E13586">
        <f>TEST_DATA!E13586</f>
        <v>1071</v>
      </c>
    </row>
    <row r="13587" spans="1:5" x14ac:dyDescent="0.55000000000000004">
      <c r="A13587" t="str">
        <f>TEST_DATA!A13587</f>
        <v>27AAAAA13587Z5</v>
      </c>
      <c r="B13587" t="str">
        <f>TEST_DATA!B13587</f>
        <v>Oct-2017</v>
      </c>
      <c r="C13587">
        <f>TEST_DATA!C13587</f>
        <v>43697</v>
      </c>
      <c r="D13587" t="str">
        <f>TEST_DATA!D13587</f>
        <v>NON-NIL</v>
      </c>
      <c r="E13587">
        <f>TEST_DATA!E13587</f>
        <v>533</v>
      </c>
    </row>
    <row r="13588" spans="1:5" x14ac:dyDescent="0.55000000000000004">
      <c r="A13588" t="str">
        <f>TEST_DATA!A13588</f>
        <v>27AAAAA13588Z5</v>
      </c>
      <c r="B13588" t="str">
        <f>TEST_DATA!B13588</f>
        <v>Mar-2023</v>
      </c>
      <c r="C13588">
        <f>TEST_DATA!C13588</f>
        <v>45323</v>
      </c>
      <c r="D13588" t="str">
        <f>TEST_DATA!D13588</f>
        <v>NIL</v>
      </c>
      <c r="E13588">
        <f>TEST_DATA!E13588</f>
        <v>1623</v>
      </c>
    </row>
    <row r="13589" spans="1:5" x14ac:dyDescent="0.55000000000000004">
      <c r="A13589" t="str">
        <f>TEST_DATA!A13589</f>
        <v>27AAAAA13589Z5</v>
      </c>
      <c r="B13589" t="str">
        <f>TEST_DATA!B13589</f>
        <v>Sep-2017</v>
      </c>
      <c r="C13589">
        <f>TEST_DATA!C13589</f>
        <v>44050</v>
      </c>
      <c r="D13589" t="str">
        <f>TEST_DATA!D13589</f>
        <v>NIL</v>
      </c>
      <c r="E13589">
        <f>TEST_DATA!E13589</f>
        <v>39</v>
      </c>
    </row>
    <row r="13590" spans="1:5" x14ac:dyDescent="0.55000000000000004">
      <c r="A13590" t="str">
        <f>TEST_DATA!A13590</f>
        <v>27AAAAA13590Z5</v>
      </c>
      <c r="B13590" t="str">
        <f>TEST_DATA!B13590</f>
        <v>Mar-2020</v>
      </c>
      <c r="C13590">
        <f>TEST_DATA!C13590</f>
        <v>44535</v>
      </c>
      <c r="D13590" t="str">
        <f>TEST_DATA!D13590</f>
        <v>NIL</v>
      </c>
      <c r="E13590">
        <f>TEST_DATA!E13590</f>
        <v>396</v>
      </c>
    </row>
    <row r="13591" spans="1:5" x14ac:dyDescent="0.55000000000000004">
      <c r="A13591" t="str">
        <f>TEST_DATA!A13591</f>
        <v>27AAAAA13591Z5</v>
      </c>
      <c r="B13591" t="str">
        <f>TEST_DATA!B13591</f>
        <v>Aug-2017</v>
      </c>
      <c r="C13591">
        <f>TEST_DATA!C13591</f>
        <v>42955</v>
      </c>
      <c r="D13591" t="str">
        <f>TEST_DATA!D13591</f>
        <v>NIL</v>
      </c>
      <c r="E13591">
        <f>TEST_DATA!E13591</f>
        <v>1882</v>
      </c>
    </row>
    <row r="13592" spans="1:5" x14ac:dyDescent="0.55000000000000004">
      <c r="A13592" t="str">
        <f>TEST_DATA!A13592</f>
        <v>27AAAAA13592Z5</v>
      </c>
      <c r="B13592" t="str">
        <f>TEST_DATA!B13592</f>
        <v>Apr-2020</v>
      </c>
      <c r="C13592">
        <f>TEST_DATA!C13592</f>
        <v>44201</v>
      </c>
      <c r="D13592" t="str">
        <f>TEST_DATA!D13592</f>
        <v>NON-NIL</v>
      </c>
      <c r="E13592">
        <f>TEST_DATA!E13592</f>
        <v>263</v>
      </c>
    </row>
    <row r="13593" spans="1:5" x14ac:dyDescent="0.55000000000000004">
      <c r="A13593" t="str">
        <f>TEST_DATA!A13593</f>
        <v>27AAAAA13593Z5</v>
      </c>
      <c r="B13593" t="str">
        <f>TEST_DATA!B13593</f>
        <v>Feb-2018</v>
      </c>
      <c r="C13593">
        <f>TEST_DATA!C13593</f>
        <v>43729</v>
      </c>
      <c r="D13593" t="str">
        <f>TEST_DATA!D13593</f>
        <v>NIL</v>
      </c>
      <c r="E13593">
        <f>TEST_DATA!E13593</f>
        <v>639</v>
      </c>
    </row>
    <row r="13594" spans="1:5" x14ac:dyDescent="0.55000000000000004">
      <c r="A13594" t="str">
        <f>TEST_DATA!A13594</f>
        <v>27AAAAA13594Z5</v>
      </c>
      <c r="B13594" t="str">
        <f>TEST_DATA!B13594</f>
        <v>Jan-2018</v>
      </c>
      <c r="C13594">
        <f>TEST_DATA!C13594</f>
        <v>44029</v>
      </c>
      <c r="D13594" t="str">
        <f>TEST_DATA!D13594</f>
        <v>NIL</v>
      </c>
      <c r="E13594">
        <f>TEST_DATA!E13594</f>
        <v>307</v>
      </c>
    </row>
    <row r="13595" spans="1:5" x14ac:dyDescent="0.55000000000000004">
      <c r="A13595" t="str">
        <f>TEST_DATA!A13595</f>
        <v>27AAAAA13595Z5</v>
      </c>
      <c r="B13595" t="str">
        <f>TEST_DATA!B13595</f>
        <v>Jan-2018</v>
      </c>
      <c r="C13595">
        <f>TEST_DATA!C13595</f>
        <v>44273</v>
      </c>
      <c r="D13595" t="str">
        <f>TEST_DATA!D13595</f>
        <v>NON-NIL</v>
      </c>
      <c r="E13595">
        <f>TEST_DATA!E13595</f>
        <v>131</v>
      </c>
    </row>
    <row r="13596" spans="1:5" x14ac:dyDescent="0.55000000000000004">
      <c r="A13596" t="str">
        <f>TEST_DATA!A13596</f>
        <v>27AAAAA13596Z5</v>
      </c>
      <c r="B13596" t="str">
        <f>TEST_DATA!B13596</f>
        <v>Dec-2017</v>
      </c>
      <c r="C13596">
        <f>TEST_DATA!C13596</f>
        <v>42978</v>
      </c>
      <c r="D13596" t="str">
        <f>TEST_DATA!D13596</f>
        <v>NIL</v>
      </c>
      <c r="E13596">
        <f>TEST_DATA!E13596</f>
        <v>2444</v>
      </c>
    </row>
    <row r="13597" spans="1:5" x14ac:dyDescent="0.55000000000000004">
      <c r="A13597" t="str">
        <f>TEST_DATA!A13597</f>
        <v>27AAAAA13597Z5</v>
      </c>
      <c r="B13597" t="str">
        <f>TEST_DATA!B13597</f>
        <v>Apr-2018</v>
      </c>
      <c r="C13597">
        <f>TEST_DATA!C13597</f>
        <v>42927</v>
      </c>
      <c r="D13597" t="str">
        <f>TEST_DATA!D13597</f>
        <v>NIL</v>
      </c>
      <c r="E13597">
        <f>TEST_DATA!E13597</f>
        <v>1135</v>
      </c>
    </row>
    <row r="13598" spans="1:5" x14ac:dyDescent="0.55000000000000004">
      <c r="A13598" t="str">
        <f>TEST_DATA!A13598</f>
        <v>27AAAAA13598Z5</v>
      </c>
      <c r="B13598" t="str">
        <f>TEST_DATA!B13598</f>
        <v>Jul-2018</v>
      </c>
      <c r="C13598">
        <f>TEST_DATA!C13598</f>
        <v>44178</v>
      </c>
      <c r="D13598" t="str">
        <f>TEST_DATA!D13598</f>
        <v>NON-NIL</v>
      </c>
      <c r="E13598">
        <f>TEST_DATA!E13598</f>
        <v>337</v>
      </c>
    </row>
    <row r="13599" spans="1:5" x14ac:dyDescent="0.55000000000000004">
      <c r="A13599" t="str">
        <f>TEST_DATA!A13599</f>
        <v>27AAAAA13599Z5</v>
      </c>
      <c r="B13599" t="str">
        <f>TEST_DATA!B13599</f>
        <v>Mar-2023</v>
      </c>
      <c r="C13599">
        <f>TEST_DATA!C13599</f>
        <v>44433</v>
      </c>
      <c r="D13599" t="str">
        <f>TEST_DATA!D13599</f>
        <v>NON-NIL</v>
      </c>
      <c r="E13599">
        <f>TEST_DATA!E13599</f>
        <v>146</v>
      </c>
    </row>
    <row r="13600" spans="1:5" x14ac:dyDescent="0.55000000000000004">
      <c r="A13600" t="str">
        <f>TEST_DATA!A13600</f>
        <v>27AAAAA13600Z5</v>
      </c>
      <c r="B13600" t="str">
        <f>TEST_DATA!B13600</f>
        <v>Sep-2018</v>
      </c>
      <c r="C13600">
        <f>TEST_DATA!C13600</f>
        <v>43931</v>
      </c>
      <c r="D13600" t="str">
        <f>TEST_DATA!D13600</f>
        <v>NIL</v>
      </c>
      <c r="E13600">
        <f>TEST_DATA!E13600</f>
        <v>2010</v>
      </c>
    </row>
    <row r="13601" spans="1:5" x14ac:dyDescent="0.55000000000000004">
      <c r="A13601" t="str">
        <f>TEST_DATA!A13601</f>
        <v>27AAAAA13601Z5</v>
      </c>
      <c r="B13601" t="str">
        <f>TEST_DATA!B13601</f>
        <v>Dec-2017</v>
      </c>
      <c r="C13601">
        <f>TEST_DATA!C13601</f>
        <v>42991</v>
      </c>
      <c r="D13601" t="str">
        <f>TEST_DATA!D13601</f>
        <v>NON-NIL</v>
      </c>
      <c r="E13601">
        <f>TEST_DATA!E13601</f>
        <v>1492</v>
      </c>
    </row>
    <row r="13602" spans="1:5" x14ac:dyDescent="0.55000000000000004">
      <c r="A13602" t="str">
        <f>TEST_DATA!A13602</f>
        <v>27AAAAA13602Z5</v>
      </c>
      <c r="B13602" t="str">
        <f>TEST_DATA!B13602</f>
        <v>Aug-2017</v>
      </c>
      <c r="C13602">
        <f>TEST_DATA!C13602</f>
        <v>44342</v>
      </c>
      <c r="D13602" t="str">
        <f>TEST_DATA!D13602</f>
        <v>NIL</v>
      </c>
      <c r="E13602">
        <f>TEST_DATA!E13602</f>
        <v>1777</v>
      </c>
    </row>
    <row r="13603" spans="1:5" x14ac:dyDescent="0.55000000000000004">
      <c r="A13603" t="str">
        <f>TEST_DATA!A13603</f>
        <v>27AAAAA13603Z5</v>
      </c>
      <c r="B13603" t="str">
        <f>TEST_DATA!B13603</f>
        <v>Jan-2021</v>
      </c>
      <c r="C13603">
        <f>TEST_DATA!C13603</f>
        <v>44304</v>
      </c>
      <c r="D13603" t="str">
        <f>TEST_DATA!D13603</f>
        <v>NON-NIL</v>
      </c>
      <c r="E13603">
        <f>TEST_DATA!E13603</f>
        <v>936</v>
      </c>
    </row>
    <row r="13604" spans="1:5" x14ac:dyDescent="0.55000000000000004">
      <c r="A13604" t="str">
        <f>TEST_DATA!A13604</f>
        <v>27AAAAA13604Z5</v>
      </c>
      <c r="B13604" t="str">
        <f>TEST_DATA!B13604</f>
        <v>Feb-2018</v>
      </c>
      <c r="C13604">
        <f>TEST_DATA!C13604</f>
        <v>43340</v>
      </c>
      <c r="D13604" t="str">
        <f>TEST_DATA!D13604</f>
        <v>NON-NIL</v>
      </c>
      <c r="E13604">
        <f>TEST_DATA!E13604</f>
        <v>111</v>
      </c>
    </row>
    <row r="13605" spans="1:5" x14ac:dyDescent="0.55000000000000004">
      <c r="A13605" t="str">
        <f>TEST_DATA!A13605</f>
        <v>27AAAAA13605Z5</v>
      </c>
      <c r="B13605" t="str">
        <f>TEST_DATA!B13605</f>
        <v>Oct-2017</v>
      </c>
      <c r="C13605">
        <f>TEST_DATA!C13605</f>
        <v>43740</v>
      </c>
      <c r="D13605" t="str">
        <f>TEST_DATA!D13605</f>
        <v>NIL</v>
      </c>
      <c r="E13605">
        <f>TEST_DATA!E13605</f>
        <v>1725</v>
      </c>
    </row>
    <row r="13606" spans="1:5" x14ac:dyDescent="0.55000000000000004">
      <c r="A13606" t="str">
        <f>TEST_DATA!A13606</f>
        <v>27AAAAA13606Z5</v>
      </c>
      <c r="B13606" t="str">
        <f>TEST_DATA!B13606</f>
        <v>Nov-2017</v>
      </c>
      <c r="C13606">
        <f>TEST_DATA!C13606</f>
        <v>43583</v>
      </c>
      <c r="D13606" t="str">
        <f>TEST_DATA!D13606</f>
        <v>NIL</v>
      </c>
      <c r="E13606">
        <f>TEST_DATA!E13606</f>
        <v>146</v>
      </c>
    </row>
    <row r="13607" spans="1:5" x14ac:dyDescent="0.55000000000000004">
      <c r="A13607" t="str">
        <f>TEST_DATA!A13607</f>
        <v>27AAAAA13607Z5</v>
      </c>
      <c r="B13607" t="str">
        <f>TEST_DATA!B13607</f>
        <v>Apr-2018</v>
      </c>
      <c r="C13607">
        <f>TEST_DATA!C13607</f>
        <v>44097</v>
      </c>
      <c r="D13607" t="str">
        <f>TEST_DATA!D13607</f>
        <v>NON-NIL</v>
      </c>
      <c r="E13607">
        <f>TEST_DATA!E13607</f>
        <v>1547</v>
      </c>
    </row>
    <row r="13608" spans="1:5" x14ac:dyDescent="0.55000000000000004">
      <c r="A13608" t="str">
        <f>TEST_DATA!A13608</f>
        <v>27AAAAA13608Z5</v>
      </c>
      <c r="B13608" t="str">
        <f>TEST_DATA!B13608</f>
        <v>Oct-2017</v>
      </c>
      <c r="C13608">
        <f>TEST_DATA!C13608</f>
        <v>43910</v>
      </c>
      <c r="D13608" t="str">
        <f>TEST_DATA!D13608</f>
        <v>NIL</v>
      </c>
      <c r="E13608">
        <f>TEST_DATA!E13608</f>
        <v>145</v>
      </c>
    </row>
    <row r="13609" spans="1:5" x14ac:dyDescent="0.55000000000000004">
      <c r="A13609" t="str">
        <f>TEST_DATA!A13609</f>
        <v>27AAAAA13609Z5</v>
      </c>
      <c r="B13609" t="str">
        <f>TEST_DATA!B13609</f>
        <v>Dec-2024</v>
      </c>
      <c r="C13609">
        <f>TEST_DATA!C13609</f>
        <v>44953</v>
      </c>
      <c r="D13609" t="str">
        <f>TEST_DATA!D13609</f>
        <v>NIL</v>
      </c>
      <c r="E13609">
        <f>TEST_DATA!E13609</f>
        <v>2986</v>
      </c>
    </row>
    <row r="13610" spans="1:5" x14ac:dyDescent="0.55000000000000004">
      <c r="A13610" t="str">
        <f>TEST_DATA!A13610</f>
        <v>27AAAAA13610Z5</v>
      </c>
      <c r="B13610" t="str">
        <f>TEST_DATA!B13610</f>
        <v>May-2018</v>
      </c>
      <c r="C13610">
        <f>TEST_DATA!C13610</f>
        <v>43122</v>
      </c>
      <c r="D13610" t="str">
        <f>TEST_DATA!D13610</f>
        <v>NIL</v>
      </c>
      <c r="E13610">
        <f>TEST_DATA!E13610</f>
        <v>906</v>
      </c>
    </row>
    <row r="13611" spans="1:5" x14ac:dyDescent="0.55000000000000004">
      <c r="A13611" t="str">
        <f>TEST_DATA!A13611</f>
        <v>27AAAAA13611Z5</v>
      </c>
      <c r="B13611" t="str">
        <f>TEST_DATA!B13611</f>
        <v>Jun-2020</v>
      </c>
      <c r="C13611">
        <f>TEST_DATA!C13611</f>
        <v>44088</v>
      </c>
      <c r="D13611" t="str">
        <f>TEST_DATA!D13611</f>
        <v>NIL</v>
      </c>
      <c r="E13611">
        <f>TEST_DATA!E13611</f>
        <v>2423</v>
      </c>
    </row>
    <row r="13612" spans="1:5" x14ac:dyDescent="0.55000000000000004">
      <c r="A13612" t="str">
        <f>TEST_DATA!A13612</f>
        <v>27AAAAA13612Z5</v>
      </c>
      <c r="B13612" t="str">
        <f>TEST_DATA!B13612</f>
        <v>Jul-2018</v>
      </c>
      <c r="C13612">
        <f>TEST_DATA!C13612</f>
        <v>43824</v>
      </c>
      <c r="D13612" t="str">
        <f>TEST_DATA!D13612</f>
        <v>NIL</v>
      </c>
      <c r="E13612">
        <f>TEST_DATA!E13612</f>
        <v>225</v>
      </c>
    </row>
    <row r="13613" spans="1:5" x14ac:dyDescent="0.55000000000000004">
      <c r="A13613" t="str">
        <f>TEST_DATA!A13613</f>
        <v>27AAAAA13613Z5</v>
      </c>
      <c r="B13613" t="str">
        <f>TEST_DATA!B13613</f>
        <v>Mar-2023</v>
      </c>
      <c r="C13613">
        <f>TEST_DATA!C13613</f>
        <v>44079</v>
      </c>
      <c r="D13613" t="str">
        <f>TEST_DATA!D13613</f>
        <v>NON-NIL</v>
      </c>
      <c r="E13613">
        <f>TEST_DATA!E13613</f>
        <v>0</v>
      </c>
    </row>
    <row r="13614" spans="1:5" x14ac:dyDescent="0.55000000000000004">
      <c r="A13614" t="str">
        <f>TEST_DATA!A13614</f>
        <v>27AAAAA13614Z5</v>
      </c>
      <c r="B13614" t="str">
        <f>TEST_DATA!B13614</f>
        <v>Jan-2019</v>
      </c>
      <c r="C13614">
        <f>TEST_DATA!C13614</f>
        <v>44733</v>
      </c>
      <c r="D13614" t="str">
        <f>TEST_DATA!D13614</f>
        <v>NIL</v>
      </c>
      <c r="E13614">
        <f>TEST_DATA!E13614</f>
        <v>2612</v>
      </c>
    </row>
    <row r="13615" spans="1:5" x14ac:dyDescent="0.55000000000000004">
      <c r="A13615" t="str">
        <f>TEST_DATA!A13615</f>
        <v>27AAAAA13615Z5</v>
      </c>
      <c r="B13615" t="str">
        <f>TEST_DATA!B13615</f>
        <v>Dec-2022</v>
      </c>
      <c r="C13615">
        <f>TEST_DATA!C13615</f>
        <v>44291</v>
      </c>
      <c r="D13615" t="str">
        <f>TEST_DATA!D13615</f>
        <v>NON-NIL</v>
      </c>
      <c r="E13615">
        <f>TEST_DATA!E13615</f>
        <v>2322</v>
      </c>
    </row>
    <row r="13616" spans="1:5" x14ac:dyDescent="0.55000000000000004">
      <c r="A13616" t="str">
        <f>TEST_DATA!A13616</f>
        <v>27AAAAA13616Z5</v>
      </c>
      <c r="B13616" t="str">
        <f>TEST_DATA!B13616</f>
        <v>May-2020</v>
      </c>
      <c r="C13616">
        <f>TEST_DATA!C13616</f>
        <v>44690</v>
      </c>
      <c r="D13616" t="str">
        <f>TEST_DATA!D13616</f>
        <v>NON-NIL</v>
      </c>
      <c r="E13616">
        <f>TEST_DATA!E13616</f>
        <v>1382</v>
      </c>
    </row>
    <row r="13617" spans="1:5" x14ac:dyDescent="0.55000000000000004">
      <c r="A13617" t="str">
        <f>TEST_DATA!A13617</f>
        <v>27AAAAA13617Z5</v>
      </c>
      <c r="B13617" t="str">
        <f>TEST_DATA!B13617</f>
        <v>Feb-2018</v>
      </c>
      <c r="C13617">
        <f>TEST_DATA!C13617</f>
        <v>43401</v>
      </c>
      <c r="D13617" t="str">
        <f>TEST_DATA!D13617</f>
        <v>NIL</v>
      </c>
      <c r="E13617">
        <f>TEST_DATA!E13617</f>
        <v>910</v>
      </c>
    </row>
    <row r="13618" spans="1:5" x14ac:dyDescent="0.55000000000000004">
      <c r="A13618" t="str">
        <f>TEST_DATA!A13618</f>
        <v>27AAAAA13618Z5</v>
      </c>
      <c r="B13618" t="str">
        <f>TEST_DATA!B13618</f>
        <v>Apr-2021</v>
      </c>
      <c r="C13618">
        <f>TEST_DATA!C13618</f>
        <v>45038</v>
      </c>
      <c r="D13618" t="str">
        <f>TEST_DATA!D13618</f>
        <v>NIL</v>
      </c>
      <c r="E13618">
        <f>TEST_DATA!E13618</f>
        <v>2707</v>
      </c>
    </row>
    <row r="13619" spans="1:5" x14ac:dyDescent="0.55000000000000004">
      <c r="A13619" t="str">
        <f>TEST_DATA!A13619</f>
        <v>27AAAAA13619Z5</v>
      </c>
      <c r="B13619" t="str">
        <f>TEST_DATA!B13619</f>
        <v>Jun-2019</v>
      </c>
      <c r="C13619">
        <f>TEST_DATA!C13619</f>
        <v>44948</v>
      </c>
      <c r="D13619" t="str">
        <f>TEST_DATA!D13619</f>
        <v>NON-NIL</v>
      </c>
      <c r="E13619">
        <f>TEST_DATA!E13619</f>
        <v>1138</v>
      </c>
    </row>
    <row r="13620" spans="1:5" x14ac:dyDescent="0.55000000000000004">
      <c r="A13620" t="str">
        <f>TEST_DATA!A13620</f>
        <v>27AAAAA13620Z5</v>
      </c>
      <c r="B13620" t="str">
        <f>TEST_DATA!B13620</f>
        <v>Jan-2018</v>
      </c>
      <c r="C13620">
        <f>TEST_DATA!C13620</f>
        <v>43370</v>
      </c>
      <c r="D13620" t="str">
        <f>TEST_DATA!D13620</f>
        <v>NIL</v>
      </c>
      <c r="E13620">
        <f>TEST_DATA!E13620</f>
        <v>2408</v>
      </c>
    </row>
    <row r="13621" spans="1:5" x14ac:dyDescent="0.55000000000000004">
      <c r="A13621" t="str">
        <f>TEST_DATA!A13621</f>
        <v>27AAAAA13621Z5</v>
      </c>
      <c r="B13621" t="str">
        <f>TEST_DATA!B13621</f>
        <v>May-2018</v>
      </c>
      <c r="C13621">
        <f>TEST_DATA!C13621</f>
        <v>43949</v>
      </c>
      <c r="D13621" t="str">
        <f>TEST_DATA!D13621</f>
        <v>NIL</v>
      </c>
      <c r="E13621">
        <f>TEST_DATA!E13621</f>
        <v>2877</v>
      </c>
    </row>
    <row r="13622" spans="1:5" x14ac:dyDescent="0.55000000000000004">
      <c r="A13622" t="str">
        <f>TEST_DATA!A13622</f>
        <v>27AAAAA13622Z5</v>
      </c>
      <c r="B13622" t="str">
        <f>TEST_DATA!B13622</f>
        <v>Jul-2017</v>
      </c>
      <c r="C13622">
        <f>TEST_DATA!C13622</f>
        <v>42973</v>
      </c>
      <c r="D13622" t="str">
        <f>TEST_DATA!D13622</f>
        <v>NON-NIL</v>
      </c>
      <c r="E13622">
        <f>TEST_DATA!E13622</f>
        <v>417</v>
      </c>
    </row>
    <row r="13623" spans="1:5" x14ac:dyDescent="0.55000000000000004">
      <c r="A13623" t="str">
        <f>TEST_DATA!A13623</f>
        <v>27AAAAA13623Z5</v>
      </c>
      <c r="B13623" t="str">
        <f>TEST_DATA!B13623</f>
        <v>Jul-2018</v>
      </c>
      <c r="C13623">
        <f>TEST_DATA!C13623</f>
        <v>43207</v>
      </c>
      <c r="D13623" t="str">
        <f>TEST_DATA!D13623</f>
        <v>NON-NIL</v>
      </c>
      <c r="E13623">
        <f>TEST_DATA!E13623</f>
        <v>1999</v>
      </c>
    </row>
    <row r="13624" spans="1:5" x14ac:dyDescent="0.55000000000000004">
      <c r="A13624" t="str">
        <f>TEST_DATA!A13624</f>
        <v>27AAAAA13624Z5</v>
      </c>
      <c r="B13624" t="str">
        <f>TEST_DATA!B13624</f>
        <v>Jun-2018</v>
      </c>
      <c r="C13624">
        <f>TEST_DATA!C13624</f>
        <v>43006</v>
      </c>
      <c r="D13624" t="str">
        <f>TEST_DATA!D13624</f>
        <v>NIL</v>
      </c>
      <c r="E13624">
        <f>TEST_DATA!E13624</f>
        <v>2921</v>
      </c>
    </row>
    <row r="13625" spans="1:5" x14ac:dyDescent="0.55000000000000004">
      <c r="A13625" t="str">
        <f>TEST_DATA!A13625</f>
        <v>27AAAAA13625Z5</v>
      </c>
      <c r="B13625" t="str">
        <f>TEST_DATA!B13625</f>
        <v>Apr-2018</v>
      </c>
      <c r="C13625">
        <f>TEST_DATA!C13625</f>
        <v>43798</v>
      </c>
      <c r="D13625" t="str">
        <f>TEST_DATA!D13625</f>
        <v>NIL</v>
      </c>
      <c r="E13625">
        <f>TEST_DATA!E13625</f>
        <v>2655</v>
      </c>
    </row>
    <row r="13626" spans="1:5" x14ac:dyDescent="0.55000000000000004">
      <c r="A13626" t="str">
        <f>TEST_DATA!A13626</f>
        <v>27AAAAA13626Z5</v>
      </c>
      <c r="B13626" t="str">
        <f>TEST_DATA!B13626</f>
        <v>Oct-2017</v>
      </c>
      <c r="C13626">
        <f>TEST_DATA!C13626</f>
        <v>43465</v>
      </c>
      <c r="D13626" t="str">
        <f>TEST_DATA!D13626</f>
        <v>NON-NIL</v>
      </c>
      <c r="E13626">
        <f>TEST_DATA!E13626</f>
        <v>1485</v>
      </c>
    </row>
    <row r="13627" spans="1:5" x14ac:dyDescent="0.55000000000000004">
      <c r="A13627" t="str">
        <f>TEST_DATA!A13627</f>
        <v>27AAAAA13627Z5</v>
      </c>
      <c r="B13627" t="str">
        <f>TEST_DATA!B13627</f>
        <v>Jul-2017</v>
      </c>
      <c r="C13627">
        <f>TEST_DATA!C13627</f>
        <v>44517</v>
      </c>
      <c r="D13627" t="str">
        <f>TEST_DATA!D13627</f>
        <v>NIL</v>
      </c>
      <c r="E13627">
        <f>TEST_DATA!E13627</f>
        <v>922</v>
      </c>
    </row>
    <row r="13628" spans="1:5" x14ac:dyDescent="0.55000000000000004">
      <c r="A13628" t="str">
        <f>TEST_DATA!A13628</f>
        <v>27AAAAA13628Z5</v>
      </c>
      <c r="B13628" t="str">
        <f>TEST_DATA!B13628</f>
        <v>Mar-2020</v>
      </c>
      <c r="C13628">
        <f>TEST_DATA!C13628</f>
        <v>44354</v>
      </c>
      <c r="D13628" t="str">
        <f>TEST_DATA!D13628</f>
        <v>NON-NIL</v>
      </c>
      <c r="E13628">
        <f>TEST_DATA!E13628</f>
        <v>1477</v>
      </c>
    </row>
    <row r="13629" spans="1:5" x14ac:dyDescent="0.55000000000000004">
      <c r="A13629" t="str">
        <f>TEST_DATA!A13629</f>
        <v>27AAAAA13629Z5</v>
      </c>
      <c r="B13629" t="str">
        <f>TEST_DATA!B13629</f>
        <v>Jun-2019</v>
      </c>
      <c r="C13629">
        <f>TEST_DATA!C13629</f>
        <v>44655</v>
      </c>
      <c r="D13629" t="str">
        <f>TEST_DATA!D13629</f>
        <v>NON-NIL</v>
      </c>
      <c r="E13629">
        <f>TEST_DATA!E13629</f>
        <v>1177</v>
      </c>
    </row>
    <row r="13630" spans="1:5" x14ac:dyDescent="0.55000000000000004">
      <c r="A13630" t="str">
        <f>TEST_DATA!A13630</f>
        <v>27AAAAA13630Z5</v>
      </c>
      <c r="B13630" t="str">
        <f>TEST_DATA!B13630</f>
        <v>May-2020</v>
      </c>
      <c r="C13630">
        <f>TEST_DATA!C13630</f>
        <v>44161</v>
      </c>
      <c r="D13630" t="str">
        <f>TEST_DATA!D13630</f>
        <v>NIL</v>
      </c>
      <c r="E13630">
        <f>TEST_DATA!E13630</f>
        <v>400</v>
      </c>
    </row>
    <row r="13631" spans="1:5" x14ac:dyDescent="0.55000000000000004">
      <c r="A13631" t="str">
        <f>TEST_DATA!A13631</f>
        <v>27AAAAA13631Z5</v>
      </c>
      <c r="B13631" t="str">
        <f>TEST_DATA!B13631</f>
        <v>Jun-2019</v>
      </c>
      <c r="C13631">
        <f>TEST_DATA!C13631</f>
        <v>43898</v>
      </c>
      <c r="D13631" t="str">
        <f>TEST_DATA!D13631</f>
        <v>NIL</v>
      </c>
      <c r="E13631">
        <f>TEST_DATA!E13631</f>
        <v>575</v>
      </c>
    </row>
    <row r="13632" spans="1:5" x14ac:dyDescent="0.55000000000000004">
      <c r="A13632" t="str">
        <f>TEST_DATA!A13632</f>
        <v>27AAAAA13632Z5</v>
      </c>
      <c r="B13632" t="str">
        <f>TEST_DATA!B13632</f>
        <v>Jan-2018</v>
      </c>
      <c r="C13632">
        <f>TEST_DATA!C13632</f>
        <v>43263</v>
      </c>
      <c r="D13632" t="str">
        <f>TEST_DATA!D13632</f>
        <v>NIL</v>
      </c>
      <c r="E13632">
        <f>TEST_DATA!E13632</f>
        <v>388</v>
      </c>
    </row>
    <row r="13633" spans="1:5" x14ac:dyDescent="0.55000000000000004">
      <c r="A13633" t="str">
        <f>TEST_DATA!A13633</f>
        <v>27AAAAA13633Z5</v>
      </c>
      <c r="B13633" t="str">
        <f>TEST_DATA!B13633</f>
        <v>Jul-2018</v>
      </c>
      <c r="C13633">
        <f>TEST_DATA!C13633</f>
        <v>43629</v>
      </c>
      <c r="D13633" t="str">
        <f>TEST_DATA!D13633</f>
        <v>NIL</v>
      </c>
      <c r="E13633">
        <f>TEST_DATA!E13633</f>
        <v>2457</v>
      </c>
    </row>
    <row r="13634" spans="1:5" x14ac:dyDescent="0.55000000000000004">
      <c r="A13634" t="str">
        <f>TEST_DATA!A13634</f>
        <v>27AAAAA13634Z5</v>
      </c>
      <c r="B13634" t="str">
        <f>TEST_DATA!B13634</f>
        <v>Jun-2019</v>
      </c>
      <c r="C13634">
        <f>TEST_DATA!C13634</f>
        <v>45708</v>
      </c>
      <c r="D13634" t="str">
        <f>TEST_DATA!D13634</f>
        <v>NIL</v>
      </c>
      <c r="E13634">
        <f>TEST_DATA!E13634</f>
        <v>1662</v>
      </c>
    </row>
    <row r="13635" spans="1:5" x14ac:dyDescent="0.55000000000000004">
      <c r="A13635" t="str">
        <f>TEST_DATA!A13635</f>
        <v>27AAAAA13635Z5</v>
      </c>
      <c r="B13635" t="str">
        <f>TEST_DATA!B13635</f>
        <v>Jan-2021</v>
      </c>
      <c r="C13635">
        <f>TEST_DATA!C13635</f>
        <v>43530</v>
      </c>
      <c r="D13635" t="str">
        <f>TEST_DATA!D13635</f>
        <v>NIL</v>
      </c>
      <c r="E13635">
        <f>TEST_DATA!E13635</f>
        <v>1993</v>
      </c>
    </row>
    <row r="13636" spans="1:5" x14ac:dyDescent="0.55000000000000004">
      <c r="A13636" t="str">
        <f>TEST_DATA!A13636</f>
        <v>27AAAAA13636Z5</v>
      </c>
      <c r="B13636" t="str">
        <f>TEST_DATA!B13636</f>
        <v>Mar-2021</v>
      </c>
      <c r="C13636">
        <f>TEST_DATA!C13636</f>
        <v>44895</v>
      </c>
      <c r="D13636" t="str">
        <f>TEST_DATA!D13636</f>
        <v>NIL</v>
      </c>
      <c r="E13636">
        <f>TEST_DATA!E13636</f>
        <v>1869</v>
      </c>
    </row>
    <row r="13637" spans="1:5" x14ac:dyDescent="0.55000000000000004">
      <c r="A13637" t="str">
        <f>TEST_DATA!A13637</f>
        <v>27AAAAA13637Z5</v>
      </c>
      <c r="B13637" t="str">
        <f>TEST_DATA!B13637</f>
        <v>May-2018</v>
      </c>
      <c r="C13637">
        <f>TEST_DATA!C13637</f>
        <v>43162</v>
      </c>
      <c r="D13637" t="str">
        <f>TEST_DATA!D13637</f>
        <v>NIL</v>
      </c>
      <c r="E13637">
        <f>TEST_DATA!E13637</f>
        <v>1596</v>
      </c>
    </row>
    <row r="13638" spans="1:5" x14ac:dyDescent="0.55000000000000004">
      <c r="A13638" t="str">
        <f>TEST_DATA!A13638</f>
        <v>27AAAAA13638Z5</v>
      </c>
      <c r="B13638" t="str">
        <f>TEST_DATA!B13638</f>
        <v>Dec-2022</v>
      </c>
      <c r="C13638">
        <f>TEST_DATA!C13638</f>
        <v>45356</v>
      </c>
      <c r="D13638" t="str">
        <f>TEST_DATA!D13638</f>
        <v>NON-NIL</v>
      </c>
      <c r="E13638">
        <f>TEST_DATA!E13638</f>
        <v>2596</v>
      </c>
    </row>
    <row r="13639" spans="1:5" x14ac:dyDescent="0.55000000000000004">
      <c r="A13639" t="str">
        <f>TEST_DATA!A13639</f>
        <v>27AAAAA13639Z5</v>
      </c>
      <c r="B13639" t="str">
        <f>TEST_DATA!B13639</f>
        <v>Jun-2018</v>
      </c>
      <c r="C13639">
        <f>TEST_DATA!C13639</f>
        <v>44560</v>
      </c>
      <c r="D13639" t="str">
        <f>TEST_DATA!D13639</f>
        <v>NIL</v>
      </c>
      <c r="E13639">
        <f>TEST_DATA!E13639</f>
        <v>1149</v>
      </c>
    </row>
    <row r="13640" spans="1:5" x14ac:dyDescent="0.55000000000000004">
      <c r="A13640" t="str">
        <f>TEST_DATA!A13640</f>
        <v>27AAAAA13640Z5</v>
      </c>
      <c r="B13640" t="str">
        <f>TEST_DATA!B13640</f>
        <v>Jul-2018</v>
      </c>
      <c r="C13640">
        <f>TEST_DATA!C13640</f>
        <v>43109</v>
      </c>
      <c r="D13640" t="str">
        <f>TEST_DATA!D13640</f>
        <v>NON-NIL</v>
      </c>
      <c r="E13640">
        <f>TEST_DATA!E13640</f>
        <v>2652</v>
      </c>
    </row>
    <row r="13641" spans="1:5" x14ac:dyDescent="0.55000000000000004">
      <c r="A13641" t="str">
        <f>TEST_DATA!A13641</f>
        <v>27AAAAA13641Z5</v>
      </c>
      <c r="B13641" t="str">
        <f>TEST_DATA!B13641</f>
        <v>Dec-2017</v>
      </c>
      <c r="C13641">
        <f>TEST_DATA!C13641</f>
        <v>44272</v>
      </c>
      <c r="D13641" t="str">
        <f>TEST_DATA!D13641</f>
        <v>NIL</v>
      </c>
      <c r="E13641">
        <f>TEST_DATA!E13641</f>
        <v>2759</v>
      </c>
    </row>
    <row r="13642" spans="1:5" x14ac:dyDescent="0.55000000000000004">
      <c r="A13642" t="str">
        <f>TEST_DATA!A13642</f>
        <v>27AAAAA13642Z5</v>
      </c>
      <c r="B13642" t="str">
        <f>TEST_DATA!B13642</f>
        <v>May-2020</v>
      </c>
      <c r="C13642">
        <f>TEST_DATA!C13642</f>
        <v>44886</v>
      </c>
      <c r="D13642" t="str">
        <f>TEST_DATA!D13642</f>
        <v>NON-NIL</v>
      </c>
      <c r="E13642">
        <f>TEST_DATA!E13642</f>
        <v>803</v>
      </c>
    </row>
    <row r="13643" spans="1:5" x14ac:dyDescent="0.55000000000000004">
      <c r="A13643" t="str">
        <f>TEST_DATA!A13643</f>
        <v>27AAAAA13643Z5</v>
      </c>
      <c r="B13643" t="str">
        <f>TEST_DATA!B13643</f>
        <v>Jan-2021</v>
      </c>
      <c r="C13643">
        <f>TEST_DATA!C13643</f>
        <v>45232</v>
      </c>
      <c r="D13643" t="str">
        <f>TEST_DATA!D13643</f>
        <v>NON-NIL</v>
      </c>
      <c r="E13643">
        <f>TEST_DATA!E13643</f>
        <v>1740</v>
      </c>
    </row>
    <row r="13644" spans="1:5" x14ac:dyDescent="0.55000000000000004">
      <c r="A13644" t="str">
        <f>TEST_DATA!A13644</f>
        <v>27AAAAA13644Z5</v>
      </c>
      <c r="B13644" t="str">
        <f>TEST_DATA!B13644</f>
        <v>Dec-2019</v>
      </c>
      <c r="C13644">
        <f>TEST_DATA!C13644</f>
        <v>45751</v>
      </c>
      <c r="D13644" t="str">
        <f>TEST_DATA!D13644</f>
        <v>NON-NIL</v>
      </c>
      <c r="E13644">
        <f>TEST_DATA!E13644</f>
        <v>674</v>
      </c>
    </row>
    <row r="13645" spans="1:5" x14ac:dyDescent="0.55000000000000004">
      <c r="A13645" t="str">
        <f>TEST_DATA!A13645</f>
        <v>27AAAAA13645Z5</v>
      </c>
      <c r="B13645" t="str">
        <f>TEST_DATA!B13645</f>
        <v>Jul-2017</v>
      </c>
      <c r="C13645">
        <f>TEST_DATA!C13645</f>
        <v>43208</v>
      </c>
      <c r="D13645" t="str">
        <f>TEST_DATA!D13645</f>
        <v>NIL</v>
      </c>
      <c r="E13645">
        <f>TEST_DATA!E13645</f>
        <v>1053</v>
      </c>
    </row>
    <row r="13646" spans="1:5" x14ac:dyDescent="0.55000000000000004">
      <c r="A13646" t="str">
        <f>TEST_DATA!A13646</f>
        <v>27AAAAA13646Z5</v>
      </c>
      <c r="B13646" t="str">
        <f>TEST_DATA!B13646</f>
        <v>Mar-2023</v>
      </c>
      <c r="C13646">
        <f>TEST_DATA!C13646</f>
        <v>45742</v>
      </c>
      <c r="D13646" t="str">
        <f>TEST_DATA!D13646</f>
        <v>NON-NIL</v>
      </c>
      <c r="E13646">
        <f>TEST_DATA!E13646</f>
        <v>329</v>
      </c>
    </row>
    <row r="13647" spans="1:5" x14ac:dyDescent="0.55000000000000004">
      <c r="A13647" t="str">
        <f>TEST_DATA!A13647</f>
        <v>27AAAAA13647Z5</v>
      </c>
      <c r="B13647" t="str">
        <f>TEST_DATA!B13647</f>
        <v>Dec-2024</v>
      </c>
      <c r="C13647">
        <f>TEST_DATA!C13647</f>
        <v>43588</v>
      </c>
      <c r="D13647" t="str">
        <f>TEST_DATA!D13647</f>
        <v>NIL</v>
      </c>
      <c r="E13647">
        <f>TEST_DATA!E13647</f>
        <v>1570</v>
      </c>
    </row>
    <row r="13648" spans="1:5" x14ac:dyDescent="0.55000000000000004">
      <c r="A13648" t="str">
        <f>TEST_DATA!A13648</f>
        <v>27AAAAA13648Z5</v>
      </c>
      <c r="B13648" t="str">
        <f>TEST_DATA!B13648</f>
        <v>Apr-2021</v>
      </c>
      <c r="C13648">
        <f>TEST_DATA!C13648</f>
        <v>44856</v>
      </c>
      <c r="D13648" t="str">
        <f>TEST_DATA!D13648</f>
        <v>NIL</v>
      </c>
      <c r="E13648">
        <f>TEST_DATA!E13648</f>
        <v>1164</v>
      </c>
    </row>
    <row r="13649" spans="1:5" x14ac:dyDescent="0.55000000000000004">
      <c r="A13649" t="str">
        <f>TEST_DATA!A13649</f>
        <v>27AAAAA13649Z5</v>
      </c>
      <c r="B13649" t="str">
        <f>TEST_DATA!B13649</f>
        <v>Jan-2019</v>
      </c>
      <c r="C13649">
        <f>TEST_DATA!C13649</f>
        <v>45008</v>
      </c>
      <c r="D13649" t="str">
        <f>TEST_DATA!D13649</f>
        <v>NON-NIL</v>
      </c>
      <c r="E13649">
        <f>TEST_DATA!E13649</f>
        <v>362</v>
      </c>
    </row>
    <row r="13650" spans="1:5" x14ac:dyDescent="0.55000000000000004">
      <c r="A13650" t="str">
        <f>TEST_DATA!A13650</f>
        <v>27AAAAA13650Z5</v>
      </c>
      <c r="B13650" t="str">
        <f>TEST_DATA!B13650</f>
        <v>Mar-2018</v>
      </c>
      <c r="C13650">
        <f>TEST_DATA!C13650</f>
        <v>43513</v>
      </c>
      <c r="D13650" t="str">
        <f>TEST_DATA!D13650</f>
        <v>NIL</v>
      </c>
      <c r="E13650">
        <f>TEST_DATA!E13650</f>
        <v>2959</v>
      </c>
    </row>
    <row r="13651" spans="1:5" x14ac:dyDescent="0.55000000000000004">
      <c r="A13651" t="str">
        <f>TEST_DATA!A13651</f>
        <v>27AAAAA13651Z5</v>
      </c>
      <c r="B13651" t="str">
        <f>TEST_DATA!B13651</f>
        <v>Jul-2020</v>
      </c>
      <c r="C13651">
        <f>TEST_DATA!C13651</f>
        <v>44791</v>
      </c>
      <c r="D13651" t="str">
        <f>TEST_DATA!D13651</f>
        <v>NIL</v>
      </c>
      <c r="E13651">
        <f>TEST_DATA!E13651</f>
        <v>2810</v>
      </c>
    </row>
    <row r="13652" spans="1:5" x14ac:dyDescent="0.55000000000000004">
      <c r="A13652" t="str">
        <f>TEST_DATA!A13652</f>
        <v>27AAAAA13652Z5</v>
      </c>
      <c r="B13652" t="str">
        <f>TEST_DATA!B13652</f>
        <v>Mar-2020</v>
      </c>
      <c r="C13652">
        <f>TEST_DATA!C13652</f>
        <v>44727</v>
      </c>
      <c r="D13652" t="str">
        <f>TEST_DATA!D13652</f>
        <v>NON-NIL</v>
      </c>
      <c r="E13652">
        <f>TEST_DATA!E13652</f>
        <v>1380</v>
      </c>
    </row>
    <row r="13653" spans="1:5" x14ac:dyDescent="0.55000000000000004">
      <c r="A13653" t="str">
        <f>TEST_DATA!A13653</f>
        <v>27AAAAA13653Z5</v>
      </c>
      <c r="B13653" t="str">
        <f>TEST_DATA!B13653</f>
        <v>Jan-2018</v>
      </c>
      <c r="C13653">
        <f>TEST_DATA!C13653</f>
        <v>43048</v>
      </c>
      <c r="D13653" t="str">
        <f>TEST_DATA!D13653</f>
        <v>NON-NIL</v>
      </c>
      <c r="E13653">
        <f>TEST_DATA!E13653</f>
        <v>1488</v>
      </c>
    </row>
    <row r="13654" spans="1:5" x14ac:dyDescent="0.55000000000000004">
      <c r="A13654" t="str">
        <f>TEST_DATA!A13654</f>
        <v>27AAAAA13654Z5</v>
      </c>
      <c r="B13654" t="str">
        <f>TEST_DATA!B13654</f>
        <v>Mar-2020</v>
      </c>
      <c r="C13654">
        <f>TEST_DATA!C13654</f>
        <v>44585</v>
      </c>
      <c r="D13654" t="str">
        <f>TEST_DATA!D13654</f>
        <v>NON-NIL</v>
      </c>
      <c r="E13654">
        <f>TEST_DATA!E13654</f>
        <v>62</v>
      </c>
    </row>
    <row r="13655" spans="1:5" x14ac:dyDescent="0.55000000000000004">
      <c r="A13655" t="str">
        <f>TEST_DATA!A13655</f>
        <v>27AAAAA13655Z5</v>
      </c>
      <c r="B13655" t="str">
        <f>TEST_DATA!B13655</f>
        <v>Dec-2019</v>
      </c>
      <c r="C13655">
        <f>TEST_DATA!C13655</f>
        <v>43674</v>
      </c>
      <c r="D13655" t="str">
        <f>TEST_DATA!D13655</f>
        <v>NIL</v>
      </c>
      <c r="E13655">
        <f>TEST_DATA!E13655</f>
        <v>594</v>
      </c>
    </row>
    <row r="13656" spans="1:5" x14ac:dyDescent="0.55000000000000004">
      <c r="A13656" t="str">
        <f>TEST_DATA!A13656</f>
        <v>27AAAAA13656Z5</v>
      </c>
      <c r="B13656" t="str">
        <f>TEST_DATA!B13656</f>
        <v>May-2020</v>
      </c>
      <c r="C13656">
        <f>TEST_DATA!C13656</f>
        <v>43868</v>
      </c>
      <c r="D13656" t="str">
        <f>TEST_DATA!D13656</f>
        <v>NON-NIL</v>
      </c>
      <c r="E13656">
        <f>TEST_DATA!E13656</f>
        <v>2944</v>
      </c>
    </row>
    <row r="13657" spans="1:5" x14ac:dyDescent="0.55000000000000004">
      <c r="A13657" t="str">
        <f>TEST_DATA!A13657</f>
        <v>27AAAAA13657Z5</v>
      </c>
      <c r="B13657" t="str">
        <f>TEST_DATA!B13657</f>
        <v>Mar-2020</v>
      </c>
      <c r="C13657">
        <f>TEST_DATA!C13657</f>
        <v>44547</v>
      </c>
      <c r="D13657" t="str">
        <f>TEST_DATA!D13657</f>
        <v>NON-NIL</v>
      </c>
      <c r="E13657">
        <f>TEST_DATA!E13657</f>
        <v>1927</v>
      </c>
    </row>
    <row r="13658" spans="1:5" x14ac:dyDescent="0.55000000000000004">
      <c r="A13658" t="str">
        <f>TEST_DATA!A13658</f>
        <v>27AAAAA13658Z5</v>
      </c>
      <c r="B13658" t="str">
        <f>TEST_DATA!B13658</f>
        <v>Jan-2018</v>
      </c>
      <c r="C13658">
        <f>TEST_DATA!C13658</f>
        <v>43562</v>
      </c>
      <c r="D13658" t="str">
        <f>TEST_DATA!D13658</f>
        <v>NON-NIL</v>
      </c>
      <c r="E13658">
        <f>TEST_DATA!E13658</f>
        <v>1041</v>
      </c>
    </row>
    <row r="13659" spans="1:5" x14ac:dyDescent="0.55000000000000004">
      <c r="A13659" t="str">
        <f>TEST_DATA!A13659</f>
        <v>27AAAAA13659Z5</v>
      </c>
      <c r="B13659" t="str">
        <f>TEST_DATA!B13659</f>
        <v>Nov-2017</v>
      </c>
      <c r="C13659">
        <f>TEST_DATA!C13659</f>
        <v>43836</v>
      </c>
      <c r="D13659" t="str">
        <f>TEST_DATA!D13659</f>
        <v>NIL</v>
      </c>
      <c r="E13659">
        <f>TEST_DATA!E13659</f>
        <v>2430</v>
      </c>
    </row>
    <row r="13660" spans="1:5" x14ac:dyDescent="0.55000000000000004">
      <c r="A13660" t="str">
        <f>TEST_DATA!A13660</f>
        <v>27AAAAA13660Z5</v>
      </c>
      <c r="B13660" t="str">
        <f>TEST_DATA!B13660</f>
        <v>Mar-2018</v>
      </c>
      <c r="C13660">
        <f>TEST_DATA!C13660</f>
        <v>43333</v>
      </c>
      <c r="D13660" t="str">
        <f>TEST_DATA!D13660</f>
        <v>NON-NIL</v>
      </c>
      <c r="E13660">
        <f>TEST_DATA!E13660</f>
        <v>2577</v>
      </c>
    </row>
    <row r="13661" spans="1:5" x14ac:dyDescent="0.55000000000000004">
      <c r="A13661" t="str">
        <f>TEST_DATA!A13661</f>
        <v>27AAAAA13661Z5</v>
      </c>
      <c r="B13661" t="str">
        <f>TEST_DATA!B13661</f>
        <v>Sep-2017</v>
      </c>
      <c r="C13661">
        <f>TEST_DATA!C13661</f>
        <v>42994</v>
      </c>
      <c r="D13661" t="str">
        <f>TEST_DATA!D13661</f>
        <v>NIL</v>
      </c>
      <c r="E13661">
        <f>TEST_DATA!E13661</f>
        <v>2316</v>
      </c>
    </row>
    <row r="13662" spans="1:5" x14ac:dyDescent="0.55000000000000004">
      <c r="A13662" t="str">
        <f>TEST_DATA!A13662</f>
        <v>27AAAAA13662Z5</v>
      </c>
      <c r="B13662" t="str">
        <f>TEST_DATA!B13662</f>
        <v>Jun-2019</v>
      </c>
      <c r="C13662">
        <f>TEST_DATA!C13662</f>
        <v>44119</v>
      </c>
      <c r="D13662" t="str">
        <f>TEST_DATA!D13662</f>
        <v>NON-NIL</v>
      </c>
      <c r="E13662">
        <f>TEST_DATA!E13662</f>
        <v>1324</v>
      </c>
    </row>
    <row r="13663" spans="1:5" x14ac:dyDescent="0.55000000000000004">
      <c r="A13663" t="str">
        <f>TEST_DATA!A13663</f>
        <v>27AAAAA13663Z5</v>
      </c>
      <c r="B13663" t="str">
        <f>TEST_DATA!B13663</f>
        <v>Aug-2017</v>
      </c>
      <c r="C13663">
        <f>TEST_DATA!C13663</f>
        <v>44237</v>
      </c>
      <c r="D13663" t="str">
        <f>TEST_DATA!D13663</f>
        <v>NIL</v>
      </c>
      <c r="E13663">
        <f>TEST_DATA!E13663</f>
        <v>1081</v>
      </c>
    </row>
    <row r="13664" spans="1:5" x14ac:dyDescent="0.55000000000000004">
      <c r="A13664" t="str">
        <f>TEST_DATA!A13664</f>
        <v>27AAAAA13664Z5</v>
      </c>
      <c r="B13664" t="str">
        <f>TEST_DATA!B13664</f>
        <v>Jul-2020</v>
      </c>
      <c r="C13664">
        <f>TEST_DATA!C13664</f>
        <v>44712</v>
      </c>
      <c r="D13664" t="str">
        <f>TEST_DATA!D13664</f>
        <v>NON-NIL</v>
      </c>
      <c r="E13664">
        <f>TEST_DATA!E13664</f>
        <v>1810</v>
      </c>
    </row>
    <row r="13665" spans="1:5" x14ac:dyDescent="0.55000000000000004">
      <c r="A13665" t="str">
        <f>TEST_DATA!A13665</f>
        <v>27AAAAA13665Z5</v>
      </c>
      <c r="B13665" t="str">
        <f>TEST_DATA!B13665</f>
        <v>Aug-2017</v>
      </c>
      <c r="C13665">
        <f>TEST_DATA!C13665</f>
        <v>43225</v>
      </c>
      <c r="D13665" t="str">
        <f>TEST_DATA!D13665</f>
        <v>NIL</v>
      </c>
      <c r="E13665">
        <f>TEST_DATA!E13665</f>
        <v>1713</v>
      </c>
    </row>
    <row r="13666" spans="1:5" x14ac:dyDescent="0.55000000000000004">
      <c r="A13666" t="str">
        <f>TEST_DATA!A13666</f>
        <v>27AAAAA13666Z5</v>
      </c>
      <c r="B13666" t="str">
        <f>TEST_DATA!B13666</f>
        <v>Jul-2017</v>
      </c>
      <c r="C13666">
        <f>TEST_DATA!C13666</f>
        <v>43817</v>
      </c>
      <c r="D13666" t="str">
        <f>TEST_DATA!D13666</f>
        <v>NON-NIL</v>
      </c>
      <c r="E13666">
        <f>TEST_DATA!E13666</f>
        <v>460</v>
      </c>
    </row>
    <row r="13667" spans="1:5" x14ac:dyDescent="0.55000000000000004">
      <c r="A13667" t="str">
        <f>TEST_DATA!A13667</f>
        <v>27AAAAA13667Z5</v>
      </c>
      <c r="B13667" t="str">
        <f>TEST_DATA!B13667</f>
        <v>Jan-2019</v>
      </c>
      <c r="C13667">
        <f>TEST_DATA!C13667</f>
        <v>43708</v>
      </c>
      <c r="D13667" t="str">
        <f>TEST_DATA!D13667</f>
        <v>NON-NIL</v>
      </c>
      <c r="E13667">
        <f>TEST_DATA!E13667</f>
        <v>52</v>
      </c>
    </row>
    <row r="13668" spans="1:5" x14ac:dyDescent="0.55000000000000004">
      <c r="A13668" t="str">
        <f>TEST_DATA!A13668</f>
        <v>27AAAAA13668Z5</v>
      </c>
      <c r="B13668" t="str">
        <f>TEST_DATA!B13668</f>
        <v>Dec-2017</v>
      </c>
      <c r="C13668">
        <f>TEST_DATA!C13668</f>
        <v>43272</v>
      </c>
      <c r="D13668" t="str">
        <f>TEST_DATA!D13668</f>
        <v>NON-NIL</v>
      </c>
      <c r="E13668">
        <f>TEST_DATA!E13668</f>
        <v>695</v>
      </c>
    </row>
    <row r="13669" spans="1:5" x14ac:dyDescent="0.55000000000000004">
      <c r="A13669" t="str">
        <f>TEST_DATA!A13669</f>
        <v>27AAAAA13669Z5</v>
      </c>
      <c r="B13669" t="str">
        <f>TEST_DATA!B13669</f>
        <v>May-2018</v>
      </c>
      <c r="C13669">
        <f>TEST_DATA!C13669</f>
        <v>43578</v>
      </c>
      <c r="D13669" t="str">
        <f>TEST_DATA!D13669</f>
        <v>NIL</v>
      </c>
      <c r="E13669">
        <f>TEST_DATA!E13669</f>
        <v>2706</v>
      </c>
    </row>
    <row r="13670" spans="1:5" x14ac:dyDescent="0.55000000000000004">
      <c r="A13670" t="str">
        <f>TEST_DATA!A13670</f>
        <v>27AAAAA13670Z5</v>
      </c>
      <c r="B13670" t="str">
        <f>TEST_DATA!B13670</f>
        <v>Jun-2020</v>
      </c>
      <c r="C13670">
        <f>TEST_DATA!C13670</f>
        <v>43995</v>
      </c>
      <c r="D13670" t="str">
        <f>TEST_DATA!D13670</f>
        <v>NIL</v>
      </c>
      <c r="E13670">
        <f>TEST_DATA!E13670</f>
        <v>1042</v>
      </c>
    </row>
    <row r="13671" spans="1:5" x14ac:dyDescent="0.55000000000000004">
      <c r="A13671" t="str">
        <f>TEST_DATA!A13671</f>
        <v>27AAAAA13671Z5</v>
      </c>
      <c r="B13671" t="str">
        <f>TEST_DATA!B13671</f>
        <v>Jan-2021</v>
      </c>
      <c r="C13671">
        <f>TEST_DATA!C13671</f>
        <v>43848</v>
      </c>
      <c r="D13671" t="str">
        <f>TEST_DATA!D13671</f>
        <v>NON-NIL</v>
      </c>
      <c r="E13671">
        <f>TEST_DATA!E13671</f>
        <v>1725</v>
      </c>
    </row>
    <row r="13672" spans="1:5" x14ac:dyDescent="0.55000000000000004">
      <c r="A13672" t="str">
        <f>TEST_DATA!A13672</f>
        <v>27AAAAA13672Z5</v>
      </c>
      <c r="B13672" t="str">
        <f>TEST_DATA!B13672</f>
        <v>Dec-2017</v>
      </c>
      <c r="C13672">
        <f>TEST_DATA!C13672</f>
        <v>43299</v>
      </c>
      <c r="D13672" t="str">
        <f>TEST_DATA!D13672</f>
        <v>NIL</v>
      </c>
      <c r="E13672">
        <f>TEST_DATA!E13672</f>
        <v>2359</v>
      </c>
    </row>
    <row r="13673" spans="1:5" x14ac:dyDescent="0.55000000000000004">
      <c r="A13673" t="str">
        <f>TEST_DATA!A13673</f>
        <v>27AAAAA13673Z5</v>
      </c>
      <c r="B13673" t="str">
        <f>TEST_DATA!B13673</f>
        <v>Jun-2018</v>
      </c>
      <c r="C13673">
        <f>TEST_DATA!C13673</f>
        <v>43529</v>
      </c>
      <c r="D13673" t="str">
        <f>TEST_DATA!D13673</f>
        <v>NIL</v>
      </c>
      <c r="E13673">
        <f>TEST_DATA!E13673</f>
        <v>2014</v>
      </c>
    </row>
    <row r="13674" spans="1:5" x14ac:dyDescent="0.55000000000000004">
      <c r="A13674" t="str">
        <f>TEST_DATA!A13674</f>
        <v>27AAAAA13674Z5</v>
      </c>
      <c r="B13674" t="str">
        <f>TEST_DATA!B13674</f>
        <v>Jun-2018</v>
      </c>
      <c r="C13674">
        <f>TEST_DATA!C13674</f>
        <v>43461</v>
      </c>
      <c r="D13674" t="str">
        <f>TEST_DATA!D13674</f>
        <v>NIL</v>
      </c>
      <c r="E13674">
        <f>TEST_DATA!E13674</f>
        <v>394</v>
      </c>
    </row>
    <row r="13675" spans="1:5" x14ac:dyDescent="0.55000000000000004">
      <c r="A13675" t="str">
        <f>TEST_DATA!A13675</f>
        <v>27AAAAA13675Z5</v>
      </c>
      <c r="B13675" t="str">
        <f>TEST_DATA!B13675</f>
        <v>Jul-2018</v>
      </c>
      <c r="C13675">
        <f>TEST_DATA!C13675</f>
        <v>43423</v>
      </c>
      <c r="D13675" t="str">
        <f>TEST_DATA!D13675</f>
        <v>NON-NIL</v>
      </c>
      <c r="E13675">
        <f>TEST_DATA!E13675</f>
        <v>2515</v>
      </c>
    </row>
    <row r="13676" spans="1:5" x14ac:dyDescent="0.55000000000000004">
      <c r="A13676" t="str">
        <f>TEST_DATA!A13676</f>
        <v>27AAAAA13676Z5</v>
      </c>
      <c r="B13676" t="str">
        <f>TEST_DATA!B13676</f>
        <v>Aug-2017</v>
      </c>
      <c r="C13676">
        <f>TEST_DATA!C13676</f>
        <v>43635</v>
      </c>
      <c r="D13676" t="str">
        <f>TEST_DATA!D13676</f>
        <v>NON-NIL</v>
      </c>
      <c r="E13676">
        <f>TEST_DATA!E13676</f>
        <v>2271</v>
      </c>
    </row>
    <row r="13677" spans="1:5" x14ac:dyDescent="0.55000000000000004">
      <c r="A13677" t="str">
        <f>TEST_DATA!A13677</f>
        <v>27AAAAA13677Z5</v>
      </c>
      <c r="B13677" t="str">
        <f>TEST_DATA!B13677</f>
        <v>Dec-2017</v>
      </c>
      <c r="C13677">
        <f>TEST_DATA!C13677</f>
        <v>44050</v>
      </c>
      <c r="D13677" t="str">
        <f>TEST_DATA!D13677</f>
        <v>NIL</v>
      </c>
      <c r="E13677">
        <f>TEST_DATA!E13677</f>
        <v>1825</v>
      </c>
    </row>
    <row r="13678" spans="1:5" x14ac:dyDescent="0.55000000000000004">
      <c r="A13678" t="str">
        <f>TEST_DATA!A13678</f>
        <v>27AAAAA13678Z5</v>
      </c>
      <c r="B13678" t="str">
        <f>TEST_DATA!B13678</f>
        <v>Jan-2018</v>
      </c>
      <c r="C13678">
        <f>TEST_DATA!C13678</f>
        <v>44173</v>
      </c>
      <c r="D13678" t="str">
        <f>TEST_DATA!D13678</f>
        <v>NIL</v>
      </c>
      <c r="E13678">
        <f>TEST_DATA!E13678</f>
        <v>865</v>
      </c>
    </row>
    <row r="13679" spans="1:5" x14ac:dyDescent="0.55000000000000004">
      <c r="A13679" t="str">
        <f>TEST_DATA!A13679</f>
        <v>27AAAAA13679Z5</v>
      </c>
      <c r="B13679" t="str">
        <f>TEST_DATA!B13679</f>
        <v>Mar-2021</v>
      </c>
      <c r="C13679">
        <f>TEST_DATA!C13679</f>
        <v>45129</v>
      </c>
      <c r="D13679" t="str">
        <f>TEST_DATA!D13679</f>
        <v>NIL</v>
      </c>
      <c r="E13679">
        <f>TEST_DATA!E13679</f>
        <v>107</v>
      </c>
    </row>
    <row r="13680" spans="1:5" x14ac:dyDescent="0.55000000000000004">
      <c r="A13680" t="str">
        <f>TEST_DATA!A13680</f>
        <v>27AAAAA13680Z5</v>
      </c>
      <c r="B13680" t="str">
        <f>TEST_DATA!B13680</f>
        <v>Mar-2021</v>
      </c>
      <c r="C13680">
        <f>TEST_DATA!C13680</f>
        <v>45690</v>
      </c>
      <c r="D13680" t="str">
        <f>TEST_DATA!D13680</f>
        <v>NIL</v>
      </c>
      <c r="E13680">
        <f>TEST_DATA!E13680</f>
        <v>2396</v>
      </c>
    </row>
    <row r="13681" spans="1:5" x14ac:dyDescent="0.55000000000000004">
      <c r="A13681" t="str">
        <f>TEST_DATA!A13681</f>
        <v>27AAAAA13681Z5</v>
      </c>
      <c r="B13681" t="str">
        <f>TEST_DATA!B13681</f>
        <v>Aug-2018</v>
      </c>
      <c r="C13681">
        <f>TEST_DATA!C13681</f>
        <v>44251</v>
      </c>
      <c r="D13681" t="str">
        <f>TEST_DATA!D13681</f>
        <v>NON-NIL</v>
      </c>
      <c r="E13681">
        <f>TEST_DATA!E13681</f>
        <v>1777</v>
      </c>
    </row>
    <row r="13682" spans="1:5" x14ac:dyDescent="0.55000000000000004">
      <c r="A13682" t="str">
        <f>TEST_DATA!A13682</f>
        <v>27AAAAA13682Z5</v>
      </c>
      <c r="B13682" t="str">
        <f>TEST_DATA!B13682</f>
        <v>Oct-2017</v>
      </c>
      <c r="C13682">
        <f>TEST_DATA!C13682</f>
        <v>43196</v>
      </c>
      <c r="D13682" t="str">
        <f>TEST_DATA!D13682</f>
        <v>NIL</v>
      </c>
      <c r="E13682">
        <f>TEST_DATA!E13682</f>
        <v>1567</v>
      </c>
    </row>
    <row r="13683" spans="1:5" x14ac:dyDescent="0.55000000000000004">
      <c r="A13683" t="str">
        <f>TEST_DATA!A13683</f>
        <v>27AAAAA13683Z5</v>
      </c>
      <c r="B13683" t="str">
        <f>TEST_DATA!B13683</f>
        <v>Apr-2018</v>
      </c>
      <c r="C13683">
        <f>TEST_DATA!C13683</f>
        <v>43708</v>
      </c>
      <c r="D13683" t="str">
        <f>TEST_DATA!D13683</f>
        <v>NON-NIL</v>
      </c>
      <c r="E13683">
        <f>TEST_DATA!E13683</f>
        <v>2952</v>
      </c>
    </row>
    <row r="13684" spans="1:5" x14ac:dyDescent="0.55000000000000004">
      <c r="A13684" t="str">
        <f>TEST_DATA!A13684</f>
        <v>27AAAAA13684Z5</v>
      </c>
      <c r="B13684" t="str">
        <f>TEST_DATA!B13684</f>
        <v>Aug-2018</v>
      </c>
      <c r="C13684">
        <f>TEST_DATA!C13684</f>
        <v>43899</v>
      </c>
      <c r="D13684" t="str">
        <f>TEST_DATA!D13684</f>
        <v>NON-NIL</v>
      </c>
      <c r="E13684">
        <f>TEST_DATA!E13684</f>
        <v>1063</v>
      </c>
    </row>
    <row r="13685" spans="1:5" x14ac:dyDescent="0.55000000000000004">
      <c r="A13685" t="str">
        <f>TEST_DATA!A13685</f>
        <v>27AAAAA13685Z5</v>
      </c>
      <c r="B13685" t="str">
        <f>TEST_DATA!B13685</f>
        <v>Sep-2018</v>
      </c>
      <c r="C13685">
        <f>TEST_DATA!C13685</f>
        <v>44053</v>
      </c>
      <c r="D13685" t="str">
        <f>TEST_DATA!D13685</f>
        <v>NON-NIL</v>
      </c>
      <c r="E13685">
        <f>TEST_DATA!E13685</f>
        <v>1566</v>
      </c>
    </row>
    <row r="13686" spans="1:5" x14ac:dyDescent="0.55000000000000004">
      <c r="A13686" t="str">
        <f>TEST_DATA!A13686</f>
        <v>27AAAAA13686Z5</v>
      </c>
      <c r="B13686" t="str">
        <f>TEST_DATA!B13686</f>
        <v>Dec-2017</v>
      </c>
      <c r="C13686">
        <f>TEST_DATA!C13686</f>
        <v>43594</v>
      </c>
      <c r="D13686" t="str">
        <f>TEST_DATA!D13686</f>
        <v>NIL</v>
      </c>
      <c r="E13686">
        <f>TEST_DATA!E13686</f>
        <v>2273</v>
      </c>
    </row>
    <row r="13687" spans="1:5" x14ac:dyDescent="0.55000000000000004">
      <c r="A13687" t="str">
        <f>TEST_DATA!A13687</f>
        <v>27AAAAA13687Z5</v>
      </c>
      <c r="B13687" t="str">
        <f>TEST_DATA!B13687</f>
        <v>Mar-2018</v>
      </c>
      <c r="C13687">
        <f>TEST_DATA!C13687</f>
        <v>43639</v>
      </c>
      <c r="D13687" t="str">
        <f>TEST_DATA!D13687</f>
        <v>NIL</v>
      </c>
      <c r="E13687">
        <f>TEST_DATA!E13687</f>
        <v>2787</v>
      </c>
    </row>
    <row r="13688" spans="1:5" x14ac:dyDescent="0.55000000000000004">
      <c r="A13688" t="str">
        <f>TEST_DATA!A13688</f>
        <v>27AAAAA13688Z5</v>
      </c>
      <c r="B13688" t="str">
        <f>TEST_DATA!B13688</f>
        <v>Sep-2017</v>
      </c>
      <c r="C13688">
        <f>TEST_DATA!C13688</f>
        <v>44245</v>
      </c>
      <c r="D13688" t="str">
        <f>TEST_DATA!D13688</f>
        <v>NON-NIL</v>
      </c>
      <c r="E13688">
        <f>TEST_DATA!E13688</f>
        <v>1015</v>
      </c>
    </row>
    <row r="13689" spans="1:5" x14ac:dyDescent="0.55000000000000004">
      <c r="A13689" t="str">
        <f>TEST_DATA!A13689</f>
        <v>27AAAAA13689Z5</v>
      </c>
      <c r="B13689" t="str">
        <f>TEST_DATA!B13689</f>
        <v>Apr-2021</v>
      </c>
      <c r="C13689">
        <f>TEST_DATA!C13689</f>
        <v>45815</v>
      </c>
      <c r="D13689" t="str">
        <f>TEST_DATA!D13689</f>
        <v>NIL</v>
      </c>
      <c r="E13689">
        <f>TEST_DATA!E13689</f>
        <v>1458</v>
      </c>
    </row>
    <row r="13690" spans="1:5" x14ac:dyDescent="0.55000000000000004">
      <c r="A13690" t="str">
        <f>TEST_DATA!A13690</f>
        <v>27AAAAA13690Z5</v>
      </c>
      <c r="B13690" t="str">
        <f>TEST_DATA!B13690</f>
        <v>Sep-2018</v>
      </c>
      <c r="C13690">
        <f>TEST_DATA!C13690</f>
        <v>42948</v>
      </c>
      <c r="D13690" t="str">
        <f>TEST_DATA!D13690</f>
        <v>NIL</v>
      </c>
      <c r="E13690">
        <f>TEST_DATA!E13690</f>
        <v>2107</v>
      </c>
    </row>
    <row r="13691" spans="1:5" x14ac:dyDescent="0.55000000000000004">
      <c r="A13691" t="str">
        <f>TEST_DATA!A13691</f>
        <v>27AAAAA13691Z5</v>
      </c>
      <c r="B13691" t="str">
        <f>TEST_DATA!B13691</f>
        <v>Aug-2018</v>
      </c>
      <c r="C13691">
        <f>TEST_DATA!C13691</f>
        <v>43162</v>
      </c>
      <c r="D13691" t="str">
        <f>TEST_DATA!D13691</f>
        <v>NIL</v>
      </c>
      <c r="E13691">
        <f>TEST_DATA!E13691</f>
        <v>590</v>
      </c>
    </row>
    <row r="13692" spans="1:5" x14ac:dyDescent="0.55000000000000004">
      <c r="A13692" t="str">
        <f>TEST_DATA!A13692</f>
        <v>27AAAAA13692Z5</v>
      </c>
      <c r="B13692" t="str">
        <f>TEST_DATA!B13692</f>
        <v>Jun-2019</v>
      </c>
      <c r="C13692">
        <f>TEST_DATA!C13692</f>
        <v>44876</v>
      </c>
      <c r="D13692" t="str">
        <f>TEST_DATA!D13692</f>
        <v>NON-NIL</v>
      </c>
      <c r="E13692">
        <f>TEST_DATA!E13692</f>
        <v>438</v>
      </c>
    </row>
    <row r="13693" spans="1:5" x14ac:dyDescent="0.55000000000000004">
      <c r="A13693" t="str">
        <f>TEST_DATA!A13693</f>
        <v>27AAAAA13693Z5</v>
      </c>
      <c r="B13693" t="str">
        <f>TEST_DATA!B13693</f>
        <v>Mar-2018</v>
      </c>
      <c r="C13693">
        <f>TEST_DATA!C13693</f>
        <v>43405</v>
      </c>
      <c r="D13693" t="str">
        <f>TEST_DATA!D13693</f>
        <v>NIL</v>
      </c>
      <c r="E13693">
        <f>TEST_DATA!E13693</f>
        <v>1320</v>
      </c>
    </row>
    <row r="13694" spans="1:5" x14ac:dyDescent="0.55000000000000004">
      <c r="A13694" t="str">
        <f>TEST_DATA!A13694</f>
        <v>27AAAAA13694Z5</v>
      </c>
      <c r="B13694" t="str">
        <f>TEST_DATA!B13694</f>
        <v>Jun-2020</v>
      </c>
      <c r="C13694">
        <f>TEST_DATA!C13694</f>
        <v>44514</v>
      </c>
      <c r="D13694" t="str">
        <f>TEST_DATA!D13694</f>
        <v>NIL</v>
      </c>
      <c r="E13694">
        <f>TEST_DATA!E13694</f>
        <v>45</v>
      </c>
    </row>
    <row r="13695" spans="1:5" x14ac:dyDescent="0.55000000000000004">
      <c r="A13695" t="str">
        <f>TEST_DATA!A13695</f>
        <v>27AAAAA13695Z5</v>
      </c>
      <c r="B13695" t="str">
        <f>TEST_DATA!B13695</f>
        <v>Feb-2018</v>
      </c>
      <c r="C13695">
        <f>TEST_DATA!C13695</f>
        <v>43297</v>
      </c>
      <c r="D13695" t="str">
        <f>TEST_DATA!D13695</f>
        <v>NON-NIL</v>
      </c>
      <c r="E13695">
        <f>TEST_DATA!E13695</f>
        <v>1381</v>
      </c>
    </row>
    <row r="13696" spans="1:5" x14ac:dyDescent="0.55000000000000004">
      <c r="A13696" t="str">
        <f>TEST_DATA!A13696</f>
        <v>27AAAAA13696Z5</v>
      </c>
      <c r="B13696" t="str">
        <f>TEST_DATA!B13696</f>
        <v>Dec-2022</v>
      </c>
      <c r="C13696">
        <f>TEST_DATA!C13696</f>
        <v>45777</v>
      </c>
      <c r="D13696" t="str">
        <f>TEST_DATA!D13696</f>
        <v>NIL</v>
      </c>
      <c r="E13696">
        <f>TEST_DATA!E13696</f>
        <v>2198</v>
      </c>
    </row>
    <row r="13697" spans="1:5" x14ac:dyDescent="0.55000000000000004">
      <c r="A13697" t="str">
        <f>TEST_DATA!A13697</f>
        <v>27AAAAA13697Z5</v>
      </c>
      <c r="B13697" t="str">
        <f>TEST_DATA!B13697</f>
        <v>Mar-2021</v>
      </c>
      <c r="C13697">
        <f>TEST_DATA!C13697</f>
        <v>43966</v>
      </c>
      <c r="D13697" t="str">
        <f>TEST_DATA!D13697</f>
        <v>NIL</v>
      </c>
      <c r="E13697">
        <f>TEST_DATA!E13697</f>
        <v>1429</v>
      </c>
    </row>
    <row r="13698" spans="1:5" x14ac:dyDescent="0.55000000000000004">
      <c r="A13698" t="str">
        <f>TEST_DATA!A13698</f>
        <v>27AAAAA13698Z5</v>
      </c>
      <c r="B13698" t="str">
        <f>TEST_DATA!B13698</f>
        <v>Dec-2017</v>
      </c>
      <c r="C13698">
        <f>TEST_DATA!C13698</f>
        <v>44002</v>
      </c>
      <c r="D13698" t="str">
        <f>TEST_DATA!D13698</f>
        <v>NIL</v>
      </c>
      <c r="E13698">
        <f>TEST_DATA!E13698</f>
        <v>2476</v>
      </c>
    </row>
    <row r="13699" spans="1:5" x14ac:dyDescent="0.55000000000000004">
      <c r="A13699" t="str">
        <f>TEST_DATA!A13699</f>
        <v>27AAAAA13699Z5</v>
      </c>
      <c r="B13699" t="str">
        <f>TEST_DATA!B13699</f>
        <v>Mar-2021</v>
      </c>
      <c r="C13699">
        <f>TEST_DATA!C13699</f>
        <v>43640</v>
      </c>
      <c r="D13699" t="str">
        <f>TEST_DATA!D13699</f>
        <v>NON-NIL</v>
      </c>
      <c r="E13699">
        <f>TEST_DATA!E13699</f>
        <v>797</v>
      </c>
    </row>
    <row r="13700" spans="1:5" x14ac:dyDescent="0.55000000000000004">
      <c r="A13700" t="str">
        <f>TEST_DATA!A13700</f>
        <v>27AAAAA13700Z5</v>
      </c>
      <c r="B13700" t="str">
        <f>TEST_DATA!B13700</f>
        <v>Jul-2017</v>
      </c>
      <c r="C13700">
        <f>TEST_DATA!C13700</f>
        <v>43803</v>
      </c>
      <c r="D13700" t="str">
        <f>TEST_DATA!D13700</f>
        <v>NON-NIL</v>
      </c>
      <c r="E13700">
        <f>TEST_DATA!E13700</f>
        <v>898</v>
      </c>
    </row>
    <row r="13701" spans="1:5" x14ac:dyDescent="0.55000000000000004">
      <c r="A13701" t="str">
        <f>TEST_DATA!A13701</f>
        <v>27AAAAA13701Z5</v>
      </c>
      <c r="B13701" t="str">
        <f>TEST_DATA!B13701</f>
        <v>Dec-2024</v>
      </c>
      <c r="C13701">
        <f>TEST_DATA!C13701</f>
        <v>43527</v>
      </c>
      <c r="D13701" t="str">
        <f>TEST_DATA!D13701</f>
        <v>NIL</v>
      </c>
      <c r="E13701">
        <f>TEST_DATA!E13701</f>
        <v>217</v>
      </c>
    </row>
    <row r="13702" spans="1:5" x14ac:dyDescent="0.55000000000000004">
      <c r="A13702" t="str">
        <f>TEST_DATA!A13702</f>
        <v>27AAAAA13702Z5</v>
      </c>
      <c r="B13702" t="str">
        <f>TEST_DATA!B13702</f>
        <v>Feb-2018</v>
      </c>
      <c r="C13702">
        <f>TEST_DATA!C13702</f>
        <v>44068</v>
      </c>
      <c r="D13702" t="str">
        <f>TEST_DATA!D13702</f>
        <v>NON-NIL</v>
      </c>
      <c r="E13702">
        <f>TEST_DATA!E13702</f>
        <v>76</v>
      </c>
    </row>
    <row r="13703" spans="1:5" x14ac:dyDescent="0.55000000000000004">
      <c r="A13703" t="str">
        <f>TEST_DATA!A13703</f>
        <v>27AAAAA13703Z5</v>
      </c>
      <c r="B13703" t="str">
        <f>TEST_DATA!B13703</f>
        <v>Oct-2017</v>
      </c>
      <c r="C13703">
        <f>TEST_DATA!C13703</f>
        <v>44427</v>
      </c>
      <c r="D13703" t="str">
        <f>TEST_DATA!D13703</f>
        <v>NON-NIL</v>
      </c>
      <c r="E13703">
        <f>TEST_DATA!E13703</f>
        <v>2610</v>
      </c>
    </row>
    <row r="13704" spans="1:5" x14ac:dyDescent="0.55000000000000004">
      <c r="A13704" t="str">
        <f>TEST_DATA!A13704</f>
        <v>27AAAAA13704Z5</v>
      </c>
      <c r="B13704" t="str">
        <f>TEST_DATA!B13704</f>
        <v>Jan-2019</v>
      </c>
      <c r="C13704">
        <f>TEST_DATA!C13704</f>
        <v>45366</v>
      </c>
      <c r="D13704" t="str">
        <f>TEST_DATA!D13704</f>
        <v>NON-NIL</v>
      </c>
      <c r="E13704">
        <f>TEST_DATA!E13704</f>
        <v>2426</v>
      </c>
    </row>
    <row r="13705" spans="1:5" x14ac:dyDescent="0.55000000000000004">
      <c r="A13705" t="str">
        <f>TEST_DATA!A13705</f>
        <v>27AAAAA13705Z5</v>
      </c>
      <c r="B13705" t="str">
        <f>TEST_DATA!B13705</f>
        <v>Nov-2017</v>
      </c>
      <c r="C13705">
        <f>TEST_DATA!C13705</f>
        <v>44342</v>
      </c>
      <c r="D13705" t="str">
        <f>TEST_DATA!D13705</f>
        <v>NIL</v>
      </c>
      <c r="E13705">
        <f>TEST_DATA!E13705</f>
        <v>2382</v>
      </c>
    </row>
    <row r="13706" spans="1:5" x14ac:dyDescent="0.55000000000000004">
      <c r="A13706" t="str">
        <f>TEST_DATA!A13706</f>
        <v>27AAAAA13706Z5</v>
      </c>
      <c r="B13706" t="str">
        <f>TEST_DATA!B13706</f>
        <v>Mar-2023</v>
      </c>
      <c r="C13706">
        <f>TEST_DATA!C13706</f>
        <v>43969</v>
      </c>
      <c r="D13706" t="str">
        <f>TEST_DATA!D13706</f>
        <v>NIL</v>
      </c>
      <c r="E13706">
        <f>TEST_DATA!E13706</f>
        <v>1345</v>
      </c>
    </row>
    <row r="13707" spans="1:5" x14ac:dyDescent="0.55000000000000004">
      <c r="A13707" t="str">
        <f>TEST_DATA!A13707</f>
        <v>27AAAAA13707Z5</v>
      </c>
      <c r="B13707" t="str">
        <f>TEST_DATA!B13707</f>
        <v>Jul-2017</v>
      </c>
      <c r="C13707">
        <f>TEST_DATA!C13707</f>
        <v>43919</v>
      </c>
      <c r="D13707" t="str">
        <f>TEST_DATA!D13707</f>
        <v>NIL</v>
      </c>
      <c r="E13707">
        <f>TEST_DATA!E13707</f>
        <v>2370</v>
      </c>
    </row>
    <row r="13708" spans="1:5" x14ac:dyDescent="0.55000000000000004">
      <c r="A13708" t="str">
        <f>TEST_DATA!A13708</f>
        <v>27AAAAA13708Z5</v>
      </c>
      <c r="B13708" t="str">
        <f>TEST_DATA!B13708</f>
        <v>Sep-2018</v>
      </c>
      <c r="C13708">
        <f>TEST_DATA!C13708</f>
        <v>42988</v>
      </c>
      <c r="D13708" t="str">
        <f>TEST_DATA!D13708</f>
        <v>NON-NIL</v>
      </c>
      <c r="E13708">
        <f>TEST_DATA!E13708</f>
        <v>1986</v>
      </c>
    </row>
    <row r="13709" spans="1:5" x14ac:dyDescent="0.55000000000000004">
      <c r="A13709" t="str">
        <f>TEST_DATA!A13709</f>
        <v>27AAAAA13709Z5</v>
      </c>
      <c r="B13709" t="str">
        <f>TEST_DATA!B13709</f>
        <v>Apr-2018</v>
      </c>
      <c r="C13709">
        <f>TEST_DATA!C13709</f>
        <v>44472</v>
      </c>
      <c r="D13709" t="str">
        <f>TEST_DATA!D13709</f>
        <v>NON-NIL</v>
      </c>
      <c r="E13709">
        <f>TEST_DATA!E13709</f>
        <v>1426</v>
      </c>
    </row>
    <row r="13710" spans="1:5" x14ac:dyDescent="0.55000000000000004">
      <c r="A13710" t="str">
        <f>TEST_DATA!A13710</f>
        <v>27AAAAA13710Z5</v>
      </c>
      <c r="B13710" t="str">
        <f>TEST_DATA!B13710</f>
        <v>Jul-2020</v>
      </c>
      <c r="C13710">
        <f>TEST_DATA!C13710</f>
        <v>44399</v>
      </c>
      <c r="D13710" t="str">
        <f>TEST_DATA!D13710</f>
        <v>NIL</v>
      </c>
      <c r="E13710">
        <f>TEST_DATA!E13710</f>
        <v>1787</v>
      </c>
    </row>
    <row r="13711" spans="1:5" x14ac:dyDescent="0.55000000000000004">
      <c r="A13711" t="str">
        <f>TEST_DATA!A13711</f>
        <v>27AAAAA13711Z5</v>
      </c>
      <c r="B13711" t="str">
        <f>TEST_DATA!B13711</f>
        <v>Mar-2020</v>
      </c>
      <c r="C13711">
        <f>TEST_DATA!C13711</f>
        <v>44069</v>
      </c>
      <c r="D13711" t="str">
        <f>TEST_DATA!D13711</f>
        <v>NON-NIL</v>
      </c>
      <c r="E13711">
        <f>TEST_DATA!E13711</f>
        <v>1012</v>
      </c>
    </row>
    <row r="13712" spans="1:5" x14ac:dyDescent="0.55000000000000004">
      <c r="A13712" t="str">
        <f>TEST_DATA!A13712</f>
        <v>27AAAAA13712Z5</v>
      </c>
      <c r="B13712" t="str">
        <f>TEST_DATA!B13712</f>
        <v>Jun-2019</v>
      </c>
      <c r="C13712">
        <f>TEST_DATA!C13712</f>
        <v>45328</v>
      </c>
      <c r="D13712" t="str">
        <f>TEST_DATA!D13712</f>
        <v>NON-NIL</v>
      </c>
      <c r="E13712">
        <f>TEST_DATA!E13712</f>
        <v>1928</v>
      </c>
    </row>
    <row r="13713" spans="1:5" x14ac:dyDescent="0.55000000000000004">
      <c r="A13713" t="str">
        <f>TEST_DATA!A13713</f>
        <v>27AAAAA13713Z5</v>
      </c>
      <c r="B13713" t="str">
        <f>TEST_DATA!B13713</f>
        <v>Jan-2018</v>
      </c>
      <c r="C13713">
        <f>TEST_DATA!C13713</f>
        <v>44048</v>
      </c>
      <c r="D13713" t="str">
        <f>TEST_DATA!D13713</f>
        <v>NON-NIL</v>
      </c>
      <c r="E13713">
        <f>TEST_DATA!E13713</f>
        <v>1006</v>
      </c>
    </row>
    <row r="13714" spans="1:5" x14ac:dyDescent="0.55000000000000004">
      <c r="A13714" t="str">
        <f>TEST_DATA!A13714</f>
        <v>27AAAAA13714Z5</v>
      </c>
      <c r="B13714" t="str">
        <f>TEST_DATA!B13714</f>
        <v>Oct-2017</v>
      </c>
      <c r="C13714">
        <f>TEST_DATA!C13714</f>
        <v>44497</v>
      </c>
      <c r="D13714" t="str">
        <f>TEST_DATA!D13714</f>
        <v>NON-NIL</v>
      </c>
      <c r="E13714">
        <f>TEST_DATA!E13714</f>
        <v>1526</v>
      </c>
    </row>
    <row r="13715" spans="1:5" x14ac:dyDescent="0.55000000000000004">
      <c r="A13715" t="str">
        <f>TEST_DATA!A13715</f>
        <v>27AAAAA13715Z5</v>
      </c>
      <c r="B13715" t="str">
        <f>TEST_DATA!B13715</f>
        <v>Aug-2018</v>
      </c>
      <c r="C13715">
        <f>TEST_DATA!C13715</f>
        <v>43931</v>
      </c>
      <c r="D13715" t="str">
        <f>TEST_DATA!D13715</f>
        <v>NON-NIL</v>
      </c>
      <c r="E13715">
        <f>TEST_DATA!E13715</f>
        <v>2491</v>
      </c>
    </row>
    <row r="13716" spans="1:5" x14ac:dyDescent="0.55000000000000004">
      <c r="A13716" t="str">
        <f>TEST_DATA!A13716</f>
        <v>27AAAAA13716Z5</v>
      </c>
      <c r="B13716" t="str">
        <f>TEST_DATA!B13716</f>
        <v>May-2018</v>
      </c>
      <c r="C13716">
        <f>TEST_DATA!C13716</f>
        <v>44144</v>
      </c>
      <c r="D13716" t="str">
        <f>TEST_DATA!D13716</f>
        <v>NON-NIL</v>
      </c>
      <c r="E13716">
        <f>TEST_DATA!E13716</f>
        <v>2559</v>
      </c>
    </row>
    <row r="13717" spans="1:5" x14ac:dyDescent="0.55000000000000004">
      <c r="A13717" t="str">
        <f>TEST_DATA!A13717</f>
        <v>27AAAAA13717Z5</v>
      </c>
      <c r="B13717" t="str">
        <f>TEST_DATA!B13717</f>
        <v>Dec-2017</v>
      </c>
      <c r="C13717">
        <f>TEST_DATA!C13717</f>
        <v>44070</v>
      </c>
      <c r="D13717" t="str">
        <f>TEST_DATA!D13717</f>
        <v>NON-NIL</v>
      </c>
      <c r="E13717">
        <f>TEST_DATA!E13717</f>
        <v>737</v>
      </c>
    </row>
    <row r="13718" spans="1:5" x14ac:dyDescent="0.55000000000000004">
      <c r="A13718" t="str">
        <f>TEST_DATA!A13718</f>
        <v>27AAAAA13718Z5</v>
      </c>
      <c r="B13718" t="str">
        <f>TEST_DATA!B13718</f>
        <v>Jan-2021</v>
      </c>
      <c r="C13718">
        <f>TEST_DATA!C13718</f>
        <v>45141</v>
      </c>
      <c r="D13718" t="str">
        <f>TEST_DATA!D13718</f>
        <v>NIL</v>
      </c>
      <c r="E13718">
        <f>TEST_DATA!E13718</f>
        <v>672</v>
      </c>
    </row>
    <row r="13719" spans="1:5" x14ac:dyDescent="0.55000000000000004">
      <c r="A13719" t="str">
        <f>TEST_DATA!A13719</f>
        <v>27AAAAA13719Z5</v>
      </c>
      <c r="B13719" t="str">
        <f>TEST_DATA!B13719</f>
        <v>Jul-2020</v>
      </c>
      <c r="C13719">
        <f>TEST_DATA!C13719</f>
        <v>44805</v>
      </c>
      <c r="D13719" t="str">
        <f>TEST_DATA!D13719</f>
        <v>NIL</v>
      </c>
      <c r="E13719">
        <f>TEST_DATA!E13719</f>
        <v>685</v>
      </c>
    </row>
    <row r="13720" spans="1:5" x14ac:dyDescent="0.55000000000000004">
      <c r="A13720" t="str">
        <f>TEST_DATA!A13720</f>
        <v>27AAAAA13720Z5</v>
      </c>
      <c r="B13720" t="str">
        <f>TEST_DATA!B13720</f>
        <v>Mar-2018</v>
      </c>
      <c r="C13720">
        <f>TEST_DATA!C13720</f>
        <v>43384</v>
      </c>
      <c r="D13720" t="str">
        <f>TEST_DATA!D13720</f>
        <v>NON-NIL</v>
      </c>
      <c r="E13720">
        <f>TEST_DATA!E13720</f>
        <v>175</v>
      </c>
    </row>
    <row r="13721" spans="1:5" x14ac:dyDescent="0.55000000000000004">
      <c r="A13721" t="str">
        <f>TEST_DATA!A13721</f>
        <v>27AAAAA13721Z5</v>
      </c>
      <c r="B13721" t="str">
        <f>TEST_DATA!B13721</f>
        <v>Jan-2018</v>
      </c>
      <c r="C13721">
        <f>TEST_DATA!C13721</f>
        <v>44302</v>
      </c>
      <c r="D13721" t="str">
        <f>TEST_DATA!D13721</f>
        <v>NIL</v>
      </c>
      <c r="E13721">
        <f>TEST_DATA!E13721</f>
        <v>2338</v>
      </c>
    </row>
    <row r="13722" spans="1:5" x14ac:dyDescent="0.55000000000000004">
      <c r="A13722" t="str">
        <f>TEST_DATA!A13722</f>
        <v>27AAAAA13722Z5</v>
      </c>
      <c r="B13722" t="str">
        <f>TEST_DATA!B13722</f>
        <v>Jun-2020</v>
      </c>
      <c r="C13722">
        <f>TEST_DATA!C13722</f>
        <v>43913</v>
      </c>
      <c r="D13722" t="str">
        <f>TEST_DATA!D13722</f>
        <v>NON-NIL</v>
      </c>
      <c r="E13722">
        <f>TEST_DATA!E13722</f>
        <v>1675</v>
      </c>
    </row>
    <row r="13723" spans="1:5" x14ac:dyDescent="0.55000000000000004">
      <c r="A13723" t="str">
        <f>TEST_DATA!A13723</f>
        <v>27AAAAA13723Z5</v>
      </c>
      <c r="B13723" t="str">
        <f>TEST_DATA!B13723</f>
        <v>Jul-2018</v>
      </c>
      <c r="C13723">
        <f>TEST_DATA!C13723</f>
        <v>44483</v>
      </c>
      <c r="D13723" t="str">
        <f>TEST_DATA!D13723</f>
        <v>NON-NIL</v>
      </c>
      <c r="E13723">
        <f>TEST_DATA!E13723</f>
        <v>2798</v>
      </c>
    </row>
    <row r="13724" spans="1:5" x14ac:dyDescent="0.55000000000000004">
      <c r="A13724" t="str">
        <f>TEST_DATA!A13724</f>
        <v>27AAAAA13724Z5</v>
      </c>
      <c r="B13724" t="str">
        <f>TEST_DATA!B13724</f>
        <v>Apr-2021</v>
      </c>
      <c r="C13724">
        <f>TEST_DATA!C13724</f>
        <v>43913</v>
      </c>
      <c r="D13724" t="str">
        <f>TEST_DATA!D13724</f>
        <v>NON-NIL</v>
      </c>
      <c r="E13724">
        <f>TEST_DATA!E13724</f>
        <v>257</v>
      </c>
    </row>
    <row r="13725" spans="1:5" x14ac:dyDescent="0.55000000000000004">
      <c r="A13725" t="str">
        <f>TEST_DATA!A13725</f>
        <v>27AAAAA13725Z5</v>
      </c>
      <c r="B13725" t="str">
        <f>TEST_DATA!B13725</f>
        <v>Jun-2020</v>
      </c>
      <c r="C13725">
        <f>TEST_DATA!C13725</f>
        <v>44309</v>
      </c>
      <c r="D13725" t="str">
        <f>TEST_DATA!D13725</f>
        <v>NON-NIL</v>
      </c>
      <c r="E13725">
        <f>TEST_DATA!E13725</f>
        <v>783</v>
      </c>
    </row>
    <row r="13726" spans="1:5" x14ac:dyDescent="0.55000000000000004">
      <c r="A13726" t="str">
        <f>TEST_DATA!A13726</f>
        <v>27AAAAA13726Z5</v>
      </c>
      <c r="B13726" t="str">
        <f>TEST_DATA!B13726</f>
        <v>Jul-2017</v>
      </c>
      <c r="C13726">
        <f>TEST_DATA!C13726</f>
        <v>43835</v>
      </c>
      <c r="D13726" t="str">
        <f>TEST_DATA!D13726</f>
        <v>NON-NIL</v>
      </c>
      <c r="E13726">
        <f>TEST_DATA!E13726</f>
        <v>2123</v>
      </c>
    </row>
    <row r="13727" spans="1:5" x14ac:dyDescent="0.55000000000000004">
      <c r="A13727" t="str">
        <f>TEST_DATA!A13727</f>
        <v>27AAAAA13727Z5</v>
      </c>
      <c r="B13727" t="str">
        <f>TEST_DATA!B13727</f>
        <v>May-2020</v>
      </c>
      <c r="C13727">
        <f>TEST_DATA!C13727</f>
        <v>44303</v>
      </c>
      <c r="D13727" t="str">
        <f>TEST_DATA!D13727</f>
        <v>NIL</v>
      </c>
      <c r="E13727">
        <f>TEST_DATA!E13727</f>
        <v>2364</v>
      </c>
    </row>
    <row r="13728" spans="1:5" x14ac:dyDescent="0.55000000000000004">
      <c r="A13728" t="str">
        <f>TEST_DATA!A13728</f>
        <v>27AAAAA13728Z5</v>
      </c>
      <c r="B13728" t="str">
        <f>TEST_DATA!B13728</f>
        <v>Mar-2021</v>
      </c>
      <c r="C13728">
        <f>TEST_DATA!C13728</f>
        <v>45542</v>
      </c>
      <c r="D13728" t="str">
        <f>TEST_DATA!D13728</f>
        <v>NON-NIL</v>
      </c>
      <c r="E13728">
        <f>TEST_DATA!E13728</f>
        <v>1575</v>
      </c>
    </row>
    <row r="13729" spans="1:5" x14ac:dyDescent="0.55000000000000004">
      <c r="A13729" t="str">
        <f>TEST_DATA!A13729</f>
        <v>27AAAAA13729Z5</v>
      </c>
      <c r="B13729" t="str">
        <f>TEST_DATA!B13729</f>
        <v>Apr-2021</v>
      </c>
      <c r="C13729">
        <f>TEST_DATA!C13729</f>
        <v>45707</v>
      </c>
      <c r="D13729" t="str">
        <f>TEST_DATA!D13729</f>
        <v>NIL</v>
      </c>
      <c r="E13729">
        <f>TEST_DATA!E13729</f>
        <v>2625</v>
      </c>
    </row>
    <row r="13730" spans="1:5" x14ac:dyDescent="0.55000000000000004">
      <c r="A13730" t="str">
        <f>TEST_DATA!A13730</f>
        <v>27AAAAA13730Z5</v>
      </c>
      <c r="B13730" t="str">
        <f>TEST_DATA!B13730</f>
        <v>May-2020</v>
      </c>
      <c r="C13730">
        <f>TEST_DATA!C13730</f>
        <v>44714</v>
      </c>
      <c r="D13730" t="str">
        <f>TEST_DATA!D13730</f>
        <v>NIL</v>
      </c>
      <c r="E13730">
        <f>TEST_DATA!E13730</f>
        <v>1450</v>
      </c>
    </row>
    <row r="13731" spans="1:5" x14ac:dyDescent="0.55000000000000004">
      <c r="A13731" t="str">
        <f>TEST_DATA!A13731</f>
        <v>27AAAAA13731Z5</v>
      </c>
      <c r="B13731" t="str">
        <f>TEST_DATA!B13731</f>
        <v>Apr-2021</v>
      </c>
      <c r="C13731">
        <f>TEST_DATA!C13731</f>
        <v>43821</v>
      </c>
      <c r="D13731" t="str">
        <f>TEST_DATA!D13731</f>
        <v>NIL</v>
      </c>
      <c r="E13731">
        <f>TEST_DATA!E13731</f>
        <v>1928</v>
      </c>
    </row>
    <row r="13732" spans="1:5" x14ac:dyDescent="0.55000000000000004">
      <c r="A13732" t="str">
        <f>TEST_DATA!A13732</f>
        <v>27AAAAA13732Z5</v>
      </c>
      <c r="B13732" t="str">
        <f>TEST_DATA!B13732</f>
        <v>Apr-2021</v>
      </c>
      <c r="C13732">
        <f>TEST_DATA!C13732</f>
        <v>43496</v>
      </c>
      <c r="D13732" t="str">
        <f>TEST_DATA!D13732</f>
        <v>NIL</v>
      </c>
      <c r="E13732">
        <f>TEST_DATA!E13732</f>
        <v>2788</v>
      </c>
    </row>
    <row r="13733" spans="1:5" x14ac:dyDescent="0.55000000000000004">
      <c r="A13733" t="str">
        <f>TEST_DATA!A13733</f>
        <v>27AAAAA13733Z5</v>
      </c>
      <c r="B13733" t="str">
        <f>TEST_DATA!B13733</f>
        <v>Mar-2018</v>
      </c>
      <c r="C13733">
        <f>TEST_DATA!C13733</f>
        <v>43298</v>
      </c>
      <c r="D13733" t="str">
        <f>TEST_DATA!D13733</f>
        <v>NIL</v>
      </c>
      <c r="E13733">
        <f>TEST_DATA!E13733</f>
        <v>1752</v>
      </c>
    </row>
    <row r="13734" spans="1:5" x14ac:dyDescent="0.55000000000000004">
      <c r="A13734" t="str">
        <f>TEST_DATA!A13734</f>
        <v>27AAAAA13734Z5</v>
      </c>
      <c r="B13734" t="str">
        <f>TEST_DATA!B13734</f>
        <v>Jan-2021</v>
      </c>
      <c r="C13734">
        <f>TEST_DATA!C13734</f>
        <v>44450</v>
      </c>
      <c r="D13734" t="str">
        <f>TEST_DATA!D13734</f>
        <v>NON-NIL</v>
      </c>
      <c r="E13734">
        <f>TEST_DATA!E13734</f>
        <v>1025</v>
      </c>
    </row>
    <row r="13735" spans="1:5" x14ac:dyDescent="0.55000000000000004">
      <c r="A13735" t="str">
        <f>TEST_DATA!A13735</f>
        <v>27AAAAA13735Z5</v>
      </c>
      <c r="B13735" t="str">
        <f>TEST_DATA!B13735</f>
        <v>Jan-2021</v>
      </c>
      <c r="C13735">
        <f>TEST_DATA!C13735</f>
        <v>44346</v>
      </c>
      <c r="D13735" t="str">
        <f>TEST_DATA!D13735</f>
        <v>NON-NIL</v>
      </c>
      <c r="E13735">
        <f>TEST_DATA!E13735</f>
        <v>1021</v>
      </c>
    </row>
    <row r="13736" spans="1:5" x14ac:dyDescent="0.55000000000000004">
      <c r="A13736" t="str">
        <f>TEST_DATA!A13736</f>
        <v>27AAAAA13736Z5</v>
      </c>
      <c r="B13736" t="str">
        <f>TEST_DATA!B13736</f>
        <v>Dec-2019</v>
      </c>
      <c r="C13736">
        <f>TEST_DATA!C13736</f>
        <v>43651</v>
      </c>
      <c r="D13736" t="str">
        <f>TEST_DATA!D13736</f>
        <v>NIL</v>
      </c>
      <c r="E13736">
        <f>TEST_DATA!E13736</f>
        <v>892</v>
      </c>
    </row>
    <row r="13737" spans="1:5" x14ac:dyDescent="0.55000000000000004">
      <c r="A13737" t="str">
        <f>TEST_DATA!A13737</f>
        <v>27AAAAA13737Z5</v>
      </c>
      <c r="B13737" t="str">
        <f>TEST_DATA!B13737</f>
        <v>Sep-2017</v>
      </c>
      <c r="C13737">
        <f>TEST_DATA!C13737</f>
        <v>43993</v>
      </c>
      <c r="D13737" t="str">
        <f>TEST_DATA!D13737</f>
        <v>NON-NIL</v>
      </c>
      <c r="E13737">
        <f>TEST_DATA!E13737</f>
        <v>789</v>
      </c>
    </row>
    <row r="13738" spans="1:5" x14ac:dyDescent="0.55000000000000004">
      <c r="A13738" t="str">
        <f>TEST_DATA!A13738</f>
        <v>27AAAAA13738Z5</v>
      </c>
      <c r="B13738" t="str">
        <f>TEST_DATA!B13738</f>
        <v>Apr-2018</v>
      </c>
      <c r="C13738">
        <f>TEST_DATA!C13738</f>
        <v>43070</v>
      </c>
      <c r="D13738" t="str">
        <f>TEST_DATA!D13738</f>
        <v>NIL</v>
      </c>
      <c r="E13738">
        <f>TEST_DATA!E13738</f>
        <v>1410</v>
      </c>
    </row>
    <row r="13739" spans="1:5" x14ac:dyDescent="0.55000000000000004">
      <c r="A13739" t="str">
        <f>TEST_DATA!A13739</f>
        <v>27AAAAA13739Z5</v>
      </c>
      <c r="B13739" t="str">
        <f>TEST_DATA!B13739</f>
        <v>Mar-2023</v>
      </c>
      <c r="C13739">
        <f>TEST_DATA!C13739</f>
        <v>45438</v>
      </c>
      <c r="D13739" t="str">
        <f>TEST_DATA!D13739</f>
        <v>NIL</v>
      </c>
      <c r="E13739">
        <f>TEST_DATA!E13739</f>
        <v>1791</v>
      </c>
    </row>
    <row r="13740" spans="1:5" x14ac:dyDescent="0.55000000000000004">
      <c r="A13740" t="str">
        <f>TEST_DATA!A13740</f>
        <v>27AAAAA13740Z5</v>
      </c>
      <c r="B13740" t="str">
        <f>TEST_DATA!B13740</f>
        <v>Jan-2021</v>
      </c>
      <c r="C13740">
        <f>TEST_DATA!C13740</f>
        <v>45766</v>
      </c>
      <c r="D13740" t="str">
        <f>TEST_DATA!D13740</f>
        <v>NIL</v>
      </c>
      <c r="E13740">
        <f>TEST_DATA!E13740</f>
        <v>1695</v>
      </c>
    </row>
    <row r="13741" spans="1:5" x14ac:dyDescent="0.55000000000000004">
      <c r="A13741" t="str">
        <f>TEST_DATA!A13741</f>
        <v>27AAAAA13741Z5</v>
      </c>
      <c r="B13741" t="str">
        <f>TEST_DATA!B13741</f>
        <v>Oct-2017</v>
      </c>
      <c r="C13741">
        <f>TEST_DATA!C13741</f>
        <v>43050</v>
      </c>
      <c r="D13741" t="str">
        <f>TEST_DATA!D13741</f>
        <v>NIL</v>
      </c>
      <c r="E13741">
        <f>TEST_DATA!E13741</f>
        <v>1175</v>
      </c>
    </row>
    <row r="13742" spans="1:5" x14ac:dyDescent="0.55000000000000004">
      <c r="A13742" t="str">
        <f>TEST_DATA!A13742</f>
        <v>27AAAAA13742Z5</v>
      </c>
      <c r="B13742" t="str">
        <f>TEST_DATA!B13742</f>
        <v>Sep-2018</v>
      </c>
      <c r="C13742">
        <f>TEST_DATA!C13742</f>
        <v>43698</v>
      </c>
      <c r="D13742" t="str">
        <f>TEST_DATA!D13742</f>
        <v>NIL</v>
      </c>
      <c r="E13742">
        <f>TEST_DATA!E13742</f>
        <v>103</v>
      </c>
    </row>
    <row r="13743" spans="1:5" x14ac:dyDescent="0.55000000000000004">
      <c r="A13743" t="str">
        <f>TEST_DATA!A13743</f>
        <v>27AAAAA13743Z5</v>
      </c>
      <c r="B13743" t="str">
        <f>TEST_DATA!B13743</f>
        <v>Sep-2018</v>
      </c>
      <c r="C13743">
        <f>TEST_DATA!C13743</f>
        <v>43336</v>
      </c>
      <c r="D13743" t="str">
        <f>TEST_DATA!D13743</f>
        <v>NON-NIL</v>
      </c>
      <c r="E13743">
        <f>TEST_DATA!E13743</f>
        <v>1889</v>
      </c>
    </row>
    <row r="13744" spans="1:5" x14ac:dyDescent="0.55000000000000004">
      <c r="A13744" t="str">
        <f>TEST_DATA!A13744</f>
        <v>27AAAAA13744Z5</v>
      </c>
      <c r="B13744" t="str">
        <f>TEST_DATA!B13744</f>
        <v>Dec-2019</v>
      </c>
      <c r="C13744">
        <f>TEST_DATA!C13744</f>
        <v>45438</v>
      </c>
      <c r="D13744" t="str">
        <f>TEST_DATA!D13744</f>
        <v>NIL</v>
      </c>
      <c r="E13744">
        <f>TEST_DATA!E13744</f>
        <v>1408</v>
      </c>
    </row>
    <row r="13745" spans="1:5" x14ac:dyDescent="0.55000000000000004">
      <c r="A13745" t="str">
        <f>TEST_DATA!A13745</f>
        <v>27AAAAA13745Z5</v>
      </c>
      <c r="B13745" t="str">
        <f>TEST_DATA!B13745</f>
        <v>Apr-2018</v>
      </c>
      <c r="C13745">
        <f>TEST_DATA!C13745</f>
        <v>43164</v>
      </c>
      <c r="D13745" t="str">
        <f>TEST_DATA!D13745</f>
        <v>NON-NIL</v>
      </c>
      <c r="E13745">
        <f>TEST_DATA!E13745</f>
        <v>1325</v>
      </c>
    </row>
    <row r="13746" spans="1:5" x14ac:dyDescent="0.55000000000000004">
      <c r="A13746" t="str">
        <f>TEST_DATA!A13746</f>
        <v>27AAAAA13746Z5</v>
      </c>
      <c r="B13746" t="str">
        <f>TEST_DATA!B13746</f>
        <v>Jun-2018</v>
      </c>
      <c r="C13746">
        <f>TEST_DATA!C13746</f>
        <v>44542</v>
      </c>
      <c r="D13746" t="str">
        <f>TEST_DATA!D13746</f>
        <v>NON-NIL</v>
      </c>
      <c r="E13746">
        <f>TEST_DATA!E13746</f>
        <v>1250</v>
      </c>
    </row>
    <row r="13747" spans="1:5" x14ac:dyDescent="0.55000000000000004">
      <c r="A13747" t="str">
        <f>TEST_DATA!A13747</f>
        <v>27AAAAA13747Z5</v>
      </c>
      <c r="B13747" t="str">
        <f>TEST_DATA!B13747</f>
        <v>Sep-2018</v>
      </c>
      <c r="C13747">
        <f>TEST_DATA!C13747</f>
        <v>43314</v>
      </c>
      <c r="D13747" t="str">
        <f>TEST_DATA!D13747</f>
        <v>NIL</v>
      </c>
      <c r="E13747">
        <f>TEST_DATA!E13747</f>
        <v>2670</v>
      </c>
    </row>
    <row r="13748" spans="1:5" x14ac:dyDescent="0.55000000000000004">
      <c r="A13748" t="str">
        <f>TEST_DATA!A13748</f>
        <v>27AAAAA13748Z5</v>
      </c>
      <c r="B13748" t="str">
        <f>TEST_DATA!B13748</f>
        <v>Oct-2017</v>
      </c>
      <c r="C13748">
        <f>TEST_DATA!C13748</f>
        <v>44511</v>
      </c>
      <c r="D13748" t="str">
        <f>TEST_DATA!D13748</f>
        <v>NON-NIL</v>
      </c>
      <c r="E13748">
        <f>TEST_DATA!E13748</f>
        <v>2096</v>
      </c>
    </row>
    <row r="13749" spans="1:5" x14ac:dyDescent="0.55000000000000004">
      <c r="A13749" t="str">
        <f>TEST_DATA!A13749</f>
        <v>27AAAAA13749Z5</v>
      </c>
      <c r="B13749" t="str">
        <f>TEST_DATA!B13749</f>
        <v>Dec-2019</v>
      </c>
      <c r="C13749">
        <f>TEST_DATA!C13749</f>
        <v>44804</v>
      </c>
      <c r="D13749" t="str">
        <f>TEST_DATA!D13749</f>
        <v>NIL</v>
      </c>
      <c r="E13749">
        <f>TEST_DATA!E13749</f>
        <v>1656</v>
      </c>
    </row>
    <row r="13750" spans="1:5" x14ac:dyDescent="0.55000000000000004">
      <c r="A13750" t="str">
        <f>TEST_DATA!A13750</f>
        <v>27AAAAA13750Z5</v>
      </c>
      <c r="B13750" t="str">
        <f>TEST_DATA!B13750</f>
        <v>Jul-2018</v>
      </c>
      <c r="C13750">
        <f>TEST_DATA!C13750</f>
        <v>43390</v>
      </c>
      <c r="D13750" t="str">
        <f>TEST_DATA!D13750</f>
        <v>NON-NIL</v>
      </c>
      <c r="E13750">
        <f>TEST_DATA!E13750</f>
        <v>2609</v>
      </c>
    </row>
    <row r="13751" spans="1:5" x14ac:dyDescent="0.55000000000000004">
      <c r="A13751" t="str">
        <f>TEST_DATA!A13751</f>
        <v>27AAAAA13751Z5</v>
      </c>
      <c r="B13751" t="str">
        <f>TEST_DATA!B13751</f>
        <v>Jan-2021</v>
      </c>
      <c r="C13751">
        <f>TEST_DATA!C13751</f>
        <v>43543</v>
      </c>
      <c r="D13751" t="str">
        <f>TEST_DATA!D13751</f>
        <v>NIL</v>
      </c>
      <c r="E13751">
        <f>TEST_DATA!E13751</f>
        <v>2234</v>
      </c>
    </row>
    <row r="13752" spans="1:5" x14ac:dyDescent="0.55000000000000004">
      <c r="A13752" t="str">
        <f>TEST_DATA!A13752</f>
        <v>27AAAAA13752Z5</v>
      </c>
      <c r="B13752" t="str">
        <f>TEST_DATA!B13752</f>
        <v>Mar-2023</v>
      </c>
      <c r="C13752">
        <f>TEST_DATA!C13752</f>
        <v>45606</v>
      </c>
      <c r="D13752" t="str">
        <f>TEST_DATA!D13752</f>
        <v>NON-NIL</v>
      </c>
      <c r="E13752">
        <f>TEST_DATA!E13752</f>
        <v>915</v>
      </c>
    </row>
    <row r="13753" spans="1:5" x14ac:dyDescent="0.55000000000000004">
      <c r="A13753" t="str">
        <f>TEST_DATA!A13753</f>
        <v>27AAAAA13753Z5</v>
      </c>
      <c r="B13753" t="str">
        <f>TEST_DATA!B13753</f>
        <v>Dec-2019</v>
      </c>
      <c r="C13753">
        <f>TEST_DATA!C13753</f>
        <v>44262</v>
      </c>
      <c r="D13753" t="str">
        <f>TEST_DATA!D13753</f>
        <v>NIL</v>
      </c>
      <c r="E13753">
        <f>TEST_DATA!E13753</f>
        <v>510</v>
      </c>
    </row>
    <row r="13754" spans="1:5" x14ac:dyDescent="0.55000000000000004">
      <c r="A13754" t="str">
        <f>TEST_DATA!A13754</f>
        <v>27AAAAA13754Z5</v>
      </c>
      <c r="B13754" t="str">
        <f>TEST_DATA!B13754</f>
        <v>Apr-2018</v>
      </c>
      <c r="C13754">
        <f>TEST_DATA!C13754</f>
        <v>44037</v>
      </c>
      <c r="D13754" t="str">
        <f>TEST_DATA!D13754</f>
        <v>NON-NIL</v>
      </c>
      <c r="E13754">
        <f>TEST_DATA!E13754</f>
        <v>1941</v>
      </c>
    </row>
    <row r="13755" spans="1:5" x14ac:dyDescent="0.55000000000000004">
      <c r="A13755" t="str">
        <f>TEST_DATA!A13755</f>
        <v>27AAAAA13755Z5</v>
      </c>
      <c r="B13755" t="str">
        <f>TEST_DATA!B13755</f>
        <v>Jun-2019</v>
      </c>
      <c r="C13755">
        <f>TEST_DATA!C13755</f>
        <v>43892</v>
      </c>
      <c r="D13755" t="str">
        <f>TEST_DATA!D13755</f>
        <v>NON-NIL</v>
      </c>
      <c r="E13755">
        <f>TEST_DATA!E13755</f>
        <v>1529</v>
      </c>
    </row>
    <row r="13756" spans="1:5" x14ac:dyDescent="0.55000000000000004">
      <c r="A13756" t="str">
        <f>TEST_DATA!A13756</f>
        <v>27AAAAA13756Z5</v>
      </c>
      <c r="B13756" t="str">
        <f>TEST_DATA!B13756</f>
        <v>Dec-2024</v>
      </c>
      <c r="C13756">
        <f>TEST_DATA!C13756</f>
        <v>45241</v>
      </c>
      <c r="D13756" t="str">
        <f>TEST_DATA!D13756</f>
        <v>NIL</v>
      </c>
      <c r="E13756">
        <f>TEST_DATA!E13756</f>
        <v>2126</v>
      </c>
    </row>
    <row r="13757" spans="1:5" x14ac:dyDescent="0.55000000000000004">
      <c r="A13757" t="str">
        <f>TEST_DATA!A13757</f>
        <v>27AAAAA13757Z5</v>
      </c>
      <c r="B13757" t="str">
        <f>TEST_DATA!B13757</f>
        <v>Jun-2019</v>
      </c>
      <c r="C13757">
        <f>TEST_DATA!C13757</f>
        <v>43659</v>
      </c>
      <c r="D13757" t="str">
        <f>TEST_DATA!D13757</f>
        <v>NON-NIL</v>
      </c>
      <c r="E13757">
        <f>TEST_DATA!E13757</f>
        <v>280</v>
      </c>
    </row>
    <row r="13758" spans="1:5" x14ac:dyDescent="0.55000000000000004">
      <c r="A13758" t="str">
        <f>TEST_DATA!A13758</f>
        <v>27AAAAA13758Z5</v>
      </c>
      <c r="B13758" t="str">
        <f>TEST_DATA!B13758</f>
        <v>Jun-2019</v>
      </c>
      <c r="C13758">
        <f>TEST_DATA!C13758</f>
        <v>43620</v>
      </c>
      <c r="D13758" t="str">
        <f>TEST_DATA!D13758</f>
        <v>NIL</v>
      </c>
      <c r="E13758">
        <f>TEST_DATA!E13758</f>
        <v>1152</v>
      </c>
    </row>
    <row r="13759" spans="1:5" x14ac:dyDescent="0.55000000000000004">
      <c r="A13759" t="str">
        <f>TEST_DATA!A13759</f>
        <v>27AAAAA13759Z5</v>
      </c>
      <c r="B13759" t="str">
        <f>TEST_DATA!B13759</f>
        <v>Apr-2018</v>
      </c>
      <c r="C13759">
        <f>TEST_DATA!C13759</f>
        <v>43740</v>
      </c>
      <c r="D13759" t="str">
        <f>TEST_DATA!D13759</f>
        <v>NIL</v>
      </c>
      <c r="E13759">
        <f>TEST_DATA!E13759</f>
        <v>2276</v>
      </c>
    </row>
    <row r="13760" spans="1:5" x14ac:dyDescent="0.55000000000000004">
      <c r="A13760" t="str">
        <f>TEST_DATA!A13760</f>
        <v>27AAAAA13760Z5</v>
      </c>
      <c r="B13760" t="str">
        <f>TEST_DATA!B13760</f>
        <v>Jun-2019</v>
      </c>
      <c r="C13760">
        <f>TEST_DATA!C13760</f>
        <v>44164</v>
      </c>
      <c r="D13760" t="str">
        <f>TEST_DATA!D13760</f>
        <v>NON-NIL</v>
      </c>
      <c r="E13760">
        <f>TEST_DATA!E13760</f>
        <v>268</v>
      </c>
    </row>
    <row r="13761" spans="1:5" x14ac:dyDescent="0.55000000000000004">
      <c r="A13761" t="str">
        <f>TEST_DATA!A13761</f>
        <v>27AAAAA13761Z5</v>
      </c>
      <c r="B13761" t="str">
        <f>TEST_DATA!B13761</f>
        <v>Sep-2018</v>
      </c>
      <c r="C13761">
        <f>TEST_DATA!C13761</f>
        <v>43337</v>
      </c>
      <c r="D13761" t="str">
        <f>TEST_DATA!D13761</f>
        <v>NON-NIL</v>
      </c>
      <c r="E13761">
        <f>TEST_DATA!E13761</f>
        <v>2836</v>
      </c>
    </row>
    <row r="13762" spans="1:5" x14ac:dyDescent="0.55000000000000004">
      <c r="A13762" t="str">
        <f>TEST_DATA!A13762</f>
        <v>27AAAAA13762Z5</v>
      </c>
      <c r="B13762" t="str">
        <f>TEST_DATA!B13762</f>
        <v>Jul-2018</v>
      </c>
      <c r="C13762">
        <f>TEST_DATA!C13762</f>
        <v>42986</v>
      </c>
      <c r="D13762" t="str">
        <f>TEST_DATA!D13762</f>
        <v>NON-NIL</v>
      </c>
      <c r="E13762">
        <f>TEST_DATA!E13762</f>
        <v>891</v>
      </c>
    </row>
    <row r="13763" spans="1:5" x14ac:dyDescent="0.55000000000000004">
      <c r="A13763" t="str">
        <f>TEST_DATA!A13763</f>
        <v>27AAAAA13763Z5</v>
      </c>
      <c r="B13763" t="str">
        <f>TEST_DATA!B13763</f>
        <v>Mar-2021</v>
      </c>
      <c r="C13763">
        <f>TEST_DATA!C13763</f>
        <v>45243</v>
      </c>
      <c r="D13763" t="str">
        <f>TEST_DATA!D13763</f>
        <v>NIL</v>
      </c>
      <c r="E13763">
        <f>TEST_DATA!E13763</f>
        <v>320</v>
      </c>
    </row>
    <row r="13764" spans="1:5" x14ac:dyDescent="0.55000000000000004">
      <c r="A13764" t="str">
        <f>TEST_DATA!A13764</f>
        <v>27AAAAA13764Z5</v>
      </c>
      <c r="B13764" t="str">
        <f>TEST_DATA!B13764</f>
        <v>Mar-2018</v>
      </c>
      <c r="C13764">
        <f>TEST_DATA!C13764</f>
        <v>44072</v>
      </c>
      <c r="D13764" t="str">
        <f>TEST_DATA!D13764</f>
        <v>NIL</v>
      </c>
      <c r="E13764">
        <f>TEST_DATA!E13764</f>
        <v>2824</v>
      </c>
    </row>
    <row r="13765" spans="1:5" x14ac:dyDescent="0.55000000000000004">
      <c r="A13765" t="str">
        <f>TEST_DATA!A13765</f>
        <v>27AAAAA13765Z5</v>
      </c>
      <c r="B13765" t="str">
        <f>TEST_DATA!B13765</f>
        <v>Sep-2017</v>
      </c>
      <c r="C13765">
        <f>TEST_DATA!C13765</f>
        <v>43974</v>
      </c>
      <c r="D13765" t="str">
        <f>TEST_DATA!D13765</f>
        <v>NIL</v>
      </c>
      <c r="E13765">
        <f>TEST_DATA!E13765</f>
        <v>778</v>
      </c>
    </row>
    <row r="13766" spans="1:5" x14ac:dyDescent="0.55000000000000004">
      <c r="A13766" t="str">
        <f>TEST_DATA!A13766</f>
        <v>27AAAAA13766Z5</v>
      </c>
      <c r="B13766" t="str">
        <f>TEST_DATA!B13766</f>
        <v>Sep-2018</v>
      </c>
      <c r="C13766">
        <f>TEST_DATA!C13766</f>
        <v>43190</v>
      </c>
      <c r="D13766" t="str">
        <f>TEST_DATA!D13766</f>
        <v>NIL</v>
      </c>
      <c r="E13766">
        <f>TEST_DATA!E13766</f>
        <v>2414</v>
      </c>
    </row>
    <row r="13767" spans="1:5" x14ac:dyDescent="0.55000000000000004">
      <c r="A13767" t="str">
        <f>TEST_DATA!A13767</f>
        <v>27AAAAA13767Z5</v>
      </c>
      <c r="B13767" t="str">
        <f>TEST_DATA!B13767</f>
        <v>Jan-2021</v>
      </c>
      <c r="C13767">
        <f>TEST_DATA!C13767</f>
        <v>44291</v>
      </c>
      <c r="D13767" t="str">
        <f>TEST_DATA!D13767</f>
        <v>NIL</v>
      </c>
      <c r="E13767">
        <f>TEST_DATA!E13767</f>
        <v>1251</v>
      </c>
    </row>
    <row r="13768" spans="1:5" x14ac:dyDescent="0.55000000000000004">
      <c r="A13768" t="str">
        <f>TEST_DATA!A13768</f>
        <v>27AAAAA13768Z5</v>
      </c>
      <c r="B13768" t="str">
        <f>TEST_DATA!B13768</f>
        <v>May-2018</v>
      </c>
      <c r="C13768">
        <f>TEST_DATA!C13768</f>
        <v>42930</v>
      </c>
      <c r="D13768" t="str">
        <f>TEST_DATA!D13768</f>
        <v>NIL</v>
      </c>
      <c r="E13768">
        <f>TEST_DATA!E13768</f>
        <v>13</v>
      </c>
    </row>
    <row r="13769" spans="1:5" x14ac:dyDescent="0.55000000000000004">
      <c r="A13769" t="str">
        <f>TEST_DATA!A13769</f>
        <v>27AAAAA13769Z5</v>
      </c>
      <c r="B13769" t="str">
        <f>TEST_DATA!B13769</f>
        <v>Mar-2021</v>
      </c>
      <c r="C13769">
        <f>TEST_DATA!C13769</f>
        <v>45614</v>
      </c>
      <c r="D13769" t="str">
        <f>TEST_DATA!D13769</f>
        <v>NIL</v>
      </c>
      <c r="E13769">
        <f>TEST_DATA!E13769</f>
        <v>1135</v>
      </c>
    </row>
    <row r="13770" spans="1:5" x14ac:dyDescent="0.55000000000000004">
      <c r="A13770" t="str">
        <f>TEST_DATA!A13770</f>
        <v>27AAAAA13770Z5</v>
      </c>
      <c r="B13770" t="str">
        <f>TEST_DATA!B13770</f>
        <v>Mar-2020</v>
      </c>
      <c r="C13770">
        <f>TEST_DATA!C13770</f>
        <v>44060</v>
      </c>
      <c r="D13770" t="str">
        <f>TEST_DATA!D13770</f>
        <v>NIL</v>
      </c>
      <c r="E13770">
        <f>TEST_DATA!E13770</f>
        <v>1645</v>
      </c>
    </row>
    <row r="13771" spans="1:5" x14ac:dyDescent="0.55000000000000004">
      <c r="A13771" t="str">
        <f>TEST_DATA!A13771</f>
        <v>27AAAAA13771Z5</v>
      </c>
      <c r="B13771" t="str">
        <f>TEST_DATA!B13771</f>
        <v>Apr-2018</v>
      </c>
      <c r="C13771">
        <f>TEST_DATA!C13771</f>
        <v>43920</v>
      </c>
      <c r="D13771" t="str">
        <f>TEST_DATA!D13771</f>
        <v>NON-NIL</v>
      </c>
      <c r="E13771">
        <f>TEST_DATA!E13771</f>
        <v>1044</v>
      </c>
    </row>
    <row r="13772" spans="1:5" x14ac:dyDescent="0.55000000000000004">
      <c r="A13772" t="str">
        <f>TEST_DATA!A13772</f>
        <v>27AAAAA13772Z5</v>
      </c>
      <c r="B13772" t="str">
        <f>TEST_DATA!B13772</f>
        <v>Mar-2020</v>
      </c>
      <c r="C13772">
        <f>TEST_DATA!C13772</f>
        <v>44209</v>
      </c>
      <c r="D13772" t="str">
        <f>TEST_DATA!D13772</f>
        <v>NON-NIL</v>
      </c>
      <c r="E13772">
        <f>TEST_DATA!E13772</f>
        <v>809</v>
      </c>
    </row>
    <row r="13773" spans="1:5" x14ac:dyDescent="0.55000000000000004">
      <c r="A13773" t="str">
        <f>TEST_DATA!A13773</f>
        <v>27AAAAA13773Z5</v>
      </c>
      <c r="B13773" t="str">
        <f>TEST_DATA!B13773</f>
        <v>Dec-2019</v>
      </c>
      <c r="C13773">
        <f>TEST_DATA!C13773</f>
        <v>45133</v>
      </c>
      <c r="D13773" t="str">
        <f>TEST_DATA!D13773</f>
        <v>NIL</v>
      </c>
      <c r="E13773">
        <f>TEST_DATA!E13773</f>
        <v>833</v>
      </c>
    </row>
    <row r="13774" spans="1:5" x14ac:dyDescent="0.55000000000000004">
      <c r="A13774" t="str">
        <f>TEST_DATA!A13774</f>
        <v>27AAAAA13774Z5</v>
      </c>
      <c r="B13774" t="str">
        <f>TEST_DATA!B13774</f>
        <v>Dec-2024</v>
      </c>
      <c r="C13774">
        <f>TEST_DATA!C13774</f>
        <v>44423</v>
      </c>
      <c r="D13774" t="str">
        <f>TEST_DATA!D13774</f>
        <v>NON-NIL</v>
      </c>
      <c r="E13774">
        <f>TEST_DATA!E13774</f>
        <v>2658</v>
      </c>
    </row>
    <row r="13775" spans="1:5" x14ac:dyDescent="0.55000000000000004">
      <c r="A13775" t="str">
        <f>TEST_DATA!A13775</f>
        <v>27AAAAA13775Z5</v>
      </c>
      <c r="B13775" t="str">
        <f>TEST_DATA!B13775</f>
        <v>Nov-2017</v>
      </c>
      <c r="C13775">
        <f>TEST_DATA!C13775</f>
        <v>44347</v>
      </c>
      <c r="D13775" t="str">
        <f>TEST_DATA!D13775</f>
        <v>NIL</v>
      </c>
      <c r="E13775">
        <f>TEST_DATA!E13775</f>
        <v>2603</v>
      </c>
    </row>
    <row r="13776" spans="1:5" x14ac:dyDescent="0.55000000000000004">
      <c r="A13776" t="str">
        <f>TEST_DATA!A13776</f>
        <v>27AAAAA13776Z5</v>
      </c>
      <c r="B13776" t="str">
        <f>TEST_DATA!B13776</f>
        <v>Jan-2019</v>
      </c>
      <c r="C13776">
        <f>TEST_DATA!C13776</f>
        <v>45753</v>
      </c>
      <c r="D13776" t="str">
        <f>TEST_DATA!D13776</f>
        <v>NIL</v>
      </c>
      <c r="E13776">
        <f>TEST_DATA!E13776</f>
        <v>2286</v>
      </c>
    </row>
    <row r="13777" spans="1:5" x14ac:dyDescent="0.55000000000000004">
      <c r="A13777" t="str">
        <f>TEST_DATA!A13777</f>
        <v>27AAAAA13777Z5</v>
      </c>
      <c r="B13777" t="str">
        <f>TEST_DATA!B13777</f>
        <v>Sep-2017</v>
      </c>
      <c r="C13777">
        <f>TEST_DATA!C13777</f>
        <v>43662</v>
      </c>
      <c r="D13777" t="str">
        <f>TEST_DATA!D13777</f>
        <v>NON-NIL</v>
      </c>
      <c r="E13777">
        <f>TEST_DATA!E13777</f>
        <v>850</v>
      </c>
    </row>
    <row r="13778" spans="1:5" x14ac:dyDescent="0.55000000000000004">
      <c r="A13778" t="str">
        <f>TEST_DATA!A13778</f>
        <v>27AAAAA13778Z5</v>
      </c>
      <c r="B13778" t="str">
        <f>TEST_DATA!B13778</f>
        <v>Jun-2020</v>
      </c>
      <c r="C13778">
        <f>TEST_DATA!C13778</f>
        <v>44210</v>
      </c>
      <c r="D13778" t="str">
        <f>TEST_DATA!D13778</f>
        <v>NON-NIL</v>
      </c>
      <c r="E13778">
        <f>TEST_DATA!E13778</f>
        <v>2819</v>
      </c>
    </row>
    <row r="13779" spans="1:5" x14ac:dyDescent="0.55000000000000004">
      <c r="A13779" t="str">
        <f>TEST_DATA!A13779</f>
        <v>27AAAAA13779Z5</v>
      </c>
      <c r="B13779" t="str">
        <f>TEST_DATA!B13779</f>
        <v>Jun-2019</v>
      </c>
      <c r="C13779">
        <f>TEST_DATA!C13779</f>
        <v>45657</v>
      </c>
      <c r="D13779" t="str">
        <f>TEST_DATA!D13779</f>
        <v>NIL</v>
      </c>
      <c r="E13779">
        <f>TEST_DATA!E13779</f>
        <v>139</v>
      </c>
    </row>
    <row r="13780" spans="1:5" x14ac:dyDescent="0.55000000000000004">
      <c r="A13780" t="str">
        <f>TEST_DATA!A13780</f>
        <v>27AAAAA13780Z5</v>
      </c>
      <c r="B13780" t="str">
        <f>TEST_DATA!B13780</f>
        <v>Dec-2017</v>
      </c>
      <c r="C13780">
        <f>TEST_DATA!C13780</f>
        <v>43097</v>
      </c>
      <c r="D13780" t="str">
        <f>TEST_DATA!D13780</f>
        <v>NIL</v>
      </c>
      <c r="E13780">
        <f>TEST_DATA!E13780</f>
        <v>1628</v>
      </c>
    </row>
    <row r="13781" spans="1:5" x14ac:dyDescent="0.55000000000000004">
      <c r="A13781" t="str">
        <f>TEST_DATA!A13781</f>
        <v>27AAAAA13781Z5</v>
      </c>
      <c r="B13781" t="str">
        <f>TEST_DATA!B13781</f>
        <v>Jan-2019</v>
      </c>
      <c r="C13781">
        <f>TEST_DATA!C13781</f>
        <v>43725</v>
      </c>
      <c r="D13781" t="str">
        <f>TEST_DATA!D13781</f>
        <v>NON-NIL</v>
      </c>
      <c r="E13781">
        <f>TEST_DATA!E13781</f>
        <v>210</v>
      </c>
    </row>
    <row r="13782" spans="1:5" x14ac:dyDescent="0.55000000000000004">
      <c r="A13782" t="str">
        <f>TEST_DATA!A13782</f>
        <v>27AAAAA13782Z5</v>
      </c>
      <c r="B13782" t="str">
        <f>TEST_DATA!B13782</f>
        <v>May-2020</v>
      </c>
      <c r="C13782">
        <f>TEST_DATA!C13782</f>
        <v>44319</v>
      </c>
      <c r="D13782" t="str">
        <f>TEST_DATA!D13782</f>
        <v>NIL</v>
      </c>
      <c r="E13782">
        <f>TEST_DATA!E13782</f>
        <v>2062</v>
      </c>
    </row>
    <row r="13783" spans="1:5" x14ac:dyDescent="0.55000000000000004">
      <c r="A13783" t="str">
        <f>TEST_DATA!A13783</f>
        <v>27AAAAA13783Z5</v>
      </c>
      <c r="B13783" t="str">
        <f>TEST_DATA!B13783</f>
        <v>Apr-2018</v>
      </c>
      <c r="C13783">
        <f>TEST_DATA!C13783</f>
        <v>43065</v>
      </c>
      <c r="D13783" t="str">
        <f>TEST_DATA!D13783</f>
        <v>NON-NIL</v>
      </c>
      <c r="E13783">
        <f>TEST_DATA!E13783</f>
        <v>2134</v>
      </c>
    </row>
    <row r="13784" spans="1:5" x14ac:dyDescent="0.55000000000000004">
      <c r="A13784" t="str">
        <f>TEST_DATA!A13784</f>
        <v>27AAAAA13784Z5</v>
      </c>
      <c r="B13784" t="str">
        <f>TEST_DATA!B13784</f>
        <v>Sep-2018</v>
      </c>
      <c r="C13784">
        <f>TEST_DATA!C13784</f>
        <v>43743</v>
      </c>
      <c r="D13784" t="str">
        <f>TEST_DATA!D13784</f>
        <v>NIL</v>
      </c>
      <c r="E13784">
        <f>TEST_DATA!E13784</f>
        <v>632</v>
      </c>
    </row>
    <row r="13785" spans="1:5" x14ac:dyDescent="0.55000000000000004">
      <c r="A13785" t="str">
        <f>TEST_DATA!A13785</f>
        <v>27AAAAA13785Z5</v>
      </c>
      <c r="B13785" t="str">
        <f>TEST_DATA!B13785</f>
        <v>Jun-2019</v>
      </c>
      <c r="C13785">
        <f>TEST_DATA!C13785</f>
        <v>45485</v>
      </c>
      <c r="D13785" t="str">
        <f>TEST_DATA!D13785</f>
        <v>NON-NIL</v>
      </c>
      <c r="E13785">
        <f>TEST_DATA!E13785</f>
        <v>2448</v>
      </c>
    </row>
    <row r="13786" spans="1:5" x14ac:dyDescent="0.55000000000000004">
      <c r="A13786" t="str">
        <f>TEST_DATA!A13786</f>
        <v>27AAAAA13786Z5</v>
      </c>
      <c r="B13786" t="str">
        <f>TEST_DATA!B13786</f>
        <v>Jul-2017</v>
      </c>
      <c r="C13786">
        <f>TEST_DATA!C13786</f>
        <v>43883</v>
      </c>
      <c r="D13786" t="str">
        <f>TEST_DATA!D13786</f>
        <v>NIL</v>
      </c>
      <c r="E13786">
        <f>TEST_DATA!E13786</f>
        <v>1694</v>
      </c>
    </row>
    <row r="13787" spans="1:5" x14ac:dyDescent="0.55000000000000004">
      <c r="A13787" t="str">
        <f>TEST_DATA!A13787</f>
        <v>27AAAAA13787Z5</v>
      </c>
      <c r="B13787" t="str">
        <f>TEST_DATA!B13787</f>
        <v>Jul-2020</v>
      </c>
      <c r="C13787">
        <f>TEST_DATA!C13787</f>
        <v>44344</v>
      </c>
      <c r="D13787" t="str">
        <f>TEST_DATA!D13787</f>
        <v>NIL</v>
      </c>
      <c r="E13787">
        <f>TEST_DATA!E13787</f>
        <v>15</v>
      </c>
    </row>
    <row r="13788" spans="1:5" x14ac:dyDescent="0.55000000000000004">
      <c r="A13788" t="str">
        <f>TEST_DATA!A13788</f>
        <v>27AAAAA13788Z5</v>
      </c>
      <c r="B13788" t="str">
        <f>TEST_DATA!B13788</f>
        <v>May-2018</v>
      </c>
      <c r="C13788">
        <f>TEST_DATA!C13788</f>
        <v>44340</v>
      </c>
      <c r="D13788" t="str">
        <f>TEST_DATA!D13788</f>
        <v>NIL</v>
      </c>
      <c r="E13788">
        <f>TEST_DATA!E13788</f>
        <v>1016</v>
      </c>
    </row>
    <row r="13789" spans="1:5" x14ac:dyDescent="0.55000000000000004">
      <c r="A13789" t="str">
        <f>TEST_DATA!A13789</f>
        <v>27AAAAA13789Z5</v>
      </c>
      <c r="B13789" t="str">
        <f>TEST_DATA!B13789</f>
        <v>Mar-2020</v>
      </c>
      <c r="C13789">
        <f>TEST_DATA!C13789</f>
        <v>44011</v>
      </c>
      <c r="D13789" t="str">
        <f>TEST_DATA!D13789</f>
        <v>NON-NIL</v>
      </c>
      <c r="E13789">
        <f>TEST_DATA!E13789</f>
        <v>1969</v>
      </c>
    </row>
    <row r="13790" spans="1:5" x14ac:dyDescent="0.55000000000000004">
      <c r="A13790" t="str">
        <f>TEST_DATA!A13790</f>
        <v>27AAAAA13790Z5</v>
      </c>
      <c r="B13790" t="str">
        <f>TEST_DATA!B13790</f>
        <v>Dec-2019</v>
      </c>
      <c r="C13790">
        <f>TEST_DATA!C13790</f>
        <v>43771</v>
      </c>
      <c r="D13790" t="str">
        <f>TEST_DATA!D13790</f>
        <v>NIL</v>
      </c>
      <c r="E13790">
        <f>TEST_DATA!E13790</f>
        <v>2175</v>
      </c>
    </row>
    <row r="13791" spans="1:5" x14ac:dyDescent="0.55000000000000004">
      <c r="A13791" t="str">
        <f>TEST_DATA!A13791</f>
        <v>27AAAAA13791Z5</v>
      </c>
      <c r="B13791" t="str">
        <f>TEST_DATA!B13791</f>
        <v>Jun-2019</v>
      </c>
      <c r="C13791">
        <f>TEST_DATA!C13791</f>
        <v>44462</v>
      </c>
      <c r="D13791" t="str">
        <f>TEST_DATA!D13791</f>
        <v>NON-NIL</v>
      </c>
      <c r="E13791">
        <f>TEST_DATA!E13791</f>
        <v>2496</v>
      </c>
    </row>
    <row r="13792" spans="1:5" x14ac:dyDescent="0.55000000000000004">
      <c r="A13792" t="str">
        <f>TEST_DATA!A13792</f>
        <v>27AAAAA13792Z5</v>
      </c>
      <c r="B13792" t="str">
        <f>TEST_DATA!B13792</f>
        <v>May-2020</v>
      </c>
      <c r="C13792">
        <f>TEST_DATA!C13792</f>
        <v>44284</v>
      </c>
      <c r="D13792" t="str">
        <f>TEST_DATA!D13792</f>
        <v>NON-NIL</v>
      </c>
      <c r="E13792">
        <f>TEST_DATA!E13792</f>
        <v>2597</v>
      </c>
    </row>
    <row r="13793" spans="1:5" x14ac:dyDescent="0.55000000000000004">
      <c r="A13793" t="str">
        <f>TEST_DATA!A13793</f>
        <v>27AAAAA13793Z5</v>
      </c>
      <c r="B13793" t="str">
        <f>TEST_DATA!B13793</f>
        <v>Mar-2020</v>
      </c>
      <c r="C13793">
        <f>TEST_DATA!C13793</f>
        <v>44288</v>
      </c>
      <c r="D13793" t="str">
        <f>TEST_DATA!D13793</f>
        <v>NIL</v>
      </c>
      <c r="E13793">
        <f>TEST_DATA!E13793</f>
        <v>2278</v>
      </c>
    </row>
    <row r="13794" spans="1:5" x14ac:dyDescent="0.55000000000000004">
      <c r="A13794" t="str">
        <f>TEST_DATA!A13794</f>
        <v>27AAAAA13794Z5</v>
      </c>
      <c r="B13794" t="str">
        <f>TEST_DATA!B13794</f>
        <v>Dec-2024</v>
      </c>
      <c r="C13794">
        <f>TEST_DATA!C13794</f>
        <v>44101</v>
      </c>
      <c r="D13794" t="str">
        <f>TEST_DATA!D13794</f>
        <v>NIL</v>
      </c>
      <c r="E13794">
        <f>TEST_DATA!E13794</f>
        <v>1835</v>
      </c>
    </row>
    <row r="13795" spans="1:5" x14ac:dyDescent="0.55000000000000004">
      <c r="A13795" t="str">
        <f>TEST_DATA!A13795</f>
        <v>27AAAAA13795Z5</v>
      </c>
      <c r="B13795" t="str">
        <f>TEST_DATA!B13795</f>
        <v>May-2020</v>
      </c>
      <c r="C13795">
        <f>TEST_DATA!C13795</f>
        <v>44889</v>
      </c>
      <c r="D13795" t="str">
        <f>TEST_DATA!D13795</f>
        <v>NIL</v>
      </c>
      <c r="E13795">
        <f>TEST_DATA!E13795</f>
        <v>1121</v>
      </c>
    </row>
    <row r="13796" spans="1:5" x14ac:dyDescent="0.55000000000000004">
      <c r="A13796" t="str">
        <f>TEST_DATA!A13796</f>
        <v>27AAAAA13796Z5</v>
      </c>
      <c r="B13796" t="str">
        <f>TEST_DATA!B13796</f>
        <v>Aug-2018</v>
      </c>
      <c r="C13796">
        <f>TEST_DATA!C13796</f>
        <v>44088</v>
      </c>
      <c r="D13796" t="str">
        <f>TEST_DATA!D13796</f>
        <v>NON-NIL</v>
      </c>
      <c r="E13796">
        <f>TEST_DATA!E13796</f>
        <v>1023</v>
      </c>
    </row>
    <row r="13797" spans="1:5" x14ac:dyDescent="0.55000000000000004">
      <c r="A13797" t="str">
        <f>TEST_DATA!A13797</f>
        <v>27AAAAA13797Z5</v>
      </c>
      <c r="B13797" t="str">
        <f>TEST_DATA!B13797</f>
        <v>Mar-2020</v>
      </c>
      <c r="C13797">
        <f>TEST_DATA!C13797</f>
        <v>44479</v>
      </c>
      <c r="D13797" t="str">
        <f>TEST_DATA!D13797</f>
        <v>NIL</v>
      </c>
      <c r="E13797">
        <f>TEST_DATA!E13797</f>
        <v>1727</v>
      </c>
    </row>
    <row r="13798" spans="1:5" x14ac:dyDescent="0.55000000000000004">
      <c r="A13798" t="str">
        <f>TEST_DATA!A13798</f>
        <v>27AAAAA13798Z5</v>
      </c>
      <c r="B13798" t="str">
        <f>TEST_DATA!B13798</f>
        <v>Mar-2020</v>
      </c>
      <c r="C13798">
        <f>TEST_DATA!C13798</f>
        <v>44888</v>
      </c>
      <c r="D13798" t="str">
        <f>TEST_DATA!D13798</f>
        <v>NIL</v>
      </c>
      <c r="E13798">
        <f>TEST_DATA!E13798</f>
        <v>995</v>
      </c>
    </row>
    <row r="13799" spans="1:5" x14ac:dyDescent="0.55000000000000004">
      <c r="A13799" t="str">
        <f>TEST_DATA!A13799</f>
        <v>27AAAAA13799Z5</v>
      </c>
      <c r="B13799" t="str">
        <f>TEST_DATA!B13799</f>
        <v>Mar-2021</v>
      </c>
      <c r="C13799">
        <f>TEST_DATA!C13799</f>
        <v>44180</v>
      </c>
      <c r="D13799" t="str">
        <f>TEST_DATA!D13799</f>
        <v>NIL</v>
      </c>
      <c r="E13799">
        <f>TEST_DATA!E13799</f>
        <v>1796</v>
      </c>
    </row>
    <row r="13800" spans="1:5" x14ac:dyDescent="0.55000000000000004">
      <c r="A13800" t="str">
        <f>TEST_DATA!A13800</f>
        <v>27AAAAA13800Z5</v>
      </c>
      <c r="B13800" t="str">
        <f>TEST_DATA!B13800</f>
        <v>Dec-2017</v>
      </c>
      <c r="C13800">
        <f>TEST_DATA!C13800</f>
        <v>44212</v>
      </c>
      <c r="D13800" t="str">
        <f>TEST_DATA!D13800</f>
        <v>NON-NIL</v>
      </c>
      <c r="E13800">
        <f>TEST_DATA!E13800</f>
        <v>2095</v>
      </c>
    </row>
    <row r="13801" spans="1:5" x14ac:dyDescent="0.55000000000000004">
      <c r="A13801" t="str">
        <f>TEST_DATA!A13801</f>
        <v>27AAAAA13801Z5</v>
      </c>
      <c r="B13801" t="str">
        <f>TEST_DATA!B13801</f>
        <v>Aug-2018</v>
      </c>
      <c r="C13801">
        <f>TEST_DATA!C13801</f>
        <v>43120</v>
      </c>
      <c r="D13801" t="str">
        <f>TEST_DATA!D13801</f>
        <v>NIL</v>
      </c>
      <c r="E13801">
        <f>TEST_DATA!E13801</f>
        <v>1395</v>
      </c>
    </row>
    <row r="13802" spans="1:5" x14ac:dyDescent="0.55000000000000004">
      <c r="A13802" t="str">
        <f>TEST_DATA!A13802</f>
        <v>27AAAAA13802Z5</v>
      </c>
      <c r="B13802" t="str">
        <f>TEST_DATA!B13802</f>
        <v>Aug-2018</v>
      </c>
      <c r="C13802">
        <f>TEST_DATA!C13802</f>
        <v>44554</v>
      </c>
      <c r="D13802" t="str">
        <f>TEST_DATA!D13802</f>
        <v>NIL</v>
      </c>
      <c r="E13802">
        <f>TEST_DATA!E13802</f>
        <v>946</v>
      </c>
    </row>
    <row r="13803" spans="1:5" x14ac:dyDescent="0.55000000000000004">
      <c r="A13803" t="str">
        <f>TEST_DATA!A13803</f>
        <v>27AAAAA13803Z5</v>
      </c>
      <c r="B13803" t="str">
        <f>TEST_DATA!B13803</f>
        <v>Aug-2017</v>
      </c>
      <c r="C13803">
        <f>TEST_DATA!C13803</f>
        <v>44340</v>
      </c>
      <c r="D13803" t="str">
        <f>TEST_DATA!D13803</f>
        <v>NON-NIL</v>
      </c>
      <c r="E13803">
        <f>TEST_DATA!E13803</f>
        <v>2041</v>
      </c>
    </row>
    <row r="13804" spans="1:5" x14ac:dyDescent="0.55000000000000004">
      <c r="A13804" t="str">
        <f>TEST_DATA!A13804</f>
        <v>27AAAAA13804Z5</v>
      </c>
      <c r="B13804" t="str">
        <f>TEST_DATA!B13804</f>
        <v>Dec-2019</v>
      </c>
      <c r="C13804">
        <f>TEST_DATA!C13804</f>
        <v>43586</v>
      </c>
      <c r="D13804" t="str">
        <f>TEST_DATA!D13804</f>
        <v>NIL</v>
      </c>
      <c r="E13804">
        <f>TEST_DATA!E13804</f>
        <v>2781</v>
      </c>
    </row>
    <row r="13805" spans="1:5" x14ac:dyDescent="0.55000000000000004">
      <c r="A13805" t="str">
        <f>TEST_DATA!A13805</f>
        <v>27AAAAA13805Z5</v>
      </c>
      <c r="B13805" t="str">
        <f>TEST_DATA!B13805</f>
        <v>Mar-2020</v>
      </c>
      <c r="C13805">
        <f>TEST_DATA!C13805</f>
        <v>44403</v>
      </c>
      <c r="D13805" t="str">
        <f>TEST_DATA!D13805</f>
        <v>NON-NIL</v>
      </c>
      <c r="E13805">
        <f>TEST_DATA!E13805</f>
        <v>2012</v>
      </c>
    </row>
    <row r="13806" spans="1:5" x14ac:dyDescent="0.55000000000000004">
      <c r="A13806" t="str">
        <f>TEST_DATA!A13806</f>
        <v>27AAAAA13806Z5</v>
      </c>
      <c r="B13806" t="str">
        <f>TEST_DATA!B13806</f>
        <v>Aug-2017</v>
      </c>
      <c r="C13806">
        <f>TEST_DATA!C13806</f>
        <v>43090</v>
      </c>
      <c r="D13806" t="str">
        <f>TEST_DATA!D13806</f>
        <v>NON-NIL</v>
      </c>
      <c r="E13806">
        <f>TEST_DATA!E13806</f>
        <v>2882</v>
      </c>
    </row>
    <row r="13807" spans="1:5" x14ac:dyDescent="0.55000000000000004">
      <c r="A13807" t="str">
        <f>TEST_DATA!A13807</f>
        <v>27AAAAA13807Z5</v>
      </c>
      <c r="B13807" t="str">
        <f>TEST_DATA!B13807</f>
        <v>Sep-2017</v>
      </c>
      <c r="C13807">
        <f>TEST_DATA!C13807</f>
        <v>43225</v>
      </c>
      <c r="D13807" t="str">
        <f>TEST_DATA!D13807</f>
        <v>NIL</v>
      </c>
      <c r="E13807">
        <f>TEST_DATA!E13807</f>
        <v>1045</v>
      </c>
    </row>
    <row r="13808" spans="1:5" x14ac:dyDescent="0.55000000000000004">
      <c r="A13808" t="str">
        <f>TEST_DATA!A13808</f>
        <v>27AAAAA13808Z5</v>
      </c>
      <c r="B13808" t="str">
        <f>TEST_DATA!B13808</f>
        <v>Apr-2018</v>
      </c>
      <c r="C13808">
        <f>TEST_DATA!C13808</f>
        <v>43813</v>
      </c>
      <c r="D13808" t="str">
        <f>TEST_DATA!D13808</f>
        <v>NIL</v>
      </c>
      <c r="E13808">
        <f>TEST_DATA!E13808</f>
        <v>649</v>
      </c>
    </row>
    <row r="13809" spans="1:5" x14ac:dyDescent="0.55000000000000004">
      <c r="A13809" t="str">
        <f>TEST_DATA!A13809</f>
        <v>27AAAAA13809Z5</v>
      </c>
      <c r="B13809" t="str">
        <f>TEST_DATA!B13809</f>
        <v>Aug-2017</v>
      </c>
      <c r="C13809">
        <f>TEST_DATA!C13809</f>
        <v>44067</v>
      </c>
      <c r="D13809" t="str">
        <f>TEST_DATA!D13809</f>
        <v>NIL</v>
      </c>
      <c r="E13809">
        <f>TEST_DATA!E13809</f>
        <v>1719</v>
      </c>
    </row>
    <row r="13810" spans="1:5" x14ac:dyDescent="0.55000000000000004">
      <c r="A13810" t="str">
        <f>TEST_DATA!A13810</f>
        <v>27AAAAA13810Z5</v>
      </c>
      <c r="B13810" t="str">
        <f>TEST_DATA!B13810</f>
        <v>Nov-2017</v>
      </c>
      <c r="C13810">
        <f>TEST_DATA!C13810</f>
        <v>43500</v>
      </c>
      <c r="D13810" t="str">
        <f>TEST_DATA!D13810</f>
        <v>NON-NIL</v>
      </c>
      <c r="E13810">
        <f>TEST_DATA!E13810</f>
        <v>1259</v>
      </c>
    </row>
    <row r="13811" spans="1:5" x14ac:dyDescent="0.55000000000000004">
      <c r="A13811" t="str">
        <f>TEST_DATA!A13811</f>
        <v>27AAAAA13811Z5</v>
      </c>
      <c r="B13811" t="str">
        <f>TEST_DATA!B13811</f>
        <v>Jun-2019</v>
      </c>
      <c r="C13811">
        <f>TEST_DATA!C13811</f>
        <v>44816</v>
      </c>
      <c r="D13811" t="str">
        <f>TEST_DATA!D13811</f>
        <v>NON-NIL</v>
      </c>
      <c r="E13811">
        <f>TEST_DATA!E13811</f>
        <v>761</v>
      </c>
    </row>
    <row r="13812" spans="1:5" x14ac:dyDescent="0.55000000000000004">
      <c r="A13812" t="str">
        <f>TEST_DATA!A13812</f>
        <v>27AAAAA13812Z5</v>
      </c>
      <c r="B13812" t="str">
        <f>TEST_DATA!B13812</f>
        <v>Jan-2018</v>
      </c>
      <c r="C13812">
        <f>TEST_DATA!C13812</f>
        <v>43835</v>
      </c>
      <c r="D13812" t="str">
        <f>TEST_DATA!D13812</f>
        <v>NON-NIL</v>
      </c>
      <c r="E13812">
        <f>TEST_DATA!E13812</f>
        <v>2877</v>
      </c>
    </row>
    <row r="13813" spans="1:5" x14ac:dyDescent="0.55000000000000004">
      <c r="A13813" t="str">
        <f>TEST_DATA!A13813</f>
        <v>27AAAAA13813Z5</v>
      </c>
      <c r="B13813" t="str">
        <f>TEST_DATA!B13813</f>
        <v>Sep-2017</v>
      </c>
      <c r="C13813">
        <f>TEST_DATA!C13813</f>
        <v>43899</v>
      </c>
      <c r="D13813" t="str">
        <f>TEST_DATA!D13813</f>
        <v>NIL</v>
      </c>
      <c r="E13813">
        <f>TEST_DATA!E13813</f>
        <v>532</v>
      </c>
    </row>
    <row r="13814" spans="1:5" x14ac:dyDescent="0.55000000000000004">
      <c r="A13814" t="str">
        <f>TEST_DATA!A13814</f>
        <v>27AAAAA13814Z5</v>
      </c>
      <c r="B13814" t="str">
        <f>TEST_DATA!B13814</f>
        <v>Apr-2021</v>
      </c>
      <c r="C13814">
        <f>TEST_DATA!C13814</f>
        <v>45317</v>
      </c>
      <c r="D13814" t="str">
        <f>TEST_DATA!D13814</f>
        <v>NON-NIL</v>
      </c>
      <c r="E13814">
        <f>TEST_DATA!E13814</f>
        <v>1668</v>
      </c>
    </row>
    <row r="13815" spans="1:5" x14ac:dyDescent="0.55000000000000004">
      <c r="A13815" t="str">
        <f>TEST_DATA!A13815</f>
        <v>27AAAAA13815Z5</v>
      </c>
      <c r="B13815" t="str">
        <f>TEST_DATA!B13815</f>
        <v>Jul-2017</v>
      </c>
      <c r="C13815">
        <f>TEST_DATA!C13815</f>
        <v>44357</v>
      </c>
      <c r="D13815" t="str">
        <f>TEST_DATA!D13815</f>
        <v>NON-NIL</v>
      </c>
      <c r="E13815">
        <f>TEST_DATA!E13815</f>
        <v>771</v>
      </c>
    </row>
    <row r="13816" spans="1:5" x14ac:dyDescent="0.55000000000000004">
      <c r="A13816" t="str">
        <f>TEST_DATA!A13816</f>
        <v>27AAAAA13816Z5</v>
      </c>
      <c r="B13816" t="str">
        <f>TEST_DATA!B13816</f>
        <v>Apr-2020</v>
      </c>
      <c r="C13816">
        <f>TEST_DATA!C13816</f>
        <v>44510</v>
      </c>
      <c r="D13816" t="str">
        <f>TEST_DATA!D13816</f>
        <v>NIL</v>
      </c>
      <c r="E13816">
        <f>TEST_DATA!E13816</f>
        <v>2891</v>
      </c>
    </row>
    <row r="13817" spans="1:5" x14ac:dyDescent="0.55000000000000004">
      <c r="A13817" t="str">
        <f>TEST_DATA!A13817</f>
        <v>27AAAAA13817Z5</v>
      </c>
      <c r="B13817" t="str">
        <f>TEST_DATA!B13817</f>
        <v>Feb-2018</v>
      </c>
      <c r="C13817">
        <f>TEST_DATA!C13817</f>
        <v>43751</v>
      </c>
      <c r="D13817" t="str">
        <f>TEST_DATA!D13817</f>
        <v>NIL</v>
      </c>
      <c r="E13817">
        <f>TEST_DATA!E13817</f>
        <v>1747</v>
      </c>
    </row>
    <row r="13818" spans="1:5" x14ac:dyDescent="0.55000000000000004">
      <c r="A13818" t="str">
        <f>TEST_DATA!A13818</f>
        <v>27AAAAA13818Z5</v>
      </c>
      <c r="B13818" t="str">
        <f>TEST_DATA!B13818</f>
        <v>Jun-2018</v>
      </c>
      <c r="C13818">
        <f>TEST_DATA!C13818</f>
        <v>44499</v>
      </c>
      <c r="D13818" t="str">
        <f>TEST_DATA!D13818</f>
        <v>NON-NIL</v>
      </c>
      <c r="E13818">
        <f>TEST_DATA!E13818</f>
        <v>1195</v>
      </c>
    </row>
    <row r="13819" spans="1:5" x14ac:dyDescent="0.55000000000000004">
      <c r="A13819" t="str">
        <f>TEST_DATA!A13819</f>
        <v>27AAAAA13819Z5</v>
      </c>
      <c r="B13819" t="str">
        <f>TEST_DATA!B13819</f>
        <v>Sep-2017</v>
      </c>
      <c r="C13819">
        <f>TEST_DATA!C13819</f>
        <v>44346</v>
      </c>
      <c r="D13819" t="str">
        <f>TEST_DATA!D13819</f>
        <v>NON-NIL</v>
      </c>
      <c r="E13819">
        <f>TEST_DATA!E13819</f>
        <v>2431</v>
      </c>
    </row>
    <row r="13820" spans="1:5" x14ac:dyDescent="0.55000000000000004">
      <c r="A13820" t="str">
        <f>TEST_DATA!A13820</f>
        <v>27AAAAA13820Z5</v>
      </c>
      <c r="B13820" t="str">
        <f>TEST_DATA!B13820</f>
        <v>Dec-2019</v>
      </c>
      <c r="C13820">
        <f>TEST_DATA!C13820</f>
        <v>44494</v>
      </c>
      <c r="D13820" t="str">
        <f>TEST_DATA!D13820</f>
        <v>NIL</v>
      </c>
      <c r="E13820">
        <f>TEST_DATA!E13820</f>
        <v>1700</v>
      </c>
    </row>
    <row r="13821" spans="1:5" x14ac:dyDescent="0.55000000000000004">
      <c r="A13821" t="str">
        <f>TEST_DATA!A13821</f>
        <v>27AAAAA13821Z5</v>
      </c>
      <c r="B13821" t="str">
        <f>TEST_DATA!B13821</f>
        <v>Jul-2018</v>
      </c>
      <c r="C13821">
        <f>TEST_DATA!C13821</f>
        <v>44367</v>
      </c>
      <c r="D13821" t="str">
        <f>TEST_DATA!D13821</f>
        <v>NIL</v>
      </c>
      <c r="E13821">
        <f>TEST_DATA!E13821</f>
        <v>2766</v>
      </c>
    </row>
    <row r="13822" spans="1:5" x14ac:dyDescent="0.55000000000000004">
      <c r="A13822" t="str">
        <f>TEST_DATA!A13822</f>
        <v>27AAAAA13822Z5</v>
      </c>
      <c r="B13822" t="str">
        <f>TEST_DATA!B13822</f>
        <v>Feb-2018</v>
      </c>
      <c r="C13822">
        <f>TEST_DATA!C13822</f>
        <v>43891</v>
      </c>
      <c r="D13822" t="str">
        <f>TEST_DATA!D13822</f>
        <v>NON-NIL</v>
      </c>
      <c r="E13822">
        <f>TEST_DATA!E13822</f>
        <v>1705</v>
      </c>
    </row>
    <row r="13823" spans="1:5" x14ac:dyDescent="0.55000000000000004">
      <c r="A13823" t="str">
        <f>TEST_DATA!A13823</f>
        <v>27AAAAA13823Z5</v>
      </c>
      <c r="B13823" t="str">
        <f>TEST_DATA!B13823</f>
        <v>Mar-2021</v>
      </c>
      <c r="C13823">
        <f>TEST_DATA!C13823</f>
        <v>43816</v>
      </c>
      <c r="D13823" t="str">
        <f>TEST_DATA!D13823</f>
        <v>NON-NIL</v>
      </c>
      <c r="E13823">
        <f>TEST_DATA!E13823</f>
        <v>1448</v>
      </c>
    </row>
    <row r="13824" spans="1:5" x14ac:dyDescent="0.55000000000000004">
      <c r="A13824" t="str">
        <f>TEST_DATA!A13824</f>
        <v>27AAAAA13824Z5</v>
      </c>
      <c r="B13824" t="str">
        <f>TEST_DATA!B13824</f>
        <v>Feb-2018</v>
      </c>
      <c r="C13824">
        <f>TEST_DATA!C13824</f>
        <v>43618</v>
      </c>
      <c r="D13824" t="str">
        <f>TEST_DATA!D13824</f>
        <v>NON-NIL</v>
      </c>
      <c r="E13824">
        <f>TEST_DATA!E13824</f>
        <v>1855</v>
      </c>
    </row>
    <row r="13825" spans="1:5" x14ac:dyDescent="0.55000000000000004">
      <c r="A13825" t="str">
        <f>TEST_DATA!A13825</f>
        <v>27AAAAA13825Z5</v>
      </c>
      <c r="B13825" t="str">
        <f>TEST_DATA!B13825</f>
        <v>Jan-2019</v>
      </c>
      <c r="C13825">
        <f>TEST_DATA!C13825</f>
        <v>45497</v>
      </c>
      <c r="D13825" t="str">
        <f>TEST_DATA!D13825</f>
        <v>NON-NIL</v>
      </c>
      <c r="E13825">
        <f>TEST_DATA!E13825</f>
        <v>2305</v>
      </c>
    </row>
    <row r="13826" spans="1:5" x14ac:dyDescent="0.55000000000000004">
      <c r="A13826" t="str">
        <f>TEST_DATA!A13826</f>
        <v>27AAAAA13826Z5</v>
      </c>
      <c r="B13826" t="str">
        <f>TEST_DATA!B13826</f>
        <v>Nov-2017</v>
      </c>
      <c r="C13826">
        <f>TEST_DATA!C13826</f>
        <v>44326</v>
      </c>
      <c r="D13826" t="str">
        <f>TEST_DATA!D13826</f>
        <v>NON-NIL</v>
      </c>
      <c r="E13826">
        <f>TEST_DATA!E13826</f>
        <v>1389</v>
      </c>
    </row>
    <row r="13827" spans="1:5" x14ac:dyDescent="0.55000000000000004">
      <c r="A13827" t="str">
        <f>TEST_DATA!A13827</f>
        <v>27AAAAA13827Z5</v>
      </c>
      <c r="B13827" t="str">
        <f>TEST_DATA!B13827</f>
        <v>Jun-2019</v>
      </c>
      <c r="C13827">
        <f>TEST_DATA!C13827</f>
        <v>44423</v>
      </c>
      <c r="D13827" t="str">
        <f>TEST_DATA!D13827</f>
        <v>NON-NIL</v>
      </c>
      <c r="E13827">
        <f>TEST_DATA!E13827</f>
        <v>301</v>
      </c>
    </row>
    <row r="13828" spans="1:5" x14ac:dyDescent="0.55000000000000004">
      <c r="A13828" t="str">
        <f>TEST_DATA!A13828</f>
        <v>27AAAAA13828Z5</v>
      </c>
      <c r="B13828" t="str">
        <f>TEST_DATA!B13828</f>
        <v>Dec-2019</v>
      </c>
      <c r="C13828">
        <f>TEST_DATA!C13828</f>
        <v>45567</v>
      </c>
      <c r="D13828" t="str">
        <f>TEST_DATA!D13828</f>
        <v>NIL</v>
      </c>
      <c r="E13828">
        <f>TEST_DATA!E13828</f>
        <v>1801</v>
      </c>
    </row>
    <row r="13829" spans="1:5" x14ac:dyDescent="0.55000000000000004">
      <c r="A13829" t="str">
        <f>TEST_DATA!A13829</f>
        <v>27AAAAA13829Z5</v>
      </c>
      <c r="B13829" t="str">
        <f>TEST_DATA!B13829</f>
        <v>Apr-2018</v>
      </c>
      <c r="C13829">
        <f>TEST_DATA!C13829</f>
        <v>43556</v>
      </c>
      <c r="D13829" t="str">
        <f>TEST_DATA!D13829</f>
        <v>NIL</v>
      </c>
      <c r="E13829">
        <f>TEST_DATA!E13829</f>
        <v>778</v>
      </c>
    </row>
    <row r="13830" spans="1:5" x14ac:dyDescent="0.55000000000000004">
      <c r="A13830" t="str">
        <f>TEST_DATA!A13830</f>
        <v>27AAAAA13830Z5</v>
      </c>
      <c r="B13830" t="str">
        <f>TEST_DATA!B13830</f>
        <v>Mar-2021</v>
      </c>
      <c r="C13830">
        <f>TEST_DATA!C13830</f>
        <v>45011</v>
      </c>
      <c r="D13830" t="str">
        <f>TEST_DATA!D13830</f>
        <v>NIL</v>
      </c>
      <c r="E13830">
        <f>TEST_DATA!E13830</f>
        <v>1155</v>
      </c>
    </row>
    <row r="13831" spans="1:5" x14ac:dyDescent="0.55000000000000004">
      <c r="A13831" t="str">
        <f>TEST_DATA!A13831</f>
        <v>27AAAAA13831Z5</v>
      </c>
      <c r="B13831" t="str">
        <f>TEST_DATA!B13831</f>
        <v>Nov-2017</v>
      </c>
      <c r="C13831">
        <f>TEST_DATA!C13831</f>
        <v>43467</v>
      </c>
      <c r="D13831" t="str">
        <f>TEST_DATA!D13831</f>
        <v>NON-NIL</v>
      </c>
      <c r="E13831">
        <f>TEST_DATA!E13831</f>
        <v>1328</v>
      </c>
    </row>
    <row r="13832" spans="1:5" x14ac:dyDescent="0.55000000000000004">
      <c r="A13832" t="str">
        <f>TEST_DATA!A13832</f>
        <v>27AAAAA13832Z5</v>
      </c>
      <c r="B13832" t="str">
        <f>TEST_DATA!B13832</f>
        <v>Jul-2017</v>
      </c>
      <c r="C13832">
        <f>TEST_DATA!C13832</f>
        <v>43290</v>
      </c>
      <c r="D13832" t="str">
        <f>TEST_DATA!D13832</f>
        <v>NON-NIL</v>
      </c>
      <c r="E13832">
        <f>TEST_DATA!E13832</f>
        <v>1597</v>
      </c>
    </row>
    <row r="13833" spans="1:5" x14ac:dyDescent="0.55000000000000004">
      <c r="A13833" t="str">
        <f>TEST_DATA!A13833</f>
        <v>27AAAAA13833Z5</v>
      </c>
      <c r="B13833" t="str">
        <f>TEST_DATA!B13833</f>
        <v>Jan-2019</v>
      </c>
      <c r="C13833">
        <f>TEST_DATA!C13833</f>
        <v>43720</v>
      </c>
      <c r="D13833" t="str">
        <f>TEST_DATA!D13833</f>
        <v>NIL</v>
      </c>
      <c r="E13833">
        <f>TEST_DATA!E13833</f>
        <v>493</v>
      </c>
    </row>
    <row r="13834" spans="1:5" x14ac:dyDescent="0.55000000000000004">
      <c r="A13834" t="str">
        <f>TEST_DATA!A13834</f>
        <v>27AAAAA13834Z5</v>
      </c>
      <c r="B13834" t="str">
        <f>TEST_DATA!B13834</f>
        <v>Jan-2019</v>
      </c>
      <c r="C13834">
        <f>TEST_DATA!C13834</f>
        <v>45583</v>
      </c>
      <c r="D13834" t="str">
        <f>TEST_DATA!D13834</f>
        <v>NIL</v>
      </c>
      <c r="E13834">
        <f>TEST_DATA!E13834</f>
        <v>2530</v>
      </c>
    </row>
    <row r="13835" spans="1:5" x14ac:dyDescent="0.55000000000000004">
      <c r="A13835" t="str">
        <f>TEST_DATA!A13835</f>
        <v>27AAAAA13835Z5</v>
      </c>
      <c r="B13835" t="str">
        <f>TEST_DATA!B13835</f>
        <v>May-2018</v>
      </c>
      <c r="C13835">
        <f>TEST_DATA!C13835</f>
        <v>44533</v>
      </c>
      <c r="D13835" t="str">
        <f>TEST_DATA!D13835</f>
        <v>NIL</v>
      </c>
      <c r="E13835">
        <f>TEST_DATA!E13835</f>
        <v>1630</v>
      </c>
    </row>
    <row r="13836" spans="1:5" x14ac:dyDescent="0.55000000000000004">
      <c r="A13836" t="str">
        <f>TEST_DATA!A13836</f>
        <v>27AAAAA13836Z5</v>
      </c>
      <c r="B13836" t="str">
        <f>TEST_DATA!B13836</f>
        <v>Mar-2021</v>
      </c>
      <c r="C13836">
        <f>TEST_DATA!C13836</f>
        <v>43910</v>
      </c>
      <c r="D13836" t="str">
        <f>TEST_DATA!D13836</f>
        <v>NIL</v>
      </c>
      <c r="E13836">
        <f>TEST_DATA!E13836</f>
        <v>959</v>
      </c>
    </row>
    <row r="13837" spans="1:5" x14ac:dyDescent="0.55000000000000004">
      <c r="A13837" t="str">
        <f>TEST_DATA!A13837</f>
        <v>27AAAAA13837Z5</v>
      </c>
      <c r="B13837" t="str">
        <f>TEST_DATA!B13837</f>
        <v>Sep-2018</v>
      </c>
      <c r="C13837">
        <f>TEST_DATA!C13837</f>
        <v>44393</v>
      </c>
      <c r="D13837" t="str">
        <f>TEST_DATA!D13837</f>
        <v>NON-NIL</v>
      </c>
      <c r="E13837">
        <f>TEST_DATA!E13837</f>
        <v>853</v>
      </c>
    </row>
    <row r="13838" spans="1:5" x14ac:dyDescent="0.55000000000000004">
      <c r="A13838" t="str">
        <f>TEST_DATA!A13838</f>
        <v>27AAAAA13838Z5</v>
      </c>
      <c r="B13838" t="str">
        <f>TEST_DATA!B13838</f>
        <v>Mar-2021</v>
      </c>
      <c r="C13838">
        <f>TEST_DATA!C13838</f>
        <v>44128</v>
      </c>
      <c r="D13838" t="str">
        <f>TEST_DATA!D13838</f>
        <v>NON-NIL</v>
      </c>
      <c r="E13838">
        <f>TEST_DATA!E13838</f>
        <v>10</v>
      </c>
    </row>
    <row r="13839" spans="1:5" x14ac:dyDescent="0.55000000000000004">
      <c r="A13839" t="str">
        <f>TEST_DATA!A13839</f>
        <v>27AAAAA13839Z5</v>
      </c>
      <c r="B13839" t="str">
        <f>TEST_DATA!B13839</f>
        <v>Feb-2018</v>
      </c>
      <c r="C13839">
        <f>TEST_DATA!C13839</f>
        <v>44539</v>
      </c>
      <c r="D13839" t="str">
        <f>TEST_DATA!D13839</f>
        <v>NIL</v>
      </c>
      <c r="E13839">
        <f>TEST_DATA!E13839</f>
        <v>1245</v>
      </c>
    </row>
    <row r="13840" spans="1:5" x14ac:dyDescent="0.55000000000000004">
      <c r="A13840" t="str">
        <f>TEST_DATA!A13840</f>
        <v>27AAAAA13840Z5</v>
      </c>
      <c r="B13840" t="str">
        <f>TEST_DATA!B13840</f>
        <v>Jan-2018</v>
      </c>
      <c r="C13840">
        <f>TEST_DATA!C13840</f>
        <v>43922</v>
      </c>
      <c r="D13840" t="str">
        <f>TEST_DATA!D13840</f>
        <v>NON-NIL</v>
      </c>
      <c r="E13840">
        <f>TEST_DATA!E13840</f>
        <v>368</v>
      </c>
    </row>
    <row r="13841" spans="1:5" x14ac:dyDescent="0.55000000000000004">
      <c r="A13841" t="str">
        <f>TEST_DATA!A13841</f>
        <v>27AAAAA13841Z5</v>
      </c>
      <c r="B13841" t="str">
        <f>TEST_DATA!B13841</f>
        <v>May-2020</v>
      </c>
      <c r="C13841">
        <f>TEST_DATA!C13841</f>
        <v>44152</v>
      </c>
      <c r="D13841" t="str">
        <f>TEST_DATA!D13841</f>
        <v>NON-NIL</v>
      </c>
      <c r="E13841">
        <f>TEST_DATA!E13841</f>
        <v>2502</v>
      </c>
    </row>
    <row r="13842" spans="1:5" x14ac:dyDescent="0.55000000000000004">
      <c r="A13842" t="str">
        <f>TEST_DATA!A13842</f>
        <v>27AAAAA13842Z5</v>
      </c>
      <c r="B13842" t="str">
        <f>TEST_DATA!B13842</f>
        <v>Dec-2024</v>
      </c>
      <c r="C13842">
        <f>TEST_DATA!C13842</f>
        <v>45714</v>
      </c>
      <c r="D13842" t="str">
        <f>TEST_DATA!D13842</f>
        <v>NIL</v>
      </c>
      <c r="E13842">
        <f>TEST_DATA!E13842</f>
        <v>2099</v>
      </c>
    </row>
    <row r="13843" spans="1:5" x14ac:dyDescent="0.55000000000000004">
      <c r="A13843" t="str">
        <f>TEST_DATA!A13843</f>
        <v>27AAAAA13843Z5</v>
      </c>
      <c r="B13843" t="str">
        <f>TEST_DATA!B13843</f>
        <v>Jan-2021</v>
      </c>
      <c r="C13843">
        <f>TEST_DATA!C13843</f>
        <v>45003</v>
      </c>
      <c r="D13843" t="str">
        <f>TEST_DATA!D13843</f>
        <v>NON-NIL</v>
      </c>
      <c r="E13843">
        <f>TEST_DATA!E13843</f>
        <v>1306</v>
      </c>
    </row>
    <row r="13844" spans="1:5" x14ac:dyDescent="0.55000000000000004">
      <c r="A13844" t="str">
        <f>TEST_DATA!A13844</f>
        <v>27AAAAA13844Z5</v>
      </c>
      <c r="B13844" t="str">
        <f>TEST_DATA!B13844</f>
        <v>Mar-2023</v>
      </c>
      <c r="C13844">
        <f>TEST_DATA!C13844</f>
        <v>43958</v>
      </c>
      <c r="D13844" t="str">
        <f>TEST_DATA!D13844</f>
        <v>NIL</v>
      </c>
      <c r="E13844">
        <f>TEST_DATA!E13844</f>
        <v>2146</v>
      </c>
    </row>
    <row r="13845" spans="1:5" x14ac:dyDescent="0.55000000000000004">
      <c r="A13845" t="str">
        <f>TEST_DATA!A13845</f>
        <v>27AAAAA13845Z5</v>
      </c>
      <c r="B13845" t="str">
        <f>TEST_DATA!B13845</f>
        <v>Aug-2018</v>
      </c>
      <c r="C13845">
        <f>TEST_DATA!C13845</f>
        <v>44507</v>
      </c>
      <c r="D13845" t="str">
        <f>TEST_DATA!D13845</f>
        <v>NIL</v>
      </c>
      <c r="E13845">
        <f>TEST_DATA!E13845</f>
        <v>2517</v>
      </c>
    </row>
    <row r="13846" spans="1:5" x14ac:dyDescent="0.55000000000000004">
      <c r="A13846" t="str">
        <f>TEST_DATA!A13846</f>
        <v>27AAAAA13846Z5</v>
      </c>
      <c r="B13846" t="str">
        <f>TEST_DATA!B13846</f>
        <v>Dec-2022</v>
      </c>
      <c r="C13846">
        <f>TEST_DATA!C13846</f>
        <v>45360</v>
      </c>
      <c r="D13846" t="str">
        <f>TEST_DATA!D13846</f>
        <v>NIL</v>
      </c>
      <c r="E13846">
        <f>TEST_DATA!E13846</f>
        <v>2031</v>
      </c>
    </row>
    <row r="13847" spans="1:5" x14ac:dyDescent="0.55000000000000004">
      <c r="A13847" t="str">
        <f>TEST_DATA!A13847</f>
        <v>27AAAAA13847Z5</v>
      </c>
      <c r="B13847" t="str">
        <f>TEST_DATA!B13847</f>
        <v>Mar-2023</v>
      </c>
      <c r="C13847">
        <f>TEST_DATA!C13847</f>
        <v>45523</v>
      </c>
      <c r="D13847" t="str">
        <f>TEST_DATA!D13847</f>
        <v>NIL</v>
      </c>
      <c r="E13847">
        <f>TEST_DATA!E13847</f>
        <v>2558</v>
      </c>
    </row>
    <row r="13848" spans="1:5" x14ac:dyDescent="0.55000000000000004">
      <c r="A13848" t="str">
        <f>TEST_DATA!A13848</f>
        <v>27AAAAA13848Z5</v>
      </c>
      <c r="B13848" t="str">
        <f>TEST_DATA!B13848</f>
        <v>Apr-2021</v>
      </c>
      <c r="C13848">
        <f>TEST_DATA!C13848</f>
        <v>44312</v>
      </c>
      <c r="D13848" t="str">
        <f>TEST_DATA!D13848</f>
        <v>NIL</v>
      </c>
      <c r="E13848">
        <f>TEST_DATA!E13848</f>
        <v>962</v>
      </c>
    </row>
    <row r="13849" spans="1:5" x14ac:dyDescent="0.55000000000000004">
      <c r="A13849" t="str">
        <f>TEST_DATA!A13849</f>
        <v>27AAAAA13849Z5</v>
      </c>
      <c r="B13849" t="str">
        <f>TEST_DATA!B13849</f>
        <v>Nov-2017</v>
      </c>
      <c r="C13849">
        <f>TEST_DATA!C13849</f>
        <v>44191</v>
      </c>
      <c r="D13849" t="str">
        <f>TEST_DATA!D13849</f>
        <v>NON-NIL</v>
      </c>
      <c r="E13849">
        <f>TEST_DATA!E13849</f>
        <v>132</v>
      </c>
    </row>
    <row r="13850" spans="1:5" x14ac:dyDescent="0.55000000000000004">
      <c r="A13850" t="str">
        <f>TEST_DATA!A13850</f>
        <v>27AAAAA13850Z5</v>
      </c>
      <c r="B13850" t="str">
        <f>TEST_DATA!B13850</f>
        <v>Dec-2017</v>
      </c>
      <c r="C13850">
        <f>TEST_DATA!C13850</f>
        <v>44301</v>
      </c>
      <c r="D13850" t="str">
        <f>TEST_DATA!D13850</f>
        <v>NON-NIL</v>
      </c>
      <c r="E13850">
        <f>TEST_DATA!E13850</f>
        <v>1503</v>
      </c>
    </row>
    <row r="13851" spans="1:5" x14ac:dyDescent="0.55000000000000004">
      <c r="A13851" t="str">
        <f>TEST_DATA!A13851</f>
        <v>27AAAAA13851Z5</v>
      </c>
      <c r="B13851" t="str">
        <f>TEST_DATA!B13851</f>
        <v>Mar-2020</v>
      </c>
      <c r="C13851">
        <f>TEST_DATA!C13851</f>
        <v>44426</v>
      </c>
      <c r="D13851" t="str">
        <f>TEST_DATA!D13851</f>
        <v>NIL</v>
      </c>
      <c r="E13851">
        <f>TEST_DATA!E13851</f>
        <v>1470</v>
      </c>
    </row>
    <row r="13852" spans="1:5" x14ac:dyDescent="0.55000000000000004">
      <c r="A13852" t="str">
        <f>TEST_DATA!A13852</f>
        <v>27AAAAA13852Z5</v>
      </c>
      <c r="B13852" t="str">
        <f>TEST_DATA!B13852</f>
        <v>Dec-2024</v>
      </c>
      <c r="C13852">
        <f>TEST_DATA!C13852</f>
        <v>43641</v>
      </c>
      <c r="D13852" t="str">
        <f>TEST_DATA!D13852</f>
        <v>NIL</v>
      </c>
      <c r="E13852">
        <f>TEST_DATA!E13852</f>
        <v>1652</v>
      </c>
    </row>
    <row r="13853" spans="1:5" x14ac:dyDescent="0.55000000000000004">
      <c r="A13853" t="str">
        <f>TEST_DATA!A13853</f>
        <v>27AAAAA13853Z5</v>
      </c>
      <c r="B13853" t="str">
        <f>TEST_DATA!B13853</f>
        <v>Jun-2018</v>
      </c>
      <c r="C13853">
        <f>TEST_DATA!C13853</f>
        <v>43835</v>
      </c>
      <c r="D13853" t="str">
        <f>TEST_DATA!D13853</f>
        <v>NON-NIL</v>
      </c>
      <c r="E13853">
        <f>TEST_DATA!E13853</f>
        <v>1494</v>
      </c>
    </row>
    <row r="13854" spans="1:5" x14ac:dyDescent="0.55000000000000004">
      <c r="A13854" t="str">
        <f>TEST_DATA!A13854</f>
        <v>27AAAAA13854Z5</v>
      </c>
      <c r="B13854" t="str">
        <f>TEST_DATA!B13854</f>
        <v>May-2018</v>
      </c>
      <c r="C13854">
        <f>TEST_DATA!C13854</f>
        <v>43889</v>
      </c>
      <c r="D13854" t="str">
        <f>TEST_DATA!D13854</f>
        <v>NON-NIL</v>
      </c>
      <c r="E13854">
        <f>TEST_DATA!E13854</f>
        <v>2135</v>
      </c>
    </row>
    <row r="13855" spans="1:5" x14ac:dyDescent="0.55000000000000004">
      <c r="A13855" t="str">
        <f>TEST_DATA!A13855</f>
        <v>27AAAAA13855Z5</v>
      </c>
      <c r="B13855" t="str">
        <f>TEST_DATA!B13855</f>
        <v>Jul-2018</v>
      </c>
      <c r="C13855">
        <f>TEST_DATA!C13855</f>
        <v>43351</v>
      </c>
      <c r="D13855" t="str">
        <f>TEST_DATA!D13855</f>
        <v>NIL</v>
      </c>
      <c r="E13855">
        <f>TEST_DATA!E13855</f>
        <v>2274</v>
      </c>
    </row>
    <row r="13856" spans="1:5" x14ac:dyDescent="0.55000000000000004">
      <c r="A13856" t="str">
        <f>TEST_DATA!A13856</f>
        <v>27AAAAA13856Z5</v>
      </c>
      <c r="B13856" t="str">
        <f>TEST_DATA!B13856</f>
        <v>Sep-2017</v>
      </c>
      <c r="C13856">
        <f>TEST_DATA!C13856</f>
        <v>42939</v>
      </c>
      <c r="D13856" t="str">
        <f>TEST_DATA!D13856</f>
        <v>NON-NIL</v>
      </c>
      <c r="E13856">
        <f>TEST_DATA!E13856</f>
        <v>2742</v>
      </c>
    </row>
    <row r="13857" spans="1:5" x14ac:dyDescent="0.55000000000000004">
      <c r="A13857" t="str">
        <f>TEST_DATA!A13857</f>
        <v>27AAAAA13857Z5</v>
      </c>
      <c r="B13857" t="str">
        <f>TEST_DATA!B13857</f>
        <v>Jan-2021</v>
      </c>
      <c r="C13857">
        <f>TEST_DATA!C13857</f>
        <v>43479</v>
      </c>
      <c r="D13857" t="str">
        <f>TEST_DATA!D13857</f>
        <v>NON-NIL</v>
      </c>
      <c r="E13857">
        <f>TEST_DATA!E13857</f>
        <v>1615</v>
      </c>
    </row>
    <row r="13858" spans="1:5" x14ac:dyDescent="0.55000000000000004">
      <c r="A13858" t="str">
        <f>TEST_DATA!A13858</f>
        <v>27AAAAA13858Z5</v>
      </c>
      <c r="B13858" t="str">
        <f>TEST_DATA!B13858</f>
        <v>Aug-2017</v>
      </c>
      <c r="C13858">
        <f>TEST_DATA!C13858</f>
        <v>43607</v>
      </c>
      <c r="D13858" t="str">
        <f>TEST_DATA!D13858</f>
        <v>NON-NIL</v>
      </c>
      <c r="E13858">
        <f>TEST_DATA!E13858</f>
        <v>1961</v>
      </c>
    </row>
    <row r="13859" spans="1:5" x14ac:dyDescent="0.55000000000000004">
      <c r="A13859" t="str">
        <f>TEST_DATA!A13859</f>
        <v>27AAAAA13859Z5</v>
      </c>
      <c r="B13859" t="str">
        <f>TEST_DATA!B13859</f>
        <v>Jan-2018</v>
      </c>
      <c r="C13859">
        <f>TEST_DATA!C13859</f>
        <v>43988</v>
      </c>
      <c r="D13859" t="str">
        <f>TEST_DATA!D13859</f>
        <v>NON-NIL</v>
      </c>
      <c r="E13859">
        <f>TEST_DATA!E13859</f>
        <v>474</v>
      </c>
    </row>
    <row r="13860" spans="1:5" x14ac:dyDescent="0.55000000000000004">
      <c r="A13860" t="str">
        <f>TEST_DATA!A13860</f>
        <v>27AAAAA13860Z5</v>
      </c>
      <c r="B13860" t="str">
        <f>TEST_DATA!B13860</f>
        <v>Aug-2017</v>
      </c>
      <c r="C13860">
        <f>TEST_DATA!C13860</f>
        <v>44088</v>
      </c>
      <c r="D13860" t="str">
        <f>TEST_DATA!D13860</f>
        <v>NON-NIL</v>
      </c>
      <c r="E13860">
        <f>TEST_DATA!E13860</f>
        <v>27</v>
      </c>
    </row>
    <row r="13861" spans="1:5" x14ac:dyDescent="0.55000000000000004">
      <c r="A13861" t="str">
        <f>TEST_DATA!A13861</f>
        <v>27AAAAA13861Z5</v>
      </c>
      <c r="B13861" t="str">
        <f>TEST_DATA!B13861</f>
        <v>Mar-2021</v>
      </c>
      <c r="C13861">
        <f>TEST_DATA!C13861</f>
        <v>43583</v>
      </c>
      <c r="D13861" t="str">
        <f>TEST_DATA!D13861</f>
        <v>NON-NIL</v>
      </c>
      <c r="E13861">
        <f>TEST_DATA!E13861</f>
        <v>1554</v>
      </c>
    </row>
    <row r="13862" spans="1:5" x14ac:dyDescent="0.55000000000000004">
      <c r="A13862" t="str">
        <f>TEST_DATA!A13862</f>
        <v>27AAAAA13862Z5</v>
      </c>
      <c r="B13862" t="str">
        <f>TEST_DATA!B13862</f>
        <v>Dec-2022</v>
      </c>
      <c r="C13862">
        <f>TEST_DATA!C13862</f>
        <v>43942</v>
      </c>
      <c r="D13862" t="str">
        <f>TEST_DATA!D13862</f>
        <v>NON-NIL</v>
      </c>
      <c r="E13862">
        <f>TEST_DATA!E13862</f>
        <v>2760</v>
      </c>
    </row>
    <row r="13863" spans="1:5" x14ac:dyDescent="0.55000000000000004">
      <c r="A13863" t="str">
        <f>TEST_DATA!A13863</f>
        <v>27AAAAA13863Z5</v>
      </c>
      <c r="B13863" t="str">
        <f>TEST_DATA!B13863</f>
        <v>Mar-2023</v>
      </c>
      <c r="C13863">
        <f>TEST_DATA!C13863</f>
        <v>43739</v>
      </c>
      <c r="D13863" t="str">
        <f>TEST_DATA!D13863</f>
        <v>NON-NIL</v>
      </c>
      <c r="E13863">
        <f>TEST_DATA!E13863</f>
        <v>793</v>
      </c>
    </row>
    <row r="13864" spans="1:5" x14ac:dyDescent="0.55000000000000004">
      <c r="A13864" t="str">
        <f>TEST_DATA!A13864</f>
        <v>27AAAAA13864Z5</v>
      </c>
      <c r="B13864" t="str">
        <f>TEST_DATA!B13864</f>
        <v>Sep-2017</v>
      </c>
      <c r="C13864">
        <f>TEST_DATA!C13864</f>
        <v>43819</v>
      </c>
      <c r="D13864" t="str">
        <f>TEST_DATA!D13864</f>
        <v>NON-NIL</v>
      </c>
      <c r="E13864">
        <f>TEST_DATA!E13864</f>
        <v>1662</v>
      </c>
    </row>
    <row r="13865" spans="1:5" x14ac:dyDescent="0.55000000000000004">
      <c r="A13865" t="str">
        <f>TEST_DATA!A13865</f>
        <v>27AAAAA13865Z5</v>
      </c>
      <c r="B13865" t="str">
        <f>TEST_DATA!B13865</f>
        <v>Jul-2017</v>
      </c>
      <c r="C13865">
        <f>TEST_DATA!C13865</f>
        <v>44336</v>
      </c>
      <c r="D13865" t="str">
        <f>TEST_DATA!D13865</f>
        <v>NIL</v>
      </c>
      <c r="E13865">
        <f>TEST_DATA!E13865</f>
        <v>1201</v>
      </c>
    </row>
    <row r="13866" spans="1:5" x14ac:dyDescent="0.55000000000000004">
      <c r="A13866" t="str">
        <f>TEST_DATA!A13866</f>
        <v>27AAAAA13866Z5</v>
      </c>
      <c r="B13866" t="str">
        <f>TEST_DATA!B13866</f>
        <v>Apr-2018</v>
      </c>
      <c r="C13866">
        <f>TEST_DATA!C13866</f>
        <v>44337</v>
      </c>
      <c r="D13866" t="str">
        <f>TEST_DATA!D13866</f>
        <v>NON-NIL</v>
      </c>
      <c r="E13866">
        <f>TEST_DATA!E13866</f>
        <v>1542</v>
      </c>
    </row>
    <row r="13867" spans="1:5" x14ac:dyDescent="0.55000000000000004">
      <c r="A13867" t="str">
        <f>TEST_DATA!A13867</f>
        <v>27AAAAA13867Z5</v>
      </c>
      <c r="B13867" t="str">
        <f>TEST_DATA!B13867</f>
        <v>Apr-2020</v>
      </c>
      <c r="C13867">
        <f>TEST_DATA!C13867</f>
        <v>44779</v>
      </c>
      <c r="D13867" t="str">
        <f>TEST_DATA!D13867</f>
        <v>NIL</v>
      </c>
      <c r="E13867">
        <f>TEST_DATA!E13867</f>
        <v>2090</v>
      </c>
    </row>
    <row r="13868" spans="1:5" x14ac:dyDescent="0.55000000000000004">
      <c r="A13868" t="str">
        <f>TEST_DATA!A13868</f>
        <v>27AAAAA13868Z5</v>
      </c>
      <c r="B13868" t="str">
        <f>TEST_DATA!B13868</f>
        <v>Sep-2017</v>
      </c>
      <c r="C13868">
        <f>TEST_DATA!C13868</f>
        <v>43517</v>
      </c>
      <c r="D13868" t="str">
        <f>TEST_DATA!D13868</f>
        <v>NIL</v>
      </c>
      <c r="E13868">
        <f>TEST_DATA!E13868</f>
        <v>942</v>
      </c>
    </row>
    <row r="13869" spans="1:5" x14ac:dyDescent="0.55000000000000004">
      <c r="A13869" t="str">
        <f>TEST_DATA!A13869</f>
        <v>27AAAAA13869Z5</v>
      </c>
      <c r="B13869" t="str">
        <f>TEST_DATA!B13869</f>
        <v>Mar-2021</v>
      </c>
      <c r="C13869">
        <f>TEST_DATA!C13869</f>
        <v>45051</v>
      </c>
      <c r="D13869" t="str">
        <f>TEST_DATA!D13869</f>
        <v>NON-NIL</v>
      </c>
      <c r="E13869">
        <f>TEST_DATA!E13869</f>
        <v>1344</v>
      </c>
    </row>
    <row r="13870" spans="1:5" x14ac:dyDescent="0.55000000000000004">
      <c r="A13870" t="str">
        <f>TEST_DATA!A13870</f>
        <v>27AAAAA13870Z5</v>
      </c>
      <c r="B13870" t="str">
        <f>TEST_DATA!B13870</f>
        <v>Sep-2018</v>
      </c>
      <c r="C13870">
        <f>TEST_DATA!C13870</f>
        <v>43597</v>
      </c>
      <c r="D13870" t="str">
        <f>TEST_DATA!D13870</f>
        <v>NON-NIL</v>
      </c>
      <c r="E13870">
        <f>TEST_DATA!E13870</f>
        <v>1076</v>
      </c>
    </row>
    <row r="13871" spans="1:5" x14ac:dyDescent="0.55000000000000004">
      <c r="A13871" t="str">
        <f>TEST_DATA!A13871</f>
        <v>27AAAAA13871Z5</v>
      </c>
      <c r="B13871" t="str">
        <f>TEST_DATA!B13871</f>
        <v>Jul-2018</v>
      </c>
      <c r="C13871">
        <f>TEST_DATA!C13871</f>
        <v>44525</v>
      </c>
      <c r="D13871" t="str">
        <f>TEST_DATA!D13871</f>
        <v>NIL</v>
      </c>
      <c r="E13871">
        <f>TEST_DATA!E13871</f>
        <v>1574</v>
      </c>
    </row>
    <row r="13872" spans="1:5" x14ac:dyDescent="0.55000000000000004">
      <c r="A13872" t="str">
        <f>TEST_DATA!A13872</f>
        <v>27AAAAA13872Z5</v>
      </c>
      <c r="B13872" t="str">
        <f>TEST_DATA!B13872</f>
        <v>Dec-2019</v>
      </c>
      <c r="C13872">
        <f>TEST_DATA!C13872</f>
        <v>44246</v>
      </c>
      <c r="D13872" t="str">
        <f>TEST_DATA!D13872</f>
        <v>NON-NIL</v>
      </c>
      <c r="E13872">
        <f>TEST_DATA!E13872</f>
        <v>739</v>
      </c>
    </row>
    <row r="13873" spans="1:5" x14ac:dyDescent="0.55000000000000004">
      <c r="A13873" t="str">
        <f>TEST_DATA!A13873</f>
        <v>27AAAAA13873Z5</v>
      </c>
      <c r="B13873" t="str">
        <f>TEST_DATA!B13873</f>
        <v>Aug-2018</v>
      </c>
      <c r="C13873">
        <f>TEST_DATA!C13873</f>
        <v>42960</v>
      </c>
      <c r="D13873" t="str">
        <f>TEST_DATA!D13873</f>
        <v>NON-NIL</v>
      </c>
      <c r="E13873">
        <f>TEST_DATA!E13873</f>
        <v>796</v>
      </c>
    </row>
    <row r="13874" spans="1:5" x14ac:dyDescent="0.55000000000000004">
      <c r="A13874" t="str">
        <f>TEST_DATA!A13874</f>
        <v>27AAAAA13874Z5</v>
      </c>
      <c r="B13874" t="str">
        <f>TEST_DATA!B13874</f>
        <v>Feb-2018</v>
      </c>
      <c r="C13874">
        <f>TEST_DATA!C13874</f>
        <v>43991</v>
      </c>
      <c r="D13874" t="str">
        <f>TEST_DATA!D13874</f>
        <v>NIL</v>
      </c>
      <c r="E13874">
        <f>TEST_DATA!E13874</f>
        <v>2579</v>
      </c>
    </row>
    <row r="13875" spans="1:5" x14ac:dyDescent="0.55000000000000004">
      <c r="A13875" t="str">
        <f>TEST_DATA!A13875</f>
        <v>27AAAAA13875Z5</v>
      </c>
      <c r="B13875" t="str">
        <f>TEST_DATA!B13875</f>
        <v>Apr-2018</v>
      </c>
      <c r="C13875">
        <f>TEST_DATA!C13875</f>
        <v>44162</v>
      </c>
      <c r="D13875" t="str">
        <f>TEST_DATA!D13875</f>
        <v>NON-NIL</v>
      </c>
      <c r="E13875">
        <f>TEST_DATA!E13875</f>
        <v>2410</v>
      </c>
    </row>
    <row r="13876" spans="1:5" x14ac:dyDescent="0.55000000000000004">
      <c r="A13876" t="str">
        <f>TEST_DATA!A13876</f>
        <v>27AAAAA13876Z5</v>
      </c>
      <c r="B13876" t="str">
        <f>TEST_DATA!B13876</f>
        <v>Jul-2018</v>
      </c>
      <c r="C13876">
        <f>TEST_DATA!C13876</f>
        <v>43689</v>
      </c>
      <c r="D13876" t="str">
        <f>TEST_DATA!D13876</f>
        <v>NIL</v>
      </c>
      <c r="E13876">
        <f>TEST_DATA!E13876</f>
        <v>2239</v>
      </c>
    </row>
    <row r="13877" spans="1:5" x14ac:dyDescent="0.55000000000000004">
      <c r="A13877" t="str">
        <f>TEST_DATA!A13877</f>
        <v>27AAAAA13877Z5</v>
      </c>
      <c r="B13877" t="str">
        <f>TEST_DATA!B13877</f>
        <v>Jul-2020</v>
      </c>
      <c r="C13877">
        <f>TEST_DATA!C13877</f>
        <v>44067</v>
      </c>
      <c r="D13877" t="str">
        <f>TEST_DATA!D13877</f>
        <v>NON-NIL</v>
      </c>
      <c r="E13877">
        <f>TEST_DATA!E13877</f>
        <v>1311</v>
      </c>
    </row>
    <row r="13878" spans="1:5" x14ac:dyDescent="0.55000000000000004">
      <c r="A13878" t="str">
        <f>TEST_DATA!A13878</f>
        <v>27AAAAA13878Z5</v>
      </c>
      <c r="B13878" t="str">
        <f>TEST_DATA!B13878</f>
        <v>Jun-2019</v>
      </c>
      <c r="C13878">
        <f>TEST_DATA!C13878</f>
        <v>45743</v>
      </c>
      <c r="D13878" t="str">
        <f>TEST_DATA!D13878</f>
        <v>NIL</v>
      </c>
      <c r="E13878">
        <f>TEST_DATA!E13878</f>
        <v>1181</v>
      </c>
    </row>
    <row r="13879" spans="1:5" x14ac:dyDescent="0.55000000000000004">
      <c r="A13879" t="str">
        <f>TEST_DATA!A13879</f>
        <v>27AAAAA13879Z5</v>
      </c>
      <c r="B13879" t="str">
        <f>TEST_DATA!B13879</f>
        <v>Oct-2017</v>
      </c>
      <c r="C13879">
        <f>TEST_DATA!C13879</f>
        <v>43509</v>
      </c>
      <c r="D13879" t="str">
        <f>TEST_DATA!D13879</f>
        <v>NIL</v>
      </c>
      <c r="E13879">
        <f>TEST_DATA!E13879</f>
        <v>790</v>
      </c>
    </row>
    <row r="13880" spans="1:5" x14ac:dyDescent="0.55000000000000004">
      <c r="A13880" t="str">
        <f>TEST_DATA!A13880</f>
        <v>27AAAAA13880Z5</v>
      </c>
      <c r="B13880" t="str">
        <f>TEST_DATA!B13880</f>
        <v>Aug-2018</v>
      </c>
      <c r="C13880">
        <f>TEST_DATA!C13880</f>
        <v>43373</v>
      </c>
      <c r="D13880" t="str">
        <f>TEST_DATA!D13880</f>
        <v>NON-NIL</v>
      </c>
      <c r="E13880">
        <f>TEST_DATA!E13880</f>
        <v>2156</v>
      </c>
    </row>
    <row r="13881" spans="1:5" x14ac:dyDescent="0.55000000000000004">
      <c r="A13881" t="str">
        <f>TEST_DATA!A13881</f>
        <v>27AAAAA13881Z5</v>
      </c>
      <c r="B13881" t="str">
        <f>TEST_DATA!B13881</f>
        <v>Sep-2018</v>
      </c>
      <c r="C13881">
        <f>TEST_DATA!C13881</f>
        <v>43449</v>
      </c>
      <c r="D13881" t="str">
        <f>TEST_DATA!D13881</f>
        <v>NON-NIL</v>
      </c>
      <c r="E13881">
        <f>TEST_DATA!E13881</f>
        <v>431</v>
      </c>
    </row>
    <row r="13882" spans="1:5" x14ac:dyDescent="0.55000000000000004">
      <c r="A13882" t="str">
        <f>TEST_DATA!A13882</f>
        <v>27AAAAA13882Z5</v>
      </c>
      <c r="B13882" t="str">
        <f>TEST_DATA!B13882</f>
        <v>Nov-2017</v>
      </c>
      <c r="C13882">
        <f>TEST_DATA!C13882</f>
        <v>44559</v>
      </c>
      <c r="D13882" t="str">
        <f>TEST_DATA!D13882</f>
        <v>NON-NIL</v>
      </c>
      <c r="E13882">
        <f>TEST_DATA!E13882</f>
        <v>495</v>
      </c>
    </row>
    <row r="13883" spans="1:5" x14ac:dyDescent="0.55000000000000004">
      <c r="A13883" t="str">
        <f>TEST_DATA!A13883</f>
        <v>27AAAAA13883Z5</v>
      </c>
      <c r="B13883" t="str">
        <f>TEST_DATA!B13883</f>
        <v>Mar-2020</v>
      </c>
      <c r="C13883">
        <f>TEST_DATA!C13883</f>
        <v>44324</v>
      </c>
      <c r="D13883" t="str">
        <f>TEST_DATA!D13883</f>
        <v>NON-NIL</v>
      </c>
      <c r="E13883">
        <f>TEST_DATA!E13883</f>
        <v>2508</v>
      </c>
    </row>
    <row r="13884" spans="1:5" x14ac:dyDescent="0.55000000000000004">
      <c r="A13884" t="str">
        <f>TEST_DATA!A13884</f>
        <v>27AAAAA13884Z5</v>
      </c>
      <c r="B13884" t="str">
        <f>TEST_DATA!B13884</f>
        <v>Aug-2017</v>
      </c>
      <c r="C13884">
        <f>TEST_DATA!C13884</f>
        <v>43254</v>
      </c>
      <c r="D13884" t="str">
        <f>TEST_DATA!D13884</f>
        <v>NIL</v>
      </c>
      <c r="E13884">
        <f>TEST_DATA!E13884</f>
        <v>2682</v>
      </c>
    </row>
    <row r="13885" spans="1:5" x14ac:dyDescent="0.55000000000000004">
      <c r="A13885" t="str">
        <f>TEST_DATA!A13885</f>
        <v>27AAAAA13885Z5</v>
      </c>
      <c r="B13885" t="str">
        <f>TEST_DATA!B13885</f>
        <v>Jan-2021</v>
      </c>
      <c r="C13885">
        <f>TEST_DATA!C13885</f>
        <v>44319</v>
      </c>
      <c r="D13885" t="str">
        <f>TEST_DATA!D13885</f>
        <v>NIL</v>
      </c>
      <c r="E13885">
        <f>TEST_DATA!E13885</f>
        <v>2460</v>
      </c>
    </row>
    <row r="13886" spans="1:5" x14ac:dyDescent="0.55000000000000004">
      <c r="A13886" t="str">
        <f>TEST_DATA!A13886</f>
        <v>27AAAAA13886Z5</v>
      </c>
      <c r="B13886" t="str">
        <f>TEST_DATA!B13886</f>
        <v>May-2020</v>
      </c>
      <c r="C13886">
        <f>TEST_DATA!C13886</f>
        <v>44427</v>
      </c>
      <c r="D13886" t="str">
        <f>TEST_DATA!D13886</f>
        <v>NON-NIL</v>
      </c>
      <c r="E13886">
        <f>TEST_DATA!E13886</f>
        <v>882</v>
      </c>
    </row>
    <row r="13887" spans="1:5" x14ac:dyDescent="0.55000000000000004">
      <c r="A13887" t="str">
        <f>TEST_DATA!A13887</f>
        <v>27AAAAA13887Z5</v>
      </c>
      <c r="B13887" t="str">
        <f>TEST_DATA!B13887</f>
        <v>Sep-2017</v>
      </c>
      <c r="C13887">
        <f>TEST_DATA!C13887</f>
        <v>44322</v>
      </c>
      <c r="D13887" t="str">
        <f>TEST_DATA!D13887</f>
        <v>NIL</v>
      </c>
      <c r="E13887">
        <f>TEST_DATA!E13887</f>
        <v>347</v>
      </c>
    </row>
    <row r="13888" spans="1:5" x14ac:dyDescent="0.55000000000000004">
      <c r="A13888" t="str">
        <f>TEST_DATA!A13888</f>
        <v>27AAAAA13888Z5</v>
      </c>
      <c r="B13888" t="str">
        <f>TEST_DATA!B13888</f>
        <v>Apr-2021</v>
      </c>
      <c r="C13888">
        <f>TEST_DATA!C13888</f>
        <v>44274</v>
      </c>
      <c r="D13888" t="str">
        <f>TEST_DATA!D13888</f>
        <v>NON-NIL</v>
      </c>
      <c r="E13888">
        <f>TEST_DATA!E13888</f>
        <v>2920</v>
      </c>
    </row>
    <row r="13889" spans="1:5" x14ac:dyDescent="0.55000000000000004">
      <c r="A13889" t="str">
        <f>TEST_DATA!A13889</f>
        <v>27AAAAA13889Z5</v>
      </c>
      <c r="B13889" t="str">
        <f>TEST_DATA!B13889</f>
        <v>May-2018</v>
      </c>
      <c r="C13889">
        <f>TEST_DATA!C13889</f>
        <v>43593</v>
      </c>
      <c r="D13889" t="str">
        <f>TEST_DATA!D13889</f>
        <v>NON-NIL</v>
      </c>
      <c r="E13889">
        <f>TEST_DATA!E13889</f>
        <v>2484</v>
      </c>
    </row>
    <row r="13890" spans="1:5" x14ac:dyDescent="0.55000000000000004">
      <c r="A13890" t="str">
        <f>TEST_DATA!A13890</f>
        <v>27AAAAA13890Z5</v>
      </c>
      <c r="B13890" t="str">
        <f>TEST_DATA!B13890</f>
        <v>Apr-2020</v>
      </c>
      <c r="C13890">
        <f>TEST_DATA!C13890</f>
        <v>43893</v>
      </c>
      <c r="D13890" t="str">
        <f>TEST_DATA!D13890</f>
        <v>NIL</v>
      </c>
      <c r="E13890">
        <f>TEST_DATA!E13890</f>
        <v>1947</v>
      </c>
    </row>
    <row r="13891" spans="1:5" x14ac:dyDescent="0.55000000000000004">
      <c r="A13891" t="str">
        <f>TEST_DATA!A13891</f>
        <v>27AAAAA13891Z5</v>
      </c>
      <c r="B13891" t="str">
        <f>TEST_DATA!B13891</f>
        <v>Dec-2017</v>
      </c>
      <c r="C13891">
        <f>TEST_DATA!C13891</f>
        <v>43618</v>
      </c>
      <c r="D13891" t="str">
        <f>TEST_DATA!D13891</f>
        <v>NON-NIL</v>
      </c>
      <c r="E13891">
        <f>TEST_DATA!E13891</f>
        <v>1586</v>
      </c>
    </row>
    <row r="13892" spans="1:5" x14ac:dyDescent="0.55000000000000004">
      <c r="A13892" t="str">
        <f>TEST_DATA!A13892</f>
        <v>27AAAAA13892Z5</v>
      </c>
      <c r="B13892" t="str">
        <f>TEST_DATA!B13892</f>
        <v>Apr-2021</v>
      </c>
      <c r="C13892">
        <f>TEST_DATA!C13892</f>
        <v>45747</v>
      </c>
      <c r="D13892" t="str">
        <f>TEST_DATA!D13892</f>
        <v>NON-NIL</v>
      </c>
      <c r="E13892">
        <f>TEST_DATA!E13892</f>
        <v>537</v>
      </c>
    </row>
    <row r="13893" spans="1:5" x14ac:dyDescent="0.55000000000000004">
      <c r="A13893" t="str">
        <f>TEST_DATA!A13893</f>
        <v>27AAAAA13893Z5</v>
      </c>
      <c r="B13893" t="str">
        <f>TEST_DATA!B13893</f>
        <v>Feb-2018</v>
      </c>
      <c r="C13893">
        <f>TEST_DATA!C13893</f>
        <v>43034</v>
      </c>
      <c r="D13893" t="str">
        <f>TEST_DATA!D13893</f>
        <v>NON-NIL</v>
      </c>
      <c r="E13893">
        <f>TEST_DATA!E13893</f>
        <v>2624</v>
      </c>
    </row>
    <row r="13894" spans="1:5" x14ac:dyDescent="0.55000000000000004">
      <c r="A13894" t="str">
        <f>TEST_DATA!A13894</f>
        <v>27AAAAA13894Z5</v>
      </c>
      <c r="B13894" t="str">
        <f>TEST_DATA!B13894</f>
        <v>Jan-2018</v>
      </c>
      <c r="C13894">
        <f>TEST_DATA!C13894</f>
        <v>43775</v>
      </c>
      <c r="D13894" t="str">
        <f>TEST_DATA!D13894</f>
        <v>NON-NIL</v>
      </c>
      <c r="E13894">
        <f>TEST_DATA!E13894</f>
        <v>1829</v>
      </c>
    </row>
    <row r="13895" spans="1:5" x14ac:dyDescent="0.55000000000000004">
      <c r="A13895" t="str">
        <f>TEST_DATA!A13895</f>
        <v>27AAAAA13895Z5</v>
      </c>
      <c r="B13895" t="str">
        <f>TEST_DATA!B13895</f>
        <v>Mar-2023</v>
      </c>
      <c r="C13895">
        <f>TEST_DATA!C13895</f>
        <v>45624</v>
      </c>
      <c r="D13895" t="str">
        <f>TEST_DATA!D13895</f>
        <v>NIL</v>
      </c>
      <c r="E13895">
        <f>TEST_DATA!E13895</f>
        <v>1810</v>
      </c>
    </row>
    <row r="13896" spans="1:5" x14ac:dyDescent="0.55000000000000004">
      <c r="A13896" t="str">
        <f>TEST_DATA!A13896</f>
        <v>27AAAAA13896Z5</v>
      </c>
      <c r="B13896" t="str">
        <f>TEST_DATA!B13896</f>
        <v>Jul-2020</v>
      </c>
      <c r="C13896">
        <f>TEST_DATA!C13896</f>
        <v>43981</v>
      </c>
      <c r="D13896" t="str">
        <f>TEST_DATA!D13896</f>
        <v>NON-NIL</v>
      </c>
      <c r="E13896">
        <f>TEST_DATA!E13896</f>
        <v>447</v>
      </c>
    </row>
    <row r="13897" spans="1:5" x14ac:dyDescent="0.55000000000000004">
      <c r="A13897" t="str">
        <f>TEST_DATA!A13897</f>
        <v>27AAAAA13897Z5</v>
      </c>
      <c r="B13897" t="str">
        <f>TEST_DATA!B13897</f>
        <v>Apr-2021</v>
      </c>
      <c r="C13897">
        <f>TEST_DATA!C13897</f>
        <v>43681</v>
      </c>
      <c r="D13897" t="str">
        <f>TEST_DATA!D13897</f>
        <v>NON-NIL</v>
      </c>
      <c r="E13897">
        <f>TEST_DATA!E13897</f>
        <v>405</v>
      </c>
    </row>
    <row r="13898" spans="1:5" x14ac:dyDescent="0.55000000000000004">
      <c r="A13898" t="str">
        <f>TEST_DATA!A13898</f>
        <v>27AAAAA13898Z5</v>
      </c>
      <c r="B13898" t="str">
        <f>TEST_DATA!B13898</f>
        <v>Feb-2018</v>
      </c>
      <c r="C13898">
        <f>TEST_DATA!C13898</f>
        <v>43734</v>
      </c>
      <c r="D13898" t="str">
        <f>TEST_DATA!D13898</f>
        <v>NON-NIL</v>
      </c>
      <c r="E13898">
        <f>TEST_DATA!E13898</f>
        <v>1865</v>
      </c>
    </row>
    <row r="13899" spans="1:5" x14ac:dyDescent="0.55000000000000004">
      <c r="A13899" t="str">
        <f>TEST_DATA!A13899</f>
        <v>27AAAAA13899Z5</v>
      </c>
      <c r="B13899" t="str">
        <f>TEST_DATA!B13899</f>
        <v>Jan-2019</v>
      </c>
      <c r="C13899">
        <f>TEST_DATA!C13899</f>
        <v>45021</v>
      </c>
      <c r="D13899" t="str">
        <f>TEST_DATA!D13899</f>
        <v>NON-NIL</v>
      </c>
      <c r="E13899">
        <f>TEST_DATA!E13899</f>
        <v>2483</v>
      </c>
    </row>
    <row r="13900" spans="1:5" x14ac:dyDescent="0.55000000000000004">
      <c r="A13900" t="str">
        <f>TEST_DATA!A13900</f>
        <v>27AAAAA13900Z5</v>
      </c>
      <c r="B13900" t="str">
        <f>TEST_DATA!B13900</f>
        <v>Jun-2018</v>
      </c>
      <c r="C13900">
        <f>TEST_DATA!C13900</f>
        <v>44104</v>
      </c>
      <c r="D13900" t="str">
        <f>TEST_DATA!D13900</f>
        <v>NIL</v>
      </c>
      <c r="E13900">
        <f>TEST_DATA!E13900</f>
        <v>526</v>
      </c>
    </row>
    <row r="13901" spans="1:5" x14ac:dyDescent="0.55000000000000004">
      <c r="A13901" t="str">
        <f>TEST_DATA!A13901</f>
        <v>27AAAAA13901Z5</v>
      </c>
      <c r="B13901" t="str">
        <f>TEST_DATA!B13901</f>
        <v>Jan-2021</v>
      </c>
      <c r="C13901">
        <f>TEST_DATA!C13901</f>
        <v>44009</v>
      </c>
      <c r="D13901" t="str">
        <f>TEST_DATA!D13901</f>
        <v>NON-NIL</v>
      </c>
      <c r="E13901">
        <f>TEST_DATA!E13901</f>
        <v>2463</v>
      </c>
    </row>
    <row r="13902" spans="1:5" x14ac:dyDescent="0.55000000000000004">
      <c r="A13902" t="str">
        <f>TEST_DATA!A13902</f>
        <v>27AAAAA13902Z5</v>
      </c>
      <c r="B13902" t="str">
        <f>TEST_DATA!B13902</f>
        <v>Jul-2018</v>
      </c>
      <c r="C13902">
        <f>TEST_DATA!C13902</f>
        <v>43898</v>
      </c>
      <c r="D13902" t="str">
        <f>TEST_DATA!D13902</f>
        <v>NIL</v>
      </c>
      <c r="E13902">
        <f>TEST_DATA!E13902</f>
        <v>1916</v>
      </c>
    </row>
    <row r="13903" spans="1:5" x14ac:dyDescent="0.55000000000000004">
      <c r="A13903" t="str">
        <f>TEST_DATA!A13903</f>
        <v>27AAAAA13903Z5</v>
      </c>
      <c r="B13903" t="str">
        <f>TEST_DATA!B13903</f>
        <v>Sep-2017</v>
      </c>
      <c r="C13903">
        <f>TEST_DATA!C13903</f>
        <v>44123</v>
      </c>
      <c r="D13903" t="str">
        <f>TEST_DATA!D13903</f>
        <v>NON-NIL</v>
      </c>
      <c r="E13903">
        <f>TEST_DATA!E13903</f>
        <v>1931</v>
      </c>
    </row>
    <row r="13904" spans="1:5" x14ac:dyDescent="0.55000000000000004">
      <c r="A13904" t="str">
        <f>TEST_DATA!A13904</f>
        <v>27AAAAA13904Z5</v>
      </c>
      <c r="B13904" t="str">
        <f>TEST_DATA!B13904</f>
        <v>May-2018</v>
      </c>
      <c r="C13904">
        <f>TEST_DATA!C13904</f>
        <v>43589</v>
      </c>
      <c r="D13904" t="str">
        <f>TEST_DATA!D13904</f>
        <v>NON-NIL</v>
      </c>
      <c r="E13904">
        <f>TEST_DATA!E13904</f>
        <v>2386</v>
      </c>
    </row>
    <row r="13905" spans="1:5" x14ac:dyDescent="0.55000000000000004">
      <c r="A13905" t="str">
        <f>TEST_DATA!A13905</f>
        <v>27AAAAA13905Z5</v>
      </c>
      <c r="B13905" t="str">
        <f>TEST_DATA!B13905</f>
        <v>Oct-2017</v>
      </c>
      <c r="C13905">
        <f>TEST_DATA!C13905</f>
        <v>43187</v>
      </c>
      <c r="D13905" t="str">
        <f>TEST_DATA!D13905</f>
        <v>NIL</v>
      </c>
      <c r="E13905">
        <f>TEST_DATA!E13905</f>
        <v>2477</v>
      </c>
    </row>
    <row r="13906" spans="1:5" x14ac:dyDescent="0.55000000000000004">
      <c r="A13906" t="str">
        <f>TEST_DATA!A13906</f>
        <v>27AAAAA13906Z5</v>
      </c>
      <c r="B13906" t="str">
        <f>TEST_DATA!B13906</f>
        <v>Apr-2018</v>
      </c>
      <c r="C13906">
        <f>TEST_DATA!C13906</f>
        <v>43602</v>
      </c>
      <c r="D13906" t="str">
        <f>TEST_DATA!D13906</f>
        <v>NON-NIL</v>
      </c>
      <c r="E13906">
        <f>TEST_DATA!E13906</f>
        <v>2744</v>
      </c>
    </row>
    <row r="13907" spans="1:5" x14ac:dyDescent="0.55000000000000004">
      <c r="A13907" t="str">
        <f>TEST_DATA!A13907</f>
        <v>27AAAAA13907Z5</v>
      </c>
      <c r="B13907" t="str">
        <f>TEST_DATA!B13907</f>
        <v>Jul-2017</v>
      </c>
      <c r="C13907">
        <f>TEST_DATA!C13907</f>
        <v>43251</v>
      </c>
      <c r="D13907" t="str">
        <f>TEST_DATA!D13907</f>
        <v>NON-NIL</v>
      </c>
      <c r="E13907">
        <f>TEST_DATA!E13907</f>
        <v>1221</v>
      </c>
    </row>
    <row r="13908" spans="1:5" x14ac:dyDescent="0.55000000000000004">
      <c r="A13908" t="str">
        <f>TEST_DATA!A13908</f>
        <v>27AAAAA13908Z5</v>
      </c>
      <c r="B13908" t="str">
        <f>TEST_DATA!B13908</f>
        <v>Jan-2018</v>
      </c>
      <c r="C13908">
        <f>TEST_DATA!C13908</f>
        <v>44063</v>
      </c>
      <c r="D13908" t="str">
        <f>TEST_DATA!D13908</f>
        <v>NIL</v>
      </c>
      <c r="E13908">
        <f>TEST_DATA!E13908</f>
        <v>1544</v>
      </c>
    </row>
    <row r="13909" spans="1:5" x14ac:dyDescent="0.55000000000000004">
      <c r="A13909" t="str">
        <f>TEST_DATA!A13909</f>
        <v>27AAAAA13909Z5</v>
      </c>
      <c r="B13909" t="str">
        <f>TEST_DATA!B13909</f>
        <v>Dec-2022</v>
      </c>
      <c r="C13909">
        <f>TEST_DATA!C13909</f>
        <v>45296</v>
      </c>
      <c r="D13909" t="str">
        <f>TEST_DATA!D13909</f>
        <v>NON-NIL</v>
      </c>
      <c r="E13909">
        <f>TEST_DATA!E13909</f>
        <v>2340</v>
      </c>
    </row>
    <row r="13910" spans="1:5" x14ac:dyDescent="0.55000000000000004">
      <c r="A13910" t="str">
        <f>TEST_DATA!A13910</f>
        <v>27AAAAA13910Z5</v>
      </c>
      <c r="B13910" t="str">
        <f>TEST_DATA!B13910</f>
        <v>Mar-2018</v>
      </c>
      <c r="C13910">
        <f>TEST_DATA!C13910</f>
        <v>43164</v>
      </c>
      <c r="D13910" t="str">
        <f>TEST_DATA!D13910</f>
        <v>NIL</v>
      </c>
      <c r="E13910">
        <f>TEST_DATA!E13910</f>
        <v>2765</v>
      </c>
    </row>
    <row r="13911" spans="1:5" x14ac:dyDescent="0.55000000000000004">
      <c r="A13911" t="str">
        <f>TEST_DATA!A13911</f>
        <v>27AAAAA13911Z5</v>
      </c>
      <c r="B13911" t="str">
        <f>TEST_DATA!B13911</f>
        <v>Jul-2018</v>
      </c>
      <c r="C13911">
        <f>TEST_DATA!C13911</f>
        <v>43709</v>
      </c>
      <c r="D13911" t="str">
        <f>TEST_DATA!D13911</f>
        <v>NON-NIL</v>
      </c>
      <c r="E13911">
        <f>TEST_DATA!E13911</f>
        <v>1104</v>
      </c>
    </row>
    <row r="13912" spans="1:5" x14ac:dyDescent="0.55000000000000004">
      <c r="A13912" t="str">
        <f>TEST_DATA!A13912</f>
        <v>27AAAAA13912Z5</v>
      </c>
      <c r="B13912" t="str">
        <f>TEST_DATA!B13912</f>
        <v>Mar-2021</v>
      </c>
      <c r="C13912">
        <f>TEST_DATA!C13912</f>
        <v>45702</v>
      </c>
      <c r="D13912" t="str">
        <f>TEST_DATA!D13912</f>
        <v>NON-NIL</v>
      </c>
      <c r="E13912">
        <f>TEST_DATA!E13912</f>
        <v>2073</v>
      </c>
    </row>
    <row r="13913" spans="1:5" x14ac:dyDescent="0.55000000000000004">
      <c r="A13913" t="str">
        <f>TEST_DATA!A13913</f>
        <v>27AAAAA13913Z5</v>
      </c>
      <c r="B13913" t="str">
        <f>TEST_DATA!B13913</f>
        <v>Apr-2020</v>
      </c>
      <c r="C13913">
        <f>TEST_DATA!C13913</f>
        <v>44631</v>
      </c>
      <c r="D13913" t="str">
        <f>TEST_DATA!D13913</f>
        <v>NIL</v>
      </c>
      <c r="E13913">
        <f>TEST_DATA!E13913</f>
        <v>2127</v>
      </c>
    </row>
    <row r="13914" spans="1:5" x14ac:dyDescent="0.55000000000000004">
      <c r="A13914" t="str">
        <f>TEST_DATA!A13914</f>
        <v>27AAAAA13914Z5</v>
      </c>
      <c r="B13914" t="str">
        <f>TEST_DATA!B13914</f>
        <v>Mar-2021</v>
      </c>
      <c r="C13914">
        <f>TEST_DATA!C13914</f>
        <v>45427</v>
      </c>
      <c r="D13914" t="str">
        <f>TEST_DATA!D13914</f>
        <v>NON-NIL</v>
      </c>
      <c r="E13914">
        <f>TEST_DATA!E13914</f>
        <v>950</v>
      </c>
    </row>
    <row r="13915" spans="1:5" x14ac:dyDescent="0.55000000000000004">
      <c r="A13915" t="str">
        <f>TEST_DATA!A13915</f>
        <v>27AAAAA13915Z5</v>
      </c>
      <c r="B13915" t="str">
        <f>TEST_DATA!B13915</f>
        <v>Mar-2020</v>
      </c>
      <c r="C13915">
        <f>TEST_DATA!C13915</f>
        <v>43992</v>
      </c>
      <c r="D13915" t="str">
        <f>TEST_DATA!D13915</f>
        <v>NON-NIL</v>
      </c>
      <c r="E13915">
        <f>TEST_DATA!E13915</f>
        <v>500</v>
      </c>
    </row>
    <row r="13916" spans="1:5" x14ac:dyDescent="0.55000000000000004">
      <c r="A13916" t="str">
        <f>TEST_DATA!A13916</f>
        <v>27AAAAA13916Z5</v>
      </c>
      <c r="B13916" t="str">
        <f>TEST_DATA!B13916</f>
        <v>Dec-2019</v>
      </c>
      <c r="C13916">
        <f>TEST_DATA!C13916</f>
        <v>44446</v>
      </c>
      <c r="D13916" t="str">
        <f>TEST_DATA!D13916</f>
        <v>NON-NIL</v>
      </c>
      <c r="E13916">
        <f>TEST_DATA!E13916</f>
        <v>2392</v>
      </c>
    </row>
    <row r="13917" spans="1:5" x14ac:dyDescent="0.55000000000000004">
      <c r="A13917" t="str">
        <f>TEST_DATA!A13917</f>
        <v>27AAAAA13917Z5</v>
      </c>
      <c r="B13917" t="str">
        <f>TEST_DATA!B13917</f>
        <v>Aug-2017</v>
      </c>
      <c r="C13917">
        <f>TEST_DATA!C13917</f>
        <v>44444</v>
      </c>
      <c r="D13917" t="str">
        <f>TEST_DATA!D13917</f>
        <v>NON-NIL</v>
      </c>
      <c r="E13917">
        <f>TEST_DATA!E13917</f>
        <v>2498</v>
      </c>
    </row>
    <row r="13918" spans="1:5" x14ac:dyDescent="0.55000000000000004">
      <c r="A13918" t="str">
        <f>TEST_DATA!A13918</f>
        <v>27AAAAA13918Z5</v>
      </c>
      <c r="B13918" t="str">
        <f>TEST_DATA!B13918</f>
        <v>Aug-2017</v>
      </c>
      <c r="C13918">
        <f>TEST_DATA!C13918</f>
        <v>44323</v>
      </c>
      <c r="D13918" t="str">
        <f>TEST_DATA!D13918</f>
        <v>NON-NIL</v>
      </c>
      <c r="E13918">
        <f>TEST_DATA!E13918</f>
        <v>1192</v>
      </c>
    </row>
    <row r="13919" spans="1:5" x14ac:dyDescent="0.55000000000000004">
      <c r="A13919" t="str">
        <f>TEST_DATA!A13919</f>
        <v>27AAAAA13919Z5</v>
      </c>
      <c r="B13919" t="str">
        <f>TEST_DATA!B13919</f>
        <v>Mar-2018</v>
      </c>
      <c r="C13919">
        <f>TEST_DATA!C13919</f>
        <v>43872</v>
      </c>
      <c r="D13919" t="str">
        <f>TEST_DATA!D13919</f>
        <v>NON-NIL</v>
      </c>
      <c r="E13919">
        <f>TEST_DATA!E13919</f>
        <v>762</v>
      </c>
    </row>
    <row r="13920" spans="1:5" x14ac:dyDescent="0.55000000000000004">
      <c r="A13920" t="str">
        <f>TEST_DATA!A13920</f>
        <v>27AAAAA13920Z5</v>
      </c>
      <c r="B13920" t="str">
        <f>TEST_DATA!B13920</f>
        <v>Sep-2018</v>
      </c>
      <c r="C13920">
        <f>TEST_DATA!C13920</f>
        <v>43026</v>
      </c>
      <c r="D13920" t="str">
        <f>TEST_DATA!D13920</f>
        <v>NON-NIL</v>
      </c>
      <c r="E13920">
        <f>TEST_DATA!E13920</f>
        <v>564</v>
      </c>
    </row>
    <row r="13921" spans="1:5" x14ac:dyDescent="0.55000000000000004">
      <c r="A13921" t="str">
        <f>TEST_DATA!A13921</f>
        <v>27AAAAA13921Z5</v>
      </c>
      <c r="B13921" t="str">
        <f>TEST_DATA!B13921</f>
        <v>Jun-2018</v>
      </c>
      <c r="C13921">
        <f>TEST_DATA!C13921</f>
        <v>43531</v>
      </c>
      <c r="D13921" t="str">
        <f>TEST_DATA!D13921</f>
        <v>NON-NIL</v>
      </c>
      <c r="E13921">
        <f>TEST_DATA!E13921</f>
        <v>1407</v>
      </c>
    </row>
    <row r="13922" spans="1:5" x14ac:dyDescent="0.55000000000000004">
      <c r="A13922" t="str">
        <f>TEST_DATA!A13922</f>
        <v>27AAAAA13922Z5</v>
      </c>
      <c r="B13922" t="str">
        <f>TEST_DATA!B13922</f>
        <v>Jan-2021</v>
      </c>
      <c r="C13922">
        <f>TEST_DATA!C13922</f>
        <v>44082</v>
      </c>
      <c r="D13922" t="str">
        <f>TEST_DATA!D13922</f>
        <v>NON-NIL</v>
      </c>
      <c r="E13922">
        <f>TEST_DATA!E13922</f>
        <v>2296</v>
      </c>
    </row>
    <row r="13923" spans="1:5" x14ac:dyDescent="0.55000000000000004">
      <c r="A13923" t="str">
        <f>TEST_DATA!A13923</f>
        <v>27AAAAA13923Z5</v>
      </c>
      <c r="B13923" t="str">
        <f>TEST_DATA!B13923</f>
        <v>Aug-2018</v>
      </c>
      <c r="C13923">
        <f>TEST_DATA!C13923</f>
        <v>43047</v>
      </c>
      <c r="D13923" t="str">
        <f>TEST_DATA!D13923</f>
        <v>NIL</v>
      </c>
      <c r="E13923">
        <f>TEST_DATA!E13923</f>
        <v>2464</v>
      </c>
    </row>
    <row r="13924" spans="1:5" x14ac:dyDescent="0.55000000000000004">
      <c r="A13924" t="str">
        <f>TEST_DATA!A13924</f>
        <v>27AAAAA13924Z5</v>
      </c>
      <c r="B13924" t="str">
        <f>TEST_DATA!B13924</f>
        <v>May-2018</v>
      </c>
      <c r="C13924">
        <f>TEST_DATA!C13924</f>
        <v>43434</v>
      </c>
      <c r="D13924" t="str">
        <f>TEST_DATA!D13924</f>
        <v>NON-NIL</v>
      </c>
      <c r="E13924">
        <f>TEST_DATA!E13924</f>
        <v>2659</v>
      </c>
    </row>
    <row r="13925" spans="1:5" x14ac:dyDescent="0.55000000000000004">
      <c r="A13925" t="str">
        <f>TEST_DATA!A13925</f>
        <v>27AAAAA13925Z5</v>
      </c>
      <c r="B13925" t="str">
        <f>TEST_DATA!B13925</f>
        <v>Dec-2017</v>
      </c>
      <c r="C13925">
        <f>TEST_DATA!C13925</f>
        <v>44042</v>
      </c>
      <c r="D13925" t="str">
        <f>TEST_DATA!D13925</f>
        <v>NON-NIL</v>
      </c>
      <c r="E13925">
        <f>TEST_DATA!E13925</f>
        <v>1135</v>
      </c>
    </row>
    <row r="13926" spans="1:5" x14ac:dyDescent="0.55000000000000004">
      <c r="A13926" t="str">
        <f>TEST_DATA!A13926</f>
        <v>27AAAAA13926Z5</v>
      </c>
      <c r="B13926" t="str">
        <f>TEST_DATA!B13926</f>
        <v>Dec-2024</v>
      </c>
      <c r="C13926">
        <f>TEST_DATA!C13926</f>
        <v>43690</v>
      </c>
      <c r="D13926" t="str">
        <f>TEST_DATA!D13926</f>
        <v>NON-NIL</v>
      </c>
      <c r="E13926">
        <f>TEST_DATA!E13926</f>
        <v>1300</v>
      </c>
    </row>
    <row r="13927" spans="1:5" x14ac:dyDescent="0.55000000000000004">
      <c r="A13927" t="str">
        <f>TEST_DATA!A13927</f>
        <v>27AAAAA13927Z5</v>
      </c>
      <c r="B13927" t="str">
        <f>TEST_DATA!B13927</f>
        <v>Sep-2017</v>
      </c>
      <c r="C13927">
        <f>TEST_DATA!C13927</f>
        <v>44173</v>
      </c>
      <c r="D13927" t="str">
        <f>TEST_DATA!D13927</f>
        <v>NIL</v>
      </c>
      <c r="E13927">
        <f>TEST_DATA!E13927</f>
        <v>2502</v>
      </c>
    </row>
    <row r="13928" spans="1:5" x14ac:dyDescent="0.55000000000000004">
      <c r="A13928" t="str">
        <f>TEST_DATA!A13928</f>
        <v>27AAAAA13928Z5</v>
      </c>
      <c r="B13928" t="str">
        <f>TEST_DATA!B13928</f>
        <v>Oct-2017</v>
      </c>
      <c r="C13928">
        <f>TEST_DATA!C13928</f>
        <v>43434</v>
      </c>
      <c r="D13928" t="str">
        <f>TEST_DATA!D13928</f>
        <v>NON-NIL</v>
      </c>
      <c r="E13928">
        <f>TEST_DATA!E13928</f>
        <v>29</v>
      </c>
    </row>
    <row r="13929" spans="1:5" x14ac:dyDescent="0.55000000000000004">
      <c r="A13929" t="str">
        <f>TEST_DATA!A13929</f>
        <v>27AAAAA13929Z5</v>
      </c>
      <c r="B13929" t="str">
        <f>TEST_DATA!B13929</f>
        <v>Feb-2018</v>
      </c>
      <c r="C13929">
        <f>TEST_DATA!C13929</f>
        <v>43836</v>
      </c>
      <c r="D13929" t="str">
        <f>TEST_DATA!D13929</f>
        <v>NIL</v>
      </c>
      <c r="E13929">
        <f>TEST_DATA!E13929</f>
        <v>2289</v>
      </c>
    </row>
    <row r="13930" spans="1:5" x14ac:dyDescent="0.55000000000000004">
      <c r="A13930" t="str">
        <f>TEST_DATA!A13930</f>
        <v>27AAAAA13930Z5</v>
      </c>
      <c r="B13930" t="str">
        <f>TEST_DATA!B13930</f>
        <v>Dec-2024</v>
      </c>
      <c r="C13930">
        <f>TEST_DATA!C13930</f>
        <v>43592</v>
      </c>
      <c r="D13930" t="str">
        <f>TEST_DATA!D13930</f>
        <v>NIL</v>
      </c>
      <c r="E13930">
        <f>TEST_DATA!E13930</f>
        <v>1286</v>
      </c>
    </row>
    <row r="13931" spans="1:5" x14ac:dyDescent="0.55000000000000004">
      <c r="A13931" t="str">
        <f>TEST_DATA!A13931</f>
        <v>27AAAAA13931Z5</v>
      </c>
      <c r="B13931" t="str">
        <f>TEST_DATA!B13931</f>
        <v>Aug-2018</v>
      </c>
      <c r="C13931">
        <f>TEST_DATA!C13931</f>
        <v>43988</v>
      </c>
      <c r="D13931" t="str">
        <f>TEST_DATA!D13931</f>
        <v>NIL</v>
      </c>
      <c r="E13931">
        <f>TEST_DATA!E13931</f>
        <v>2768</v>
      </c>
    </row>
    <row r="13932" spans="1:5" x14ac:dyDescent="0.55000000000000004">
      <c r="A13932" t="str">
        <f>TEST_DATA!A13932</f>
        <v>27AAAAA13932Z5</v>
      </c>
      <c r="B13932" t="str">
        <f>TEST_DATA!B13932</f>
        <v>Dec-2024</v>
      </c>
      <c r="C13932">
        <f>TEST_DATA!C13932</f>
        <v>43542</v>
      </c>
      <c r="D13932" t="str">
        <f>TEST_DATA!D13932</f>
        <v>NON-NIL</v>
      </c>
      <c r="E13932">
        <f>TEST_DATA!E13932</f>
        <v>2191</v>
      </c>
    </row>
    <row r="13933" spans="1:5" x14ac:dyDescent="0.55000000000000004">
      <c r="A13933" t="str">
        <f>TEST_DATA!A13933</f>
        <v>27AAAAA13933Z5</v>
      </c>
      <c r="B13933" t="str">
        <f>TEST_DATA!B13933</f>
        <v>Jan-2019</v>
      </c>
      <c r="C13933">
        <f>TEST_DATA!C13933</f>
        <v>45433</v>
      </c>
      <c r="D13933" t="str">
        <f>TEST_DATA!D13933</f>
        <v>NON-NIL</v>
      </c>
      <c r="E13933">
        <f>TEST_DATA!E13933</f>
        <v>1</v>
      </c>
    </row>
    <row r="13934" spans="1:5" x14ac:dyDescent="0.55000000000000004">
      <c r="A13934" t="str">
        <f>TEST_DATA!A13934</f>
        <v>27AAAAA13934Z5</v>
      </c>
      <c r="B13934" t="str">
        <f>TEST_DATA!B13934</f>
        <v>Dec-2024</v>
      </c>
      <c r="C13934">
        <f>TEST_DATA!C13934</f>
        <v>45389</v>
      </c>
      <c r="D13934" t="str">
        <f>TEST_DATA!D13934</f>
        <v>NON-NIL</v>
      </c>
      <c r="E13934">
        <f>TEST_DATA!E13934</f>
        <v>120</v>
      </c>
    </row>
    <row r="13935" spans="1:5" x14ac:dyDescent="0.55000000000000004">
      <c r="A13935" t="str">
        <f>TEST_DATA!A13935</f>
        <v>27AAAAA13935Z5</v>
      </c>
      <c r="B13935" t="str">
        <f>TEST_DATA!B13935</f>
        <v>Oct-2017</v>
      </c>
      <c r="C13935">
        <f>TEST_DATA!C13935</f>
        <v>43308</v>
      </c>
      <c r="D13935" t="str">
        <f>TEST_DATA!D13935</f>
        <v>NIL</v>
      </c>
      <c r="E13935">
        <f>TEST_DATA!E13935</f>
        <v>2460</v>
      </c>
    </row>
    <row r="13936" spans="1:5" x14ac:dyDescent="0.55000000000000004">
      <c r="A13936" t="str">
        <f>TEST_DATA!A13936</f>
        <v>27AAAAA13936Z5</v>
      </c>
      <c r="B13936" t="str">
        <f>TEST_DATA!B13936</f>
        <v>May-2020</v>
      </c>
      <c r="C13936">
        <f>TEST_DATA!C13936</f>
        <v>44186</v>
      </c>
      <c r="D13936" t="str">
        <f>TEST_DATA!D13936</f>
        <v>NON-NIL</v>
      </c>
      <c r="E13936">
        <f>TEST_DATA!E13936</f>
        <v>1612</v>
      </c>
    </row>
    <row r="13937" spans="1:5" x14ac:dyDescent="0.55000000000000004">
      <c r="A13937" t="str">
        <f>TEST_DATA!A13937</f>
        <v>27AAAAA13937Z5</v>
      </c>
      <c r="B13937" t="str">
        <f>TEST_DATA!B13937</f>
        <v>Sep-2018</v>
      </c>
      <c r="C13937">
        <f>TEST_DATA!C13937</f>
        <v>44170</v>
      </c>
      <c r="D13937" t="str">
        <f>TEST_DATA!D13937</f>
        <v>NON-NIL</v>
      </c>
      <c r="E13937">
        <f>TEST_DATA!E13937</f>
        <v>2832</v>
      </c>
    </row>
    <row r="13938" spans="1:5" x14ac:dyDescent="0.55000000000000004">
      <c r="A13938" t="str">
        <f>TEST_DATA!A13938</f>
        <v>27AAAAA13938Z5</v>
      </c>
      <c r="B13938" t="str">
        <f>TEST_DATA!B13938</f>
        <v>Mar-2021</v>
      </c>
      <c r="C13938">
        <f>TEST_DATA!C13938</f>
        <v>44713</v>
      </c>
      <c r="D13938" t="str">
        <f>TEST_DATA!D13938</f>
        <v>NON-NIL</v>
      </c>
      <c r="E13938">
        <f>TEST_DATA!E13938</f>
        <v>1002</v>
      </c>
    </row>
    <row r="13939" spans="1:5" x14ac:dyDescent="0.55000000000000004">
      <c r="A13939" t="str">
        <f>TEST_DATA!A13939</f>
        <v>27AAAAA13939Z5</v>
      </c>
      <c r="B13939" t="str">
        <f>TEST_DATA!B13939</f>
        <v>Sep-2017</v>
      </c>
      <c r="C13939">
        <f>TEST_DATA!C13939</f>
        <v>44479</v>
      </c>
      <c r="D13939" t="str">
        <f>TEST_DATA!D13939</f>
        <v>NON-NIL</v>
      </c>
      <c r="E13939">
        <f>TEST_DATA!E13939</f>
        <v>1975</v>
      </c>
    </row>
    <row r="13940" spans="1:5" x14ac:dyDescent="0.55000000000000004">
      <c r="A13940" t="str">
        <f>TEST_DATA!A13940</f>
        <v>27AAAAA13940Z5</v>
      </c>
      <c r="B13940" t="str">
        <f>TEST_DATA!B13940</f>
        <v>Sep-2017</v>
      </c>
      <c r="C13940">
        <f>TEST_DATA!C13940</f>
        <v>43979</v>
      </c>
      <c r="D13940" t="str">
        <f>TEST_DATA!D13940</f>
        <v>NON-NIL</v>
      </c>
      <c r="E13940">
        <f>TEST_DATA!E13940</f>
        <v>742</v>
      </c>
    </row>
    <row r="13941" spans="1:5" x14ac:dyDescent="0.55000000000000004">
      <c r="A13941" t="str">
        <f>TEST_DATA!A13941</f>
        <v>27AAAAA13941Z5</v>
      </c>
      <c r="B13941" t="str">
        <f>TEST_DATA!B13941</f>
        <v>Aug-2018</v>
      </c>
      <c r="C13941">
        <f>TEST_DATA!C13941</f>
        <v>43749</v>
      </c>
      <c r="D13941" t="str">
        <f>TEST_DATA!D13941</f>
        <v>NON-NIL</v>
      </c>
      <c r="E13941">
        <f>TEST_DATA!E13941</f>
        <v>2160</v>
      </c>
    </row>
    <row r="13942" spans="1:5" x14ac:dyDescent="0.55000000000000004">
      <c r="A13942" t="str">
        <f>TEST_DATA!A13942</f>
        <v>27AAAAA13942Z5</v>
      </c>
      <c r="B13942" t="str">
        <f>TEST_DATA!B13942</f>
        <v>Aug-2018</v>
      </c>
      <c r="C13942">
        <f>TEST_DATA!C13942</f>
        <v>43060</v>
      </c>
      <c r="D13942" t="str">
        <f>TEST_DATA!D13942</f>
        <v>NON-NIL</v>
      </c>
      <c r="E13942">
        <f>TEST_DATA!E13942</f>
        <v>952</v>
      </c>
    </row>
    <row r="13943" spans="1:5" x14ac:dyDescent="0.55000000000000004">
      <c r="A13943" t="str">
        <f>TEST_DATA!A13943</f>
        <v>27AAAAA13943Z5</v>
      </c>
      <c r="B13943" t="str">
        <f>TEST_DATA!B13943</f>
        <v>Apr-2021</v>
      </c>
      <c r="C13943">
        <f>TEST_DATA!C13943</f>
        <v>44393</v>
      </c>
      <c r="D13943" t="str">
        <f>TEST_DATA!D13943</f>
        <v>NON-NIL</v>
      </c>
      <c r="E13943">
        <f>TEST_DATA!E13943</f>
        <v>850</v>
      </c>
    </row>
    <row r="13944" spans="1:5" x14ac:dyDescent="0.55000000000000004">
      <c r="A13944" t="str">
        <f>TEST_DATA!A13944</f>
        <v>27AAAAA13944Z5</v>
      </c>
      <c r="B13944" t="str">
        <f>TEST_DATA!B13944</f>
        <v>Apr-2021</v>
      </c>
      <c r="C13944">
        <f>TEST_DATA!C13944</f>
        <v>45653</v>
      </c>
      <c r="D13944" t="str">
        <f>TEST_DATA!D13944</f>
        <v>NIL</v>
      </c>
      <c r="E13944">
        <f>TEST_DATA!E13944</f>
        <v>990</v>
      </c>
    </row>
    <row r="13945" spans="1:5" x14ac:dyDescent="0.55000000000000004">
      <c r="A13945" t="str">
        <f>TEST_DATA!A13945</f>
        <v>27AAAAA13945Z5</v>
      </c>
      <c r="B13945" t="str">
        <f>TEST_DATA!B13945</f>
        <v>Jul-2017</v>
      </c>
      <c r="C13945">
        <f>TEST_DATA!C13945</f>
        <v>43322</v>
      </c>
      <c r="D13945" t="str">
        <f>TEST_DATA!D13945</f>
        <v>NIL</v>
      </c>
      <c r="E13945">
        <f>TEST_DATA!E13945</f>
        <v>1679</v>
      </c>
    </row>
    <row r="13946" spans="1:5" x14ac:dyDescent="0.55000000000000004">
      <c r="A13946" t="str">
        <f>TEST_DATA!A13946</f>
        <v>27AAAAA13946Z5</v>
      </c>
      <c r="B13946" t="str">
        <f>TEST_DATA!B13946</f>
        <v>Nov-2017</v>
      </c>
      <c r="C13946">
        <f>TEST_DATA!C13946</f>
        <v>43537</v>
      </c>
      <c r="D13946" t="str">
        <f>TEST_DATA!D13946</f>
        <v>NON-NIL</v>
      </c>
      <c r="E13946">
        <f>TEST_DATA!E13946</f>
        <v>1241</v>
      </c>
    </row>
    <row r="13947" spans="1:5" x14ac:dyDescent="0.55000000000000004">
      <c r="A13947" t="str">
        <f>TEST_DATA!A13947</f>
        <v>27AAAAA13947Z5</v>
      </c>
      <c r="B13947" t="str">
        <f>TEST_DATA!B13947</f>
        <v>Jul-2017</v>
      </c>
      <c r="C13947">
        <f>TEST_DATA!C13947</f>
        <v>44166</v>
      </c>
      <c r="D13947" t="str">
        <f>TEST_DATA!D13947</f>
        <v>NON-NIL</v>
      </c>
      <c r="E13947">
        <f>TEST_DATA!E13947</f>
        <v>1648</v>
      </c>
    </row>
    <row r="13948" spans="1:5" x14ac:dyDescent="0.55000000000000004">
      <c r="A13948" t="str">
        <f>TEST_DATA!A13948</f>
        <v>27AAAAA13948Z5</v>
      </c>
      <c r="B13948" t="str">
        <f>TEST_DATA!B13948</f>
        <v>Jul-2018</v>
      </c>
      <c r="C13948">
        <f>TEST_DATA!C13948</f>
        <v>43667</v>
      </c>
      <c r="D13948" t="str">
        <f>TEST_DATA!D13948</f>
        <v>NON-NIL</v>
      </c>
      <c r="E13948">
        <f>TEST_DATA!E13948</f>
        <v>2322</v>
      </c>
    </row>
    <row r="13949" spans="1:5" x14ac:dyDescent="0.55000000000000004">
      <c r="A13949" t="str">
        <f>TEST_DATA!A13949</f>
        <v>27AAAAA13949Z5</v>
      </c>
      <c r="B13949" t="str">
        <f>TEST_DATA!B13949</f>
        <v>Jan-2019</v>
      </c>
      <c r="C13949">
        <f>TEST_DATA!C13949</f>
        <v>45319</v>
      </c>
      <c r="D13949" t="str">
        <f>TEST_DATA!D13949</f>
        <v>NIL</v>
      </c>
      <c r="E13949">
        <f>TEST_DATA!E13949</f>
        <v>1281</v>
      </c>
    </row>
    <row r="13950" spans="1:5" x14ac:dyDescent="0.55000000000000004">
      <c r="A13950" t="str">
        <f>TEST_DATA!A13950</f>
        <v>27AAAAA13950Z5</v>
      </c>
      <c r="B13950" t="str">
        <f>TEST_DATA!B13950</f>
        <v>Feb-2018</v>
      </c>
      <c r="C13950">
        <f>TEST_DATA!C13950</f>
        <v>43724</v>
      </c>
      <c r="D13950" t="str">
        <f>TEST_DATA!D13950</f>
        <v>NON-NIL</v>
      </c>
      <c r="E13950">
        <f>TEST_DATA!E13950</f>
        <v>1101</v>
      </c>
    </row>
    <row r="13951" spans="1:5" x14ac:dyDescent="0.55000000000000004">
      <c r="A13951" t="str">
        <f>TEST_DATA!A13951</f>
        <v>27AAAAA13951Z5</v>
      </c>
      <c r="B13951" t="str">
        <f>TEST_DATA!B13951</f>
        <v>Apr-2021</v>
      </c>
      <c r="C13951">
        <f>TEST_DATA!C13951</f>
        <v>44483</v>
      </c>
      <c r="D13951" t="str">
        <f>TEST_DATA!D13951</f>
        <v>NON-NIL</v>
      </c>
      <c r="E13951">
        <f>TEST_DATA!E13951</f>
        <v>2306</v>
      </c>
    </row>
    <row r="13952" spans="1:5" x14ac:dyDescent="0.55000000000000004">
      <c r="A13952" t="str">
        <f>TEST_DATA!A13952</f>
        <v>27AAAAA13952Z5</v>
      </c>
      <c r="B13952" t="str">
        <f>TEST_DATA!B13952</f>
        <v>May-2020</v>
      </c>
      <c r="C13952">
        <f>TEST_DATA!C13952</f>
        <v>44520</v>
      </c>
      <c r="D13952" t="str">
        <f>TEST_DATA!D13952</f>
        <v>NON-NIL</v>
      </c>
      <c r="E13952">
        <f>TEST_DATA!E13952</f>
        <v>422</v>
      </c>
    </row>
    <row r="13953" spans="1:5" x14ac:dyDescent="0.55000000000000004">
      <c r="A13953" t="str">
        <f>TEST_DATA!A13953</f>
        <v>27AAAAA13953Z5</v>
      </c>
      <c r="B13953" t="str">
        <f>TEST_DATA!B13953</f>
        <v>Nov-2017</v>
      </c>
      <c r="C13953">
        <f>TEST_DATA!C13953</f>
        <v>43140</v>
      </c>
      <c r="D13953" t="str">
        <f>TEST_DATA!D13953</f>
        <v>NON-NIL</v>
      </c>
      <c r="E13953">
        <f>TEST_DATA!E13953</f>
        <v>1557</v>
      </c>
    </row>
    <row r="13954" spans="1:5" x14ac:dyDescent="0.55000000000000004">
      <c r="A13954" t="str">
        <f>TEST_DATA!A13954</f>
        <v>27AAAAA13954Z5</v>
      </c>
      <c r="B13954" t="str">
        <f>TEST_DATA!B13954</f>
        <v>Dec-2017</v>
      </c>
      <c r="C13954">
        <f>TEST_DATA!C13954</f>
        <v>43016</v>
      </c>
      <c r="D13954" t="str">
        <f>TEST_DATA!D13954</f>
        <v>NIL</v>
      </c>
      <c r="E13954">
        <f>TEST_DATA!E13954</f>
        <v>312</v>
      </c>
    </row>
    <row r="13955" spans="1:5" x14ac:dyDescent="0.55000000000000004">
      <c r="A13955" t="str">
        <f>TEST_DATA!A13955</f>
        <v>27AAAAA13955Z5</v>
      </c>
      <c r="B13955" t="str">
        <f>TEST_DATA!B13955</f>
        <v>Jul-2020</v>
      </c>
      <c r="C13955">
        <f>TEST_DATA!C13955</f>
        <v>44192</v>
      </c>
      <c r="D13955" t="str">
        <f>TEST_DATA!D13955</f>
        <v>NIL</v>
      </c>
      <c r="E13955">
        <f>TEST_DATA!E13955</f>
        <v>1043</v>
      </c>
    </row>
    <row r="13956" spans="1:5" x14ac:dyDescent="0.55000000000000004">
      <c r="A13956" t="str">
        <f>TEST_DATA!A13956</f>
        <v>27AAAAA13956Z5</v>
      </c>
      <c r="B13956" t="str">
        <f>TEST_DATA!B13956</f>
        <v>Jun-2019</v>
      </c>
      <c r="C13956">
        <f>TEST_DATA!C13956</f>
        <v>44135</v>
      </c>
      <c r="D13956" t="str">
        <f>TEST_DATA!D13956</f>
        <v>NIL</v>
      </c>
      <c r="E13956">
        <f>TEST_DATA!E13956</f>
        <v>96</v>
      </c>
    </row>
    <row r="13957" spans="1:5" x14ac:dyDescent="0.55000000000000004">
      <c r="A13957" t="str">
        <f>TEST_DATA!A13957</f>
        <v>27AAAAA13957Z5</v>
      </c>
      <c r="B13957" t="str">
        <f>TEST_DATA!B13957</f>
        <v>Apr-2021</v>
      </c>
      <c r="C13957">
        <f>TEST_DATA!C13957</f>
        <v>44133</v>
      </c>
      <c r="D13957" t="str">
        <f>TEST_DATA!D13957</f>
        <v>NIL</v>
      </c>
      <c r="E13957">
        <f>TEST_DATA!E13957</f>
        <v>1455</v>
      </c>
    </row>
    <row r="13958" spans="1:5" x14ac:dyDescent="0.55000000000000004">
      <c r="A13958" t="str">
        <f>TEST_DATA!A13958</f>
        <v>27AAAAA13958Z5</v>
      </c>
      <c r="B13958" t="str">
        <f>TEST_DATA!B13958</f>
        <v>Feb-2018</v>
      </c>
      <c r="C13958">
        <f>TEST_DATA!C13958</f>
        <v>43706</v>
      </c>
      <c r="D13958" t="str">
        <f>TEST_DATA!D13958</f>
        <v>NON-NIL</v>
      </c>
      <c r="E13958">
        <f>TEST_DATA!E13958</f>
        <v>106</v>
      </c>
    </row>
    <row r="13959" spans="1:5" x14ac:dyDescent="0.55000000000000004">
      <c r="A13959" t="str">
        <f>TEST_DATA!A13959</f>
        <v>27AAAAA13959Z5</v>
      </c>
      <c r="B13959" t="str">
        <f>TEST_DATA!B13959</f>
        <v>Apr-2018</v>
      </c>
      <c r="C13959">
        <f>TEST_DATA!C13959</f>
        <v>44213</v>
      </c>
      <c r="D13959" t="str">
        <f>TEST_DATA!D13959</f>
        <v>NON-NIL</v>
      </c>
      <c r="E13959">
        <f>TEST_DATA!E13959</f>
        <v>1635</v>
      </c>
    </row>
    <row r="13960" spans="1:5" x14ac:dyDescent="0.55000000000000004">
      <c r="A13960" t="str">
        <f>TEST_DATA!A13960</f>
        <v>27AAAAA13960Z5</v>
      </c>
      <c r="B13960" t="str">
        <f>TEST_DATA!B13960</f>
        <v>Jun-2019</v>
      </c>
      <c r="C13960">
        <f>TEST_DATA!C13960</f>
        <v>45212</v>
      </c>
      <c r="D13960" t="str">
        <f>TEST_DATA!D13960</f>
        <v>NON-NIL</v>
      </c>
      <c r="E13960">
        <f>TEST_DATA!E13960</f>
        <v>2452</v>
      </c>
    </row>
    <row r="13961" spans="1:5" x14ac:dyDescent="0.55000000000000004">
      <c r="A13961" t="str">
        <f>TEST_DATA!A13961</f>
        <v>27AAAAA13961Z5</v>
      </c>
      <c r="B13961" t="str">
        <f>TEST_DATA!B13961</f>
        <v>Aug-2017</v>
      </c>
      <c r="C13961">
        <f>TEST_DATA!C13961</f>
        <v>42995</v>
      </c>
      <c r="D13961" t="str">
        <f>TEST_DATA!D13961</f>
        <v>NIL</v>
      </c>
      <c r="E13961">
        <f>TEST_DATA!E13961</f>
        <v>2462</v>
      </c>
    </row>
    <row r="13962" spans="1:5" x14ac:dyDescent="0.55000000000000004">
      <c r="A13962" t="str">
        <f>TEST_DATA!A13962</f>
        <v>27AAAAA13962Z5</v>
      </c>
      <c r="B13962" t="str">
        <f>TEST_DATA!B13962</f>
        <v>Dec-2017</v>
      </c>
      <c r="C13962">
        <f>TEST_DATA!C13962</f>
        <v>43364</v>
      </c>
      <c r="D13962" t="str">
        <f>TEST_DATA!D13962</f>
        <v>NIL</v>
      </c>
      <c r="E13962">
        <f>TEST_DATA!E13962</f>
        <v>366</v>
      </c>
    </row>
    <row r="13963" spans="1:5" x14ac:dyDescent="0.55000000000000004">
      <c r="A13963" t="str">
        <f>TEST_DATA!A13963</f>
        <v>27AAAAA13963Z5</v>
      </c>
      <c r="B13963" t="str">
        <f>TEST_DATA!B13963</f>
        <v>Apr-2021</v>
      </c>
      <c r="C13963">
        <f>TEST_DATA!C13963</f>
        <v>44760</v>
      </c>
      <c r="D13963" t="str">
        <f>TEST_DATA!D13963</f>
        <v>NIL</v>
      </c>
      <c r="E13963">
        <f>TEST_DATA!E13963</f>
        <v>1230</v>
      </c>
    </row>
    <row r="13964" spans="1:5" x14ac:dyDescent="0.55000000000000004">
      <c r="A13964" t="str">
        <f>TEST_DATA!A13964</f>
        <v>27AAAAA13964Z5</v>
      </c>
      <c r="B13964" t="str">
        <f>TEST_DATA!B13964</f>
        <v>Jul-2017</v>
      </c>
      <c r="C13964">
        <f>TEST_DATA!C13964</f>
        <v>43474</v>
      </c>
      <c r="D13964" t="str">
        <f>TEST_DATA!D13964</f>
        <v>NIL</v>
      </c>
      <c r="E13964">
        <f>TEST_DATA!E13964</f>
        <v>1283</v>
      </c>
    </row>
    <row r="13965" spans="1:5" x14ac:dyDescent="0.55000000000000004">
      <c r="A13965" t="str">
        <f>TEST_DATA!A13965</f>
        <v>27AAAAA13965Z5</v>
      </c>
      <c r="B13965" t="str">
        <f>TEST_DATA!B13965</f>
        <v>May-2020</v>
      </c>
      <c r="C13965">
        <f>TEST_DATA!C13965</f>
        <v>44765</v>
      </c>
      <c r="D13965" t="str">
        <f>TEST_DATA!D13965</f>
        <v>NON-NIL</v>
      </c>
      <c r="E13965">
        <f>TEST_DATA!E13965</f>
        <v>2105</v>
      </c>
    </row>
    <row r="13966" spans="1:5" x14ac:dyDescent="0.55000000000000004">
      <c r="A13966" t="str">
        <f>TEST_DATA!A13966</f>
        <v>27AAAAA13966Z5</v>
      </c>
      <c r="B13966" t="str">
        <f>TEST_DATA!B13966</f>
        <v>Jul-2020</v>
      </c>
      <c r="C13966">
        <f>TEST_DATA!C13966</f>
        <v>44377</v>
      </c>
      <c r="D13966" t="str">
        <f>TEST_DATA!D13966</f>
        <v>NIL</v>
      </c>
      <c r="E13966">
        <f>TEST_DATA!E13966</f>
        <v>1893</v>
      </c>
    </row>
    <row r="13967" spans="1:5" x14ac:dyDescent="0.55000000000000004">
      <c r="A13967" t="str">
        <f>TEST_DATA!A13967</f>
        <v>27AAAAA13967Z5</v>
      </c>
      <c r="B13967" t="str">
        <f>TEST_DATA!B13967</f>
        <v>Aug-2018</v>
      </c>
      <c r="C13967">
        <f>TEST_DATA!C13967</f>
        <v>43976</v>
      </c>
      <c r="D13967" t="str">
        <f>TEST_DATA!D13967</f>
        <v>NON-NIL</v>
      </c>
      <c r="E13967">
        <f>TEST_DATA!E13967</f>
        <v>381</v>
      </c>
    </row>
    <row r="13968" spans="1:5" x14ac:dyDescent="0.55000000000000004">
      <c r="A13968" t="str">
        <f>TEST_DATA!A13968</f>
        <v>27AAAAA13968Z5</v>
      </c>
      <c r="B13968" t="str">
        <f>TEST_DATA!B13968</f>
        <v>May-2020</v>
      </c>
      <c r="C13968">
        <f>TEST_DATA!C13968</f>
        <v>44188</v>
      </c>
      <c r="D13968" t="str">
        <f>TEST_DATA!D13968</f>
        <v>NON-NIL</v>
      </c>
      <c r="E13968">
        <f>TEST_DATA!E13968</f>
        <v>1839</v>
      </c>
    </row>
    <row r="13969" spans="1:5" x14ac:dyDescent="0.55000000000000004">
      <c r="A13969" t="str">
        <f>TEST_DATA!A13969</f>
        <v>27AAAAA13969Z5</v>
      </c>
      <c r="B13969" t="str">
        <f>TEST_DATA!B13969</f>
        <v>Dec-2022</v>
      </c>
      <c r="C13969">
        <f>TEST_DATA!C13969</f>
        <v>45803</v>
      </c>
      <c r="D13969" t="str">
        <f>TEST_DATA!D13969</f>
        <v>NIL</v>
      </c>
      <c r="E13969">
        <f>TEST_DATA!E13969</f>
        <v>989</v>
      </c>
    </row>
    <row r="13970" spans="1:5" x14ac:dyDescent="0.55000000000000004">
      <c r="A13970" t="str">
        <f>TEST_DATA!A13970</f>
        <v>27AAAAA13970Z5</v>
      </c>
      <c r="B13970" t="str">
        <f>TEST_DATA!B13970</f>
        <v>Feb-2018</v>
      </c>
      <c r="C13970">
        <f>TEST_DATA!C13970</f>
        <v>43406</v>
      </c>
      <c r="D13970" t="str">
        <f>TEST_DATA!D13970</f>
        <v>NON-NIL</v>
      </c>
      <c r="E13970">
        <f>TEST_DATA!E13970</f>
        <v>1785</v>
      </c>
    </row>
    <row r="13971" spans="1:5" x14ac:dyDescent="0.55000000000000004">
      <c r="A13971" t="str">
        <f>TEST_DATA!A13971</f>
        <v>27AAAAA13971Z5</v>
      </c>
      <c r="B13971" t="str">
        <f>TEST_DATA!B13971</f>
        <v>Dec-2022</v>
      </c>
      <c r="C13971">
        <f>TEST_DATA!C13971</f>
        <v>44738</v>
      </c>
      <c r="D13971" t="str">
        <f>TEST_DATA!D13971</f>
        <v>NIL</v>
      </c>
      <c r="E13971">
        <f>TEST_DATA!E13971</f>
        <v>81</v>
      </c>
    </row>
    <row r="13972" spans="1:5" x14ac:dyDescent="0.55000000000000004">
      <c r="A13972" t="str">
        <f>TEST_DATA!A13972</f>
        <v>27AAAAA13972Z5</v>
      </c>
      <c r="B13972" t="str">
        <f>TEST_DATA!B13972</f>
        <v>Sep-2017</v>
      </c>
      <c r="C13972">
        <f>TEST_DATA!C13972</f>
        <v>44046</v>
      </c>
      <c r="D13972" t="str">
        <f>TEST_DATA!D13972</f>
        <v>NON-NIL</v>
      </c>
      <c r="E13972">
        <f>TEST_DATA!E13972</f>
        <v>1050</v>
      </c>
    </row>
    <row r="13973" spans="1:5" x14ac:dyDescent="0.55000000000000004">
      <c r="A13973" t="str">
        <f>TEST_DATA!A13973</f>
        <v>27AAAAA13973Z5</v>
      </c>
      <c r="B13973" t="str">
        <f>TEST_DATA!B13973</f>
        <v>Apr-2021</v>
      </c>
      <c r="C13973">
        <f>TEST_DATA!C13973</f>
        <v>44778</v>
      </c>
      <c r="D13973" t="str">
        <f>TEST_DATA!D13973</f>
        <v>NON-NIL</v>
      </c>
      <c r="E13973">
        <f>TEST_DATA!E13973</f>
        <v>1612</v>
      </c>
    </row>
    <row r="13974" spans="1:5" x14ac:dyDescent="0.55000000000000004">
      <c r="A13974" t="str">
        <f>TEST_DATA!A13974</f>
        <v>27AAAAA13974Z5</v>
      </c>
      <c r="B13974" t="str">
        <f>TEST_DATA!B13974</f>
        <v>Jul-2018</v>
      </c>
      <c r="C13974">
        <f>TEST_DATA!C13974</f>
        <v>43088</v>
      </c>
      <c r="D13974" t="str">
        <f>TEST_DATA!D13974</f>
        <v>NON-NIL</v>
      </c>
      <c r="E13974">
        <f>TEST_DATA!E13974</f>
        <v>2938</v>
      </c>
    </row>
    <row r="13975" spans="1:5" x14ac:dyDescent="0.55000000000000004">
      <c r="A13975" t="str">
        <f>TEST_DATA!A13975</f>
        <v>27AAAAA13975Z5</v>
      </c>
      <c r="B13975" t="str">
        <f>TEST_DATA!B13975</f>
        <v>Jun-2020</v>
      </c>
      <c r="C13975">
        <f>TEST_DATA!C13975</f>
        <v>44189</v>
      </c>
      <c r="D13975" t="str">
        <f>TEST_DATA!D13975</f>
        <v>NON-NIL</v>
      </c>
      <c r="E13975">
        <f>TEST_DATA!E13975</f>
        <v>217</v>
      </c>
    </row>
    <row r="13976" spans="1:5" x14ac:dyDescent="0.55000000000000004">
      <c r="A13976" t="str">
        <f>TEST_DATA!A13976</f>
        <v>27AAAAA13976Z5</v>
      </c>
      <c r="B13976" t="str">
        <f>TEST_DATA!B13976</f>
        <v>Jan-2021</v>
      </c>
      <c r="C13976">
        <f>TEST_DATA!C13976</f>
        <v>45163</v>
      </c>
      <c r="D13976" t="str">
        <f>TEST_DATA!D13976</f>
        <v>NON-NIL</v>
      </c>
      <c r="E13976">
        <f>TEST_DATA!E13976</f>
        <v>267</v>
      </c>
    </row>
    <row r="13977" spans="1:5" x14ac:dyDescent="0.55000000000000004">
      <c r="A13977" t="str">
        <f>TEST_DATA!A13977</f>
        <v>27AAAAA13977Z5</v>
      </c>
      <c r="B13977" t="str">
        <f>TEST_DATA!B13977</f>
        <v>Jul-2017</v>
      </c>
      <c r="C13977">
        <f>TEST_DATA!C13977</f>
        <v>43354</v>
      </c>
      <c r="D13977" t="str">
        <f>TEST_DATA!D13977</f>
        <v>NIL</v>
      </c>
      <c r="E13977">
        <f>TEST_DATA!E13977</f>
        <v>2189</v>
      </c>
    </row>
    <row r="13978" spans="1:5" x14ac:dyDescent="0.55000000000000004">
      <c r="A13978" t="str">
        <f>TEST_DATA!A13978</f>
        <v>27AAAAA13978Z5</v>
      </c>
      <c r="B13978" t="str">
        <f>TEST_DATA!B13978</f>
        <v>Apr-2018</v>
      </c>
      <c r="C13978">
        <f>TEST_DATA!C13978</f>
        <v>43046</v>
      </c>
      <c r="D13978" t="str">
        <f>TEST_DATA!D13978</f>
        <v>NON-NIL</v>
      </c>
      <c r="E13978">
        <f>TEST_DATA!E13978</f>
        <v>1006</v>
      </c>
    </row>
    <row r="13979" spans="1:5" x14ac:dyDescent="0.55000000000000004">
      <c r="A13979" t="str">
        <f>TEST_DATA!A13979</f>
        <v>27AAAAA13979Z5</v>
      </c>
      <c r="B13979" t="str">
        <f>TEST_DATA!B13979</f>
        <v>Jun-2020</v>
      </c>
      <c r="C13979">
        <f>TEST_DATA!C13979</f>
        <v>44200</v>
      </c>
      <c r="D13979" t="str">
        <f>TEST_DATA!D13979</f>
        <v>NON-NIL</v>
      </c>
      <c r="E13979">
        <f>TEST_DATA!E13979</f>
        <v>1509</v>
      </c>
    </row>
    <row r="13980" spans="1:5" x14ac:dyDescent="0.55000000000000004">
      <c r="A13980" t="str">
        <f>TEST_DATA!A13980</f>
        <v>27AAAAA13980Z5</v>
      </c>
      <c r="B13980" t="str">
        <f>TEST_DATA!B13980</f>
        <v>Dec-2022</v>
      </c>
      <c r="C13980">
        <f>TEST_DATA!C13980</f>
        <v>44041</v>
      </c>
      <c r="D13980" t="str">
        <f>TEST_DATA!D13980</f>
        <v>NIL</v>
      </c>
      <c r="E13980">
        <f>TEST_DATA!E13980</f>
        <v>1047</v>
      </c>
    </row>
    <row r="13981" spans="1:5" x14ac:dyDescent="0.55000000000000004">
      <c r="A13981" t="str">
        <f>TEST_DATA!A13981</f>
        <v>27AAAAA13981Z5</v>
      </c>
      <c r="B13981" t="str">
        <f>TEST_DATA!B13981</f>
        <v>May-2020</v>
      </c>
      <c r="C13981">
        <f>TEST_DATA!C13981</f>
        <v>44707</v>
      </c>
      <c r="D13981" t="str">
        <f>TEST_DATA!D13981</f>
        <v>NON-NIL</v>
      </c>
      <c r="E13981">
        <f>TEST_DATA!E13981</f>
        <v>2871</v>
      </c>
    </row>
    <row r="13982" spans="1:5" x14ac:dyDescent="0.55000000000000004">
      <c r="A13982" t="str">
        <f>TEST_DATA!A13982</f>
        <v>27AAAAA13982Z5</v>
      </c>
      <c r="B13982" t="str">
        <f>TEST_DATA!B13982</f>
        <v>Dec-2024</v>
      </c>
      <c r="C13982">
        <f>TEST_DATA!C13982</f>
        <v>44948</v>
      </c>
      <c r="D13982" t="str">
        <f>TEST_DATA!D13982</f>
        <v>NON-NIL</v>
      </c>
      <c r="E13982">
        <f>TEST_DATA!E13982</f>
        <v>1759</v>
      </c>
    </row>
    <row r="13983" spans="1:5" x14ac:dyDescent="0.55000000000000004">
      <c r="A13983" t="str">
        <f>TEST_DATA!A13983</f>
        <v>27AAAAA13983Z5</v>
      </c>
      <c r="B13983" t="str">
        <f>TEST_DATA!B13983</f>
        <v>Jan-2021</v>
      </c>
      <c r="C13983">
        <f>TEST_DATA!C13983</f>
        <v>43726</v>
      </c>
      <c r="D13983" t="str">
        <f>TEST_DATA!D13983</f>
        <v>NIL</v>
      </c>
      <c r="E13983">
        <f>TEST_DATA!E13983</f>
        <v>2699</v>
      </c>
    </row>
    <row r="13984" spans="1:5" x14ac:dyDescent="0.55000000000000004">
      <c r="A13984" t="str">
        <f>TEST_DATA!A13984</f>
        <v>27AAAAA13984Z5</v>
      </c>
      <c r="B13984" t="str">
        <f>TEST_DATA!B13984</f>
        <v>Apr-2021</v>
      </c>
      <c r="C13984">
        <f>TEST_DATA!C13984</f>
        <v>43718</v>
      </c>
      <c r="D13984" t="str">
        <f>TEST_DATA!D13984</f>
        <v>NIL</v>
      </c>
      <c r="E13984">
        <f>TEST_DATA!E13984</f>
        <v>2218</v>
      </c>
    </row>
    <row r="13985" spans="1:5" x14ac:dyDescent="0.55000000000000004">
      <c r="A13985" t="str">
        <f>TEST_DATA!A13985</f>
        <v>27AAAAA13985Z5</v>
      </c>
      <c r="B13985" t="str">
        <f>TEST_DATA!B13985</f>
        <v>Mar-2018</v>
      </c>
      <c r="C13985">
        <f>TEST_DATA!C13985</f>
        <v>44427</v>
      </c>
      <c r="D13985" t="str">
        <f>TEST_DATA!D13985</f>
        <v>NON-NIL</v>
      </c>
      <c r="E13985">
        <f>TEST_DATA!E13985</f>
        <v>1863</v>
      </c>
    </row>
    <row r="13986" spans="1:5" x14ac:dyDescent="0.55000000000000004">
      <c r="A13986" t="str">
        <f>TEST_DATA!A13986</f>
        <v>27AAAAA13986Z5</v>
      </c>
      <c r="B13986" t="str">
        <f>TEST_DATA!B13986</f>
        <v>Jun-2020</v>
      </c>
      <c r="C13986">
        <f>TEST_DATA!C13986</f>
        <v>44186</v>
      </c>
      <c r="D13986" t="str">
        <f>TEST_DATA!D13986</f>
        <v>NON-NIL</v>
      </c>
      <c r="E13986">
        <f>TEST_DATA!E13986</f>
        <v>1066</v>
      </c>
    </row>
    <row r="13987" spans="1:5" x14ac:dyDescent="0.55000000000000004">
      <c r="A13987" t="str">
        <f>TEST_DATA!A13987</f>
        <v>27AAAAA13987Z5</v>
      </c>
      <c r="B13987" t="str">
        <f>TEST_DATA!B13987</f>
        <v>Apr-2018</v>
      </c>
      <c r="C13987">
        <f>TEST_DATA!C13987</f>
        <v>44299</v>
      </c>
      <c r="D13987" t="str">
        <f>TEST_DATA!D13987</f>
        <v>NIL</v>
      </c>
      <c r="E13987">
        <f>TEST_DATA!E13987</f>
        <v>311</v>
      </c>
    </row>
    <row r="13988" spans="1:5" x14ac:dyDescent="0.55000000000000004">
      <c r="A13988" t="str">
        <f>TEST_DATA!A13988</f>
        <v>27AAAAA13988Z5</v>
      </c>
      <c r="B13988" t="str">
        <f>TEST_DATA!B13988</f>
        <v>Mar-2023</v>
      </c>
      <c r="C13988">
        <f>TEST_DATA!C13988</f>
        <v>45567</v>
      </c>
      <c r="D13988" t="str">
        <f>TEST_DATA!D13988</f>
        <v>NIL</v>
      </c>
      <c r="E13988">
        <f>TEST_DATA!E13988</f>
        <v>2889</v>
      </c>
    </row>
    <row r="13989" spans="1:5" x14ac:dyDescent="0.55000000000000004">
      <c r="A13989" t="str">
        <f>TEST_DATA!A13989</f>
        <v>27AAAAA13989Z5</v>
      </c>
      <c r="B13989" t="str">
        <f>TEST_DATA!B13989</f>
        <v>Jun-2019</v>
      </c>
      <c r="C13989">
        <f>TEST_DATA!C13989</f>
        <v>43935</v>
      </c>
      <c r="D13989" t="str">
        <f>TEST_DATA!D13989</f>
        <v>NON-NIL</v>
      </c>
      <c r="E13989">
        <f>TEST_DATA!E13989</f>
        <v>2783</v>
      </c>
    </row>
    <row r="13990" spans="1:5" x14ac:dyDescent="0.55000000000000004">
      <c r="A13990" t="str">
        <f>TEST_DATA!A13990</f>
        <v>27AAAAA13990Z5</v>
      </c>
      <c r="B13990" t="str">
        <f>TEST_DATA!B13990</f>
        <v>Jan-2018</v>
      </c>
      <c r="C13990">
        <f>TEST_DATA!C13990</f>
        <v>43600</v>
      </c>
      <c r="D13990" t="str">
        <f>TEST_DATA!D13990</f>
        <v>NIL</v>
      </c>
      <c r="E13990">
        <f>TEST_DATA!E13990</f>
        <v>1391</v>
      </c>
    </row>
    <row r="13991" spans="1:5" x14ac:dyDescent="0.55000000000000004">
      <c r="A13991" t="str">
        <f>TEST_DATA!A13991</f>
        <v>27AAAAA13991Z5</v>
      </c>
      <c r="B13991" t="str">
        <f>TEST_DATA!B13991</f>
        <v>Dec-2024</v>
      </c>
      <c r="C13991">
        <f>TEST_DATA!C13991</f>
        <v>44539</v>
      </c>
      <c r="D13991" t="str">
        <f>TEST_DATA!D13991</f>
        <v>NIL</v>
      </c>
      <c r="E13991">
        <f>TEST_DATA!E13991</f>
        <v>1404</v>
      </c>
    </row>
    <row r="13992" spans="1:5" x14ac:dyDescent="0.55000000000000004">
      <c r="A13992" t="str">
        <f>TEST_DATA!A13992</f>
        <v>27AAAAA13992Z5</v>
      </c>
      <c r="B13992" t="str">
        <f>TEST_DATA!B13992</f>
        <v>May-2020</v>
      </c>
      <c r="C13992">
        <f>TEST_DATA!C13992</f>
        <v>44711</v>
      </c>
      <c r="D13992" t="str">
        <f>TEST_DATA!D13992</f>
        <v>NIL</v>
      </c>
      <c r="E13992">
        <f>TEST_DATA!E13992</f>
        <v>2182</v>
      </c>
    </row>
    <row r="13993" spans="1:5" x14ac:dyDescent="0.55000000000000004">
      <c r="A13993" t="str">
        <f>TEST_DATA!A13993</f>
        <v>27AAAAA13993Z5</v>
      </c>
      <c r="B13993" t="str">
        <f>TEST_DATA!B13993</f>
        <v>Jun-2020</v>
      </c>
      <c r="C13993">
        <f>TEST_DATA!C13993</f>
        <v>44696</v>
      </c>
      <c r="D13993" t="str">
        <f>TEST_DATA!D13993</f>
        <v>NIL</v>
      </c>
      <c r="E13993">
        <f>TEST_DATA!E13993</f>
        <v>2033</v>
      </c>
    </row>
    <row r="13994" spans="1:5" x14ac:dyDescent="0.55000000000000004">
      <c r="A13994" t="str">
        <f>TEST_DATA!A13994</f>
        <v>27AAAAA13994Z5</v>
      </c>
      <c r="B13994" t="str">
        <f>TEST_DATA!B13994</f>
        <v>Jul-2020</v>
      </c>
      <c r="C13994">
        <f>TEST_DATA!C13994</f>
        <v>44877</v>
      </c>
      <c r="D13994" t="str">
        <f>TEST_DATA!D13994</f>
        <v>NIL</v>
      </c>
      <c r="E13994">
        <f>TEST_DATA!E13994</f>
        <v>1016</v>
      </c>
    </row>
    <row r="13995" spans="1:5" x14ac:dyDescent="0.55000000000000004">
      <c r="A13995" t="str">
        <f>TEST_DATA!A13995</f>
        <v>27AAAAA13995Z5</v>
      </c>
      <c r="B13995" t="str">
        <f>TEST_DATA!B13995</f>
        <v>Apr-2021</v>
      </c>
      <c r="C13995">
        <f>TEST_DATA!C13995</f>
        <v>45541</v>
      </c>
      <c r="D13995" t="str">
        <f>TEST_DATA!D13995</f>
        <v>NON-NIL</v>
      </c>
      <c r="E13995">
        <f>TEST_DATA!E13995</f>
        <v>2914</v>
      </c>
    </row>
    <row r="13996" spans="1:5" x14ac:dyDescent="0.55000000000000004">
      <c r="A13996" t="str">
        <f>TEST_DATA!A13996</f>
        <v>27AAAAA13996Z5</v>
      </c>
      <c r="B13996" t="str">
        <f>TEST_DATA!B13996</f>
        <v>Sep-2018</v>
      </c>
      <c r="C13996">
        <f>TEST_DATA!C13996</f>
        <v>44545</v>
      </c>
      <c r="D13996" t="str">
        <f>TEST_DATA!D13996</f>
        <v>NON-NIL</v>
      </c>
      <c r="E13996">
        <f>TEST_DATA!E13996</f>
        <v>298</v>
      </c>
    </row>
    <row r="13997" spans="1:5" x14ac:dyDescent="0.55000000000000004">
      <c r="A13997" t="str">
        <f>TEST_DATA!A13997</f>
        <v>27AAAAA13997Z5</v>
      </c>
      <c r="B13997" t="str">
        <f>TEST_DATA!B13997</f>
        <v>Feb-2018</v>
      </c>
      <c r="C13997">
        <f>TEST_DATA!C13997</f>
        <v>44430</v>
      </c>
      <c r="D13997" t="str">
        <f>TEST_DATA!D13997</f>
        <v>NON-NIL</v>
      </c>
      <c r="E13997">
        <f>TEST_DATA!E13997</f>
        <v>177</v>
      </c>
    </row>
    <row r="13998" spans="1:5" x14ac:dyDescent="0.55000000000000004">
      <c r="A13998" t="str">
        <f>TEST_DATA!A13998</f>
        <v>27AAAAA13998Z5</v>
      </c>
      <c r="B13998" t="str">
        <f>TEST_DATA!B13998</f>
        <v>Sep-2018</v>
      </c>
      <c r="C13998">
        <f>TEST_DATA!C13998</f>
        <v>44294</v>
      </c>
      <c r="D13998" t="str">
        <f>TEST_DATA!D13998</f>
        <v>NON-NIL</v>
      </c>
      <c r="E13998">
        <f>TEST_DATA!E13998</f>
        <v>2533</v>
      </c>
    </row>
    <row r="13999" spans="1:5" x14ac:dyDescent="0.55000000000000004">
      <c r="A13999" t="str">
        <f>TEST_DATA!A13999</f>
        <v>27AAAAA13999Z5</v>
      </c>
      <c r="B13999" t="str">
        <f>TEST_DATA!B13999</f>
        <v>Sep-2017</v>
      </c>
      <c r="C13999">
        <f>TEST_DATA!C13999</f>
        <v>43947</v>
      </c>
      <c r="D13999" t="str">
        <f>TEST_DATA!D13999</f>
        <v>NON-NIL</v>
      </c>
      <c r="E13999">
        <f>TEST_DATA!E13999</f>
        <v>75</v>
      </c>
    </row>
    <row r="14000" spans="1:5" x14ac:dyDescent="0.55000000000000004">
      <c r="A14000" t="str">
        <f>TEST_DATA!A14000</f>
        <v>27AAAAA14000Z5</v>
      </c>
      <c r="B14000" t="str">
        <f>TEST_DATA!B14000</f>
        <v>Jun-2018</v>
      </c>
      <c r="C14000">
        <f>TEST_DATA!C14000</f>
        <v>44348</v>
      </c>
      <c r="D14000" t="str">
        <f>TEST_DATA!D14000</f>
        <v>NIL</v>
      </c>
      <c r="E14000">
        <f>TEST_DATA!E14000</f>
        <v>2743</v>
      </c>
    </row>
    <row r="14001" spans="1:5" x14ac:dyDescent="0.55000000000000004">
      <c r="A14001" t="str">
        <f>TEST_DATA!A14001</f>
        <v>27AAAAA14001Z5</v>
      </c>
      <c r="B14001" t="str">
        <f>TEST_DATA!B14001</f>
        <v>Mar-2018</v>
      </c>
      <c r="C14001">
        <f>TEST_DATA!C14001</f>
        <v>43023</v>
      </c>
      <c r="D14001" t="str">
        <f>TEST_DATA!D14001</f>
        <v>NON-NIL</v>
      </c>
      <c r="E14001">
        <f>TEST_DATA!E14001</f>
        <v>2750</v>
      </c>
    </row>
    <row r="14002" spans="1:5" x14ac:dyDescent="0.55000000000000004">
      <c r="A14002" t="str">
        <f>TEST_DATA!A14002</f>
        <v>27AAAAA14002Z5</v>
      </c>
      <c r="B14002" t="str">
        <f>TEST_DATA!B14002</f>
        <v>May-2018</v>
      </c>
      <c r="C14002">
        <f>TEST_DATA!C14002</f>
        <v>44491</v>
      </c>
      <c r="D14002" t="str">
        <f>TEST_DATA!D14002</f>
        <v>NON-NIL</v>
      </c>
      <c r="E14002">
        <f>TEST_DATA!E14002</f>
        <v>1710</v>
      </c>
    </row>
    <row r="14003" spans="1:5" x14ac:dyDescent="0.55000000000000004">
      <c r="A14003" t="str">
        <f>TEST_DATA!A14003</f>
        <v>27AAAAA14003Z5</v>
      </c>
      <c r="B14003" t="str">
        <f>TEST_DATA!B14003</f>
        <v>Jul-2020</v>
      </c>
      <c r="C14003">
        <f>TEST_DATA!C14003</f>
        <v>44550</v>
      </c>
      <c r="D14003" t="str">
        <f>TEST_DATA!D14003</f>
        <v>NIL</v>
      </c>
      <c r="E14003">
        <f>TEST_DATA!E14003</f>
        <v>537</v>
      </c>
    </row>
    <row r="14004" spans="1:5" x14ac:dyDescent="0.55000000000000004">
      <c r="A14004" t="str">
        <f>TEST_DATA!A14004</f>
        <v>27AAAAA14004Z5</v>
      </c>
      <c r="B14004" t="str">
        <f>TEST_DATA!B14004</f>
        <v>Aug-2017</v>
      </c>
      <c r="C14004">
        <f>TEST_DATA!C14004</f>
        <v>43739</v>
      </c>
      <c r="D14004" t="str">
        <f>TEST_DATA!D14004</f>
        <v>NIL</v>
      </c>
      <c r="E14004">
        <f>TEST_DATA!E14004</f>
        <v>2711</v>
      </c>
    </row>
    <row r="14005" spans="1:5" x14ac:dyDescent="0.55000000000000004">
      <c r="A14005" t="str">
        <f>TEST_DATA!A14005</f>
        <v>27AAAAA14005Z5</v>
      </c>
      <c r="B14005" t="str">
        <f>TEST_DATA!B14005</f>
        <v>May-2020</v>
      </c>
      <c r="C14005">
        <f>TEST_DATA!C14005</f>
        <v>44713</v>
      </c>
      <c r="D14005" t="str">
        <f>TEST_DATA!D14005</f>
        <v>NIL</v>
      </c>
      <c r="E14005">
        <f>TEST_DATA!E14005</f>
        <v>392</v>
      </c>
    </row>
    <row r="14006" spans="1:5" x14ac:dyDescent="0.55000000000000004">
      <c r="A14006" t="str">
        <f>TEST_DATA!A14006</f>
        <v>27AAAAA14006Z5</v>
      </c>
      <c r="B14006" t="str">
        <f>TEST_DATA!B14006</f>
        <v>Apr-2020</v>
      </c>
      <c r="C14006">
        <f>TEST_DATA!C14006</f>
        <v>44545</v>
      </c>
      <c r="D14006" t="str">
        <f>TEST_DATA!D14006</f>
        <v>NON-NIL</v>
      </c>
      <c r="E14006">
        <f>TEST_DATA!E14006</f>
        <v>895</v>
      </c>
    </row>
    <row r="14007" spans="1:5" x14ac:dyDescent="0.55000000000000004">
      <c r="A14007" t="str">
        <f>TEST_DATA!A14007</f>
        <v>27AAAAA14007Z5</v>
      </c>
      <c r="B14007" t="str">
        <f>TEST_DATA!B14007</f>
        <v>May-2020</v>
      </c>
      <c r="C14007">
        <f>TEST_DATA!C14007</f>
        <v>44731</v>
      </c>
      <c r="D14007" t="str">
        <f>TEST_DATA!D14007</f>
        <v>NIL</v>
      </c>
      <c r="E14007">
        <f>TEST_DATA!E14007</f>
        <v>1344</v>
      </c>
    </row>
    <row r="14008" spans="1:5" x14ac:dyDescent="0.55000000000000004">
      <c r="A14008" t="str">
        <f>TEST_DATA!A14008</f>
        <v>27AAAAA14008Z5</v>
      </c>
      <c r="B14008" t="str">
        <f>TEST_DATA!B14008</f>
        <v>Feb-2018</v>
      </c>
      <c r="C14008">
        <f>TEST_DATA!C14008</f>
        <v>44536</v>
      </c>
      <c r="D14008" t="str">
        <f>TEST_DATA!D14008</f>
        <v>NIL</v>
      </c>
      <c r="E14008">
        <f>TEST_DATA!E14008</f>
        <v>950</v>
      </c>
    </row>
    <row r="14009" spans="1:5" x14ac:dyDescent="0.55000000000000004">
      <c r="A14009" t="str">
        <f>TEST_DATA!A14009</f>
        <v>27AAAAA14009Z5</v>
      </c>
      <c r="B14009" t="str">
        <f>TEST_DATA!B14009</f>
        <v>Oct-2017</v>
      </c>
      <c r="C14009">
        <f>TEST_DATA!C14009</f>
        <v>43563</v>
      </c>
      <c r="D14009" t="str">
        <f>TEST_DATA!D14009</f>
        <v>NON-NIL</v>
      </c>
      <c r="E14009">
        <f>TEST_DATA!E14009</f>
        <v>1550</v>
      </c>
    </row>
    <row r="14010" spans="1:5" x14ac:dyDescent="0.55000000000000004">
      <c r="A14010" t="str">
        <f>TEST_DATA!A14010</f>
        <v>27AAAAA14010Z5</v>
      </c>
      <c r="B14010" t="str">
        <f>TEST_DATA!B14010</f>
        <v>Apr-2018</v>
      </c>
      <c r="C14010">
        <f>TEST_DATA!C14010</f>
        <v>43383</v>
      </c>
      <c r="D14010" t="str">
        <f>TEST_DATA!D14010</f>
        <v>NON-NIL</v>
      </c>
      <c r="E14010">
        <f>TEST_DATA!E14010</f>
        <v>1111</v>
      </c>
    </row>
    <row r="14011" spans="1:5" x14ac:dyDescent="0.55000000000000004">
      <c r="A14011" t="str">
        <f>TEST_DATA!A14011</f>
        <v>27AAAAA14011Z5</v>
      </c>
      <c r="B14011" t="str">
        <f>TEST_DATA!B14011</f>
        <v>Dec-2024</v>
      </c>
      <c r="C14011">
        <f>TEST_DATA!C14011</f>
        <v>43989</v>
      </c>
      <c r="D14011" t="str">
        <f>TEST_DATA!D14011</f>
        <v>NIL</v>
      </c>
      <c r="E14011">
        <f>TEST_DATA!E14011</f>
        <v>2817</v>
      </c>
    </row>
    <row r="14012" spans="1:5" x14ac:dyDescent="0.55000000000000004">
      <c r="A14012" t="str">
        <f>TEST_DATA!A14012</f>
        <v>27AAAAA14012Z5</v>
      </c>
      <c r="B14012" t="str">
        <f>TEST_DATA!B14012</f>
        <v>May-2018</v>
      </c>
      <c r="C14012">
        <f>TEST_DATA!C14012</f>
        <v>43437</v>
      </c>
      <c r="D14012" t="str">
        <f>TEST_DATA!D14012</f>
        <v>NIL</v>
      </c>
      <c r="E14012">
        <f>TEST_DATA!E14012</f>
        <v>250</v>
      </c>
    </row>
    <row r="14013" spans="1:5" x14ac:dyDescent="0.55000000000000004">
      <c r="A14013" t="str">
        <f>TEST_DATA!A14013</f>
        <v>27AAAAA14013Z5</v>
      </c>
      <c r="B14013" t="str">
        <f>TEST_DATA!B14013</f>
        <v>Mar-2020</v>
      </c>
      <c r="C14013">
        <f>TEST_DATA!C14013</f>
        <v>44168</v>
      </c>
      <c r="D14013" t="str">
        <f>TEST_DATA!D14013</f>
        <v>NIL</v>
      </c>
      <c r="E14013">
        <f>TEST_DATA!E14013</f>
        <v>440</v>
      </c>
    </row>
    <row r="14014" spans="1:5" x14ac:dyDescent="0.55000000000000004">
      <c r="A14014" t="str">
        <f>TEST_DATA!A14014</f>
        <v>27AAAAA14014Z5</v>
      </c>
      <c r="B14014" t="str">
        <f>TEST_DATA!B14014</f>
        <v>Mar-2020</v>
      </c>
      <c r="C14014">
        <f>TEST_DATA!C14014</f>
        <v>44557</v>
      </c>
      <c r="D14014" t="str">
        <f>TEST_DATA!D14014</f>
        <v>NIL</v>
      </c>
      <c r="E14014">
        <f>TEST_DATA!E14014</f>
        <v>1934</v>
      </c>
    </row>
    <row r="14015" spans="1:5" x14ac:dyDescent="0.55000000000000004">
      <c r="A14015" t="str">
        <f>TEST_DATA!A14015</f>
        <v>27AAAAA14015Z5</v>
      </c>
      <c r="B14015" t="str">
        <f>TEST_DATA!B14015</f>
        <v>Dec-2019</v>
      </c>
      <c r="C14015">
        <f>TEST_DATA!C14015</f>
        <v>45499</v>
      </c>
      <c r="D14015" t="str">
        <f>TEST_DATA!D14015</f>
        <v>NIL</v>
      </c>
      <c r="E14015">
        <f>TEST_DATA!E14015</f>
        <v>61</v>
      </c>
    </row>
    <row r="14016" spans="1:5" x14ac:dyDescent="0.55000000000000004">
      <c r="A14016" t="str">
        <f>TEST_DATA!A14016</f>
        <v>27AAAAA14016Z5</v>
      </c>
      <c r="B14016" t="str">
        <f>TEST_DATA!B14016</f>
        <v>Dec-2024</v>
      </c>
      <c r="C14016">
        <f>TEST_DATA!C14016</f>
        <v>44867</v>
      </c>
      <c r="D14016" t="str">
        <f>TEST_DATA!D14016</f>
        <v>NIL</v>
      </c>
      <c r="E14016">
        <f>TEST_DATA!E14016</f>
        <v>2383</v>
      </c>
    </row>
    <row r="14017" spans="1:5" x14ac:dyDescent="0.55000000000000004">
      <c r="A14017" t="str">
        <f>TEST_DATA!A14017</f>
        <v>27AAAAA14017Z5</v>
      </c>
      <c r="B14017" t="str">
        <f>TEST_DATA!B14017</f>
        <v>Jul-2017</v>
      </c>
      <c r="C14017">
        <f>TEST_DATA!C14017</f>
        <v>42994</v>
      </c>
      <c r="D14017" t="str">
        <f>TEST_DATA!D14017</f>
        <v>NIL</v>
      </c>
      <c r="E14017">
        <f>TEST_DATA!E14017</f>
        <v>1112</v>
      </c>
    </row>
    <row r="14018" spans="1:5" x14ac:dyDescent="0.55000000000000004">
      <c r="A14018" t="str">
        <f>TEST_DATA!A14018</f>
        <v>27AAAAA14018Z5</v>
      </c>
      <c r="B14018" t="str">
        <f>TEST_DATA!B14018</f>
        <v>May-2020</v>
      </c>
      <c r="C14018">
        <f>TEST_DATA!C14018</f>
        <v>44259</v>
      </c>
      <c r="D14018" t="str">
        <f>TEST_DATA!D14018</f>
        <v>NIL</v>
      </c>
      <c r="E14018">
        <f>TEST_DATA!E14018</f>
        <v>2550</v>
      </c>
    </row>
    <row r="14019" spans="1:5" x14ac:dyDescent="0.55000000000000004">
      <c r="A14019" t="str">
        <f>TEST_DATA!A14019</f>
        <v>27AAAAA14019Z5</v>
      </c>
      <c r="B14019" t="str">
        <f>TEST_DATA!B14019</f>
        <v>Dec-2017</v>
      </c>
      <c r="C14019">
        <f>TEST_DATA!C14019</f>
        <v>43712</v>
      </c>
      <c r="D14019" t="str">
        <f>TEST_DATA!D14019</f>
        <v>NIL</v>
      </c>
      <c r="E14019">
        <f>TEST_DATA!E14019</f>
        <v>102</v>
      </c>
    </row>
    <row r="14020" spans="1:5" x14ac:dyDescent="0.55000000000000004">
      <c r="A14020" t="str">
        <f>TEST_DATA!A14020</f>
        <v>27AAAAA14020Z5</v>
      </c>
      <c r="B14020" t="str">
        <f>TEST_DATA!B14020</f>
        <v>Dec-2024</v>
      </c>
      <c r="C14020">
        <f>TEST_DATA!C14020</f>
        <v>44821</v>
      </c>
      <c r="D14020" t="str">
        <f>TEST_DATA!D14020</f>
        <v>NON-NIL</v>
      </c>
      <c r="E14020">
        <f>TEST_DATA!E14020</f>
        <v>2904</v>
      </c>
    </row>
    <row r="14021" spans="1:5" x14ac:dyDescent="0.55000000000000004">
      <c r="A14021" t="str">
        <f>TEST_DATA!A14021</f>
        <v>27AAAAA14021Z5</v>
      </c>
      <c r="B14021" t="str">
        <f>TEST_DATA!B14021</f>
        <v>Jun-2018</v>
      </c>
      <c r="C14021">
        <f>TEST_DATA!C14021</f>
        <v>44364</v>
      </c>
      <c r="D14021" t="str">
        <f>TEST_DATA!D14021</f>
        <v>NON-NIL</v>
      </c>
      <c r="E14021">
        <f>TEST_DATA!E14021</f>
        <v>2968</v>
      </c>
    </row>
    <row r="14022" spans="1:5" x14ac:dyDescent="0.55000000000000004">
      <c r="A14022" t="str">
        <f>TEST_DATA!A14022</f>
        <v>27AAAAA14022Z5</v>
      </c>
      <c r="B14022" t="str">
        <f>TEST_DATA!B14022</f>
        <v>Jul-2018</v>
      </c>
      <c r="C14022">
        <f>TEST_DATA!C14022</f>
        <v>43219</v>
      </c>
      <c r="D14022" t="str">
        <f>TEST_DATA!D14022</f>
        <v>NON-NIL</v>
      </c>
      <c r="E14022">
        <f>TEST_DATA!E14022</f>
        <v>2486</v>
      </c>
    </row>
    <row r="14023" spans="1:5" x14ac:dyDescent="0.55000000000000004">
      <c r="A14023" t="str">
        <f>TEST_DATA!A14023</f>
        <v>27AAAAA14023Z5</v>
      </c>
      <c r="B14023" t="str">
        <f>TEST_DATA!B14023</f>
        <v>Jan-2019</v>
      </c>
      <c r="C14023">
        <f>TEST_DATA!C14023</f>
        <v>44987</v>
      </c>
      <c r="D14023" t="str">
        <f>TEST_DATA!D14023</f>
        <v>NON-NIL</v>
      </c>
      <c r="E14023">
        <f>TEST_DATA!E14023</f>
        <v>1413</v>
      </c>
    </row>
    <row r="14024" spans="1:5" x14ac:dyDescent="0.55000000000000004">
      <c r="A14024" t="str">
        <f>TEST_DATA!A14024</f>
        <v>27AAAAA14024Z5</v>
      </c>
      <c r="B14024" t="str">
        <f>TEST_DATA!B14024</f>
        <v>Jan-2021</v>
      </c>
      <c r="C14024">
        <f>TEST_DATA!C14024</f>
        <v>45278</v>
      </c>
      <c r="D14024" t="str">
        <f>TEST_DATA!D14024</f>
        <v>NIL</v>
      </c>
      <c r="E14024">
        <f>TEST_DATA!E14024</f>
        <v>939</v>
      </c>
    </row>
    <row r="14025" spans="1:5" x14ac:dyDescent="0.55000000000000004">
      <c r="A14025" t="str">
        <f>TEST_DATA!A14025</f>
        <v>27AAAAA14025Z5</v>
      </c>
      <c r="B14025" t="str">
        <f>TEST_DATA!B14025</f>
        <v>Apr-2020</v>
      </c>
      <c r="C14025">
        <f>TEST_DATA!C14025</f>
        <v>44328</v>
      </c>
      <c r="D14025" t="str">
        <f>TEST_DATA!D14025</f>
        <v>NON-NIL</v>
      </c>
      <c r="E14025">
        <f>TEST_DATA!E14025</f>
        <v>850</v>
      </c>
    </row>
    <row r="14026" spans="1:5" x14ac:dyDescent="0.55000000000000004">
      <c r="A14026" t="str">
        <f>TEST_DATA!A14026</f>
        <v>27AAAAA14026Z5</v>
      </c>
      <c r="B14026" t="str">
        <f>TEST_DATA!B14026</f>
        <v>Sep-2017</v>
      </c>
      <c r="C14026">
        <f>TEST_DATA!C14026</f>
        <v>42977</v>
      </c>
      <c r="D14026" t="str">
        <f>TEST_DATA!D14026</f>
        <v>NON-NIL</v>
      </c>
      <c r="E14026">
        <f>TEST_DATA!E14026</f>
        <v>325</v>
      </c>
    </row>
    <row r="14027" spans="1:5" x14ac:dyDescent="0.55000000000000004">
      <c r="A14027" t="str">
        <f>TEST_DATA!A14027</f>
        <v>27AAAAA14027Z5</v>
      </c>
      <c r="B14027" t="str">
        <f>TEST_DATA!B14027</f>
        <v>Dec-2019</v>
      </c>
      <c r="C14027">
        <f>TEST_DATA!C14027</f>
        <v>45532</v>
      </c>
      <c r="D14027" t="str">
        <f>TEST_DATA!D14027</f>
        <v>NON-NIL</v>
      </c>
      <c r="E14027">
        <f>TEST_DATA!E14027</f>
        <v>1822</v>
      </c>
    </row>
    <row r="14028" spans="1:5" x14ac:dyDescent="0.55000000000000004">
      <c r="A14028" t="str">
        <f>TEST_DATA!A14028</f>
        <v>27AAAAA14028Z5</v>
      </c>
      <c r="B14028" t="str">
        <f>TEST_DATA!B14028</f>
        <v>Dec-2019</v>
      </c>
      <c r="C14028">
        <f>TEST_DATA!C14028</f>
        <v>45267</v>
      </c>
      <c r="D14028" t="str">
        <f>TEST_DATA!D14028</f>
        <v>NIL</v>
      </c>
      <c r="E14028">
        <f>TEST_DATA!E14028</f>
        <v>2168</v>
      </c>
    </row>
    <row r="14029" spans="1:5" x14ac:dyDescent="0.55000000000000004">
      <c r="A14029" t="str">
        <f>TEST_DATA!A14029</f>
        <v>27AAAAA14029Z5</v>
      </c>
      <c r="B14029" t="str">
        <f>TEST_DATA!B14029</f>
        <v>Mar-2023</v>
      </c>
      <c r="C14029">
        <f>TEST_DATA!C14029</f>
        <v>43527</v>
      </c>
      <c r="D14029" t="str">
        <f>TEST_DATA!D14029</f>
        <v>NON-NIL</v>
      </c>
      <c r="E14029">
        <f>TEST_DATA!E14029</f>
        <v>1975</v>
      </c>
    </row>
    <row r="14030" spans="1:5" x14ac:dyDescent="0.55000000000000004">
      <c r="A14030" t="str">
        <f>TEST_DATA!A14030</f>
        <v>27AAAAA14030Z5</v>
      </c>
      <c r="B14030" t="str">
        <f>TEST_DATA!B14030</f>
        <v>Dec-2017</v>
      </c>
      <c r="C14030">
        <f>TEST_DATA!C14030</f>
        <v>44403</v>
      </c>
      <c r="D14030" t="str">
        <f>TEST_DATA!D14030</f>
        <v>NIL</v>
      </c>
      <c r="E14030">
        <f>TEST_DATA!E14030</f>
        <v>2473</v>
      </c>
    </row>
    <row r="14031" spans="1:5" x14ac:dyDescent="0.55000000000000004">
      <c r="A14031" t="str">
        <f>TEST_DATA!A14031</f>
        <v>27AAAAA14031Z5</v>
      </c>
      <c r="B14031" t="str">
        <f>TEST_DATA!B14031</f>
        <v>Sep-2018</v>
      </c>
      <c r="C14031">
        <f>TEST_DATA!C14031</f>
        <v>43978</v>
      </c>
      <c r="D14031" t="str">
        <f>TEST_DATA!D14031</f>
        <v>NIL</v>
      </c>
      <c r="E14031">
        <f>TEST_DATA!E14031</f>
        <v>49</v>
      </c>
    </row>
    <row r="14032" spans="1:5" x14ac:dyDescent="0.55000000000000004">
      <c r="A14032" t="str">
        <f>TEST_DATA!A14032</f>
        <v>27AAAAA14032Z5</v>
      </c>
      <c r="B14032" t="str">
        <f>TEST_DATA!B14032</f>
        <v>Jun-2020</v>
      </c>
      <c r="C14032">
        <f>TEST_DATA!C14032</f>
        <v>43976</v>
      </c>
      <c r="D14032" t="str">
        <f>TEST_DATA!D14032</f>
        <v>NON-NIL</v>
      </c>
      <c r="E14032">
        <f>TEST_DATA!E14032</f>
        <v>1480</v>
      </c>
    </row>
    <row r="14033" spans="1:5" x14ac:dyDescent="0.55000000000000004">
      <c r="A14033" t="str">
        <f>TEST_DATA!A14033</f>
        <v>27AAAAA14033Z5</v>
      </c>
      <c r="B14033" t="str">
        <f>TEST_DATA!B14033</f>
        <v>May-2020</v>
      </c>
      <c r="C14033">
        <f>TEST_DATA!C14033</f>
        <v>44901</v>
      </c>
      <c r="D14033" t="str">
        <f>TEST_DATA!D14033</f>
        <v>NON-NIL</v>
      </c>
      <c r="E14033">
        <f>TEST_DATA!E14033</f>
        <v>1655</v>
      </c>
    </row>
    <row r="14034" spans="1:5" x14ac:dyDescent="0.55000000000000004">
      <c r="A14034" t="str">
        <f>TEST_DATA!A14034</f>
        <v>27AAAAA14034Z5</v>
      </c>
      <c r="B14034" t="str">
        <f>TEST_DATA!B14034</f>
        <v>Mar-2021</v>
      </c>
      <c r="C14034">
        <f>TEST_DATA!C14034</f>
        <v>43538</v>
      </c>
      <c r="D14034" t="str">
        <f>TEST_DATA!D14034</f>
        <v>NON-NIL</v>
      </c>
      <c r="E14034">
        <f>TEST_DATA!E14034</f>
        <v>1197</v>
      </c>
    </row>
    <row r="14035" spans="1:5" x14ac:dyDescent="0.55000000000000004">
      <c r="A14035" t="str">
        <f>TEST_DATA!A14035</f>
        <v>27AAAAA14035Z5</v>
      </c>
      <c r="B14035" t="str">
        <f>TEST_DATA!B14035</f>
        <v>May-2018</v>
      </c>
      <c r="C14035">
        <f>TEST_DATA!C14035</f>
        <v>43776</v>
      </c>
      <c r="D14035" t="str">
        <f>TEST_DATA!D14035</f>
        <v>NIL</v>
      </c>
      <c r="E14035">
        <f>TEST_DATA!E14035</f>
        <v>2741</v>
      </c>
    </row>
    <row r="14036" spans="1:5" x14ac:dyDescent="0.55000000000000004">
      <c r="A14036" t="str">
        <f>TEST_DATA!A14036</f>
        <v>27AAAAA14036Z5</v>
      </c>
      <c r="B14036" t="str">
        <f>TEST_DATA!B14036</f>
        <v>May-2018</v>
      </c>
      <c r="C14036">
        <f>TEST_DATA!C14036</f>
        <v>44307</v>
      </c>
      <c r="D14036" t="str">
        <f>TEST_DATA!D14036</f>
        <v>NON-NIL</v>
      </c>
      <c r="E14036">
        <f>TEST_DATA!E14036</f>
        <v>2622</v>
      </c>
    </row>
    <row r="14037" spans="1:5" x14ac:dyDescent="0.55000000000000004">
      <c r="A14037" t="str">
        <f>TEST_DATA!A14037</f>
        <v>27AAAAA14037Z5</v>
      </c>
      <c r="B14037" t="str">
        <f>TEST_DATA!B14037</f>
        <v>Sep-2018</v>
      </c>
      <c r="C14037">
        <f>TEST_DATA!C14037</f>
        <v>42924</v>
      </c>
      <c r="D14037" t="str">
        <f>TEST_DATA!D14037</f>
        <v>NIL</v>
      </c>
      <c r="E14037">
        <f>TEST_DATA!E14037</f>
        <v>641</v>
      </c>
    </row>
    <row r="14038" spans="1:5" x14ac:dyDescent="0.55000000000000004">
      <c r="A14038" t="str">
        <f>TEST_DATA!A14038</f>
        <v>27AAAAA14038Z5</v>
      </c>
      <c r="B14038" t="str">
        <f>TEST_DATA!B14038</f>
        <v>Sep-2018</v>
      </c>
      <c r="C14038">
        <f>TEST_DATA!C14038</f>
        <v>43120</v>
      </c>
      <c r="D14038" t="str">
        <f>TEST_DATA!D14038</f>
        <v>NON-NIL</v>
      </c>
      <c r="E14038">
        <f>TEST_DATA!E14038</f>
        <v>1460</v>
      </c>
    </row>
    <row r="14039" spans="1:5" x14ac:dyDescent="0.55000000000000004">
      <c r="A14039" t="str">
        <f>TEST_DATA!A14039</f>
        <v>27AAAAA14039Z5</v>
      </c>
      <c r="B14039" t="str">
        <f>TEST_DATA!B14039</f>
        <v>Jun-2019</v>
      </c>
      <c r="C14039">
        <f>TEST_DATA!C14039</f>
        <v>45317</v>
      </c>
      <c r="D14039" t="str">
        <f>TEST_DATA!D14039</f>
        <v>NON-NIL</v>
      </c>
      <c r="E14039">
        <f>TEST_DATA!E14039</f>
        <v>218</v>
      </c>
    </row>
    <row r="14040" spans="1:5" x14ac:dyDescent="0.55000000000000004">
      <c r="A14040" t="str">
        <f>TEST_DATA!A14040</f>
        <v>27AAAAA14040Z5</v>
      </c>
      <c r="B14040" t="str">
        <f>TEST_DATA!B14040</f>
        <v>Apr-2021</v>
      </c>
      <c r="C14040">
        <f>TEST_DATA!C14040</f>
        <v>45727</v>
      </c>
      <c r="D14040" t="str">
        <f>TEST_DATA!D14040</f>
        <v>NIL</v>
      </c>
      <c r="E14040">
        <f>TEST_DATA!E14040</f>
        <v>2721</v>
      </c>
    </row>
    <row r="14041" spans="1:5" x14ac:dyDescent="0.55000000000000004">
      <c r="A14041" t="str">
        <f>TEST_DATA!A14041</f>
        <v>27AAAAA14041Z5</v>
      </c>
      <c r="B14041" t="str">
        <f>TEST_DATA!B14041</f>
        <v>Nov-2017</v>
      </c>
      <c r="C14041">
        <f>TEST_DATA!C14041</f>
        <v>42987</v>
      </c>
      <c r="D14041" t="str">
        <f>TEST_DATA!D14041</f>
        <v>NON-NIL</v>
      </c>
      <c r="E14041">
        <f>TEST_DATA!E14041</f>
        <v>1398</v>
      </c>
    </row>
    <row r="14042" spans="1:5" x14ac:dyDescent="0.55000000000000004">
      <c r="A14042" t="str">
        <f>TEST_DATA!A14042</f>
        <v>27AAAAA14042Z5</v>
      </c>
      <c r="B14042" t="str">
        <f>TEST_DATA!B14042</f>
        <v>Dec-2024</v>
      </c>
      <c r="C14042">
        <f>TEST_DATA!C14042</f>
        <v>43985</v>
      </c>
      <c r="D14042" t="str">
        <f>TEST_DATA!D14042</f>
        <v>NIL</v>
      </c>
      <c r="E14042">
        <f>TEST_DATA!E14042</f>
        <v>1032</v>
      </c>
    </row>
    <row r="14043" spans="1:5" x14ac:dyDescent="0.55000000000000004">
      <c r="A14043" t="str">
        <f>TEST_DATA!A14043</f>
        <v>27AAAAA14043Z5</v>
      </c>
      <c r="B14043" t="str">
        <f>TEST_DATA!B14043</f>
        <v>Jul-2018</v>
      </c>
      <c r="C14043">
        <f>TEST_DATA!C14043</f>
        <v>44541</v>
      </c>
      <c r="D14043" t="str">
        <f>TEST_DATA!D14043</f>
        <v>NIL</v>
      </c>
      <c r="E14043">
        <f>TEST_DATA!E14043</f>
        <v>1895</v>
      </c>
    </row>
    <row r="14044" spans="1:5" x14ac:dyDescent="0.55000000000000004">
      <c r="A14044" t="str">
        <f>TEST_DATA!A14044</f>
        <v>27AAAAA14044Z5</v>
      </c>
      <c r="B14044" t="str">
        <f>TEST_DATA!B14044</f>
        <v>Apr-2018</v>
      </c>
      <c r="C14044">
        <f>TEST_DATA!C14044</f>
        <v>43343</v>
      </c>
      <c r="D14044" t="str">
        <f>TEST_DATA!D14044</f>
        <v>NIL</v>
      </c>
      <c r="E14044">
        <f>TEST_DATA!E14044</f>
        <v>2591</v>
      </c>
    </row>
    <row r="14045" spans="1:5" x14ac:dyDescent="0.55000000000000004">
      <c r="A14045" t="str">
        <f>TEST_DATA!A14045</f>
        <v>27AAAAA14045Z5</v>
      </c>
      <c r="B14045" t="str">
        <f>TEST_DATA!B14045</f>
        <v>Jul-2018</v>
      </c>
      <c r="C14045">
        <f>TEST_DATA!C14045</f>
        <v>43448</v>
      </c>
      <c r="D14045" t="str">
        <f>TEST_DATA!D14045</f>
        <v>NON-NIL</v>
      </c>
      <c r="E14045">
        <f>TEST_DATA!E14045</f>
        <v>1966</v>
      </c>
    </row>
    <row r="14046" spans="1:5" x14ac:dyDescent="0.55000000000000004">
      <c r="A14046" t="str">
        <f>TEST_DATA!A14046</f>
        <v>27AAAAA14046Z5</v>
      </c>
      <c r="B14046" t="str">
        <f>TEST_DATA!B14046</f>
        <v>Jan-2019</v>
      </c>
      <c r="C14046">
        <f>TEST_DATA!C14046</f>
        <v>44244</v>
      </c>
      <c r="D14046" t="str">
        <f>TEST_DATA!D14046</f>
        <v>NIL</v>
      </c>
      <c r="E14046">
        <f>TEST_DATA!E14046</f>
        <v>169</v>
      </c>
    </row>
    <row r="14047" spans="1:5" x14ac:dyDescent="0.55000000000000004">
      <c r="A14047" t="str">
        <f>TEST_DATA!A14047</f>
        <v>27AAAAA14047Z5</v>
      </c>
      <c r="B14047" t="str">
        <f>TEST_DATA!B14047</f>
        <v>Nov-2017</v>
      </c>
      <c r="C14047">
        <f>TEST_DATA!C14047</f>
        <v>43527</v>
      </c>
      <c r="D14047" t="str">
        <f>TEST_DATA!D14047</f>
        <v>NON-NIL</v>
      </c>
      <c r="E14047">
        <f>TEST_DATA!E14047</f>
        <v>1101</v>
      </c>
    </row>
    <row r="14048" spans="1:5" x14ac:dyDescent="0.55000000000000004">
      <c r="A14048" t="str">
        <f>TEST_DATA!A14048</f>
        <v>27AAAAA14048Z5</v>
      </c>
      <c r="B14048" t="str">
        <f>TEST_DATA!B14048</f>
        <v>Jul-2017</v>
      </c>
      <c r="C14048">
        <f>TEST_DATA!C14048</f>
        <v>44313</v>
      </c>
      <c r="D14048" t="str">
        <f>TEST_DATA!D14048</f>
        <v>NON-NIL</v>
      </c>
      <c r="E14048">
        <f>TEST_DATA!E14048</f>
        <v>964</v>
      </c>
    </row>
    <row r="14049" spans="1:5" x14ac:dyDescent="0.55000000000000004">
      <c r="A14049" t="str">
        <f>TEST_DATA!A14049</f>
        <v>27AAAAA14049Z5</v>
      </c>
      <c r="B14049" t="str">
        <f>TEST_DATA!B14049</f>
        <v>May-2020</v>
      </c>
      <c r="C14049">
        <f>TEST_DATA!C14049</f>
        <v>44038</v>
      </c>
      <c r="D14049" t="str">
        <f>TEST_DATA!D14049</f>
        <v>NON-NIL</v>
      </c>
      <c r="E14049">
        <f>TEST_DATA!E14049</f>
        <v>330</v>
      </c>
    </row>
    <row r="14050" spans="1:5" x14ac:dyDescent="0.55000000000000004">
      <c r="A14050" t="str">
        <f>TEST_DATA!A14050</f>
        <v>27AAAAA14050Z5</v>
      </c>
      <c r="B14050" t="str">
        <f>TEST_DATA!B14050</f>
        <v>Dec-2019</v>
      </c>
      <c r="C14050">
        <f>TEST_DATA!C14050</f>
        <v>43467</v>
      </c>
      <c r="D14050" t="str">
        <f>TEST_DATA!D14050</f>
        <v>NIL</v>
      </c>
      <c r="E14050">
        <f>TEST_DATA!E14050</f>
        <v>276</v>
      </c>
    </row>
    <row r="14051" spans="1:5" x14ac:dyDescent="0.55000000000000004">
      <c r="A14051" t="str">
        <f>TEST_DATA!A14051</f>
        <v>27AAAAA14051Z5</v>
      </c>
      <c r="B14051" t="str">
        <f>TEST_DATA!B14051</f>
        <v>Dec-2017</v>
      </c>
      <c r="C14051">
        <f>TEST_DATA!C14051</f>
        <v>43035</v>
      </c>
      <c r="D14051" t="str">
        <f>TEST_DATA!D14051</f>
        <v>NIL</v>
      </c>
      <c r="E14051">
        <f>TEST_DATA!E14051</f>
        <v>1628</v>
      </c>
    </row>
    <row r="14052" spans="1:5" x14ac:dyDescent="0.55000000000000004">
      <c r="A14052" t="str">
        <f>TEST_DATA!A14052</f>
        <v>27AAAAA14052Z5</v>
      </c>
      <c r="B14052" t="str">
        <f>TEST_DATA!B14052</f>
        <v>Jan-2019</v>
      </c>
      <c r="C14052">
        <f>TEST_DATA!C14052</f>
        <v>44202</v>
      </c>
      <c r="D14052" t="str">
        <f>TEST_DATA!D14052</f>
        <v>NIL</v>
      </c>
      <c r="E14052">
        <f>TEST_DATA!E14052</f>
        <v>1617</v>
      </c>
    </row>
    <row r="14053" spans="1:5" x14ac:dyDescent="0.55000000000000004">
      <c r="A14053" t="str">
        <f>TEST_DATA!A14053</f>
        <v>27AAAAA14053Z5</v>
      </c>
      <c r="B14053" t="str">
        <f>TEST_DATA!B14053</f>
        <v>Apr-2020</v>
      </c>
      <c r="C14053">
        <f>TEST_DATA!C14053</f>
        <v>44348</v>
      </c>
      <c r="D14053" t="str">
        <f>TEST_DATA!D14053</f>
        <v>NIL</v>
      </c>
      <c r="E14053">
        <f>TEST_DATA!E14053</f>
        <v>1775</v>
      </c>
    </row>
    <row r="14054" spans="1:5" x14ac:dyDescent="0.55000000000000004">
      <c r="A14054" t="str">
        <f>TEST_DATA!A14054</f>
        <v>27AAAAA14054Z5</v>
      </c>
      <c r="B14054" t="str">
        <f>TEST_DATA!B14054</f>
        <v>Sep-2017</v>
      </c>
      <c r="C14054">
        <f>TEST_DATA!C14054</f>
        <v>44224</v>
      </c>
      <c r="D14054" t="str">
        <f>TEST_DATA!D14054</f>
        <v>NON-NIL</v>
      </c>
      <c r="E14054">
        <f>TEST_DATA!E14054</f>
        <v>1700</v>
      </c>
    </row>
    <row r="14055" spans="1:5" x14ac:dyDescent="0.55000000000000004">
      <c r="A14055" t="str">
        <f>TEST_DATA!A14055</f>
        <v>27AAAAA14055Z5</v>
      </c>
      <c r="B14055" t="str">
        <f>TEST_DATA!B14055</f>
        <v>Jun-2020</v>
      </c>
      <c r="C14055">
        <f>TEST_DATA!C14055</f>
        <v>44691</v>
      </c>
      <c r="D14055" t="str">
        <f>TEST_DATA!D14055</f>
        <v>NON-NIL</v>
      </c>
      <c r="E14055">
        <f>TEST_DATA!E14055</f>
        <v>1980</v>
      </c>
    </row>
    <row r="14056" spans="1:5" x14ac:dyDescent="0.55000000000000004">
      <c r="A14056" t="str">
        <f>TEST_DATA!A14056</f>
        <v>27AAAAA14056Z5</v>
      </c>
      <c r="B14056" t="str">
        <f>TEST_DATA!B14056</f>
        <v>Sep-2017</v>
      </c>
      <c r="C14056">
        <f>TEST_DATA!C14056</f>
        <v>42976</v>
      </c>
      <c r="D14056" t="str">
        <f>TEST_DATA!D14056</f>
        <v>NON-NIL</v>
      </c>
      <c r="E14056">
        <f>TEST_DATA!E14056</f>
        <v>2844</v>
      </c>
    </row>
    <row r="14057" spans="1:5" x14ac:dyDescent="0.55000000000000004">
      <c r="A14057" t="str">
        <f>TEST_DATA!A14057</f>
        <v>27AAAAA14057Z5</v>
      </c>
      <c r="B14057" t="str">
        <f>TEST_DATA!B14057</f>
        <v>Mar-2020</v>
      </c>
      <c r="C14057">
        <f>TEST_DATA!C14057</f>
        <v>44281</v>
      </c>
      <c r="D14057" t="str">
        <f>TEST_DATA!D14057</f>
        <v>NON-NIL</v>
      </c>
      <c r="E14057">
        <f>TEST_DATA!E14057</f>
        <v>749</v>
      </c>
    </row>
    <row r="14058" spans="1:5" x14ac:dyDescent="0.55000000000000004">
      <c r="A14058" t="str">
        <f>TEST_DATA!A14058</f>
        <v>27AAAAA14058Z5</v>
      </c>
      <c r="B14058" t="str">
        <f>TEST_DATA!B14058</f>
        <v>Sep-2018</v>
      </c>
      <c r="C14058">
        <f>TEST_DATA!C14058</f>
        <v>43616</v>
      </c>
      <c r="D14058" t="str">
        <f>TEST_DATA!D14058</f>
        <v>NON-NIL</v>
      </c>
      <c r="E14058">
        <f>TEST_DATA!E14058</f>
        <v>1501</v>
      </c>
    </row>
    <row r="14059" spans="1:5" x14ac:dyDescent="0.55000000000000004">
      <c r="A14059" t="str">
        <f>TEST_DATA!A14059</f>
        <v>27AAAAA14059Z5</v>
      </c>
      <c r="B14059" t="str">
        <f>TEST_DATA!B14059</f>
        <v>Nov-2017</v>
      </c>
      <c r="C14059">
        <f>TEST_DATA!C14059</f>
        <v>44352</v>
      </c>
      <c r="D14059" t="str">
        <f>TEST_DATA!D14059</f>
        <v>NIL</v>
      </c>
      <c r="E14059">
        <f>TEST_DATA!E14059</f>
        <v>2227</v>
      </c>
    </row>
    <row r="14060" spans="1:5" x14ac:dyDescent="0.55000000000000004">
      <c r="A14060" t="str">
        <f>TEST_DATA!A14060</f>
        <v>27AAAAA14060Z5</v>
      </c>
      <c r="B14060" t="str">
        <f>TEST_DATA!B14060</f>
        <v>Feb-2018</v>
      </c>
      <c r="C14060">
        <f>TEST_DATA!C14060</f>
        <v>43134</v>
      </c>
      <c r="D14060" t="str">
        <f>TEST_DATA!D14060</f>
        <v>NIL</v>
      </c>
      <c r="E14060">
        <f>TEST_DATA!E14060</f>
        <v>46</v>
      </c>
    </row>
    <row r="14061" spans="1:5" x14ac:dyDescent="0.55000000000000004">
      <c r="A14061" t="str">
        <f>TEST_DATA!A14061</f>
        <v>27AAAAA14061Z5</v>
      </c>
      <c r="B14061" t="str">
        <f>TEST_DATA!B14061</f>
        <v>May-2020</v>
      </c>
      <c r="C14061">
        <f>TEST_DATA!C14061</f>
        <v>43841</v>
      </c>
      <c r="D14061" t="str">
        <f>TEST_DATA!D14061</f>
        <v>NIL</v>
      </c>
      <c r="E14061">
        <f>TEST_DATA!E14061</f>
        <v>1582</v>
      </c>
    </row>
    <row r="14062" spans="1:5" x14ac:dyDescent="0.55000000000000004">
      <c r="A14062" t="str">
        <f>TEST_DATA!A14062</f>
        <v>27AAAAA14062Z5</v>
      </c>
      <c r="B14062" t="str">
        <f>TEST_DATA!B14062</f>
        <v>Sep-2017</v>
      </c>
      <c r="C14062">
        <f>TEST_DATA!C14062</f>
        <v>44218</v>
      </c>
      <c r="D14062" t="str">
        <f>TEST_DATA!D14062</f>
        <v>NIL</v>
      </c>
      <c r="E14062">
        <f>TEST_DATA!E14062</f>
        <v>731</v>
      </c>
    </row>
    <row r="14063" spans="1:5" x14ac:dyDescent="0.55000000000000004">
      <c r="A14063" t="str">
        <f>TEST_DATA!A14063</f>
        <v>27AAAAA14063Z5</v>
      </c>
      <c r="B14063" t="str">
        <f>TEST_DATA!B14063</f>
        <v>Sep-2017</v>
      </c>
      <c r="C14063">
        <f>TEST_DATA!C14063</f>
        <v>43593</v>
      </c>
      <c r="D14063" t="str">
        <f>TEST_DATA!D14063</f>
        <v>NIL</v>
      </c>
      <c r="E14063">
        <f>TEST_DATA!E14063</f>
        <v>2329</v>
      </c>
    </row>
    <row r="14064" spans="1:5" x14ac:dyDescent="0.55000000000000004">
      <c r="A14064" t="str">
        <f>TEST_DATA!A14064</f>
        <v>27AAAAA14064Z5</v>
      </c>
      <c r="B14064" t="str">
        <f>TEST_DATA!B14064</f>
        <v>Aug-2017</v>
      </c>
      <c r="C14064">
        <f>TEST_DATA!C14064</f>
        <v>43038</v>
      </c>
      <c r="D14064" t="str">
        <f>TEST_DATA!D14064</f>
        <v>NON-NIL</v>
      </c>
      <c r="E14064">
        <f>TEST_DATA!E14064</f>
        <v>1209</v>
      </c>
    </row>
    <row r="14065" spans="1:5" x14ac:dyDescent="0.55000000000000004">
      <c r="A14065" t="str">
        <f>TEST_DATA!A14065</f>
        <v>27AAAAA14065Z5</v>
      </c>
      <c r="B14065" t="str">
        <f>TEST_DATA!B14065</f>
        <v>Sep-2017</v>
      </c>
      <c r="C14065">
        <f>TEST_DATA!C14065</f>
        <v>44429</v>
      </c>
      <c r="D14065" t="str">
        <f>TEST_DATA!D14065</f>
        <v>NON-NIL</v>
      </c>
      <c r="E14065">
        <f>TEST_DATA!E14065</f>
        <v>1546</v>
      </c>
    </row>
    <row r="14066" spans="1:5" x14ac:dyDescent="0.55000000000000004">
      <c r="A14066" t="str">
        <f>TEST_DATA!A14066</f>
        <v>27AAAAA14066Z5</v>
      </c>
      <c r="B14066" t="str">
        <f>TEST_DATA!B14066</f>
        <v>Jul-2020</v>
      </c>
      <c r="C14066">
        <f>TEST_DATA!C14066</f>
        <v>44379</v>
      </c>
      <c r="D14066" t="str">
        <f>TEST_DATA!D14066</f>
        <v>NIL</v>
      </c>
      <c r="E14066">
        <f>TEST_DATA!E14066</f>
        <v>154</v>
      </c>
    </row>
    <row r="14067" spans="1:5" x14ac:dyDescent="0.55000000000000004">
      <c r="A14067" t="str">
        <f>TEST_DATA!A14067</f>
        <v>27AAAAA14067Z5</v>
      </c>
      <c r="B14067" t="str">
        <f>TEST_DATA!B14067</f>
        <v>Dec-2019</v>
      </c>
      <c r="C14067">
        <f>TEST_DATA!C14067</f>
        <v>45013</v>
      </c>
      <c r="D14067" t="str">
        <f>TEST_DATA!D14067</f>
        <v>NIL</v>
      </c>
      <c r="E14067">
        <f>TEST_DATA!E14067</f>
        <v>1215</v>
      </c>
    </row>
    <row r="14068" spans="1:5" x14ac:dyDescent="0.55000000000000004">
      <c r="A14068" t="str">
        <f>TEST_DATA!A14068</f>
        <v>27AAAAA14068Z5</v>
      </c>
      <c r="B14068" t="str">
        <f>TEST_DATA!B14068</f>
        <v>Nov-2017</v>
      </c>
      <c r="C14068">
        <f>TEST_DATA!C14068</f>
        <v>44056</v>
      </c>
      <c r="D14068" t="str">
        <f>TEST_DATA!D14068</f>
        <v>NIL</v>
      </c>
      <c r="E14068">
        <f>TEST_DATA!E14068</f>
        <v>394</v>
      </c>
    </row>
    <row r="14069" spans="1:5" x14ac:dyDescent="0.55000000000000004">
      <c r="A14069" t="str">
        <f>TEST_DATA!A14069</f>
        <v>27AAAAA14069Z5</v>
      </c>
      <c r="B14069" t="str">
        <f>TEST_DATA!B14069</f>
        <v>Jul-2018</v>
      </c>
      <c r="C14069">
        <f>TEST_DATA!C14069</f>
        <v>43922</v>
      </c>
      <c r="D14069" t="str">
        <f>TEST_DATA!D14069</f>
        <v>NIL</v>
      </c>
      <c r="E14069">
        <f>TEST_DATA!E14069</f>
        <v>869</v>
      </c>
    </row>
    <row r="14070" spans="1:5" x14ac:dyDescent="0.55000000000000004">
      <c r="A14070" t="str">
        <f>TEST_DATA!A14070</f>
        <v>27AAAAA14070Z5</v>
      </c>
      <c r="B14070" t="str">
        <f>TEST_DATA!B14070</f>
        <v>Nov-2017</v>
      </c>
      <c r="C14070">
        <f>TEST_DATA!C14070</f>
        <v>43532</v>
      </c>
      <c r="D14070" t="str">
        <f>TEST_DATA!D14070</f>
        <v>NON-NIL</v>
      </c>
      <c r="E14070">
        <f>TEST_DATA!E14070</f>
        <v>1032</v>
      </c>
    </row>
    <row r="14071" spans="1:5" x14ac:dyDescent="0.55000000000000004">
      <c r="A14071" t="str">
        <f>TEST_DATA!A14071</f>
        <v>27AAAAA14071Z5</v>
      </c>
      <c r="B14071" t="str">
        <f>TEST_DATA!B14071</f>
        <v>Mar-2018</v>
      </c>
      <c r="C14071">
        <f>TEST_DATA!C14071</f>
        <v>43888</v>
      </c>
      <c r="D14071" t="str">
        <f>TEST_DATA!D14071</f>
        <v>NIL</v>
      </c>
      <c r="E14071">
        <f>TEST_DATA!E14071</f>
        <v>156</v>
      </c>
    </row>
    <row r="14072" spans="1:5" x14ac:dyDescent="0.55000000000000004">
      <c r="A14072" t="str">
        <f>TEST_DATA!A14072</f>
        <v>27AAAAA14072Z5</v>
      </c>
      <c r="B14072" t="str">
        <f>TEST_DATA!B14072</f>
        <v>Jul-2018</v>
      </c>
      <c r="C14072">
        <f>TEST_DATA!C14072</f>
        <v>43015</v>
      </c>
      <c r="D14072" t="str">
        <f>TEST_DATA!D14072</f>
        <v>NON-NIL</v>
      </c>
      <c r="E14072">
        <f>TEST_DATA!E14072</f>
        <v>251</v>
      </c>
    </row>
    <row r="14073" spans="1:5" x14ac:dyDescent="0.55000000000000004">
      <c r="A14073" t="str">
        <f>TEST_DATA!A14073</f>
        <v>27AAAAA14073Z5</v>
      </c>
      <c r="B14073" t="str">
        <f>TEST_DATA!B14073</f>
        <v>Aug-2018</v>
      </c>
      <c r="C14073">
        <f>TEST_DATA!C14073</f>
        <v>43847</v>
      </c>
      <c r="D14073" t="str">
        <f>TEST_DATA!D14073</f>
        <v>NIL</v>
      </c>
      <c r="E14073">
        <f>TEST_DATA!E14073</f>
        <v>2012</v>
      </c>
    </row>
    <row r="14074" spans="1:5" x14ac:dyDescent="0.55000000000000004">
      <c r="A14074" t="str">
        <f>TEST_DATA!A14074</f>
        <v>27AAAAA14074Z5</v>
      </c>
      <c r="B14074" t="str">
        <f>TEST_DATA!B14074</f>
        <v>Sep-2018</v>
      </c>
      <c r="C14074">
        <f>TEST_DATA!C14074</f>
        <v>43999</v>
      </c>
      <c r="D14074" t="str">
        <f>TEST_DATA!D14074</f>
        <v>NIL</v>
      </c>
      <c r="E14074">
        <f>TEST_DATA!E14074</f>
        <v>296</v>
      </c>
    </row>
    <row r="14075" spans="1:5" x14ac:dyDescent="0.55000000000000004">
      <c r="A14075" t="str">
        <f>TEST_DATA!A14075</f>
        <v>27AAAAA14075Z5</v>
      </c>
      <c r="B14075" t="str">
        <f>TEST_DATA!B14075</f>
        <v>Mar-2018</v>
      </c>
      <c r="C14075">
        <f>TEST_DATA!C14075</f>
        <v>43167</v>
      </c>
      <c r="D14075" t="str">
        <f>TEST_DATA!D14075</f>
        <v>NIL</v>
      </c>
      <c r="E14075">
        <f>TEST_DATA!E14075</f>
        <v>161</v>
      </c>
    </row>
    <row r="14076" spans="1:5" x14ac:dyDescent="0.55000000000000004">
      <c r="A14076" t="str">
        <f>TEST_DATA!A14076</f>
        <v>27AAAAA14076Z5</v>
      </c>
      <c r="B14076" t="str">
        <f>TEST_DATA!B14076</f>
        <v>Aug-2017</v>
      </c>
      <c r="C14076">
        <f>TEST_DATA!C14076</f>
        <v>43857</v>
      </c>
      <c r="D14076" t="str">
        <f>TEST_DATA!D14076</f>
        <v>NIL</v>
      </c>
      <c r="E14076">
        <f>TEST_DATA!E14076</f>
        <v>2490</v>
      </c>
    </row>
    <row r="14077" spans="1:5" x14ac:dyDescent="0.55000000000000004">
      <c r="A14077" t="str">
        <f>TEST_DATA!A14077</f>
        <v>27AAAAA14077Z5</v>
      </c>
      <c r="B14077" t="str">
        <f>TEST_DATA!B14077</f>
        <v>Jul-2017</v>
      </c>
      <c r="C14077">
        <f>TEST_DATA!C14077</f>
        <v>43948</v>
      </c>
      <c r="D14077" t="str">
        <f>TEST_DATA!D14077</f>
        <v>NON-NIL</v>
      </c>
      <c r="E14077">
        <f>TEST_DATA!E14077</f>
        <v>1928</v>
      </c>
    </row>
    <row r="14078" spans="1:5" x14ac:dyDescent="0.55000000000000004">
      <c r="A14078" t="str">
        <f>TEST_DATA!A14078</f>
        <v>27AAAAA14078Z5</v>
      </c>
      <c r="B14078" t="str">
        <f>TEST_DATA!B14078</f>
        <v>Apr-2020</v>
      </c>
      <c r="C14078">
        <f>TEST_DATA!C14078</f>
        <v>44922</v>
      </c>
      <c r="D14078" t="str">
        <f>TEST_DATA!D14078</f>
        <v>NIL</v>
      </c>
      <c r="E14078">
        <f>TEST_DATA!E14078</f>
        <v>2975</v>
      </c>
    </row>
    <row r="14079" spans="1:5" x14ac:dyDescent="0.55000000000000004">
      <c r="A14079" t="str">
        <f>TEST_DATA!A14079</f>
        <v>27AAAAA14079Z5</v>
      </c>
      <c r="B14079" t="str">
        <f>TEST_DATA!B14079</f>
        <v>Oct-2017</v>
      </c>
      <c r="C14079">
        <f>TEST_DATA!C14079</f>
        <v>44259</v>
      </c>
      <c r="D14079" t="str">
        <f>TEST_DATA!D14079</f>
        <v>NIL</v>
      </c>
      <c r="E14079">
        <f>TEST_DATA!E14079</f>
        <v>1868</v>
      </c>
    </row>
    <row r="14080" spans="1:5" x14ac:dyDescent="0.55000000000000004">
      <c r="A14080" t="str">
        <f>TEST_DATA!A14080</f>
        <v>27AAAAA14080Z5</v>
      </c>
      <c r="B14080" t="str">
        <f>TEST_DATA!B14080</f>
        <v>Aug-2017</v>
      </c>
      <c r="C14080">
        <f>TEST_DATA!C14080</f>
        <v>44421</v>
      </c>
      <c r="D14080" t="str">
        <f>TEST_DATA!D14080</f>
        <v>NON-NIL</v>
      </c>
      <c r="E14080">
        <f>TEST_DATA!E14080</f>
        <v>1600</v>
      </c>
    </row>
    <row r="14081" spans="1:5" x14ac:dyDescent="0.55000000000000004">
      <c r="A14081" t="str">
        <f>TEST_DATA!A14081</f>
        <v>27AAAAA14081Z5</v>
      </c>
      <c r="B14081" t="str">
        <f>TEST_DATA!B14081</f>
        <v>Mar-2018</v>
      </c>
      <c r="C14081">
        <f>TEST_DATA!C14081</f>
        <v>43869</v>
      </c>
      <c r="D14081" t="str">
        <f>TEST_DATA!D14081</f>
        <v>NON-NIL</v>
      </c>
      <c r="E14081">
        <f>TEST_DATA!E14081</f>
        <v>1355</v>
      </c>
    </row>
    <row r="14082" spans="1:5" x14ac:dyDescent="0.55000000000000004">
      <c r="A14082" t="str">
        <f>TEST_DATA!A14082</f>
        <v>27AAAAA14082Z5</v>
      </c>
      <c r="B14082" t="str">
        <f>TEST_DATA!B14082</f>
        <v>Dec-2019</v>
      </c>
      <c r="C14082">
        <f>TEST_DATA!C14082</f>
        <v>44983</v>
      </c>
      <c r="D14082" t="str">
        <f>TEST_DATA!D14082</f>
        <v>NON-NIL</v>
      </c>
      <c r="E14082">
        <f>TEST_DATA!E14082</f>
        <v>1493</v>
      </c>
    </row>
    <row r="14083" spans="1:5" x14ac:dyDescent="0.55000000000000004">
      <c r="A14083" t="str">
        <f>TEST_DATA!A14083</f>
        <v>27AAAAA14083Z5</v>
      </c>
      <c r="B14083" t="str">
        <f>TEST_DATA!B14083</f>
        <v>Sep-2018</v>
      </c>
      <c r="C14083">
        <f>TEST_DATA!C14083</f>
        <v>44130</v>
      </c>
      <c r="D14083" t="str">
        <f>TEST_DATA!D14083</f>
        <v>NIL</v>
      </c>
      <c r="E14083">
        <f>TEST_DATA!E14083</f>
        <v>922</v>
      </c>
    </row>
    <row r="14084" spans="1:5" x14ac:dyDescent="0.55000000000000004">
      <c r="A14084" t="str">
        <f>TEST_DATA!A14084</f>
        <v>27AAAAA14084Z5</v>
      </c>
      <c r="B14084" t="str">
        <f>TEST_DATA!B14084</f>
        <v>Apr-2021</v>
      </c>
      <c r="C14084">
        <f>TEST_DATA!C14084</f>
        <v>44387</v>
      </c>
      <c r="D14084" t="str">
        <f>TEST_DATA!D14084</f>
        <v>NON-NIL</v>
      </c>
      <c r="E14084">
        <f>TEST_DATA!E14084</f>
        <v>2574</v>
      </c>
    </row>
    <row r="14085" spans="1:5" x14ac:dyDescent="0.55000000000000004">
      <c r="A14085" t="str">
        <f>TEST_DATA!A14085</f>
        <v>27AAAAA14085Z5</v>
      </c>
      <c r="B14085" t="str">
        <f>TEST_DATA!B14085</f>
        <v>Sep-2018</v>
      </c>
      <c r="C14085">
        <f>TEST_DATA!C14085</f>
        <v>44408</v>
      </c>
      <c r="D14085" t="str">
        <f>TEST_DATA!D14085</f>
        <v>NON-NIL</v>
      </c>
      <c r="E14085">
        <f>TEST_DATA!E14085</f>
        <v>2593</v>
      </c>
    </row>
    <row r="14086" spans="1:5" x14ac:dyDescent="0.55000000000000004">
      <c r="A14086" t="str">
        <f>TEST_DATA!A14086</f>
        <v>27AAAAA14086Z5</v>
      </c>
      <c r="B14086" t="str">
        <f>TEST_DATA!B14086</f>
        <v>Mar-2020</v>
      </c>
      <c r="C14086">
        <f>TEST_DATA!C14086</f>
        <v>44403</v>
      </c>
      <c r="D14086" t="str">
        <f>TEST_DATA!D14086</f>
        <v>NON-NIL</v>
      </c>
      <c r="E14086">
        <f>TEST_DATA!E14086</f>
        <v>2470</v>
      </c>
    </row>
    <row r="14087" spans="1:5" x14ac:dyDescent="0.55000000000000004">
      <c r="A14087" t="str">
        <f>TEST_DATA!A14087</f>
        <v>27AAAAA14087Z5</v>
      </c>
      <c r="B14087" t="str">
        <f>TEST_DATA!B14087</f>
        <v>Sep-2017</v>
      </c>
      <c r="C14087">
        <f>TEST_DATA!C14087</f>
        <v>42959</v>
      </c>
      <c r="D14087" t="str">
        <f>TEST_DATA!D14087</f>
        <v>NIL</v>
      </c>
      <c r="E14087">
        <f>TEST_DATA!E14087</f>
        <v>1978</v>
      </c>
    </row>
    <row r="14088" spans="1:5" x14ac:dyDescent="0.55000000000000004">
      <c r="A14088" t="str">
        <f>TEST_DATA!A14088</f>
        <v>27AAAAA14088Z5</v>
      </c>
      <c r="B14088" t="str">
        <f>TEST_DATA!B14088</f>
        <v>Jun-2019</v>
      </c>
      <c r="C14088">
        <f>TEST_DATA!C14088</f>
        <v>44622</v>
      </c>
      <c r="D14088" t="str">
        <f>TEST_DATA!D14088</f>
        <v>NON-NIL</v>
      </c>
      <c r="E14088">
        <f>TEST_DATA!E14088</f>
        <v>1288</v>
      </c>
    </row>
    <row r="14089" spans="1:5" x14ac:dyDescent="0.55000000000000004">
      <c r="A14089" t="str">
        <f>TEST_DATA!A14089</f>
        <v>27AAAAA14089Z5</v>
      </c>
      <c r="B14089" t="str">
        <f>TEST_DATA!B14089</f>
        <v>Dec-2017</v>
      </c>
      <c r="C14089">
        <f>TEST_DATA!C14089</f>
        <v>43361</v>
      </c>
      <c r="D14089" t="str">
        <f>TEST_DATA!D14089</f>
        <v>NIL</v>
      </c>
      <c r="E14089">
        <f>TEST_DATA!E14089</f>
        <v>2203</v>
      </c>
    </row>
    <row r="14090" spans="1:5" x14ac:dyDescent="0.55000000000000004">
      <c r="A14090" t="str">
        <f>TEST_DATA!A14090</f>
        <v>27AAAAA14090Z5</v>
      </c>
      <c r="B14090" t="str">
        <f>TEST_DATA!B14090</f>
        <v>Jul-2017</v>
      </c>
      <c r="C14090">
        <f>TEST_DATA!C14090</f>
        <v>43508</v>
      </c>
      <c r="D14090" t="str">
        <f>TEST_DATA!D14090</f>
        <v>NON-NIL</v>
      </c>
      <c r="E14090">
        <f>TEST_DATA!E14090</f>
        <v>876</v>
      </c>
    </row>
    <row r="14091" spans="1:5" x14ac:dyDescent="0.55000000000000004">
      <c r="A14091" t="str">
        <f>TEST_DATA!A14091</f>
        <v>27AAAAA14091Z5</v>
      </c>
      <c r="B14091" t="str">
        <f>TEST_DATA!B14091</f>
        <v>Jan-2018</v>
      </c>
      <c r="C14091">
        <f>TEST_DATA!C14091</f>
        <v>43458</v>
      </c>
      <c r="D14091" t="str">
        <f>TEST_DATA!D14091</f>
        <v>NIL</v>
      </c>
      <c r="E14091">
        <f>TEST_DATA!E14091</f>
        <v>101</v>
      </c>
    </row>
    <row r="14092" spans="1:5" x14ac:dyDescent="0.55000000000000004">
      <c r="A14092" t="str">
        <f>TEST_DATA!A14092</f>
        <v>27AAAAA14092Z5</v>
      </c>
      <c r="B14092" t="str">
        <f>TEST_DATA!B14092</f>
        <v>Mar-2018</v>
      </c>
      <c r="C14092">
        <f>TEST_DATA!C14092</f>
        <v>44170</v>
      </c>
      <c r="D14092" t="str">
        <f>TEST_DATA!D14092</f>
        <v>NIL</v>
      </c>
      <c r="E14092">
        <f>TEST_DATA!E14092</f>
        <v>106</v>
      </c>
    </row>
    <row r="14093" spans="1:5" x14ac:dyDescent="0.55000000000000004">
      <c r="A14093" t="str">
        <f>TEST_DATA!A14093</f>
        <v>27AAAAA14093Z5</v>
      </c>
      <c r="B14093" t="str">
        <f>TEST_DATA!B14093</f>
        <v>Apr-2021</v>
      </c>
      <c r="C14093">
        <f>TEST_DATA!C14093</f>
        <v>45362</v>
      </c>
      <c r="D14093" t="str">
        <f>TEST_DATA!D14093</f>
        <v>NIL</v>
      </c>
      <c r="E14093">
        <f>TEST_DATA!E14093</f>
        <v>8</v>
      </c>
    </row>
    <row r="14094" spans="1:5" x14ac:dyDescent="0.55000000000000004">
      <c r="A14094" t="str">
        <f>TEST_DATA!A14094</f>
        <v>27AAAAA14094Z5</v>
      </c>
      <c r="B14094" t="str">
        <f>TEST_DATA!B14094</f>
        <v>Jul-2017</v>
      </c>
      <c r="C14094">
        <f>TEST_DATA!C14094</f>
        <v>43232</v>
      </c>
      <c r="D14094" t="str">
        <f>TEST_DATA!D14094</f>
        <v>NON-NIL</v>
      </c>
      <c r="E14094">
        <f>TEST_DATA!E14094</f>
        <v>1919</v>
      </c>
    </row>
    <row r="14095" spans="1:5" x14ac:dyDescent="0.55000000000000004">
      <c r="A14095" t="str">
        <f>TEST_DATA!A14095</f>
        <v>27AAAAA14095Z5</v>
      </c>
      <c r="B14095" t="str">
        <f>TEST_DATA!B14095</f>
        <v>Jun-2018</v>
      </c>
      <c r="C14095">
        <f>TEST_DATA!C14095</f>
        <v>43608</v>
      </c>
      <c r="D14095" t="str">
        <f>TEST_DATA!D14095</f>
        <v>NON-NIL</v>
      </c>
      <c r="E14095">
        <f>TEST_DATA!E14095</f>
        <v>1829</v>
      </c>
    </row>
    <row r="14096" spans="1:5" x14ac:dyDescent="0.55000000000000004">
      <c r="A14096" t="str">
        <f>TEST_DATA!A14096</f>
        <v>27AAAAA14096Z5</v>
      </c>
      <c r="B14096" t="str">
        <f>TEST_DATA!B14096</f>
        <v>Jun-2018</v>
      </c>
      <c r="C14096">
        <f>TEST_DATA!C14096</f>
        <v>43331</v>
      </c>
      <c r="D14096" t="str">
        <f>TEST_DATA!D14096</f>
        <v>NON-NIL</v>
      </c>
      <c r="E14096">
        <f>TEST_DATA!E14096</f>
        <v>1190</v>
      </c>
    </row>
    <row r="14097" spans="1:5" x14ac:dyDescent="0.55000000000000004">
      <c r="A14097" t="str">
        <f>TEST_DATA!A14097</f>
        <v>27AAAAA14097Z5</v>
      </c>
      <c r="B14097" t="str">
        <f>TEST_DATA!B14097</f>
        <v>Apr-2021</v>
      </c>
      <c r="C14097">
        <f>TEST_DATA!C14097</f>
        <v>43832</v>
      </c>
      <c r="D14097" t="str">
        <f>TEST_DATA!D14097</f>
        <v>NON-NIL</v>
      </c>
      <c r="E14097">
        <f>TEST_DATA!E14097</f>
        <v>863</v>
      </c>
    </row>
    <row r="14098" spans="1:5" x14ac:dyDescent="0.55000000000000004">
      <c r="A14098" t="str">
        <f>TEST_DATA!A14098</f>
        <v>27AAAAA14098Z5</v>
      </c>
      <c r="B14098" t="str">
        <f>TEST_DATA!B14098</f>
        <v>Jun-2019</v>
      </c>
      <c r="C14098">
        <f>TEST_DATA!C14098</f>
        <v>44037</v>
      </c>
      <c r="D14098" t="str">
        <f>TEST_DATA!D14098</f>
        <v>NON-NIL</v>
      </c>
      <c r="E14098">
        <f>TEST_DATA!E14098</f>
        <v>330</v>
      </c>
    </row>
    <row r="14099" spans="1:5" x14ac:dyDescent="0.55000000000000004">
      <c r="A14099" t="str">
        <f>TEST_DATA!A14099</f>
        <v>27AAAAA14099Z5</v>
      </c>
      <c r="B14099" t="str">
        <f>TEST_DATA!B14099</f>
        <v>Oct-2017</v>
      </c>
      <c r="C14099">
        <f>TEST_DATA!C14099</f>
        <v>43881</v>
      </c>
      <c r="D14099" t="str">
        <f>TEST_DATA!D14099</f>
        <v>NIL</v>
      </c>
      <c r="E14099">
        <f>TEST_DATA!E14099</f>
        <v>2599</v>
      </c>
    </row>
    <row r="14100" spans="1:5" x14ac:dyDescent="0.55000000000000004">
      <c r="A14100" t="str">
        <f>TEST_DATA!A14100</f>
        <v>27AAAAA14100Z5</v>
      </c>
      <c r="B14100" t="str">
        <f>TEST_DATA!B14100</f>
        <v>Jan-2018</v>
      </c>
      <c r="C14100">
        <f>TEST_DATA!C14100</f>
        <v>43024</v>
      </c>
      <c r="D14100" t="str">
        <f>TEST_DATA!D14100</f>
        <v>NIL</v>
      </c>
      <c r="E14100">
        <f>TEST_DATA!E14100</f>
        <v>1429</v>
      </c>
    </row>
    <row r="14101" spans="1:5" x14ac:dyDescent="0.55000000000000004">
      <c r="A14101" t="str">
        <f>TEST_DATA!A14101</f>
        <v>27AAAAA14101Z5</v>
      </c>
      <c r="B14101" t="str">
        <f>TEST_DATA!B14101</f>
        <v>Jun-2019</v>
      </c>
      <c r="C14101">
        <f>TEST_DATA!C14101</f>
        <v>44137</v>
      </c>
      <c r="D14101" t="str">
        <f>TEST_DATA!D14101</f>
        <v>NIL</v>
      </c>
      <c r="E14101">
        <f>TEST_DATA!E14101</f>
        <v>1944</v>
      </c>
    </row>
    <row r="14102" spans="1:5" x14ac:dyDescent="0.55000000000000004">
      <c r="A14102" t="str">
        <f>TEST_DATA!A14102</f>
        <v>27AAAAA14102Z5</v>
      </c>
      <c r="B14102" t="str">
        <f>TEST_DATA!B14102</f>
        <v>Apr-2021</v>
      </c>
      <c r="C14102">
        <f>TEST_DATA!C14102</f>
        <v>44183</v>
      </c>
      <c r="D14102" t="str">
        <f>TEST_DATA!D14102</f>
        <v>NON-NIL</v>
      </c>
      <c r="E14102">
        <f>TEST_DATA!E14102</f>
        <v>922</v>
      </c>
    </row>
    <row r="14103" spans="1:5" x14ac:dyDescent="0.55000000000000004">
      <c r="A14103" t="str">
        <f>TEST_DATA!A14103</f>
        <v>27AAAAA14103Z5</v>
      </c>
      <c r="B14103" t="str">
        <f>TEST_DATA!B14103</f>
        <v>Jun-2020</v>
      </c>
      <c r="C14103">
        <f>TEST_DATA!C14103</f>
        <v>44339</v>
      </c>
      <c r="D14103" t="str">
        <f>TEST_DATA!D14103</f>
        <v>NIL</v>
      </c>
      <c r="E14103">
        <f>TEST_DATA!E14103</f>
        <v>2228</v>
      </c>
    </row>
    <row r="14104" spans="1:5" x14ac:dyDescent="0.55000000000000004">
      <c r="A14104" t="str">
        <f>TEST_DATA!A14104</f>
        <v>27AAAAA14104Z5</v>
      </c>
      <c r="B14104" t="str">
        <f>TEST_DATA!B14104</f>
        <v>Mar-2021</v>
      </c>
      <c r="C14104">
        <f>TEST_DATA!C14104</f>
        <v>43682</v>
      </c>
      <c r="D14104" t="str">
        <f>TEST_DATA!D14104</f>
        <v>NON-NIL</v>
      </c>
      <c r="E14104">
        <f>TEST_DATA!E14104</f>
        <v>2266</v>
      </c>
    </row>
    <row r="14105" spans="1:5" x14ac:dyDescent="0.55000000000000004">
      <c r="A14105" t="str">
        <f>TEST_DATA!A14105</f>
        <v>27AAAAA14105Z5</v>
      </c>
      <c r="B14105" t="str">
        <f>TEST_DATA!B14105</f>
        <v>Dec-2022</v>
      </c>
      <c r="C14105">
        <f>TEST_DATA!C14105</f>
        <v>43519</v>
      </c>
      <c r="D14105" t="str">
        <f>TEST_DATA!D14105</f>
        <v>NON-NIL</v>
      </c>
      <c r="E14105">
        <f>TEST_DATA!E14105</f>
        <v>2845</v>
      </c>
    </row>
    <row r="14106" spans="1:5" x14ac:dyDescent="0.55000000000000004">
      <c r="A14106" t="str">
        <f>TEST_DATA!A14106</f>
        <v>27AAAAA14106Z5</v>
      </c>
      <c r="B14106" t="str">
        <f>TEST_DATA!B14106</f>
        <v>Sep-2017</v>
      </c>
      <c r="C14106">
        <f>TEST_DATA!C14106</f>
        <v>43136</v>
      </c>
      <c r="D14106" t="str">
        <f>TEST_DATA!D14106</f>
        <v>NIL</v>
      </c>
      <c r="E14106">
        <f>TEST_DATA!E14106</f>
        <v>1504</v>
      </c>
    </row>
    <row r="14107" spans="1:5" x14ac:dyDescent="0.55000000000000004">
      <c r="A14107" t="str">
        <f>TEST_DATA!A14107</f>
        <v>27AAAAA14107Z5</v>
      </c>
      <c r="B14107" t="str">
        <f>TEST_DATA!B14107</f>
        <v>Jun-2019</v>
      </c>
      <c r="C14107">
        <f>TEST_DATA!C14107</f>
        <v>43550</v>
      </c>
      <c r="D14107" t="str">
        <f>TEST_DATA!D14107</f>
        <v>NON-NIL</v>
      </c>
      <c r="E14107">
        <f>TEST_DATA!E14107</f>
        <v>1247</v>
      </c>
    </row>
    <row r="14108" spans="1:5" x14ac:dyDescent="0.55000000000000004">
      <c r="A14108" t="str">
        <f>TEST_DATA!A14108</f>
        <v>27AAAAA14108Z5</v>
      </c>
      <c r="B14108" t="str">
        <f>TEST_DATA!B14108</f>
        <v>Jul-2020</v>
      </c>
      <c r="C14108">
        <f>TEST_DATA!C14108</f>
        <v>44305</v>
      </c>
      <c r="D14108" t="str">
        <f>TEST_DATA!D14108</f>
        <v>NIL</v>
      </c>
      <c r="E14108">
        <f>TEST_DATA!E14108</f>
        <v>1629</v>
      </c>
    </row>
    <row r="14109" spans="1:5" x14ac:dyDescent="0.55000000000000004">
      <c r="A14109" t="str">
        <f>TEST_DATA!A14109</f>
        <v>27AAAAA14109Z5</v>
      </c>
      <c r="B14109" t="str">
        <f>TEST_DATA!B14109</f>
        <v>May-2018</v>
      </c>
      <c r="C14109">
        <f>TEST_DATA!C14109</f>
        <v>44312</v>
      </c>
      <c r="D14109" t="str">
        <f>TEST_DATA!D14109</f>
        <v>NON-NIL</v>
      </c>
      <c r="E14109">
        <f>TEST_DATA!E14109</f>
        <v>1981</v>
      </c>
    </row>
    <row r="14110" spans="1:5" x14ac:dyDescent="0.55000000000000004">
      <c r="A14110" t="str">
        <f>TEST_DATA!A14110</f>
        <v>27AAAAA14110Z5</v>
      </c>
      <c r="B14110" t="str">
        <f>TEST_DATA!B14110</f>
        <v>Nov-2017</v>
      </c>
      <c r="C14110">
        <f>TEST_DATA!C14110</f>
        <v>43106</v>
      </c>
      <c r="D14110" t="str">
        <f>TEST_DATA!D14110</f>
        <v>NIL</v>
      </c>
      <c r="E14110">
        <f>TEST_DATA!E14110</f>
        <v>546</v>
      </c>
    </row>
    <row r="14111" spans="1:5" x14ac:dyDescent="0.55000000000000004">
      <c r="A14111" t="str">
        <f>TEST_DATA!A14111</f>
        <v>27AAAAA14111Z5</v>
      </c>
      <c r="B14111" t="str">
        <f>TEST_DATA!B14111</f>
        <v>Sep-2018</v>
      </c>
      <c r="C14111">
        <f>TEST_DATA!C14111</f>
        <v>43136</v>
      </c>
      <c r="D14111" t="str">
        <f>TEST_DATA!D14111</f>
        <v>NON-NIL</v>
      </c>
      <c r="E14111">
        <f>TEST_DATA!E14111</f>
        <v>2115</v>
      </c>
    </row>
    <row r="14112" spans="1:5" x14ac:dyDescent="0.55000000000000004">
      <c r="A14112" t="str">
        <f>TEST_DATA!A14112</f>
        <v>27AAAAA14112Z5</v>
      </c>
      <c r="B14112" t="str">
        <f>TEST_DATA!B14112</f>
        <v>Oct-2017</v>
      </c>
      <c r="C14112">
        <f>TEST_DATA!C14112</f>
        <v>42918</v>
      </c>
      <c r="D14112" t="str">
        <f>TEST_DATA!D14112</f>
        <v>NIL</v>
      </c>
      <c r="E14112">
        <f>TEST_DATA!E14112</f>
        <v>2701</v>
      </c>
    </row>
    <row r="14113" spans="1:5" x14ac:dyDescent="0.55000000000000004">
      <c r="A14113" t="str">
        <f>TEST_DATA!A14113</f>
        <v>27AAAAA14113Z5</v>
      </c>
      <c r="B14113" t="str">
        <f>TEST_DATA!B14113</f>
        <v>Mar-2023</v>
      </c>
      <c r="C14113">
        <f>TEST_DATA!C14113</f>
        <v>45325</v>
      </c>
      <c r="D14113" t="str">
        <f>TEST_DATA!D14113</f>
        <v>NON-NIL</v>
      </c>
      <c r="E14113">
        <f>TEST_DATA!E14113</f>
        <v>1756</v>
      </c>
    </row>
    <row r="14114" spans="1:5" x14ac:dyDescent="0.55000000000000004">
      <c r="A14114" t="str">
        <f>TEST_DATA!A14114</f>
        <v>27AAAAA14114Z5</v>
      </c>
      <c r="B14114" t="str">
        <f>TEST_DATA!B14114</f>
        <v>Feb-2018</v>
      </c>
      <c r="C14114">
        <f>TEST_DATA!C14114</f>
        <v>43669</v>
      </c>
      <c r="D14114" t="str">
        <f>TEST_DATA!D14114</f>
        <v>NIL</v>
      </c>
      <c r="E14114">
        <f>TEST_DATA!E14114</f>
        <v>349</v>
      </c>
    </row>
    <row r="14115" spans="1:5" x14ac:dyDescent="0.55000000000000004">
      <c r="A14115" t="str">
        <f>TEST_DATA!A14115</f>
        <v>27AAAAA14115Z5</v>
      </c>
      <c r="B14115" t="str">
        <f>TEST_DATA!B14115</f>
        <v>May-2018</v>
      </c>
      <c r="C14115">
        <f>TEST_DATA!C14115</f>
        <v>43228</v>
      </c>
      <c r="D14115" t="str">
        <f>TEST_DATA!D14115</f>
        <v>NON-NIL</v>
      </c>
      <c r="E14115">
        <f>TEST_DATA!E14115</f>
        <v>1982</v>
      </c>
    </row>
    <row r="14116" spans="1:5" x14ac:dyDescent="0.55000000000000004">
      <c r="A14116" t="str">
        <f>TEST_DATA!A14116</f>
        <v>27AAAAA14116Z5</v>
      </c>
      <c r="B14116" t="str">
        <f>TEST_DATA!B14116</f>
        <v>Jan-2018</v>
      </c>
      <c r="C14116">
        <f>TEST_DATA!C14116</f>
        <v>44255</v>
      </c>
      <c r="D14116" t="str">
        <f>TEST_DATA!D14116</f>
        <v>NON-NIL</v>
      </c>
      <c r="E14116">
        <f>TEST_DATA!E14116</f>
        <v>469</v>
      </c>
    </row>
    <row r="14117" spans="1:5" x14ac:dyDescent="0.55000000000000004">
      <c r="A14117" t="str">
        <f>TEST_DATA!A14117</f>
        <v>27AAAAA14117Z5</v>
      </c>
      <c r="B14117" t="str">
        <f>TEST_DATA!B14117</f>
        <v>Sep-2017</v>
      </c>
      <c r="C14117">
        <f>TEST_DATA!C14117</f>
        <v>42942</v>
      </c>
      <c r="D14117" t="str">
        <f>TEST_DATA!D14117</f>
        <v>NON-NIL</v>
      </c>
      <c r="E14117">
        <f>TEST_DATA!E14117</f>
        <v>26</v>
      </c>
    </row>
    <row r="14118" spans="1:5" x14ac:dyDescent="0.55000000000000004">
      <c r="A14118" t="str">
        <f>TEST_DATA!A14118</f>
        <v>27AAAAA14118Z5</v>
      </c>
      <c r="B14118" t="str">
        <f>TEST_DATA!B14118</f>
        <v>Jul-2018</v>
      </c>
      <c r="C14118">
        <f>TEST_DATA!C14118</f>
        <v>44010</v>
      </c>
      <c r="D14118" t="str">
        <f>TEST_DATA!D14118</f>
        <v>NON-NIL</v>
      </c>
      <c r="E14118">
        <f>TEST_DATA!E14118</f>
        <v>2154</v>
      </c>
    </row>
    <row r="14119" spans="1:5" x14ac:dyDescent="0.55000000000000004">
      <c r="A14119" t="str">
        <f>TEST_DATA!A14119</f>
        <v>27AAAAA14119Z5</v>
      </c>
      <c r="B14119" t="str">
        <f>TEST_DATA!B14119</f>
        <v>May-2020</v>
      </c>
      <c r="C14119">
        <f>TEST_DATA!C14119</f>
        <v>44718</v>
      </c>
      <c r="D14119" t="str">
        <f>TEST_DATA!D14119</f>
        <v>NON-NIL</v>
      </c>
      <c r="E14119">
        <f>TEST_DATA!E14119</f>
        <v>1716</v>
      </c>
    </row>
    <row r="14120" spans="1:5" x14ac:dyDescent="0.55000000000000004">
      <c r="A14120" t="str">
        <f>TEST_DATA!A14120</f>
        <v>27AAAAA14120Z5</v>
      </c>
      <c r="B14120" t="str">
        <f>TEST_DATA!B14120</f>
        <v>Jan-2021</v>
      </c>
      <c r="C14120">
        <f>TEST_DATA!C14120</f>
        <v>44724</v>
      </c>
      <c r="D14120" t="str">
        <f>TEST_DATA!D14120</f>
        <v>NIL</v>
      </c>
      <c r="E14120">
        <f>TEST_DATA!E14120</f>
        <v>1191</v>
      </c>
    </row>
    <row r="14121" spans="1:5" x14ac:dyDescent="0.55000000000000004">
      <c r="A14121" t="str">
        <f>TEST_DATA!A14121</f>
        <v>27AAAAA14121Z5</v>
      </c>
      <c r="B14121" t="str">
        <f>TEST_DATA!B14121</f>
        <v>Jan-2019</v>
      </c>
      <c r="C14121">
        <f>TEST_DATA!C14121</f>
        <v>44429</v>
      </c>
      <c r="D14121" t="str">
        <f>TEST_DATA!D14121</f>
        <v>NON-NIL</v>
      </c>
      <c r="E14121">
        <f>TEST_DATA!E14121</f>
        <v>2485</v>
      </c>
    </row>
    <row r="14122" spans="1:5" x14ac:dyDescent="0.55000000000000004">
      <c r="A14122" t="str">
        <f>TEST_DATA!A14122</f>
        <v>27AAAAA14122Z5</v>
      </c>
      <c r="B14122" t="str">
        <f>TEST_DATA!B14122</f>
        <v>Dec-2022</v>
      </c>
      <c r="C14122">
        <f>TEST_DATA!C14122</f>
        <v>44739</v>
      </c>
      <c r="D14122" t="str">
        <f>TEST_DATA!D14122</f>
        <v>NON-NIL</v>
      </c>
      <c r="E14122">
        <f>TEST_DATA!E14122</f>
        <v>2249</v>
      </c>
    </row>
    <row r="14123" spans="1:5" x14ac:dyDescent="0.55000000000000004">
      <c r="A14123" t="str">
        <f>TEST_DATA!A14123</f>
        <v>27AAAAA14123Z5</v>
      </c>
      <c r="B14123" t="str">
        <f>TEST_DATA!B14123</f>
        <v>Mar-2020</v>
      </c>
      <c r="C14123">
        <f>TEST_DATA!C14123</f>
        <v>44518</v>
      </c>
      <c r="D14123" t="str">
        <f>TEST_DATA!D14123</f>
        <v>NIL</v>
      </c>
      <c r="E14123">
        <f>TEST_DATA!E14123</f>
        <v>2604</v>
      </c>
    </row>
    <row r="14124" spans="1:5" x14ac:dyDescent="0.55000000000000004">
      <c r="A14124" t="str">
        <f>TEST_DATA!A14124</f>
        <v>27AAAAA14124Z5</v>
      </c>
      <c r="B14124" t="str">
        <f>TEST_DATA!B14124</f>
        <v>Sep-2018</v>
      </c>
      <c r="C14124">
        <f>TEST_DATA!C14124</f>
        <v>43514</v>
      </c>
      <c r="D14124" t="str">
        <f>TEST_DATA!D14124</f>
        <v>NIL</v>
      </c>
      <c r="E14124">
        <f>TEST_DATA!E14124</f>
        <v>1404</v>
      </c>
    </row>
    <row r="14125" spans="1:5" x14ac:dyDescent="0.55000000000000004">
      <c r="A14125" t="str">
        <f>TEST_DATA!A14125</f>
        <v>27AAAAA14125Z5</v>
      </c>
      <c r="B14125" t="str">
        <f>TEST_DATA!B14125</f>
        <v>Dec-2017</v>
      </c>
      <c r="C14125">
        <f>TEST_DATA!C14125</f>
        <v>43567</v>
      </c>
      <c r="D14125" t="str">
        <f>TEST_DATA!D14125</f>
        <v>NON-NIL</v>
      </c>
      <c r="E14125">
        <f>TEST_DATA!E14125</f>
        <v>1819</v>
      </c>
    </row>
    <row r="14126" spans="1:5" x14ac:dyDescent="0.55000000000000004">
      <c r="A14126" t="str">
        <f>TEST_DATA!A14126</f>
        <v>27AAAAA14126Z5</v>
      </c>
      <c r="B14126" t="str">
        <f>TEST_DATA!B14126</f>
        <v>Jul-2018</v>
      </c>
      <c r="C14126">
        <f>TEST_DATA!C14126</f>
        <v>44019</v>
      </c>
      <c r="D14126" t="str">
        <f>TEST_DATA!D14126</f>
        <v>NON-NIL</v>
      </c>
      <c r="E14126">
        <f>TEST_DATA!E14126</f>
        <v>2938</v>
      </c>
    </row>
    <row r="14127" spans="1:5" x14ac:dyDescent="0.55000000000000004">
      <c r="A14127" t="str">
        <f>TEST_DATA!A14127</f>
        <v>27AAAAA14127Z5</v>
      </c>
      <c r="B14127" t="str">
        <f>TEST_DATA!B14127</f>
        <v>Jan-2019</v>
      </c>
      <c r="C14127">
        <f>TEST_DATA!C14127</f>
        <v>44371</v>
      </c>
      <c r="D14127" t="str">
        <f>TEST_DATA!D14127</f>
        <v>NON-NIL</v>
      </c>
      <c r="E14127">
        <f>TEST_DATA!E14127</f>
        <v>362</v>
      </c>
    </row>
    <row r="14128" spans="1:5" x14ac:dyDescent="0.55000000000000004">
      <c r="A14128" t="str">
        <f>TEST_DATA!A14128</f>
        <v>27AAAAA14128Z5</v>
      </c>
      <c r="B14128" t="str">
        <f>TEST_DATA!B14128</f>
        <v>Jul-2018</v>
      </c>
      <c r="C14128">
        <f>TEST_DATA!C14128</f>
        <v>44200</v>
      </c>
      <c r="D14128" t="str">
        <f>TEST_DATA!D14128</f>
        <v>NON-NIL</v>
      </c>
      <c r="E14128">
        <f>TEST_DATA!E14128</f>
        <v>139</v>
      </c>
    </row>
    <row r="14129" spans="1:5" x14ac:dyDescent="0.55000000000000004">
      <c r="A14129" t="str">
        <f>TEST_DATA!A14129</f>
        <v>27AAAAA14129Z5</v>
      </c>
      <c r="B14129" t="str">
        <f>TEST_DATA!B14129</f>
        <v>Feb-2018</v>
      </c>
      <c r="C14129">
        <f>TEST_DATA!C14129</f>
        <v>44402</v>
      </c>
      <c r="D14129" t="str">
        <f>TEST_DATA!D14129</f>
        <v>NIL</v>
      </c>
      <c r="E14129">
        <f>TEST_DATA!E14129</f>
        <v>2736</v>
      </c>
    </row>
    <row r="14130" spans="1:5" x14ac:dyDescent="0.55000000000000004">
      <c r="A14130" t="str">
        <f>TEST_DATA!A14130</f>
        <v>27AAAAA14130Z5</v>
      </c>
      <c r="B14130" t="str">
        <f>TEST_DATA!B14130</f>
        <v>May-2020</v>
      </c>
      <c r="C14130">
        <f>TEST_DATA!C14130</f>
        <v>44341</v>
      </c>
      <c r="D14130" t="str">
        <f>TEST_DATA!D14130</f>
        <v>NON-NIL</v>
      </c>
      <c r="E14130">
        <f>TEST_DATA!E14130</f>
        <v>123</v>
      </c>
    </row>
    <row r="14131" spans="1:5" x14ac:dyDescent="0.55000000000000004">
      <c r="A14131" t="str">
        <f>TEST_DATA!A14131</f>
        <v>27AAAAA14131Z5</v>
      </c>
      <c r="B14131" t="str">
        <f>TEST_DATA!B14131</f>
        <v>Oct-2017</v>
      </c>
      <c r="C14131">
        <f>TEST_DATA!C14131</f>
        <v>43459</v>
      </c>
      <c r="D14131" t="str">
        <f>TEST_DATA!D14131</f>
        <v>NIL</v>
      </c>
      <c r="E14131">
        <f>TEST_DATA!E14131</f>
        <v>2519</v>
      </c>
    </row>
    <row r="14132" spans="1:5" x14ac:dyDescent="0.55000000000000004">
      <c r="A14132" t="str">
        <f>TEST_DATA!A14132</f>
        <v>27AAAAA14132Z5</v>
      </c>
      <c r="B14132" t="str">
        <f>TEST_DATA!B14132</f>
        <v>Jun-2018</v>
      </c>
      <c r="C14132">
        <f>TEST_DATA!C14132</f>
        <v>44376</v>
      </c>
      <c r="D14132" t="str">
        <f>TEST_DATA!D14132</f>
        <v>NIL</v>
      </c>
      <c r="E14132">
        <f>TEST_DATA!E14132</f>
        <v>2780</v>
      </c>
    </row>
    <row r="14133" spans="1:5" x14ac:dyDescent="0.55000000000000004">
      <c r="A14133" t="str">
        <f>TEST_DATA!A14133</f>
        <v>27AAAAA14133Z5</v>
      </c>
      <c r="B14133" t="str">
        <f>TEST_DATA!B14133</f>
        <v>Sep-2018</v>
      </c>
      <c r="C14133">
        <f>TEST_DATA!C14133</f>
        <v>44547</v>
      </c>
      <c r="D14133" t="str">
        <f>TEST_DATA!D14133</f>
        <v>NIL</v>
      </c>
      <c r="E14133">
        <f>TEST_DATA!E14133</f>
        <v>1438</v>
      </c>
    </row>
    <row r="14134" spans="1:5" x14ac:dyDescent="0.55000000000000004">
      <c r="A14134" t="str">
        <f>TEST_DATA!A14134</f>
        <v>27AAAAA14134Z5</v>
      </c>
      <c r="B14134" t="str">
        <f>TEST_DATA!B14134</f>
        <v>May-2020</v>
      </c>
      <c r="C14134">
        <f>TEST_DATA!C14134</f>
        <v>44030</v>
      </c>
      <c r="D14134" t="str">
        <f>TEST_DATA!D14134</f>
        <v>NON-NIL</v>
      </c>
      <c r="E14134">
        <f>TEST_DATA!E14134</f>
        <v>2983</v>
      </c>
    </row>
    <row r="14135" spans="1:5" x14ac:dyDescent="0.55000000000000004">
      <c r="A14135" t="str">
        <f>TEST_DATA!A14135</f>
        <v>27AAAAA14135Z5</v>
      </c>
      <c r="B14135" t="str">
        <f>TEST_DATA!B14135</f>
        <v>Jun-2020</v>
      </c>
      <c r="C14135">
        <f>TEST_DATA!C14135</f>
        <v>44286</v>
      </c>
      <c r="D14135" t="str">
        <f>TEST_DATA!D14135</f>
        <v>NIL</v>
      </c>
      <c r="E14135">
        <f>TEST_DATA!E14135</f>
        <v>915</v>
      </c>
    </row>
    <row r="14136" spans="1:5" x14ac:dyDescent="0.55000000000000004">
      <c r="A14136" t="str">
        <f>TEST_DATA!A14136</f>
        <v>27AAAAA14136Z5</v>
      </c>
      <c r="B14136" t="str">
        <f>TEST_DATA!B14136</f>
        <v>Aug-2017</v>
      </c>
      <c r="C14136">
        <f>TEST_DATA!C14136</f>
        <v>44249</v>
      </c>
      <c r="D14136" t="str">
        <f>TEST_DATA!D14136</f>
        <v>NON-NIL</v>
      </c>
      <c r="E14136">
        <f>TEST_DATA!E14136</f>
        <v>1997</v>
      </c>
    </row>
    <row r="14137" spans="1:5" x14ac:dyDescent="0.55000000000000004">
      <c r="A14137" t="str">
        <f>TEST_DATA!A14137</f>
        <v>27AAAAA14137Z5</v>
      </c>
      <c r="B14137" t="str">
        <f>TEST_DATA!B14137</f>
        <v>Jan-2019</v>
      </c>
      <c r="C14137">
        <f>TEST_DATA!C14137</f>
        <v>44084</v>
      </c>
      <c r="D14137" t="str">
        <f>TEST_DATA!D14137</f>
        <v>NON-NIL</v>
      </c>
      <c r="E14137">
        <f>TEST_DATA!E14137</f>
        <v>2939</v>
      </c>
    </row>
    <row r="14138" spans="1:5" x14ac:dyDescent="0.55000000000000004">
      <c r="A14138" t="str">
        <f>TEST_DATA!A14138</f>
        <v>27AAAAA14138Z5</v>
      </c>
      <c r="B14138" t="str">
        <f>TEST_DATA!B14138</f>
        <v>Mar-2020</v>
      </c>
      <c r="C14138">
        <f>TEST_DATA!C14138</f>
        <v>44688</v>
      </c>
      <c r="D14138" t="str">
        <f>TEST_DATA!D14138</f>
        <v>NIL</v>
      </c>
      <c r="E14138">
        <f>TEST_DATA!E14138</f>
        <v>2875</v>
      </c>
    </row>
    <row r="14139" spans="1:5" x14ac:dyDescent="0.55000000000000004">
      <c r="A14139" t="str">
        <f>TEST_DATA!A14139</f>
        <v>27AAAAA14139Z5</v>
      </c>
      <c r="B14139" t="str">
        <f>TEST_DATA!B14139</f>
        <v>Sep-2017</v>
      </c>
      <c r="C14139">
        <f>TEST_DATA!C14139</f>
        <v>43657</v>
      </c>
      <c r="D14139" t="str">
        <f>TEST_DATA!D14139</f>
        <v>NON-NIL</v>
      </c>
      <c r="E14139">
        <f>TEST_DATA!E14139</f>
        <v>2812</v>
      </c>
    </row>
    <row r="14140" spans="1:5" x14ac:dyDescent="0.55000000000000004">
      <c r="A14140" t="str">
        <f>TEST_DATA!A14140</f>
        <v>27AAAAA14140Z5</v>
      </c>
      <c r="B14140" t="str">
        <f>TEST_DATA!B14140</f>
        <v>Jun-2020</v>
      </c>
      <c r="C14140">
        <f>TEST_DATA!C14140</f>
        <v>44301</v>
      </c>
      <c r="D14140" t="str">
        <f>TEST_DATA!D14140</f>
        <v>NIL</v>
      </c>
      <c r="E14140">
        <f>TEST_DATA!E14140</f>
        <v>2068</v>
      </c>
    </row>
    <row r="14141" spans="1:5" x14ac:dyDescent="0.55000000000000004">
      <c r="A14141" t="str">
        <f>TEST_DATA!A14141</f>
        <v>27AAAAA14141Z5</v>
      </c>
      <c r="B14141" t="str">
        <f>TEST_DATA!B14141</f>
        <v>Mar-2021</v>
      </c>
      <c r="C14141">
        <f>TEST_DATA!C14141</f>
        <v>44658</v>
      </c>
      <c r="D14141" t="str">
        <f>TEST_DATA!D14141</f>
        <v>NIL</v>
      </c>
      <c r="E14141">
        <f>TEST_DATA!E14141</f>
        <v>1611</v>
      </c>
    </row>
    <row r="14142" spans="1:5" x14ac:dyDescent="0.55000000000000004">
      <c r="A14142" t="str">
        <f>TEST_DATA!A14142</f>
        <v>27AAAAA14142Z5</v>
      </c>
      <c r="B14142" t="str">
        <f>TEST_DATA!B14142</f>
        <v>Nov-2017</v>
      </c>
      <c r="C14142">
        <f>TEST_DATA!C14142</f>
        <v>44466</v>
      </c>
      <c r="D14142" t="str">
        <f>TEST_DATA!D14142</f>
        <v>NIL</v>
      </c>
      <c r="E14142">
        <f>TEST_DATA!E14142</f>
        <v>1779</v>
      </c>
    </row>
    <row r="14143" spans="1:5" x14ac:dyDescent="0.55000000000000004">
      <c r="A14143" t="str">
        <f>TEST_DATA!A14143</f>
        <v>27AAAAA14143Z5</v>
      </c>
      <c r="B14143" t="str">
        <f>TEST_DATA!B14143</f>
        <v>Dec-2017</v>
      </c>
      <c r="C14143">
        <f>TEST_DATA!C14143</f>
        <v>44038</v>
      </c>
      <c r="D14143" t="str">
        <f>TEST_DATA!D14143</f>
        <v>NIL</v>
      </c>
      <c r="E14143">
        <f>TEST_DATA!E14143</f>
        <v>1314</v>
      </c>
    </row>
    <row r="14144" spans="1:5" x14ac:dyDescent="0.55000000000000004">
      <c r="A14144" t="str">
        <f>TEST_DATA!A14144</f>
        <v>27AAAAA14144Z5</v>
      </c>
      <c r="B14144" t="str">
        <f>TEST_DATA!B14144</f>
        <v>Jan-2021</v>
      </c>
      <c r="C14144">
        <f>TEST_DATA!C14144</f>
        <v>45139</v>
      </c>
      <c r="D14144" t="str">
        <f>TEST_DATA!D14144</f>
        <v>NON-NIL</v>
      </c>
      <c r="E14144">
        <f>TEST_DATA!E14144</f>
        <v>219</v>
      </c>
    </row>
    <row r="14145" spans="1:5" x14ac:dyDescent="0.55000000000000004">
      <c r="A14145" t="str">
        <f>TEST_DATA!A14145</f>
        <v>27AAAAA14145Z5</v>
      </c>
      <c r="B14145" t="str">
        <f>TEST_DATA!B14145</f>
        <v>Jun-2020</v>
      </c>
      <c r="C14145">
        <f>TEST_DATA!C14145</f>
        <v>44226</v>
      </c>
      <c r="D14145" t="str">
        <f>TEST_DATA!D14145</f>
        <v>NIL</v>
      </c>
      <c r="E14145">
        <f>TEST_DATA!E14145</f>
        <v>2358</v>
      </c>
    </row>
    <row r="14146" spans="1:5" x14ac:dyDescent="0.55000000000000004">
      <c r="A14146" t="str">
        <f>TEST_DATA!A14146</f>
        <v>27AAAAA14146Z5</v>
      </c>
      <c r="B14146" t="str">
        <f>TEST_DATA!B14146</f>
        <v>Dec-2019</v>
      </c>
      <c r="C14146">
        <f>TEST_DATA!C14146</f>
        <v>43703</v>
      </c>
      <c r="D14146" t="str">
        <f>TEST_DATA!D14146</f>
        <v>NON-NIL</v>
      </c>
      <c r="E14146">
        <f>TEST_DATA!E14146</f>
        <v>343</v>
      </c>
    </row>
    <row r="14147" spans="1:5" x14ac:dyDescent="0.55000000000000004">
      <c r="A14147" t="str">
        <f>TEST_DATA!A14147</f>
        <v>27AAAAA14147Z5</v>
      </c>
      <c r="B14147" t="str">
        <f>TEST_DATA!B14147</f>
        <v>May-2020</v>
      </c>
      <c r="C14147">
        <f>TEST_DATA!C14147</f>
        <v>44900</v>
      </c>
      <c r="D14147" t="str">
        <f>TEST_DATA!D14147</f>
        <v>NIL</v>
      </c>
      <c r="E14147">
        <f>TEST_DATA!E14147</f>
        <v>1077</v>
      </c>
    </row>
    <row r="14148" spans="1:5" x14ac:dyDescent="0.55000000000000004">
      <c r="A14148" t="str">
        <f>TEST_DATA!A14148</f>
        <v>27AAAAA14148Z5</v>
      </c>
      <c r="B14148" t="str">
        <f>TEST_DATA!B14148</f>
        <v>Jan-2018</v>
      </c>
      <c r="C14148">
        <f>TEST_DATA!C14148</f>
        <v>43478</v>
      </c>
      <c r="D14148" t="str">
        <f>TEST_DATA!D14148</f>
        <v>NIL</v>
      </c>
      <c r="E14148">
        <f>TEST_DATA!E14148</f>
        <v>1668</v>
      </c>
    </row>
    <row r="14149" spans="1:5" x14ac:dyDescent="0.55000000000000004">
      <c r="A14149" t="str">
        <f>TEST_DATA!A14149</f>
        <v>27AAAAA14149Z5</v>
      </c>
      <c r="B14149" t="str">
        <f>TEST_DATA!B14149</f>
        <v>Feb-2018</v>
      </c>
      <c r="C14149">
        <f>TEST_DATA!C14149</f>
        <v>43575</v>
      </c>
      <c r="D14149" t="str">
        <f>TEST_DATA!D14149</f>
        <v>NON-NIL</v>
      </c>
      <c r="E14149">
        <f>TEST_DATA!E14149</f>
        <v>2160</v>
      </c>
    </row>
    <row r="14150" spans="1:5" x14ac:dyDescent="0.55000000000000004">
      <c r="A14150" t="str">
        <f>TEST_DATA!A14150</f>
        <v>27AAAAA14150Z5</v>
      </c>
      <c r="B14150" t="str">
        <f>TEST_DATA!B14150</f>
        <v>Aug-2017</v>
      </c>
      <c r="C14150">
        <f>TEST_DATA!C14150</f>
        <v>44335</v>
      </c>
      <c r="D14150" t="str">
        <f>TEST_DATA!D14150</f>
        <v>NON-NIL</v>
      </c>
      <c r="E14150">
        <f>TEST_DATA!E14150</f>
        <v>1814</v>
      </c>
    </row>
    <row r="14151" spans="1:5" x14ac:dyDescent="0.55000000000000004">
      <c r="A14151" t="str">
        <f>TEST_DATA!A14151</f>
        <v>27AAAAA14151Z5</v>
      </c>
      <c r="B14151" t="str">
        <f>TEST_DATA!B14151</f>
        <v>Apr-2020</v>
      </c>
      <c r="C14151">
        <f>TEST_DATA!C14151</f>
        <v>44340</v>
      </c>
      <c r="D14151" t="str">
        <f>TEST_DATA!D14151</f>
        <v>NON-NIL</v>
      </c>
      <c r="E14151">
        <f>TEST_DATA!E14151</f>
        <v>1995</v>
      </c>
    </row>
    <row r="14152" spans="1:5" x14ac:dyDescent="0.55000000000000004">
      <c r="A14152" t="str">
        <f>TEST_DATA!A14152</f>
        <v>27AAAAA14152Z5</v>
      </c>
      <c r="B14152" t="str">
        <f>TEST_DATA!B14152</f>
        <v>Nov-2017</v>
      </c>
      <c r="C14152">
        <f>TEST_DATA!C14152</f>
        <v>43520</v>
      </c>
      <c r="D14152" t="str">
        <f>TEST_DATA!D14152</f>
        <v>NON-NIL</v>
      </c>
      <c r="E14152">
        <f>TEST_DATA!E14152</f>
        <v>385</v>
      </c>
    </row>
    <row r="14153" spans="1:5" x14ac:dyDescent="0.55000000000000004">
      <c r="A14153" t="str">
        <f>TEST_DATA!A14153</f>
        <v>27AAAAA14153Z5</v>
      </c>
      <c r="B14153" t="str">
        <f>TEST_DATA!B14153</f>
        <v>Jul-2020</v>
      </c>
      <c r="C14153">
        <f>TEST_DATA!C14153</f>
        <v>44700</v>
      </c>
      <c r="D14153" t="str">
        <f>TEST_DATA!D14153</f>
        <v>NON-NIL</v>
      </c>
      <c r="E14153">
        <f>TEST_DATA!E14153</f>
        <v>1587</v>
      </c>
    </row>
    <row r="14154" spans="1:5" x14ac:dyDescent="0.55000000000000004">
      <c r="A14154" t="str">
        <f>TEST_DATA!A14154</f>
        <v>27AAAAA14154Z5</v>
      </c>
      <c r="B14154" t="str">
        <f>TEST_DATA!B14154</f>
        <v>Nov-2017</v>
      </c>
      <c r="C14154">
        <f>TEST_DATA!C14154</f>
        <v>43110</v>
      </c>
      <c r="D14154" t="str">
        <f>TEST_DATA!D14154</f>
        <v>NON-NIL</v>
      </c>
      <c r="E14154">
        <f>TEST_DATA!E14154</f>
        <v>1188</v>
      </c>
    </row>
    <row r="14155" spans="1:5" x14ac:dyDescent="0.55000000000000004">
      <c r="A14155" t="str">
        <f>TEST_DATA!A14155</f>
        <v>27AAAAA14155Z5</v>
      </c>
      <c r="B14155" t="str">
        <f>TEST_DATA!B14155</f>
        <v>Feb-2018</v>
      </c>
      <c r="C14155">
        <f>TEST_DATA!C14155</f>
        <v>42959</v>
      </c>
      <c r="D14155" t="str">
        <f>TEST_DATA!D14155</f>
        <v>NON-NIL</v>
      </c>
      <c r="E14155">
        <f>TEST_DATA!E14155</f>
        <v>1171</v>
      </c>
    </row>
    <row r="14156" spans="1:5" x14ac:dyDescent="0.55000000000000004">
      <c r="A14156" t="str">
        <f>TEST_DATA!A14156</f>
        <v>27AAAAA14156Z5</v>
      </c>
      <c r="B14156" t="str">
        <f>TEST_DATA!B14156</f>
        <v>Jan-2019</v>
      </c>
      <c r="C14156">
        <f>TEST_DATA!C14156</f>
        <v>44700</v>
      </c>
      <c r="D14156" t="str">
        <f>TEST_DATA!D14156</f>
        <v>NIL</v>
      </c>
      <c r="E14156">
        <f>TEST_DATA!E14156</f>
        <v>2468</v>
      </c>
    </row>
    <row r="14157" spans="1:5" x14ac:dyDescent="0.55000000000000004">
      <c r="A14157" t="str">
        <f>TEST_DATA!A14157</f>
        <v>27AAAAA14157Z5</v>
      </c>
      <c r="B14157" t="str">
        <f>TEST_DATA!B14157</f>
        <v>May-2020</v>
      </c>
      <c r="C14157">
        <f>TEST_DATA!C14157</f>
        <v>44242</v>
      </c>
      <c r="D14157" t="str">
        <f>TEST_DATA!D14157</f>
        <v>NIL</v>
      </c>
      <c r="E14157">
        <f>TEST_DATA!E14157</f>
        <v>1600</v>
      </c>
    </row>
    <row r="14158" spans="1:5" x14ac:dyDescent="0.55000000000000004">
      <c r="A14158" t="str">
        <f>TEST_DATA!A14158</f>
        <v>27AAAAA14158Z5</v>
      </c>
      <c r="B14158" t="str">
        <f>TEST_DATA!B14158</f>
        <v>Jun-2019</v>
      </c>
      <c r="C14158">
        <f>TEST_DATA!C14158</f>
        <v>44433</v>
      </c>
      <c r="D14158" t="str">
        <f>TEST_DATA!D14158</f>
        <v>NON-NIL</v>
      </c>
      <c r="E14158">
        <f>TEST_DATA!E14158</f>
        <v>2140</v>
      </c>
    </row>
    <row r="14159" spans="1:5" x14ac:dyDescent="0.55000000000000004">
      <c r="A14159" t="str">
        <f>TEST_DATA!A14159</f>
        <v>27AAAAA14159Z5</v>
      </c>
      <c r="B14159" t="str">
        <f>TEST_DATA!B14159</f>
        <v>Jan-2019</v>
      </c>
      <c r="C14159">
        <f>TEST_DATA!C14159</f>
        <v>43565</v>
      </c>
      <c r="D14159" t="str">
        <f>TEST_DATA!D14159</f>
        <v>NIL</v>
      </c>
      <c r="E14159">
        <f>TEST_DATA!E14159</f>
        <v>2390</v>
      </c>
    </row>
    <row r="14160" spans="1:5" x14ac:dyDescent="0.55000000000000004">
      <c r="A14160" t="str">
        <f>TEST_DATA!A14160</f>
        <v>27AAAAA14160Z5</v>
      </c>
      <c r="B14160" t="str">
        <f>TEST_DATA!B14160</f>
        <v>Mar-2023</v>
      </c>
      <c r="C14160">
        <f>TEST_DATA!C14160</f>
        <v>44840</v>
      </c>
      <c r="D14160" t="str">
        <f>TEST_DATA!D14160</f>
        <v>NIL</v>
      </c>
      <c r="E14160">
        <f>TEST_DATA!E14160</f>
        <v>1722</v>
      </c>
    </row>
    <row r="14161" spans="1:5" x14ac:dyDescent="0.55000000000000004">
      <c r="A14161" t="str">
        <f>TEST_DATA!A14161</f>
        <v>27AAAAA14161Z5</v>
      </c>
      <c r="B14161" t="str">
        <f>TEST_DATA!B14161</f>
        <v>Jun-2020</v>
      </c>
      <c r="C14161">
        <f>TEST_DATA!C14161</f>
        <v>44176</v>
      </c>
      <c r="D14161" t="str">
        <f>TEST_DATA!D14161</f>
        <v>NIL</v>
      </c>
      <c r="E14161">
        <f>TEST_DATA!E14161</f>
        <v>2279</v>
      </c>
    </row>
    <row r="14162" spans="1:5" x14ac:dyDescent="0.55000000000000004">
      <c r="A14162" t="str">
        <f>TEST_DATA!A14162</f>
        <v>27AAAAA14162Z5</v>
      </c>
      <c r="B14162" t="str">
        <f>TEST_DATA!B14162</f>
        <v>Apr-2018</v>
      </c>
      <c r="C14162">
        <f>TEST_DATA!C14162</f>
        <v>43630</v>
      </c>
      <c r="D14162" t="str">
        <f>TEST_DATA!D14162</f>
        <v>NON-NIL</v>
      </c>
      <c r="E14162">
        <f>TEST_DATA!E14162</f>
        <v>2155</v>
      </c>
    </row>
    <row r="14163" spans="1:5" x14ac:dyDescent="0.55000000000000004">
      <c r="A14163" t="str">
        <f>TEST_DATA!A14163</f>
        <v>27AAAAA14163Z5</v>
      </c>
      <c r="B14163" t="str">
        <f>TEST_DATA!B14163</f>
        <v>Apr-2021</v>
      </c>
      <c r="C14163">
        <f>TEST_DATA!C14163</f>
        <v>44098</v>
      </c>
      <c r="D14163" t="str">
        <f>TEST_DATA!D14163</f>
        <v>NON-NIL</v>
      </c>
      <c r="E14163">
        <f>TEST_DATA!E14163</f>
        <v>572</v>
      </c>
    </row>
    <row r="14164" spans="1:5" x14ac:dyDescent="0.55000000000000004">
      <c r="A14164" t="str">
        <f>TEST_DATA!A14164</f>
        <v>27AAAAA14164Z5</v>
      </c>
      <c r="B14164" t="str">
        <f>TEST_DATA!B14164</f>
        <v>Sep-2018</v>
      </c>
      <c r="C14164">
        <f>TEST_DATA!C14164</f>
        <v>43893</v>
      </c>
      <c r="D14164" t="str">
        <f>TEST_DATA!D14164</f>
        <v>NIL</v>
      </c>
      <c r="E14164">
        <f>TEST_DATA!E14164</f>
        <v>914</v>
      </c>
    </row>
    <row r="14165" spans="1:5" x14ac:dyDescent="0.55000000000000004">
      <c r="A14165" t="str">
        <f>TEST_DATA!A14165</f>
        <v>27AAAAA14165Z5</v>
      </c>
      <c r="B14165" t="str">
        <f>TEST_DATA!B14165</f>
        <v>Oct-2017</v>
      </c>
      <c r="C14165">
        <f>TEST_DATA!C14165</f>
        <v>43300</v>
      </c>
      <c r="D14165" t="str">
        <f>TEST_DATA!D14165</f>
        <v>NON-NIL</v>
      </c>
      <c r="E14165">
        <f>TEST_DATA!E14165</f>
        <v>2134</v>
      </c>
    </row>
    <row r="14166" spans="1:5" x14ac:dyDescent="0.55000000000000004">
      <c r="A14166" t="str">
        <f>TEST_DATA!A14166</f>
        <v>27AAAAA14166Z5</v>
      </c>
      <c r="B14166" t="str">
        <f>TEST_DATA!B14166</f>
        <v>Oct-2017</v>
      </c>
      <c r="C14166">
        <f>TEST_DATA!C14166</f>
        <v>43184</v>
      </c>
      <c r="D14166" t="str">
        <f>TEST_DATA!D14166</f>
        <v>NON-NIL</v>
      </c>
      <c r="E14166">
        <f>TEST_DATA!E14166</f>
        <v>1611</v>
      </c>
    </row>
    <row r="14167" spans="1:5" x14ac:dyDescent="0.55000000000000004">
      <c r="A14167" t="str">
        <f>TEST_DATA!A14167</f>
        <v>27AAAAA14167Z5</v>
      </c>
      <c r="B14167" t="str">
        <f>TEST_DATA!B14167</f>
        <v>Jul-2018</v>
      </c>
      <c r="C14167">
        <f>TEST_DATA!C14167</f>
        <v>43373</v>
      </c>
      <c r="D14167" t="str">
        <f>TEST_DATA!D14167</f>
        <v>NON-NIL</v>
      </c>
      <c r="E14167">
        <f>TEST_DATA!E14167</f>
        <v>28</v>
      </c>
    </row>
    <row r="14168" spans="1:5" x14ac:dyDescent="0.55000000000000004">
      <c r="A14168" t="str">
        <f>TEST_DATA!A14168</f>
        <v>27AAAAA14168Z5</v>
      </c>
      <c r="B14168" t="str">
        <f>TEST_DATA!B14168</f>
        <v>Mar-2018</v>
      </c>
      <c r="C14168">
        <f>TEST_DATA!C14168</f>
        <v>44550</v>
      </c>
      <c r="D14168" t="str">
        <f>TEST_DATA!D14168</f>
        <v>NIL</v>
      </c>
      <c r="E14168">
        <f>TEST_DATA!E14168</f>
        <v>2551</v>
      </c>
    </row>
    <row r="14169" spans="1:5" x14ac:dyDescent="0.55000000000000004">
      <c r="A14169" t="str">
        <f>TEST_DATA!A14169</f>
        <v>27AAAAA14169Z5</v>
      </c>
      <c r="B14169" t="str">
        <f>TEST_DATA!B14169</f>
        <v>Sep-2018</v>
      </c>
      <c r="C14169">
        <f>TEST_DATA!C14169</f>
        <v>44437</v>
      </c>
      <c r="D14169" t="str">
        <f>TEST_DATA!D14169</f>
        <v>NON-NIL</v>
      </c>
      <c r="E14169">
        <f>TEST_DATA!E14169</f>
        <v>1070</v>
      </c>
    </row>
    <row r="14170" spans="1:5" x14ac:dyDescent="0.55000000000000004">
      <c r="A14170" t="str">
        <f>TEST_DATA!A14170</f>
        <v>27AAAAA14170Z5</v>
      </c>
      <c r="B14170" t="str">
        <f>TEST_DATA!B14170</f>
        <v>Sep-2018</v>
      </c>
      <c r="C14170">
        <f>TEST_DATA!C14170</f>
        <v>43788</v>
      </c>
      <c r="D14170" t="str">
        <f>TEST_DATA!D14170</f>
        <v>NON-NIL</v>
      </c>
      <c r="E14170">
        <f>TEST_DATA!E14170</f>
        <v>2928</v>
      </c>
    </row>
    <row r="14171" spans="1:5" x14ac:dyDescent="0.55000000000000004">
      <c r="A14171" t="str">
        <f>TEST_DATA!A14171</f>
        <v>27AAAAA14171Z5</v>
      </c>
      <c r="B14171" t="str">
        <f>TEST_DATA!B14171</f>
        <v>Dec-2017</v>
      </c>
      <c r="C14171">
        <f>TEST_DATA!C14171</f>
        <v>44492</v>
      </c>
      <c r="D14171" t="str">
        <f>TEST_DATA!D14171</f>
        <v>NIL</v>
      </c>
      <c r="E14171">
        <f>TEST_DATA!E14171</f>
        <v>1242</v>
      </c>
    </row>
    <row r="14172" spans="1:5" x14ac:dyDescent="0.55000000000000004">
      <c r="A14172" t="str">
        <f>TEST_DATA!A14172</f>
        <v>27AAAAA14172Z5</v>
      </c>
      <c r="B14172" t="str">
        <f>TEST_DATA!B14172</f>
        <v>Jul-2018</v>
      </c>
      <c r="C14172">
        <f>TEST_DATA!C14172</f>
        <v>44168</v>
      </c>
      <c r="D14172" t="str">
        <f>TEST_DATA!D14172</f>
        <v>NON-NIL</v>
      </c>
      <c r="E14172">
        <f>TEST_DATA!E14172</f>
        <v>2113</v>
      </c>
    </row>
    <row r="14173" spans="1:5" x14ac:dyDescent="0.55000000000000004">
      <c r="A14173" t="str">
        <f>TEST_DATA!A14173</f>
        <v>27AAAAA14173Z5</v>
      </c>
      <c r="B14173" t="str">
        <f>TEST_DATA!B14173</f>
        <v>Apr-2021</v>
      </c>
      <c r="C14173">
        <f>TEST_DATA!C14173</f>
        <v>44822</v>
      </c>
      <c r="D14173" t="str">
        <f>TEST_DATA!D14173</f>
        <v>NIL</v>
      </c>
      <c r="E14173">
        <f>TEST_DATA!E14173</f>
        <v>1688</v>
      </c>
    </row>
    <row r="14174" spans="1:5" x14ac:dyDescent="0.55000000000000004">
      <c r="A14174" t="str">
        <f>TEST_DATA!A14174</f>
        <v>27AAAAA14174Z5</v>
      </c>
      <c r="B14174" t="str">
        <f>TEST_DATA!B14174</f>
        <v>Mar-2020</v>
      </c>
      <c r="C14174">
        <f>TEST_DATA!C14174</f>
        <v>44195</v>
      </c>
      <c r="D14174" t="str">
        <f>TEST_DATA!D14174</f>
        <v>NIL</v>
      </c>
      <c r="E14174">
        <f>TEST_DATA!E14174</f>
        <v>1952</v>
      </c>
    </row>
    <row r="14175" spans="1:5" x14ac:dyDescent="0.55000000000000004">
      <c r="A14175" t="str">
        <f>TEST_DATA!A14175</f>
        <v>27AAAAA14175Z5</v>
      </c>
      <c r="B14175" t="str">
        <f>TEST_DATA!B14175</f>
        <v>Jun-2018</v>
      </c>
      <c r="C14175">
        <f>TEST_DATA!C14175</f>
        <v>43064</v>
      </c>
      <c r="D14175" t="str">
        <f>TEST_DATA!D14175</f>
        <v>NON-NIL</v>
      </c>
      <c r="E14175">
        <f>TEST_DATA!E14175</f>
        <v>427</v>
      </c>
    </row>
    <row r="14176" spans="1:5" x14ac:dyDescent="0.55000000000000004">
      <c r="A14176" t="str">
        <f>TEST_DATA!A14176</f>
        <v>27AAAAA14176Z5</v>
      </c>
      <c r="B14176" t="str">
        <f>TEST_DATA!B14176</f>
        <v>Feb-2018</v>
      </c>
      <c r="C14176">
        <f>TEST_DATA!C14176</f>
        <v>43677</v>
      </c>
      <c r="D14176" t="str">
        <f>TEST_DATA!D14176</f>
        <v>NIL</v>
      </c>
      <c r="E14176">
        <f>TEST_DATA!E14176</f>
        <v>2576</v>
      </c>
    </row>
    <row r="14177" spans="1:5" x14ac:dyDescent="0.55000000000000004">
      <c r="A14177" t="str">
        <f>TEST_DATA!A14177</f>
        <v>27AAAAA14177Z5</v>
      </c>
      <c r="B14177" t="str">
        <f>TEST_DATA!B14177</f>
        <v>Dec-2019</v>
      </c>
      <c r="C14177">
        <f>TEST_DATA!C14177</f>
        <v>44682</v>
      </c>
      <c r="D14177" t="str">
        <f>TEST_DATA!D14177</f>
        <v>NON-NIL</v>
      </c>
      <c r="E14177">
        <f>TEST_DATA!E14177</f>
        <v>1067</v>
      </c>
    </row>
    <row r="14178" spans="1:5" x14ac:dyDescent="0.55000000000000004">
      <c r="A14178" t="str">
        <f>TEST_DATA!A14178</f>
        <v>27AAAAA14178Z5</v>
      </c>
      <c r="B14178" t="str">
        <f>TEST_DATA!B14178</f>
        <v>May-2020</v>
      </c>
      <c r="C14178">
        <f>TEST_DATA!C14178</f>
        <v>44761</v>
      </c>
      <c r="D14178" t="str">
        <f>TEST_DATA!D14178</f>
        <v>NIL</v>
      </c>
      <c r="E14178">
        <f>TEST_DATA!E14178</f>
        <v>2915</v>
      </c>
    </row>
    <row r="14179" spans="1:5" x14ac:dyDescent="0.55000000000000004">
      <c r="A14179" t="str">
        <f>TEST_DATA!A14179</f>
        <v>27AAAAA14179Z5</v>
      </c>
      <c r="B14179" t="str">
        <f>TEST_DATA!B14179</f>
        <v>May-2020</v>
      </c>
      <c r="C14179">
        <f>TEST_DATA!C14179</f>
        <v>44500</v>
      </c>
      <c r="D14179" t="str">
        <f>TEST_DATA!D14179</f>
        <v>NIL</v>
      </c>
      <c r="E14179">
        <f>TEST_DATA!E14179</f>
        <v>2562</v>
      </c>
    </row>
    <row r="14180" spans="1:5" x14ac:dyDescent="0.55000000000000004">
      <c r="A14180" t="str">
        <f>TEST_DATA!A14180</f>
        <v>27AAAAA14180Z5</v>
      </c>
      <c r="B14180" t="str">
        <f>TEST_DATA!B14180</f>
        <v>Jul-2017</v>
      </c>
      <c r="C14180">
        <f>TEST_DATA!C14180</f>
        <v>43642</v>
      </c>
      <c r="D14180" t="str">
        <f>TEST_DATA!D14180</f>
        <v>NON-NIL</v>
      </c>
      <c r="E14180">
        <f>TEST_DATA!E14180</f>
        <v>1064</v>
      </c>
    </row>
    <row r="14181" spans="1:5" x14ac:dyDescent="0.55000000000000004">
      <c r="A14181" t="str">
        <f>TEST_DATA!A14181</f>
        <v>27AAAAA14181Z5</v>
      </c>
      <c r="B14181" t="str">
        <f>TEST_DATA!B14181</f>
        <v>Jun-2020</v>
      </c>
      <c r="C14181">
        <f>TEST_DATA!C14181</f>
        <v>44512</v>
      </c>
      <c r="D14181" t="str">
        <f>TEST_DATA!D14181</f>
        <v>NIL</v>
      </c>
      <c r="E14181">
        <f>TEST_DATA!E14181</f>
        <v>1985</v>
      </c>
    </row>
    <row r="14182" spans="1:5" x14ac:dyDescent="0.55000000000000004">
      <c r="A14182" t="str">
        <f>TEST_DATA!A14182</f>
        <v>27AAAAA14182Z5</v>
      </c>
      <c r="B14182" t="str">
        <f>TEST_DATA!B14182</f>
        <v>Aug-2018</v>
      </c>
      <c r="C14182">
        <f>TEST_DATA!C14182</f>
        <v>43776</v>
      </c>
      <c r="D14182" t="str">
        <f>TEST_DATA!D14182</f>
        <v>NON-NIL</v>
      </c>
      <c r="E14182">
        <f>TEST_DATA!E14182</f>
        <v>2190</v>
      </c>
    </row>
    <row r="14183" spans="1:5" x14ac:dyDescent="0.55000000000000004">
      <c r="A14183" t="str">
        <f>TEST_DATA!A14183</f>
        <v>27AAAAA14183Z5</v>
      </c>
      <c r="B14183" t="str">
        <f>TEST_DATA!B14183</f>
        <v>Sep-2018</v>
      </c>
      <c r="C14183">
        <f>TEST_DATA!C14183</f>
        <v>43977</v>
      </c>
      <c r="D14183" t="str">
        <f>TEST_DATA!D14183</f>
        <v>NON-NIL</v>
      </c>
      <c r="E14183">
        <f>TEST_DATA!E14183</f>
        <v>471</v>
      </c>
    </row>
    <row r="14184" spans="1:5" x14ac:dyDescent="0.55000000000000004">
      <c r="A14184" t="str">
        <f>TEST_DATA!A14184</f>
        <v>27AAAAA14184Z5</v>
      </c>
      <c r="B14184" t="str">
        <f>TEST_DATA!B14184</f>
        <v>Feb-2018</v>
      </c>
      <c r="C14184">
        <f>TEST_DATA!C14184</f>
        <v>44034</v>
      </c>
      <c r="D14184" t="str">
        <f>TEST_DATA!D14184</f>
        <v>NIL</v>
      </c>
      <c r="E14184">
        <f>TEST_DATA!E14184</f>
        <v>487</v>
      </c>
    </row>
    <row r="14185" spans="1:5" x14ac:dyDescent="0.55000000000000004">
      <c r="A14185" t="str">
        <f>TEST_DATA!A14185</f>
        <v>27AAAAA14185Z5</v>
      </c>
      <c r="B14185" t="str">
        <f>TEST_DATA!B14185</f>
        <v>Dec-2017</v>
      </c>
      <c r="C14185">
        <f>TEST_DATA!C14185</f>
        <v>43851</v>
      </c>
      <c r="D14185" t="str">
        <f>TEST_DATA!D14185</f>
        <v>NON-NIL</v>
      </c>
      <c r="E14185">
        <f>TEST_DATA!E14185</f>
        <v>190</v>
      </c>
    </row>
    <row r="14186" spans="1:5" x14ac:dyDescent="0.55000000000000004">
      <c r="A14186" t="str">
        <f>TEST_DATA!A14186</f>
        <v>27AAAAA14186Z5</v>
      </c>
      <c r="B14186" t="str">
        <f>TEST_DATA!B14186</f>
        <v>Jan-2019</v>
      </c>
      <c r="C14186">
        <f>TEST_DATA!C14186</f>
        <v>45660</v>
      </c>
      <c r="D14186" t="str">
        <f>TEST_DATA!D14186</f>
        <v>NIL</v>
      </c>
      <c r="E14186">
        <f>TEST_DATA!E14186</f>
        <v>804</v>
      </c>
    </row>
    <row r="14187" spans="1:5" x14ac:dyDescent="0.55000000000000004">
      <c r="A14187" t="str">
        <f>TEST_DATA!A14187</f>
        <v>27AAAAA14187Z5</v>
      </c>
      <c r="B14187" t="str">
        <f>TEST_DATA!B14187</f>
        <v>Jun-2018</v>
      </c>
      <c r="C14187">
        <f>TEST_DATA!C14187</f>
        <v>44159</v>
      </c>
      <c r="D14187" t="str">
        <f>TEST_DATA!D14187</f>
        <v>NON-NIL</v>
      </c>
      <c r="E14187">
        <f>TEST_DATA!E14187</f>
        <v>2214</v>
      </c>
    </row>
    <row r="14188" spans="1:5" x14ac:dyDescent="0.55000000000000004">
      <c r="A14188" t="str">
        <f>TEST_DATA!A14188</f>
        <v>27AAAAA14188Z5</v>
      </c>
      <c r="B14188" t="str">
        <f>TEST_DATA!B14188</f>
        <v>Dec-2017</v>
      </c>
      <c r="C14188">
        <f>TEST_DATA!C14188</f>
        <v>44221</v>
      </c>
      <c r="D14188" t="str">
        <f>TEST_DATA!D14188</f>
        <v>NIL</v>
      </c>
      <c r="E14188">
        <f>TEST_DATA!E14188</f>
        <v>1049</v>
      </c>
    </row>
    <row r="14189" spans="1:5" x14ac:dyDescent="0.55000000000000004">
      <c r="A14189" t="str">
        <f>TEST_DATA!A14189</f>
        <v>27AAAAA14189Z5</v>
      </c>
      <c r="B14189" t="str">
        <f>TEST_DATA!B14189</f>
        <v>Jun-2018</v>
      </c>
      <c r="C14189">
        <f>TEST_DATA!C14189</f>
        <v>43176</v>
      </c>
      <c r="D14189" t="str">
        <f>TEST_DATA!D14189</f>
        <v>NON-NIL</v>
      </c>
      <c r="E14189">
        <f>TEST_DATA!E14189</f>
        <v>2216</v>
      </c>
    </row>
    <row r="14190" spans="1:5" x14ac:dyDescent="0.55000000000000004">
      <c r="A14190" t="str">
        <f>TEST_DATA!A14190</f>
        <v>27AAAAA14190Z5</v>
      </c>
      <c r="B14190" t="str">
        <f>TEST_DATA!B14190</f>
        <v>Dec-2019</v>
      </c>
      <c r="C14190">
        <f>TEST_DATA!C14190</f>
        <v>43952</v>
      </c>
      <c r="D14190" t="str">
        <f>TEST_DATA!D14190</f>
        <v>NON-NIL</v>
      </c>
      <c r="E14190">
        <f>TEST_DATA!E14190</f>
        <v>63</v>
      </c>
    </row>
    <row r="14191" spans="1:5" x14ac:dyDescent="0.55000000000000004">
      <c r="A14191" t="str">
        <f>TEST_DATA!A14191</f>
        <v>27AAAAA14191Z5</v>
      </c>
      <c r="B14191" t="str">
        <f>TEST_DATA!B14191</f>
        <v>Jun-2020</v>
      </c>
      <c r="C14191">
        <f>TEST_DATA!C14191</f>
        <v>44218</v>
      </c>
      <c r="D14191" t="str">
        <f>TEST_DATA!D14191</f>
        <v>NON-NIL</v>
      </c>
      <c r="E14191">
        <f>TEST_DATA!E14191</f>
        <v>1017</v>
      </c>
    </row>
    <row r="14192" spans="1:5" x14ac:dyDescent="0.55000000000000004">
      <c r="A14192" t="str">
        <f>TEST_DATA!A14192</f>
        <v>27AAAAA14192Z5</v>
      </c>
      <c r="B14192" t="str">
        <f>TEST_DATA!B14192</f>
        <v>Apr-2018</v>
      </c>
      <c r="C14192">
        <f>TEST_DATA!C14192</f>
        <v>43137</v>
      </c>
      <c r="D14192" t="str">
        <f>TEST_DATA!D14192</f>
        <v>NON-NIL</v>
      </c>
      <c r="E14192">
        <f>TEST_DATA!E14192</f>
        <v>1736</v>
      </c>
    </row>
    <row r="14193" spans="1:5" x14ac:dyDescent="0.55000000000000004">
      <c r="A14193" t="str">
        <f>TEST_DATA!A14193</f>
        <v>27AAAAA14193Z5</v>
      </c>
      <c r="B14193" t="str">
        <f>TEST_DATA!B14193</f>
        <v>Jul-2020</v>
      </c>
      <c r="C14193">
        <f>TEST_DATA!C14193</f>
        <v>44553</v>
      </c>
      <c r="D14193" t="str">
        <f>TEST_DATA!D14193</f>
        <v>NON-NIL</v>
      </c>
      <c r="E14193">
        <f>TEST_DATA!E14193</f>
        <v>1668</v>
      </c>
    </row>
    <row r="14194" spans="1:5" x14ac:dyDescent="0.55000000000000004">
      <c r="A14194" t="str">
        <f>TEST_DATA!A14194</f>
        <v>27AAAAA14194Z5</v>
      </c>
      <c r="B14194" t="str">
        <f>TEST_DATA!B14194</f>
        <v>Oct-2017</v>
      </c>
      <c r="C14194">
        <f>TEST_DATA!C14194</f>
        <v>43453</v>
      </c>
      <c r="D14194" t="str">
        <f>TEST_DATA!D14194</f>
        <v>NIL</v>
      </c>
      <c r="E14194">
        <f>TEST_DATA!E14194</f>
        <v>422</v>
      </c>
    </row>
    <row r="14195" spans="1:5" x14ac:dyDescent="0.55000000000000004">
      <c r="A14195" t="str">
        <f>TEST_DATA!A14195</f>
        <v>27AAAAA14195Z5</v>
      </c>
      <c r="B14195" t="str">
        <f>TEST_DATA!B14195</f>
        <v>May-2020</v>
      </c>
      <c r="C14195">
        <f>TEST_DATA!C14195</f>
        <v>44054</v>
      </c>
      <c r="D14195" t="str">
        <f>TEST_DATA!D14195</f>
        <v>NIL</v>
      </c>
      <c r="E14195">
        <f>TEST_DATA!E14195</f>
        <v>2679</v>
      </c>
    </row>
    <row r="14196" spans="1:5" x14ac:dyDescent="0.55000000000000004">
      <c r="A14196" t="str">
        <f>TEST_DATA!A14196</f>
        <v>27AAAAA14196Z5</v>
      </c>
      <c r="B14196" t="str">
        <f>TEST_DATA!B14196</f>
        <v>Oct-2017</v>
      </c>
      <c r="C14196">
        <f>TEST_DATA!C14196</f>
        <v>43516</v>
      </c>
      <c r="D14196" t="str">
        <f>TEST_DATA!D14196</f>
        <v>NON-NIL</v>
      </c>
      <c r="E14196">
        <f>TEST_DATA!E14196</f>
        <v>910</v>
      </c>
    </row>
    <row r="14197" spans="1:5" x14ac:dyDescent="0.55000000000000004">
      <c r="A14197" t="str">
        <f>TEST_DATA!A14197</f>
        <v>27AAAAA14197Z5</v>
      </c>
      <c r="B14197" t="str">
        <f>TEST_DATA!B14197</f>
        <v>Mar-2020</v>
      </c>
      <c r="C14197">
        <f>TEST_DATA!C14197</f>
        <v>43993</v>
      </c>
      <c r="D14197" t="str">
        <f>TEST_DATA!D14197</f>
        <v>NIL</v>
      </c>
      <c r="E14197">
        <f>TEST_DATA!E14197</f>
        <v>2363</v>
      </c>
    </row>
    <row r="14198" spans="1:5" x14ac:dyDescent="0.55000000000000004">
      <c r="A14198" t="str">
        <f>TEST_DATA!A14198</f>
        <v>27AAAAA14198Z5</v>
      </c>
      <c r="B14198" t="str">
        <f>TEST_DATA!B14198</f>
        <v>Jun-2019</v>
      </c>
      <c r="C14198">
        <f>TEST_DATA!C14198</f>
        <v>44429</v>
      </c>
      <c r="D14198" t="str">
        <f>TEST_DATA!D14198</f>
        <v>NON-NIL</v>
      </c>
      <c r="E14198">
        <f>TEST_DATA!E14198</f>
        <v>2129</v>
      </c>
    </row>
    <row r="14199" spans="1:5" x14ac:dyDescent="0.55000000000000004">
      <c r="A14199" t="str">
        <f>TEST_DATA!A14199</f>
        <v>27AAAAA14199Z5</v>
      </c>
      <c r="B14199" t="str">
        <f>TEST_DATA!B14199</f>
        <v>Mar-2018</v>
      </c>
      <c r="C14199">
        <f>TEST_DATA!C14199</f>
        <v>43493</v>
      </c>
      <c r="D14199" t="str">
        <f>TEST_DATA!D14199</f>
        <v>NIL</v>
      </c>
      <c r="E14199">
        <f>TEST_DATA!E14199</f>
        <v>2761</v>
      </c>
    </row>
    <row r="14200" spans="1:5" x14ac:dyDescent="0.55000000000000004">
      <c r="A14200" t="str">
        <f>TEST_DATA!A14200</f>
        <v>27AAAAA14200Z5</v>
      </c>
      <c r="B14200" t="str">
        <f>TEST_DATA!B14200</f>
        <v>Oct-2017</v>
      </c>
      <c r="C14200">
        <f>TEST_DATA!C14200</f>
        <v>43192</v>
      </c>
      <c r="D14200" t="str">
        <f>TEST_DATA!D14200</f>
        <v>NON-NIL</v>
      </c>
      <c r="E14200">
        <f>TEST_DATA!E14200</f>
        <v>1944</v>
      </c>
    </row>
    <row r="14201" spans="1:5" x14ac:dyDescent="0.55000000000000004">
      <c r="A14201" t="str">
        <f>TEST_DATA!A14201</f>
        <v>27AAAAA14201Z5</v>
      </c>
      <c r="B14201" t="str">
        <f>TEST_DATA!B14201</f>
        <v>Sep-2017</v>
      </c>
      <c r="C14201">
        <f>TEST_DATA!C14201</f>
        <v>43194</v>
      </c>
      <c r="D14201" t="str">
        <f>TEST_DATA!D14201</f>
        <v>NON-NIL</v>
      </c>
      <c r="E14201">
        <f>TEST_DATA!E14201</f>
        <v>2006</v>
      </c>
    </row>
    <row r="14202" spans="1:5" x14ac:dyDescent="0.55000000000000004">
      <c r="A14202" t="str">
        <f>TEST_DATA!A14202</f>
        <v>27AAAAA14202Z5</v>
      </c>
      <c r="B14202" t="str">
        <f>TEST_DATA!B14202</f>
        <v>Jul-2020</v>
      </c>
      <c r="C14202">
        <f>TEST_DATA!C14202</f>
        <v>44046</v>
      </c>
      <c r="D14202" t="str">
        <f>TEST_DATA!D14202</f>
        <v>NON-NIL</v>
      </c>
      <c r="E14202">
        <f>TEST_DATA!E14202</f>
        <v>1577</v>
      </c>
    </row>
    <row r="14203" spans="1:5" x14ac:dyDescent="0.55000000000000004">
      <c r="A14203" t="str">
        <f>TEST_DATA!A14203</f>
        <v>27AAAAA14203Z5</v>
      </c>
      <c r="B14203" t="str">
        <f>TEST_DATA!B14203</f>
        <v>May-2020</v>
      </c>
      <c r="C14203">
        <f>TEST_DATA!C14203</f>
        <v>44858</v>
      </c>
      <c r="D14203" t="str">
        <f>TEST_DATA!D14203</f>
        <v>NON-NIL</v>
      </c>
      <c r="E14203">
        <f>TEST_DATA!E14203</f>
        <v>797</v>
      </c>
    </row>
    <row r="14204" spans="1:5" x14ac:dyDescent="0.55000000000000004">
      <c r="A14204" t="str">
        <f>TEST_DATA!A14204</f>
        <v>27AAAAA14204Z5</v>
      </c>
      <c r="B14204" t="str">
        <f>TEST_DATA!B14204</f>
        <v>Dec-2022</v>
      </c>
      <c r="C14204">
        <f>TEST_DATA!C14204</f>
        <v>43484</v>
      </c>
      <c r="D14204" t="str">
        <f>TEST_DATA!D14204</f>
        <v>NIL</v>
      </c>
      <c r="E14204">
        <f>TEST_DATA!E14204</f>
        <v>2789</v>
      </c>
    </row>
    <row r="14205" spans="1:5" x14ac:dyDescent="0.55000000000000004">
      <c r="A14205" t="str">
        <f>TEST_DATA!A14205</f>
        <v>27AAAAA14205Z5</v>
      </c>
      <c r="B14205" t="str">
        <f>TEST_DATA!B14205</f>
        <v>Sep-2018</v>
      </c>
      <c r="C14205">
        <f>TEST_DATA!C14205</f>
        <v>43494</v>
      </c>
      <c r="D14205" t="str">
        <f>TEST_DATA!D14205</f>
        <v>NON-NIL</v>
      </c>
      <c r="E14205">
        <f>TEST_DATA!E14205</f>
        <v>1996</v>
      </c>
    </row>
    <row r="14206" spans="1:5" x14ac:dyDescent="0.55000000000000004">
      <c r="A14206" t="str">
        <f>TEST_DATA!A14206</f>
        <v>27AAAAA14206Z5</v>
      </c>
      <c r="B14206" t="str">
        <f>TEST_DATA!B14206</f>
        <v>Mar-2020</v>
      </c>
      <c r="C14206">
        <f>TEST_DATA!C14206</f>
        <v>44347</v>
      </c>
      <c r="D14206" t="str">
        <f>TEST_DATA!D14206</f>
        <v>NIL</v>
      </c>
      <c r="E14206">
        <f>TEST_DATA!E14206</f>
        <v>2155</v>
      </c>
    </row>
    <row r="14207" spans="1:5" x14ac:dyDescent="0.55000000000000004">
      <c r="A14207" t="str">
        <f>TEST_DATA!A14207</f>
        <v>27AAAAA14207Z5</v>
      </c>
      <c r="B14207" t="str">
        <f>TEST_DATA!B14207</f>
        <v>Jul-2017</v>
      </c>
      <c r="C14207">
        <f>TEST_DATA!C14207</f>
        <v>44262</v>
      </c>
      <c r="D14207" t="str">
        <f>TEST_DATA!D14207</f>
        <v>NIL</v>
      </c>
      <c r="E14207">
        <f>TEST_DATA!E14207</f>
        <v>117</v>
      </c>
    </row>
    <row r="14208" spans="1:5" x14ac:dyDescent="0.55000000000000004">
      <c r="A14208" t="str">
        <f>TEST_DATA!A14208</f>
        <v>27AAAAA14208Z5</v>
      </c>
      <c r="B14208" t="str">
        <f>TEST_DATA!B14208</f>
        <v>Apr-2021</v>
      </c>
      <c r="C14208">
        <f>TEST_DATA!C14208</f>
        <v>45669</v>
      </c>
      <c r="D14208" t="str">
        <f>TEST_DATA!D14208</f>
        <v>NIL</v>
      </c>
      <c r="E14208">
        <f>TEST_DATA!E14208</f>
        <v>682</v>
      </c>
    </row>
    <row r="14209" spans="1:5" x14ac:dyDescent="0.55000000000000004">
      <c r="A14209" t="str">
        <f>TEST_DATA!A14209</f>
        <v>27AAAAA14209Z5</v>
      </c>
      <c r="B14209" t="str">
        <f>TEST_DATA!B14209</f>
        <v>Mar-2020</v>
      </c>
      <c r="C14209">
        <f>TEST_DATA!C14209</f>
        <v>43922</v>
      </c>
      <c r="D14209" t="str">
        <f>TEST_DATA!D14209</f>
        <v>NON-NIL</v>
      </c>
      <c r="E14209">
        <f>TEST_DATA!E14209</f>
        <v>1070</v>
      </c>
    </row>
    <row r="14210" spans="1:5" x14ac:dyDescent="0.55000000000000004">
      <c r="A14210" t="str">
        <f>TEST_DATA!A14210</f>
        <v>27AAAAA14210Z5</v>
      </c>
      <c r="B14210" t="str">
        <f>TEST_DATA!B14210</f>
        <v>Dec-2022</v>
      </c>
      <c r="C14210">
        <f>TEST_DATA!C14210</f>
        <v>43862</v>
      </c>
      <c r="D14210" t="str">
        <f>TEST_DATA!D14210</f>
        <v>NON-NIL</v>
      </c>
      <c r="E14210">
        <f>TEST_DATA!E14210</f>
        <v>1334</v>
      </c>
    </row>
    <row r="14211" spans="1:5" x14ac:dyDescent="0.55000000000000004">
      <c r="A14211" t="str">
        <f>TEST_DATA!A14211</f>
        <v>27AAAAA14211Z5</v>
      </c>
      <c r="B14211" t="str">
        <f>TEST_DATA!B14211</f>
        <v>Dec-2019</v>
      </c>
      <c r="C14211">
        <f>TEST_DATA!C14211</f>
        <v>44676</v>
      </c>
      <c r="D14211" t="str">
        <f>TEST_DATA!D14211</f>
        <v>NIL</v>
      </c>
      <c r="E14211">
        <f>TEST_DATA!E14211</f>
        <v>633</v>
      </c>
    </row>
    <row r="14212" spans="1:5" x14ac:dyDescent="0.55000000000000004">
      <c r="A14212" t="str">
        <f>TEST_DATA!A14212</f>
        <v>27AAAAA14212Z5</v>
      </c>
      <c r="B14212" t="str">
        <f>TEST_DATA!B14212</f>
        <v>Jul-2020</v>
      </c>
      <c r="C14212">
        <f>TEST_DATA!C14212</f>
        <v>44332</v>
      </c>
      <c r="D14212" t="str">
        <f>TEST_DATA!D14212</f>
        <v>NON-NIL</v>
      </c>
      <c r="E14212">
        <f>TEST_DATA!E14212</f>
        <v>1723</v>
      </c>
    </row>
    <row r="14213" spans="1:5" x14ac:dyDescent="0.55000000000000004">
      <c r="A14213" t="str">
        <f>TEST_DATA!A14213</f>
        <v>27AAAAA14213Z5</v>
      </c>
      <c r="B14213" t="str">
        <f>TEST_DATA!B14213</f>
        <v>Mar-2018</v>
      </c>
      <c r="C14213">
        <f>TEST_DATA!C14213</f>
        <v>43576</v>
      </c>
      <c r="D14213" t="str">
        <f>TEST_DATA!D14213</f>
        <v>NIL</v>
      </c>
      <c r="E14213">
        <f>TEST_DATA!E14213</f>
        <v>1703</v>
      </c>
    </row>
    <row r="14214" spans="1:5" x14ac:dyDescent="0.55000000000000004">
      <c r="A14214" t="str">
        <f>TEST_DATA!A14214</f>
        <v>27AAAAA14214Z5</v>
      </c>
      <c r="B14214" t="str">
        <f>TEST_DATA!B14214</f>
        <v>May-2020</v>
      </c>
      <c r="C14214">
        <f>TEST_DATA!C14214</f>
        <v>44484</v>
      </c>
      <c r="D14214" t="str">
        <f>TEST_DATA!D14214</f>
        <v>NON-NIL</v>
      </c>
      <c r="E14214">
        <f>TEST_DATA!E14214</f>
        <v>530</v>
      </c>
    </row>
    <row r="14215" spans="1:5" x14ac:dyDescent="0.55000000000000004">
      <c r="A14215" t="str">
        <f>TEST_DATA!A14215</f>
        <v>27AAAAA14215Z5</v>
      </c>
      <c r="B14215" t="str">
        <f>TEST_DATA!B14215</f>
        <v>Jun-2019</v>
      </c>
      <c r="C14215">
        <f>TEST_DATA!C14215</f>
        <v>43524</v>
      </c>
      <c r="D14215" t="str">
        <f>TEST_DATA!D14215</f>
        <v>NIL</v>
      </c>
      <c r="E14215">
        <f>TEST_DATA!E14215</f>
        <v>974</v>
      </c>
    </row>
    <row r="14216" spans="1:5" x14ac:dyDescent="0.55000000000000004">
      <c r="A14216" t="str">
        <f>TEST_DATA!A14216</f>
        <v>27AAAAA14216Z5</v>
      </c>
      <c r="B14216" t="str">
        <f>TEST_DATA!B14216</f>
        <v>Dec-2019</v>
      </c>
      <c r="C14216">
        <f>TEST_DATA!C14216</f>
        <v>45042</v>
      </c>
      <c r="D14216" t="str">
        <f>TEST_DATA!D14216</f>
        <v>NON-NIL</v>
      </c>
      <c r="E14216">
        <f>TEST_DATA!E14216</f>
        <v>1719</v>
      </c>
    </row>
    <row r="14217" spans="1:5" x14ac:dyDescent="0.55000000000000004">
      <c r="A14217" t="str">
        <f>TEST_DATA!A14217</f>
        <v>27AAAAA14217Z5</v>
      </c>
      <c r="B14217" t="str">
        <f>TEST_DATA!B14217</f>
        <v>Dec-2017</v>
      </c>
      <c r="C14217">
        <f>TEST_DATA!C14217</f>
        <v>43764</v>
      </c>
      <c r="D14217" t="str">
        <f>TEST_DATA!D14217</f>
        <v>NIL</v>
      </c>
      <c r="E14217">
        <f>TEST_DATA!E14217</f>
        <v>54</v>
      </c>
    </row>
    <row r="14218" spans="1:5" x14ac:dyDescent="0.55000000000000004">
      <c r="A14218" t="str">
        <f>TEST_DATA!A14218</f>
        <v>27AAAAA14218Z5</v>
      </c>
      <c r="B14218" t="str">
        <f>TEST_DATA!B14218</f>
        <v>Dec-2019</v>
      </c>
      <c r="C14218">
        <f>TEST_DATA!C14218</f>
        <v>43499</v>
      </c>
      <c r="D14218" t="str">
        <f>TEST_DATA!D14218</f>
        <v>NON-NIL</v>
      </c>
      <c r="E14218">
        <f>TEST_DATA!E14218</f>
        <v>2374</v>
      </c>
    </row>
    <row r="14219" spans="1:5" x14ac:dyDescent="0.55000000000000004">
      <c r="A14219" t="str">
        <f>TEST_DATA!A14219</f>
        <v>27AAAAA14219Z5</v>
      </c>
      <c r="B14219" t="str">
        <f>TEST_DATA!B14219</f>
        <v>Dec-2019</v>
      </c>
      <c r="C14219">
        <f>TEST_DATA!C14219</f>
        <v>43571</v>
      </c>
      <c r="D14219" t="str">
        <f>TEST_DATA!D14219</f>
        <v>NIL</v>
      </c>
      <c r="E14219">
        <f>TEST_DATA!E14219</f>
        <v>2153</v>
      </c>
    </row>
    <row r="14220" spans="1:5" x14ac:dyDescent="0.55000000000000004">
      <c r="A14220" t="str">
        <f>TEST_DATA!A14220</f>
        <v>27AAAAA14220Z5</v>
      </c>
      <c r="B14220" t="str">
        <f>TEST_DATA!B14220</f>
        <v>Mar-2021</v>
      </c>
      <c r="C14220">
        <f>TEST_DATA!C14220</f>
        <v>45725</v>
      </c>
      <c r="D14220" t="str">
        <f>TEST_DATA!D14220</f>
        <v>NIL</v>
      </c>
      <c r="E14220">
        <f>TEST_DATA!E14220</f>
        <v>28</v>
      </c>
    </row>
    <row r="14221" spans="1:5" x14ac:dyDescent="0.55000000000000004">
      <c r="A14221" t="str">
        <f>TEST_DATA!A14221</f>
        <v>27AAAAA14221Z5</v>
      </c>
      <c r="B14221" t="str">
        <f>TEST_DATA!B14221</f>
        <v>Jul-2020</v>
      </c>
      <c r="C14221">
        <f>TEST_DATA!C14221</f>
        <v>44337</v>
      </c>
      <c r="D14221" t="str">
        <f>TEST_DATA!D14221</f>
        <v>NIL</v>
      </c>
      <c r="E14221">
        <f>TEST_DATA!E14221</f>
        <v>1</v>
      </c>
    </row>
    <row r="14222" spans="1:5" x14ac:dyDescent="0.55000000000000004">
      <c r="A14222" t="str">
        <f>TEST_DATA!A14222</f>
        <v>27AAAAA14222Z5</v>
      </c>
      <c r="B14222" t="str">
        <f>TEST_DATA!B14222</f>
        <v>May-2018</v>
      </c>
      <c r="C14222">
        <f>TEST_DATA!C14222</f>
        <v>43316</v>
      </c>
      <c r="D14222" t="str">
        <f>TEST_DATA!D14222</f>
        <v>NON-NIL</v>
      </c>
      <c r="E14222">
        <f>TEST_DATA!E14222</f>
        <v>2203</v>
      </c>
    </row>
    <row r="14223" spans="1:5" x14ac:dyDescent="0.55000000000000004">
      <c r="A14223" t="str">
        <f>TEST_DATA!A14223</f>
        <v>27AAAAA14223Z5</v>
      </c>
      <c r="B14223" t="str">
        <f>TEST_DATA!B14223</f>
        <v>Nov-2017</v>
      </c>
      <c r="C14223">
        <f>TEST_DATA!C14223</f>
        <v>44035</v>
      </c>
      <c r="D14223" t="str">
        <f>TEST_DATA!D14223</f>
        <v>NON-NIL</v>
      </c>
      <c r="E14223">
        <f>TEST_DATA!E14223</f>
        <v>2145</v>
      </c>
    </row>
    <row r="14224" spans="1:5" x14ac:dyDescent="0.55000000000000004">
      <c r="A14224" t="str">
        <f>TEST_DATA!A14224</f>
        <v>27AAAAA14224Z5</v>
      </c>
      <c r="B14224" t="str">
        <f>TEST_DATA!B14224</f>
        <v>Jan-2021</v>
      </c>
      <c r="C14224">
        <f>TEST_DATA!C14224</f>
        <v>45428</v>
      </c>
      <c r="D14224" t="str">
        <f>TEST_DATA!D14224</f>
        <v>NIL</v>
      </c>
      <c r="E14224">
        <f>TEST_DATA!E14224</f>
        <v>2967</v>
      </c>
    </row>
    <row r="14225" spans="1:5" x14ac:dyDescent="0.55000000000000004">
      <c r="A14225" t="str">
        <f>TEST_DATA!A14225</f>
        <v>27AAAAA14225Z5</v>
      </c>
      <c r="B14225" t="str">
        <f>TEST_DATA!B14225</f>
        <v>May-2020</v>
      </c>
      <c r="C14225">
        <f>TEST_DATA!C14225</f>
        <v>44147</v>
      </c>
      <c r="D14225" t="str">
        <f>TEST_DATA!D14225</f>
        <v>NIL</v>
      </c>
      <c r="E14225">
        <f>TEST_DATA!E14225</f>
        <v>780</v>
      </c>
    </row>
    <row r="14226" spans="1:5" x14ac:dyDescent="0.55000000000000004">
      <c r="A14226" t="str">
        <f>TEST_DATA!A14226</f>
        <v>27AAAAA14226Z5</v>
      </c>
      <c r="B14226" t="str">
        <f>TEST_DATA!B14226</f>
        <v>Jul-2017</v>
      </c>
      <c r="C14226">
        <f>TEST_DATA!C14226</f>
        <v>43847</v>
      </c>
      <c r="D14226" t="str">
        <f>TEST_DATA!D14226</f>
        <v>NIL</v>
      </c>
      <c r="E14226">
        <f>TEST_DATA!E14226</f>
        <v>251</v>
      </c>
    </row>
    <row r="14227" spans="1:5" x14ac:dyDescent="0.55000000000000004">
      <c r="A14227" t="str">
        <f>TEST_DATA!A14227</f>
        <v>27AAAAA14227Z5</v>
      </c>
      <c r="B14227" t="str">
        <f>TEST_DATA!B14227</f>
        <v>Mar-2023</v>
      </c>
      <c r="C14227">
        <f>TEST_DATA!C14227</f>
        <v>45687</v>
      </c>
      <c r="D14227" t="str">
        <f>TEST_DATA!D14227</f>
        <v>NIL</v>
      </c>
      <c r="E14227">
        <f>TEST_DATA!E14227</f>
        <v>1737</v>
      </c>
    </row>
    <row r="14228" spans="1:5" x14ac:dyDescent="0.55000000000000004">
      <c r="A14228" t="str">
        <f>TEST_DATA!A14228</f>
        <v>27AAAAA14228Z5</v>
      </c>
      <c r="B14228" t="str">
        <f>TEST_DATA!B14228</f>
        <v>Mar-2020</v>
      </c>
      <c r="C14228">
        <f>TEST_DATA!C14228</f>
        <v>44179</v>
      </c>
      <c r="D14228" t="str">
        <f>TEST_DATA!D14228</f>
        <v>NIL</v>
      </c>
      <c r="E14228">
        <f>TEST_DATA!E14228</f>
        <v>839</v>
      </c>
    </row>
    <row r="14229" spans="1:5" x14ac:dyDescent="0.55000000000000004">
      <c r="A14229" t="str">
        <f>TEST_DATA!A14229</f>
        <v>27AAAAA14229Z5</v>
      </c>
      <c r="B14229" t="str">
        <f>TEST_DATA!B14229</f>
        <v>Mar-2023</v>
      </c>
      <c r="C14229">
        <f>TEST_DATA!C14229</f>
        <v>45380</v>
      </c>
      <c r="D14229" t="str">
        <f>TEST_DATA!D14229</f>
        <v>NON-NIL</v>
      </c>
      <c r="E14229">
        <f>TEST_DATA!E14229</f>
        <v>2652</v>
      </c>
    </row>
    <row r="14230" spans="1:5" x14ac:dyDescent="0.55000000000000004">
      <c r="A14230" t="str">
        <f>TEST_DATA!A14230</f>
        <v>27AAAAA14230Z5</v>
      </c>
      <c r="B14230" t="str">
        <f>TEST_DATA!B14230</f>
        <v>Jul-2018</v>
      </c>
      <c r="C14230">
        <f>TEST_DATA!C14230</f>
        <v>43259</v>
      </c>
      <c r="D14230" t="str">
        <f>TEST_DATA!D14230</f>
        <v>NIL</v>
      </c>
      <c r="E14230">
        <f>TEST_DATA!E14230</f>
        <v>1500</v>
      </c>
    </row>
    <row r="14231" spans="1:5" x14ac:dyDescent="0.55000000000000004">
      <c r="A14231" t="str">
        <f>TEST_DATA!A14231</f>
        <v>27AAAAA14231Z5</v>
      </c>
      <c r="B14231" t="str">
        <f>TEST_DATA!B14231</f>
        <v>Mar-2018</v>
      </c>
      <c r="C14231">
        <f>TEST_DATA!C14231</f>
        <v>43058</v>
      </c>
      <c r="D14231" t="str">
        <f>TEST_DATA!D14231</f>
        <v>NON-NIL</v>
      </c>
      <c r="E14231">
        <f>TEST_DATA!E14231</f>
        <v>2854</v>
      </c>
    </row>
    <row r="14232" spans="1:5" x14ac:dyDescent="0.55000000000000004">
      <c r="A14232" t="str">
        <f>TEST_DATA!A14232</f>
        <v>27AAAAA14232Z5</v>
      </c>
      <c r="B14232" t="str">
        <f>TEST_DATA!B14232</f>
        <v>Sep-2017</v>
      </c>
      <c r="C14232">
        <f>TEST_DATA!C14232</f>
        <v>44101</v>
      </c>
      <c r="D14232" t="str">
        <f>TEST_DATA!D14232</f>
        <v>NIL</v>
      </c>
      <c r="E14232">
        <f>TEST_DATA!E14232</f>
        <v>1824</v>
      </c>
    </row>
    <row r="14233" spans="1:5" x14ac:dyDescent="0.55000000000000004">
      <c r="A14233" t="str">
        <f>TEST_DATA!A14233</f>
        <v>27AAAAA14233Z5</v>
      </c>
      <c r="B14233" t="str">
        <f>TEST_DATA!B14233</f>
        <v>Jul-2017</v>
      </c>
      <c r="C14233">
        <f>TEST_DATA!C14233</f>
        <v>44511</v>
      </c>
      <c r="D14233" t="str">
        <f>TEST_DATA!D14233</f>
        <v>NIL</v>
      </c>
      <c r="E14233">
        <f>TEST_DATA!E14233</f>
        <v>1860</v>
      </c>
    </row>
    <row r="14234" spans="1:5" x14ac:dyDescent="0.55000000000000004">
      <c r="A14234" t="str">
        <f>TEST_DATA!A14234</f>
        <v>27AAAAA14234Z5</v>
      </c>
      <c r="B14234" t="str">
        <f>TEST_DATA!B14234</f>
        <v>Jan-2021</v>
      </c>
      <c r="C14234">
        <f>TEST_DATA!C14234</f>
        <v>44015</v>
      </c>
      <c r="D14234" t="str">
        <f>TEST_DATA!D14234</f>
        <v>NIL</v>
      </c>
      <c r="E14234">
        <f>TEST_DATA!E14234</f>
        <v>2844</v>
      </c>
    </row>
    <row r="14235" spans="1:5" x14ac:dyDescent="0.55000000000000004">
      <c r="A14235" t="str">
        <f>TEST_DATA!A14235</f>
        <v>27AAAAA14235Z5</v>
      </c>
      <c r="B14235" t="str">
        <f>TEST_DATA!B14235</f>
        <v>Apr-2020</v>
      </c>
      <c r="C14235">
        <f>TEST_DATA!C14235</f>
        <v>44462</v>
      </c>
      <c r="D14235" t="str">
        <f>TEST_DATA!D14235</f>
        <v>NIL</v>
      </c>
      <c r="E14235">
        <f>TEST_DATA!E14235</f>
        <v>2712</v>
      </c>
    </row>
    <row r="14236" spans="1:5" x14ac:dyDescent="0.55000000000000004">
      <c r="A14236" t="str">
        <f>TEST_DATA!A14236</f>
        <v>27AAAAA14236Z5</v>
      </c>
      <c r="B14236" t="str">
        <f>TEST_DATA!B14236</f>
        <v>Dec-2019</v>
      </c>
      <c r="C14236">
        <f>TEST_DATA!C14236</f>
        <v>45140</v>
      </c>
      <c r="D14236" t="str">
        <f>TEST_DATA!D14236</f>
        <v>NIL</v>
      </c>
      <c r="E14236">
        <f>TEST_DATA!E14236</f>
        <v>1360</v>
      </c>
    </row>
    <row r="14237" spans="1:5" x14ac:dyDescent="0.55000000000000004">
      <c r="A14237" t="str">
        <f>TEST_DATA!A14237</f>
        <v>27AAAAA14237Z5</v>
      </c>
      <c r="B14237" t="str">
        <f>TEST_DATA!B14237</f>
        <v>Dec-2019</v>
      </c>
      <c r="C14237">
        <f>TEST_DATA!C14237</f>
        <v>44439</v>
      </c>
      <c r="D14237" t="str">
        <f>TEST_DATA!D14237</f>
        <v>NON-NIL</v>
      </c>
      <c r="E14237">
        <f>TEST_DATA!E14237</f>
        <v>2391</v>
      </c>
    </row>
    <row r="14238" spans="1:5" x14ac:dyDescent="0.55000000000000004">
      <c r="A14238" t="str">
        <f>TEST_DATA!A14238</f>
        <v>27AAAAA14238Z5</v>
      </c>
      <c r="B14238" t="str">
        <f>TEST_DATA!B14238</f>
        <v>Dec-2017</v>
      </c>
      <c r="C14238">
        <f>TEST_DATA!C14238</f>
        <v>44357</v>
      </c>
      <c r="D14238" t="str">
        <f>TEST_DATA!D14238</f>
        <v>NON-NIL</v>
      </c>
      <c r="E14238">
        <f>TEST_DATA!E14238</f>
        <v>820</v>
      </c>
    </row>
    <row r="14239" spans="1:5" x14ac:dyDescent="0.55000000000000004">
      <c r="A14239" t="str">
        <f>TEST_DATA!A14239</f>
        <v>27AAAAA14239Z5</v>
      </c>
      <c r="B14239" t="str">
        <f>TEST_DATA!B14239</f>
        <v>Dec-2019</v>
      </c>
      <c r="C14239">
        <f>TEST_DATA!C14239</f>
        <v>45680</v>
      </c>
      <c r="D14239" t="str">
        <f>TEST_DATA!D14239</f>
        <v>NON-NIL</v>
      </c>
      <c r="E14239">
        <f>TEST_DATA!E14239</f>
        <v>2641</v>
      </c>
    </row>
    <row r="14240" spans="1:5" x14ac:dyDescent="0.55000000000000004">
      <c r="A14240" t="str">
        <f>TEST_DATA!A14240</f>
        <v>27AAAAA14240Z5</v>
      </c>
      <c r="B14240" t="str">
        <f>TEST_DATA!B14240</f>
        <v>May-2020</v>
      </c>
      <c r="C14240">
        <f>TEST_DATA!C14240</f>
        <v>44382</v>
      </c>
      <c r="D14240" t="str">
        <f>TEST_DATA!D14240</f>
        <v>NON-NIL</v>
      </c>
      <c r="E14240">
        <f>TEST_DATA!E14240</f>
        <v>1438</v>
      </c>
    </row>
    <row r="14241" spans="1:5" x14ac:dyDescent="0.55000000000000004">
      <c r="A14241" t="str">
        <f>TEST_DATA!A14241</f>
        <v>27AAAAA14241Z5</v>
      </c>
      <c r="B14241" t="str">
        <f>TEST_DATA!B14241</f>
        <v>Apr-2020</v>
      </c>
      <c r="C14241">
        <f>TEST_DATA!C14241</f>
        <v>44012</v>
      </c>
      <c r="D14241" t="str">
        <f>TEST_DATA!D14241</f>
        <v>NIL</v>
      </c>
      <c r="E14241">
        <f>TEST_DATA!E14241</f>
        <v>2496</v>
      </c>
    </row>
    <row r="14242" spans="1:5" x14ac:dyDescent="0.55000000000000004">
      <c r="A14242" t="str">
        <f>TEST_DATA!A14242</f>
        <v>27AAAAA14242Z5</v>
      </c>
      <c r="B14242" t="str">
        <f>TEST_DATA!B14242</f>
        <v>Nov-2017</v>
      </c>
      <c r="C14242">
        <f>TEST_DATA!C14242</f>
        <v>44496</v>
      </c>
      <c r="D14242" t="str">
        <f>TEST_DATA!D14242</f>
        <v>NIL</v>
      </c>
      <c r="E14242">
        <f>TEST_DATA!E14242</f>
        <v>982</v>
      </c>
    </row>
    <row r="14243" spans="1:5" x14ac:dyDescent="0.55000000000000004">
      <c r="A14243" t="str">
        <f>TEST_DATA!A14243</f>
        <v>27AAAAA14243Z5</v>
      </c>
      <c r="B14243" t="str">
        <f>TEST_DATA!B14243</f>
        <v>Jun-2018</v>
      </c>
      <c r="C14243">
        <f>TEST_DATA!C14243</f>
        <v>43660</v>
      </c>
      <c r="D14243" t="str">
        <f>TEST_DATA!D14243</f>
        <v>NON-NIL</v>
      </c>
      <c r="E14243">
        <f>TEST_DATA!E14243</f>
        <v>1865</v>
      </c>
    </row>
    <row r="14244" spans="1:5" x14ac:dyDescent="0.55000000000000004">
      <c r="A14244" t="str">
        <f>TEST_DATA!A14244</f>
        <v>27AAAAA14244Z5</v>
      </c>
      <c r="B14244" t="str">
        <f>TEST_DATA!B14244</f>
        <v>Mar-2023</v>
      </c>
      <c r="C14244">
        <f>TEST_DATA!C14244</f>
        <v>44074</v>
      </c>
      <c r="D14244" t="str">
        <f>TEST_DATA!D14244</f>
        <v>NIL</v>
      </c>
      <c r="E14244">
        <f>TEST_DATA!E14244</f>
        <v>1075</v>
      </c>
    </row>
    <row r="14245" spans="1:5" x14ac:dyDescent="0.55000000000000004">
      <c r="A14245" t="str">
        <f>TEST_DATA!A14245</f>
        <v>27AAAAA14245Z5</v>
      </c>
      <c r="B14245" t="str">
        <f>TEST_DATA!B14245</f>
        <v>Jul-2018</v>
      </c>
      <c r="C14245">
        <f>TEST_DATA!C14245</f>
        <v>44258</v>
      </c>
      <c r="D14245" t="str">
        <f>TEST_DATA!D14245</f>
        <v>NIL</v>
      </c>
      <c r="E14245">
        <f>TEST_DATA!E14245</f>
        <v>2652</v>
      </c>
    </row>
    <row r="14246" spans="1:5" x14ac:dyDescent="0.55000000000000004">
      <c r="A14246" t="str">
        <f>TEST_DATA!A14246</f>
        <v>27AAAAA14246Z5</v>
      </c>
      <c r="B14246" t="str">
        <f>TEST_DATA!B14246</f>
        <v>Jun-2019</v>
      </c>
      <c r="C14246">
        <f>TEST_DATA!C14246</f>
        <v>43865</v>
      </c>
      <c r="D14246" t="str">
        <f>TEST_DATA!D14246</f>
        <v>NON-NIL</v>
      </c>
      <c r="E14246">
        <f>TEST_DATA!E14246</f>
        <v>334</v>
      </c>
    </row>
    <row r="14247" spans="1:5" x14ac:dyDescent="0.55000000000000004">
      <c r="A14247" t="str">
        <f>TEST_DATA!A14247</f>
        <v>27AAAAA14247Z5</v>
      </c>
      <c r="B14247" t="str">
        <f>TEST_DATA!B14247</f>
        <v>Jun-2020</v>
      </c>
      <c r="C14247">
        <f>TEST_DATA!C14247</f>
        <v>43885</v>
      </c>
      <c r="D14247" t="str">
        <f>TEST_DATA!D14247</f>
        <v>NON-NIL</v>
      </c>
      <c r="E14247">
        <f>TEST_DATA!E14247</f>
        <v>1315</v>
      </c>
    </row>
    <row r="14248" spans="1:5" x14ac:dyDescent="0.55000000000000004">
      <c r="A14248" t="str">
        <f>TEST_DATA!A14248</f>
        <v>27AAAAA14248Z5</v>
      </c>
      <c r="B14248" t="str">
        <f>TEST_DATA!B14248</f>
        <v>Dec-2019</v>
      </c>
      <c r="C14248">
        <f>TEST_DATA!C14248</f>
        <v>45465</v>
      </c>
      <c r="D14248" t="str">
        <f>TEST_DATA!D14248</f>
        <v>NON-NIL</v>
      </c>
      <c r="E14248">
        <f>TEST_DATA!E14248</f>
        <v>851</v>
      </c>
    </row>
    <row r="14249" spans="1:5" x14ac:dyDescent="0.55000000000000004">
      <c r="A14249" t="str">
        <f>TEST_DATA!A14249</f>
        <v>27AAAAA14249Z5</v>
      </c>
      <c r="B14249" t="str">
        <f>TEST_DATA!B14249</f>
        <v>Jul-2017</v>
      </c>
      <c r="C14249">
        <f>TEST_DATA!C14249</f>
        <v>44346</v>
      </c>
      <c r="D14249" t="str">
        <f>TEST_DATA!D14249</f>
        <v>NIL</v>
      </c>
      <c r="E14249">
        <f>TEST_DATA!E14249</f>
        <v>2404</v>
      </c>
    </row>
    <row r="14250" spans="1:5" x14ac:dyDescent="0.55000000000000004">
      <c r="A14250" t="str">
        <f>TEST_DATA!A14250</f>
        <v>27AAAAA14250Z5</v>
      </c>
      <c r="B14250" t="str">
        <f>TEST_DATA!B14250</f>
        <v>Aug-2018</v>
      </c>
      <c r="C14250">
        <f>TEST_DATA!C14250</f>
        <v>43093</v>
      </c>
      <c r="D14250" t="str">
        <f>TEST_DATA!D14250</f>
        <v>NON-NIL</v>
      </c>
      <c r="E14250">
        <f>TEST_DATA!E14250</f>
        <v>2947</v>
      </c>
    </row>
    <row r="14251" spans="1:5" x14ac:dyDescent="0.55000000000000004">
      <c r="A14251" t="str">
        <f>TEST_DATA!A14251</f>
        <v>27AAAAA14251Z5</v>
      </c>
      <c r="B14251" t="str">
        <f>TEST_DATA!B14251</f>
        <v>Mar-2020</v>
      </c>
      <c r="C14251">
        <f>TEST_DATA!C14251</f>
        <v>43947</v>
      </c>
      <c r="D14251" t="str">
        <f>TEST_DATA!D14251</f>
        <v>NON-NIL</v>
      </c>
      <c r="E14251">
        <f>TEST_DATA!E14251</f>
        <v>264</v>
      </c>
    </row>
    <row r="14252" spans="1:5" x14ac:dyDescent="0.55000000000000004">
      <c r="A14252" t="str">
        <f>TEST_DATA!A14252</f>
        <v>27AAAAA14252Z5</v>
      </c>
      <c r="B14252" t="str">
        <f>TEST_DATA!B14252</f>
        <v>Aug-2018</v>
      </c>
      <c r="C14252">
        <f>TEST_DATA!C14252</f>
        <v>43875</v>
      </c>
      <c r="D14252" t="str">
        <f>TEST_DATA!D14252</f>
        <v>NON-NIL</v>
      </c>
      <c r="E14252">
        <f>TEST_DATA!E14252</f>
        <v>2569</v>
      </c>
    </row>
    <row r="14253" spans="1:5" x14ac:dyDescent="0.55000000000000004">
      <c r="A14253" t="str">
        <f>TEST_DATA!A14253</f>
        <v>27AAAAA14253Z5</v>
      </c>
      <c r="B14253" t="str">
        <f>TEST_DATA!B14253</f>
        <v>Jun-2020</v>
      </c>
      <c r="C14253">
        <f>TEST_DATA!C14253</f>
        <v>44152</v>
      </c>
      <c r="D14253" t="str">
        <f>TEST_DATA!D14253</f>
        <v>NIL</v>
      </c>
      <c r="E14253">
        <f>TEST_DATA!E14253</f>
        <v>766</v>
      </c>
    </row>
    <row r="14254" spans="1:5" x14ac:dyDescent="0.55000000000000004">
      <c r="A14254" t="str">
        <f>TEST_DATA!A14254</f>
        <v>27AAAAA14254Z5</v>
      </c>
      <c r="B14254" t="str">
        <f>TEST_DATA!B14254</f>
        <v>Sep-2018</v>
      </c>
      <c r="C14254">
        <f>TEST_DATA!C14254</f>
        <v>44137</v>
      </c>
      <c r="D14254" t="str">
        <f>TEST_DATA!D14254</f>
        <v>NIL</v>
      </c>
      <c r="E14254">
        <f>TEST_DATA!E14254</f>
        <v>1125</v>
      </c>
    </row>
    <row r="14255" spans="1:5" x14ac:dyDescent="0.55000000000000004">
      <c r="A14255" t="str">
        <f>TEST_DATA!A14255</f>
        <v>27AAAAA14255Z5</v>
      </c>
      <c r="B14255" t="str">
        <f>TEST_DATA!B14255</f>
        <v>May-2018</v>
      </c>
      <c r="C14255">
        <f>TEST_DATA!C14255</f>
        <v>43456</v>
      </c>
      <c r="D14255" t="str">
        <f>TEST_DATA!D14255</f>
        <v>NIL</v>
      </c>
      <c r="E14255">
        <f>TEST_DATA!E14255</f>
        <v>290</v>
      </c>
    </row>
    <row r="14256" spans="1:5" x14ac:dyDescent="0.55000000000000004">
      <c r="A14256" t="str">
        <f>TEST_DATA!A14256</f>
        <v>27AAAAA14256Z5</v>
      </c>
      <c r="B14256" t="str">
        <f>TEST_DATA!B14256</f>
        <v>Dec-2019</v>
      </c>
      <c r="C14256">
        <f>TEST_DATA!C14256</f>
        <v>43961</v>
      </c>
      <c r="D14256" t="str">
        <f>TEST_DATA!D14256</f>
        <v>NON-NIL</v>
      </c>
      <c r="E14256">
        <f>TEST_DATA!E14256</f>
        <v>2565</v>
      </c>
    </row>
    <row r="14257" spans="1:5" x14ac:dyDescent="0.55000000000000004">
      <c r="A14257" t="str">
        <f>TEST_DATA!A14257</f>
        <v>27AAAAA14257Z5</v>
      </c>
      <c r="B14257" t="str">
        <f>TEST_DATA!B14257</f>
        <v>Dec-2017</v>
      </c>
      <c r="C14257">
        <f>TEST_DATA!C14257</f>
        <v>43968</v>
      </c>
      <c r="D14257" t="str">
        <f>TEST_DATA!D14257</f>
        <v>NON-NIL</v>
      </c>
      <c r="E14257">
        <f>TEST_DATA!E14257</f>
        <v>1381</v>
      </c>
    </row>
    <row r="14258" spans="1:5" x14ac:dyDescent="0.55000000000000004">
      <c r="A14258" t="str">
        <f>TEST_DATA!A14258</f>
        <v>27AAAAA14258Z5</v>
      </c>
      <c r="B14258" t="str">
        <f>TEST_DATA!B14258</f>
        <v>Apr-2021</v>
      </c>
      <c r="C14258">
        <f>TEST_DATA!C14258</f>
        <v>45579</v>
      </c>
      <c r="D14258" t="str">
        <f>TEST_DATA!D14258</f>
        <v>NON-NIL</v>
      </c>
      <c r="E14258">
        <f>TEST_DATA!E14258</f>
        <v>2195</v>
      </c>
    </row>
    <row r="14259" spans="1:5" x14ac:dyDescent="0.55000000000000004">
      <c r="A14259" t="str">
        <f>TEST_DATA!A14259</f>
        <v>27AAAAA14259Z5</v>
      </c>
      <c r="B14259" t="str">
        <f>TEST_DATA!B14259</f>
        <v>Jan-2021</v>
      </c>
      <c r="C14259">
        <f>TEST_DATA!C14259</f>
        <v>45447</v>
      </c>
      <c r="D14259" t="str">
        <f>TEST_DATA!D14259</f>
        <v>NON-NIL</v>
      </c>
      <c r="E14259">
        <f>TEST_DATA!E14259</f>
        <v>2403</v>
      </c>
    </row>
    <row r="14260" spans="1:5" x14ac:dyDescent="0.55000000000000004">
      <c r="A14260" t="str">
        <f>TEST_DATA!A14260</f>
        <v>27AAAAA14260Z5</v>
      </c>
      <c r="B14260" t="str">
        <f>TEST_DATA!B14260</f>
        <v>Mar-2018</v>
      </c>
      <c r="C14260">
        <f>TEST_DATA!C14260</f>
        <v>43004</v>
      </c>
      <c r="D14260" t="str">
        <f>TEST_DATA!D14260</f>
        <v>NIL</v>
      </c>
      <c r="E14260">
        <f>TEST_DATA!E14260</f>
        <v>2360</v>
      </c>
    </row>
    <row r="14261" spans="1:5" x14ac:dyDescent="0.55000000000000004">
      <c r="A14261" t="str">
        <f>TEST_DATA!A14261</f>
        <v>27AAAAA14261Z5</v>
      </c>
      <c r="B14261" t="str">
        <f>TEST_DATA!B14261</f>
        <v>Mar-2023</v>
      </c>
      <c r="C14261">
        <f>TEST_DATA!C14261</f>
        <v>44179</v>
      </c>
      <c r="D14261" t="str">
        <f>TEST_DATA!D14261</f>
        <v>NON-NIL</v>
      </c>
      <c r="E14261">
        <f>TEST_DATA!E14261</f>
        <v>753</v>
      </c>
    </row>
    <row r="14262" spans="1:5" x14ac:dyDescent="0.55000000000000004">
      <c r="A14262" t="str">
        <f>TEST_DATA!A14262</f>
        <v>27AAAAA14262Z5</v>
      </c>
      <c r="B14262" t="str">
        <f>TEST_DATA!B14262</f>
        <v>Dec-2019</v>
      </c>
      <c r="C14262">
        <f>TEST_DATA!C14262</f>
        <v>45582</v>
      </c>
      <c r="D14262" t="str">
        <f>TEST_DATA!D14262</f>
        <v>NON-NIL</v>
      </c>
      <c r="E14262">
        <f>TEST_DATA!E14262</f>
        <v>1419</v>
      </c>
    </row>
    <row r="14263" spans="1:5" x14ac:dyDescent="0.55000000000000004">
      <c r="A14263" t="str">
        <f>TEST_DATA!A14263</f>
        <v>27AAAAA14263Z5</v>
      </c>
      <c r="B14263" t="str">
        <f>TEST_DATA!B14263</f>
        <v>Jan-2021</v>
      </c>
      <c r="C14263">
        <f>TEST_DATA!C14263</f>
        <v>45678</v>
      </c>
      <c r="D14263" t="str">
        <f>TEST_DATA!D14263</f>
        <v>NIL</v>
      </c>
      <c r="E14263">
        <f>TEST_DATA!E14263</f>
        <v>2020</v>
      </c>
    </row>
    <row r="14264" spans="1:5" x14ac:dyDescent="0.55000000000000004">
      <c r="A14264" t="str">
        <f>TEST_DATA!A14264</f>
        <v>27AAAAA14264Z5</v>
      </c>
      <c r="B14264" t="str">
        <f>TEST_DATA!B14264</f>
        <v>Jun-2020</v>
      </c>
      <c r="C14264">
        <f>TEST_DATA!C14264</f>
        <v>44210</v>
      </c>
      <c r="D14264" t="str">
        <f>TEST_DATA!D14264</f>
        <v>NIL</v>
      </c>
      <c r="E14264">
        <f>TEST_DATA!E14264</f>
        <v>228</v>
      </c>
    </row>
    <row r="14265" spans="1:5" x14ac:dyDescent="0.55000000000000004">
      <c r="A14265" t="str">
        <f>TEST_DATA!A14265</f>
        <v>27AAAAA14265Z5</v>
      </c>
      <c r="B14265" t="str">
        <f>TEST_DATA!B14265</f>
        <v>Dec-2019</v>
      </c>
      <c r="C14265">
        <f>TEST_DATA!C14265</f>
        <v>43558</v>
      </c>
      <c r="D14265" t="str">
        <f>TEST_DATA!D14265</f>
        <v>NON-NIL</v>
      </c>
      <c r="E14265">
        <f>TEST_DATA!E14265</f>
        <v>1871</v>
      </c>
    </row>
    <row r="14266" spans="1:5" x14ac:dyDescent="0.55000000000000004">
      <c r="A14266" t="str">
        <f>TEST_DATA!A14266</f>
        <v>27AAAAA14266Z5</v>
      </c>
      <c r="B14266" t="str">
        <f>TEST_DATA!B14266</f>
        <v>Apr-2021</v>
      </c>
      <c r="C14266">
        <f>TEST_DATA!C14266</f>
        <v>43550</v>
      </c>
      <c r="D14266" t="str">
        <f>TEST_DATA!D14266</f>
        <v>NIL</v>
      </c>
      <c r="E14266">
        <f>TEST_DATA!E14266</f>
        <v>2334</v>
      </c>
    </row>
    <row r="14267" spans="1:5" x14ac:dyDescent="0.55000000000000004">
      <c r="A14267" t="str">
        <f>TEST_DATA!A14267</f>
        <v>27AAAAA14267Z5</v>
      </c>
      <c r="B14267" t="str">
        <f>TEST_DATA!B14267</f>
        <v>Dec-2024</v>
      </c>
      <c r="C14267">
        <f>TEST_DATA!C14267</f>
        <v>45504</v>
      </c>
      <c r="D14267" t="str">
        <f>TEST_DATA!D14267</f>
        <v>NON-NIL</v>
      </c>
      <c r="E14267">
        <f>TEST_DATA!E14267</f>
        <v>861</v>
      </c>
    </row>
    <row r="14268" spans="1:5" x14ac:dyDescent="0.55000000000000004">
      <c r="A14268" t="str">
        <f>TEST_DATA!A14268</f>
        <v>27AAAAA14268Z5</v>
      </c>
      <c r="B14268" t="str">
        <f>TEST_DATA!B14268</f>
        <v>Mar-2021</v>
      </c>
      <c r="C14268">
        <f>TEST_DATA!C14268</f>
        <v>44784</v>
      </c>
      <c r="D14268" t="str">
        <f>TEST_DATA!D14268</f>
        <v>NON-NIL</v>
      </c>
      <c r="E14268">
        <f>TEST_DATA!E14268</f>
        <v>1316</v>
      </c>
    </row>
    <row r="14269" spans="1:5" x14ac:dyDescent="0.55000000000000004">
      <c r="A14269" t="str">
        <f>TEST_DATA!A14269</f>
        <v>27AAAAA14269Z5</v>
      </c>
      <c r="B14269" t="str">
        <f>TEST_DATA!B14269</f>
        <v>Jun-2020</v>
      </c>
      <c r="C14269">
        <f>TEST_DATA!C14269</f>
        <v>44131</v>
      </c>
      <c r="D14269" t="str">
        <f>TEST_DATA!D14269</f>
        <v>NIL</v>
      </c>
      <c r="E14269">
        <f>TEST_DATA!E14269</f>
        <v>1352</v>
      </c>
    </row>
    <row r="14270" spans="1:5" x14ac:dyDescent="0.55000000000000004">
      <c r="A14270" t="str">
        <f>TEST_DATA!A14270</f>
        <v>27AAAAA14270Z5</v>
      </c>
      <c r="B14270" t="str">
        <f>TEST_DATA!B14270</f>
        <v>Jun-2018</v>
      </c>
      <c r="C14270">
        <f>TEST_DATA!C14270</f>
        <v>44345</v>
      </c>
      <c r="D14270" t="str">
        <f>TEST_DATA!D14270</f>
        <v>NON-NIL</v>
      </c>
      <c r="E14270">
        <f>TEST_DATA!E14270</f>
        <v>2606</v>
      </c>
    </row>
    <row r="14271" spans="1:5" x14ac:dyDescent="0.55000000000000004">
      <c r="A14271" t="str">
        <f>TEST_DATA!A14271</f>
        <v>27AAAAA14271Z5</v>
      </c>
      <c r="B14271" t="str">
        <f>TEST_DATA!B14271</f>
        <v>Aug-2018</v>
      </c>
      <c r="C14271">
        <f>TEST_DATA!C14271</f>
        <v>43941</v>
      </c>
      <c r="D14271" t="str">
        <f>TEST_DATA!D14271</f>
        <v>NIL</v>
      </c>
      <c r="E14271">
        <f>TEST_DATA!E14271</f>
        <v>2876</v>
      </c>
    </row>
    <row r="14272" spans="1:5" x14ac:dyDescent="0.55000000000000004">
      <c r="A14272" t="str">
        <f>TEST_DATA!A14272</f>
        <v>27AAAAA14272Z5</v>
      </c>
      <c r="B14272" t="str">
        <f>TEST_DATA!B14272</f>
        <v>Jul-2020</v>
      </c>
      <c r="C14272">
        <f>TEST_DATA!C14272</f>
        <v>44380</v>
      </c>
      <c r="D14272" t="str">
        <f>TEST_DATA!D14272</f>
        <v>NON-NIL</v>
      </c>
      <c r="E14272">
        <f>TEST_DATA!E14272</f>
        <v>2456</v>
      </c>
    </row>
    <row r="14273" spans="1:5" x14ac:dyDescent="0.55000000000000004">
      <c r="A14273" t="str">
        <f>TEST_DATA!A14273</f>
        <v>27AAAAA14273Z5</v>
      </c>
      <c r="B14273" t="str">
        <f>TEST_DATA!B14273</f>
        <v>Jan-2021</v>
      </c>
      <c r="C14273">
        <f>TEST_DATA!C14273</f>
        <v>43520</v>
      </c>
      <c r="D14273" t="str">
        <f>TEST_DATA!D14273</f>
        <v>NIL</v>
      </c>
      <c r="E14273">
        <f>TEST_DATA!E14273</f>
        <v>425</v>
      </c>
    </row>
    <row r="14274" spans="1:5" x14ac:dyDescent="0.55000000000000004">
      <c r="A14274" t="str">
        <f>TEST_DATA!A14274</f>
        <v>27AAAAA14274Z5</v>
      </c>
      <c r="B14274" t="str">
        <f>TEST_DATA!B14274</f>
        <v>May-2018</v>
      </c>
      <c r="C14274">
        <f>TEST_DATA!C14274</f>
        <v>44339</v>
      </c>
      <c r="D14274" t="str">
        <f>TEST_DATA!D14274</f>
        <v>NIL</v>
      </c>
      <c r="E14274">
        <f>TEST_DATA!E14274</f>
        <v>523</v>
      </c>
    </row>
    <row r="14275" spans="1:5" x14ac:dyDescent="0.55000000000000004">
      <c r="A14275" t="str">
        <f>TEST_DATA!A14275</f>
        <v>27AAAAA14275Z5</v>
      </c>
      <c r="B14275" t="str">
        <f>TEST_DATA!B14275</f>
        <v>Mar-2021</v>
      </c>
      <c r="C14275">
        <f>TEST_DATA!C14275</f>
        <v>44330</v>
      </c>
      <c r="D14275" t="str">
        <f>TEST_DATA!D14275</f>
        <v>NON-NIL</v>
      </c>
      <c r="E14275">
        <f>TEST_DATA!E14275</f>
        <v>624</v>
      </c>
    </row>
    <row r="14276" spans="1:5" x14ac:dyDescent="0.55000000000000004">
      <c r="A14276" t="str">
        <f>TEST_DATA!A14276</f>
        <v>27AAAAA14276Z5</v>
      </c>
      <c r="B14276" t="str">
        <f>TEST_DATA!B14276</f>
        <v>Mar-2018</v>
      </c>
      <c r="C14276">
        <f>TEST_DATA!C14276</f>
        <v>44358</v>
      </c>
      <c r="D14276" t="str">
        <f>TEST_DATA!D14276</f>
        <v>NIL</v>
      </c>
      <c r="E14276">
        <f>TEST_DATA!E14276</f>
        <v>1201</v>
      </c>
    </row>
    <row r="14277" spans="1:5" x14ac:dyDescent="0.55000000000000004">
      <c r="A14277" t="str">
        <f>TEST_DATA!A14277</f>
        <v>27AAAAA14277Z5</v>
      </c>
      <c r="B14277" t="str">
        <f>TEST_DATA!B14277</f>
        <v>Apr-2020</v>
      </c>
      <c r="C14277">
        <f>TEST_DATA!C14277</f>
        <v>44415</v>
      </c>
      <c r="D14277" t="str">
        <f>TEST_DATA!D14277</f>
        <v>NON-NIL</v>
      </c>
      <c r="E14277">
        <f>TEST_DATA!E14277</f>
        <v>2778</v>
      </c>
    </row>
    <row r="14278" spans="1:5" x14ac:dyDescent="0.55000000000000004">
      <c r="A14278" t="str">
        <f>TEST_DATA!A14278</f>
        <v>27AAAAA14278Z5</v>
      </c>
      <c r="B14278" t="str">
        <f>TEST_DATA!B14278</f>
        <v>Aug-2017</v>
      </c>
      <c r="C14278">
        <f>TEST_DATA!C14278</f>
        <v>42926</v>
      </c>
      <c r="D14278" t="str">
        <f>TEST_DATA!D14278</f>
        <v>NIL</v>
      </c>
      <c r="E14278">
        <f>TEST_DATA!E14278</f>
        <v>1412</v>
      </c>
    </row>
    <row r="14279" spans="1:5" x14ac:dyDescent="0.55000000000000004">
      <c r="A14279" t="str">
        <f>TEST_DATA!A14279</f>
        <v>27AAAAA14279Z5</v>
      </c>
      <c r="B14279" t="str">
        <f>TEST_DATA!B14279</f>
        <v>Oct-2017</v>
      </c>
      <c r="C14279">
        <f>TEST_DATA!C14279</f>
        <v>44088</v>
      </c>
      <c r="D14279" t="str">
        <f>TEST_DATA!D14279</f>
        <v>NIL</v>
      </c>
      <c r="E14279">
        <f>TEST_DATA!E14279</f>
        <v>1610</v>
      </c>
    </row>
    <row r="14280" spans="1:5" x14ac:dyDescent="0.55000000000000004">
      <c r="A14280" t="str">
        <f>TEST_DATA!A14280</f>
        <v>27AAAAA14280Z5</v>
      </c>
      <c r="B14280" t="str">
        <f>TEST_DATA!B14280</f>
        <v>Dec-2024</v>
      </c>
      <c r="C14280">
        <f>TEST_DATA!C14280</f>
        <v>45302</v>
      </c>
      <c r="D14280" t="str">
        <f>TEST_DATA!D14280</f>
        <v>NIL</v>
      </c>
      <c r="E14280">
        <f>TEST_DATA!E14280</f>
        <v>1262</v>
      </c>
    </row>
    <row r="14281" spans="1:5" x14ac:dyDescent="0.55000000000000004">
      <c r="A14281" t="str">
        <f>TEST_DATA!A14281</f>
        <v>27AAAAA14281Z5</v>
      </c>
      <c r="B14281" t="str">
        <f>TEST_DATA!B14281</f>
        <v>Jul-2020</v>
      </c>
      <c r="C14281">
        <f>TEST_DATA!C14281</f>
        <v>44382</v>
      </c>
      <c r="D14281" t="str">
        <f>TEST_DATA!D14281</f>
        <v>NON-NIL</v>
      </c>
      <c r="E14281">
        <f>TEST_DATA!E14281</f>
        <v>207</v>
      </c>
    </row>
    <row r="14282" spans="1:5" x14ac:dyDescent="0.55000000000000004">
      <c r="A14282" t="str">
        <f>TEST_DATA!A14282</f>
        <v>27AAAAA14282Z5</v>
      </c>
      <c r="B14282" t="str">
        <f>TEST_DATA!B14282</f>
        <v>Apr-2020</v>
      </c>
      <c r="C14282">
        <f>TEST_DATA!C14282</f>
        <v>44567</v>
      </c>
      <c r="D14282" t="str">
        <f>TEST_DATA!D14282</f>
        <v>NON-NIL</v>
      </c>
      <c r="E14282">
        <f>TEST_DATA!E14282</f>
        <v>2822</v>
      </c>
    </row>
    <row r="14283" spans="1:5" x14ac:dyDescent="0.55000000000000004">
      <c r="A14283" t="str">
        <f>TEST_DATA!A14283</f>
        <v>27AAAAA14283Z5</v>
      </c>
      <c r="B14283" t="str">
        <f>TEST_DATA!B14283</f>
        <v>Jan-2019</v>
      </c>
      <c r="C14283">
        <f>TEST_DATA!C14283</f>
        <v>44118</v>
      </c>
      <c r="D14283" t="str">
        <f>TEST_DATA!D14283</f>
        <v>NON-NIL</v>
      </c>
      <c r="E14283">
        <f>TEST_DATA!E14283</f>
        <v>2181</v>
      </c>
    </row>
    <row r="14284" spans="1:5" x14ac:dyDescent="0.55000000000000004">
      <c r="A14284" t="str">
        <f>TEST_DATA!A14284</f>
        <v>27AAAAA14284Z5</v>
      </c>
      <c r="B14284" t="str">
        <f>TEST_DATA!B14284</f>
        <v>Jan-2019</v>
      </c>
      <c r="C14284">
        <f>TEST_DATA!C14284</f>
        <v>45450</v>
      </c>
      <c r="D14284" t="str">
        <f>TEST_DATA!D14284</f>
        <v>NON-NIL</v>
      </c>
      <c r="E14284">
        <f>TEST_DATA!E14284</f>
        <v>1876</v>
      </c>
    </row>
    <row r="14285" spans="1:5" x14ac:dyDescent="0.55000000000000004">
      <c r="A14285" t="str">
        <f>TEST_DATA!A14285</f>
        <v>27AAAAA14285Z5</v>
      </c>
      <c r="B14285" t="str">
        <f>TEST_DATA!B14285</f>
        <v>Jul-2018</v>
      </c>
      <c r="C14285">
        <f>TEST_DATA!C14285</f>
        <v>43414</v>
      </c>
      <c r="D14285" t="str">
        <f>TEST_DATA!D14285</f>
        <v>NIL</v>
      </c>
      <c r="E14285">
        <f>TEST_DATA!E14285</f>
        <v>2810</v>
      </c>
    </row>
    <row r="14286" spans="1:5" x14ac:dyDescent="0.55000000000000004">
      <c r="A14286" t="str">
        <f>TEST_DATA!A14286</f>
        <v>27AAAAA14286Z5</v>
      </c>
      <c r="B14286" t="str">
        <f>TEST_DATA!B14286</f>
        <v>Dec-2019</v>
      </c>
      <c r="C14286">
        <f>TEST_DATA!C14286</f>
        <v>44336</v>
      </c>
      <c r="D14286" t="str">
        <f>TEST_DATA!D14286</f>
        <v>NON-NIL</v>
      </c>
      <c r="E14286">
        <f>TEST_DATA!E14286</f>
        <v>1800</v>
      </c>
    </row>
    <row r="14287" spans="1:5" x14ac:dyDescent="0.55000000000000004">
      <c r="A14287" t="str">
        <f>TEST_DATA!A14287</f>
        <v>27AAAAA14287Z5</v>
      </c>
      <c r="B14287" t="str">
        <f>TEST_DATA!B14287</f>
        <v>Nov-2017</v>
      </c>
      <c r="C14287">
        <f>TEST_DATA!C14287</f>
        <v>44287</v>
      </c>
      <c r="D14287" t="str">
        <f>TEST_DATA!D14287</f>
        <v>NIL</v>
      </c>
      <c r="E14287">
        <f>TEST_DATA!E14287</f>
        <v>2531</v>
      </c>
    </row>
    <row r="14288" spans="1:5" x14ac:dyDescent="0.55000000000000004">
      <c r="A14288" t="str">
        <f>TEST_DATA!A14288</f>
        <v>27AAAAA14288Z5</v>
      </c>
      <c r="B14288" t="str">
        <f>TEST_DATA!B14288</f>
        <v>Oct-2017</v>
      </c>
      <c r="C14288">
        <f>TEST_DATA!C14288</f>
        <v>44523</v>
      </c>
      <c r="D14288" t="str">
        <f>TEST_DATA!D14288</f>
        <v>NIL</v>
      </c>
      <c r="E14288">
        <f>TEST_DATA!E14288</f>
        <v>151</v>
      </c>
    </row>
    <row r="14289" spans="1:5" x14ac:dyDescent="0.55000000000000004">
      <c r="A14289" t="str">
        <f>TEST_DATA!A14289</f>
        <v>27AAAAA14289Z5</v>
      </c>
      <c r="B14289" t="str">
        <f>TEST_DATA!B14289</f>
        <v>Jul-2020</v>
      </c>
      <c r="C14289">
        <f>TEST_DATA!C14289</f>
        <v>44686</v>
      </c>
      <c r="D14289" t="str">
        <f>TEST_DATA!D14289</f>
        <v>NIL</v>
      </c>
      <c r="E14289">
        <f>TEST_DATA!E14289</f>
        <v>1093</v>
      </c>
    </row>
    <row r="14290" spans="1:5" x14ac:dyDescent="0.55000000000000004">
      <c r="A14290" t="str">
        <f>TEST_DATA!A14290</f>
        <v>27AAAAA14290Z5</v>
      </c>
      <c r="B14290" t="str">
        <f>TEST_DATA!B14290</f>
        <v>May-2020</v>
      </c>
      <c r="C14290">
        <f>TEST_DATA!C14290</f>
        <v>44773</v>
      </c>
      <c r="D14290" t="str">
        <f>TEST_DATA!D14290</f>
        <v>NON-NIL</v>
      </c>
      <c r="E14290">
        <f>TEST_DATA!E14290</f>
        <v>2570</v>
      </c>
    </row>
    <row r="14291" spans="1:5" x14ac:dyDescent="0.55000000000000004">
      <c r="A14291" t="str">
        <f>TEST_DATA!A14291</f>
        <v>27AAAAA14291Z5</v>
      </c>
      <c r="B14291" t="str">
        <f>TEST_DATA!B14291</f>
        <v>Mar-2021</v>
      </c>
      <c r="C14291">
        <f>TEST_DATA!C14291</f>
        <v>43795</v>
      </c>
      <c r="D14291" t="str">
        <f>TEST_DATA!D14291</f>
        <v>NIL</v>
      </c>
      <c r="E14291">
        <f>TEST_DATA!E14291</f>
        <v>1081</v>
      </c>
    </row>
    <row r="14292" spans="1:5" x14ac:dyDescent="0.55000000000000004">
      <c r="A14292" t="str">
        <f>TEST_DATA!A14292</f>
        <v>27AAAAA14292Z5</v>
      </c>
      <c r="B14292" t="str">
        <f>TEST_DATA!B14292</f>
        <v>Dec-2024</v>
      </c>
      <c r="C14292">
        <f>TEST_DATA!C14292</f>
        <v>44017</v>
      </c>
      <c r="D14292" t="str">
        <f>TEST_DATA!D14292</f>
        <v>NIL</v>
      </c>
      <c r="E14292">
        <f>TEST_DATA!E14292</f>
        <v>2776</v>
      </c>
    </row>
    <row r="14293" spans="1:5" x14ac:dyDescent="0.55000000000000004">
      <c r="A14293" t="str">
        <f>TEST_DATA!A14293</f>
        <v>27AAAAA14293Z5</v>
      </c>
      <c r="B14293" t="str">
        <f>TEST_DATA!B14293</f>
        <v>Nov-2017</v>
      </c>
      <c r="C14293">
        <f>TEST_DATA!C14293</f>
        <v>43238</v>
      </c>
      <c r="D14293" t="str">
        <f>TEST_DATA!D14293</f>
        <v>NIL</v>
      </c>
      <c r="E14293">
        <f>TEST_DATA!E14293</f>
        <v>63</v>
      </c>
    </row>
    <row r="14294" spans="1:5" x14ac:dyDescent="0.55000000000000004">
      <c r="A14294" t="str">
        <f>TEST_DATA!A14294</f>
        <v>27AAAAA14294Z5</v>
      </c>
      <c r="B14294" t="str">
        <f>TEST_DATA!B14294</f>
        <v>May-2018</v>
      </c>
      <c r="C14294">
        <f>TEST_DATA!C14294</f>
        <v>44516</v>
      </c>
      <c r="D14294" t="str">
        <f>TEST_DATA!D14294</f>
        <v>NON-NIL</v>
      </c>
      <c r="E14294">
        <f>TEST_DATA!E14294</f>
        <v>1410</v>
      </c>
    </row>
    <row r="14295" spans="1:5" x14ac:dyDescent="0.55000000000000004">
      <c r="A14295" t="str">
        <f>TEST_DATA!A14295</f>
        <v>27AAAAA14295Z5</v>
      </c>
      <c r="B14295" t="str">
        <f>TEST_DATA!B14295</f>
        <v>Sep-2018</v>
      </c>
      <c r="C14295">
        <f>TEST_DATA!C14295</f>
        <v>43427</v>
      </c>
      <c r="D14295" t="str">
        <f>TEST_DATA!D14295</f>
        <v>NIL</v>
      </c>
      <c r="E14295">
        <f>TEST_DATA!E14295</f>
        <v>1772</v>
      </c>
    </row>
    <row r="14296" spans="1:5" x14ac:dyDescent="0.55000000000000004">
      <c r="A14296" t="str">
        <f>TEST_DATA!A14296</f>
        <v>27AAAAA14296Z5</v>
      </c>
      <c r="B14296" t="str">
        <f>TEST_DATA!B14296</f>
        <v>Dec-2019</v>
      </c>
      <c r="C14296">
        <f>TEST_DATA!C14296</f>
        <v>44232</v>
      </c>
      <c r="D14296" t="str">
        <f>TEST_DATA!D14296</f>
        <v>NON-NIL</v>
      </c>
      <c r="E14296">
        <f>TEST_DATA!E14296</f>
        <v>1548</v>
      </c>
    </row>
    <row r="14297" spans="1:5" x14ac:dyDescent="0.55000000000000004">
      <c r="A14297" t="str">
        <f>TEST_DATA!A14297</f>
        <v>27AAAAA14297Z5</v>
      </c>
      <c r="B14297" t="str">
        <f>TEST_DATA!B14297</f>
        <v>Jun-2018</v>
      </c>
      <c r="C14297">
        <f>TEST_DATA!C14297</f>
        <v>43837</v>
      </c>
      <c r="D14297" t="str">
        <f>TEST_DATA!D14297</f>
        <v>NON-NIL</v>
      </c>
      <c r="E14297">
        <f>TEST_DATA!E14297</f>
        <v>2980</v>
      </c>
    </row>
    <row r="14298" spans="1:5" x14ac:dyDescent="0.55000000000000004">
      <c r="A14298" t="str">
        <f>TEST_DATA!A14298</f>
        <v>27AAAAA14298Z5</v>
      </c>
      <c r="B14298" t="str">
        <f>TEST_DATA!B14298</f>
        <v>Jun-2018</v>
      </c>
      <c r="C14298">
        <f>TEST_DATA!C14298</f>
        <v>43627</v>
      </c>
      <c r="D14298" t="str">
        <f>TEST_DATA!D14298</f>
        <v>NIL</v>
      </c>
      <c r="E14298">
        <f>TEST_DATA!E14298</f>
        <v>1359</v>
      </c>
    </row>
    <row r="14299" spans="1:5" x14ac:dyDescent="0.55000000000000004">
      <c r="A14299" t="str">
        <f>TEST_DATA!A14299</f>
        <v>27AAAAA14299Z5</v>
      </c>
      <c r="B14299" t="str">
        <f>TEST_DATA!B14299</f>
        <v>Jun-2019</v>
      </c>
      <c r="C14299">
        <f>TEST_DATA!C14299</f>
        <v>45160</v>
      </c>
      <c r="D14299" t="str">
        <f>TEST_DATA!D14299</f>
        <v>NON-NIL</v>
      </c>
      <c r="E14299">
        <f>TEST_DATA!E14299</f>
        <v>1573</v>
      </c>
    </row>
    <row r="14300" spans="1:5" x14ac:dyDescent="0.55000000000000004">
      <c r="A14300" t="str">
        <f>TEST_DATA!A14300</f>
        <v>27AAAAA14300Z5</v>
      </c>
      <c r="B14300" t="str">
        <f>TEST_DATA!B14300</f>
        <v>Dec-2024</v>
      </c>
      <c r="C14300">
        <f>TEST_DATA!C14300</f>
        <v>45680</v>
      </c>
      <c r="D14300" t="str">
        <f>TEST_DATA!D14300</f>
        <v>NON-NIL</v>
      </c>
      <c r="E14300">
        <f>TEST_DATA!E14300</f>
        <v>100</v>
      </c>
    </row>
    <row r="14301" spans="1:5" x14ac:dyDescent="0.55000000000000004">
      <c r="A14301" t="str">
        <f>TEST_DATA!A14301</f>
        <v>27AAAAA14301Z5</v>
      </c>
      <c r="B14301" t="str">
        <f>TEST_DATA!B14301</f>
        <v>Jan-2021</v>
      </c>
      <c r="C14301">
        <f>TEST_DATA!C14301</f>
        <v>45211</v>
      </c>
      <c r="D14301" t="str">
        <f>TEST_DATA!D14301</f>
        <v>NON-NIL</v>
      </c>
      <c r="E14301">
        <f>TEST_DATA!E14301</f>
        <v>1095</v>
      </c>
    </row>
    <row r="14302" spans="1:5" x14ac:dyDescent="0.55000000000000004">
      <c r="A14302" t="str">
        <f>TEST_DATA!A14302</f>
        <v>27AAAAA14302Z5</v>
      </c>
      <c r="B14302" t="str">
        <f>TEST_DATA!B14302</f>
        <v>Jun-2019</v>
      </c>
      <c r="C14302">
        <f>TEST_DATA!C14302</f>
        <v>45419</v>
      </c>
      <c r="D14302" t="str">
        <f>TEST_DATA!D14302</f>
        <v>NIL</v>
      </c>
      <c r="E14302">
        <f>TEST_DATA!E14302</f>
        <v>2694</v>
      </c>
    </row>
    <row r="14303" spans="1:5" x14ac:dyDescent="0.55000000000000004">
      <c r="A14303" t="str">
        <f>TEST_DATA!A14303</f>
        <v>27AAAAA14303Z5</v>
      </c>
      <c r="B14303" t="str">
        <f>TEST_DATA!B14303</f>
        <v>Jul-2018</v>
      </c>
      <c r="C14303">
        <f>TEST_DATA!C14303</f>
        <v>43551</v>
      </c>
      <c r="D14303" t="str">
        <f>TEST_DATA!D14303</f>
        <v>NON-NIL</v>
      </c>
      <c r="E14303">
        <f>TEST_DATA!E14303</f>
        <v>456</v>
      </c>
    </row>
    <row r="14304" spans="1:5" x14ac:dyDescent="0.55000000000000004">
      <c r="A14304" t="str">
        <f>TEST_DATA!A14304</f>
        <v>27AAAAA14304Z5</v>
      </c>
      <c r="B14304" t="str">
        <f>TEST_DATA!B14304</f>
        <v>Feb-2018</v>
      </c>
      <c r="C14304">
        <f>TEST_DATA!C14304</f>
        <v>43009</v>
      </c>
      <c r="D14304" t="str">
        <f>TEST_DATA!D14304</f>
        <v>NIL</v>
      </c>
      <c r="E14304">
        <f>TEST_DATA!E14304</f>
        <v>220</v>
      </c>
    </row>
    <row r="14305" spans="1:5" x14ac:dyDescent="0.55000000000000004">
      <c r="A14305" t="str">
        <f>TEST_DATA!A14305</f>
        <v>27AAAAA14305Z5</v>
      </c>
      <c r="B14305" t="str">
        <f>TEST_DATA!B14305</f>
        <v>Dec-2017</v>
      </c>
      <c r="C14305">
        <f>TEST_DATA!C14305</f>
        <v>43620</v>
      </c>
      <c r="D14305" t="str">
        <f>TEST_DATA!D14305</f>
        <v>NON-NIL</v>
      </c>
      <c r="E14305">
        <f>TEST_DATA!E14305</f>
        <v>1069</v>
      </c>
    </row>
    <row r="14306" spans="1:5" x14ac:dyDescent="0.55000000000000004">
      <c r="A14306" t="str">
        <f>TEST_DATA!A14306</f>
        <v>27AAAAA14306Z5</v>
      </c>
      <c r="B14306" t="str">
        <f>TEST_DATA!B14306</f>
        <v>Jul-2018</v>
      </c>
      <c r="C14306">
        <f>TEST_DATA!C14306</f>
        <v>44229</v>
      </c>
      <c r="D14306" t="str">
        <f>TEST_DATA!D14306</f>
        <v>NON-NIL</v>
      </c>
      <c r="E14306">
        <f>TEST_DATA!E14306</f>
        <v>1394</v>
      </c>
    </row>
    <row r="14307" spans="1:5" x14ac:dyDescent="0.55000000000000004">
      <c r="A14307" t="str">
        <f>TEST_DATA!A14307</f>
        <v>27AAAAA14307Z5</v>
      </c>
      <c r="B14307" t="str">
        <f>TEST_DATA!B14307</f>
        <v>Mar-2023</v>
      </c>
      <c r="C14307">
        <f>TEST_DATA!C14307</f>
        <v>44487</v>
      </c>
      <c r="D14307" t="str">
        <f>TEST_DATA!D14307</f>
        <v>NIL</v>
      </c>
      <c r="E14307">
        <f>TEST_DATA!E14307</f>
        <v>1170</v>
      </c>
    </row>
    <row r="14308" spans="1:5" x14ac:dyDescent="0.55000000000000004">
      <c r="A14308" t="str">
        <f>TEST_DATA!A14308</f>
        <v>27AAAAA14308Z5</v>
      </c>
      <c r="B14308" t="str">
        <f>TEST_DATA!B14308</f>
        <v>Sep-2018</v>
      </c>
      <c r="C14308">
        <f>TEST_DATA!C14308</f>
        <v>44190</v>
      </c>
      <c r="D14308" t="str">
        <f>TEST_DATA!D14308</f>
        <v>NON-NIL</v>
      </c>
      <c r="E14308">
        <f>TEST_DATA!E14308</f>
        <v>558</v>
      </c>
    </row>
    <row r="14309" spans="1:5" x14ac:dyDescent="0.55000000000000004">
      <c r="A14309" t="str">
        <f>TEST_DATA!A14309</f>
        <v>27AAAAA14309Z5</v>
      </c>
      <c r="B14309" t="str">
        <f>TEST_DATA!B14309</f>
        <v>Mar-2020</v>
      </c>
      <c r="C14309">
        <f>TEST_DATA!C14309</f>
        <v>44374</v>
      </c>
      <c r="D14309" t="str">
        <f>TEST_DATA!D14309</f>
        <v>NON-NIL</v>
      </c>
      <c r="E14309">
        <f>TEST_DATA!E14309</f>
        <v>1178</v>
      </c>
    </row>
    <row r="14310" spans="1:5" x14ac:dyDescent="0.55000000000000004">
      <c r="A14310" t="str">
        <f>TEST_DATA!A14310</f>
        <v>27AAAAA14310Z5</v>
      </c>
      <c r="B14310" t="str">
        <f>TEST_DATA!B14310</f>
        <v>Sep-2018</v>
      </c>
      <c r="C14310">
        <f>TEST_DATA!C14310</f>
        <v>42929</v>
      </c>
      <c r="D14310" t="str">
        <f>TEST_DATA!D14310</f>
        <v>NON-NIL</v>
      </c>
      <c r="E14310">
        <f>TEST_DATA!E14310</f>
        <v>484</v>
      </c>
    </row>
    <row r="14311" spans="1:5" x14ac:dyDescent="0.55000000000000004">
      <c r="A14311" t="str">
        <f>TEST_DATA!A14311</f>
        <v>27AAAAA14311Z5</v>
      </c>
      <c r="B14311" t="str">
        <f>TEST_DATA!B14311</f>
        <v>Jul-2020</v>
      </c>
      <c r="C14311">
        <f>TEST_DATA!C14311</f>
        <v>44468</v>
      </c>
      <c r="D14311" t="str">
        <f>TEST_DATA!D14311</f>
        <v>NON-NIL</v>
      </c>
      <c r="E14311">
        <f>TEST_DATA!E14311</f>
        <v>144</v>
      </c>
    </row>
    <row r="14312" spans="1:5" x14ac:dyDescent="0.55000000000000004">
      <c r="A14312" t="str">
        <f>TEST_DATA!A14312</f>
        <v>27AAAAA14312Z5</v>
      </c>
      <c r="B14312" t="str">
        <f>TEST_DATA!B14312</f>
        <v>May-2018</v>
      </c>
      <c r="C14312">
        <f>TEST_DATA!C14312</f>
        <v>44281</v>
      </c>
      <c r="D14312" t="str">
        <f>TEST_DATA!D14312</f>
        <v>NON-NIL</v>
      </c>
      <c r="E14312">
        <f>TEST_DATA!E14312</f>
        <v>868</v>
      </c>
    </row>
    <row r="14313" spans="1:5" x14ac:dyDescent="0.55000000000000004">
      <c r="A14313" t="str">
        <f>TEST_DATA!A14313</f>
        <v>27AAAAA14313Z5</v>
      </c>
      <c r="B14313" t="str">
        <f>TEST_DATA!B14313</f>
        <v>Mar-2021</v>
      </c>
      <c r="C14313">
        <f>TEST_DATA!C14313</f>
        <v>44268</v>
      </c>
      <c r="D14313" t="str">
        <f>TEST_DATA!D14313</f>
        <v>NON-NIL</v>
      </c>
      <c r="E14313">
        <f>TEST_DATA!E14313</f>
        <v>165</v>
      </c>
    </row>
    <row r="14314" spans="1:5" x14ac:dyDescent="0.55000000000000004">
      <c r="A14314" t="str">
        <f>TEST_DATA!A14314</f>
        <v>27AAAAA14314Z5</v>
      </c>
      <c r="B14314" t="str">
        <f>TEST_DATA!B14314</f>
        <v>Aug-2018</v>
      </c>
      <c r="C14314">
        <f>TEST_DATA!C14314</f>
        <v>44152</v>
      </c>
      <c r="D14314" t="str">
        <f>TEST_DATA!D14314</f>
        <v>NON-NIL</v>
      </c>
      <c r="E14314">
        <f>TEST_DATA!E14314</f>
        <v>2657</v>
      </c>
    </row>
    <row r="14315" spans="1:5" x14ac:dyDescent="0.55000000000000004">
      <c r="A14315" t="str">
        <f>TEST_DATA!A14315</f>
        <v>27AAAAA14315Z5</v>
      </c>
      <c r="B14315" t="str">
        <f>TEST_DATA!B14315</f>
        <v>Oct-2017</v>
      </c>
      <c r="C14315">
        <f>TEST_DATA!C14315</f>
        <v>43051</v>
      </c>
      <c r="D14315" t="str">
        <f>TEST_DATA!D14315</f>
        <v>NIL</v>
      </c>
      <c r="E14315">
        <f>TEST_DATA!E14315</f>
        <v>2418</v>
      </c>
    </row>
    <row r="14316" spans="1:5" x14ac:dyDescent="0.55000000000000004">
      <c r="A14316" t="str">
        <f>TEST_DATA!A14316</f>
        <v>27AAAAA14316Z5</v>
      </c>
      <c r="B14316" t="str">
        <f>TEST_DATA!B14316</f>
        <v>Jul-2018</v>
      </c>
      <c r="C14316">
        <f>TEST_DATA!C14316</f>
        <v>44244</v>
      </c>
      <c r="D14316" t="str">
        <f>TEST_DATA!D14316</f>
        <v>NIL</v>
      </c>
      <c r="E14316">
        <f>TEST_DATA!E14316</f>
        <v>810</v>
      </c>
    </row>
    <row r="14317" spans="1:5" x14ac:dyDescent="0.55000000000000004">
      <c r="A14317" t="str">
        <f>TEST_DATA!A14317</f>
        <v>27AAAAA14317Z5</v>
      </c>
      <c r="B14317" t="str">
        <f>TEST_DATA!B14317</f>
        <v>Dec-2019</v>
      </c>
      <c r="C14317">
        <f>TEST_DATA!C14317</f>
        <v>45271</v>
      </c>
      <c r="D14317" t="str">
        <f>TEST_DATA!D14317</f>
        <v>NON-NIL</v>
      </c>
      <c r="E14317">
        <f>TEST_DATA!E14317</f>
        <v>2682</v>
      </c>
    </row>
    <row r="14318" spans="1:5" x14ac:dyDescent="0.55000000000000004">
      <c r="A14318" t="str">
        <f>TEST_DATA!A14318</f>
        <v>27AAAAA14318Z5</v>
      </c>
      <c r="B14318" t="str">
        <f>TEST_DATA!B14318</f>
        <v>Apr-2020</v>
      </c>
      <c r="C14318">
        <f>TEST_DATA!C14318</f>
        <v>44544</v>
      </c>
      <c r="D14318" t="str">
        <f>TEST_DATA!D14318</f>
        <v>NON-NIL</v>
      </c>
      <c r="E14318">
        <f>TEST_DATA!E14318</f>
        <v>2309</v>
      </c>
    </row>
    <row r="14319" spans="1:5" x14ac:dyDescent="0.55000000000000004">
      <c r="A14319" t="str">
        <f>TEST_DATA!A14319</f>
        <v>27AAAAA14319Z5</v>
      </c>
      <c r="B14319" t="str">
        <f>TEST_DATA!B14319</f>
        <v>Mar-2018</v>
      </c>
      <c r="C14319">
        <f>TEST_DATA!C14319</f>
        <v>43251</v>
      </c>
      <c r="D14319" t="str">
        <f>TEST_DATA!D14319</f>
        <v>NIL</v>
      </c>
      <c r="E14319">
        <f>TEST_DATA!E14319</f>
        <v>2354</v>
      </c>
    </row>
    <row r="14320" spans="1:5" x14ac:dyDescent="0.55000000000000004">
      <c r="A14320" t="str">
        <f>TEST_DATA!A14320</f>
        <v>27AAAAA14320Z5</v>
      </c>
      <c r="B14320" t="str">
        <f>TEST_DATA!B14320</f>
        <v>Jun-2019</v>
      </c>
      <c r="C14320">
        <f>TEST_DATA!C14320</f>
        <v>43888</v>
      </c>
      <c r="D14320" t="str">
        <f>TEST_DATA!D14320</f>
        <v>NIL</v>
      </c>
      <c r="E14320">
        <f>TEST_DATA!E14320</f>
        <v>1008</v>
      </c>
    </row>
    <row r="14321" spans="1:5" x14ac:dyDescent="0.55000000000000004">
      <c r="A14321" t="str">
        <f>TEST_DATA!A14321</f>
        <v>27AAAAA14321Z5</v>
      </c>
      <c r="B14321" t="str">
        <f>TEST_DATA!B14321</f>
        <v>Dec-2024</v>
      </c>
      <c r="C14321">
        <f>TEST_DATA!C14321</f>
        <v>44087</v>
      </c>
      <c r="D14321" t="str">
        <f>TEST_DATA!D14321</f>
        <v>NON-NIL</v>
      </c>
      <c r="E14321">
        <f>TEST_DATA!E14321</f>
        <v>313</v>
      </c>
    </row>
    <row r="14322" spans="1:5" x14ac:dyDescent="0.55000000000000004">
      <c r="A14322" t="str">
        <f>TEST_DATA!A14322</f>
        <v>27AAAAA14322Z5</v>
      </c>
      <c r="B14322" t="str">
        <f>TEST_DATA!B14322</f>
        <v>Apr-2020</v>
      </c>
      <c r="C14322">
        <f>TEST_DATA!C14322</f>
        <v>44773</v>
      </c>
      <c r="D14322" t="str">
        <f>TEST_DATA!D14322</f>
        <v>NON-NIL</v>
      </c>
      <c r="E14322">
        <f>TEST_DATA!E14322</f>
        <v>2944</v>
      </c>
    </row>
    <row r="14323" spans="1:5" x14ac:dyDescent="0.55000000000000004">
      <c r="A14323" t="str">
        <f>TEST_DATA!A14323</f>
        <v>27AAAAA14323Z5</v>
      </c>
      <c r="B14323" t="str">
        <f>TEST_DATA!B14323</f>
        <v>Sep-2017</v>
      </c>
      <c r="C14323">
        <f>TEST_DATA!C14323</f>
        <v>43082</v>
      </c>
      <c r="D14323" t="str">
        <f>TEST_DATA!D14323</f>
        <v>NIL</v>
      </c>
      <c r="E14323">
        <f>TEST_DATA!E14323</f>
        <v>442</v>
      </c>
    </row>
    <row r="14324" spans="1:5" x14ac:dyDescent="0.55000000000000004">
      <c r="A14324" t="str">
        <f>TEST_DATA!A14324</f>
        <v>27AAAAA14324Z5</v>
      </c>
      <c r="B14324" t="str">
        <f>TEST_DATA!B14324</f>
        <v>Jul-2020</v>
      </c>
      <c r="C14324">
        <f>TEST_DATA!C14324</f>
        <v>44603</v>
      </c>
      <c r="D14324" t="str">
        <f>TEST_DATA!D14324</f>
        <v>NON-NIL</v>
      </c>
      <c r="E14324">
        <f>TEST_DATA!E14324</f>
        <v>2855</v>
      </c>
    </row>
    <row r="14325" spans="1:5" x14ac:dyDescent="0.55000000000000004">
      <c r="A14325" t="str">
        <f>TEST_DATA!A14325</f>
        <v>27AAAAA14325Z5</v>
      </c>
      <c r="B14325" t="str">
        <f>TEST_DATA!B14325</f>
        <v>Apr-2021</v>
      </c>
      <c r="C14325">
        <f>TEST_DATA!C14325</f>
        <v>45353</v>
      </c>
      <c r="D14325" t="str">
        <f>TEST_DATA!D14325</f>
        <v>NON-NIL</v>
      </c>
      <c r="E14325">
        <f>TEST_DATA!E14325</f>
        <v>793</v>
      </c>
    </row>
    <row r="14326" spans="1:5" x14ac:dyDescent="0.55000000000000004">
      <c r="A14326" t="str">
        <f>TEST_DATA!A14326</f>
        <v>27AAAAA14326Z5</v>
      </c>
      <c r="B14326" t="str">
        <f>TEST_DATA!B14326</f>
        <v>Jul-2018</v>
      </c>
      <c r="C14326">
        <f>TEST_DATA!C14326</f>
        <v>43022</v>
      </c>
      <c r="D14326" t="str">
        <f>TEST_DATA!D14326</f>
        <v>NON-NIL</v>
      </c>
      <c r="E14326">
        <f>TEST_DATA!E14326</f>
        <v>2234</v>
      </c>
    </row>
    <row r="14327" spans="1:5" x14ac:dyDescent="0.55000000000000004">
      <c r="A14327" t="str">
        <f>TEST_DATA!A14327</f>
        <v>27AAAAA14327Z5</v>
      </c>
      <c r="B14327" t="str">
        <f>TEST_DATA!B14327</f>
        <v>Apr-2020</v>
      </c>
      <c r="C14327">
        <f>TEST_DATA!C14327</f>
        <v>43836</v>
      </c>
      <c r="D14327" t="str">
        <f>TEST_DATA!D14327</f>
        <v>NON-NIL</v>
      </c>
      <c r="E14327">
        <f>TEST_DATA!E14327</f>
        <v>2472</v>
      </c>
    </row>
    <row r="14328" spans="1:5" x14ac:dyDescent="0.55000000000000004">
      <c r="A14328" t="str">
        <f>TEST_DATA!A14328</f>
        <v>27AAAAA14328Z5</v>
      </c>
      <c r="B14328" t="str">
        <f>TEST_DATA!B14328</f>
        <v>Nov-2017</v>
      </c>
      <c r="C14328">
        <f>TEST_DATA!C14328</f>
        <v>43815</v>
      </c>
      <c r="D14328" t="str">
        <f>TEST_DATA!D14328</f>
        <v>NIL</v>
      </c>
      <c r="E14328">
        <f>TEST_DATA!E14328</f>
        <v>1057</v>
      </c>
    </row>
    <row r="14329" spans="1:5" x14ac:dyDescent="0.55000000000000004">
      <c r="A14329" t="str">
        <f>TEST_DATA!A14329</f>
        <v>27AAAAA14329Z5</v>
      </c>
      <c r="B14329" t="str">
        <f>TEST_DATA!B14329</f>
        <v>Feb-2018</v>
      </c>
      <c r="C14329">
        <f>TEST_DATA!C14329</f>
        <v>44318</v>
      </c>
      <c r="D14329" t="str">
        <f>TEST_DATA!D14329</f>
        <v>NON-NIL</v>
      </c>
      <c r="E14329">
        <f>TEST_DATA!E14329</f>
        <v>2348</v>
      </c>
    </row>
    <row r="14330" spans="1:5" x14ac:dyDescent="0.55000000000000004">
      <c r="A14330" t="str">
        <f>TEST_DATA!A14330</f>
        <v>27AAAAA14330Z5</v>
      </c>
      <c r="B14330" t="str">
        <f>TEST_DATA!B14330</f>
        <v>Mar-2021</v>
      </c>
      <c r="C14330">
        <f>TEST_DATA!C14330</f>
        <v>44577</v>
      </c>
      <c r="D14330" t="str">
        <f>TEST_DATA!D14330</f>
        <v>NON-NIL</v>
      </c>
      <c r="E14330">
        <f>TEST_DATA!E14330</f>
        <v>1035</v>
      </c>
    </row>
    <row r="14331" spans="1:5" x14ac:dyDescent="0.55000000000000004">
      <c r="A14331" t="str">
        <f>TEST_DATA!A14331</f>
        <v>27AAAAA14331Z5</v>
      </c>
      <c r="B14331" t="str">
        <f>TEST_DATA!B14331</f>
        <v>Apr-2020</v>
      </c>
      <c r="C14331">
        <f>TEST_DATA!C14331</f>
        <v>44251</v>
      </c>
      <c r="D14331" t="str">
        <f>TEST_DATA!D14331</f>
        <v>NON-NIL</v>
      </c>
      <c r="E14331">
        <f>TEST_DATA!E14331</f>
        <v>1965</v>
      </c>
    </row>
    <row r="14332" spans="1:5" x14ac:dyDescent="0.55000000000000004">
      <c r="A14332" t="str">
        <f>TEST_DATA!A14332</f>
        <v>27AAAAA14332Z5</v>
      </c>
      <c r="B14332" t="str">
        <f>TEST_DATA!B14332</f>
        <v>Jul-2018</v>
      </c>
      <c r="C14332">
        <f>TEST_DATA!C14332</f>
        <v>44344</v>
      </c>
      <c r="D14332" t="str">
        <f>TEST_DATA!D14332</f>
        <v>NIL</v>
      </c>
      <c r="E14332">
        <f>TEST_DATA!E14332</f>
        <v>2929</v>
      </c>
    </row>
    <row r="14333" spans="1:5" x14ac:dyDescent="0.55000000000000004">
      <c r="A14333" t="str">
        <f>TEST_DATA!A14333</f>
        <v>27AAAAA14333Z5</v>
      </c>
      <c r="B14333" t="str">
        <f>TEST_DATA!B14333</f>
        <v>Jun-2019</v>
      </c>
      <c r="C14333">
        <f>TEST_DATA!C14333</f>
        <v>45177</v>
      </c>
      <c r="D14333" t="str">
        <f>TEST_DATA!D14333</f>
        <v>NIL</v>
      </c>
      <c r="E14333">
        <f>TEST_DATA!E14333</f>
        <v>1601</v>
      </c>
    </row>
    <row r="14334" spans="1:5" x14ac:dyDescent="0.55000000000000004">
      <c r="A14334" t="str">
        <f>TEST_DATA!A14334</f>
        <v>27AAAAA14334Z5</v>
      </c>
      <c r="B14334" t="str">
        <f>TEST_DATA!B14334</f>
        <v>May-2020</v>
      </c>
      <c r="C14334">
        <f>TEST_DATA!C14334</f>
        <v>44016</v>
      </c>
      <c r="D14334" t="str">
        <f>TEST_DATA!D14334</f>
        <v>NON-NIL</v>
      </c>
      <c r="E14334">
        <f>TEST_DATA!E14334</f>
        <v>1881</v>
      </c>
    </row>
    <row r="14335" spans="1:5" x14ac:dyDescent="0.55000000000000004">
      <c r="A14335" t="str">
        <f>TEST_DATA!A14335</f>
        <v>27AAAAA14335Z5</v>
      </c>
      <c r="B14335" t="str">
        <f>TEST_DATA!B14335</f>
        <v>Jul-2018</v>
      </c>
      <c r="C14335">
        <f>TEST_DATA!C14335</f>
        <v>43545</v>
      </c>
      <c r="D14335" t="str">
        <f>TEST_DATA!D14335</f>
        <v>NON-NIL</v>
      </c>
      <c r="E14335">
        <f>TEST_DATA!E14335</f>
        <v>2144</v>
      </c>
    </row>
    <row r="14336" spans="1:5" x14ac:dyDescent="0.55000000000000004">
      <c r="A14336" t="str">
        <f>TEST_DATA!A14336</f>
        <v>27AAAAA14336Z5</v>
      </c>
      <c r="B14336" t="str">
        <f>TEST_DATA!B14336</f>
        <v>Jun-2020</v>
      </c>
      <c r="C14336">
        <f>TEST_DATA!C14336</f>
        <v>43945</v>
      </c>
      <c r="D14336" t="str">
        <f>TEST_DATA!D14336</f>
        <v>NON-NIL</v>
      </c>
      <c r="E14336">
        <f>TEST_DATA!E14336</f>
        <v>774</v>
      </c>
    </row>
    <row r="14337" spans="1:5" x14ac:dyDescent="0.55000000000000004">
      <c r="A14337" t="str">
        <f>TEST_DATA!A14337</f>
        <v>27AAAAA14337Z5</v>
      </c>
      <c r="B14337" t="str">
        <f>TEST_DATA!B14337</f>
        <v>Sep-2017</v>
      </c>
      <c r="C14337">
        <f>TEST_DATA!C14337</f>
        <v>44533</v>
      </c>
      <c r="D14337" t="str">
        <f>TEST_DATA!D14337</f>
        <v>NON-NIL</v>
      </c>
      <c r="E14337">
        <f>TEST_DATA!E14337</f>
        <v>2598</v>
      </c>
    </row>
    <row r="14338" spans="1:5" x14ac:dyDescent="0.55000000000000004">
      <c r="A14338" t="str">
        <f>TEST_DATA!A14338</f>
        <v>27AAAAA14338Z5</v>
      </c>
      <c r="B14338" t="str">
        <f>TEST_DATA!B14338</f>
        <v>May-2018</v>
      </c>
      <c r="C14338">
        <f>TEST_DATA!C14338</f>
        <v>43249</v>
      </c>
      <c r="D14338" t="str">
        <f>TEST_DATA!D14338</f>
        <v>NIL</v>
      </c>
      <c r="E14338">
        <f>TEST_DATA!E14338</f>
        <v>2843</v>
      </c>
    </row>
    <row r="14339" spans="1:5" x14ac:dyDescent="0.55000000000000004">
      <c r="A14339" t="str">
        <f>TEST_DATA!A14339</f>
        <v>27AAAAA14339Z5</v>
      </c>
      <c r="B14339" t="str">
        <f>TEST_DATA!B14339</f>
        <v>Sep-2018</v>
      </c>
      <c r="C14339">
        <f>TEST_DATA!C14339</f>
        <v>44072</v>
      </c>
      <c r="D14339" t="str">
        <f>TEST_DATA!D14339</f>
        <v>NIL</v>
      </c>
      <c r="E14339">
        <f>TEST_DATA!E14339</f>
        <v>2622</v>
      </c>
    </row>
    <row r="14340" spans="1:5" x14ac:dyDescent="0.55000000000000004">
      <c r="A14340" t="str">
        <f>TEST_DATA!A14340</f>
        <v>27AAAAA14340Z5</v>
      </c>
      <c r="B14340" t="str">
        <f>TEST_DATA!B14340</f>
        <v>Apr-2021</v>
      </c>
      <c r="C14340">
        <f>TEST_DATA!C14340</f>
        <v>43579</v>
      </c>
      <c r="D14340" t="str">
        <f>TEST_DATA!D14340</f>
        <v>NON-NIL</v>
      </c>
      <c r="E14340">
        <f>TEST_DATA!E14340</f>
        <v>793</v>
      </c>
    </row>
    <row r="14341" spans="1:5" x14ac:dyDescent="0.55000000000000004">
      <c r="A14341" t="str">
        <f>TEST_DATA!A14341</f>
        <v>27AAAAA14341Z5</v>
      </c>
      <c r="B14341" t="str">
        <f>TEST_DATA!B14341</f>
        <v>Jun-2020</v>
      </c>
      <c r="C14341">
        <f>TEST_DATA!C14341</f>
        <v>43963</v>
      </c>
      <c r="D14341" t="str">
        <f>TEST_DATA!D14341</f>
        <v>NIL</v>
      </c>
      <c r="E14341">
        <f>TEST_DATA!E14341</f>
        <v>1719</v>
      </c>
    </row>
    <row r="14342" spans="1:5" x14ac:dyDescent="0.55000000000000004">
      <c r="A14342" t="str">
        <f>TEST_DATA!A14342</f>
        <v>27AAAAA14342Z5</v>
      </c>
      <c r="B14342" t="str">
        <f>TEST_DATA!B14342</f>
        <v>Jul-2017</v>
      </c>
      <c r="C14342">
        <f>TEST_DATA!C14342</f>
        <v>43675</v>
      </c>
      <c r="D14342" t="str">
        <f>TEST_DATA!D14342</f>
        <v>NON-NIL</v>
      </c>
      <c r="E14342">
        <f>TEST_DATA!E14342</f>
        <v>2854</v>
      </c>
    </row>
    <row r="14343" spans="1:5" x14ac:dyDescent="0.55000000000000004">
      <c r="A14343" t="str">
        <f>TEST_DATA!A14343</f>
        <v>27AAAAA14343Z5</v>
      </c>
      <c r="B14343" t="str">
        <f>TEST_DATA!B14343</f>
        <v>Mar-2023</v>
      </c>
      <c r="C14343">
        <f>TEST_DATA!C14343</f>
        <v>45473</v>
      </c>
      <c r="D14343" t="str">
        <f>TEST_DATA!D14343</f>
        <v>NON-NIL</v>
      </c>
      <c r="E14343">
        <f>TEST_DATA!E14343</f>
        <v>254</v>
      </c>
    </row>
    <row r="14344" spans="1:5" x14ac:dyDescent="0.55000000000000004">
      <c r="A14344" t="str">
        <f>TEST_DATA!A14344</f>
        <v>27AAAAA14344Z5</v>
      </c>
      <c r="B14344" t="str">
        <f>TEST_DATA!B14344</f>
        <v>Nov-2017</v>
      </c>
      <c r="C14344">
        <f>TEST_DATA!C14344</f>
        <v>44203</v>
      </c>
      <c r="D14344" t="str">
        <f>TEST_DATA!D14344</f>
        <v>NON-NIL</v>
      </c>
      <c r="E14344">
        <f>TEST_DATA!E14344</f>
        <v>1376</v>
      </c>
    </row>
    <row r="14345" spans="1:5" x14ac:dyDescent="0.55000000000000004">
      <c r="A14345" t="str">
        <f>TEST_DATA!A14345</f>
        <v>27AAAAA14345Z5</v>
      </c>
      <c r="B14345" t="str">
        <f>TEST_DATA!B14345</f>
        <v>Apr-2020</v>
      </c>
      <c r="C14345">
        <f>TEST_DATA!C14345</f>
        <v>44583</v>
      </c>
      <c r="D14345" t="str">
        <f>TEST_DATA!D14345</f>
        <v>NON-NIL</v>
      </c>
      <c r="E14345">
        <f>TEST_DATA!E14345</f>
        <v>1734</v>
      </c>
    </row>
    <row r="14346" spans="1:5" x14ac:dyDescent="0.55000000000000004">
      <c r="A14346" t="str">
        <f>TEST_DATA!A14346</f>
        <v>27AAAAA14346Z5</v>
      </c>
      <c r="B14346" t="str">
        <f>TEST_DATA!B14346</f>
        <v>Mar-2020</v>
      </c>
      <c r="C14346">
        <f>TEST_DATA!C14346</f>
        <v>44488</v>
      </c>
      <c r="D14346" t="str">
        <f>TEST_DATA!D14346</f>
        <v>NON-NIL</v>
      </c>
      <c r="E14346">
        <f>TEST_DATA!E14346</f>
        <v>2315</v>
      </c>
    </row>
    <row r="14347" spans="1:5" x14ac:dyDescent="0.55000000000000004">
      <c r="A14347" t="str">
        <f>TEST_DATA!A14347</f>
        <v>27AAAAA14347Z5</v>
      </c>
      <c r="B14347" t="str">
        <f>TEST_DATA!B14347</f>
        <v>Mar-2023</v>
      </c>
      <c r="C14347">
        <f>TEST_DATA!C14347</f>
        <v>43851</v>
      </c>
      <c r="D14347" t="str">
        <f>TEST_DATA!D14347</f>
        <v>NIL</v>
      </c>
      <c r="E14347">
        <f>TEST_DATA!E14347</f>
        <v>1702</v>
      </c>
    </row>
    <row r="14348" spans="1:5" x14ac:dyDescent="0.55000000000000004">
      <c r="A14348" t="str">
        <f>TEST_DATA!A14348</f>
        <v>27AAAAA14348Z5</v>
      </c>
      <c r="B14348" t="str">
        <f>TEST_DATA!B14348</f>
        <v>Jun-2019</v>
      </c>
      <c r="C14348">
        <f>TEST_DATA!C14348</f>
        <v>43836</v>
      </c>
      <c r="D14348" t="str">
        <f>TEST_DATA!D14348</f>
        <v>NIL</v>
      </c>
      <c r="E14348">
        <f>TEST_DATA!E14348</f>
        <v>142</v>
      </c>
    </row>
    <row r="14349" spans="1:5" x14ac:dyDescent="0.55000000000000004">
      <c r="A14349" t="str">
        <f>TEST_DATA!A14349</f>
        <v>27AAAAA14349Z5</v>
      </c>
      <c r="B14349" t="str">
        <f>TEST_DATA!B14349</f>
        <v>Jan-2019</v>
      </c>
      <c r="C14349">
        <f>TEST_DATA!C14349</f>
        <v>45589</v>
      </c>
      <c r="D14349" t="str">
        <f>TEST_DATA!D14349</f>
        <v>NIL</v>
      </c>
      <c r="E14349">
        <f>TEST_DATA!E14349</f>
        <v>1847</v>
      </c>
    </row>
    <row r="14350" spans="1:5" x14ac:dyDescent="0.55000000000000004">
      <c r="A14350" t="str">
        <f>TEST_DATA!A14350</f>
        <v>27AAAAA14350Z5</v>
      </c>
      <c r="B14350" t="str">
        <f>TEST_DATA!B14350</f>
        <v>Mar-2023</v>
      </c>
      <c r="C14350">
        <f>TEST_DATA!C14350</f>
        <v>44324</v>
      </c>
      <c r="D14350" t="str">
        <f>TEST_DATA!D14350</f>
        <v>NIL</v>
      </c>
      <c r="E14350">
        <f>TEST_DATA!E14350</f>
        <v>2130</v>
      </c>
    </row>
    <row r="14351" spans="1:5" x14ac:dyDescent="0.55000000000000004">
      <c r="A14351" t="str">
        <f>TEST_DATA!A14351</f>
        <v>27AAAAA14351Z5</v>
      </c>
      <c r="B14351" t="str">
        <f>TEST_DATA!B14351</f>
        <v>Jul-2020</v>
      </c>
      <c r="C14351">
        <f>TEST_DATA!C14351</f>
        <v>44326</v>
      </c>
      <c r="D14351" t="str">
        <f>TEST_DATA!D14351</f>
        <v>NON-NIL</v>
      </c>
      <c r="E14351">
        <f>TEST_DATA!E14351</f>
        <v>2381</v>
      </c>
    </row>
    <row r="14352" spans="1:5" x14ac:dyDescent="0.55000000000000004">
      <c r="A14352" t="str">
        <f>TEST_DATA!A14352</f>
        <v>27AAAAA14352Z5</v>
      </c>
      <c r="B14352" t="str">
        <f>TEST_DATA!B14352</f>
        <v>Apr-2018</v>
      </c>
      <c r="C14352">
        <f>TEST_DATA!C14352</f>
        <v>43140</v>
      </c>
      <c r="D14352" t="str">
        <f>TEST_DATA!D14352</f>
        <v>NIL</v>
      </c>
      <c r="E14352">
        <f>TEST_DATA!E14352</f>
        <v>966</v>
      </c>
    </row>
    <row r="14353" spans="1:5" x14ac:dyDescent="0.55000000000000004">
      <c r="A14353" t="str">
        <f>TEST_DATA!A14353</f>
        <v>27AAAAA14353Z5</v>
      </c>
      <c r="B14353" t="str">
        <f>TEST_DATA!B14353</f>
        <v>Mar-2021</v>
      </c>
      <c r="C14353">
        <f>TEST_DATA!C14353</f>
        <v>44537</v>
      </c>
      <c r="D14353" t="str">
        <f>TEST_DATA!D14353</f>
        <v>NON-NIL</v>
      </c>
      <c r="E14353">
        <f>TEST_DATA!E14353</f>
        <v>2387</v>
      </c>
    </row>
    <row r="14354" spans="1:5" x14ac:dyDescent="0.55000000000000004">
      <c r="A14354" t="str">
        <f>TEST_DATA!A14354</f>
        <v>27AAAAA14354Z5</v>
      </c>
      <c r="B14354" t="str">
        <f>TEST_DATA!B14354</f>
        <v>Jul-2020</v>
      </c>
      <c r="C14354">
        <f>TEST_DATA!C14354</f>
        <v>44184</v>
      </c>
      <c r="D14354" t="str">
        <f>TEST_DATA!D14354</f>
        <v>NIL</v>
      </c>
      <c r="E14354">
        <f>TEST_DATA!E14354</f>
        <v>722</v>
      </c>
    </row>
    <row r="14355" spans="1:5" x14ac:dyDescent="0.55000000000000004">
      <c r="A14355" t="str">
        <f>TEST_DATA!A14355</f>
        <v>27AAAAA14355Z5</v>
      </c>
      <c r="B14355" t="str">
        <f>TEST_DATA!B14355</f>
        <v>Apr-2021</v>
      </c>
      <c r="C14355">
        <f>TEST_DATA!C14355</f>
        <v>44980</v>
      </c>
      <c r="D14355" t="str">
        <f>TEST_DATA!D14355</f>
        <v>NIL</v>
      </c>
      <c r="E14355">
        <f>TEST_DATA!E14355</f>
        <v>741</v>
      </c>
    </row>
    <row r="14356" spans="1:5" x14ac:dyDescent="0.55000000000000004">
      <c r="A14356" t="str">
        <f>TEST_DATA!A14356</f>
        <v>27AAAAA14356Z5</v>
      </c>
      <c r="B14356" t="str">
        <f>TEST_DATA!B14356</f>
        <v>Apr-2018</v>
      </c>
      <c r="C14356">
        <f>TEST_DATA!C14356</f>
        <v>43628</v>
      </c>
      <c r="D14356" t="str">
        <f>TEST_DATA!D14356</f>
        <v>NON-NIL</v>
      </c>
      <c r="E14356">
        <f>TEST_DATA!E14356</f>
        <v>2047</v>
      </c>
    </row>
    <row r="14357" spans="1:5" x14ac:dyDescent="0.55000000000000004">
      <c r="A14357" t="str">
        <f>TEST_DATA!A14357</f>
        <v>27AAAAA14357Z5</v>
      </c>
      <c r="B14357" t="str">
        <f>TEST_DATA!B14357</f>
        <v>Sep-2017</v>
      </c>
      <c r="C14357">
        <f>TEST_DATA!C14357</f>
        <v>43125</v>
      </c>
      <c r="D14357" t="str">
        <f>TEST_DATA!D14357</f>
        <v>NON-NIL</v>
      </c>
      <c r="E14357">
        <f>TEST_DATA!E14357</f>
        <v>733</v>
      </c>
    </row>
    <row r="14358" spans="1:5" x14ac:dyDescent="0.55000000000000004">
      <c r="A14358" t="str">
        <f>TEST_DATA!A14358</f>
        <v>27AAAAA14358Z5</v>
      </c>
      <c r="B14358" t="str">
        <f>TEST_DATA!B14358</f>
        <v>Apr-2021</v>
      </c>
      <c r="C14358">
        <f>TEST_DATA!C14358</f>
        <v>45371</v>
      </c>
      <c r="D14358" t="str">
        <f>TEST_DATA!D14358</f>
        <v>NON-NIL</v>
      </c>
      <c r="E14358">
        <f>TEST_DATA!E14358</f>
        <v>850</v>
      </c>
    </row>
    <row r="14359" spans="1:5" x14ac:dyDescent="0.55000000000000004">
      <c r="A14359" t="str">
        <f>TEST_DATA!A14359</f>
        <v>27AAAAA14359Z5</v>
      </c>
      <c r="B14359" t="str">
        <f>TEST_DATA!B14359</f>
        <v>May-2018</v>
      </c>
      <c r="C14359">
        <f>TEST_DATA!C14359</f>
        <v>43127</v>
      </c>
      <c r="D14359" t="str">
        <f>TEST_DATA!D14359</f>
        <v>NON-NIL</v>
      </c>
      <c r="E14359">
        <f>TEST_DATA!E14359</f>
        <v>2445</v>
      </c>
    </row>
    <row r="14360" spans="1:5" x14ac:dyDescent="0.55000000000000004">
      <c r="A14360" t="str">
        <f>TEST_DATA!A14360</f>
        <v>27AAAAA14360Z5</v>
      </c>
      <c r="B14360" t="str">
        <f>TEST_DATA!B14360</f>
        <v>Nov-2017</v>
      </c>
      <c r="C14360">
        <f>TEST_DATA!C14360</f>
        <v>43970</v>
      </c>
      <c r="D14360" t="str">
        <f>TEST_DATA!D14360</f>
        <v>NON-NIL</v>
      </c>
      <c r="E14360">
        <f>TEST_DATA!E14360</f>
        <v>823</v>
      </c>
    </row>
    <row r="14361" spans="1:5" x14ac:dyDescent="0.55000000000000004">
      <c r="A14361" t="str">
        <f>TEST_DATA!A14361</f>
        <v>27AAAAA14361Z5</v>
      </c>
      <c r="B14361" t="str">
        <f>TEST_DATA!B14361</f>
        <v>Nov-2017</v>
      </c>
      <c r="C14361">
        <f>TEST_DATA!C14361</f>
        <v>43932</v>
      </c>
      <c r="D14361" t="str">
        <f>TEST_DATA!D14361</f>
        <v>NIL</v>
      </c>
      <c r="E14361">
        <f>TEST_DATA!E14361</f>
        <v>630</v>
      </c>
    </row>
    <row r="14362" spans="1:5" x14ac:dyDescent="0.55000000000000004">
      <c r="A14362" t="str">
        <f>TEST_DATA!A14362</f>
        <v>27AAAAA14362Z5</v>
      </c>
      <c r="B14362" t="str">
        <f>TEST_DATA!B14362</f>
        <v>Jan-2018</v>
      </c>
      <c r="C14362">
        <f>TEST_DATA!C14362</f>
        <v>43121</v>
      </c>
      <c r="D14362" t="str">
        <f>TEST_DATA!D14362</f>
        <v>NON-NIL</v>
      </c>
      <c r="E14362">
        <f>TEST_DATA!E14362</f>
        <v>1050</v>
      </c>
    </row>
    <row r="14363" spans="1:5" x14ac:dyDescent="0.55000000000000004">
      <c r="A14363" t="str">
        <f>TEST_DATA!A14363</f>
        <v>27AAAAA14363Z5</v>
      </c>
      <c r="B14363" t="str">
        <f>TEST_DATA!B14363</f>
        <v>May-2020</v>
      </c>
      <c r="C14363">
        <f>TEST_DATA!C14363</f>
        <v>43899</v>
      </c>
      <c r="D14363" t="str">
        <f>TEST_DATA!D14363</f>
        <v>NIL</v>
      </c>
      <c r="E14363">
        <f>TEST_DATA!E14363</f>
        <v>2149</v>
      </c>
    </row>
    <row r="14364" spans="1:5" x14ac:dyDescent="0.55000000000000004">
      <c r="A14364" t="str">
        <f>TEST_DATA!A14364</f>
        <v>27AAAAA14364Z5</v>
      </c>
      <c r="B14364" t="str">
        <f>TEST_DATA!B14364</f>
        <v>Jan-2021</v>
      </c>
      <c r="C14364">
        <f>TEST_DATA!C14364</f>
        <v>43770</v>
      </c>
      <c r="D14364" t="str">
        <f>TEST_DATA!D14364</f>
        <v>NIL</v>
      </c>
      <c r="E14364">
        <f>TEST_DATA!E14364</f>
        <v>1557</v>
      </c>
    </row>
    <row r="14365" spans="1:5" x14ac:dyDescent="0.55000000000000004">
      <c r="A14365" t="str">
        <f>TEST_DATA!A14365</f>
        <v>27AAAAA14365Z5</v>
      </c>
      <c r="B14365" t="str">
        <f>TEST_DATA!B14365</f>
        <v>Jul-2017</v>
      </c>
      <c r="C14365">
        <f>TEST_DATA!C14365</f>
        <v>44516</v>
      </c>
      <c r="D14365" t="str">
        <f>TEST_DATA!D14365</f>
        <v>NON-NIL</v>
      </c>
      <c r="E14365">
        <f>TEST_DATA!E14365</f>
        <v>1588</v>
      </c>
    </row>
    <row r="14366" spans="1:5" x14ac:dyDescent="0.55000000000000004">
      <c r="A14366" t="str">
        <f>TEST_DATA!A14366</f>
        <v>27AAAAA14366Z5</v>
      </c>
      <c r="B14366" t="str">
        <f>TEST_DATA!B14366</f>
        <v>Feb-2018</v>
      </c>
      <c r="C14366">
        <f>TEST_DATA!C14366</f>
        <v>43524</v>
      </c>
      <c r="D14366" t="str">
        <f>TEST_DATA!D14366</f>
        <v>NON-NIL</v>
      </c>
      <c r="E14366">
        <f>TEST_DATA!E14366</f>
        <v>851</v>
      </c>
    </row>
    <row r="14367" spans="1:5" x14ac:dyDescent="0.55000000000000004">
      <c r="A14367" t="str">
        <f>TEST_DATA!A14367</f>
        <v>27AAAAA14367Z5</v>
      </c>
      <c r="B14367" t="str">
        <f>TEST_DATA!B14367</f>
        <v>Jan-2018</v>
      </c>
      <c r="C14367">
        <f>TEST_DATA!C14367</f>
        <v>43490</v>
      </c>
      <c r="D14367" t="str">
        <f>TEST_DATA!D14367</f>
        <v>NON-NIL</v>
      </c>
      <c r="E14367">
        <f>TEST_DATA!E14367</f>
        <v>8</v>
      </c>
    </row>
    <row r="14368" spans="1:5" x14ac:dyDescent="0.55000000000000004">
      <c r="A14368" t="str">
        <f>TEST_DATA!A14368</f>
        <v>27AAAAA14368Z5</v>
      </c>
      <c r="B14368" t="str">
        <f>TEST_DATA!B14368</f>
        <v>Dec-2017</v>
      </c>
      <c r="C14368">
        <f>TEST_DATA!C14368</f>
        <v>44247</v>
      </c>
      <c r="D14368" t="str">
        <f>TEST_DATA!D14368</f>
        <v>NON-NIL</v>
      </c>
      <c r="E14368">
        <f>TEST_DATA!E14368</f>
        <v>852</v>
      </c>
    </row>
    <row r="14369" spans="1:5" x14ac:dyDescent="0.55000000000000004">
      <c r="A14369" t="str">
        <f>TEST_DATA!A14369</f>
        <v>27AAAAA14369Z5</v>
      </c>
      <c r="B14369" t="str">
        <f>TEST_DATA!B14369</f>
        <v>Feb-2018</v>
      </c>
      <c r="C14369">
        <f>TEST_DATA!C14369</f>
        <v>44400</v>
      </c>
      <c r="D14369" t="str">
        <f>TEST_DATA!D14369</f>
        <v>NON-NIL</v>
      </c>
      <c r="E14369">
        <f>TEST_DATA!E14369</f>
        <v>1630</v>
      </c>
    </row>
    <row r="14370" spans="1:5" x14ac:dyDescent="0.55000000000000004">
      <c r="A14370" t="str">
        <f>TEST_DATA!A14370</f>
        <v>27AAAAA14370Z5</v>
      </c>
      <c r="B14370" t="str">
        <f>TEST_DATA!B14370</f>
        <v>Mar-2018</v>
      </c>
      <c r="C14370">
        <f>TEST_DATA!C14370</f>
        <v>43068</v>
      </c>
      <c r="D14370" t="str">
        <f>TEST_DATA!D14370</f>
        <v>NON-NIL</v>
      </c>
      <c r="E14370">
        <f>TEST_DATA!E14370</f>
        <v>2614</v>
      </c>
    </row>
    <row r="14371" spans="1:5" x14ac:dyDescent="0.55000000000000004">
      <c r="A14371" t="str">
        <f>TEST_DATA!A14371</f>
        <v>27AAAAA14371Z5</v>
      </c>
      <c r="B14371" t="str">
        <f>TEST_DATA!B14371</f>
        <v>Dec-2017</v>
      </c>
      <c r="C14371">
        <f>TEST_DATA!C14371</f>
        <v>44130</v>
      </c>
      <c r="D14371" t="str">
        <f>TEST_DATA!D14371</f>
        <v>NON-NIL</v>
      </c>
      <c r="E14371">
        <f>TEST_DATA!E14371</f>
        <v>154</v>
      </c>
    </row>
    <row r="14372" spans="1:5" x14ac:dyDescent="0.55000000000000004">
      <c r="A14372" t="str">
        <f>TEST_DATA!A14372</f>
        <v>27AAAAA14372Z5</v>
      </c>
      <c r="B14372" t="str">
        <f>TEST_DATA!B14372</f>
        <v>Apr-2021</v>
      </c>
      <c r="C14372">
        <f>TEST_DATA!C14372</f>
        <v>44166</v>
      </c>
      <c r="D14372" t="str">
        <f>TEST_DATA!D14372</f>
        <v>NON-NIL</v>
      </c>
      <c r="E14372">
        <f>TEST_DATA!E14372</f>
        <v>617</v>
      </c>
    </row>
    <row r="14373" spans="1:5" x14ac:dyDescent="0.55000000000000004">
      <c r="A14373" t="str">
        <f>TEST_DATA!A14373</f>
        <v>27AAAAA14373Z5</v>
      </c>
      <c r="B14373" t="str">
        <f>TEST_DATA!B14373</f>
        <v>Oct-2017</v>
      </c>
      <c r="C14373">
        <f>TEST_DATA!C14373</f>
        <v>43654</v>
      </c>
      <c r="D14373" t="str">
        <f>TEST_DATA!D14373</f>
        <v>NIL</v>
      </c>
      <c r="E14373">
        <f>TEST_DATA!E14373</f>
        <v>1101</v>
      </c>
    </row>
    <row r="14374" spans="1:5" x14ac:dyDescent="0.55000000000000004">
      <c r="A14374" t="str">
        <f>TEST_DATA!A14374</f>
        <v>27AAAAA14374Z5</v>
      </c>
      <c r="B14374" t="str">
        <f>TEST_DATA!B14374</f>
        <v>Jun-2020</v>
      </c>
      <c r="C14374">
        <f>TEST_DATA!C14374</f>
        <v>44297</v>
      </c>
      <c r="D14374" t="str">
        <f>TEST_DATA!D14374</f>
        <v>NON-NIL</v>
      </c>
      <c r="E14374">
        <f>TEST_DATA!E14374</f>
        <v>390</v>
      </c>
    </row>
    <row r="14375" spans="1:5" x14ac:dyDescent="0.55000000000000004">
      <c r="A14375" t="str">
        <f>TEST_DATA!A14375</f>
        <v>27AAAAA14375Z5</v>
      </c>
      <c r="B14375" t="str">
        <f>TEST_DATA!B14375</f>
        <v>Jan-2019</v>
      </c>
      <c r="C14375">
        <f>TEST_DATA!C14375</f>
        <v>44001</v>
      </c>
      <c r="D14375" t="str">
        <f>TEST_DATA!D14375</f>
        <v>NIL</v>
      </c>
      <c r="E14375">
        <f>TEST_DATA!E14375</f>
        <v>2738</v>
      </c>
    </row>
    <row r="14376" spans="1:5" x14ac:dyDescent="0.55000000000000004">
      <c r="A14376" t="str">
        <f>TEST_DATA!A14376</f>
        <v>27AAAAA14376Z5</v>
      </c>
      <c r="B14376" t="str">
        <f>TEST_DATA!B14376</f>
        <v>Jul-2018</v>
      </c>
      <c r="C14376">
        <f>TEST_DATA!C14376</f>
        <v>43956</v>
      </c>
      <c r="D14376" t="str">
        <f>TEST_DATA!D14376</f>
        <v>NON-NIL</v>
      </c>
      <c r="E14376">
        <f>TEST_DATA!E14376</f>
        <v>178</v>
      </c>
    </row>
    <row r="14377" spans="1:5" x14ac:dyDescent="0.55000000000000004">
      <c r="A14377" t="str">
        <f>TEST_DATA!A14377</f>
        <v>27AAAAA14377Z5</v>
      </c>
      <c r="B14377" t="str">
        <f>TEST_DATA!B14377</f>
        <v>Mar-2018</v>
      </c>
      <c r="C14377">
        <f>TEST_DATA!C14377</f>
        <v>44412</v>
      </c>
      <c r="D14377" t="str">
        <f>TEST_DATA!D14377</f>
        <v>NON-NIL</v>
      </c>
      <c r="E14377">
        <f>TEST_DATA!E14377</f>
        <v>2195</v>
      </c>
    </row>
    <row r="14378" spans="1:5" x14ac:dyDescent="0.55000000000000004">
      <c r="A14378" t="str">
        <f>TEST_DATA!A14378</f>
        <v>27AAAAA14378Z5</v>
      </c>
      <c r="B14378" t="str">
        <f>TEST_DATA!B14378</f>
        <v>Jun-2018</v>
      </c>
      <c r="C14378">
        <f>TEST_DATA!C14378</f>
        <v>43264</v>
      </c>
      <c r="D14378" t="str">
        <f>TEST_DATA!D14378</f>
        <v>NON-NIL</v>
      </c>
      <c r="E14378">
        <f>TEST_DATA!E14378</f>
        <v>210</v>
      </c>
    </row>
    <row r="14379" spans="1:5" x14ac:dyDescent="0.55000000000000004">
      <c r="A14379" t="str">
        <f>TEST_DATA!A14379</f>
        <v>27AAAAA14379Z5</v>
      </c>
      <c r="B14379" t="str">
        <f>TEST_DATA!B14379</f>
        <v>May-2020</v>
      </c>
      <c r="C14379">
        <f>TEST_DATA!C14379</f>
        <v>44121</v>
      </c>
      <c r="D14379" t="str">
        <f>TEST_DATA!D14379</f>
        <v>NIL</v>
      </c>
      <c r="E14379">
        <f>TEST_DATA!E14379</f>
        <v>1367</v>
      </c>
    </row>
    <row r="14380" spans="1:5" x14ac:dyDescent="0.55000000000000004">
      <c r="A14380" t="str">
        <f>TEST_DATA!A14380</f>
        <v>27AAAAA14380Z5</v>
      </c>
      <c r="B14380" t="str">
        <f>TEST_DATA!B14380</f>
        <v>Apr-2018</v>
      </c>
      <c r="C14380">
        <f>TEST_DATA!C14380</f>
        <v>44258</v>
      </c>
      <c r="D14380" t="str">
        <f>TEST_DATA!D14380</f>
        <v>NON-NIL</v>
      </c>
      <c r="E14380">
        <f>TEST_DATA!E14380</f>
        <v>629</v>
      </c>
    </row>
    <row r="14381" spans="1:5" x14ac:dyDescent="0.55000000000000004">
      <c r="A14381" t="str">
        <f>TEST_DATA!A14381</f>
        <v>27AAAAA14381Z5</v>
      </c>
      <c r="B14381" t="str">
        <f>TEST_DATA!B14381</f>
        <v>Dec-2024</v>
      </c>
      <c r="C14381">
        <f>TEST_DATA!C14381</f>
        <v>44156</v>
      </c>
      <c r="D14381" t="str">
        <f>TEST_DATA!D14381</f>
        <v>NON-NIL</v>
      </c>
      <c r="E14381">
        <f>TEST_DATA!E14381</f>
        <v>145</v>
      </c>
    </row>
    <row r="14382" spans="1:5" x14ac:dyDescent="0.55000000000000004">
      <c r="A14382" t="str">
        <f>TEST_DATA!A14382</f>
        <v>27AAAAA14382Z5</v>
      </c>
      <c r="B14382" t="str">
        <f>TEST_DATA!B14382</f>
        <v>Dec-2024</v>
      </c>
      <c r="C14382">
        <f>TEST_DATA!C14382</f>
        <v>44774</v>
      </c>
      <c r="D14382" t="str">
        <f>TEST_DATA!D14382</f>
        <v>NON-NIL</v>
      </c>
      <c r="E14382">
        <f>TEST_DATA!E14382</f>
        <v>971</v>
      </c>
    </row>
    <row r="14383" spans="1:5" x14ac:dyDescent="0.55000000000000004">
      <c r="A14383" t="str">
        <f>TEST_DATA!A14383</f>
        <v>27AAAAA14383Z5</v>
      </c>
      <c r="B14383" t="str">
        <f>TEST_DATA!B14383</f>
        <v>Aug-2017</v>
      </c>
      <c r="C14383">
        <f>TEST_DATA!C14383</f>
        <v>44481</v>
      </c>
      <c r="D14383" t="str">
        <f>TEST_DATA!D14383</f>
        <v>NON-NIL</v>
      </c>
      <c r="E14383">
        <f>TEST_DATA!E14383</f>
        <v>314</v>
      </c>
    </row>
    <row r="14384" spans="1:5" x14ac:dyDescent="0.55000000000000004">
      <c r="A14384" t="str">
        <f>TEST_DATA!A14384</f>
        <v>27AAAAA14384Z5</v>
      </c>
      <c r="B14384" t="str">
        <f>TEST_DATA!B14384</f>
        <v>Oct-2017</v>
      </c>
      <c r="C14384">
        <f>TEST_DATA!C14384</f>
        <v>43379</v>
      </c>
      <c r="D14384" t="str">
        <f>TEST_DATA!D14384</f>
        <v>NIL</v>
      </c>
      <c r="E14384">
        <f>TEST_DATA!E14384</f>
        <v>17</v>
      </c>
    </row>
    <row r="14385" spans="1:5" x14ac:dyDescent="0.55000000000000004">
      <c r="A14385" t="str">
        <f>TEST_DATA!A14385</f>
        <v>27AAAAA14385Z5</v>
      </c>
      <c r="B14385" t="str">
        <f>TEST_DATA!B14385</f>
        <v>Mar-2018</v>
      </c>
      <c r="C14385">
        <f>TEST_DATA!C14385</f>
        <v>43665</v>
      </c>
      <c r="D14385" t="str">
        <f>TEST_DATA!D14385</f>
        <v>NIL</v>
      </c>
      <c r="E14385">
        <f>TEST_DATA!E14385</f>
        <v>1938</v>
      </c>
    </row>
    <row r="14386" spans="1:5" x14ac:dyDescent="0.55000000000000004">
      <c r="A14386" t="str">
        <f>TEST_DATA!A14386</f>
        <v>27AAAAA14386Z5</v>
      </c>
      <c r="B14386" t="str">
        <f>TEST_DATA!B14386</f>
        <v>Jun-2018</v>
      </c>
      <c r="C14386">
        <f>TEST_DATA!C14386</f>
        <v>44216</v>
      </c>
      <c r="D14386" t="str">
        <f>TEST_DATA!D14386</f>
        <v>NIL</v>
      </c>
      <c r="E14386">
        <f>TEST_DATA!E14386</f>
        <v>804</v>
      </c>
    </row>
    <row r="14387" spans="1:5" x14ac:dyDescent="0.55000000000000004">
      <c r="A14387" t="str">
        <f>TEST_DATA!A14387</f>
        <v>27AAAAA14387Z5</v>
      </c>
      <c r="B14387" t="str">
        <f>TEST_DATA!B14387</f>
        <v>Mar-2018</v>
      </c>
      <c r="C14387">
        <f>TEST_DATA!C14387</f>
        <v>43022</v>
      </c>
      <c r="D14387" t="str">
        <f>TEST_DATA!D14387</f>
        <v>NON-NIL</v>
      </c>
      <c r="E14387">
        <f>TEST_DATA!E14387</f>
        <v>146</v>
      </c>
    </row>
    <row r="14388" spans="1:5" x14ac:dyDescent="0.55000000000000004">
      <c r="A14388" t="str">
        <f>TEST_DATA!A14388</f>
        <v>27AAAAA14388Z5</v>
      </c>
      <c r="B14388" t="str">
        <f>TEST_DATA!B14388</f>
        <v>Mar-2021</v>
      </c>
      <c r="C14388">
        <f>TEST_DATA!C14388</f>
        <v>44998</v>
      </c>
      <c r="D14388" t="str">
        <f>TEST_DATA!D14388</f>
        <v>NON-NIL</v>
      </c>
      <c r="E14388">
        <f>TEST_DATA!E14388</f>
        <v>2303</v>
      </c>
    </row>
    <row r="14389" spans="1:5" x14ac:dyDescent="0.55000000000000004">
      <c r="A14389" t="str">
        <f>TEST_DATA!A14389</f>
        <v>27AAAAA14389Z5</v>
      </c>
      <c r="B14389" t="str">
        <f>TEST_DATA!B14389</f>
        <v>Apr-2021</v>
      </c>
      <c r="C14389">
        <f>TEST_DATA!C14389</f>
        <v>44389</v>
      </c>
      <c r="D14389" t="str">
        <f>TEST_DATA!D14389</f>
        <v>NIL</v>
      </c>
      <c r="E14389">
        <f>TEST_DATA!E14389</f>
        <v>1369</v>
      </c>
    </row>
    <row r="14390" spans="1:5" x14ac:dyDescent="0.55000000000000004">
      <c r="A14390" t="str">
        <f>TEST_DATA!A14390</f>
        <v>27AAAAA14390Z5</v>
      </c>
      <c r="B14390" t="str">
        <f>TEST_DATA!B14390</f>
        <v>Jun-2018</v>
      </c>
      <c r="C14390">
        <f>TEST_DATA!C14390</f>
        <v>43649</v>
      </c>
      <c r="D14390" t="str">
        <f>TEST_DATA!D14390</f>
        <v>NON-NIL</v>
      </c>
      <c r="E14390">
        <f>TEST_DATA!E14390</f>
        <v>982</v>
      </c>
    </row>
    <row r="14391" spans="1:5" x14ac:dyDescent="0.55000000000000004">
      <c r="A14391" t="str">
        <f>TEST_DATA!A14391</f>
        <v>27AAAAA14391Z5</v>
      </c>
      <c r="B14391" t="str">
        <f>TEST_DATA!B14391</f>
        <v>Jun-2019</v>
      </c>
      <c r="C14391">
        <f>TEST_DATA!C14391</f>
        <v>44984</v>
      </c>
      <c r="D14391" t="str">
        <f>TEST_DATA!D14391</f>
        <v>NIL</v>
      </c>
      <c r="E14391">
        <f>TEST_DATA!E14391</f>
        <v>2153</v>
      </c>
    </row>
    <row r="14392" spans="1:5" x14ac:dyDescent="0.55000000000000004">
      <c r="A14392" t="str">
        <f>TEST_DATA!A14392</f>
        <v>27AAAAA14392Z5</v>
      </c>
      <c r="B14392" t="str">
        <f>TEST_DATA!B14392</f>
        <v>Mar-2021</v>
      </c>
      <c r="C14392">
        <f>TEST_DATA!C14392</f>
        <v>44096</v>
      </c>
      <c r="D14392" t="str">
        <f>TEST_DATA!D14392</f>
        <v>NON-NIL</v>
      </c>
      <c r="E14392">
        <f>TEST_DATA!E14392</f>
        <v>859</v>
      </c>
    </row>
    <row r="14393" spans="1:5" x14ac:dyDescent="0.55000000000000004">
      <c r="A14393" t="str">
        <f>TEST_DATA!A14393</f>
        <v>27AAAAA14393Z5</v>
      </c>
      <c r="B14393" t="str">
        <f>TEST_DATA!B14393</f>
        <v>Apr-2020</v>
      </c>
      <c r="C14393">
        <f>TEST_DATA!C14393</f>
        <v>44729</v>
      </c>
      <c r="D14393" t="str">
        <f>TEST_DATA!D14393</f>
        <v>NON-NIL</v>
      </c>
      <c r="E14393">
        <f>TEST_DATA!E14393</f>
        <v>2170</v>
      </c>
    </row>
    <row r="14394" spans="1:5" x14ac:dyDescent="0.55000000000000004">
      <c r="A14394" t="str">
        <f>TEST_DATA!A14394</f>
        <v>27AAAAA14394Z5</v>
      </c>
      <c r="B14394" t="str">
        <f>TEST_DATA!B14394</f>
        <v>Apr-2021</v>
      </c>
      <c r="C14394">
        <f>TEST_DATA!C14394</f>
        <v>45061</v>
      </c>
      <c r="D14394" t="str">
        <f>TEST_DATA!D14394</f>
        <v>NIL</v>
      </c>
      <c r="E14394">
        <f>TEST_DATA!E14394</f>
        <v>179</v>
      </c>
    </row>
    <row r="14395" spans="1:5" x14ac:dyDescent="0.55000000000000004">
      <c r="A14395" t="str">
        <f>TEST_DATA!A14395</f>
        <v>27AAAAA14395Z5</v>
      </c>
      <c r="B14395" t="str">
        <f>TEST_DATA!B14395</f>
        <v>Mar-2023</v>
      </c>
      <c r="C14395">
        <f>TEST_DATA!C14395</f>
        <v>44880</v>
      </c>
      <c r="D14395" t="str">
        <f>TEST_DATA!D14395</f>
        <v>NON-NIL</v>
      </c>
      <c r="E14395">
        <f>TEST_DATA!E14395</f>
        <v>2000</v>
      </c>
    </row>
    <row r="14396" spans="1:5" x14ac:dyDescent="0.55000000000000004">
      <c r="A14396" t="str">
        <f>TEST_DATA!A14396</f>
        <v>27AAAAA14396Z5</v>
      </c>
      <c r="B14396" t="str">
        <f>TEST_DATA!B14396</f>
        <v>Jul-2020</v>
      </c>
      <c r="C14396">
        <f>TEST_DATA!C14396</f>
        <v>44258</v>
      </c>
      <c r="D14396" t="str">
        <f>TEST_DATA!D14396</f>
        <v>NIL</v>
      </c>
      <c r="E14396">
        <f>TEST_DATA!E14396</f>
        <v>2148</v>
      </c>
    </row>
    <row r="14397" spans="1:5" x14ac:dyDescent="0.55000000000000004">
      <c r="A14397" t="str">
        <f>TEST_DATA!A14397</f>
        <v>27AAAAA14397Z5</v>
      </c>
      <c r="B14397" t="str">
        <f>TEST_DATA!B14397</f>
        <v>Jul-2017</v>
      </c>
      <c r="C14397">
        <f>TEST_DATA!C14397</f>
        <v>43860</v>
      </c>
      <c r="D14397" t="str">
        <f>TEST_DATA!D14397</f>
        <v>NIL</v>
      </c>
      <c r="E14397">
        <f>TEST_DATA!E14397</f>
        <v>1663</v>
      </c>
    </row>
    <row r="14398" spans="1:5" x14ac:dyDescent="0.55000000000000004">
      <c r="A14398" t="str">
        <f>TEST_DATA!A14398</f>
        <v>27AAAAA14398Z5</v>
      </c>
      <c r="B14398" t="str">
        <f>TEST_DATA!B14398</f>
        <v>May-2020</v>
      </c>
      <c r="C14398">
        <f>TEST_DATA!C14398</f>
        <v>44626</v>
      </c>
      <c r="D14398" t="str">
        <f>TEST_DATA!D14398</f>
        <v>NIL</v>
      </c>
      <c r="E14398">
        <f>TEST_DATA!E14398</f>
        <v>2367</v>
      </c>
    </row>
    <row r="14399" spans="1:5" x14ac:dyDescent="0.55000000000000004">
      <c r="A14399" t="str">
        <f>TEST_DATA!A14399</f>
        <v>27AAAAA14399Z5</v>
      </c>
      <c r="B14399" t="str">
        <f>TEST_DATA!B14399</f>
        <v>Jun-2020</v>
      </c>
      <c r="C14399">
        <f>TEST_DATA!C14399</f>
        <v>44422</v>
      </c>
      <c r="D14399" t="str">
        <f>TEST_DATA!D14399</f>
        <v>NIL</v>
      </c>
      <c r="E14399">
        <f>TEST_DATA!E14399</f>
        <v>1245</v>
      </c>
    </row>
    <row r="14400" spans="1:5" x14ac:dyDescent="0.55000000000000004">
      <c r="A14400" t="str">
        <f>TEST_DATA!A14400</f>
        <v>27AAAAA14400Z5</v>
      </c>
      <c r="B14400" t="str">
        <f>TEST_DATA!B14400</f>
        <v>Mar-2018</v>
      </c>
      <c r="C14400">
        <f>TEST_DATA!C14400</f>
        <v>43850</v>
      </c>
      <c r="D14400" t="str">
        <f>TEST_DATA!D14400</f>
        <v>NON-NIL</v>
      </c>
      <c r="E14400">
        <f>TEST_DATA!E14400</f>
        <v>107</v>
      </c>
    </row>
    <row r="14401" spans="1:5" x14ac:dyDescent="0.55000000000000004">
      <c r="A14401" t="str">
        <f>TEST_DATA!A14401</f>
        <v>27AAAAA14401Z5</v>
      </c>
      <c r="B14401" t="str">
        <f>TEST_DATA!B14401</f>
        <v>Oct-2017</v>
      </c>
      <c r="C14401">
        <f>TEST_DATA!C14401</f>
        <v>43848</v>
      </c>
      <c r="D14401" t="str">
        <f>TEST_DATA!D14401</f>
        <v>NON-NIL</v>
      </c>
      <c r="E14401">
        <f>TEST_DATA!E14401</f>
        <v>63</v>
      </c>
    </row>
    <row r="14402" spans="1:5" x14ac:dyDescent="0.55000000000000004">
      <c r="A14402" t="str">
        <f>TEST_DATA!A14402</f>
        <v>27AAAAA14402Z5</v>
      </c>
      <c r="B14402" t="str">
        <f>TEST_DATA!B14402</f>
        <v>May-2018</v>
      </c>
      <c r="C14402">
        <f>TEST_DATA!C14402</f>
        <v>43761</v>
      </c>
      <c r="D14402" t="str">
        <f>TEST_DATA!D14402</f>
        <v>NON-NIL</v>
      </c>
      <c r="E14402">
        <f>TEST_DATA!E14402</f>
        <v>1421</v>
      </c>
    </row>
    <row r="14403" spans="1:5" x14ac:dyDescent="0.55000000000000004">
      <c r="A14403" t="str">
        <f>TEST_DATA!A14403</f>
        <v>27AAAAA14403Z5</v>
      </c>
      <c r="B14403" t="str">
        <f>TEST_DATA!B14403</f>
        <v>Apr-2021</v>
      </c>
      <c r="C14403">
        <f>TEST_DATA!C14403</f>
        <v>44789</v>
      </c>
      <c r="D14403" t="str">
        <f>TEST_DATA!D14403</f>
        <v>NIL</v>
      </c>
      <c r="E14403">
        <f>TEST_DATA!E14403</f>
        <v>2644</v>
      </c>
    </row>
    <row r="14404" spans="1:5" x14ac:dyDescent="0.55000000000000004">
      <c r="A14404" t="str">
        <f>TEST_DATA!A14404</f>
        <v>27AAAAA14404Z5</v>
      </c>
      <c r="B14404" t="str">
        <f>TEST_DATA!B14404</f>
        <v>Jul-2018</v>
      </c>
      <c r="C14404">
        <f>TEST_DATA!C14404</f>
        <v>43578</v>
      </c>
      <c r="D14404" t="str">
        <f>TEST_DATA!D14404</f>
        <v>NON-NIL</v>
      </c>
      <c r="E14404">
        <f>TEST_DATA!E14404</f>
        <v>2419</v>
      </c>
    </row>
    <row r="14405" spans="1:5" x14ac:dyDescent="0.55000000000000004">
      <c r="A14405" t="str">
        <f>TEST_DATA!A14405</f>
        <v>27AAAAA14405Z5</v>
      </c>
      <c r="B14405" t="str">
        <f>TEST_DATA!B14405</f>
        <v>Jan-2019</v>
      </c>
      <c r="C14405">
        <f>TEST_DATA!C14405</f>
        <v>44011</v>
      </c>
      <c r="D14405" t="str">
        <f>TEST_DATA!D14405</f>
        <v>NIL</v>
      </c>
      <c r="E14405">
        <f>TEST_DATA!E14405</f>
        <v>827</v>
      </c>
    </row>
    <row r="14406" spans="1:5" x14ac:dyDescent="0.55000000000000004">
      <c r="A14406" t="str">
        <f>TEST_DATA!A14406</f>
        <v>27AAAAA14406Z5</v>
      </c>
      <c r="B14406" t="str">
        <f>TEST_DATA!B14406</f>
        <v>Dec-2017</v>
      </c>
      <c r="C14406">
        <f>TEST_DATA!C14406</f>
        <v>43509</v>
      </c>
      <c r="D14406" t="str">
        <f>TEST_DATA!D14406</f>
        <v>NIL</v>
      </c>
      <c r="E14406">
        <f>TEST_DATA!E14406</f>
        <v>172</v>
      </c>
    </row>
    <row r="14407" spans="1:5" x14ac:dyDescent="0.55000000000000004">
      <c r="A14407" t="str">
        <f>TEST_DATA!A14407</f>
        <v>27AAAAA14407Z5</v>
      </c>
      <c r="B14407" t="str">
        <f>TEST_DATA!B14407</f>
        <v>Mar-2018</v>
      </c>
      <c r="C14407">
        <f>TEST_DATA!C14407</f>
        <v>43408</v>
      </c>
      <c r="D14407" t="str">
        <f>TEST_DATA!D14407</f>
        <v>NIL</v>
      </c>
      <c r="E14407">
        <f>TEST_DATA!E14407</f>
        <v>250</v>
      </c>
    </row>
    <row r="14408" spans="1:5" x14ac:dyDescent="0.55000000000000004">
      <c r="A14408" t="str">
        <f>TEST_DATA!A14408</f>
        <v>27AAAAA14408Z5</v>
      </c>
      <c r="B14408" t="str">
        <f>TEST_DATA!B14408</f>
        <v>Jul-2018</v>
      </c>
      <c r="C14408">
        <f>TEST_DATA!C14408</f>
        <v>43406</v>
      </c>
      <c r="D14408" t="str">
        <f>TEST_DATA!D14408</f>
        <v>NIL</v>
      </c>
      <c r="E14408">
        <f>TEST_DATA!E14408</f>
        <v>2351</v>
      </c>
    </row>
    <row r="14409" spans="1:5" x14ac:dyDescent="0.55000000000000004">
      <c r="A14409" t="str">
        <f>TEST_DATA!A14409</f>
        <v>27AAAAA14409Z5</v>
      </c>
      <c r="B14409" t="str">
        <f>TEST_DATA!B14409</f>
        <v>Oct-2017</v>
      </c>
      <c r="C14409">
        <f>TEST_DATA!C14409</f>
        <v>42993</v>
      </c>
      <c r="D14409" t="str">
        <f>TEST_DATA!D14409</f>
        <v>NON-NIL</v>
      </c>
      <c r="E14409">
        <f>TEST_DATA!E14409</f>
        <v>2308</v>
      </c>
    </row>
    <row r="14410" spans="1:5" x14ac:dyDescent="0.55000000000000004">
      <c r="A14410" t="str">
        <f>TEST_DATA!A14410</f>
        <v>27AAAAA14410Z5</v>
      </c>
      <c r="B14410" t="str">
        <f>TEST_DATA!B14410</f>
        <v>Jan-2019</v>
      </c>
      <c r="C14410">
        <f>TEST_DATA!C14410</f>
        <v>43878</v>
      </c>
      <c r="D14410" t="str">
        <f>TEST_DATA!D14410</f>
        <v>NIL</v>
      </c>
      <c r="E14410">
        <f>TEST_DATA!E14410</f>
        <v>1563</v>
      </c>
    </row>
    <row r="14411" spans="1:5" x14ac:dyDescent="0.55000000000000004">
      <c r="A14411" t="str">
        <f>TEST_DATA!A14411</f>
        <v>27AAAAA14411Z5</v>
      </c>
      <c r="B14411" t="str">
        <f>TEST_DATA!B14411</f>
        <v>Mar-2021</v>
      </c>
      <c r="C14411">
        <f>TEST_DATA!C14411</f>
        <v>44457</v>
      </c>
      <c r="D14411" t="str">
        <f>TEST_DATA!D14411</f>
        <v>NON-NIL</v>
      </c>
      <c r="E14411">
        <f>TEST_DATA!E14411</f>
        <v>2423</v>
      </c>
    </row>
    <row r="14412" spans="1:5" x14ac:dyDescent="0.55000000000000004">
      <c r="A14412" t="str">
        <f>TEST_DATA!A14412</f>
        <v>27AAAAA14412Z5</v>
      </c>
      <c r="B14412" t="str">
        <f>TEST_DATA!B14412</f>
        <v>Sep-2017</v>
      </c>
      <c r="C14412">
        <f>TEST_DATA!C14412</f>
        <v>44477</v>
      </c>
      <c r="D14412" t="str">
        <f>TEST_DATA!D14412</f>
        <v>NIL</v>
      </c>
      <c r="E14412">
        <f>TEST_DATA!E14412</f>
        <v>1233</v>
      </c>
    </row>
    <row r="14413" spans="1:5" x14ac:dyDescent="0.55000000000000004">
      <c r="A14413" t="str">
        <f>TEST_DATA!A14413</f>
        <v>27AAAAA14413Z5</v>
      </c>
      <c r="B14413" t="str">
        <f>TEST_DATA!B14413</f>
        <v>Jul-2020</v>
      </c>
      <c r="C14413">
        <f>TEST_DATA!C14413</f>
        <v>44132</v>
      </c>
      <c r="D14413" t="str">
        <f>TEST_DATA!D14413</f>
        <v>NIL</v>
      </c>
      <c r="E14413">
        <f>TEST_DATA!E14413</f>
        <v>630</v>
      </c>
    </row>
    <row r="14414" spans="1:5" x14ac:dyDescent="0.55000000000000004">
      <c r="A14414" t="str">
        <f>TEST_DATA!A14414</f>
        <v>27AAAAA14414Z5</v>
      </c>
      <c r="B14414" t="str">
        <f>TEST_DATA!B14414</f>
        <v>Dec-2019</v>
      </c>
      <c r="C14414">
        <f>TEST_DATA!C14414</f>
        <v>45095</v>
      </c>
      <c r="D14414" t="str">
        <f>TEST_DATA!D14414</f>
        <v>NIL</v>
      </c>
      <c r="E14414">
        <f>TEST_DATA!E14414</f>
        <v>547</v>
      </c>
    </row>
    <row r="14415" spans="1:5" x14ac:dyDescent="0.55000000000000004">
      <c r="A14415" t="str">
        <f>TEST_DATA!A14415</f>
        <v>27AAAAA14415Z5</v>
      </c>
      <c r="B14415" t="str">
        <f>TEST_DATA!B14415</f>
        <v>Dec-2022</v>
      </c>
      <c r="C14415">
        <f>TEST_DATA!C14415</f>
        <v>44057</v>
      </c>
      <c r="D14415" t="str">
        <f>TEST_DATA!D14415</f>
        <v>NIL</v>
      </c>
      <c r="E14415">
        <f>TEST_DATA!E14415</f>
        <v>646</v>
      </c>
    </row>
    <row r="14416" spans="1:5" x14ac:dyDescent="0.55000000000000004">
      <c r="A14416" t="str">
        <f>TEST_DATA!A14416</f>
        <v>27AAAAA14416Z5</v>
      </c>
      <c r="B14416" t="str">
        <f>TEST_DATA!B14416</f>
        <v>Dec-2019</v>
      </c>
      <c r="C14416">
        <f>TEST_DATA!C14416</f>
        <v>45150</v>
      </c>
      <c r="D14416" t="str">
        <f>TEST_DATA!D14416</f>
        <v>NIL</v>
      </c>
      <c r="E14416">
        <f>TEST_DATA!E14416</f>
        <v>1104</v>
      </c>
    </row>
    <row r="14417" spans="1:5" x14ac:dyDescent="0.55000000000000004">
      <c r="A14417" t="str">
        <f>TEST_DATA!A14417</f>
        <v>27AAAAA14417Z5</v>
      </c>
      <c r="B14417" t="str">
        <f>TEST_DATA!B14417</f>
        <v>Jul-2017</v>
      </c>
      <c r="C14417">
        <f>TEST_DATA!C14417</f>
        <v>44382</v>
      </c>
      <c r="D14417" t="str">
        <f>TEST_DATA!D14417</f>
        <v>NIL</v>
      </c>
      <c r="E14417">
        <f>TEST_DATA!E14417</f>
        <v>2605</v>
      </c>
    </row>
    <row r="14418" spans="1:5" x14ac:dyDescent="0.55000000000000004">
      <c r="A14418" t="str">
        <f>TEST_DATA!A14418</f>
        <v>27AAAAA14418Z5</v>
      </c>
      <c r="B14418" t="str">
        <f>TEST_DATA!B14418</f>
        <v>Apr-2018</v>
      </c>
      <c r="C14418">
        <f>TEST_DATA!C14418</f>
        <v>43592</v>
      </c>
      <c r="D14418" t="str">
        <f>TEST_DATA!D14418</f>
        <v>NON-NIL</v>
      </c>
      <c r="E14418">
        <f>TEST_DATA!E14418</f>
        <v>558</v>
      </c>
    </row>
    <row r="14419" spans="1:5" x14ac:dyDescent="0.55000000000000004">
      <c r="A14419" t="str">
        <f>TEST_DATA!A14419</f>
        <v>27AAAAA14419Z5</v>
      </c>
      <c r="B14419" t="str">
        <f>TEST_DATA!B14419</f>
        <v>Nov-2017</v>
      </c>
      <c r="C14419">
        <f>TEST_DATA!C14419</f>
        <v>43452</v>
      </c>
      <c r="D14419" t="str">
        <f>TEST_DATA!D14419</f>
        <v>NIL</v>
      </c>
      <c r="E14419">
        <f>TEST_DATA!E14419</f>
        <v>699</v>
      </c>
    </row>
    <row r="14420" spans="1:5" x14ac:dyDescent="0.55000000000000004">
      <c r="A14420" t="str">
        <f>TEST_DATA!A14420</f>
        <v>27AAAAA14420Z5</v>
      </c>
      <c r="B14420" t="str">
        <f>TEST_DATA!B14420</f>
        <v>Apr-2018</v>
      </c>
      <c r="C14420">
        <f>TEST_DATA!C14420</f>
        <v>43408</v>
      </c>
      <c r="D14420" t="str">
        <f>TEST_DATA!D14420</f>
        <v>NIL</v>
      </c>
      <c r="E14420">
        <f>TEST_DATA!E14420</f>
        <v>608</v>
      </c>
    </row>
    <row r="14421" spans="1:5" x14ac:dyDescent="0.55000000000000004">
      <c r="A14421" t="str">
        <f>TEST_DATA!A14421</f>
        <v>27AAAAA14421Z5</v>
      </c>
      <c r="B14421" t="str">
        <f>TEST_DATA!B14421</f>
        <v>Feb-2018</v>
      </c>
      <c r="C14421">
        <f>TEST_DATA!C14421</f>
        <v>44332</v>
      </c>
      <c r="D14421" t="str">
        <f>TEST_DATA!D14421</f>
        <v>NIL</v>
      </c>
      <c r="E14421">
        <f>TEST_DATA!E14421</f>
        <v>2877</v>
      </c>
    </row>
    <row r="14422" spans="1:5" x14ac:dyDescent="0.55000000000000004">
      <c r="A14422" t="str">
        <f>TEST_DATA!A14422</f>
        <v>27AAAAA14422Z5</v>
      </c>
      <c r="B14422" t="str">
        <f>TEST_DATA!B14422</f>
        <v>Aug-2017</v>
      </c>
      <c r="C14422">
        <f>TEST_DATA!C14422</f>
        <v>42947</v>
      </c>
      <c r="D14422" t="str">
        <f>TEST_DATA!D14422</f>
        <v>NIL</v>
      </c>
      <c r="E14422">
        <f>TEST_DATA!E14422</f>
        <v>395</v>
      </c>
    </row>
    <row r="14423" spans="1:5" x14ac:dyDescent="0.55000000000000004">
      <c r="A14423" t="str">
        <f>TEST_DATA!A14423</f>
        <v>27AAAAA14423Z5</v>
      </c>
      <c r="B14423" t="str">
        <f>TEST_DATA!B14423</f>
        <v>Jan-2018</v>
      </c>
      <c r="C14423">
        <f>TEST_DATA!C14423</f>
        <v>43182</v>
      </c>
      <c r="D14423" t="str">
        <f>TEST_DATA!D14423</f>
        <v>NON-NIL</v>
      </c>
      <c r="E14423">
        <f>TEST_DATA!E14423</f>
        <v>2156</v>
      </c>
    </row>
    <row r="14424" spans="1:5" x14ac:dyDescent="0.55000000000000004">
      <c r="A14424" t="str">
        <f>TEST_DATA!A14424</f>
        <v>27AAAAA14424Z5</v>
      </c>
      <c r="B14424" t="str">
        <f>TEST_DATA!B14424</f>
        <v>Apr-2020</v>
      </c>
      <c r="C14424">
        <f>TEST_DATA!C14424</f>
        <v>44181</v>
      </c>
      <c r="D14424" t="str">
        <f>TEST_DATA!D14424</f>
        <v>NIL</v>
      </c>
      <c r="E14424">
        <f>TEST_DATA!E14424</f>
        <v>1084</v>
      </c>
    </row>
    <row r="14425" spans="1:5" x14ac:dyDescent="0.55000000000000004">
      <c r="A14425" t="str">
        <f>TEST_DATA!A14425</f>
        <v>27AAAAA14425Z5</v>
      </c>
      <c r="B14425" t="str">
        <f>TEST_DATA!B14425</f>
        <v>Jun-2020</v>
      </c>
      <c r="C14425">
        <f>TEST_DATA!C14425</f>
        <v>44313</v>
      </c>
      <c r="D14425" t="str">
        <f>TEST_DATA!D14425</f>
        <v>NON-NIL</v>
      </c>
      <c r="E14425">
        <f>TEST_DATA!E14425</f>
        <v>251</v>
      </c>
    </row>
    <row r="14426" spans="1:5" x14ac:dyDescent="0.55000000000000004">
      <c r="A14426" t="str">
        <f>TEST_DATA!A14426</f>
        <v>27AAAAA14426Z5</v>
      </c>
      <c r="B14426" t="str">
        <f>TEST_DATA!B14426</f>
        <v>May-2020</v>
      </c>
      <c r="C14426">
        <f>TEST_DATA!C14426</f>
        <v>44831</v>
      </c>
      <c r="D14426" t="str">
        <f>TEST_DATA!D14426</f>
        <v>NIL</v>
      </c>
      <c r="E14426">
        <f>TEST_DATA!E14426</f>
        <v>2925</v>
      </c>
    </row>
    <row r="14427" spans="1:5" x14ac:dyDescent="0.55000000000000004">
      <c r="A14427" t="str">
        <f>TEST_DATA!A14427</f>
        <v>27AAAAA14427Z5</v>
      </c>
      <c r="B14427" t="str">
        <f>TEST_DATA!B14427</f>
        <v>Feb-2018</v>
      </c>
      <c r="C14427">
        <f>TEST_DATA!C14427</f>
        <v>43604</v>
      </c>
      <c r="D14427" t="str">
        <f>TEST_DATA!D14427</f>
        <v>NIL</v>
      </c>
      <c r="E14427">
        <f>TEST_DATA!E14427</f>
        <v>662</v>
      </c>
    </row>
    <row r="14428" spans="1:5" x14ac:dyDescent="0.55000000000000004">
      <c r="A14428" t="str">
        <f>TEST_DATA!A14428</f>
        <v>27AAAAA14428Z5</v>
      </c>
      <c r="B14428" t="str">
        <f>TEST_DATA!B14428</f>
        <v>Apr-2020</v>
      </c>
      <c r="C14428">
        <f>TEST_DATA!C14428</f>
        <v>44491</v>
      </c>
      <c r="D14428" t="str">
        <f>TEST_DATA!D14428</f>
        <v>NON-NIL</v>
      </c>
      <c r="E14428">
        <f>TEST_DATA!E14428</f>
        <v>477</v>
      </c>
    </row>
    <row r="14429" spans="1:5" x14ac:dyDescent="0.55000000000000004">
      <c r="A14429" t="str">
        <f>TEST_DATA!A14429</f>
        <v>27AAAAA14429Z5</v>
      </c>
      <c r="B14429" t="str">
        <f>TEST_DATA!B14429</f>
        <v>May-2020</v>
      </c>
      <c r="C14429">
        <f>TEST_DATA!C14429</f>
        <v>44823</v>
      </c>
      <c r="D14429" t="str">
        <f>TEST_DATA!D14429</f>
        <v>NON-NIL</v>
      </c>
      <c r="E14429">
        <f>TEST_DATA!E14429</f>
        <v>752</v>
      </c>
    </row>
    <row r="14430" spans="1:5" x14ac:dyDescent="0.55000000000000004">
      <c r="A14430" t="str">
        <f>TEST_DATA!A14430</f>
        <v>27AAAAA14430Z5</v>
      </c>
      <c r="B14430" t="str">
        <f>TEST_DATA!B14430</f>
        <v>Mar-2020</v>
      </c>
      <c r="C14430">
        <f>TEST_DATA!C14430</f>
        <v>44405</v>
      </c>
      <c r="D14430" t="str">
        <f>TEST_DATA!D14430</f>
        <v>NON-NIL</v>
      </c>
      <c r="E14430">
        <f>TEST_DATA!E14430</f>
        <v>1670</v>
      </c>
    </row>
    <row r="14431" spans="1:5" x14ac:dyDescent="0.55000000000000004">
      <c r="A14431" t="str">
        <f>TEST_DATA!A14431</f>
        <v>27AAAAA14431Z5</v>
      </c>
      <c r="B14431" t="str">
        <f>TEST_DATA!B14431</f>
        <v>Jan-2021</v>
      </c>
      <c r="C14431">
        <f>TEST_DATA!C14431</f>
        <v>45465</v>
      </c>
      <c r="D14431" t="str">
        <f>TEST_DATA!D14431</f>
        <v>NON-NIL</v>
      </c>
      <c r="E14431">
        <f>TEST_DATA!E14431</f>
        <v>1170</v>
      </c>
    </row>
    <row r="14432" spans="1:5" x14ac:dyDescent="0.55000000000000004">
      <c r="A14432" t="str">
        <f>TEST_DATA!A14432</f>
        <v>27AAAAA14432Z5</v>
      </c>
      <c r="B14432" t="str">
        <f>TEST_DATA!B14432</f>
        <v>Aug-2017</v>
      </c>
      <c r="C14432">
        <f>TEST_DATA!C14432</f>
        <v>44489</v>
      </c>
      <c r="D14432" t="str">
        <f>TEST_DATA!D14432</f>
        <v>NON-NIL</v>
      </c>
      <c r="E14432">
        <f>TEST_DATA!E14432</f>
        <v>1877</v>
      </c>
    </row>
    <row r="14433" spans="1:5" x14ac:dyDescent="0.55000000000000004">
      <c r="A14433" t="str">
        <f>TEST_DATA!A14433</f>
        <v>27AAAAA14433Z5</v>
      </c>
      <c r="B14433" t="str">
        <f>TEST_DATA!B14433</f>
        <v>Mar-2020</v>
      </c>
      <c r="C14433">
        <f>TEST_DATA!C14433</f>
        <v>44574</v>
      </c>
      <c r="D14433" t="str">
        <f>TEST_DATA!D14433</f>
        <v>NIL</v>
      </c>
      <c r="E14433">
        <f>TEST_DATA!E14433</f>
        <v>1539</v>
      </c>
    </row>
    <row r="14434" spans="1:5" x14ac:dyDescent="0.55000000000000004">
      <c r="A14434" t="str">
        <f>TEST_DATA!A14434</f>
        <v>27AAAAA14434Z5</v>
      </c>
      <c r="B14434" t="str">
        <f>TEST_DATA!B14434</f>
        <v>Sep-2017</v>
      </c>
      <c r="C14434">
        <f>TEST_DATA!C14434</f>
        <v>43480</v>
      </c>
      <c r="D14434" t="str">
        <f>TEST_DATA!D14434</f>
        <v>NIL</v>
      </c>
      <c r="E14434">
        <f>TEST_DATA!E14434</f>
        <v>2260</v>
      </c>
    </row>
    <row r="14435" spans="1:5" x14ac:dyDescent="0.55000000000000004">
      <c r="A14435" t="str">
        <f>TEST_DATA!A14435</f>
        <v>27AAAAA14435Z5</v>
      </c>
      <c r="B14435" t="str">
        <f>TEST_DATA!B14435</f>
        <v>Jan-2018</v>
      </c>
      <c r="C14435">
        <f>TEST_DATA!C14435</f>
        <v>42917</v>
      </c>
      <c r="D14435" t="str">
        <f>TEST_DATA!D14435</f>
        <v>NON-NIL</v>
      </c>
      <c r="E14435">
        <f>TEST_DATA!E14435</f>
        <v>162</v>
      </c>
    </row>
    <row r="14436" spans="1:5" x14ac:dyDescent="0.55000000000000004">
      <c r="A14436" t="str">
        <f>TEST_DATA!A14436</f>
        <v>27AAAAA14436Z5</v>
      </c>
      <c r="B14436" t="str">
        <f>TEST_DATA!B14436</f>
        <v>Apr-2020</v>
      </c>
      <c r="C14436">
        <f>TEST_DATA!C14436</f>
        <v>43941</v>
      </c>
      <c r="D14436" t="str">
        <f>TEST_DATA!D14436</f>
        <v>NON-NIL</v>
      </c>
      <c r="E14436">
        <f>TEST_DATA!E14436</f>
        <v>1007</v>
      </c>
    </row>
    <row r="14437" spans="1:5" x14ac:dyDescent="0.55000000000000004">
      <c r="A14437" t="str">
        <f>TEST_DATA!A14437</f>
        <v>27AAAAA14437Z5</v>
      </c>
      <c r="B14437" t="str">
        <f>TEST_DATA!B14437</f>
        <v>Dec-2024</v>
      </c>
      <c r="C14437">
        <f>TEST_DATA!C14437</f>
        <v>44438</v>
      </c>
      <c r="D14437" t="str">
        <f>TEST_DATA!D14437</f>
        <v>NON-NIL</v>
      </c>
      <c r="E14437">
        <f>TEST_DATA!E14437</f>
        <v>224</v>
      </c>
    </row>
    <row r="14438" spans="1:5" x14ac:dyDescent="0.55000000000000004">
      <c r="A14438" t="str">
        <f>TEST_DATA!A14438</f>
        <v>27AAAAA14438Z5</v>
      </c>
      <c r="B14438" t="str">
        <f>TEST_DATA!B14438</f>
        <v>Nov-2017</v>
      </c>
      <c r="C14438">
        <f>TEST_DATA!C14438</f>
        <v>43910</v>
      </c>
      <c r="D14438" t="str">
        <f>TEST_DATA!D14438</f>
        <v>NIL</v>
      </c>
      <c r="E14438">
        <f>TEST_DATA!E14438</f>
        <v>499</v>
      </c>
    </row>
    <row r="14439" spans="1:5" x14ac:dyDescent="0.55000000000000004">
      <c r="A14439" t="str">
        <f>TEST_DATA!A14439</f>
        <v>27AAAAA14439Z5</v>
      </c>
      <c r="B14439" t="str">
        <f>TEST_DATA!B14439</f>
        <v>Jan-2021</v>
      </c>
      <c r="C14439">
        <f>TEST_DATA!C14439</f>
        <v>44835</v>
      </c>
      <c r="D14439" t="str">
        <f>TEST_DATA!D14439</f>
        <v>NON-NIL</v>
      </c>
      <c r="E14439">
        <f>TEST_DATA!E14439</f>
        <v>1924</v>
      </c>
    </row>
    <row r="14440" spans="1:5" x14ac:dyDescent="0.55000000000000004">
      <c r="A14440" t="str">
        <f>TEST_DATA!A14440</f>
        <v>27AAAAA14440Z5</v>
      </c>
      <c r="B14440" t="str">
        <f>TEST_DATA!B14440</f>
        <v>Dec-2022</v>
      </c>
      <c r="C14440">
        <f>TEST_DATA!C14440</f>
        <v>44137</v>
      </c>
      <c r="D14440" t="str">
        <f>TEST_DATA!D14440</f>
        <v>NON-NIL</v>
      </c>
      <c r="E14440">
        <f>TEST_DATA!E14440</f>
        <v>282</v>
      </c>
    </row>
    <row r="14441" spans="1:5" x14ac:dyDescent="0.55000000000000004">
      <c r="A14441" t="str">
        <f>TEST_DATA!A14441</f>
        <v>27AAAAA14441Z5</v>
      </c>
      <c r="B14441" t="str">
        <f>TEST_DATA!B14441</f>
        <v>Jan-2019</v>
      </c>
      <c r="C14441">
        <f>TEST_DATA!C14441</f>
        <v>44276</v>
      </c>
      <c r="D14441" t="str">
        <f>TEST_DATA!D14441</f>
        <v>NON-NIL</v>
      </c>
      <c r="E14441">
        <f>TEST_DATA!E14441</f>
        <v>766</v>
      </c>
    </row>
    <row r="14442" spans="1:5" x14ac:dyDescent="0.55000000000000004">
      <c r="A14442" t="str">
        <f>TEST_DATA!A14442</f>
        <v>27AAAAA14442Z5</v>
      </c>
      <c r="B14442" t="str">
        <f>TEST_DATA!B14442</f>
        <v>Mar-2020</v>
      </c>
      <c r="C14442">
        <f>TEST_DATA!C14442</f>
        <v>44129</v>
      </c>
      <c r="D14442" t="str">
        <f>TEST_DATA!D14442</f>
        <v>NON-NIL</v>
      </c>
      <c r="E14442">
        <f>TEST_DATA!E14442</f>
        <v>1315</v>
      </c>
    </row>
    <row r="14443" spans="1:5" x14ac:dyDescent="0.55000000000000004">
      <c r="A14443" t="str">
        <f>TEST_DATA!A14443</f>
        <v>27AAAAA14443Z5</v>
      </c>
      <c r="B14443" t="str">
        <f>TEST_DATA!B14443</f>
        <v>Apr-2021</v>
      </c>
      <c r="C14443">
        <f>TEST_DATA!C14443</f>
        <v>45699</v>
      </c>
      <c r="D14443" t="str">
        <f>TEST_DATA!D14443</f>
        <v>NON-NIL</v>
      </c>
      <c r="E14443">
        <f>TEST_DATA!E14443</f>
        <v>2898</v>
      </c>
    </row>
    <row r="14444" spans="1:5" x14ac:dyDescent="0.55000000000000004">
      <c r="A14444" t="str">
        <f>TEST_DATA!A14444</f>
        <v>27AAAAA14444Z5</v>
      </c>
      <c r="B14444" t="str">
        <f>TEST_DATA!B14444</f>
        <v>Sep-2018</v>
      </c>
      <c r="C14444">
        <f>TEST_DATA!C14444</f>
        <v>43848</v>
      </c>
      <c r="D14444" t="str">
        <f>TEST_DATA!D14444</f>
        <v>NIL</v>
      </c>
      <c r="E14444">
        <f>TEST_DATA!E14444</f>
        <v>2227</v>
      </c>
    </row>
    <row r="14445" spans="1:5" x14ac:dyDescent="0.55000000000000004">
      <c r="A14445" t="str">
        <f>TEST_DATA!A14445</f>
        <v>27AAAAA14445Z5</v>
      </c>
      <c r="B14445" t="str">
        <f>TEST_DATA!B14445</f>
        <v>Jan-2021</v>
      </c>
      <c r="C14445">
        <f>TEST_DATA!C14445</f>
        <v>44212</v>
      </c>
      <c r="D14445" t="str">
        <f>TEST_DATA!D14445</f>
        <v>NON-NIL</v>
      </c>
      <c r="E14445">
        <f>TEST_DATA!E14445</f>
        <v>795</v>
      </c>
    </row>
    <row r="14446" spans="1:5" x14ac:dyDescent="0.55000000000000004">
      <c r="A14446" t="str">
        <f>TEST_DATA!A14446</f>
        <v>27AAAAA14446Z5</v>
      </c>
      <c r="B14446" t="str">
        <f>TEST_DATA!B14446</f>
        <v>Jun-2019</v>
      </c>
      <c r="C14446">
        <f>TEST_DATA!C14446</f>
        <v>44105</v>
      </c>
      <c r="D14446" t="str">
        <f>TEST_DATA!D14446</f>
        <v>NIL</v>
      </c>
      <c r="E14446">
        <f>TEST_DATA!E14446</f>
        <v>1144</v>
      </c>
    </row>
    <row r="14447" spans="1:5" x14ac:dyDescent="0.55000000000000004">
      <c r="A14447" t="str">
        <f>TEST_DATA!A14447</f>
        <v>27AAAAA14447Z5</v>
      </c>
      <c r="B14447" t="str">
        <f>TEST_DATA!B14447</f>
        <v>Aug-2018</v>
      </c>
      <c r="C14447">
        <f>TEST_DATA!C14447</f>
        <v>43257</v>
      </c>
      <c r="D14447" t="str">
        <f>TEST_DATA!D14447</f>
        <v>NIL</v>
      </c>
      <c r="E14447">
        <f>TEST_DATA!E14447</f>
        <v>678</v>
      </c>
    </row>
    <row r="14448" spans="1:5" x14ac:dyDescent="0.55000000000000004">
      <c r="A14448" t="str">
        <f>TEST_DATA!A14448</f>
        <v>27AAAAA14448Z5</v>
      </c>
      <c r="B14448" t="str">
        <f>TEST_DATA!B14448</f>
        <v>Dec-2017</v>
      </c>
      <c r="C14448">
        <f>TEST_DATA!C14448</f>
        <v>43245</v>
      </c>
      <c r="D14448" t="str">
        <f>TEST_DATA!D14448</f>
        <v>NIL</v>
      </c>
      <c r="E14448">
        <f>TEST_DATA!E14448</f>
        <v>806</v>
      </c>
    </row>
    <row r="14449" spans="1:5" x14ac:dyDescent="0.55000000000000004">
      <c r="A14449" t="str">
        <f>TEST_DATA!A14449</f>
        <v>27AAAAA14449Z5</v>
      </c>
      <c r="B14449" t="str">
        <f>TEST_DATA!B14449</f>
        <v>Jun-2019</v>
      </c>
      <c r="C14449">
        <f>TEST_DATA!C14449</f>
        <v>43804</v>
      </c>
      <c r="D14449" t="str">
        <f>TEST_DATA!D14449</f>
        <v>NIL</v>
      </c>
      <c r="E14449">
        <f>TEST_DATA!E14449</f>
        <v>2048</v>
      </c>
    </row>
    <row r="14450" spans="1:5" x14ac:dyDescent="0.55000000000000004">
      <c r="A14450" t="str">
        <f>TEST_DATA!A14450</f>
        <v>27AAAAA14450Z5</v>
      </c>
      <c r="B14450" t="str">
        <f>TEST_DATA!B14450</f>
        <v>May-2018</v>
      </c>
      <c r="C14450">
        <f>TEST_DATA!C14450</f>
        <v>43278</v>
      </c>
      <c r="D14450" t="str">
        <f>TEST_DATA!D14450</f>
        <v>NIL</v>
      </c>
      <c r="E14450">
        <f>TEST_DATA!E14450</f>
        <v>890</v>
      </c>
    </row>
    <row r="14451" spans="1:5" x14ac:dyDescent="0.55000000000000004">
      <c r="A14451" t="str">
        <f>TEST_DATA!A14451</f>
        <v>27AAAAA14451Z5</v>
      </c>
      <c r="B14451" t="str">
        <f>TEST_DATA!B14451</f>
        <v>May-2018</v>
      </c>
      <c r="C14451">
        <f>TEST_DATA!C14451</f>
        <v>44148</v>
      </c>
      <c r="D14451" t="str">
        <f>TEST_DATA!D14451</f>
        <v>NIL</v>
      </c>
      <c r="E14451">
        <f>TEST_DATA!E14451</f>
        <v>1576</v>
      </c>
    </row>
    <row r="14452" spans="1:5" x14ac:dyDescent="0.55000000000000004">
      <c r="A14452" t="str">
        <f>TEST_DATA!A14452</f>
        <v>27AAAAA14452Z5</v>
      </c>
      <c r="B14452" t="str">
        <f>TEST_DATA!B14452</f>
        <v>Nov-2017</v>
      </c>
      <c r="C14452">
        <f>TEST_DATA!C14452</f>
        <v>43910</v>
      </c>
      <c r="D14452" t="str">
        <f>TEST_DATA!D14452</f>
        <v>NIL</v>
      </c>
      <c r="E14452">
        <f>TEST_DATA!E14452</f>
        <v>2379</v>
      </c>
    </row>
    <row r="14453" spans="1:5" x14ac:dyDescent="0.55000000000000004">
      <c r="A14453" t="str">
        <f>TEST_DATA!A14453</f>
        <v>27AAAAA14453Z5</v>
      </c>
      <c r="B14453" t="str">
        <f>TEST_DATA!B14453</f>
        <v>Mar-2023</v>
      </c>
      <c r="C14453">
        <f>TEST_DATA!C14453</f>
        <v>44659</v>
      </c>
      <c r="D14453" t="str">
        <f>TEST_DATA!D14453</f>
        <v>NIL</v>
      </c>
      <c r="E14453">
        <f>TEST_DATA!E14453</f>
        <v>2945</v>
      </c>
    </row>
    <row r="14454" spans="1:5" x14ac:dyDescent="0.55000000000000004">
      <c r="A14454" t="str">
        <f>TEST_DATA!A14454</f>
        <v>27AAAAA14454Z5</v>
      </c>
      <c r="B14454" t="str">
        <f>TEST_DATA!B14454</f>
        <v>Jun-2020</v>
      </c>
      <c r="C14454">
        <f>TEST_DATA!C14454</f>
        <v>44027</v>
      </c>
      <c r="D14454" t="str">
        <f>TEST_DATA!D14454</f>
        <v>NON-NIL</v>
      </c>
      <c r="E14454">
        <f>TEST_DATA!E14454</f>
        <v>1225</v>
      </c>
    </row>
    <row r="14455" spans="1:5" x14ac:dyDescent="0.55000000000000004">
      <c r="A14455" t="str">
        <f>TEST_DATA!A14455</f>
        <v>27AAAAA14455Z5</v>
      </c>
      <c r="B14455" t="str">
        <f>TEST_DATA!B14455</f>
        <v>Sep-2017</v>
      </c>
      <c r="C14455">
        <f>TEST_DATA!C14455</f>
        <v>43268</v>
      </c>
      <c r="D14455" t="str">
        <f>TEST_DATA!D14455</f>
        <v>NON-NIL</v>
      </c>
      <c r="E14455">
        <f>TEST_DATA!E14455</f>
        <v>1386</v>
      </c>
    </row>
    <row r="14456" spans="1:5" x14ac:dyDescent="0.55000000000000004">
      <c r="A14456" t="str">
        <f>TEST_DATA!A14456</f>
        <v>27AAAAA14456Z5</v>
      </c>
      <c r="B14456" t="str">
        <f>TEST_DATA!B14456</f>
        <v>Dec-2017</v>
      </c>
      <c r="C14456">
        <f>TEST_DATA!C14456</f>
        <v>43296</v>
      </c>
      <c r="D14456" t="str">
        <f>TEST_DATA!D14456</f>
        <v>NIL</v>
      </c>
      <c r="E14456">
        <f>TEST_DATA!E14456</f>
        <v>1030</v>
      </c>
    </row>
    <row r="14457" spans="1:5" x14ac:dyDescent="0.55000000000000004">
      <c r="A14457" t="str">
        <f>TEST_DATA!A14457</f>
        <v>27AAAAA14457Z5</v>
      </c>
      <c r="B14457" t="str">
        <f>TEST_DATA!B14457</f>
        <v>Apr-2021</v>
      </c>
      <c r="C14457">
        <f>TEST_DATA!C14457</f>
        <v>44980</v>
      </c>
      <c r="D14457" t="str">
        <f>TEST_DATA!D14457</f>
        <v>NON-NIL</v>
      </c>
      <c r="E14457">
        <f>TEST_DATA!E14457</f>
        <v>1813</v>
      </c>
    </row>
    <row r="14458" spans="1:5" x14ac:dyDescent="0.55000000000000004">
      <c r="A14458" t="str">
        <f>TEST_DATA!A14458</f>
        <v>27AAAAA14458Z5</v>
      </c>
      <c r="B14458" t="str">
        <f>TEST_DATA!B14458</f>
        <v>Jun-2020</v>
      </c>
      <c r="C14458">
        <f>TEST_DATA!C14458</f>
        <v>43884</v>
      </c>
      <c r="D14458" t="str">
        <f>TEST_DATA!D14458</f>
        <v>NIL</v>
      </c>
      <c r="E14458">
        <f>TEST_DATA!E14458</f>
        <v>2356</v>
      </c>
    </row>
    <row r="14459" spans="1:5" x14ac:dyDescent="0.55000000000000004">
      <c r="A14459" t="str">
        <f>TEST_DATA!A14459</f>
        <v>27AAAAA14459Z5</v>
      </c>
      <c r="B14459" t="str">
        <f>TEST_DATA!B14459</f>
        <v>Jul-2020</v>
      </c>
      <c r="C14459">
        <f>TEST_DATA!C14459</f>
        <v>44295</v>
      </c>
      <c r="D14459" t="str">
        <f>TEST_DATA!D14459</f>
        <v>NON-NIL</v>
      </c>
      <c r="E14459">
        <f>TEST_DATA!E14459</f>
        <v>141</v>
      </c>
    </row>
    <row r="14460" spans="1:5" x14ac:dyDescent="0.55000000000000004">
      <c r="A14460" t="str">
        <f>TEST_DATA!A14460</f>
        <v>27AAAAA14460Z5</v>
      </c>
      <c r="B14460" t="str">
        <f>TEST_DATA!B14460</f>
        <v>Mar-2018</v>
      </c>
      <c r="C14460">
        <f>TEST_DATA!C14460</f>
        <v>43766</v>
      </c>
      <c r="D14460" t="str">
        <f>TEST_DATA!D14460</f>
        <v>NIL</v>
      </c>
      <c r="E14460">
        <f>TEST_DATA!E14460</f>
        <v>2843</v>
      </c>
    </row>
    <row r="14461" spans="1:5" x14ac:dyDescent="0.55000000000000004">
      <c r="A14461" t="str">
        <f>TEST_DATA!A14461</f>
        <v>27AAAAA14461Z5</v>
      </c>
      <c r="B14461" t="str">
        <f>TEST_DATA!B14461</f>
        <v>Apr-2020</v>
      </c>
      <c r="C14461">
        <f>TEST_DATA!C14461</f>
        <v>44218</v>
      </c>
      <c r="D14461" t="str">
        <f>TEST_DATA!D14461</f>
        <v>NIL</v>
      </c>
      <c r="E14461">
        <f>TEST_DATA!E14461</f>
        <v>2632</v>
      </c>
    </row>
    <row r="14462" spans="1:5" x14ac:dyDescent="0.55000000000000004">
      <c r="A14462" t="str">
        <f>TEST_DATA!A14462</f>
        <v>27AAAAA14462Z5</v>
      </c>
      <c r="B14462" t="str">
        <f>TEST_DATA!B14462</f>
        <v>Sep-2018</v>
      </c>
      <c r="C14462">
        <f>TEST_DATA!C14462</f>
        <v>43487</v>
      </c>
      <c r="D14462" t="str">
        <f>TEST_DATA!D14462</f>
        <v>NIL</v>
      </c>
      <c r="E14462">
        <f>TEST_DATA!E14462</f>
        <v>1443</v>
      </c>
    </row>
    <row r="14463" spans="1:5" x14ac:dyDescent="0.55000000000000004">
      <c r="A14463" t="str">
        <f>TEST_DATA!A14463</f>
        <v>27AAAAA14463Z5</v>
      </c>
      <c r="B14463" t="str">
        <f>TEST_DATA!B14463</f>
        <v>Jan-2018</v>
      </c>
      <c r="C14463">
        <f>TEST_DATA!C14463</f>
        <v>43617</v>
      </c>
      <c r="D14463" t="str">
        <f>TEST_DATA!D14463</f>
        <v>NIL</v>
      </c>
      <c r="E14463">
        <f>TEST_DATA!E14463</f>
        <v>848</v>
      </c>
    </row>
    <row r="14464" spans="1:5" x14ac:dyDescent="0.55000000000000004">
      <c r="A14464" t="str">
        <f>TEST_DATA!A14464</f>
        <v>27AAAAA14464Z5</v>
      </c>
      <c r="B14464" t="str">
        <f>TEST_DATA!B14464</f>
        <v>Jul-2020</v>
      </c>
      <c r="C14464">
        <f>TEST_DATA!C14464</f>
        <v>44900</v>
      </c>
      <c r="D14464" t="str">
        <f>TEST_DATA!D14464</f>
        <v>NON-NIL</v>
      </c>
      <c r="E14464">
        <f>TEST_DATA!E14464</f>
        <v>2082</v>
      </c>
    </row>
    <row r="14465" spans="1:5" x14ac:dyDescent="0.55000000000000004">
      <c r="A14465" t="str">
        <f>TEST_DATA!A14465</f>
        <v>27AAAAA14465Z5</v>
      </c>
      <c r="B14465" t="str">
        <f>TEST_DATA!B14465</f>
        <v>May-2020</v>
      </c>
      <c r="C14465">
        <f>TEST_DATA!C14465</f>
        <v>44578</v>
      </c>
      <c r="D14465" t="str">
        <f>TEST_DATA!D14465</f>
        <v>NIL</v>
      </c>
      <c r="E14465">
        <f>TEST_DATA!E14465</f>
        <v>2995</v>
      </c>
    </row>
    <row r="14466" spans="1:5" x14ac:dyDescent="0.55000000000000004">
      <c r="A14466" t="str">
        <f>TEST_DATA!A14466</f>
        <v>27AAAAA14466Z5</v>
      </c>
      <c r="B14466" t="str">
        <f>TEST_DATA!B14466</f>
        <v>Dec-2024</v>
      </c>
      <c r="C14466">
        <f>TEST_DATA!C14466</f>
        <v>43554</v>
      </c>
      <c r="D14466" t="str">
        <f>TEST_DATA!D14466</f>
        <v>NON-NIL</v>
      </c>
      <c r="E14466">
        <f>TEST_DATA!E14466</f>
        <v>992</v>
      </c>
    </row>
    <row r="14467" spans="1:5" x14ac:dyDescent="0.55000000000000004">
      <c r="A14467" t="str">
        <f>TEST_DATA!A14467</f>
        <v>27AAAAA14467Z5</v>
      </c>
      <c r="B14467" t="str">
        <f>TEST_DATA!B14467</f>
        <v>Mar-2021</v>
      </c>
      <c r="C14467">
        <f>TEST_DATA!C14467</f>
        <v>43598</v>
      </c>
      <c r="D14467" t="str">
        <f>TEST_DATA!D14467</f>
        <v>NON-NIL</v>
      </c>
      <c r="E14467">
        <f>TEST_DATA!E14467</f>
        <v>1393</v>
      </c>
    </row>
    <row r="14468" spans="1:5" x14ac:dyDescent="0.55000000000000004">
      <c r="A14468" t="str">
        <f>TEST_DATA!A14468</f>
        <v>27AAAAA14468Z5</v>
      </c>
      <c r="B14468" t="str">
        <f>TEST_DATA!B14468</f>
        <v>Dec-2019</v>
      </c>
      <c r="C14468">
        <f>TEST_DATA!C14468</f>
        <v>45441</v>
      </c>
      <c r="D14468" t="str">
        <f>TEST_DATA!D14468</f>
        <v>NON-NIL</v>
      </c>
      <c r="E14468">
        <f>TEST_DATA!E14468</f>
        <v>2336</v>
      </c>
    </row>
    <row r="14469" spans="1:5" x14ac:dyDescent="0.55000000000000004">
      <c r="A14469" t="str">
        <f>TEST_DATA!A14469</f>
        <v>27AAAAA14469Z5</v>
      </c>
      <c r="B14469" t="str">
        <f>TEST_DATA!B14469</f>
        <v>Jun-2018</v>
      </c>
      <c r="C14469">
        <f>TEST_DATA!C14469</f>
        <v>43038</v>
      </c>
      <c r="D14469" t="str">
        <f>TEST_DATA!D14469</f>
        <v>NIL</v>
      </c>
      <c r="E14469">
        <f>TEST_DATA!E14469</f>
        <v>1414</v>
      </c>
    </row>
    <row r="14470" spans="1:5" x14ac:dyDescent="0.55000000000000004">
      <c r="A14470" t="str">
        <f>TEST_DATA!A14470</f>
        <v>27AAAAA14470Z5</v>
      </c>
      <c r="B14470" t="str">
        <f>TEST_DATA!B14470</f>
        <v>Apr-2021</v>
      </c>
      <c r="C14470">
        <f>TEST_DATA!C14470</f>
        <v>45419</v>
      </c>
      <c r="D14470" t="str">
        <f>TEST_DATA!D14470</f>
        <v>NIL</v>
      </c>
      <c r="E14470">
        <f>TEST_DATA!E14470</f>
        <v>921</v>
      </c>
    </row>
    <row r="14471" spans="1:5" x14ac:dyDescent="0.55000000000000004">
      <c r="A14471" t="str">
        <f>TEST_DATA!A14471</f>
        <v>27AAAAA14471Z5</v>
      </c>
      <c r="B14471" t="str">
        <f>TEST_DATA!B14471</f>
        <v>Dec-2017</v>
      </c>
      <c r="C14471">
        <f>TEST_DATA!C14471</f>
        <v>44434</v>
      </c>
      <c r="D14471" t="str">
        <f>TEST_DATA!D14471</f>
        <v>NIL</v>
      </c>
      <c r="E14471">
        <f>TEST_DATA!E14471</f>
        <v>57</v>
      </c>
    </row>
    <row r="14472" spans="1:5" x14ac:dyDescent="0.55000000000000004">
      <c r="A14472" t="str">
        <f>TEST_DATA!A14472</f>
        <v>27AAAAA14472Z5</v>
      </c>
      <c r="B14472" t="str">
        <f>TEST_DATA!B14472</f>
        <v>Jul-2017</v>
      </c>
      <c r="C14472">
        <f>TEST_DATA!C14472</f>
        <v>43904</v>
      </c>
      <c r="D14472" t="str">
        <f>TEST_DATA!D14472</f>
        <v>NIL</v>
      </c>
      <c r="E14472">
        <f>TEST_DATA!E14472</f>
        <v>2291</v>
      </c>
    </row>
    <row r="14473" spans="1:5" x14ac:dyDescent="0.55000000000000004">
      <c r="A14473" t="str">
        <f>TEST_DATA!A14473</f>
        <v>27AAAAA14473Z5</v>
      </c>
      <c r="B14473" t="str">
        <f>TEST_DATA!B14473</f>
        <v>Aug-2018</v>
      </c>
      <c r="C14473">
        <f>TEST_DATA!C14473</f>
        <v>43060</v>
      </c>
      <c r="D14473" t="str">
        <f>TEST_DATA!D14473</f>
        <v>NON-NIL</v>
      </c>
      <c r="E14473">
        <f>TEST_DATA!E14473</f>
        <v>2469</v>
      </c>
    </row>
    <row r="14474" spans="1:5" x14ac:dyDescent="0.55000000000000004">
      <c r="A14474" t="str">
        <f>TEST_DATA!A14474</f>
        <v>27AAAAA14474Z5</v>
      </c>
      <c r="B14474" t="str">
        <f>TEST_DATA!B14474</f>
        <v>Dec-2022</v>
      </c>
      <c r="C14474">
        <f>TEST_DATA!C14474</f>
        <v>44709</v>
      </c>
      <c r="D14474" t="str">
        <f>TEST_DATA!D14474</f>
        <v>NON-NIL</v>
      </c>
      <c r="E14474">
        <f>TEST_DATA!E14474</f>
        <v>1613</v>
      </c>
    </row>
    <row r="14475" spans="1:5" x14ac:dyDescent="0.55000000000000004">
      <c r="A14475" t="str">
        <f>TEST_DATA!A14475</f>
        <v>27AAAAA14475Z5</v>
      </c>
      <c r="B14475" t="str">
        <f>TEST_DATA!B14475</f>
        <v>Jun-2020</v>
      </c>
      <c r="C14475">
        <f>TEST_DATA!C14475</f>
        <v>44765</v>
      </c>
      <c r="D14475" t="str">
        <f>TEST_DATA!D14475</f>
        <v>NON-NIL</v>
      </c>
      <c r="E14475">
        <f>TEST_DATA!E14475</f>
        <v>1910</v>
      </c>
    </row>
    <row r="14476" spans="1:5" x14ac:dyDescent="0.55000000000000004">
      <c r="A14476" t="str">
        <f>TEST_DATA!A14476</f>
        <v>27AAAAA14476Z5</v>
      </c>
      <c r="B14476" t="str">
        <f>TEST_DATA!B14476</f>
        <v>Jan-2021</v>
      </c>
      <c r="C14476">
        <f>TEST_DATA!C14476</f>
        <v>44899</v>
      </c>
      <c r="D14476" t="str">
        <f>TEST_DATA!D14476</f>
        <v>NIL</v>
      </c>
      <c r="E14476">
        <f>TEST_DATA!E14476</f>
        <v>2538</v>
      </c>
    </row>
    <row r="14477" spans="1:5" x14ac:dyDescent="0.55000000000000004">
      <c r="A14477" t="str">
        <f>TEST_DATA!A14477</f>
        <v>27AAAAA14477Z5</v>
      </c>
      <c r="B14477" t="str">
        <f>TEST_DATA!B14477</f>
        <v>Oct-2017</v>
      </c>
      <c r="C14477">
        <f>TEST_DATA!C14477</f>
        <v>43467</v>
      </c>
      <c r="D14477" t="str">
        <f>TEST_DATA!D14477</f>
        <v>NIL</v>
      </c>
      <c r="E14477">
        <f>TEST_DATA!E14477</f>
        <v>1502</v>
      </c>
    </row>
    <row r="14478" spans="1:5" x14ac:dyDescent="0.55000000000000004">
      <c r="A14478" t="str">
        <f>TEST_DATA!A14478</f>
        <v>27AAAAA14478Z5</v>
      </c>
      <c r="B14478" t="str">
        <f>TEST_DATA!B14478</f>
        <v>May-2020</v>
      </c>
      <c r="C14478">
        <f>TEST_DATA!C14478</f>
        <v>44610</v>
      </c>
      <c r="D14478" t="str">
        <f>TEST_DATA!D14478</f>
        <v>NON-NIL</v>
      </c>
      <c r="E14478">
        <f>TEST_DATA!E14478</f>
        <v>169</v>
      </c>
    </row>
    <row r="14479" spans="1:5" x14ac:dyDescent="0.55000000000000004">
      <c r="A14479" t="str">
        <f>TEST_DATA!A14479</f>
        <v>27AAAAA14479Z5</v>
      </c>
      <c r="B14479" t="str">
        <f>TEST_DATA!B14479</f>
        <v>Dec-2019</v>
      </c>
      <c r="C14479">
        <f>TEST_DATA!C14479</f>
        <v>45026</v>
      </c>
      <c r="D14479" t="str">
        <f>TEST_DATA!D14479</f>
        <v>NIL</v>
      </c>
      <c r="E14479">
        <f>TEST_DATA!E14479</f>
        <v>2722</v>
      </c>
    </row>
    <row r="14480" spans="1:5" x14ac:dyDescent="0.55000000000000004">
      <c r="A14480" t="str">
        <f>TEST_DATA!A14480</f>
        <v>27AAAAA14480Z5</v>
      </c>
      <c r="B14480" t="str">
        <f>TEST_DATA!B14480</f>
        <v>Dec-2022</v>
      </c>
      <c r="C14480">
        <f>TEST_DATA!C14480</f>
        <v>44036</v>
      </c>
      <c r="D14480" t="str">
        <f>TEST_DATA!D14480</f>
        <v>NON-NIL</v>
      </c>
      <c r="E14480">
        <f>TEST_DATA!E14480</f>
        <v>2705</v>
      </c>
    </row>
    <row r="14481" spans="1:5" x14ac:dyDescent="0.55000000000000004">
      <c r="A14481" t="str">
        <f>TEST_DATA!A14481</f>
        <v>27AAAAA14481Z5</v>
      </c>
      <c r="B14481" t="str">
        <f>TEST_DATA!B14481</f>
        <v>Jul-2017</v>
      </c>
      <c r="C14481">
        <f>TEST_DATA!C14481</f>
        <v>44445</v>
      </c>
      <c r="D14481" t="str">
        <f>TEST_DATA!D14481</f>
        <v>NIL</v>
      </c>
      <c r="E14481">
        <f>TEST_DATA!E14481</f>
        <v>1363</v>
      </c>
    </row>
    <row r="14482" spans="1:5" x14ac:dyDescent="0.55000000000000004">
      <c r="A14482" t="str">
        <f>TEST_DATA!A14482</f>
        <v>27AAAAA14482Z5</v>
      </c>
      <c r="B14482" t="str">
        <f>TEST_DATA!B14482</f>
        <v>Dec-2022</v>
      </c>
      <c r="C14482">
        <f>TEST_DATA!C14482</f>
        <v>43999</v>
      </c>
      <c r="D14482" t="str">
        <f>TEST_DATA!D14482</f>
        <v>NON-NIL</v>
      </c>
      <c r="E14482">
        <f>TEST_DATA!E14482</f>
        <v>2601</v>
      </c>
    </row>
    <row r="14483" spans="1:5" x14ac:dyDescent="0.55000000000000004">
      <c r="A14483" t="str">
        <f>TEST_DATA!A14483</f>
        <v>27AAAAA14483Z5</v>
      </c>
      <c r="B14483" t="str">
        <f>TEST_DATA!B14483</f>
        <v>Jun-2020</v>
      </c>
      <c r="C14483">
        <f>TEST_DATA!C14483</f>
        <v>44372</v>
      </c>
      <c r="D14483" t="str">
        <f>TEST_DATA!D14483</f>
        <v>NIL</v>
      </c>
      <c r="E14483">
        <f>TEST_DATA!E14483</f>
        <v>452</v>
      </c>
    </row>
    <row r="14484" spans="1:5" x14ac:dyDescent="0.55000000000000004">
      <c r="A14484" t="str">
        <f>TEST_DATA!A14484</f>
        <v>27AAAAA14484Z5</v>
      </c>
      <c r="B14484" t="str">
        <f>TEST_DATA!B14484</f>
        <v>Jan-2021</v>
      </c>
      <c r="C14484">
        <f>TEST_DATA!C14484</f>
        <v>43720</v>
      </c>
      <c r="D14484" t="str">
        <f>TEST_DATA!D14484</f>
        <v>NON-NIL</v>
      </c>
      <c r="E14484">
        <f>TEST_DATA!E14484</f>
        <v>1454</v>
      </c>
    </row>
    <row r="14485" spans="1:5" x14ac:dyDescent="0.55000000000000004">
      <c r="A14485" t="str">
        <f>TEST_DATA!A14485</f>
        <v>27AAAAA14485Z5</v>
      </c>
      <c r="B14485" t="str">
        <f>TEST_DATA!B14485</f>
        <v>Jan-2021</v>
      </c>
      <c r="C14485">
        <f>TEST_DATA!C14485</f>
        <v>45147</v>
      </c>
      <c r="D14485" t="str">
        <f>TEST_DATA!D14485</f>
        <v>NIL</v>
      </c>
      <c r="E14485">
        <f>TEST_DATA!E14485</f>
        <v>2676</v>
      </c>
    </row>
    <row r="14486" spans="1:5" x14ac:dyDescent="0.55000000000000004">
      <c r="A14486" t="str">
        <f>TEST_DATA!A14486</f>
        <v>27AAAAA14486Z5</v>
      </c>
      <c r="B14486" t="str">
        <f>TEST_DATA!B14486</f>
        <v>Apr-2018</v>
      </c>
      <c r="C14486">
        <f>TEST_DATA!C14486</f>
        <v>43063</v>
      </c>
      <c r="D14486" t="str">
        <f>TEST_DATA!D14486</f>
        <v>NIL</v>
      </c>
      <c r="E14486">
        <f>TEST_DATA!E14486</f>
        <v>1731</v>
      </c>
    </row>
    <row r="14487" spans="1:5" x14ac:dyDescent="0.55000000000000004">
      <c r="A14487" t="str">
        <f>TEST_DATA!A14487</f>
        <v>27AAAAA14487Z5</v>
      </c>
      <c r="B14487" t="str">
        <f>TEST_DATA!B14487</f>
        <v>Jun-2020</v>
      </c>
      <c r="C14487">
        <f>TEST_DATA!C14487</f>
        <v>44666</v>
      </c>
      <c r="D14487" t="str">
        <f>TEST_DATA!D14487</f>
        <v>NON-NIL</v>
      </c>
      <c r="E14487">
        <f>TEST_DATA!E14487</f>
        <v>1723</v>
      </c>
    </row>
    <row r="14488" spans="1:5" x14ac:dyDescent="0.55000000000000004">
      <c r="A14488" t="str">
        <f>TEST_DATA!A14488</f>
        <v>27AAAAA14488Z5</v>
      </c>
      <c r="B14488" t="str">
        <f>TEST_DATA!B14488</f>
        <v>Dec-2024</v>
      </c>
      <c r="C14488">
        <f>TEST_DATA!C14488</f>
        <v>45544</v>
      </c>
      <c r="D14488" t="str">
        <f>TEST_DATA!D14488</f>
        <v>NIL</v>
      </c>
      <c r="E14488">
        <f>TEST_DATA!E14488</f>
        <v>2651</v>
      </c>
    </row>
    <row r="14489" spans="1:5" x14ac:dyDescent="0.55000000000000004">
      <c r="A14489" t="str">
        <f>TEST_DATA!A14489</f>
        <v>27AAAAA14489Z5</v>
      </c>
      <c r="B14489" t="str">
        <f>TEST_DATA!B14489</f>
        <v>Mar-2020</v>
      </c>
      <c r="C14489">
        <f>TEST_DATA!C14489</f>
        <v>44374</v>
      </c>
      <c r="D14489" t="str">
        <f>TEST_DATA!D14489</f>
        <v>NIL</v>
      </c>
      <c r="E14489">
        <f>TEST_DATA!E14489</f>
        <v>1282</v>
      </c>
    </row>
    <row r="14490" spans="1:5" x14ac:dyDescent="0.55000000000000004">
      <c r="A14490" t="str">
        <f>TEST_DATA!A14490</f>
        <v>27AAAAA14490Z5</v>
      </c>
      <c r="B14490" t="str">
        <f>TEST_DATA!B14490</f>
        <v>Mar-2020</v>
      </c>
      <c r="C14490">
        <f>TEST_DATA!C14490</f>
        <v>44654</v>
      </c>
      <c r="D14490" t="str">
        <f>TEST_DATA!D14490</f>
        <v>NON-NIL</v>
      </c>
      <c r="E14490">
        <f>TEST_DATA!E14490</f>
        <v>1981</v>
      </c>
    </row>
    <row r="14491" spans="1:5" x14ac:dyDescent="0.55000000000000004">
      <c r="A14491" t="str">
        <f>TEST_DATA!A14491</f>
        <v>27AAAAA14491Z5</v>
      </c>
      <c r="B14491" t="str">
        <f>TEST_DATA!B14491</f>
        <v>Aug-2017</v>
      </c>
      <c r="C14491">
        <f>TEST_DATA!C14491</f>
        <v>43425</v>
      </c>
      <c r="D14491" t="str">
        <f>TEST_DATA!D14491</f>
        <v>NIL</v>
      </c>
      <c r="E14491">
        <f>TEST_DATA!E14491</f>
        <v>1737</v>
      </c>
    </row>
    <row r="14492" spans="1:5" x14ac:dyDescent="0.55000000000000004">
      <c r="A14492" t="str">
        <f>TEST_DATA!A14492</f>
        <v>27AAAAA14492Z5</v>
      </c>
      <c r="B14492" t="str">
        <f>TEST_DATA!B14492</f>
        <v>Dec-2022</v>
      </c>
      <c r="C14492">
        <f>TEST_DATA!C14492</f>
        <v>44558</v>
      </c>
      <c r="D14492" t="str">
        <f>TEST_DATA!D14492</f>
        <v>NIL</v>
      </c>
      <c r="E14492">
        <f>TEST_DATA!E14492</f>
        <v>1183</v>
      </c>
    </row>
    <row r="14493" spans="1:5" x14ac:dyDescent="0.55000000000000004">
      <c r="A14493" t="str">
        <f>TEST_DATA!A14493</f>
        <v>27AAAAA14493Z5</v>
      </c>
      <c r="B14493" t="str">
        <f>TEST_DATA!B14493</f>
        <v>Dec-2022</v>
      </c>
      <c r="C14493">
        <f>TEST_DATA!C14493</f>
        <v>44796</v>
      </c>
      <c r="D14493" t="str">
        <f>TEST_DATA!D14493</f>
        <v>NIL</v>
      </c>
      <c r="E14493">
        <f>TEST_DATA!E14493</f>
        <v>2929</v>
      </c>
    </row>
    <row r="14494" spans="1:5" x14ac:dyDescent="0.55000000000000004">
      <c r="A14494" t="str">
        <f>TEST_DATA!A14494</f>
        <v>27AAAAA14494Z5</v>
      </c>
      <c r="B14494" t="str">
        <f>TEST_DATA!B14494</f>
        <v>Nov-2017</v>
      </c>
      <c r="C14494">
        <f>TEST_DATA!C14494</f>
        <v>42965</v>
      </c>
      <c r="D14494" t="str">
        <f>TEST_DATA!D14494</f>
        <v>NON-NIL</v>
      </c>
      <c r="E14494">
        <f>TEST_DATA!E14494</f>
        <v>1311</v>
      </c>
    </row>
    <row r="14495" spans="1:5" x14ac:dyDescent="0.55000000000000004">
      <c r="A14495" t="str">
        <f>TEST_DATA!A14495</f>
        <v>27AAAAA14495Z5</v>
      </c>
      <c r="B14495" t="str">
        <f>TEST_DATA!B14495</f>
        <v>Mar-2018</v>
      </c>
      <c r="C14495">
        <f>TEST_DATA!C14495</f>
        <v>44404</v>
      </c>
      <c r="D14495" t="str">
        <f>TEST_DATA!D14495</f>
        <v>NIL</v>
      </c>
      <c r="E14495">
        <f>TEST_DATA!E14495</f>
        <v>574</v>
      </c>
    </row>
    <row r="14496" spans="1:5" x14ac:dyDescent="0.55000000000000004">
      <c r="A14496" t="str">
        <f>TEST_DATA!A14496</f>
        <v>27AAAAA14496Z5</v>
      </c>
      <c r="B14496" t="str">
        <f>TEST_DATA!B14496</f>
        <v>Aug-2018</v>
      </c>
      <c r="C14496">
        <f>TEST_DATA!C14496</f>
        <v>44215</v>
      </c>
      <c r="D14496" t="str">
        <f>TEST_DATA!D14496</f>
        <v>NIL</v>
      </c>
      <c r="E14496">
        <f>TEST_DATA!E14496</f>
        <v>1208</v>
      </c>
    </row>
    <row r="14497" spans="1:5" x14ac:dyDescent="0.55000000000000004">
      <c r="A14497" t="str">
        <f>TEST_DATA!A14497</f>
        <v>27AAAAA14497Z5</v>
      </c>
      <c r="B14497" t="str">
        <f>TEST_DATA!B14497</f>
        <v>Feb-2018</v>
      </c>
      <c r="C14497">
        <f>TEST_DATA!C14497</f>
        <v>43528</v>
      </c>
      <c r="D14497" t="str">
        <f>TEST_DATA!D14497</f>
        <v>NIL</v>
      </c>
      <c r="E14497">
        <f>TEST_DATA!E14497</f>
        <v>2848</v>
      </c>
    </row>
    <row r="14498" spans="1:5" x14ac:dyDescent="0.55000000000000004">
      <c r="A14498" t="str">
        <f>TEST_DATA!A14498</f>
        <v>27AAAAA14498Z5</v>
      </c>
      <c r="B14498" t="str">
        <f>TEST_DATA!B14498</f>
        <v>Jun-2020</v>
      </c>
      <c r="C14498">
        <f>TEST_DATA!C14498</f>
        <v>44256</v>
      </c>
      <c r="D14498" t="str">
        <f>TEST_DATA!D14498</f>
        <v>NON-NIL</v>
      </c>
      <c r="E14498">
        <f>TEST_DATA!E14498</f>
        <v>291</v>
      </c>
    </row>
    <row r="14499" spans="1:5" x14ac:dyDescent="0.55000000000000004">
      <c r="A14499" t="str">
        <f>TEST_DATA!A14499</f>
        <v>27AAAAA14499Z5</v>
      </c>
      <c r="B14499" t="str">
        <f>TEST_DATA!B14499</f>
        <v>Jun-2018</v>
      </c>
      <c r="C14499">
        <f>TEST_DATA!C14499</f>
        <v>43222</v>
      </c>
      <c r="D14499" t="str">
        <f>TEST_DATA!D14499</f>
        <v>NON-NIL</v>
      </c>
      <c r="E14499">
        <f>TEST_DATA!E14499</f>
        <v>778</v>
      </c>
    </row>
    <row r="14500" spans="1:5" x14ac:dyDescent="0.55000000000000004">
      <c r="A14500" t="str">
        <f>TEST_DATA!A14500</f>
        <v>27AAAAA14500Z5</v>
      </c>
      <c r="B14500" t="str">
        <f>TEST_DATA!B14500</f>
        <v>Apr-2021</v>
      </c>
      <c r="C14500">
        <f>TEST_DATA!C14500</f>
        <v>43956</v>
      </c>
      <c r="D14500" t="str">
        <f>TEST_DATA!D14500</f>
        <v>NIL</v>
      </c>
      <c r="E14500">
        <f>TEST_DATA!E14500</f>
        <v>2493</v>
      </c>
    </row>
    <row r="14501" spans="1:5" x14ac:dyDescent="0.55000000000000004">
      <c r="A14501" t="str">
        <f>TEST_DATA!A14501</f>
        <v>27AAAAA14501Z5</v>
      </c>
      <c r="B14501" t="str">
        <f>TEST_DATA!B14501</f>
        <v>Sep-2017</v>
      </c>
      <c r="C14501">
        <f>TEST_DATA!C14501</f>
        <v>43603</v>
      </c>
      <c r="D14501" t="str">
        <f>TEST_DATA!D14501</f>
        <v>NON-NIL</v>
      </c>
      <c r="E14501">
        <f>TEST_DATA!E14501</f>
        <v>2185</v>
      </c>
    </row>
    <row r="14502" spans="1:5" x14ac:dyDescent="0.55000000000000004">
      <c r="A14502" t="str">
        <f>TEST_DATA!A14502</f>
        <v>27AAAAA14502Z5</v>
      </c>
      <c r="B14502" t="str">
        <f>TEST_DATA!B14502</f>
        <v>Feb-2018</v>
      </c>
      <c r="C14502">
        <f>TEST_DATA!C14502</f>
        <v>44249</v>
      </c>
      <c r="D14502" t="str">
        <f>TEST_DATA!D14502</f>
        <v>NIL</v>
      </c>
      <c r="E14502">
        <f>TEST_DATA!E14502</f>
        <v>2535</v>
      </c>
    </row>
    <row r="14503" spans="1:5" x14ac:dyDescent="0.55000000000000004">
      <c r="A14503" t="str">
        <f>TEST_DATA!A14503</f>
        <v>27AAAAA14503Z5</v>
      </c>
      <c r="B14503" t="str">
        <f>TEST_DATA!B14503</f>
        <v>Dec-2024</v>
      </c>
      <c r="C14503">
        <f>TEST_DATA!C14503</f>
        <v>44961</v>
      </c>
      <c r="D14503" t="str">
        <f>TEST_DATA!D14503</f>
        <v>NIL</v>
      </c>
      <c r="E14503">
        <f>TEST_DATA!E14503</f>
        <v>2976</v>
      </c>
    </row>
    <row r="14504" spans="1:5" x14ac:dyDescent="0.55000000000000004">
      <c r="A14504" t="str">
        <f>TEST_DATA!A14504</f>
        <v>27AAAAA14504Z5</v>
      </c>
      <c r="B14504" t="str">
        <f>TEST_DATA!B14504</f>
        <v>Sep-2017</v>
      </c>
      <c r="C14504">
        <f>TEST_DATA!C14504</f>
        <v>44447</v>
      </c>
      <c r="D14504" t="str">
        <f>TEST_DATA!D14504</f>
        <v>NIL</v>
      </c>
      <c r="E14504">
        <f>TEST_DATA!E14504</f>
        <v>669</v>
      </c>
    </row>
    <row r="14505" spans="1:5" x14ac:dyDescent="0.55000000000000004">
      <c r="A14505" t="str">
        <f>TEST_DATA!A14505</f>
        <v>27AAAAA14505Z5</v>
      </c>
      <c r="B14505" t="str">
        <f>TEST_DATA!B14505</f>
        <v>Jun-2018</v>
      </c>
      <c r="C14505">
        <f>TEST_DATA!C14505</f>
        <v>43251</v>
      </c>
      <c r="D14505" t="str">
        <f>TEST_DATA!D14505</f>
        <v>NON-NIL</v>
      </c>
      <c r="E14505">
        <f>TEST_DATA!E14505</f>
        <v>1129</v>
      </c>
    </row>
    <row r="14506" spans="1:5" x14ac:dyDescent="0.55000000000000004">
      <c r="A14506" t="str">
        <f>TEST_DATA!A14506</f>
        <v>27AAAAA14506Z5</v>
      </c>
      <c r="B14506" t="str">
        <f>TEST_DATA!B14506</f>
        <v>Mar-2020</v>
      </c>
      <c r="C14506">
        <f>TEST_DATA!C14506</f>
        <v>44740</v>
      </c>
      <c r="D14506" t="str">
        <f>TEST_DATA!D14506</f>
        <v>NON-NIL</v>
      </c>
      <c r="E14506">
        <f>TEST_DATA!E14506</f>
        <v>1794</v>
      </c>
    </row>
    <row r="14507" spans="1:5" x14ac:dyDescent="0.55000000000000004">
      <c r="A14507" t="str">
        <f>TEST_DATA!A14507</f>
        <v>27AAAAA14507Z5</v>
      </c>
      <c r="B14507" t="str">
        <f>TEST_DATA!B14507</f>
        <v>Dec-2019</v>
      </c>
      <c r="C14507">
        <f>TEST_DATA!C14507</f>
        <v>45364</v>
      </c>
      <c r="D14507" t="str">
        <f>TEST_DATA!D14507</f>
        <v>NIL</v>
      </c>
      <c r="E14507">
        <f>TEST_DATA!E14507</f>
        <v>1781</v>
      </c>
    </row>
    <row r="14508" spans="1:5" x14ac:dyDescent="0.55000000000000004">
      <c r="A14508" t="str">
        <f>TEST_DATA!A14508</f>
        <v>27AAAAA14508Z5</v>
      </c>
      <c r="B14508" t="str">
        <f>TEST_DATA!B14508</f>
        <v>Sep-2018</v>
      </c>
      <c r="C14508">
        <f>TEST_DATA!C14508</f>
        <v>44249</v>
      </c>
      <c r="D14508" t="str">
        <f>TEST_DATA!D14508</f>
        <v>NON-NIL</v>
      </c>
      <c r="E14508">
        <f>TEST_DATA!E14508</f>
        <v>1189</v>
      </c>
    </row>
    <row r="14509" spans="1:5" x14ac:dyDescent="0.55000000000000004">
      <c r="A14509" t="str">
        <f>TEST_DATA!A14509</f>
        <v>27AAAAA14509Z5</v>
      </c>
      <c r="B14509" t="str">
        <f>TEST_DATA!B14509</f>
        <v>Apr-2018</v>
      </c>
      <c r="C14509">
        <f>TEST_DATA!C14509</f>
        <v>43251</v>
      </c>
      <c r="D14509" t="str">
        <f>TEST_DATA!D14509</f>
        <v>NON-NIL</v>
      </c>
      <c r="E14509">
        <f>TEST_DATA!E14509</f>
        <v>2569</v>
      </c>
    </row>
    <row r="14510" spans="1:5" x14ac:dyDescent="0.55000000000000004">
      <c r="A14510" t="str">
        <f>TEST_DATA!A14510</f>
        <v>27AAAAA14510Z5</v>
      </c>
      <c r="B14510" t="str">
        <f>TEST_DATA!B14510</f>
        <v>Mar-2023</v>
      </c>
      <c r="C14510">
        <f>TEST_DATA!C14510</f>
        <v>44419</v>
      </c>
      <c r="D14510" t="str">
        <f>TEST_DATA!D14510</f>
        <v>NIL</v>
      </c>
      <c r="E14510">
        <f>TEST_DATA!E14510</f>
        <v>1911</v>
      </c>
    </row>
    <row r="14511" spans="1:5" x14ac:dyDescent="0.55000000000000004">
      <c r="A14511" t="str">
        <f>TEST_DATA!A14511</f>
        <v>27AAAAA14511Z5</v>
      </c>
      <c r="B14511" t="str">
        <f>TEST_DATA!B14511</f>
        <v>Jun-2020</v>
      </c>
      <c r="C14511">
        <f>TEST_DATA!C14511</f>
        <v>43892</v>
      </c>
      <c r="D14511" t="str">
        <f>TEST_DATA!D14511</f>
        <v>NON-NIL</v>
      </c>
      <c r="E14511">
        <f>TEST_DATA!E14511</f>
        <v>2147</v>
      </c>
    </row>
    <row r="14512" spans="1:5" x14ac:dyDescent="0.55000000000000004">
      <c r="A14512" t="str">
        <f>TEST_DATA!A14512</f>
        <v>27AAAAA14512Z5</v>
      </c>
      <c r="B14512" t="str">
        <f>TEST_DATA!B14512</f>
        <v>Sep-2017</v>
      </c>
      <c r="C14512">
        <f>TEST_DATA!C14512</f>
        <v>44421</v>
      </c>
      <c r="D14512" t="str">
        <f>TEST_DATA!D14512</f>
        <v>NIL</v>
      </c>
      <c r="E14512">
        <f>TEST_DATA!E14512</f>
        <v>2997</v>
      </c>
    </row>
    <row r="14513" spans="1:5" x14ac:dyDescent="0.55000000000000004">
      <c r="A14513" t="str">
        <f>TEST_DATA!A14513</f>
        <v>27AAAAA14513Z5</v>
      </c>
      <c r="B14513" t="str">
        <f>TEST_DATA!B14513</f>
        <v>Sep-2017</v>
      </c>
      <c r="C14513">
        <f>TEST_DATA!C14513</f>
        <v>44418</v>
      </c>
      <c r="D14513" t="str">
        <f>TEST_DATA!D14513</f>
        <v>NIL</v>
      </c>
      <c r="E14513">
        <f>TEST_DATA!E14513</f>
        <v>447</v>
      </c>
    </row>
    <row r="14514" spans="1:5" x14ac:dyDescent="0.55000000000000004">
      <c r="A14514" t="str">
        <f>TEST_DATA!A14514</f>
        <v>27AAAAA14514Z5</v>
      </c>
      <c r="B14514" t="str">
        <f>TEST_DATA!B14514</f>
        <v>Nov-2017</v>
      </c>
      <c r="C14514">
        <f>TEST_DATA!C14514</f>
        <v>43519</v>
      </c>
      <c r="D14514" t="str">
        <f>TEST_DATA!D14514</f>
        <v>NON-NIL</v>
      </c>
      <c r="E14514">
        <f>TEST_DATA!E14514</f>
        <v>2145</v>
      </c>
    </row>
    <row r="14515" spans="1:5" x14ac:dyDescent="0.55000000000000004">
      <c r="A14515" t="str">
        <f>TEST_DATA!A14515</f>
        <v>27AAAAA14515Z5</v>
      </c>
      <c r="B14515" t="str">
        <f>TEST_DATA!B14515</f>
        <v>Mar-2021</v>
      </c>
      <c r="C14515">
        <f>TEST_DATA!C14515</f>
        <v>43503</v>
      </c>
      <c r="D14515" t="str">
        <f>TEST_DATA!D14515</f>
        <v>NON-NIL</v>
      </c>
      <c r="E14515">
        <f>TEST_DATA!E14515</f>
        <v>1604</v>
      </c>
    </row>
    <row r="14516" spans="1:5" x14ac:dyDescent="0.55000000000000004">
      <c r="A14516" t="str">
        <f>TEST_DATA!A14516</f>
        <v>27AAAAA14516Z5</v>
      </c>
      <c r="B14516" t="str">
        <f>TEST_DATA!B14516</f>
        <v>Apr-2020</v>
      </c>
      <c r="C14516">
        <f>TEST_DATA!C14516</f>
        <v>44439</v>
      </c>
      <c r="D14516" t="str">
        <f>TEST_DATA!D14516</f>
        <v>NIL</v>
      </c>
      <c r="E14516">
        <f>TEST_DATA!E14516</f>
        <v>429</v>
      </c>
    </row>
    <row r="14517" spans="1:5" x14ac:dyDescent="0.55000000000000004">
      <c r="A14517" t="str">
        <f>TEST_DATA!A14517</f>
        <v>27AAAAA14517Z5</v>
      </c>
      <c r="B14517" t="str">
        <f>TEST_DATA!B14517</f>
        <v>Oct-2017</v>
      </c>
      <c r="C14517">
        <f>TEST_DATA!C14517</f>
        <v>44430</v>
      </c>
      <c r="D14517" t="str">
        <f>TEST_DATA!D14517</f>
        <v>NON-NIL</v>
      </c>
      <c r="E14517">
        <f>TEST_DATA!E14517</f>
        <v>1259</v>
      </c>
    </row>
    <row r="14518" spans="1:5" x14ac:dyDescent="0.55000000000000004">
      <c r="A14518" t="str">
        <f>TEST_DATA!A14518</f>
        <v>27AAAAA14518Z5</v>
      </c>
      <c r="B14518" t="str">
        <f>TEST_DATA!B14518</f>
        <v>Jul-2020</v>
      </c>
      <c r="C14518">
        <f>TEST_DATA!C14518</f>
        <v>43871</v>
      </c>
      <c r="D14518" t="str">
        <f>TEST_DATA!D14518</f>
        <v>NIL</v>
      </c>
      <c r="E14518">
        <f>TEST_DATA!E14518</f>
        <v>1144</v>
      </c>
    </row>
    <row r="14519" spans="1:5" x14ac:dyDescent="0.55000000000000004">
      <c r="A14519" t="str">
        <f>TEST_DATA!A14519</f>
        <v>27AAAAA14519Z5</v>
      </c>
      <c r="B14519" t="str">
        <f>TEST_DATA!B14519</f>
        <v>Mar-2018</v>
      </c>
      <c r="C14519">
        <f>TEST_DATA!C14519</f>
        <v>44113</v>
      </c>
      <c r="D14519" t="str">
        <f>TEST_DATA!D14519</f>
        <v>NIL</v>
      </c>
      <c r="E14519">
        <f>TEST_DATA!E14519</f>
        <v>223</v>
      </c>
    </row>
    <row r="14520" spans="1:5" x14ac:dyDescent="0.55000000000000004">
      <c r="A14520" t="str">
        <f>TEST_DATA!A14520</f>
        <v>27AAAAA14520Z5</v>
      </c>
      <c r="B14520" t="str">
        <f>TEST_DATA!B14520</f>
        <v>Jun-2020</v>
      </c>
      <c r="C14520">
        <f>TEST_DATA!C14520</f>
        <v>43957</v>
      </c>
      <c r="D14520" t="str">
        <f>TEST_DATA!D14520</f>
        <v>NON-NIL</v>
      </c>
      <c r="E14520">
        <f>TEST_DATA!E14520</f>
        <v>694</v>
      </c>
    </row>
    <row r="14521" spans="1:5" x14ac:dyDescent="0.55000000000000004">
      <c r="A14521" t="str">
        <f>TEST_DATA!A14521</f>
        <v>27AAAAA14521Z5</v>
      </c>
      <c r="B14521" t="str">
        <f>TEST_DATA!B14521</f>
        <v>Jul-2020</v>
      </c>
      <c r="C14521">
        <f>TEST_DATA!C14521</f>
        <v>44224</v>
      </c>
      <c r="D14521" t="str">
        <f>TEST_DATA!D14521</f>
        <v>NIL</v>
      </c>
      <c r="E14521">
        <f>TEST_DATA!E14521</f>
        <v>2998</v>
      </c>
    </row>
    <row r="14522" spans="1:5" x14ac:dyDescent="0.55000000000000004">
      <c r="A14522" t="str">
        <f>TEST_DATA!A14522</f>
        <v>27AAAAA14522Z5</v>
      </c>
      <c r="B14522" t="str">
        <f>TEST_DATA!B14522</f>
        <v>Dec-2022</v>
      </c>
      <c r="C14522">
        <f>TEST_DATA!C14522</f>
        <v>44667</v>
      </c>
      <c r="D14522" t="str">
        <f>TEST_DATA!D14522</f>
        <v>NIL</v>
      </c>
      <c r="E14522">
        <f>TEST_DATA!E14522</f>
        <v>126</v>
      </c>
    </row>
    <row r="14523" spans="1:5" x14ac:dyDescent="0.55000000000000004">
      <c r="A14523" t="str">
        <f>TEST_DATA!A14523</f>
        <v>27AAAAA14523Z5</v>
      </c>
      <c r="B14523" t="str">
        <f>TEST_DATA!B14523</f>
        <v>Apr-2018</v>
      </c>
      <c r="C14523">
        <f>TEST_DATA!C14523</f>
        <v>44081</v>
      </c>
      <c r="D14523" t="str">
        <f>TEST_DATA!D14523</f>
        <v>NIL</v>
      </c>
      <c r="E14523">
        <f>TEST_DATA!E14523</f>
        <v>66</v>
      </c>
    </row>
    <row r="14524" spans="1:5" x14ac:dyDescent="0.55000000000000004">
      <c r="A14524" t="str">
        <f>TEST_DATA!A14524</f>
        <v>27AAAAA14524Z5</v>
      </c>
      <c r="B14524" t="str">
        <f>TEST_DATA!B14524</f>
        <v>Jul-2020</v>
      </c>
      <c r="C14524">
        <f>TEST_DATA!C14524</f>
        <v>44679</v>
      </c>
      <c r="D14524" t="str">
        <f>TEST_DATA!D14524</f>
        <v>NON-NIL</v>
      </c>
      <c r="E14524">
        <f>TEST_DATA!E14524</f>
        <v>231</v>
      </c>
    </row>
    <row r="14525" spans="1:5" x14ac:dyDescent="0.55000000000000004">
      <c r="A14525" t="str">
        <f>TEST_DATA!A14525</f>
        <v>27AAAAA14525Z5</v>
      </c>
      <c r="B14525" t="str">
        <f>TEST_DATA!B14525</f>
        <v>Dec-2024</v>
      </c>
      <c r="C14525">
        <f>TEST_DATA!C14525</f>
        <v>44551</v>
      </c>
      <c r="D14525" t="str">
        <f>TEST_DATA!D14525</f>
        <v>NIL</v>
      </c>
      <c r="E14525">
        <f>TEST_DATA!E14525</f>
        <v>532</v>
      </c>
    </row>
    <row r="14526" spans="1:5" x14ac:dyDescent="0.55000000000000004">
      <c r="A14526" t="str">
        <f>TEST_DATA!A14526</f>
        <v>27AAAAA14526Z5</v>
      </c>
      <c r="B14526" t="str">
        <f>TEST_DATA!B14526</f>
        <v>Sep-2017</v>
      </c>
      <c r="C14526">
        <f>TEST_DATA!C14526</f>
        <v>43037</v>
      </c>
      <c r="D14526" t="str">
        <f>TEST_DATA!D14526</f>
        <v>NON-NIL</v>
      </c>
      <c r="E14526">
        <f>TEST_DATA!E14526</f>
        <v>164</v>
      </c>
    </row>
    <row r="14527" spans="1:5" x14ac:dyDescent="0.55000000000000004">
      <c r="A14527" t="str">
        <f>TEST_DATA!A14527</f>
        <v>27AAAAA14527Z5</v>
      </c>
      <c r="B14527" t="str">
        <f>TEST_DATA!B14527</f>
        <v>Jun-2020</v>
      </c>
      <c r="C14527">
        <f>TEST_DATA!C14527</f>
        <v>44393</v>
      </c>
      <c r="D14527" t="str">
        <f>TEST_DATA!D14527</f>
        <v>NIL</v>
      </c>
      <c r="E14527">
        <f>TEST_DATA!E14527</f>
        <v>307</v>
      </c>
    </row>
    <row r="14528" spans="1:5" x14ac:dyDescent="0.55000000000000004">
      <c r="A14528" t="str">
        <f>TEST_DATA!A14528</f>
        <v>27AAAAA14528Z5</v>
      </c>
      <c r="B14528" t="str">
        <f>TEST_DATA!B14528</f>
        <v>Jul-2017</v>
      </c>
      <c r="C14528">
        <f>TEST_DATA!C14528</f>
        <v>44556</v>
      </c>
      <c r="D14528" t="str">
        <f>TEST_DATA!D14528</f>
        <v>NON-NIL</v>
      </c>
      <c r="E14528">
        <f>TEST_DATA!E14528</f>
        <v>1517</v>
      </c>
    </row>
    <row r="14529" spans="1:5" x14ac:dyDescent="0.55000000000000004">
      <c r="A14529" t="str">
        <f>TEST_DATA!A14529</f>
        <v>27AAAAA14529Z5</v>
      </c>
      <c r="B14529" t="str">
        <f>TEST_DATA!B14529</f>
        <v>Apr-2021</v>
      </c>
      <c r="C14529">
        <f>TEST_DATA!C14529</f>
        <v>43504</v>
      </c>
      <c r="D14529" t="str">
        <f>TEST_DATA!D14529</f>
        <v>NIL</v>
      </c>
      <c r="E14529">
        <f>TEST_DATA!E14529</f>
        <v>361</v>
      </c>
    </row>
    <row r="14530" spans="1:5" x14ac:dyDescent="0.55000000000000004">
      <c r="A14530" t="str">
        <f>TEST_DATA!A14530</f>
        <v>27AAAAA14530Z5</v>
      </c>
      <c r="B14530" t="str">
        <f>TEST_DATA!B14530</f>
        <v>Jun-2018</v>
      </c>
      <c r="C14530">
        <f>TEST_DATA!C14530</f>
        <v>44407</v>
      </c>
      <c r="D14530" t="str">
        <f>TEST_DATA!D14530</f>
        <v>NON-NIL</v>
      </c>
      <c r="E14530">
        <f>TEST_DATA!E14530</f>
        <v>2251</v>
      </c>
    </row>
    <row r="14531" spans="1:5" x14ac:dyDescent="0.55000000000000004">
      <c r="A14531" t="str">
        <f>TEST_DATA!A14531</f>
        <v>27AAAAA14531Z5</v>
      </c>
      <c r="B14531" t="str">
        <f>TEST_DATA!B14531</f>
        <v>May-2018</v>
      </c>
      <c r="C14531">
        <f>TEST_DATA!C14531</f>
        <v>42996</v>
      </c>
      <c r="D14531" t="str">
        <f>TEST_DATA!D14531</f>
        <v>NON-NIL</v>
      </c>
      <c r="E14531">
        <f>TEST_DATA!E14531</f>
        <v>1700</v>
      </c>
    </row>
    <row r="14532" spans="1:5" x14ac:dyDescent="0.55000000000000004">
      <c r="A14532" t="str">
        <f>TEST_DATA!A14532</f>
        <v>27AAAAA14532Z5</v>
      </c>
      <c r="B14532" t="str">
        <f>TEST_DATA!B14532</f>
        <v>Jul-2017</v>
      </c>
      <c r="C14532">
        <f>TEST_DATA!C14532</f>
        <v>44495</v>
      </c>
      <c r="D14532" t="str">
        <f>TEST_DATA!D14532</f>
        <v>NON-NIL</v>
      </c>
      <c r="E14532">
        <f>TEST_DATA!E14532</f>
        <v>1822</v>
      </c>
    </row>
    <row r="14533" spans="1:5" x14ac:dyDescent="0.55000000000000004">
      <c r="A14533" t="str">
        <f>TEST_DATA!A14533</f>
        <v>27AAAAA14533Z5</v>
      </c>
      <c r="B14533" t="str">
        <f>TEST_DATA!B14533</f>
        <v>Apr-2021</v>
      </c>
      <c r="C14533">
        <f>TEST_DATA!C14533</f>
        <v>44931</v>
      </c>
      <c r="D14533" t="str">
        <f>TEST_DATA!D14533</f>
        <v>NIL</v>
      </c>
      <c r="E14533">
        <f>TEST_DATA!E14533</f>
        <v>1094</v>
      </c>
    </row>
    <row r="14534" spans="1:5" x14ac:dyDescent="0.55000000000000004">
      <c r="A14534" t="str">
        <f>TEST_DATA!A14534</f>
        <v>27AAAAA14534Z5</v>
      </c>
      <c r="B14534" t="str">
        <f>TEST_DATA!B14534</f>
        <v>Oct-2017</v>
      </c>
      <c r="C14534">
        <f>TEST_DATA!C14534</f>
        <v>43459</v>
      </c>
      <c r="D14534" t="str">
        <f>TEST_DATA!D14534</f>
        <v>NIL</v>
      </c>
      <c r="E14534">
        <f>TEST_DATA!E14534</f>
        <v>1415</v>
      </c>
    </row>
    <row r="14535" spans="1:5" x14ac:dyDescent="0.55000000000000004">
      <c r="A14535" t="str">
        <f>TEST_DATA!A14535</f>
        <v>27AAAAA14535Z5</v>
      </c>
      <c r="B14535" t="str">
        <f>TEST_DATA!B14535</f>
        <v>Sep-2017</v>
      </c>
      <c r="C14535">
        <f>TEST_DATA!C14535</f>
        <v>43597</v>
      </c>
      <c r="D14535" t="str">
        <f>TEST_DATA!D14535</f>
        <v>NON-NIL</v>
      </c>
      <c r="E14535">
        <f>TEST_DATA!E14535</f>
        <v>86</v>
      </c>
    </row>
    <row r="14536" spans="1:5" x14ac:dyDescent="0.55000000000000004">
      <c r="A14536" t="str">
        <f>TEST_DATA!A14536</f>
        <v>27AAAAA14536Z5</v>
      </c>
      <c r="B14536" t="str">
        <f>TEST_DATA!B14536</f>
        <v>Mar-2020</v>
      </c>
      <c r="C14536">
        <f>TEST_DATA!C14536</f>
        <v>44550</v>
      </c>
      <c r="D14536" t="str">
        <f>TEST_DATA!D14536</f>
        <v>NIL</v>
      </c>
      <c r="E14536">
        <f>TEST_DATA!E14536</f>
        <v>1088</v>
      </c>
    </row>
    <row r="14537" spans="1:5" x14ac:dyDescent="0.55000000000000004">
      <c r="A14537" t="str">
        <f>TEST_DATA!A14537</f>
        <v>27AAAAA14537Z5</v>
      </c>
      <c r="B14537" t="str">
        <f>TEST_DATA!B14537</f>
        <v>Jan-2021</v>
      </c>
      <c r="C14537">
        <f>TEST_DATA!C14537</f>
        <v>44004</v>
      </c>
      <c r="D14537" t="str">
        <f>TEST_DATA!D14537</f>
        <v>NON-NIL</v>
      </c>
      <c r="E14537">
        <f>TEST_DATA!E14537</f>
        <v>1942</v>
      </c>
    </row>
    <row r="14538" spans="1:5" x14ac:dyDescent="0.55000000000000004">
      <c r="A14538" t="str">
        <f>TEST_DATA!A14538</f>
        <v>27AAAAA14538Z5</v>
      </c>
      <c r="B14538" t="str">
        <f>TEST_DATA!B14538</f>
        <v>Aug-2017</v>
      </c>
      <c r="C14538">
        <f>TEST_DATA!C14538</f>
        <v>44320</v>
      </c>
      <c r="D14538" t="str">
        <f>TEST_DATA!D14538</f>
        <v>NIL</v>
      </c>
      <c r="E14538">
        <f>TEST_DATA!E14538</f>
        <v>266</v>
      </c>
    </row>
    <row r="14539" spans="1:5" x14ac:dyDescent="0.55000000000000004">
      <c r="A14539" t="str">
        <f>TEST_DATA!A14539</f>
        <v>27AAAAA14539Z5</v>
      </c>
      <c r="B14539" t="str">
        <f>TEST_DATA!B14539</f>
        <v>May-2018</v>
      </c>
      <c r="C14539">
        <f>TEST_DATA!C14539</f>
        <v>44511</v>
      </c>
      <c r="D14539" t="str">
        <f>TEST_DATA!D14539</f>
        <v>NIL</v>
      </c>
      <c r="E14539">
        <f>TEST_DATA!E14539</f>
        <v>2211</v>
      </c>
    </row>
    <row r="14540" spans="1:5" x14ac:dyDescent="0.55000000000000004">
      <c r="A14540" t="str">
        <f>TEST_DATA!A14540</f>
        <v>27AAAAA14540Z5</v>
      </c>
      <c r="B14540" t="str">
        <f>TEST_DATA!B14540</f>
        <v>Jul-2018</v>
      </c>
      <c r="C14540">
        <f>TEST_DATA!C14540</f>
        <v>43152</v>
      </c>
      <c r="D14540" t="str">
        <f>TEST_DATA!D14540</f>
        <v>NIL</v>
      </c>
      <c r="E14540">
        <f>TEST_DATA!E14540</f>
        <v>1371</v>
      </c>
    </row>
    <row r="14541" spans="1:5" x14ac:dyDescent="0.55000000000000004">
      <c r="A14541" t="str">
        <f>TEST_DATA!A14541</f>
        <v>27AAAAA14541Z5</v>
      </c>
      <c r="B14541" t="str">
        <f>TEST_DATA!B14541</f>
        <v>Oct-2017</v>
      </c>
      <c r="C14541">
        <f>TEST_DATA!C14541</f>
        <v>43157</v>
      </c>
      <c r="D14541" t="str">
        <f>TEST_DATA!D14541</f>
        <v>NIL</v>
      </c>
      <c r="E14541">
        <f>TEST_DATA!E14541</f>
        <v>2905</v>
      </c>
    </row>
    <row r="14542" spans="1:5" x14ac:dyDescent="0.55000000000000004">
      <c r="A14542" t="str">
        <f>TEST_DATA!A14542</f>
        <v>27AAAAA14542Z5</v>
      </c>
      <c r="B14542" t="str">
        <f>TEST_DATA!B14542</f>
        <v>Aug-2018</v>
      </c>
      <c r="C14542">
        <f>TEST_DATA!C14542</f>
        <v>43273</v>
      </c>
      <c r="D14542" t="str">
        <f>TEST_DATA!D14542</f>
        <v>NON-NIL</v>
      </c>
      <c r="E14542">
        <f>TEST_DATA!E14542</f>
        <v>394</v>
      </c>
    </row>
    <row r="14543" spans="1:5" x14ac:dyDescent="0.55000000000000004">
      <c r="A14543" t="str">
        <f>TEST_DATA!A14543</f>
        <v>27AAAAA14543Z5</v>
      </c>
      <c r="B14543" t="str">
        <f>TEST_DATA!B14543</f>
        <v>Mar-2018</v>
      </c>
      <c r="C14543">
        <f>TEST_DATA!C14543</f>
        <v>43342</v>
      </c>
      <c r="D14543" t="str">
        <f>TEST_DATA!D14543</f>
        <v>NON-NIL</v>
      </c>
      <c r="E14543">
        <f>TEST_DATA!E14543</f>
        <v>2524</v>
      </c>
    </row>
    <row r="14544" spans="1:5" x14ac:dyDescent="0.55000000000000004">
      <c r="A14544" t="str">
        <f>TEST_DATA!A14544</f>
        <v>27AAAAA14544Z5</v>
      </c>
      <c r="B14544" t="str">
        <f>TEST_DATA!B14544</f>
        <v>Jan-2018</v>
      </c>
      <c r="C14544">
        <f>TEST_DATA!C14544</f>
        <v>43456</v>
      </c>
      <c r="D14544" t="str">
        <f>TEST_DATA!D14544</f>
        <v>NIL</v>
      </c>
      <c r="E14544">
        <f>TEST_DATA!E14544</f>
        <v>146</v>
      </c>
    </row>
    <row r="14545" spans="1:5" x14ac:dyDescent="0.55000000000000004">
      <c r="A14545" t="str">
        <f>TEST_DATA!A14545</f>
        <v>27AAAAA14545Z5</v>
      </c>
      <c r="B14545" t="str">
        <f>TEST_DATA!B14545</f>
        <v>Jul-2018</v>
      </c>
      <c r="C14545">
        <f>TEST_DATA!C14545</f>
        <v>43132</v>
      </c>
      <c r="D14545" t="str">
        <f>TEST_DATA!D14545</f>
        <v>NON-NIL</v>
      </c>
      <c r="E14545">
        <f>TEST_DATA!E14545</f>
        <v>1333</v>
      </c>
    </row>
    <row r="14546" spans="1:5" x14ac:dyDescent="0.55000000000000004">
      <c r="A14546" t="str">
        <f>TEST_DATA!A14546</f>
        <v>27AAAAA14546Z5</v>
      </c>
      <c r="B14546" t="str">
        <f>TEST_DATA!B14546</f>
        <v>Jul-2017</v>
      </c>
      <c r="C14546">
        <f>TEST_DATA!C14546</f>
        <v>44210</v>
      </c>
      <c r="D14546" t="str">
        <f>TEST_DATA!D14546</f>
        <v>NON-NIL</v>
      </c>
      <c r="E14546">
        <f>TEST_DATA!E14546</f>
        <v>2857</v>
      </c>
    </row>
    <row r="14547" spans="1:5" x14ac:dyDescent="0.55000000000000004">
      <c r="A14547" t="str">
        <f>TEST_DATA!A14547</f>
        <v>27AAAAA14547Z5</v>
      </c>
      <c r="B14547" t="str">
        <f>TEST_DATA!B14547</f>
        <v>Mar-2023</v>
      </c>
      <c r="C14547">
        <f>TEST_DATA!C14547</f>
        <v>45509</v>
      </c>
      <c r="D14547" t="str">
        <f>TEST_DATA!D14547</f>
        <v>NIL</v>
      </c>
      <c r="E14547">
        <f>TEST_DATA!E14547</f>
        <v>1300</v>
      </c>
    </row>
    <row r="14548" spans="1:5" x14ac:dyDescent="0.55000000000000004">
      <c r="A14548" t="str">
        <f>TEST_DATA!A14548</f>
        <v>27AAAAA14548Z5</v>
      </c>
      <c r="B14548" t="str">
        <f>TEST_DATA!B14548</f>
        <v>Jun-2018</v>
      </c>
      <c r="C14548">
        <f>TEST_DATA!C14548</f>
        <v>43358</v>
      </c>
      <c r="D14548" t="str">
        <f>TEST_DATA!D14548</f>
        <v>NIL</v>
      </c>
      <c r="E14548">
        <f>TEST_DATA!E14548</f>
        <v>2862</v>
      </c>
    </row>
    <row r="14549" spans="1:5" x14ac:dyDescent="0.55000000000000004">
      <c r="A14549" t="str">
        <f>TEST_DATA!A14549</f>
        <v>27AAAAA14549Z5</v>
      </c>
      <c r="B14549" t="str">
        <f>TEST_DATA!B14549</f>
        <v>Aug-2017</v>
      </c>
      <c r="C14549">
        <f>TEST_DATA!C14549</f>
        <v>43934</v>
      </c>
      <c r="D14549" t="str">
        <f>TEST_DATA!D14549</f>
        <v>NIL</v>
      </c>
      <c r="E14549">
        <f>TEST_DATA!E14549</f>
        <v>2044</v>
      </c>
    </row>
    <row r="14550" spans="1:5" x14ac:dyDescent="0.55000000000000004">
      <c r="A14550" t="str">
        <f>TEST_DATA!A14550</f>
        <v>27AAAAA14550Z5</v>
      </c>
      <c r="B14550" t="str">
        <f>TEST_DATA!B14550</f>
        <v>Dec-2024</v>
      </c>
      <c r="C14550">
        <f>TEST_DATA!C14550</f>
        <v>43770</v>
      </c>
      <c r="D14550" t="str">
        <f>TEST_DATA!D14550</f>
        <v>NIL</v>
      </c>
      <c r="E14550">
        <f>TEST_DATA!E14550</f>
        <v>596</v>
      </c>
    </row>
    <row r="14551" spans="1:5" x14ac:dyDescent="0.55000000000000004">
      <c r="A14551" t="str">
        <f>TEST_DATA!A14551</f>
        <v>27AAAAA14551Z5</v>
      </c>
      <c r="B14551" t="str">
        <f>TEST_DATA!B14551</f>
        <v>Jul-2017</v>
      </c>
      <c r="C14551">
        <f>TEST_DATA!C14551</f>
        <v>43815</v>
      </c>
      <c r="D14551" t="str">
        <f>TEST_DATA!D14551</f>
        <v>NIL</v>
      </c>
      <c r="E14551">
        <f>TEST_DATA!E14551</f>
        <v>1318</v>
      </c>
    </row>
    <row r="14552" spans="1:5" x14ac:dyDescent="0.55000000000000004">
      <c r="A14552" t="str">
        <f>TEST_DATA!A14552</f>
        <v>27AAAAA14552Z5</v>
      </c>
      <c r="B14552" t="str">
        <f>TEST_DATA!B14552</f>
        <v>Jan-2021</v>
      </c>
      <c r="C14552">
        <f>TEST_DATA!C14552</f>
        <v>43596</v>
      </c>
      <c r="D14552" t="str">
        <f>TEST_DATA!D14552</f>
        <v>NON-NIL</v>
      </c>
      <c r="E14552">
        <f>TEST_DATA!E14552</f>
        <v>1314</v>
      </c>
    </row>
    <row r="14553" spans="1:5" x14ac:dyDescent="0.55000000000000004">
      <c r="A14553" t="str">
        <f>TEST_DATA!A14553</f>
        <v>27AAAAA14553Z5</v>
      </c>
      <c r="B14553" t="str">
        <f>TEST_DATA!B14553</f>
        <v>Dec-2022</v>
      </c>
      <c r="C14553">
        <f>TEST_DATA!C14553</f>
        <v>44190</v>
      </c>
      <c r="D14553" t="str">
        <f>TEST_DATA!D14553</f>
        <v>NON-NIL</v>
      </c>
      <c r="E14553">
        <f>TEST_DATA!E14553</f>
        <v>81</v>
      </c>
    </row>
    <row r="14554" spans="1:5" x14ac:dyDescent="0.55000000000000004">
      <c r="A14554" t="str">
        <f>TEST_DATA!A14554</f>
        <v>27AAAAA14554Z5</v>
      </c>
      <c r="B14554" t="str">
        <f>TEST_DATA!B14554</f>
        <v>Dec-2019</v>
      </c>
      <c r="C14554">
        <f>TEST_DATA!C14554</f>
        <v>45585</v>
      </c>
      <c r="D14554" t="str">
        <f>TEST_DATA!D14554</f>
        <v>NON-NIL</v>
      </c>
      <c r="E14554">
        <f>TEST_DATA!E14554</f>
        <v>2945</v>
      </c>
    </row>
    <row r="14555" spans="1:5" x14ac:dyDescent="0.55000000000000004">
      <c r="A14555" t="str">
        <f>TEST_DATA!A14555</f>
        <v>27AAAAA14555Z5</v>
      </c>
      <c r="B14555" t="str">
        <f>TEST_DATA!B14555</f>
        <v>Apr-2021</v>
      </c>
      <c r="C14555">
        <f>TEST_DATA!C14555</f>
        <v>43607</v>
      </c>
      <c r="D14555" t="str">
        <f>TEST_DATA!D14555</f>
        <v>NON-NIL</v>
      </c>
      <c r="E14555">
        <f>TEST_DATA!E14555</f>
        <v>2761</v>
      </c>
    </row>
    <row r="14556" spans="1:5" x14ac:dyDescent="0.55000000000000004">
      <c r="A14556" t="str">
        <f>TEST_DATA!A14556</f>
        <v>27AAAAA14556Z5</v>
      </c>
      <c r="B14556" t="str">
        <f>TEST_DATA!B14556</f>
        <v>Mar-2020</v>
      </c>
      <c r="C14556">
        <f>TEST_DATA!C14556</f>
        <v>44093</v>
      </c>
      <c r="D14556" t="str">
        <f>TEST_DATA!D14556</f>
        <v>NON-NIL</v>
      </c>
      <c r="E14556">
        <f>TEST_DATA!E14556</f>
        <v>943</v>
      </c>
    </row>
    <row r="14557" spans="1:5" x14ac:dyDescent="0.55000000000000004">
      <c r="A14557" t="str">
        <f>TEST_DATA!A14557</f>
        <v>27AAAAA14557Z5</v>
      </c>
      <c r="B14557" t="str">
        <f>TEST_DATA!B14557</f>
        <v>Dec-2022</v>
      </c>
      <c r="C14557">
        <f>TEST_DATA!C14557</f>
        <v>44427</v>
      </c>
      <c r="D14557" t="str">
        <f>TEST_DATA!D14557</f>
        <v>NON-NIL</v>
      </c>
      <c r="E14557">
        <f>TEST_DATA!E14557</f>
        <v>159</v>
      </c>
    </row>
    <row r="14558" spans="1:5" x14ac:dyDescent="0.55000000000000004">
      <c r="A14558" t="str">
        <f>TEST_DATA!A14558</f>
        <v>27AAAAA14558Z5</v>
      </c>
      <c r="B14558" t="str">
        <f>TEST_DATA!B14558</f>
        <v>Oct-2017</v>
      </c>
      <c r="C14558">
        <f>TEST_DATA!C14558</f>
        <v>44293</v>
      </c>
      <c r="D14558" t="str">
        <f>TEST_DATA!D14558</f>
        <v>NIL</v>
      </c>
      <c r="E14558">
        <f>TEST_DATA!E14558</f>
        <v>2385</v>
      </c>
    </row>
    <row r="14559" spans="1:5" x14ac:dyDescent="0.55000000000000004">
      <c r="A14559" t="str">
        <f>TEST_DATA!A14559</f>
        <v>27AAAAA14559Z5</v>
      </c>
      <c r="B14559" t="str">
        <f>TEST_DATA!B14559</f>
        <v>Jan-2021</v>
      </c>
      <c r="C14559">
        <f>TEST_DATA!C14559</f>
        <v>45821</v>
      </c>
      <c r="D14559" t="str">
        <f>TEST_DATA!D14559</f>
        <v>NIL</v>
      </c>
      <c r="E14559">
        <f>TEST_DATA!E14559</f>
        <v>304</v>
      </c>
    </row>
    <row r="14560" spans="1:5" x14ac:dyDescent="0.55000000000000004">
      <c r="A14560" t="str">
        <f>TEST_DATA!A14560</f>
        <v>27AAAAA14560Z5</v>
      </c>
      <c r="B14560" t="str">
        <f>TEST_DATA!B14560</f>
        <v>Dec-2022</v>
      </c>
      <c r="C14560">
        <f>TEST_DATA!C14560</f>
        <v>43868</v>
      </c>
      <c r="D14560" t="str">
        <f>TEST_DATA!D14560</f>
        <v>NON-NIL</v>
      </c>
      <c r="E14560">
        <f>TEST_DATA!E14560</f>
        <v>241</v>
      </c>
    </row>
    <row r="14561" spans="1:5" x14ac:dyDescent="0.55000000000000004">
      <c r="A14561" t="str">
        <f>TEST_DATA!A14561</f>
        <v>27AAAAA14561Z5</v>
      </c>
      <c r="B14561" t="str">
        <f>TEST_DATA!B14561</f>
        <v>Jul-2017</v>
      </c>
      <c r="C14561">
        <f>TEST_DATA!C14561</f>
        <v>44135</v>
      </c>
      <c r="D14561" t="str">
        <f>TEST_DATA!D14561</f>
        <v>NIL</v>
      </c>
      <c r="E14561">
        <f>TEST_DATA!E14561</f>
        <v>674</v>
      </c>
    </row>
    <row r="14562" spans="1:5" x14ac:dyDescent="0.55000000000000004">
      <c r="A14562" t="str">
        <f>TEST_DATA!A14562</f>
        <v>27AAAAA14562Z5</v>
      </c>
      <c r="B14562" t="str">
        <f>TEST_DATA!B14562</f>
        <v>Dec-2022</v>
      </c>
      <c r="C14562">
        <f>TEST_DATA!C14562</f>
        <v>45316</v>
      </c>
      <c r="D14562" t="str">
        <f>TEST_DATA!D14562</f>
        <v>NIL</v>
      </c>
      <c r="E14562">
        <f>TEST_DATA!E14562</f>
        <v>2405</v>
      </c>
    </row>
    <row r="14563" spans="1:5" x14ac:dyDescent="0.55000000000000004">
      <c r="A14563" t="str">
        <f>TEST_DATA!A14563</f>
        <v>27AAAAA14563Z5</v>
      </c>
      <c r="B14563" t="str">
        <f>TEST_DATA!B14563</f>
        <v>Nov-2017</v>
      </c>
      <c r="C14563">
        <f>TEST_DATA!C14563</f>
        <v>44272</v>
      </c>
      <c r="D14563" t="str">
        <f>TEST_DATA!D14563</f>
        <v>NIL</v>
      </c>
      <c r="E14563">
        <f>TEST_DATA!E14563</f>
        <v>2114</v>
      </c>
    </row>
    <row r="14564" spans="1:5" x14ac:dyDescent="0.55000000000000004">
      <c r="A14564" t="str">
        <f>TEST_DATA!A14564</f>
        <v>27AAAAA14564Z5</v>
      </c>
      <c r="B14564" t="str">
        <f>TEST_DATA!B14564</f>
        <v>Jun-2019</v>
      </c>
      <c r="C14564">
        <f>TEST_DATA!C14564</f>
        <v>45298</v>
      </c>
      <c r="D14564" t="str">
        <f>TEST_DATA!D14564</f>
        <v>NON-NIL</v>
      </c>
      <c r="E14564">
        <f>TEST_DATA!E14564</f>
        <v>314</v>
      </c>
    </row>
    <row r="14565" spans="1:5" x14ac:dyDescent="0.55000000000000004">
      <c r="A14565" t="str">
        <f>TEST_DATA!A14565</f>
        <v>27AAAAA14565Z5</v>
      </c>
      <c r="B14565" t="str">
        <f>TEST_DATA!B14565</f>
        <v>May-2018</v>
      </c>
      <c r="C14565">
        <f>TEST_DATA!C14565</f>
        <v>44371</v>
      </c>
      <c r="D14565" t="str">
        <f>TEST_DATA!D14565</f>
        <v>NON-NIL</v>
      </c>
      <c r="E14565">
        <f>TEST_DATA!E14565</f>
        <v>2550</v>
      </c>
    </row>
    <row r="14566" spans="1:5" x14ac:dyDescent="0.55000000000000004">
      <c r="A14566" t="str">
        <f>TEST_DATA!A14566</f>
        <v>27AAAAA14566Z5</v>
      </c>
      <c r="B14566" t="str">
        <f>TEST_DATA!B14566</f>
        <v>Nov-2017</v>
      </c>
      <c r="C14566">
        <f>TEST_DATA!C14566</f>
        <v>44556</v>
      </c>
      <c r="D14566" t="str">
        <f>TEST_DATA!D14566</f>
        <v>NON-NIL</v>
      </c>
      <c r="E14566">
        <f>TEST_DATA!E14566</f>
        <v>1084</v>
      </c>
    </row>
    <row r="14567" spans="1:5" x14ac:dyDescent="0.55000000000000004">
      <c r="A14567" t="str">
        <f>TEST_DATA!A14567</f>
        <v>27AAAAA14567Z5</v>
      </c>
      <c r="B14567" t="str">
        <f>TEST_DATA!B14567</f>
        <v>May-2020</v>
      </c>
      <c r="C14567">
        <f>TEST_DATA!C14567</f>
        <v>44223</v>
      </c>
      <c r="D14567" t="str">
        <f>TEST_DATA!D14567</f>
        <v>NON-NIL</v>
      </c>
      <c r="E14567">
        <f>TEST_DATA!E14567</f>
        <v>2898</v>
      </c>
    </row>
    <row r="14568" spans="1:5" x14ac:dyDescent="0.55000000000000004">
      <c r="A14568" t="str">
        <f>TEST_DATA!A14568</f>
        <v>27AAAAA14568Z5</v>
      </c>
      <c r="B14568" t="str">
        <f>TEST_DATA!B14568</f>
        <v>May-2018</v>
      </c>
      <c r="C14568">
        <f>TEST_DATA!C14568</f>
        <v>43007</v>
      </c>
      <c r="D14568" t="str">
        <f>TEST_DATA!D14568</f>
        <v>NIL</v>
      </c>
      <c r="E14568">
        <f>TEST_DATA!E14568</f>
        <v>1659</v>
      </c>
    </row>
    <row r="14569" spans="1:5" x14ac:dyDescent="0.55000000000000004">
      <c r="A14569" t="str">
        <f>TEST_DATA!A14569</f>
        <v>27AAAAA14569Z5</v>
      </c>
      <c r="B14569" t="str">
        <f>TEST_DATA!B14569</f>
        <v>Aug-2018</v>
      </c>
      <c r="C14569">
        <f>TEST_DATA!C14569</f>
        <v>43450</v>
      </c>
      <c r="D14569" t="str">
        <f>TEST_DATA!D14569</f>
        <v>NIL</v>
      </c>
      <c r="E14569">
        <f>TEST_DATA!E14569</f>
        <v>1962</v>
      </c>
    </row>
    <row r="14570" spans="1:5" x14ac:dyDescent="0.55000000000000004">
      <c r="A14570" t="str">
        <f>TEST_DATA!A14570</f>
        <v>27AAAAA14570Z5</v>
      </c>
      <c r="B14570" t="str">
        <f>TEST_DATA!B14570</f>
        <v>Feb-2018</v>
      </c>
      <c r="C14570">
        <f>TEST_DATA!C14570</f>
        <v>44007</v>
      </c>
      <c r="D14570" t="str">
        <f>TEST_DATA!D14570</f>
        <v>NON-NIL</v>
      </c>
      <c r="E14570">
        <f>TEST_DATA!E14570</f>
        <v>2561</v>
      </c>
    </row>
    <row r="14571" spans="1:5" x14ac:dyDescent="0.55000000000000004">
      <c r="A14571" t="str">
        <f>TEST_DATA!A14571</f>
        <v>27AAAAA14571Z5</v>
      </c>
      <c r="B14571" t="str">
        <f>TEST_DATA!B14571</f>
        <v>Apr-2020</v>
      </c>
      <c r="C14571">
        <f>TEST_DATA!C14571</f>
        <v>44637</v>
      </c>
      <c r="D14571" t="str">
        <f>TEST_DATA!D14571</f>
        <v>NON-NIL</v>
      </c>
      <c r="E14571">
        <f>TEST_DATA!E14571</f>
        <v>1140</v>
      </c>
    </row>
    <row r="14572" spans="1:5" x14ac:dyDescent="0.55000000000000004">
      <c r="A14572" t="str">
        <f>TEST_DATA!A14572</f>
        <v>27AAAAA14572Z5</v>
      </c>
      <c r="B14572" t="str">
        <f>TEST_DATA!B14572</f>
        <v>Dec-2019</v>
      </c>
      <c r="C14572">
        <f>TEST_DATA!C14572</f>
        <v>43722</v>
      </c>
      <c r="D14572" t="str">
        <f>TEST_DATA!D14572</f>
        <v>NIL</v>
      </c>
      <c r="E14572">
        <f>TEST_DATA!E14572</f>
        <v>153</v>
      </c>
    </row>
    <row r="14573" spans="1:5" x14ac:dyDescent="0.55000000000000004">
      <c r="A14573" t="str">
        <f>TEST_DATA!A14573</f>
        <v>27AAAAA14573Z5</v>
      </c>
      <c r="B14573" t="str">
        <f>TEST_DATA!B14573</f>
        <v>May-2018</v>
      </c>
      <c r="C14573">
        <f>TEST_DATA!C14573</f>
        <v>43060</v>
      </c>
      <c r="D14573" t="str">
        <f>TEST_DATA!D14573</f>
        <v>NIL</v>
      </c>
      <c r="E14573">
        <f>TEST_DATA!E14573</f>
        <v>2316</v>
      </c>
    </row>
    <row r="14574" spans="1:5" x14ac:dyDescent="0.55000000000000004">
      <c r="A14574" t="str">
        <f>TEST_DATA!A14574</f>
        <v>27AAAAA14574Z5</v>
      </c>
      <c r="B14574" t="str">
        <f>TEST_DATA!B14574</f>
        <v>May-2020</v>
      </c>
      <c r="C14574">
        <f>TEST_DATA!C14574</f>
        <v>44108</v>
      </c>
      <c r="D14574" t="str">
        <f>TEST_DATA!D14574</f>
        <v>NON-NIL</v>
      </c>
      <c r="E14574">
        <f>TEST_DATA!E14574</f>
        <v>607</v>
      </c>
    </row>
    <row r="14575" spans="1:5" x14ac:dyDescent="0.55000000000000004">
      <c r="A14575" t="str">
        <f>TEST_DATA!A14575</f>
        <v>27AAAAA14575Z5</v>
      </c>
      <c r="B14575" t="str">
        <f>TEST_DATA!B14575</f>
        <v>Dec-2022</v>
      </c>
      <c r="C14575">
        <f>TEST_DATA!C14575</f>
        <v>44576</v>
      </c>
      <c r="D14575" t="str">
        <f>TEST_DATA!D14575</f>
        <v>NIL</v>
      </c>
      <c r="E14575">
        <f>TEST_DATA!E14575</f>
        <v>78</v>
      </c>
    </row>
    <row r="14576" spans="1:5" x14ac:dyDescent="0.55000000000000004">
      <c r="A14576" t="str">
        <f>TEST_DATA!A14576</f>
        <v>27AAAAA14576Z5</v>
      </c>
      <c r="B14576" t="str">
        <f>TEST_DATA!B14576</f>
        <v>Jan-2021</v>
      </c>
      <c r="C14576">
        <f>TEST_DATA!C14576</f>
        <v>45211</v>
      </c>
      <c r="D14576" t="str">
        <f>TEST_DATA!D14576</f>
        <v>NON-NIL</v>
      </c>
      <c r="E14576">
        <f>TEST_DATA!E14576</f>
        <v>1928</v>
      </c>
    </row>
    <row r="14577" spans="1:5" x14ac:dyDescent="0.55000000000000004">
      <c r="A14577" t="str">
        <f>TEST_DATA!A14577</f>
        <v>27AAAAA14577Z5</v>
      </c>
      <c r="B14577" t="str">
        <f>TEST_DATA!B14577</f>
        <v>Jan-2019</v>
      </c>
      <c r="C14577">
        <f>TEST_DATA!C14577</f>
        <v>45582</v>
      </c>
      <c r="D14577" t="str">
        <f>TEST_DATA!D14577</f>
        <v>NIL</v>
      </c>
      <c r="E14577">
        <f>TEST_DATA!E14577</f>
        <v>2716</v>
      </c>
    </row>
    <row r="14578" spans="1:5" x14ac:dyDescent="0.55000000000000004">
      <c r="A14578" t="str">
        <f>TEST_DATA!A14578</f>
        <v>27AAAAA14578Z5</v>
      </c>
      <c r="B14578" t="str">
        <f>TEST_DATA!B14578</f>
        <v>Jul-2018</v>
      </c>
      <c r="C14578">
        <f>TEST_DATA!C14578</f>
        <v>43849</v>
      </c>
      <c r="D14578" t="str">
        <f>TEST_DATA!D14578</f>
        <v>NON-NIL</v>
      </c>
      <c r="E14578">
        <f>TEST_DATA!E14578</f>
        <v>2079</v>
      </c>
    </row>
    <row r="14579" spans="1:5" x14ac:dyDescent="0.55000000000000004">
      <c r="A14579" t="str">
        <f>TEST_DATA!A14579</f>
        <v>27AAAAA14579Z5</v>
      </c>
      <c r="B14579" t="str">
        <f>TEST_DATA!B14579</f>
        <v>Sep-2017</v>
      </c>
      <c r="C14579">
        <f>TEST_DATA!C14579</f>
        <v>42940</v>
      </c>
      <c r="D14579" t="str">
        <f>TEST_DATA!D14579</f>
        <v>NON-NIL</v>
      </c>
      <c r="E14579">
        <f>TEST_DATA!E14579</f>
        <v>12</v>
      </c>
    </row>
    <row r="14580" spans="1:5" x14ac:dyDescent="0.55000000000000004">
      <c r="A14580" t="str">
        <f>TEST_DATA!A14580</f>
        <v>27AAAAA14580Z5</v>
      </c>
      <c r="B14580" t="str">
        <f>TEST_DATA!B14580</f>
        <v>Jun-2019</v>
      </c>
      <c r="C14580">
        <f>TEST_DATA!C14580</f>
        <v>44017</v>
      </c>
      <c r="D14580" t="str">
        <f>TEST_DATA!D14580</f>
        <v>NON-NIL</v>
      </c>
      <c r="E14580">
        <f>TEST_DATA!E14580</f>
        <v>220</v>
      </c>
    </row>
    <row r="14581" spans="1:5" x14ac:dyDescent="0.55000000000000004">
      <c r="A14581" t="str">
        <f>TEST_DATA!A14581</f>
        <v>27AAAAA14581Z5</v>
      </c>
      <c r="B14581" t="str">
        <f>TEST_DATA!B14581</f>
        <v>Jun-2019</v>
      </c>
      <c r="C14581">
        <f>TEST_DATA!C14581</f>
        <v>44379</v>
      </c>
      <c r="D14581" t="str">
        <f>TEST_DATA!D14581</f>
        <v>NON-NIL</v>
      </c>
      <c r="E14581">
        <f>TEST_DATA!E14581</f>
        <v>340</v>
      </c>
    </row>
    <row r="14582" spans="1:5" x14ac:dyDescent="0.55000000000000004">
      <c r="A14582" t="str">
        <f>TEST_DATA!A14582</f>
        <v>27AAAAA14582Z5</v>
      </c>
      <c r="B14582" t="str">
        <f>TEST_DATA!B14582</f>
        <v>Jul-2020</v>
      </c>
      <c r="C14582">
        <f>TEST_DATA!C14582</f>
        <v>44279</v>
      </c>
      <c r="D14582" t="str">
        <f>TEST_DATA!D14582</f>
        <v>NIL</v>
      </c>
      <c r="E14582">
        <f>TEST_DATA!E14582</f>
        <v>397</v>
      </c>
    </row>
    <row r="14583" spans="1:5" x14ac:dyDescent="0.55000000000000004">
      <c r="A14583" t="str">
        <f>TEST_DATA!A14583</f>
        <v>27AAAAA14583Z5</v>
      </c>
      <c r="B14583" t="str">
        <f>TEST_DATA!B14583</f>
        <v>Jun-2018</v>
      </c>
      <c r="C14583">
        <f>TEST_DATA!C14583</f>
        <v>43847</v>
      </c>
      <c r="D14583" t="str">
        <f>TEST_DATA!D14583</f>
        <v>NIL</v>
      </c>
      <c r="E14583">
        <f>TEST_DATA!E14583</f>
        <v>224</v>
      </c>
    </row>
    <row r="14584" spans="1:5" x14ac:dyDescent="0.55000000000000004">
      <c r="A14584" t="str">
        <f>TEST_DATA!A14584</f>
        <v>27AAAAA14584Z5</v>
      </c>
      <c r="B14584" t="str">
        <f>TEST_DATA!B14584</f>
        <v>Dec-2019</v>
      </c>
      <c r="C14584">
        <f>TEST_DATA!C14584</f>
        <v>44204</v>
      </c>
      <c r="D14584" t="str">
        <f>TEST_DATA!D14584</f>
        <v>NIL</v>
      </c>
      <c r="E14584">
        <f>TEST_DATA!E14584</f>
        <v>1770</v>
      </c>
    </row>
    <row r="14585" spans="1:5" x14ac:dyDescent="0.55000000000000004">
      <c r="A14585" t="str">
        <f>TEST_DATA!A14585</f>
        <v>27AAAAA14585Z5</v>
      </c>
      <c r="B14585" t="str">
        <f>TEST_DATA!B14585</f>
        <v>Jul-2018</v>
      </c>
      <c r="C14585">
        <f>TEST_DATA!C14585</f>
        <v>43088</v>
      </c>
      <c r="D14585" t="str">
        <f>TEST_DATA!D14585</f>
        <v>NON-NIL</v>
      </c>
      <c r="E14585">
        <f>TEST_DATA!E14585</f>
        <v>2633</v>
      </c>
    </row>
    <row r="14586" spans="1:5" x14ac:dyDescent="0.55000000000000004">
      <c r="A14586" t="str">
        <f>TEST_DATA!A14586</f>
        <v>27AAAAA14586Z5</v>
      </c>
      <c r="B14586" t="str">
        <f>TEST_DATA!B14586</f>
        <v>Dec-2017</v>
      </c>
      <c r="C14586">
        <f>TEST_DATA!C14586</f>
        <v>42950</v>
      </c>
      <c r="D14586" t="str">
        <f>TEST_DATA!D14586</f>
        <v>NIL</v>
      </c>
      <c r="E14586">
        <f>TEST_DATA!E14586</f>
        <v>1827</v>
      </c>
    </row>
    <row r="14587" spans="1:5" x14ac:dyDescent="0.55000000000000004">
      <c r="A14587" t="str">
        <f>TEST_DATA!A14587</f>
        <v>27AAAAA14587Z5</v>
      </c>
      <c r="B14587" t="str">
        <f>TEST_DATA!B14587</f>
        <v>Dec-2022</v>
      </c>
      <c r="C14587">
        <f>TEST_DATA!C14587</f>
        <v>44084</v>
      </c>
      <c r="D14587" t="str">
        <f>TEST_DATA!D14587</f>
        <v>NON-NIL</v>
      </c>
      <c r="E14587">
        <f>TEST_DATA!E14587</f>
        <v>479</v>
      </c>
    </row>
    <row r="14588" spans="1:5" x14ac:dyDescent="0.55000000000000004">
      <c r="A14588" t="str">
        <f>TEST_DATA!A14588</f>
        <v>27AAAAA14588Z5</v>
      </c>
      <c r="B14588" t="str">
        <f>TEST_DATA!B14588</f>
        <v>Jun-2020</v>
      </c>
      <c r="C14588">
        <f>TEST_DATA!C14588</f>
        <v>44118</v>
      </c>
      <c r="D14588" t="str">
        <f>TEST_DATA!D14588</f>
        <v>NON-NIL</v>
      </c>
      <c r="E14588">
        <f>TEST_DATA!E14588</f>
        <v>2639</v>
      </c>
    </row>
    <row r="14589" spans="1:5" x14ac:dyDescent="0.55000000000000004">
      <c r="A14589" t="str">
        <f>TEST_DATA!A14589</f>
        <v>27AAAAA14589Z5</v>
      </c>
      <c r="B14589" t="str">
        <f>TEST_DATA!B14589</f>
        <v>Dec-2022</v>
      </c>
      <c r="C14589">
        <f>TEST_DATA!C14589</f>
        <v>45109</v>
      </c>
      <c r="D14589" t="str">
        <f>TEST_DATA!D14589</f>
        <v>NIL</v>
      </c>
      <c r="E14589">
        <f>TEST_DATA!E14589</f>
        <v>2793</v>
      </c>
    </row>
    <row r="14590" spans="1:5" x14ac:dyDescent="0.55000000000000004">
      <c r="A14590" t="str">
        <f>TEST_DATA!A14590</f>
        <v>27AAAAA14590Z5</v>
      </c>
      <c r="B14590" t="str">
        <f>TEST_DATA!B14590</f>
        <v>Dec-2019</v>
      </c>
      <c r="C14590">
        <f>TEST_DATA!C14590</f>
        <v>45180</v>
      </c>
      <c r="D14590" t="str">
        <f>TEST_DATA!D14590</f>
        <v>NON-NIL</v>
      </c>
      <c r="E14590">
        <f>TEST_DATA!E14590</f>
        <v>452</v>
      </c>
    </row>
    <row r="14591" spans="1:5" x14ac:dyDescent="0.55000000000000004">
      <c r="A14591" t="str">
        <f>TEST_DATA!A14591</f>
        <v>27AAAAA14591Z5</v>
      </c>
      <c r="B14591" t="str">
        <f>TEST_DATA!B14591</f>
        <v>Sep-2017</v>
      </c>
      <c r="C14591">
        <f>TEST_DATA!C14591</f>
        <v>42957</v>
      </c>
      <c r="D14591" t="str">
        <f>TEST_DATA!D14591</f>
        <v>NON-NIL</v>
      </c>
      <c r="E14591">
        <f>TEST_DATA!E14591</f>
        <v>6</v>
      </c>
    </row>
    <row r="14592" spans="1:5" x14ac:dyDescent="0.55000000000000004">
      <c r="A14592" t="str">
        <f>TEST_DATA!A14592</f>
        <v>27AAAAA14592Z5</v>
      </c>
      <c r="B14592" t="str">
        <f>TEST_DATA!B14592</f>
        <v>Jun-2020</v>
      </c>
      <c r="C14592">
        <f>TEST_DATA!C14592</f>
        <v>44321</v>
      </c>
      <c r="D14592" t="str">
        <f>TEST_DATA!D14592</f>
        <v>NIL</v>
      </c>
      <c r="E14592">
        <f>TEST_DATA!E14592</f>
        <v>2326</v>
      </c>
    </row>
    <row r="14593" spans="1:5" x14ac:dyDescent="0.55000000000000004">
      <c r="A14593" t="str">
        <f>TEST_DATA!A14593</f>
        <v>27AAAAA14593Z5</v>
      </c>
      <c r="B14593" t="str">
        <f>TEST_DATA!B14593</f>
        <v>Dec-2017</v>
      </c>
      <c r="C14593">
        <f>TEST_DATA!C14593</f>
        <v>44265</v>
      </c>
      <c r="D14593" t="str">
        <f>TEST_DATA!D14593</f>
        <v>NON-NIL</v>
      </c>
      <c r="E14593">
        <f>TEST_DATA!E14593</f>
        <v>1601</v>
      </c>
    </row>
    <row r="14594" spans="1:5" x14ac:dyDescent="0.55000000000000004">
      <c r="A14594" t="str">
        <f>TEST_DATA!A14594</f>
        <v>27AAAAA14594Z5</v>
      </c>
      <c r="B14594" t="str">
        <f>TEST_DATA!B14594</f>
        <v>Dec-2024</v>
      </c>
      <c r="C14594">
        <f>TEST_DATA!C14594</f>
        <v>45446</v>
      </c>
      <c r="D14594" t="str">
        <f>TEST_DATA!D14594</f>
        <v>NIL</v>
      </c>
      <c r="E14594">
        <f>TEST_DATA!E14594</f>
        <v>1687</v>
      </c>
    </row>
    <row r="14595" spans="1:5" x14ac:dyDescent="0.55000000000000004">
      <c r="A14595" t="str">
        <f>TEST_DATA!A14595</f>
        <v>27AAAAA14595Z5</v>
      </c>
      <c r="B14595" t="str">
        <f>TEST_DATA!B14595</f>
        <v>Jul-2017</v>
      </c>
      <c r="C14595">
        <f>TEST_DATA!C14595</f>
        <v>44503</v>
      </c>
      <c r="D14595" t="str">
        <f>TEST_DATA!D14595</f>
        <v>NON-NIL</v>
      </c>
      <c r="E14595">
        <f>TEST_DATA!E14595</f>
        <v>936</v>
      </c>
    </row>
    <row r="14596" spans="1:5" x14ac:dyDescent="0.55000000000000004">
      <c r="A14596" t="str">
        <f>TEST_DATA!A14596</f>
        <v>27AAAAA14596Z5</v>
      </c>
      <c r="B14596" t="str">
        <f>TEST_DATA!B14596</f>
        <v>Dec-2024</v>
      </c>
      <c r="C14596">
        <f>TEST_DATA!C14596</f>
        <v>44312</v>
      </c>
      <c r="D14596" t="str">
        <f>TEST_DATA!D14596</f>
        <v>NIL</v>
      </c>
      <c r="E14596">
        <f>TEST_DATA!E14596</f>
        <v>2388</v>
      </c>
    </row>
    <row r="14597" spans="1:5" x14ac:dyDescent="0.55000000000000004">
      <c r="A14597" t="str">
        <f>TEST_DATA!A14597</f>
        <v>27AAAAA14597Z5</v>
      </c>
      <c r="B14597" t="str">
        <f>TEST_DATA!B14597</f>
        <v>Apr-2020</v>
      </c>
      <c r="C14597">
        <f>TEST_DATA!C14597</f>
        <v>44540</v>
      </c>
      <c r="D14597" t="str">
        <f>TEST_DATA!D14597</f>
        <v>NIL</v>
      </c>
      <c r="E14597">
        <f>TEST_DATA!E14597</f>
        <v>1602</v>
      </c>
    </row>
    <row r="14598" spans="1:5" x14ac:dyDescent="0.55000000000000004">
      <c r="A14598" t="str">
        <f>TEST_DATA!A14598</f>
        <v>27AAAAA14598Z5</v>
      </c>
      <c r="B14598" t="str">
        <f>TEST_DATA!B14598</f>
        <v>Jul-2018</v>
      </c>
      <c r="C14598">
        <f>TEST_DATA!C14598</f>
        <v>44355</v>
      </c>
      <c r="D14598" t="str">
        <f>TEST_DATA!D14598</f>
        <v>NON-NIL</v>
      </c>
      <c r="E14598">
        <f>TEST_DATA!E14598</f>
        <v>2632</v>
      </c>
    </row>
    <row r="14599" spans="1:5" x14ac:dyDescent="0.55000000000000004">
      <c r="A14599" t="str">
        <f>TEST_DATA!A14599</f>
        <v>27AAAAA14599Z5</v>
      </c>
      <c r="B14599" t="str">
        <f>TEST_DATA!B14599</f>
        <v>Jan-2019</v>
      </c>
      <c r="C14599">
        <f>TEST_DATA!C14599</f>
        <v>45219</v>
      </c>
      <c r="D14599" t="str">
        <f>TEST_DATA!D14599</f>
        <v>NIL</v>
      </c>
      <c r="E14599">
        <f>TEST_DATA!E14599</f>
        <v>2932</v>
      </c>
    </row>
    <row r="14600" spans="1:5" x14ac:dyDescent="0.55000000000000004">
      <c r="A14600" t="str">
        <f>TEST_DATA!A14600</f>
        <v>27AAAAA14600Z5</v>
      </c>
      <c r="B14600" t="str">
        <f>TEST_DATA!B14600</f>
        <v>May-2018</v>
      </c>
      <c r="C14600">
        <f>TEST_DATA!C14600</f>
        <v>43642</v>
      </c>
      <c r="D14600" t="str">
        <f>TEST_DATA!D14600</f>
        <v>NIL</v>
      </c>
      <c r="E14600">
        <f>TEST_DATA!E14600</f>
        <v>2155</v>
      </c>
    </row>
    <row r="14601" spans="1:5" x14ac:dyDescent="0.55000000000000004">
      <c r="A14601" t="str">
        <f>TEST_DATA!A14601</f>
        <v>27AAAAA14601Z5</v>
      </c>
      <c r="B14601" t="str">
        <f>TEST_DATA!B14601</f>
        <v>May-2020</v>
      </c>
      <c r="C14601">
        <f>TEST_DATA!C14601</f>
        <v>43885</v>
      </c>
      <c r="D14601" t="str">
        <f>TEST_DATA!D14601</f>
        <v>NIL</v>
      </c>
      <c r="E14601">
        <f>TEST_DATA!E14601</f>
        <v>1391</v>
      </c>
    </row>
    <row r="14602" spans="1:5" x14ac:dyDescent="0.55000000000000004">
      <c r="A14602" t="str">
        <f>TEST_DATA!A14602</f>
        <v>27AAAAA14602Z5</v>
      </c>
      <c r="B14602" t="str">
        <f>TEST_DATA!B14602</f>
        <v>Dec-2022</v>
      </c>
      <c r="C14602">
        <f>TEST_DATA!C14602</f>
        <v>43665</v>
      </c>
      <c r="D14602" t="str">
        <f>TEST_DATA!D14602</f>
        <v>NIL</v>
      </c>
      <c r="E14602">
        <f>TEST_DATA!E14602</f>
        <v>2246</v>
      </c>
    </row>
    <row r="14603" spans="1:5" x14ac:dyDescent="0.55000000000000004">
      <c r="A14603" t="str">
        <f>TEST_DATA!A14603</f>
        <v>27AAAAA14603Z5</v>
      </c>
      <c r="B14603" t="str">
        <f>TEST_DATA!B14603</f>
        <v>Jan-2018</v>
      </c>
      <c r="C14603">
        <f>TEST_DATA!C14603</f>
        <v>43005</v>
      </c>
      <c r="D14603" t="str">
        <f>TEST_DATA!D14603</f>
        <v>NON-NIL</v>
      </c>
      <c r="E14603">
        <f>TEST_DATA!E14603</f>
        <v>2563</v>
      </c>
    </row>
    <row r="14604" spans="1:5" x14ac:dyDescent="0.55000000000000004">
      <c r="A14604" t="str">
        <f>TEST_DATA!A14604</f>
        <v>27AAAAA14604Z5</v>
      </c>
      <c r="B14604" t="str">
        <f>TEST_DATA!B14604</f>
        <v>Apr-2020</v>
      </c>
      <c r="C14604">
        <f>TEST_DATA!C14604</f>
        <v>44213</v>
      </c>
      <c r="D14604" t="str">
        <f>TEST_DATA!D14604</f>
        <v>NON-NIL</v>
      </c>
      <c r="E14604">
        <f>TEST_DATA!E14604</f>
        <v>196</v>
      </c>
    </row>
    <row r="14605" spans="1:5" x14ac:dyDescent="0.55000000000000004">
      <c r="A14605" t="str">
        <f>TEST_DATA!A14605</f>
        <v>27AAAAA14605Z5</v>
      </c>
      <c r="B14605" t="str">
        <f>TEST_DATA!B14605</f>
        <v>Jul-2020</v>
      </c>
      <c r="C14605">
        <f>TEST_DATA!C14605</f>
        <v>44865</v>
      </c>
      <c r="D14605" t="str">
        <f>TEST_DATA!D14605</f>
        <v>NIL</v>
      </c>
      <c r="E14605">
        <f>TEST_DATA!E14605</f>
        <v>1439</v>
      </c>
    </row>
    <row r="14606" spans="1:5" x14ac:dyDescent="0.55000000000000004">
      <c r="A14606" t="str">
        <f>TEST_DATA!A14606</f>
        <v>27AAAAA14606Z5</v>
      </c>
      <c r="B14606" t="str">
        <f>TEST_DATA!B14606</f>
        <v>Jun-2018</v>
      </c>
      <c r="C14606">
        <f>TEST_DATA!C14606</f>
        <v>43799</v>
      </c>
      <c r="D14606" t="str">
        <f>TEST_DATA!D14606</f>
        <v>NON-NIL</v>
      </c>
      <c r="E14606">
        <f>TEST_DATA!E14606</f>
        <v>1276</v>
      </c>
    </row>
    <row r="14607" spans="1:5" x14ac:dyDescent="0.55000000000000004">
      <c r="A14607" t="str">
        <f>TEST_DATA!A14607</f>
        <v>27AAAAA14607Z5</v>
      </c>
      <c r="B14607" t="str">
        <f>TEST_DATA!B14607</f>
        <v>Apr-2021</v>
      </c>
      <c r="C14607">
        <f>TEST_DATA!C14607</f>
        <v>43784</v>
      </c>
      <c r="D14607" t="str">
        <f>TEST_DATA!D14607</f>
        <v>NON-NIL</v>
      </c>
      <c r="E14607">
        <f>TEST_DATA!E14607</f>
        <v>276</v>
      </c>
    </row>
    <row r="14608" spans="1:5" x14ac:dyDescent="0.55000000000000004">
      <c r="A14608" t="str">
        <f>TEST_DATA!A14608</f>
        <v>27AAAAA14608Z5</v>
      </c>
      <c r="B14608" t="str">
        <f>TEST_DATA!B14608</f>
        <v>Mar-2023</v>
      </c>
      <c r="C14608">
        <f>TEST_DATA!C14608</f>
        <v>43985</v>
      </c>
      <c r="D14608" t="str">
        <f>TEST_DATA!D14608</f>
        <v>NON-NIL</v>
      </c>
      <c r="E14608">
        <f>TEST_DATA!E14608</f>
        <v>865</v>
      </c>
    </row>
    <row r="14609" spans="1:5" x14ac:dyDescent="0.55000000000000004">
      <c r="A14609" t="str">
        <f>TEST_DATA!A14609</f>
        <v>27AAAAA14609Z5</v>
      </c>
      <c r="B14609" t="str">
        <f>TEST_DATA!B14609</f>
        <v>Aug-2018</v>
      </c>
      <c r="C14609">
        <f>TEST_DATA!C14609</f>
        <v>43051</v>
      </c>
      <c r="D14609" t="str">
        <f>TEST_DATA!D14609</f>
        <v>NON-NIL</v>
      </c>
      <c r="E14609">
        <f>TEST_DATA!E14609</f>
        <v>197</v>
      </c>
    </row>
    <row r="14610" spans="1:5" x14ac:dyDescent="0.55000000000000004">
      <c r="A14610" t="str">
        <f>TEST_DATA!A14610</f>
        <v>27AAAAA14610Z5</v>
      </c>
      <c r="B14610" t="str">
        <f>TEST_DATA!B14610</f>
        <v>Jun-2018</v>
      </c>
      <c r="C14610">
        <f>TEST_DATA!C14610</f>
        <v>42943</v>
      </c>
      <c r="D14610" t="str">
        <f>TEST_DATA!D14610</f>
        <v>NIL</v>
      </c>
      <c r="E14610">
        <f>TEST_DATA!E14610</f>
        <v>2442</v>
      </c>
    </row>
    <row r="14611" spans="1:5" x14ac:dyDescent="0.55000000000000004">
      <c r="A14611" t="str">
        <f>TEST_DATA!A14611</f>
        <v>27AAAAA14611Z5</v>
      </c>
      <c r="B14611" t="str">
        <f>TEST_DATA!B14611</f>
        <v>May-2020</v>
      </c>
      <c r="C14611">
        <f>TEST_DATA!C14611</f>
        <v>43917</v>
      </c>
      <c r="D14611" t="str">
        <f>TEST_DATA!D14611</f>
        <v>NON-NIL</v>
      </c>
      <c r="E14611">
        <f>TEST_DATA!E14611</f>
        <v>1634</v>
      </c>
    </row>
    <row r="14612" spans="1:5" x14ac:dyDescent="0.55000000000000004">
      <c r="A14612" t="str">
        <f>TEST_DATA!A14612</f>
        <v>27AAAAA14612Z5</v>
      </c>
      <c r="B14612" t="str">
        <f>TEST_DATA!B14612</f>
        <v>Sep-2017</v>
      </c>
      <c r="C14612">
        <f>TEST_DATA!C14612</f>
        <v>44107</v>
      </c>
      <c r="D14612" t="str">
        <f>TEST_DATA!D14612</f>
        <v>NIL</v>
      </c>
      <c r="E14612">
        <f>TEST_DATA!E14612</f>
        <v>2581</v>
      </c>
    </row>
    <row r="14613" spans="1:5" x14ac:dyDescent="0.55000000000000004">
      <c r="A14613" t="str">
        <f>TEST_DATA!A14613</f>
        <v>27AAAAA14613Z5</v>
      </c>
      <c r="B14613" t="str">
        <f>TEST_DATA!B14613</f>
        <v>Jun-2019</v>
      </c>
      <c r="C14613">
        <f>TEST_DATA!C14613</f>
        <v>43914</v>
      </c>
      <c r="D14613" t="str">
        <f>TEST_DATA!D14613</f>
        <v>NON-NIL</v>
      </c>
      <c r="E14613">
        <f>TEST_DATA!E14613</f>
        <v>2503</v>
      </c>
    </row>
    <row r="14614" spans="1:5" x14ac:dyDescent="0.55000000000000004">
      <c r="A14614" t="str">
        <f>TEST_DATA!A14614</f>
        <v>27AAAAA14614Z5</v>
      </c>
      <c r="B14614" t="str">
        <f>TEST_DATA!B14614</f>
        <v>Dec-2024</v>
      </c>
      <c r="C14614">
        <f>TEST_DATA!C14614</f>
        <v>45663</v>
      </c>
      <c r="D14614" t="str">
        <f>TEST_DATA!D14614</f>
        <v>NIL</v>
      </c>
      <c r="E14614">
        <f>TEST_DATA!E14614</f>
        <v>1691</v>
      </c>
    </row>
    <row r="14615" spans="1:5" x14ac:dyDescent="0.55000000000000004">
      <c r="A14615" t="str">
        <f>TEST_DATA!A14615</f>
        <v>27AAAAA14615Z5</v>
      </c>
      <c r="B14615" t="str">
        <f>TEST_DATA!B14615</f>
        <v>Jan-2019</v>
      </c>
      <c r="C14615">
        <f>TEST_DATA!C14615</f>
        <v>45603</v>
      </c>
      <c r="D14615" t="str">
        <f>TEST_DATA!D14615</f>
        <v>NON-NIL</v>
      </c>
      <c r="E14615">
        <f>TEST_DATA!E14615</f>
        <v>2498</v>
      </c>
    </row>
    <row r="14616" spans="1:5" x14ac:dyDescent="0.55000000000000004">
      <c r="A14616" t="str">
        <f>TEST_DATA!A14616</f>
        <v>27AAAAA14616Z5</v>
      </c>
      <c r="B14616" t="str">
        <f>TEST_DATA!B14616</f>
        <v>Jul-2017</v>
      </c>
      <c r="C14616">
        <f>TEST_DATA!C14616</f>
        <v>43402</v>
      </c>
      <c r="D14616" t="str">
        <f>TEST_DATA!D14616</f>
        <v>NIL</v>
      </c>
      <c r="E14616">
        <f>TEST_DATA!E14616</f>
        <v>383</v>
      </c>
    </row>
    <row r="14617" spans="1:5" x14ac:dyDescent="0.55000000000000004">
      <c r="A14617" t="str">
        <f>TEST_DATA!A14617</f>
        <v>27AAAAA14617Z5</v>
      </c>
      <c r="B14617" t="str">
        <f>TEST_DATA!B14617</f>
        <v>Sep-2018</v>
      </c>
      <c r="C14617">
        <f>TEST_DATA!C14617</f>
        <v>43823</v>
      </c>
      <c r="D14617" t="str">
        <f>TEST_DATA!D14617</f>
        <v>NON-NIL</v>
      </c>
      <c r="E14617">
        <f>TEST_DATA!E14617</f>
        <v>2308</v>
      </c>
    </row>
    <row r="14618" spans="1:5" x14ac:dyDescent="0.55000000000000004">
      <c r="A14618" t="str">
        <f>TEST_DATA!A14618</f>
        <v>27AAAAA14618Z5</v>
      </c>
      <c r="B14618" t="str">
        <f>TEST_DATA!B14618</f>
        <v>Dec-2022</v>
      </c>
      <c r="C14618">
        <f>TEST_DATA!C14618</f>
        <v>43849</v>
      </c>
      <c r="D14618" t="str">
        <f>TEST_DATA!D14618</f>
        <v>NIL</v>
      </c>
      <c r="E14618">
        <f>TEST_DATA!E14618</f>
        <v>1958</v>
      </c>
    </row>
    <row r="14619" spans="1:5" x14ac:dyDescent="0.55000000000000004">
      <c r="A14619" t="str">
        <f>TEST_DATA!A14619</f>
        <v>27AAAAA14619Z5</v>
      </c>
      <c r="B14619" t="str">
        <f>TEST_DATA!B14619</f>
        <v>Aug-2018</v>
      </c>
      <c r="C14619">
        <f>TEST_DATA!C14619</f>
        <v>43815</v>
      </c>
      <c r="D14619" t="str">
        <f>TEST_DATA!D14619</f>
        <v>NON-NIL</v>
      </c>
      <c r="E14619">
        <f>TEST_DATA!E14619</f>
        <v>1521</v>
      </c>
    </row>
    <row r="14620" spans="1:5" x14ac:dyDescent="0.55000000000000004">
      <c r="A14620" t="str">
        <f>TEST_DATA!A14620</f>
        <v>27AAAAA14620Z5</v>
      </c>
      <c r="B14620" t="str">
        <f>TEST_DATA!B14620</f>
        <v>Jul-2017</v>
      </c>
      <c r="C14620">
        <f>TEST_DATA!C14620</f>
        <v>44336</v>
      </c>
      <c r="D14620" t="str">
        <f>TEST_DATA!D14620</f>
        <v>NIL</v>
      </c>
      <c r="E14620">
        <f>TEST_DATA!E14620</f>
        <v>1143</v>
      </c>
    </row>
    <row r="14621" spans="1:5" x14ac:dyDescent="0.55000000000000004">
      <c r="A14621" t="str">
        <f>TEST_DATA!A14621</f>
        <v>27AAAAA14621Z5</v>
      </c>
      <c r="B14621" t="str">
        <f>TEST_DATA!B14621</f>
        <v>Jan-2018</v>
      </c>
      <c r="C14621">
        <f>TEST_DATA!C14621</f>
        <v>43928</v>
      </c>
      <c r="D14621" t="str">
        <f>TEST_DATA!D14621</f>
        <v>NON-NIL</v>
      </c>
      <c r="E14621">
        <f>TEST_DATA!E14621</f>
        <v>2628</v>
      </c>
    </row>
    <row r="14622" spans="1:5" x14ac:dyDescent="0.55000000000000004">
      <c r="A14622" t="str">
        <f>TEST_DATA!A14622</f>
        <v>27AAAAA14622Z5</v>
      </c>
      <c r="B14622" t="str">
        <f>TEST_DATA!B14622</f>
        <v>Mar-2023</v>
      </c>
      <c r="C14622">
        <f>TEST_DATA!C14622</f>
        <v>44281</v>
      </c>
      <c r="D14622" t="str">
        <f>TEST_DATA!D14622</f>
        <v>NIL</v>
      </c>
      <c r="E14622">
        <f>TEST_DATA!E14622</f>
        <v>1361</v>
      </c>
    </row>
    <row r="14623" spans="1:5" x14ac:dyDescent="0.55000000000000004">
      <c r="A14623" t="str">
        <f>TEST_DATA!A14623</f>
        <v>27AAAAA14623Z5</v>
      </c>
      <c r="B14623" t="str">
        <f>TEST_DATA!B14623</f>
        <v>Dec-2022</v>
      </c>
      <c r="C14623">
        <f>TEST_DATA!C14623</f>
        <v>45291</v>
      </c>
      <c r="D14623" t="str">
        <f>TEST_DATA!D14623</f>
        <v>NON-NIL</v>
      </c>
      <c r="E14623">
        <f>TEST_DATA!E14623</f>
        <v>2640</v>
      </c>
    </row>
    <row r="14624" spans="1:5" x14ac:dyDescent="0.55000000000000004">
      <c r="A14624" t="str">
        <f>TEST_DATA!A14624</f>
        <v>27AAAAA14624Z5</v>
      </c>
      <c r="B14624" t="str">
        <f>TEST_DATA!B14624</f>
        <v>Jun-2020</v>
      </c>
      <c r="C14624">
        <f>TEST_DATA!C14624</f>
        <v>44101</v>
      </c>
      <c r="D14624" t="str">
        <f>TEST_DATA!D14624</f>
        <v>NIL</v>
      </c>
      <c r="E14624">
        <f>TEST_DATA!E14624</f>
        <v>2542</v>
      </c>
    </row>
    <row r="14625" spans="1:5" x14ac:dyDescent="0.55000000000000004">
      <c r="A14625" t="str">
        <f>TEST_DATA!A14625</f>
        <v>27AAAAA14625Z5</v>
      </c>
      <c r="B14625" t="str">
        <f>TEST_DATA!B14625</f>
        <v>May-2018</v>
      </c>
      <c r="C14625">
        <f>TEST_DATA!C14625</f>
        <v>43024</v>
      </c>
      <c r="D14625" t="str">
        <f>TEST_DATA!D14625</f>
        <v>NIL</v>
      </c>
      <c r="E14625">
        <f>TEST_DATA!E14625</f>
        <v>2289</v>
      </c>
    </row>
    <row r="14626" spans="1:5" x14ac:dyDescent="0.55000000000000004">
      <c r="A14626" t="str">
        <f>TEST_DATA!A14626</f>
        <v>27AAAAA14626Z5</v>
      </c>
      <c r="B14626" t="str">
        <f>TEST_DATA!B14626</f>
        <v>Jul-2018</v>
      </c>
      <c r="C14626">
        <f>TEST_DATA!C14626</f>
        <v>42990</v>
      </c>
      <c r="D14626" t="str">
        <f>TEST_DATA!D14626</f>
        <v>NIL</v>
      </c>
      <c r="E14626">
        <f>TEST_DATA!E14626</f>
        <v>2388</v>
      </c>
    </row>
    <row r="14627" spans="1:5" x14ac:dyDescent="0.55000000000000004">
      <c r="A14627" t="str">
        <f>TEST_DATA!A14627</f>
        <v>27AAAAA14627Z5</v>
      </c>
      <c r="B14627" t="str">
        <f>TEST_DATA!B14627</f>
        <v>Aug-2017</v>
      </c>
      <c r="C14627">
        <f>TEST_DATA!C14627</f>
        <v>43353</v>
      </c>
      <c r="D14627" t="str">
        <f>TEST_DATA!D14627</f>
        <v>NON-NIL</v>
      </c>
      <c r="E14627">
        <f>TEST_DATA!E14627</f>
        <v>2030</v>
      </c>
    </row>
    <row r="14628" spans="1:5" x14ac:dyDescent="0.55000000000000004">
      <c r="A14628" t="str">
        <f>TEST_DATA!A14628</f>
        <v>27AAAAA14628Z5</v>
      </c>
      <c r="B14628" t="str">
        <f>TEST_DATA!B14628</f>
        <v>Apr-2018</v>
      </c>
      <c r="C14628">
        <f>TEST_DATA!C14628</f>
        <v>44054</v>
      </c>
      <c r="D14628" t="str">
        <f>TEST_DATA!D14628</f>
        <v>NON-NIL</v>
      </c>
      <c r="E14628">
        <f>TEST_DATA!E14628</f>
        <v>1810</v>
      </c>
    </row>
    <row r="14629" spans="1:5" x14ac:dyDescent="0.55000000000000004">
      <c r="A14629" t="str">
        <f>TEST_DATA!A14629</f>
        <v>27AAAAA14629Z5</v>
      </c>
      <c r="B14629" t="str">
        <f>TEST_DATA!B14629</f>
        <v>Mar-2023</v>
      </c>
      <c r="C14629">
        <f>TEST_DATA!C14629</f>
        <v>44940</v>
      </c>
      <c r="D14629" t="str">
        <f>TEST_DATA!D14629</f>
        <v>NON-NIL</v>
      </c>
      <c r="E14629">
        <f>TEST_DATA!E14629</f>
        <v>1933</v>
      </c>
    </row>
    <row r="14630" spans="1:5" x14ac:dyDescent="0.55000000000000004">
      <c r="A14630" t="str">
        <f>TEST_DATA!A14630</f>
        <v>27AAAAA14630Z5</v>
      </c>
      <c r="B14630" t="str">
        <f>TEST_DATA!B14630</f>
        <v>Jun-2018</v>
      </c>
      <c r="C14630">
        <f>TEST_DATA!C14630</f>
        <v>43333</v>
      </c>
      <c r="D14630" t="str">
        <f>TEST_DATA!D14630</f>
        <v>NON-NIL</v>
      </c>
      <c r="E14630">
        <f>TEST_DATA!E14630</f>
        <v>307</v>
      </c>
    </row>
    <row r="14631" spans="1:5" x14ac:dyDescent="0.55000000000000004">
      <c r="A14631" t="str">
        <f>TEST_DATA!A14631</f>
        <v>27AAAAA14631Z5</v>
      </c>
      <c r="B14631" t="str">
        <f>TEST_DATA!B14631</f>
        <v>Dec-2024</v>
      </c>
      <c r="C14631">
        <f>TEST_DATA!C14631</f>
        <v>44758</v>
      </c>
      <c r="D14631" t="str">
        <f>TEST_DATA!D14631</f>
        <v>NIL</v>
      </c>
      <c r="E14631">
        <f>TEST_DATA!E14631</f>
        <v>1059</v>
      </c>
    </row>
    <row r="14632" spans="1:5" x14ac:dyDescent="0.55000000000000004">
      <c r="A14632" t="str">
        <f>TEST_DATA!A14632</f>
        <v>27AAAAA14632Z5</v>
      </c>
      <c r="B14632" t="str">
        <f>TEST_DATA!B14632</f>
        <v>Jun-2020</v>
      </c>
      <c r="C14632">
        <f>TEST_DATA!C14632</f>
        <v>44842</v>
      </c>
      <c r="D14632" t="str">
        <f>TEST_DATA!D14632</f>
        <v>NON-NIL</v>
      </c>
      <c r="E14632">
        <f>TEST_DATA!E14632</f>
        <v>827</v>
      </c>
    </row>
    <row r="14633" spans="1:5" x14ac:dyDescent="0.55000000000000004">
      <c r="A14633" t="str">
        <f>TEST_DATA!A14633</f>
        <v>27AAAAA14633Z5</v>
      </c>
      <c r="B14633" t="str">
        <f>TEST_DATA!B14633</f>
        <v>Apr-2020</v>
      </c>
      <c r="C14633">
        <f>TEST_DATA!C14633</f>
        <v>44110</v>
      </c>
      <c r="D14633" t="str">
        <f>TEST_DATA!D14633</f>
        <v>NON-NIL</v>
      </c>
      <c r="E14633">
        <f>TEST_DATA!E14633</f>
        <v>4</v>
      </c>
    </row>
    <row r="14634" spans="1:5" x14ac:dyDescent="0.55000000000000004">
      <c r="A14634" t="str">
        <f>TEST_DATA!A14634</f>
        <v>27AAAAA14634Z5</v>
      </c>
      <c r="B14634" t="str">
        <f>TEST_DATA!B14634</f>
        <v>Jun-2019</v>
      </c>
      <c r="C14634">
        <f>TEST_DATA!C14634</f>
        <v>43894</v>
      </c>
      <c r="D14634" t="str">
        <f>TEST_DATA!D14634</f>
        <v>NIL</v>
      </c>
      <c r="E14634">
        <f>TEST_DATA!E14634</f>
        <v>232</v>
      </c>
    </row>
    <row r="14635" spans="1:5" x14ac:dyDescent="0.55000000000000004">
      <c r="A14635" t="str">
        <f>TEST_DATA!A14635</f>
        <v>27AAAAA14635Z5</v>
      </c>
      <c r="B14635" t="str">
        <f>TEST_DATA!B14635</f>
        <v>Sep-2018</v>
      </c>
      <c r="C14635">
        <f>TEST_DATA!C14635</f>
        <v>44034</v>
      </c>
      <c r="D14635" t="str">
        <f>TEST_DATA!D14635</f>
        <v>NIL</v>
      </c>
      <c r="E14635">
        <f>TEST_DATA!E14635</f>
        <v>2929</v>
      </c>
    </row>
    <row r="14636" spans="1:5" x14ac:dyDescent="0.55000000000000004">
      <c r="A14636" t="str">
        <f>TEST_DATA!A14636</f>
        <v>27AAAAA14636Z5</v>
      </c>
      <c r="B14636" t="str">
        <f>TEST_DATA!B14636</f>
        <v>Jul-2017</v>
      </c>
      <c r="C14636">
        <f>TEST_DATA!C14636</f>
        <v>43341</v>
      </c>
      <c r="D14636" t="str">
        <f>TEST_DATA!D14636</f>
        <v>NON-NIL</v>
      </c>
      <c r="E14636">
        <f>TEST_DATA!E14636</f>
        <v>2210</v>
      </c>
    </row>
    <row r="14637" spans="1:5" x14ac:dyDescent="0.55000000000000004">
      <c r="A14637" t="str">
        <f>TEST_DATA!A14637</f>
        <v>27AAAAA14637Z5</v>
      </c>
      <c r="B14637" t="str">
        <f>TEST_DATA!B14637</f>
        <v>Sep-2017</v>
      </c>
      <c r="C14637">
        <f>TEST_DATA!C14637</f>
        <v>42921</v>
      </c>
      <c r="D14637" t="str">
        <f>TEST_DATA!D14637</f>
        <v>NIL</v>
      </c>
      <c r="E14637">
        <f>TEST_DATA!E14637</f>
        <v>12</v>
      </c>
    </row>
    <row r="14638" spans="1:5" x14ac:dyDescent="0.55000000000000004">
      <c r="A14638" t="str">
        <f>TEST_DATA!A14638</f>
        <v>27AAAAA14638Z5</v>
      </c>
      <c r="B14638" t="str">
        <f>TEST_DATA!B14638</f>
        <v>Feb-2018</v>
      </c>
      <c r="C14638">
        <f>TEST_DATA!C14638</f>
        <v>44215</v>
      </c>
      <c r="D14638" t="str">
        <f>TEST_DATA!D14638</f>
        <v>NIL</v>
      </c>
      <c r="E14638">
        <f>TEST_DATA!E14638</f>
        <v>22</v>
      </c>
    </row>
    <row r="14639" spans="1:5" x14ac:dyDescent="0.55000000000000004">
      <c r="A14639" t="str">
        <f>TEST_DATA!A14639</f>
        <v>27AAAAA14639Z5</v>
      </c>
      <c r="B14639" t="str">
        <f>TEST_DATA!B14639</f>
        <v>Jun-2019</v>
      </c>
      <c r="C14639">
        <f>TEST_DATA!C14639</f>
        <v>44089</v>
      </c>
      <c r="D14639" t="str">
        <f>TEST_DATA!D14639</f>
        <v>NIL</v>
      </c>
      <c r="E14639">
        <f>TEST_DATA!E14639</f>
        <v>1053</v>
      </c>
    </row>
    <row r="14640" spans="1:5" x14ac:dyDescent="0.55000000000000004">
      <c r="A14640" t="str">
        <f>TEST_DATA!A14640</f>
        <v>27AAAAA14640Z5</v>
      </c>
      <c r="B14640" t="str">
        <f>TEST_DATA!B14640</f>
        <v>Oct-2017</v>
      </c>
      <c r="C14640">
        <f>TEST_DATA!C14640</f>
        <v>44490</v>
      </c>
      <c r="D14640" t="str">
        <f>TEST_DATA!D14640</f>
        <v>NON-NIL</v>
      </c>
      <c r="E14640">
        <f>TEST_DATA!E14640</f>
        <v>39</v>
      </c>
    </row>
    <row r="14641" spans="1:5" x14ac:dyDescent="0.55000000000000004">
      <c r="A14641" t="str">
        <f>TEST_DATA!A14641</f>
        <v>27AAAAA14641Z5</v>
      </c>
      <c r="B14641" t="str">
        <f>TEST_DATA!B14641</f>
        <v>Apr-2020</v>
      </c>
      <c r="C14641">
        <f>TEST_DATA!C14641</f>
        <v>43881</v>
      </c>
      <c r="D14641" t="str">
        <f>TEST_DATA!D14641</f>
        <v>NON-NIL</v>
      </c>
      <c r="E14641">
        <f>TEST_DATA!E14641</f>
        <v>1423</v>
      </c>
    </row>
    <row r="14642" spans="1:5" x14ac:dyDescent="0.55000000000000004">
      <c r="A14642" t="str">
        <f>TEST_DATA!A14642</f>
        <v>27AAAAA14642Z5</v>
      </c>
      <c r="B14642" t="str">
        <f>TEST_DATA!B14642</f>
        <v>Jan-2019</v>
      </c>
      <c r="C14642">
        <f>TEST_DATA!C14642</f>
        <v>45596</v>
      </c>
      <c r="D14642" t="str">
        <f>TEST_DATA!D14642</f>
        <v>NON-NIL</v>
      </c>
      <c r="E14642">
        <f>TEST_DATA!E14642</f>
        <v>466</v>
      </c>
    </row>
    <row r="14643" spans="1:5" x14ac:dyDescent="0.55000000000000004">
      <c r="A14643" t="str">
        <f>TEST_DATA!A14643</f>
        <v>27AAAAA14643Z5</v>
      </c>
      <c r="B14643" t="str">
        <f>TEST_DATA!B14643</f>
        <v>Dec-2024</v>
      </c>
      <c r="C14643">
        <f>TEST_DATA!C14643</f>
        <v>45106</v>
      </c>
      <c r="D14643" t="str">
        <f>TEST_DATA!D14643</f>
        <v>NON-NIL</v>
      </c>
      <c r="E14643">
        <f>TEST_DATA!E14643</f>
        <v>345</v>
      </c>
    </row>
    <row r="14644" spans="1:5" x14ac:dyDescent="0.55000000000000004">
      <c r="A14644" t="str">
        <f>TEST_DATA!A14644</f>
        <v>27AAAAA14644Z5</v>
      </c>
      <c r="B14644" t="str">
        <f>TEST_DATA!B14644</f>
        <v>Mar-2020</v>
      </c>
      <c r="C14644">
        <f>TEST_DATA!C14644</f>
        <v>43868</v>
      </c>
      <c r="D14644" t="str">
        <f>TEST_DATA!D14644</f>
        <v>NON-NIL</v>
      </c>
      <c r="E14644">
        <f>TEST_DATA!E14644</f>
        <v>1623</v>
      </c>
    </row>
    <row r="14645" spans="1:5" x14ac:dyDescent="0.55000000000000004">
      <c r="A14645" t="str">
        <f>TEST_DATA!A14645</f>
        <v>27AAAAA14645Z5</v>
      </c>
      <c r="B14645" t="str">
        <f>TEST_DATA!B14645</f>
        <v>Mar-2018</v>
      </c>
      <c r="C14645">
        <f>TEST_DATA!C14645</f>
        <v>43556</v>
      </c>
      <c r="D14645" t="str">
        <f>TEST_DATA!D14645</f>
        <v>NON-NIL</v>
      </c>
      <c r="E14645">
        <f>TEST_DATA!E14645</f>
        <v>2454</v>
      </c>
    </row>
    <row r="14646" spans="1:5" x14ac:dyDescent="0.55000000000000004">
      <c r="A14646" t="str">
        <f>TEST_DATA!A14646</f>
        <v>27AAAAA14646Z5</v>
      </c>
      <c r="B14646" t="str">
        <f>TEST_DATA!B14646</f>
        <v>Aug-2017</v>
      </c>
      <c r="C14646">
        <f>TEST_DATA!C14646</f>
        <v>43491</v>
      </c>
      <c r="D14646" t="str">
        <f>TEST_DATA!D14646</f>
        <v>NIL</v>
      </c>
      <c r="E14646">
        <f>TEST_DATA!E14646</f>
        <v>2416</v>
      </c>
    </row>
    <row r="14647" spans="1:5" x14ac:dyDescent="0.55000000000000004">
      <c r="A14647" t="str">
        <f>TEST_DATA!A14647</f>
        <v>27AAAAA14647Z5</v>
      </c>
      <c r="B14647" t="str">
        <f>TEST_DATA!B14647</f>
        <v>Apr-2018</v>
      </c>
      <c r="C14647">
        <f>TEST_DATA!C14647</f>
        <v>44442</v>
      </c>
      <c r="D14647" t="str">
        <f>TEST_DATA!D14647</f>
        <v>NON-NIL</v>
      </c>
      <c r="E14647">
        <f>TEST_DATA!E14647</f>
        <v>2938</v>
      </c>
    </row>
    <row r="14648" spans="1:5" x14ac:dyDescent="0.55000000000000004">
      <c r="A14648" t="str">
        <f>TEST_DATA!A14648</f>
        <v>27AAAAA14648Z5</v>
      </c>
      <c r="B14648" t="str">
        <f>TEST_DATA!B14648</f>
        <v>Sep-2017</v>
      </c>
      <c r="C14648">
        <f>TEST_DATA!C14648</f>
        <v>43806</v>
      </c>
      <c r="D14648" t="str">
        <f>TEST_DATA!D14648</f>
        <v>NIL</v>
      </c>
      <c r="E14648">
        <f>TEST_DATA!E14648</f>
        <v>512</v>
      </c>
    </row>
    <row r="14649" spans="1:5" x14ac:dyDescent="0.55000000000000004">
      <c r="A14649" t="str">
        <f>TEST_DATA!A14649</f>
        <v>27AAAAA14649Z5</v>
      </c>
      <c r="B14649" t="str">
        <f>TEST_DATA!B14649</f>
        <v>Jul-2020</v>
      </c>
      <c r="C14649">
        <f>TEST_DATA!C14649</f>
        <v>44176</v>
      </c>
      <c r="D14649" t="str">
        <f>TEST_DATA!D14649</f>
        <v>NON-NIL</v>
      </c>
      <c r="E14649">
        <f>TEST_DATA!E14649</f>
        <v>2825</v>
      </c>
    </row>
    <row r="14650" spans="1:5" x14ac:dyDescent="0.55000000000000004">
      <c r="A14650" t="str">
        <f>TEST_DATA!A14650</f>
        <v>27AAAAA14650Z5</v>
      </c>
      <c r="B14650" t="str">
        <f>TEST_DATA!B14650</f>
        <v>Dec-2022</v>
      </c>
      <c r="C14650">
        <f>TEST_DATA!C14650</f>
        <v>45284</v>
      </c>
      <c r="D14650" t="str">
        <f>TEST_DATA!D14650</f>
        <v>NIL</v>
      </c>
      <c r="E14650">
        <f>TEST_DATA!E14650</f>
        <v>1767</v>
      </c>
    </row>
    <row r="14651" spans="1:5" x14ac:dyDescent="0.55000000000000004">
      <c r="A14651" t="str">
        <f>TEST_DATA!A14651</f>
        <v>27AAAAA14651Z5</v>
      </c>
      <c r="B14651" t="str">
        <f>TEST_DATA!B14651</f>
        <v>Oct-2017</v>
      </c>
      <c r="C14651">
        <f>TEST_DATA!C14651</f>
        <v>42955</v>
      </c>
      <c r="D14651" t="str">
        <f>TEST_DATA!D14651</f>
        <v>NON-NIL</v>
      </c>
      <c r="E14651">
        <f>TEST_DATA!E14651</f>
        <v>1100</v>
      </c>
    </row>
    <row r="14652" spans="1:5" x14ac:dyDescent="0.55000000000000004">
      <c r="A14652" t="str">
        <f>TEST_DATA!A14652</f>
        <v>27AAAAA14652Z5</v>
      </c>
      <c r="B14652" t="str">
        <f>TEST_DATA!B14652</f>
        <v>Mar-2021</v>
      </c>
      <c r="C14652">
        <f>TEST_DATA!C14652</f>
        <v>43620</v>
      </c>
      <c r="D14652" t="str">
        <f>TEST_DATA!D14652</f>
        <v>NIL</v>
      </c>
      <c r="E14652">
        <f>TEST_DATA!E14652</f>
        <v>2966</v>
      </c>
    </row>
    <row r="14653" spans="1:5" x14ac:dyDescent="0.55000000000000004">
      <c r="A14653" t="str">
        <f>TEST_DATA!A14653</f>
        <v>27AAAAA14653Z5</v>
      </c>
      <c r="B14653" t="str">
        <f>TEST_DATA!B14653</f>
        <v>Jul-2018</v>
      </c>
      <c r="C14653">
        <f>TEST_DATA!C14653</f>
        <v>42956</v>
      </c>
      <c r="D14653" t="str">
        <f>TEST_DATA!D14653</f>
        <v>NIL</v>
      </c>
      <c r="E14653">
        <f>TEST_DATA!E14653</f>
        <v>2143</v>
      </c>
    </row>
    <row r="14654" spans="1:5" x14ac:dyDescent="0.55000000000000004">
      <c r="A14654" t="str">
        <f>TEST_DATA!A14654</f>
        <v>27AAAAA14654Z5</v>
      </c>
      <c r="B14654" t="str">
        <f>TEST_DATA!B14654</f>
        <v>May-2020</v>
      </c>
      <c r="C14654">
        <f>TEST_DATA!C14654</f>
        <v>44450</v>
      </c>
      <c r="D14654" t="str">
        <f>TEST_DATA!D14654</f>
        <v>NON-NIL</v>
      </c>
      <c r="E14654">
        <f>TEST_DATA!E14654</f>
        <v>1456</v>
      </c>
    </row>
    <row r="14655" spans="1:5" x14ac:dyDescent="0.55000000000000004">
      <c r="A14655" t="str">
        <f>TEST_DATA!A14655</f>
        <v>27AAAAA14655Z5</v>
      </c>
      <c r="B14655" t="str">
        <f>TEST_DATA!B14655</f>
        <v>Jan-2021</v>
      </c>
      <c r="C14655">
        <f>TEST_DATA!C14655</f>
        <v>44822</v>
      </c>
      <c r="D14655" t="str">
        <f>TEST_DATA!D14655</f>
        <v>NIL</v>
      </c>
      <c r="E14655">
        <f>TEST_DATA!E14655</f>
        <v>372</v>
      </c>
    </row>
    <row r="14656" spans="1:5" x14ac:dyDescent="0.55000000000000004">
      <c r="A14656" t="str">
        <f>TEST_DATA!A14656</f>
        <v>27AAAAA14656Z5</v>
      </c>
      <c r="B14656" t="str">
        <f>TEST_DATA!B14656</f>
        <v>Jul-2020</v>
      </c>
      <c r="C14656">
        <f>TEST_DATA!C14656</f>
        <v>44917</v>
      </c>
      <c r="D14656" t="str">
        <f>TEST_DATA!D14656</f>
        <v>NON-NIL</v>
      </c>
      <c r="E14656">
        <f>TEST_DATA!E14656</f>
        <v>1569</v>
      </c>
    </row>
    <row r="14657" spans="1:5" x14ac:dyDescent="0.55000000000000004">
      <c r="A14657" t="str">
        <f>TEST_DATA!A14657</f>
        <v>27AAAAA14657Z5</v>
      </c>
      <c r="B14657" t="str">
        <f>TEST_DATA!B14657</f>
        <v>Dec-2019</v>
      </c>
      <c r="C14657">
        <f>TEST_DATA!C14657</f>
        <v>45543</v>
      </c>
      <c r="D14657" t="str">
        <f>TEST_DATA!D14657</f>
        <v>NON-NIL</v>
      </c>
      <c r="E14657">
        <f>TEST_DATA!E14657</f>
        <v>1024</v>
      </c>
    </row>
    <row r="14658" spans="1:5" x14ac:dyDescent="0.55000000000000004">
      <c r="A14658" t="str">
        <f>TEST_DATA!A14658</f>
        <v>27AAAAA14658Z5</v>
      </c>
      <c r="B14658" t="str">
        <f>TEST_DATA!B14658</f>
        <v>Mar-2023</v>
      </c>
      <c r="C14658">
        <f>TEST_DATA!C14658</f>
        <v>45825</v>
      </c>
      <c r="D14658" t="str">
        <f>TEST_DATA!D14658</f>
        <v>NIL</v>
      </c>
      <c r="E14658">
        <f>TEST_DATA!E14658</f>
        <v>786</v>
      </c>
    </row>
    <row r="14659" spans="1:5" x14ac:dyDescent="0.55000000000000004">
      <c r="A14659" t="str">
        <f>TEST_DATA!A14659</f>
        <v>27AAAAA14659Z5</v>
      </c>
      <c r="B14659" t="str">
        <f>TEST_DATA!B14659</f>
        <v>Jun-2020</v>
      </c>
      <c r="C14659">
        <f>TEST_DATA!C14659</f>
        <v>44752</v>
      </c>
      <c r="D14659" t="str">
        <f>TEST_DATA!D14659</f>
        <v>NON-NIL</v>
      </c>
      <c r="E14659">
        <f>TEST_DATA!E14659</f>
        <v>1442</v>
      </c>
    </row>
    <row r="14660" spans="1:5" x14ac:dyDescent="0.55000000000000004">
      <c r="A14660" t="str">
        <f>TEST_DATA!A14660</f>
        <v>27AAAAA14660Z5</v>
      </c>
      <c r="B14660" t="str">
        <f>TEST_DATA!B14660</f>
        <v>Jan-2018</v>
      </c>
      <c r="C14660">
        <f>TEST_DATA!C14660</f>
        <v>44159</v>
      </c>
      <c r="D14660" t="str">
        <f>TEST_DATA!D14660</f>
        <v>NIL</v>
      </c>
      <c r="E14660">
        <f>TEST_DATA!E14660</f>
        <v>2180</v>
      </c>
    </row>
    <row r="14661" spans="1:5" x14ac:dyDescent="0.55000000000000004">
      <c r="A14661" t="str">
        <f>TEST_DATA!A14661</f>
        <v>27AAAAA14661Z5</v>
      </c>
      <c r="B14661" t="str">
        <f>TEST_DATA!B14661</f>
        <v>Aug-2017</v>
      </c>
      <c r="C14661">
        <f>TEST_DATA!C14661</f>
        <v>43277</v>
      </c>
      <c r="D14661" t="str">
        <f>TEST_DATA!D14661</f>
        <v>NIL</v>
      </c>
      <c r="E14661">
        <f>TEST_DATA!E14661</f>
        <v>2216</v>
      </c>
    </row>
    <row r="14662" spans="1:5" x14ac:dyDescent="0.55000000000000004">
      <c r="A14662" t="str">
        <f>TEST_DATA!A14662</f>
        <v>27AAAAA14662Z5</v>
      </c>
      <c r="B14662" t="str">
        <f>TEST_DATA!B14662</f>
        <v>Apr-2018</v>
      </c>
      <c r="C14662">
        <f>TEST_DATA!C14662</f>
        <v>44056</v>
      </c>
      <c r="D14662" t="str">
        <f>TEST_DATA!D14662</f>
        <v>NON-NIL</v>
      </c>
      <c r="E14662">
        <f>TEST_DATA!E14662</f>
        <v>1681</v>
      </c>
    </row>
    <row r="14663" spans="1:5" x14ac:dyDescent="0.55000000000000004">
      <c r="A14663" t="str">
        <f>TEST_DATA!A14663</f>
        <v>27AAAAA14663Z5</v>
      </c>
      <c r="B14663" t="str">
        <f>TEST_DATA!B14663</f>
        <v>Sep-2017</v>
      </c>
      <c r="C14663">
        <f>TEST_DATA!C14663</f>
        <v>44524</v>
      </c>
      <c r="D14663" t="str">
        <f>TEST_DATA!D14663</f>
        <v>NON-NIL</v>
      </c>
      <c r="E14663">
        <f>TEST_DATA!E14663</f>
        <v>1243</v>
      </c>
    </row>
    <row r="14664" spans="1:5" x14ac:dyDescent="0.55000000000000004">
      <c r="A14664" t="str">
        <f>TEST_DATA!A14664</f>
        <v>27AAAAA14664Z5</v>
      </c>
      <c r="B14664" t="str">
        <f>TEST_DATA!B14664</f>
        <v>Mar-2018</v>
      </c>
      <c r="C14664">
        <f>TEST_DATA!C14664</f>
        <v>43375</v>
      </c>
      <c r="D14664" t="str">
        <f>TEST_DATA!D14664</f>
        <v>NIL</v>
      </c>
      <c r="E14664">
        <f>TEST_DATA!E14664</f>
        <v>2742</v>
      </c>
    </row>
    <row r="14665" spans="1:5" x14ac:dyDescent="0.55000000000000004">
      <c r="A14665" t="str">
        <f>TEST_DATA!A14665</f>
        <v>27AAAAA14665Z5</v>
      </c>
      <c r="B14665" t="str">
        <f>TEST_DATA!B14665</f>
        <v>Jun-2020</v>
      </c>
      <c r="C14665">
        <f>TEST_DATA!C14665</f>
        <v>44734</v>
      </c>
      <c r="D14665" t="str">
        <f>TEST_DATA!D14665</f>
        <v>NIL</v>
      </c>
      <c r="E14665">
        <f>TEST_DATA!E14665</f>
        <v>1547</v>
      </c>
    </row>
    <row r="14666" spans="1:5" x14ac:dyDescent="0.55000000000000004">
      <c r="A14666" t="str">
        <f>TEST_DATA!A14666</f>
        <v>27AAAAA14666Z5</v>
      </c>
      <c r="B14666" t="str">
        <f>TEST_DATA!B14666</f>
        <v>Mar-2021</v>
      </c>
      <c r="C14666">
        <f>TEST_DATA!C14666</f>
        <v>43617</v>
      </c>
      <c r="D14666" t="str">
        <f>TEST_DATA!D14666</f>
        <v>NIL</v>
      </c>
      <c r="E14666">
        <f>TEST_DATA!E14666</f>
        <v>2097</v>
      </c>
    </row>
    <row r="14667" spans="1:5" x14ac:dyDescent="0.55000000000000004">
      <c r="A14667" t="str">
        <f>TEST_DATA!A14667</f>
        <v>27AAAAA14667Z5</v>
      </c>
      <c r="B14667" t="str">
        <f>TEST_DATA!B14667</f>
        <v>May-2018</v>
      </c>
      <c r="C14667">
        <f>TEST_DATA!C14667</f>
        <v>43814</v>
      </c>
      <c r="D14667" t="str">
        <f>TEST_DATA!D14667</f>
        <v>NON-NIL</v>
      </c>
      <c r="E14667">
        <f>TEST_DATA!E14667</f>
        <v>912</v>
      </c>
    </row>
    <row r="14668" spans="1:5" x14ac:dyDescent="0.55000000000000004">
      <c r="A14668" t="str">
        <f>TEST_DATA!A14668</f>
        <v>27AAAAA14668Z5</v>
      </c>
      <c r="B14668" t="str">
        <f>TEST_DATA!B14668</f>
        <v>Mar-2021</v>
      </c>
      <c r="C14668">
        <f>TEST_DATA!C14668</f>
        <v>45382</v>
      </c>
      <c r="D14668" t="str">
        <f>TEST_DATA!D14668</f>
        <v>NON-NIL</v>
      </c>
      <c r="E14668">
        <f>TEST_DATA!E14668</f>
        <v>1813</v>
      </c>
    </row>
    <row r="14669" spans="1:5" x14ac:dyDescent="0.55000000000000004">
      <c r="A14669" t="str">
        <f>TEST_DATA!A14669</f>
        <v>27AAAAA14669Z5</v>
      </c>
      <c r="B14669" t="str">
        <f>TEST_DATA!B14669</f>
        <v>Jul-2018</v>
      </c>
      <c r="C14669">
        <f>TEST_DATA!C14669</f>
        <v>44460</v>
      </c>
      <c r="D14669" t="str">
        <f>TEST_DATA!D14669</f>
        <v>NIL</v>
      </c>
      <c r="E14669">
        <f>TEST_DATA!E14669</f>
        <v>428</v>
      </c>
    </row>
    <row r="14670" spans="1:5" x14ac:dyDescent="0.55000000000000004">
      <c r="A14670" t="str">
        <f>TEST_DATA!A14670</f>
        <v>27AAAAA14670Z5</v>
      </c>
      <c r="B14670" t="str">
        <f>TEST_DATA!B14670</f>
        <v>Jun-2019</v>
      </c>
      <c r="C14670">
        <f>TEST_DATA!C14670</f>
        <v>44358</v>
      </c>
      <c r="D14670" t="str">
        <f>TEST_DATA!D14670</f>
        <v>NON-NIL</v>
      </c>
      <c r="E14670">
        <f>TEST_DATA!E14670</f>
        <v>736</v>
      </c>
    </row>
    <row r="14671" spans="1:5" x14ac:dyDescent="0.55000000000000004">
      <c r="A14671" t="str">
        <f>TEST_DATA!A14671</f>
        <v>27AAAAA14671Z5</v>
      </c>
      <c r="B14671" t="str">
        <f>TEST_DATA!B14671</f>
        <v>Jul-2020</v>
      </c>
      <c r="C14671">
        <f>TEST_DATA!C14671</f>
        <v>43863</v>
      </c>
      <c r="D14671" t="str">
        <f>TEST_DATA!D14671</f>
        <v>NIL</v>
      </c>
      <c r="E14671">
        <f>TEST_DATA!E14671</f>
        <v>649</v>
      </c>
    </row>
    <row r="14672" spans="1:5" x14ac:dyDescent="0.55000000000000004">
      <c r="A14672" t="str">
        <f>TEST_DATA!A14672</f>
        <v>27AAAAA14672Z5</v>
      </c>
      <c r="B14672" t="str">
        <f>TEST_DATA!B14672</f>
        <v>Apr-2018</v>
      </c>
      <c r="C14672">
        <f>TEST_DATA!C14672</f>
        <v>44132</v>
      </c>
      <c r="D14672" t="str">
        <f>TEST_DATA!D14672</f>
        <v>NIL</v>
      </c>
      <c r="E14672">
        <f>TEST_DATA!E14672</f>
        <v>2630</v>
      </c>
    </row>
    <row r="14673" spans="1:5" x14ac:dyDescent="0.55000000000000004">
      <c r="A14673" t="str">
        <f>TEST_DATA!A14673</f>
        <v>27AAAAA14673Z5</v>
      </c>
      <c r="B14673" t="str">
        <f>TEST_DATA!B14673</f>
        <v>Jan-2019</v>
      </c>
      <c r="C14673">
        <f>TEST_DATA!C14673</f>
        <v>45666</v>
      </c>
      <c r="D14673" t="str">
        <f>TEST_DATA!D14673</f>
        <v>NON-NIL</v>
      </c>
      <c r="E14673">
        <f>TEST_DATA!E14673</f>
        <v>643</v>
      </c>
    </row>
    <row r="14674" spans="1:5" x14ac:dyDescent="0.55000000000000004">
      <c r="A14674" t="str">
        <f>TEST_DATA!A14674</f>
        <v>27AAAAA14674Z5</v>
      </c>
      <c r="B14674" t="str">
        <f>TEST_DATA!B14674</f>
        <v>Mar-2023</v>
      </c>
      <c r="C14674">
        <f>TEST_DATA!C14674</f>
        <v>44296</v>
      </c>
      <c r="D14674" t="str">
        <f>TEST_DATA!D14674</f>
        <v>NON-NIL</v>
      </c>
      <c r="E14674">
        <f>TEST_DATA!E14674</f>
        <v>1636</v>
      </c>
    </row>
    <row r="14675" spans="1:5" x14ac:dyDescent="0.55000000000000004">
      <c r="A14675" t="str">
        <f>TEST_DATA!A14675</f>
        <v>27AAAAA14675Z5</v>
      </c>
      <c r="B14675" t="str">
        <f>TEST_DATA!B14675</f>
        <v>Jan-2021</v>
      </c>
      <c r="C14675">
        <f>TEST_DATA!C14675</f>
        <v>43787</v>
      </c>
      <c r="D14675" t="str">
        <f>TEST_DATA!D14675</f>
        <v>NON-NIL</v>
      </c>
      <c r="E14675">
        <f>TEST_DATA!E14675</f>
        <v>284</v>
      </c>
    </row>
    <row r="14676" spans="1:5" x14ac:dyDescent="0.55000000000000004">
      <c r="A14676" t="str">
        <f>TEST_DATA!A14676</f>
        <v>27AAAAA14676Z5</v>
      </c>
      <c r="B14676" t="str">
        <f>TEST_DATA!B14676</f>
        <v>Apr-2021</v>
      </c>
      <c r="C14676">
        <f>TEST_DATA!C14676</f>
        <v>44119</v>
      </c>
      <c r="D14676" t="str">
        <f>TEST_DATA!D14676</f>
        <v>NIL</v>
      </c>
      <c r="E14676">
        <f>TEST_DATA!E14676</f>
        <v>1746</v>
      </c>
    </row>
    <row r="14677" spans="1:5" x14ac:dyDescent="0.55000000000000004">
      <c r="A14677" t="str">
        <f>TEST_DATA!A14677</f>
        <v>27AAAAA14677Z5</v>
      </c>
      <c r="B14677" t="str">
        <f>TEST_DATA!B14677</f>
        <v>Jan-2019</v>
      </c>
      <c r="C14677">
        <f>TEST_DATA!C14677</f>
        <v>45117</v>
      </c>
      <c r="D14677" t="str">
        <f>TEST_DATA!D14677</f>
        <v>NIL</v>
      </c>
      <c r="E14677">
        <f>TEST_DATA!E14677</f>
        <v>2142</v>
      </c>
    </row>
    <row r="14678" spans="1:5" x14ac:dyDescent="0.55000000000000004">
      <c r="A14678" t="str">
        <f>TEST_DATA!A14678</f>
        <v>27AAAAA14678Z5</v>
      </c>
      <c r="B14678" t="str">
        <f>TEST_DATA!B14678</f>
        <v>Apr-2020</v>
      </c>
      <c r="C14678">
        <f>TEST_DATA!C14678</f>
        <v>44668</v>
      </c>
      <c r="D14678" t="str">
        <f>TEST_DATA!D14678</f>
        <v>NIL</v>
      </c>
      <c r="E14678">
        <f>TEST_DATA!E14678</f>
        <v>363</v>
      </c>
    </row>
    <row r="14679" spans="1:5" x14ac:dyDescent="0.55000000000000004">
      <c r="A14679" t="str">
        <f>TEST_DATA!A14679</f>
        <v>27AAAAA14679Z5</v>
      </c>
      <c r="B14679" t="str">
        <f>TEST_DATA!B14679</f>
        <v>Jul-2017</v>
      </c>
      <c r="C14679">
        <f>TEST_DATA!C14679</f>
        <v>43691</v>
      </c>
      <c r="D14679" t="str">
        <f>TEST_DATA!D14679</f>
        <v>NON-NIL</v>
      </c>
      <c r="E14679">
        <f>TEST_DATA!E14679</f>
        <v>1299</v>
      </c>
    </row>
    <row r="14680" spans="1:5" x14ac:dyDescent="0.55000000000000004">
      <c r="A14680" t="str">
        <f>TEST_DATA!A14680</f>
        <v>27AAAAA14680Z5</v>
      </c>
      <c r="B14680" t="str">
        <f>TEST_DATA!B14680</f>
        <v>Jun-2019</v>
      </c>
      <c r="C14680">
        <f>TEST_DATA!C14680</f>
        <v>45291</v>
      </c>
      <c r="D14680" t="str">
        <f>TEST_DATA!D14680</f>
        <v>NIL</v>
      </c>
      <c r="E14680">
        <f>TEST_DATA!E14680</f>
        <v>2890</v>
      </c>
    </row>
    <row r="14681" spans="1:5" x14ac:dyDescent="0.55000000000000004">
      <c r="A14681" t="str">
        <f>TEST_DATA!A14681</f>
        <v>27AAAAA14681Z5</v>
      </c>
      <c r="B14681" t="str">
        <f>TEST_DATA!B14681</f>
        <v>Apr-2018</v>
      </c>
      <c r="C14681">
        <f>TEST_DATA!C14681</f>
        <v>43182</v>
      </c>
      <c r="D14681" t="str">
        <f>TEST_DATA!D14681</f>
        <v>NON-NIL</v>
      </c>
      <c r="E14681">
        <f>TEST_DATA!E14681</f>
        <v>1726</v>
      </c>
    </row>
    <row r="14682" spans="1:5" x14ac:dyDescent="0.55000000000000004">
      <c r="A14682" t="str">
        <f>TEST_DATA!A14682</f>
        <v>27AAAAA14682Z5</v>
      </c>
      <c r="B14682" t="str">
        <f>TEST_DATA!B14682</f>
        <v>Jun-2018</v>
      </c>
      <c r="C14682">
        <f>TEST_DATA!C14682</f>
        <v>44048</v>
      </c>
      <c r="D14682" t="str">
        <f>TEST_DATA!D14682</f>
        <v>NIL</v>
      </c>
      <c r="E14682">
        <f>TEST_DATA!E14682</f>
        <v>2361</v>
      </c>
    </row>
    <row r="14683" spans="1:5" x14ac:dyDescent="0.55000000000000004">
      <c r="A14683" t="str">
        <f>TEST_DATA!A14683</f>
        <v>27AAAAA14683Z5</v>
      </c>
      <c r="B14683" t="str">
        <f>TEST_DATA!B14683</f>
        <v>Jan-2018</v>
      </c>
      <c r="C14683">
        <f>TEST_DATA!C14683</f>
        <v>44057</v>
      </c>
      <c r="D14683" t="str">
        <f>TEST_DATA!D14683</f>
        <v>NON-NIL</v>
      </c>
      <c r="E14683">
        <f>TEST_DATA!E14683</f>
        <v>1026</v>
      </c>
    </row>
    <row r="14684" spans="1:5" x14ac:dyDescent="0.55000000000000004">
      <c r="A14684" t="str">
        <f>TEST_DATA!A14684</f>
        <v>27AAAAA14684Z5</v>
      </c>
      <c r="B14684" t="str">
        <f>TEST_DATA!B14684</f>
        <v>Jul-2020</v>
      </c>
      <c r="C14684">
        <f>TEST_DATA!C14684</f>
        <v>43916</v>
      </c>
      <c r="D14684" t="str">
        <f>TEST_DATA!D14684</f>
        <v>NON-NIL</v>
      </c>
      <c r="E14684">
        <f>TEST_DATA!E14684</f>
        <v>2956</v>
      </c>
    </row>
    <row r="14685" spans="1:5" x14ac:dyDescent="0.55000000000000004">
      <c r="A14685" t="str">
        <f>TEST_DATA!A14685</f>
        <v>27AAAAA14685Z5</v>
      </c>
      <c r="B14685" t="str">
        <f>TEST_DATA!B14685</f>
        <v>Apr-2018</v>
      </c>
      <c r="C14685">
        <f>TEST_DATA!C14685</f>
        <v>44199</v>
      </c>
      <c r="D14685" t="str">
        <f>TEST_DATA!D14685</f>
        <v>NON-NIL</v>
      </c>
      <c r="E14685">
        <f>TEST_DATA!E14685</f>
        <v>72</v>
      </c>
    </row>
    <row r="14686" spans="1:5" x14ac:dyDescent="0.55000000000000004">
      <c r="A14686" t="str">
        <f>TEST_DATA!A14686</f>
        <v>27AAAAA14686Z5</v>
      </c>
      <c r="B14686" t="str">
        <f>TEST_DATA!B14686</f>
        <v>Jul-2020</v>
      </c>
      <c r="C14686">
        <f>TEST_DATA!C14686</f>
        <v>44307</v>
      </c>
      <c r="D14686" t="str">
        <f>TEST_DATA!D14686</f>
        <v>NON-NIL</v>
      </c>
      <c r="E14686">
        <f>TEST_DATA!E14686</f>
        <v>793</v>
      </c>
    </row>
    <row r="14687" spans="1:5" x14ac:dyDescent="0.55000000000000004">
      <c r="A14687" t="str">
        <f>TEST_DATA!A14687</f>
        <v>27AAAAA14687Z5</v>
      </c>
      <c r="B14687" t="str">
        <f>TEST_DATA!B14687</f>
        <v>Jun-2019</v>
      </c>
      <c r="C14687">
        <f>TEST_DATA!C14687</f>
        <v>44279</v>
      </c>
      <c r="D14687" t="str">
        <f>TEST_DATA!D14687</f>
        <v>NON-NIL</v>
      </c>
      <c r="E14687">
        <f>TEST_DATA!E14687</f>
        <v>1544</v>
      </c>
    </row>
    <row r="14688" spans="1:5" x14ac:dyDescent="0.55000000000000004">
      <c r="A14688" t="str">
        <f>TEST_DATA!A14688</f>
        <v>27AAAAA14688Z5</v>
      </c>
      <c r="B14688" t="str">
        <f>TEST_DATA!B14688</f>
        <v>Jul-2018</v>
      </c>
      <c r="C14688">
        <f>TEST_DATA!C14688</f>
        <v>44151</v>
      </c>
      <c r="D14688" t="str">
        <f>TEST_DATA!D14688</f>
        <v>NIL</v>
      </c>
      <c r="E14688">
        <f>TEST_DATA!E14688</f>
        <v>2142</v>
      </c>
    </row>
    <row r="14689" spans="1:5" x14ac:dyDescent="0.55000000000000004">
      <c r="A14689" t="str">
        <f>TEST_DATA!A14689</f>
        <v>27AAAAA14689Z5</v>
      </c>
      <c r="B14689" t="str">
        <f>TEST_DATA!B14689</f>
        <v>Oct-2017</v>
      </c>
      <c r="C14689">
        <f>TEST_DATA!C14689</f>
        <v>43444</v>
      </c>
      <c r="D14689" t="str">
        <f>TEST_DATA!D14689</f>
        <v>NON-NIL</v>
      </c>
      <c r="E14689">
        <f>TEST_DATA!E14689</f>
        <v>2486</v>
      </c>
    </row>
    <row r="14690" spans="1:5" x14ac:dyDescent="0.55000000000000004">
      <c r="A14690" t="str">
        <f>TEST_DATA!A14690</f>
        <v>27AAAAA14690Z5</v>
      </c>
      <c r="B14690" t="str">
        <f>TEST_DATA!B14690</f>
        <v>Jun-2019</v>
      </c>
      <c r="C14690">
        <f>TEST_DATA!C14690</f>
        <v>45068</v>
      </c>
      <c r="D14690" t="str">
        <f>TEST_DATA!D14690</f>
        <v>NIL</v>
      </c>
      <c r="E14690">
        <f>TEST_DATA!E14690</f>
        <v>562</v>
      </c>
    </row>
    <row r="14691" spans="1:5" x14ac:dyDescent="0.55000000000000004">
      <c r="A14691" t="str">
        <f>TEST_DATA!A14691</f>
        <v>27AAAAA14691Z5</v>
      </c>
      <c r="B14691" t="str">
        <f>TEST_DATA!B14691</f>
        <v>Apr-2020</v>
      </c>
      <c r="C14691">
        <f>TEST_DATA!C14691</f>
        <v>44659</v>
      </c>
      <c r="D14691" t="str">
        <f>TEST_DATA!D14691</f>
        <v>NON-NIL</v>
      </c>
      <c r="E14691">
        <f>TEST_DATA!E14691</f>
        <v>922</v>
      </c>
    </row>
    <row r="14692" spans="1:5" x14ac:dyDescent="0.55000000000000004">
      <c r="A14692" t="str">
        <f>TEST_DATA!A14692</f>
        <v>27AAAAA14692Z5</v>
      </c>
      <c r="B14692" t="str">
        <f>TEST_DATA!B14692</f>
        <v>Dec-2017</v>
      </c>
      <c r="C14692">
        <f>TEST_DATA!C14692</f>
        <v>44324</v>
      </c>
      <c r="D14692" t="str">
        <f>TEST_DATA!D14692</f>
        <v>NIL</v>
      </c>
      <c r="E14692">
        <f>TEST_DATA!E14692</f>
        <v>314</v>
      </c>
    </row>
    <row r="14693" spans="1:5" x14ac:dyDescent="0.55000000000000004">
      <c r="A14693" t="str">
        <f>TEST_DATA!A14693</f>
        <v>27AAAAA14693Z5</v>
      </c>
      <c r="B14693" t="str">
        <f>TEST_DATA!B14693</f>
        <v>Jun-2018</v>
      </c>
      <c r="C14693">
        <f>TEST_DATA!C14693</f>
        <v>44274</v>
      </c>
      <c r="D14693" t="str">
        <f>TEST_DATA!D14693</f>
        <v>NIL</v>
      </c>
      <c r="E14693">
        <f>TEST_DATA!E14693</f>
        <v>90</v>
      </c>
    </row>
    <row r="14694" spans="1:5" x14ac:dyDescent="0.55000000000000004">
      <c r="A14694" t="str">
        <f>TEST_DATA!A14694</f>
        <v>27AAAAA14694Z5</v>
      </c>
      <c r="B14694" t="str">
        <f>TEST_DATA!B14694</f>
        <v>Jan-2019</v>
      </c>
      <c r="C14694">
        <f>TEST_DATA!C14694</f>
        <v>43534</v>
      </c>
      <c r="D14694" t="str">
        <f>TEST_DATA!D14694</f>
        <v>NON-NIL</v>
      </c>
      <c r="E14694">
        <f>TEST_DATA!E14694</f>
        <v>2461</v>
      </c>
    </row>
    <row r="14695" spans="1:5" x14ac:dyDescent="0.55000000000000004">
      <c r="A14695" t="str">
        <f>TEST_DATA!A14695</f>
        <v>27AAAAA14695Z5</v>
      </c>
      <c r="B14695" t="str">
        <f>TEST_DATA!B14695</f>
        <v>Apr-2021</v>
      </c>
      <c r="C14695">
        <f>TEST_DATA!C14695</f>
        <v>43893</v>
      </c>
      <c r="D14695" t="str">
        <f>TEST_DATA!D14695</f>
        <v>NIL</v>
      </c>
      <c r="E14695">
        <f>TEST_DATA!E14695</f>
        <v>1193</v>
      </c>
    </row>
    <row r="14696" spans="1:5" x14ac:dyDescent="0.55000000000000004">
      <c r="A14696" t="str">
        <f>TEST_DATA!A14696</f>
        <v>27AAAAA14696Z5</v>
      </c>
      <c r="B14696" t="str">
        <f>TEST_DATA!B14696</f>
        <v>Jul-2020</v>
      </c>
      <c r="C14696">
        <f>TEST_DATA!C14696</f>
        <v>44910</v>
      </c>
      <c r="D14696" t="str">
        <f>TEST_DATA!D14696</f>
        <v>NON-NIL</v>
      </c>
      <c r="E14696">
        <f>TEST_DATA!E14696</f>
        <v>2115</v>
      </c>
    </row>
    <row r="14697" spans="1:5" x14ac:dyDescent="0.55000000000000004">
      <c r="A14697" t="str">
        <f>TEST_DATA!A14697</f>
        <v>27AAAAA14697Z5</v>
      </c>
      <c r="B14697" t="str">
        <f>TEST_DATA!B14697</f>
        <v>Aug-2018</v>
      </c>
      <c r="C14697">
        <f>TEST_DATA!C14697</f>
        <v>42963</v>
      </c>
      <c r="D14697" t="str">
        <f>TEST_DATA!D14697</f>
        <v>NIL</v>
      </c>
      <c r="E14697">
        <f>TEST_DATA!E14697</f>
        <v>1470</v>
      </c>
    </row>
    <row r="14698" spans="1:5" x14ac:dyDescent="0.55000000000000004">
      <c r="A14698" t="str">
        <f>TEST_DATA!A14698</f>
        <v>27AAAAA14698Z5</v>
      </c>
      <c r="B14698" t="str">
        <f>TEST_DATA!B14698</f>
        <v>Aug-2017</v>
      </c>
      <c r="C14698">
        <f>TEST_DATA!C14698</f>
        <v>43972</v>
      </c>
      <c r="D14698" t="str">
        <f>TEST_DATA!D14698</f>
        <v>NIL</v>
      </c>
      <c r="E14698">
        <f>TEST_DATA!E14698</f>
        <v>977</v>
      </c>
    </row>
    <row r="14699" spans="1:5" x14ac:dyDescent="0.55000000000000004">
      <c r="A14699" t="str">
        <f>TEST_DATA!A14699</f>
        <v>27AAAAA14699Z5</v>
      </c>
      <c r="B14699" t="str">
        <f>TEST_DATA!B14699</f>
        <v>Mar-2018</v>
      </c>
      <c r="C14699">
        <f>TEST_DATA!C14699</f>
        <v>43569</v>
      </c>
      <c r="D14699" t="str">
        <f>TEST_DATA!D14699</f>
        <v>NIL</v>
      </c>
      <c r="E14699">
        <f>TEST_DATA!E14699</f>
        <v>734</v>
      </c>
    </row>
    <row r="14700" spans="1:5" x14ac:dyDescent="0.55000000000000004">
      <c r="A14700" t="str">
        <f>TEST_DATA!A14700</f>
        <v>27AAAAA14700Z5</v>
      </c>
      <c r="B14700" t="str">
        <f>TEST_DATA!B14700</f>
        <v>Apr-2020</v>
      </c>
      <c r="C14700">
        <f>TEST_DATA!C14700</f>
        <v>44911</v>
      </c>
      <c r="D14700" t="str">
        <f>TEST_DATA!D14700</f>
        <v>NIL</v>
      </c>
      <c r="E14700">
        <f>TEST_DATA!E14700</f>
        <v>2469</v>
      </c>
    </row>
    <row r="14701" spans="1:5" x14ac:dyDescent="0.55000000000000004">
      <c r="A14701" t="str">
        <f>TEST_DATA!A14701</f>
        <v>27AAAAA14701Z5</v>
      </c>
      <c r="B14701" t="str">
        <f>TEST_DATA!B14701</f>
        <v>May-2020</v>
      </c>
      <c r="C14701">
        <f>TEST_DATA!C14701</f>
        <v>44346</v>
      </c>
      <c r="D14701" t="str">
        <f>TEST_DATA!D14701</f>
        <v>NON-NIL</v>
      </c>
      <c r="E14701">
        <f>TEST_DATA!E14701</f>
        <v>1119</v>
      </c>
    </row>
    <row r="14702" spans="1:5" x14ac:dyDescent="0.55000000000000004">
      <c r="A14702" t="str">
        <f>TEST_DATA!A14702</f>
        <v>27AAAAA14702Z5</v>
      </c>
      <c r="B14702" t="str">
        <f>TEST_DATA!B14702</f>
        <v>Mar-2021</v>
      </c>
      <c r="C14702">
        <f>TEST_DATA!C14702</f>
        <v>43822</v>
      </c>
      <c r="D14702" t="str">
        <f>TEST_DATA!D14702</f>
        <v>NIL</v>
      </c>
      <c r="E14702">
        <f>TEST_DATA!E14702</f>
        <v>816</v>
      </c>
    </row>
    <row r="14703" spans="1:5" x14ac:dyDescent="0.55000000000000004">
      <c r="A14703" t="str">
        <f>TEST_DATA!A14703</f>
        <v>27AAAAA14703Z5</v>
      </c>
      <c r="B14703" t="str">
        <f>TEST_DATA!B14703</f>
        <v>Mar-2021</v>
      </c>
      <c r="C14703">
        <f>TEST_DATA!C14703</f>
        <v>45498</v>
      </c>
      <c r="D14703" t="str">
        <f>TEST_DATA!D14703</f>
        <v>NIL</v>
      </c>
      <c r="E14703">
        <f>TEST_DATA!E14703</f>
        <v>1246</v>
      </c>
    </row>
    <row r="14704" spans="1:5" x14ac:dyDescent="0.55000000000000004">
      <c r="A14704" t="str">
        <f>TEST_DATA!A14704</f>
        <v>27AAAAA14704Z5</v>
      </c>
      <c r="B14704" t="str">
        <f>TEST_DATA!B14704</f>
        <v>May-2020</v>
      </c>
      <c r="C14704">
        <f>TEST_DATA!C14704</f>
        <v>44837</v>
      </c>
      <c r="D14704" t="str">
        <f>TEST_DATA!D14704</f>
        <v>NON-NIL</v>
      </c>
      <c r="E14704">
        <f>TEST_DATA!E14704</f>
        <v>592</v>
      </c>
    </row>
    <row r="14705" spans="1:5" x14ac:dyDescent="0.55000000000000004">
      <c r="A14705" t="str">
        <f>TEST_DATA!A14705</f>
        <v>27AAAAA14705Z5</v>
      </c>
      <c r="B14705" t="str">
        <f>TEST_DATA!B14705</f>
        <v>Dec-2024</v>
      </c>
      <c r="C14705">
        <f>TEST_DATA!C14705</f>
        <v>44899</v>
      </c>
      <c r="D14705" t="str">
        <f>TEST_DATA!D14705</f>
        <v>NIL</v>
      </c>
      <c r="E14705">
        <f>TEST_DATA!E14705</f>
        <v>1875</v>
      </c>
    </row>
    <row r="14706" spans="1:5" x14ac:dyDescent="0.55000000000000004">
      <c r="A14706" t="str">
        <f>TEST_DATA!A14706</f>
        <v>27AAAAA14706Z5</v>
      </c>
      <c r="B14706" t="str">
        <f>TEST_DATA!B14706</f>
        <v>Apr-2021</v>
      </c>
      <c r="C14706">
        <f>TEST_DATA!C14706</f>
        <v>44729</v>
      </c>
      <c r="D14706" t="str">
        <f>TEST_DATA!D14706</f>
        <v>NIL</v>
      </c>
      <c r="E14706">
        <f>TEST_DATA!E14706</f>
        <v>2155</v>
      </c>
    </row>
    <row r="14707" spans="1:5" x14ac:dyDescent="0.55000000000000004">
      <c r="A14707" t="str">
        <f>TEST_DATA!A14707</f>
        <v>27AAAAA14707Z5</v>
      </c>
      <c r="B14707" t="str">
        <f>TEST_DATA!B14707</f>
        <v>Mar-2023</v>
      </c>
      <c r="C14707">
        <f>TEST_DATA!C14707</f>
        <v>44010</v>
      </c>
      <c r="D14707" t="str">
        <f>TEST_DATA!D14707</f>
        <v>NIL</v>
      </c>
      <c r="E14707">
        <f>TEST_DATA!E14707</f>
        <v>819</v>
      </c>
    </row>
    <row r="14708" spans="1:5" x14ac:dyDescent="0.55000000000000004">
      <c r="A14708" t="str">
        <f>TEST_DATA!A14708</f>
        <v>27AAAAA14708Z5</v>
      </c>
      <c r="B14708" t="str">
        <f>TEST_DATA!B14708</f>
        <v>Apr-2020</v>
      </c>
      <c r="C14708">
        <f>TEST_DATA!C14708</f>
        <v>44559</v>
      </c>
      <c r="D14708" t="str">
        <f>TEST_DATA!D14708</f>
        <v>NIL</v>
      </c>
      <c r="E14708">
        <f>TEST_DATA!E14708</f>
        <v>2663</v>
      </c>
    </row>
    <row r="14709" spans="1:5" x14ac:dyDescent="0.55000000000000004">
      <c r="A14709" t="str">
        <f>TEST_DATA!A14709</f>
        <v>27AAAAA14709Z5</v>
      </c>
      <c r="B14709" t="str">
        <f>TEST_DATA!B14709</f>
        <v>Jul-2020</v>
      </c>
      <c r="C14709">
        <f>TEST_DATA!C14709</f>
        <v>43944</v>
      </c>
      <c r="D14709" t="str">
        <f>TEST_DATA!D14709</f>
        <v>NON-NIL</v>
      </c>
      <c r="E14709">
        <f>TEST_DATA!E14709</f>
        <v>2082</v>
      </c>
    </row>
    <row r="14710" spans="1:5" x14ac:dyDescent="0.55000000000000004">
      <c r="A14710" t="str">
        <f>TEST_DATA!A14710</f>
        <v>27AAAAA14710Z5</v>
      </c>
      <c r="B14710" t="str">
        <f>TEST_DATA!B14710</f>
        <v>Aug-2018</v>
      </c>
      <c r="C14710">
        <f>TEST_DATA!C14710</f>
        <v>43832</v>
      </c>
      <c r="D14710" t="str">
        <f>TEST_DATA!D14710</f>
        <v>NON-NIL</v>
      </c>
      <c r="E14710">
        <f>TEST_DATA!E14710</f>
        <v>1363</v>
      </c>
    </row>
    <row r="14711" spans="1:5" x14ac:dyDescent="0.55000000000000004">
      <c r="A14711" t="str">
        <f>TEST_DATA!A14711</f>
        <v>27AAAAA14711Z5</v>
      </c>
      <c r="B14711" t="str">
        <f>TEST_DATA!B14711</f>
        <v>May-2018</v>
      </c>
      <c r="C14711">
        <f>TEST_DATA!C14711</f>
        <v>42918</v>
      </c>
      <c r="D14711" t="str">
        <f>TEST_DATA!D14711</f>
        <v>NIL</v>
      </c>
      <c r="E14711">
        <f>TEST_DATA!E14711</f>
        <v>1314</v>
      </c>
    </row>
    <row r="14712" spans="1:5" x14ac:dyDescent="0.55000000000000004">
      <c r="A14712" t="str">
        <f>TEST_DATA!A14712</f>
        <v>27AAAAA14712Z5</v>
      </c>
      <c r="B14712" t="str">
        <f>TEST_DATA!B14712</f>
        <v>Jan-2018</v>
      </c>
      <c r="C14712">
        <f>TEST_DATA!C14712</f>
        <v>44452</v>
      </c>
      <c r="D14712" t="str">
        <f>TEST_DATA!D14712</f>
        <v>NON-NIL</v>
      </c>
      <c r="E14712">
        <f>TEST_DATA!E14712</f>
        <v>1983</v>
      </c>
    </row>
    <row r="14713" spans="1:5" x14ac:dyDescent="0.55000000000000004">
      <c r="A14713" t="str">
        <f>TEST_DATA!A14713</f>
        <v>27AAAAA14713Z5</v>
      </c>
      <c r="B14713" t="str">
        <f>TEST_DATA!B14713</f>
        <v>Apr-2021</v>
      </c>
      <c r="C14713">
        <f>TEST_DATA!C14713</f>
        <v>45037</v>
      </c>
      <c r="D14713" t="str">
        <f>TEST_DATA!D14713</f>
        <v>NIL</v>
      </c>
      <c r="E14713">
        <f>TEST_DATA!E14713</f>
        <v>2671</v>
      </c>
    </row>
    <row r="14714" spans="1:5" x14ac:dyDescent="0.55000000000000004">
      <c r="A14714" t="str">
        <f>TEST_DATA!A14714</f>
        <v>27AAAAA14714Z5</v>
      </c>
      <c r="B14714" t="str">
        <f>TEST_DATA!B14714</f>
        <v>Feb-2018</v>
      </c>
      <c r="C14714">
        <f>TEST_DATA!C14714</f>
        <v>43720</v>
      </c>
      <c r="D14714" t="str">
        <f>TEST_DATA!D14714</f>
        <v>NON-NIL</v>
      </c>
      <c r="E14714">
        <f>TEST_DATA!E14714</f>
        <v>855</v>
      </c>
    </row>
    <row r="14715" spans="1:5" x14ac:dyDescent="0.55000000000000004">
      <c r="A14715" t="str">
        <f>TEST_DATA!A14715</f>
        <v>27AAAAA14715Z5</v>
      </c>
      <c r="B14715" t="str">
        <f>TEST_DATA!B14715</f>
        <v>Jan-2018</v>
      </c>
      <c r="C14715">
        <f>TEST_DATA!C14715</f>
        <v>43713</v>
      </c>
      <c r="D14715" t="str">
        <f>TEST_DATA!D14715</f>
        <v>NIL</v>
      </c>
      <c r="E14715">
        <f>TEST_DATA!E14715</f>
        <v>1102</v>
      </c>
    </row>
    <row r="14716" spans="1:5" x14ac:dyDescent="0.55000000000000004">
      <c r="A14716" t="str">
        <f>TEST_DATA!A14716</f>
        <v>27AAAAA14716Z5</v>
      </c>
      <c r="B14716" t="str">
        <f>TEST_DATA!B14716</f>
        <v>Dec-2017</v>
      </c>
      <c r="C14716">
        <f>TEST_DATA!C14716</f>
        <v>43435</v>
      </c>
      <c r="D14716" t="str">
        <f>TEST_DATA!D14716</f>
        <v>NON-NIL</v>
      </c>
      <c r="E14716">
        <f>TEST_DATA!E14716</f>
        <v>1150</v>
      </c>
    </row>
    <row r="14717" spans="1:5" x14ac:dyDescent="0.55000000000000004">
      <c r="A14717" t="str">
        <f>TEST_DATA!A14717</f>
        <v>27AAAAA14717Z5</v>
      </c>
      <c r="B14717" t="str">
        <f>TEST_DATA!B14717</f>
        <v>Sep-2017</v>
      </c>
      <c r="C14717">
        <f>TEST_DATA!C14717</f>
        <v>43646</v>
      </c>
      <c r="D14717" t="str">
        <f>TEST_DATA!D14717</f>
        <v>NIL</v>
      </c>
      <c r="E14717">
        <f>TEST_DATA!E14717</f>
        <v>1779</v>
      </c>
    </row>
    <row r="14718" spans="1:5" x14ac:dyDescent="0.55000000000000004">
      <c r="A14718" t="str">
        <f>TEST_DATA!A14718</f>
        <v>27AAAAA14718Z5</v>
      </c>
      <c r="B14718" t="str">
        <f>TEST_DATA!B14718</f>
        <v>Jan-2021</v>
      </c>
      <c r="C14718">
        <f>TEST_DATA!C14718</f>
        <v>44383</v>
      </c>
      <c r="D14718" t="str">
        <f>TEST_DATA!D14718</f>
        <v>NIL</v>
      </c>
      <c r="E14718">
        <f>TEST_DATA!E14718</f>
        <v>2522</v>
      </c>
    </row>
    <row r="14719" spans="1:5" x14ac:dyDescent="0.55000000000000004">
      <c r="A14719" t="str">
        <f>TEST_DATA!A14719</f>
        <v>27AAAAA14719Z5</v>
      </c>
      <c r="B14719" t="str">
        <f>TEST_DATA!B14719</f>
        <v>May-2018</v>
      </c>
      <c r="C14719">
        <f>TEST_DATA!C14719</f>
        <v>43811</v>
      </c>
      <c r="D14719" t="str">
        <f>TEST_DATA!D14719</f>
        <v>NON-NIL</v>
      </c>
      <c r="E14719">
        <f>TEST_DATA!E14719</f>
        <v>2903</v>
      </c>
    </row>
    <row r="14720" spans="1:5" x14ac:dyDescent="0.55000000000000004">
      <c r="A14720" t="str">
        <f>TEST_DATA!A14720</f>
        <v>27AAAAA14720Z5</v>
      </c>
      <c r="B14720" t="str">
        <f>TEST_DATA!B14720</f>
        <v>Sep-2017</v>
      </c>
      <c r="C14720">
        <f>TEST_DATA!C14720</f>
        <v>44230</v>
      </c>
      <c r="D14720" t="str">
        <f>TEST_DATA!D14720</f>
        <v>NON-NIL</v>
      </c>
      <c r="E14720">
        <f>TEST_DATA!E14720</f>
        <v>2082</v>
      </c>
    </row>
    <row r="14721" spans="1:5" x14ac:dyDescent="0.55000000000000004">
      <c r="A14721" t="str">
        <f>TEST_DATA!A14721</f>
        <v>27AAAAA14721Z5</v>
      </c>
      <c r="B14721" t="str">
        <f>TEST_DATA!B14721</f>
        <v>Dec-2024</v>
      </c>
      <c r="C14721">
        <f>TEST_DATA!C14721</f>
        <v>44106</v>
      </c>
      <c r="D14721" t="str">
        <f>TEST_DATA!D14721</f>
        <v>NON-NIL</v>
      </c>
      <c r="E14721">
        <f>TEST_DATA!E14721</f>
        <v>2672</v>
      </c>
    </row>
    <row r="14722" spans="1:5" x14ac:dyDescent="0.55000000000000004">
      <c r="A14722" t="str">
        <f>TEST_DATA!A14722</f>
        <v>27AAAAA14722Z5</v>
      </c>
      <c r="B14722" t="str">
        <f>TEST_DATA!B14722</f>
        <v>Feb-2018</v>
      </c>
      <c r="C14722">
        <f>TEST_DATA!C14722</f>
        <v>43770</v>
      </c>
      <c r="D14722" t="str">
        <f>TEST_DATA!D14722</f>
        <v>NON-NIL</v>
      </c>
      <c r="E14722">
        <f>TEST_DATA!E14722</f>
        <v>2235</v>
      </c>
    </row>
    <row r="14723" spans="1:5" x14ac:dyDescent="0.55000000000000004">
      <c r="A14723" t="str">
        <f>TEST_DATA!A14723</f>
        <v>27AAAAA14723Z5</v>
      </c>
      <c r="B14723" t="str">
        <f>TEST_DATA!B14723</f>
        <v>May-2018</v>
      </c>
      <c r="C14723">
        <f>TEST_DATA!C14723</f>
        <v>43070</v>
      </c>
      <c r="D14723" t="str">
        <f>TEST_DATA!D14723</f>
        <v>NON-NIL</v>
      </c>
      <c r="E14723">
        <f>TEST_DATA!E14723</f>
        <v>2160</v>
      </c>
    </row>
    <row r="14724" spans="1:5" x14ac:dyDescent="0.55000000000000004">
      <c r="A14724" t="str">
        <f>TEST_DATA!A14724</f>
        <v>27AAAAA14724Z5</v>
      </c>
      <c r="B14724" t="str">
        <f>TEST_DATA!B14724</f>
        <v>Dec-2017</v>
      </c>
      <c r="C14724">
        <f>TEST_DATA!C14724</f>
        <v>44341</v>
      </c>
      <c r="D14724" t="str">
        <f>TEST_DATA!D14724</f>
        <v>NON-NIL</v>
      </c>
      <c r="E14724">
        <f>TEST_DATA!E14724</f>
        <v>2790</v>
      </c>
    </row>
    <row r="14725" spans="1:5" x14ac:dyDescent="0.55000000000000004">
      <c r="A14725" t="str">
        <f>TEST_DATA!A14725</f>
        <v>27AAAAA14725Z5</v>
      </c>
      <c r="B14725" t="str">
        <f>TEST_DATA!B14725</f>
        <v>Jun-2018</v>
      </c>
      <c r="C14725">
        <f>TEST_DATA!C14725</f>
        <v>44441</v>
      </c>
      <c r="D14725" t="str">
        <f>TEST_DATA!D14725</f>
        <v>NON-NIL</v>
      </c>
      <c r="E14725">
        <f>TEST_DATA!E14725</f>
        <v>1941</v>
      </c>
    </row>
    <row r="14726" spans="1:5" x14ac:dyDescent="0.55000000000000004">
      <c r="A14726" t="str">
        <f>TEST_DATA!A14726</f>
        <v>27AAAAA14726Z5</v>
      </c>
      <c r="B14726" t="str">
        <f>TEST_DATA!B14726</f>
        <v>Jan-2018</v>
      </c>
      <c r="C14726">
        <f>TEST_DATA!C14726</f>
        <v>43040</v>
      </c>
      <c r="D14726" t="str">
        <f>TEST_DATA!D14726</f>
        <v>NON-NIL</v>
      </c>
      <c r="E14726">
        <f>TEST_DATA!E14726</f>
        <v>279</v>
      </c>
    </row>
    <row r="14727" spans="1:5" x14ac:dyDescent="0.55000000000000004">
      <c r="A14727" t="str">
        <f>TEST_DATA!A14727</f>
        <v>27AAAAA14727Z5</v>
      </c>
      <c r="B14727" t="str">
        <f>TEST_DATA!B14727</f>
        <v>Mar-2018</v>
      </c>
      <c r="C14727">
        <f>TEST_DATA!C14727</f>
        <v>43717</v>
      </c>
      <c r="D14727" t="str">
        <f>TEST_DATA!D14727</f>
        <v>NIL</v>
      </c>
      <c r="E14727">
        <f>TEST_DATA!E14727</f>
        <v>327</v>
      </c>
    </row>
    <row r="14728" spans="1:5" x14ac:dyDescent="0.55000000000000004">
      <c r="A14728" t="str">
        <f>TEST_DATA!A14728</f>
        <v>27AAAAA14728Z5</v>
      </c>
      <c r="B14728" t="str">
        <f>TEST_DATA!B14728</f>
        <v>Jan-2019</v>
      </c>
      <c r="C14728">
        <f>TEST_DATA!C14728</f>
        <v>44510</v>
      </c>
      <c r="D14728" t="str">
        <f>TEST_DATA!D14728</f>
        <v>NIL</v>
      </c>
      <c r="E14728">
        <f>TEST_DATA!E14728</f>
        <v>2439</v>
      </c>
    </row>
    <row r="14729" spans="1:5" x14ac:dyDescent="0.55000000000000004">
      <c r="A14729" t="str">
        <f>TEST_DATA!A14729</f>
        <v>27AAAAA14729Z5</v>
      </c>
      <c r="B14729" t="str">
        <f>TEST_DATA!B14729</f>
        <v>Jul-2018</v>
      </c>
      <c r="C14729">
        <f>TEST_DATA!C14729</f>
        <v>43544</v>
      </c>
      <c r="D14729" t="str">
        <f>TEST_DATA!D14729</f>
        <v>NIL</v>
      </c>
      <c r="E14729">
        <f>TEST_DATA!E14729</f>
        <v>2972</v>
      </c>
    </row>
    <row r="14730" spans="1:5" x14ac:dyDescent="0.55000000000000004">
      <c r="A14730" t="str">
        <f>TEST_DATA!A14730</f>
        <v>27AAAAA14730Z5</v>
      </c>
      <c r="B14730" t="str">
        <f>TEST_DATA!B14730</f>
        <v>Aug-2017</v>
      </c>
      <c r="C14730">
        <f>TEST_DATA!C14730</f>
        <v>43042</v>
      </c>
      <c r="D14730" t="str">
        <f>TEST_DATA!D14730</f>
        <v>NIL</v>
      </c>
      <c r="E14730">
        <f>TEST_DATA!E14730</f>
        <v>1341</v>
      </c>
    </row>
    <row r="14731" spans="1:5" x14ac:dyDescent="0.55000000000000004">
      <c r="A14731" t="str">
        <f>TEST_DATA!A14731</f>
        <v>27AAAAA14731Z5</v>
      </c>
      <c r="B14731" t="str">
        <f>TEST_DATA!B14731</f>
        <v>Aug-2018</v>
      </c>
      <c r="C14731">
        <f>TEST_DATA!C14731</f>
        <v>44302</v>
      </c>
      <c r="D14731" t="str">
        <f>TEST_DATA!D14731</f>
        <v>NIL</v>
      </c>
      <c r="E14731">
        <f>TEST_DATA!E14731</f>
        <v>2772</v>
      </c>
    </row>
    <row r="14732" spans="1:5" x14ac:dyDescent="0.55000000000000004">
      <c r="A14732" t="str">
        <f>TEST_DATA!A14732</f>
        <v>27AAAAA14732Z5</v>
      </c>
      <c r="B14732" t="str">
        <f>TEST_DATA!B14732</f>
        <v>May-2018</v>
      </c>
      <c r="C14732">
        <f>TEST_DATA!C14732</f>
        <v>44146</v>
      </c>
      <c r="D14732" t="str">
        <f>TEST_DATA!D14732</f>
        <v>NON-NIL</v>
      </c>
      <c r="E14732">
        <f>TEST_DATA!E14732</f>
        <v>517</v>
      </c>
    </row>
    <row r="14733" spans="1:5" x14ac:dyDescent="0.55000000000000004">
      <c r="A14733" t="str">
        <f>TEST_DATA!A14733</f>
        <v>27AAAAA14733Z5</v>
      </c>
      <c r="B14733" t="str">
        <f>TEST_DATA!B14733</f>
        <v>Sep-2018</v>
      </c>
      <c r="C14733">
        <f>TEST_DATA!C14733</f>
        <v>43982</v>
      </c>
      <c r="D14733" t="str">
        <f>TEST_DATA!D14733</f>
        <v>NIL</v>
      </c>
      <c r="E14733">
        <f>TEST_DATA!E14733</f>
        <v>2563</v>
      </c>
    </row>
    <row r="14734" spans="1:5" x14ac:dyDescent="0.55000000000000004">
      <c r="A14734" t="str">
        <f>TEST_DATA!A14734</f>
        <v>27AAAAA14734Z5</v>
      </c>
      <c r="B14734" t="str">
        <f>TEST_DATA!B14734</f>
        <v>Apr-2021</v>
      </c>
      <c r="C14734">
        <f>TEST_DATA!C14734</f>
        <v>45746</v>
      </c>
      <c r="D14734" t="str">
        <f>TEST_DATA!D14734</f>
        <v>NON-NIL</v>
      </c>
      <c r="E14734">
        <f>TEST_DATA!E14734</f>
        <v>1956</v>
      </c>
    </row>
    <row r="14735" spans="1:5" x14ac:dyDescent="0.55000000000000004">
      <c r="A14735" t="str">
        <f>TEST_DATA!A14735</f>
        <v>27AAAAA14735Z5</v>
      </c>
      <c r="B14735" t="str">
        <f>TEST_DATA!B14735</f>
        <v>Jan-2019</v>
      </c>
      <c r="C14735">
        <f>TEST_DATA!C14735</f>
        <v>45032</v>
      </c>
      <c r="D14735" t="str">
        <f>TEST_DATA!D14735</f>
        <v>NON-NIL</v>
      </c>
      <c r="E14735">
        <f>TEST_DATA!E14735</f>
        <v>1067</v>
      </c>
    </row>
    <row r="14736" spans="1:5" x14ac:dyDescent="0.55000000000000004">
      <c r="A14736" t="str">
        <f>TEST_DATA!A14736</f>
        <v>27AAAAA14736Z5</v>
      </c>
      <c r="B14736" t="str">
        <f>TEST_DATA!B14736</f>
        <v>Jul-2017</v>
      </c>
      <c r="C14736">
        <f>TEST_DATA!C14736</f>
        <v>43191</v>
      </c>
      <c r="D14736" t="str">
        <f>TEST_DATA!D14736</f>
        <v>NIL</v>
      </c>
      <c r="E14736">
        <f>TEST_DATA!E14736</f>
        <v>1219</v>
      </c>
    </row>
    <row r="14737" spans="1:5" x14ac:dyDescent="0.55000000000000004">
      <c r="A14737" t="str">
        <f>TEST_DATA!A14737</f>
        <v>27AAAAA14737Z5</v>
      </c>
      <c r="B14737" t="str">
        <f>TEST_DATA!B14737</f>
        <v>Jan-2019</v>
      </c>
      <c r="C14737">
        <f>TEST_DATA!C14737</f>
        <v>43963</v>
      </c>
      <c r="D14737" t="str">
        <f>TEST_DATA!D14737</f>
        <v>NON-NIL</v>
      </c>
      <c r="E14737">
        <f>TEST_DATA!E14737</f>
        <v>1411</v>
      </c>
    </row>
    <row r="14738" spans="1:5" x14ac:dyDescent="0.55000000000000004">
      <c r="A14738" t="str">
        <f>TEST_DATA!A14738</f>
        <v>27AAAAA14738Z5</v>
      </c>
      <c r="B14738" t="str">
        <f>TEST_DATA!B14738</f>
        <v>Oct-2017</v>
      </c>
      <c r="C14738">
        <f>TEST_DATA!C14738</f>
        <v>43312</v>
      </c>
      <c r="D14738" t="str">
        <f>TEST_DATA!D14738</f>
        <v>NON-NIL</v>
      </c>
      <c r="E14738">
        <f>TEST_DATA!E14738</f>
        <v>1116</v>
      </c>
    </row>
    <row r="14739" spans="1:5" x14ac:dyDescent="0.55000000000000004">
      <c r="A14739" t="str">
        <f>TEST_DATA!A14739</f>
        <v>27AAAAA14739Z5</v>
      </c>
      <c r="B14739" t="str">
        <f>TEST_DATA!B14739</f>
        <v>Jun-2020</v>
      </c>
      <c r="C14739">
        <f>TEST_DATA!C14739</f>
        <v>43844</v>
      </c>
      <c r="D14739" t="str">
        <f>TEST_DATA!D14739</f>
        <v>NIL</v>
      </c>
      <c r="E14739">
        <f>TEST_DATA!E14739</f>
        <v>2177</v>
      </c>
    </row>
    <row r="14740" spans="1:5" x14ac:dyDescent="0.55000000000000004">
      <c r="A14740" t="str">
        <f>TEST_DATA!A14740</f>
        <v>27AAAAA14740Z5</v>
      </c>
      <c r="B14740" t="str">
        <f>TEST_DATA!B14740</f>
        <v>May-2020</v>
      </c>
      <c r="C14740">
        <f>TEST_DATA!C14740</f>
        <v>44165</v>
      </c>
      <c r="D14740" t="str">
        <f>TEST_DATA!D14740</f>
        <v>NON-NIL</v>
      </c>
      <c r="E14740">
        <f>TEST_DATA!E14740</f>
        <v>1458</v>
      </c>
    </row>
    <row r="14741" spans="1:5" x14ac:dyDescent="0.55000000000000004">
      <c r="A14741" t="str">
        <f>TEST_DATA!A14741</f>
        <v>27AAAAA14741Z5</v>
      </c>
      <c r="B14741" t="str">
        <f>TEST_DATA!B14741</f>
        <v>Apr-2021</v>
      </c>
      <c r="C14741">
        <f>TEST_DATA!C14741</f>
        <v>45233</v>
      </c>
      <c r="D14741" t="str">
        <f>TEST_DATA!D14741</f>
        <v>NON-NIL</v>
      </c>
      <c r="E14741">
        <f>TEST_DATA!E14741</f>
        <v>740</v>
      </c>
    </row>
    <row r="14742" spans="1:5" x14ac:dyDescent="0.55000000000000004">
      <c r="A14742" t="str">
        <f>TEST_DATA!A14742</f>
        <v>27AAAAA14742Z5</v>
      </c>
      <c r="B14742" t="str">
        <f>TEST_DATA!B14742</f>
        <v>Mar-2020</v>
      </c>
      <c r="C14742">
        <f>TEST_DATA!C14742</f>
        <v>44287</v>
      </c>
      <c r="D14742" t="str">
        <f>TEST_DATA!D14742</f>
        <v>NON-NIL</v>
      </c>
      <c r="E14742">
        <f>TEST_DATA!E14742</f>
        <v>1960</v>
      </c>
    </row>
    <row r="14743" spans="1:5" x14ac:dyDescent="0.55000000000000004">
      <c r="A14743" t="str">
        <f>TEST_DATA!A14743</f>
        <v>27AAAAA14743Z5</v>
      </c>
      <c r="B14743" t="str">
        <f>TEST_DATA!B14743</f>
        <v>Jun-2018</v>
      </c>
      <c r="C14743">
        <f>TEST_DATA!C14743</f>
        <v>43712</v>
      </c>
      <c r="D14743" t="str">
        <f>TEST_DATA!D14743</f>
        <v>NIL</v>
      </c>
      <c r="E14743">
        <f>TEST_DATA!E14743</f>
        <v>1860</v>
      </c>
    </row>
    <row r="14744" spans="1:5" x14ac:dyDescent="0.55000000000000004">
      <c r="A14744" t="str">
        <f>TEST_DATA!A14744</f>
        <v>27AAAAA14744Z5</v>
      </c>
      <c r="B14744" t="str">
        <f>TEST_DATA!B14744</f>
        <v>Jun-2018</v>
      </c>
      <c r="C14744">
        <f>TEST_DATA!C14744</f>
        <v>44476</v>
      </c>
      <c r="D14744" t="str">
        <f>TEST_DATA!D14744</f>
        <v>NON-NIL</v>
      </c>
      <c r="E14744">
        <f>TEST_DATA!E14744</f>
        <v>1396</v>
      </c>
    </row>
    <row r="14745" spans="1:5" x14ac:dyDescent="0.55000000000000004">
      <c r="A14745" t="str">
        <f>TEST_DATA!A14745</f>
        <v>27AAAAA14745Z5</v>
      </c>
      <c r="B14745" t="str">
        <f>TEST_DATA!B14745</f>
        <v>Jun-2020</v>
      </c>
      <c r="C14745">
        <f>TEST_DATA!C14745</f>
        <v>44360</v>
      </c>
      <c r="D14745" t="str">
        <f>TEST_DATA!D14745</f>
        <v>NIL</v>
      </c>
      <c r="E14745">
        <f>TEST_DATA!E14745</f>
        <v>959</v>
      </c>
    </row>
    <row r="14746" spans="1:5" x14ac:dyDescent="0.55000000000000004">
      <c r="A14746" t="str">
        <f>TEST_DATA!A14746</f>
        <v>27AAAAA14746Z5</v>
      </c>
      <c r="B14746" t="str">
        <f>TEST_DATA!B14746</f>
        <v>Mar-2021</v>
      </c>
      <c r="C14746">
        <f>TEST_DATA!C14746</f>
        <v>44715</v>
      </c>
      <c r="D14746" t="str">
        <f>TEST_DATA!D14746</f>
        <v>NIL</v>
      </c>
      <c r="E14746">
        <f>TEST_DATA!E14746</f>
        <v>2478</v>
      </c>
    </row>
    <row r="14747" spans="1:5" x14ac:dyDescent="0.55000000000000004">
      <c r="A14747" t="str">
        <f>TEST_DATA!A14747</f>
        <v>27AAAAA14747Z5</v>
      </c>
      <c r="B14747" t="str">
        <f>TEST_DATA!B14747</f>
        <v>Sep-2018</v>
      </c>
      <c r="C14747">
        <f>TEST_DATA!C14747</f>
        <v>43656</v>
      </c>
      <c r="D14747" t="str">
        <f>TEST_DATA!D14747</f>
        <v>NON-NIL</v>
      </c>
      <c r="E14747">
        <f>TEST_DATA!E14747</f>
        <v>1348</v>
      </c>
    </row>
    <row r="14748" spans="1:5" x14ac:dyDescent="0.55000000000000004">
      <c r="A14748" t="str">
        <f>TEST_DATA!A14748</f>
        <v>27AAAAA14748Z5</v>
      </c>
      <c r="B14748" t="str">
        <f>TEST_DATA!B14748</f>
        <v>Feb-2018</v>
      </c>
      <c r="C14748">
        <f>TEST_DATA!C14748</f>
        <v>43734</v>
      </c>
      <c r="D14748" t="str">
        <f>TEST_DATA!D14748</f>
        <v>NON-NIL</v>
      </c>
      <c r="E14748">
        <f>TEST_DATA!E14748</f>
        <v>2573</v>
      </c>
    </row>
    <row r="14749" spans="1:5" x14ac:dyDescent="0.55000000000000004">
      <c r="A14749" t="str">
        <f>TEST_DATA!A14749</f>
        <v>27AAAAA14749Z5</v>
      </c>
      <c r="B14749" t="str">
        <f>TEST_DATA!B14749</f>
        <v>Dec-2017</v>
      </c>
      <c r="C14749">
        <f>TEST_DATA!C14749</f>
        <v>43288</v>
      </c>
      <c r="D14749" t="str">
        <f>TEST_DATA!D14749</f>
        <v>NIL</v>
      </c>
      <c r="E14749">
        <f>TEST_DATA!E14749</f>
        <v>2369</v>
      </c>
    </row>
    <row r="14750" spans="1:5" x14ac:dyDescent="0.55000000000000004">
      <c r="A14750" t="str">
        <f>TEST_DATA!A14750</f>
        <v>27AAAAA14750Z5</v>
      </c>
      <c r="B14750" t="str">
        <f>TEST_DATA!B14750</f>
        <v>Mar-2018</v>
      </c>
      <c r="C14750">
        <f>TEST_DATA!C14750</f>
        <v>43814</v>
      </c>
      <c r="D14750" t="str">
        <f>TEST_DATA!D14750</f>
        <v>NIL</v>
      </c>
      <c r="E14750">
        <f>TEST_DATA!E14750</f>
        <v>1358</v>
      </c>
    </row>
    <row r="14751" spans="1:5" x14ac:dyDescent="0.55000000000000004">
      <c r="A14751" t="str">
        <f>TEST_DATA!A14751</f>
        <v>27AAAAA14751Z5</v>
      </c>
      <c r="B14751" t="str">
        <f>TEST_DATA!B14751</f>
        <v>Mar-2018</v>
      </c>
      <c r="C14751">
        <f>TEST_DATA!C14751</f>
        <v>43449</v>
      </c>
      <c r="D14751" t="str">
        <f>TEST_DATA!D14751</f>
        <v>NON-NIL</v>
      </c>
      <c r="E14751">
        <f>TEST_DATA!E14751</f>
        <v>1629</v>
      </c>
    </row>
    <row r="14752" spans="1:5" x14ac:dyDescent="0.55000000000000004">
      <c r="A14752" t="str">
        <f>TEST_DATA!A14752</f>
        <v>27AAAAA14752Z5</v>
      </c>
      <c r="B14752" t="str">
        <f>TEST_DATA!B14752</f>
        <v>Jun-2018</v>
      </c>
      <c r="C14752">
        <f>TEST_DATA!C14752</f>
        <v>43949</v>
      </c>
      <c r="D14752" t="str">
        <f>TEST_DATA!D14752</f>
        <v>NIL</v>
      </c>
      <c r="E14752">
        <f>TEST_DATA!E14752</f>
        <v>2499</v>
      </c>
    </row>
    <row r="14753" spans="1:5" x14ac:dyDescent="0.55000000000000004">
      <c r="A14753" t="str">
        <f>TEST_DATA!A14753</f>
        <v>27AAAAA14753Z5</v>
      </c>
      <c r="B14753" t="str">
        <f>TEST_DATA!B14753</f>
        <v>Jun-2020</v>
      </c>
      <c r="C14753">
        <f>TEST_DATA!C14753</f>
        <v>43853</v>
      </c>
      <c r="D14753" t="str">
        <f>TEST_DATA!D14753</f>
        <v>NIL</v>
      </c>
      <c r="E14753">
        <f>TEST_DATA!E14753</f>
        <v>2302</v>
      </c>
    </row>
    <row r="14754" spans="1:5" x14ac:dyDescent="0.55000000000000004">
      <c r="A14754" t="str">
        <f>TEST_DATA!A14754</f>
        <v>27AAAAA14754Z5</v>
      </c>
      <c r="B14754" t="str">
        <f>TEST_DATA!B14754</f>
        <v>Jan-2021</v>
      </c>
      <c r="C14754">
        <f>TEST_DATA!C14754</f>
        <v>45384</v>
      </c>
      <c r="D14754" t="str">
        <f>TEST_DATA!D14754</f>
        <v>NON-NIL</v>
      </c>
      <c r="E14754">
        <f>TEST_DATA!E14754</f>
        <v>2831</v>
      </c>
    </row>
    <row r="14755" spans="1:5" x14ac:dyDescent="0.55000000000000004">
      <c r="A14755" t="str">
        <f>TEST_DATA!A14755</f>
        <v>27AAAAA14755Z5</v>
      </c>
      <c r="B14755" t="str">
        <f>TEST_DATA!B14755</f>
        <v>Mar-2023</v>
      </c>
      <c r="C14755">
        <f>TEST_DATA!C14755</f>
        <v>44139</v>
      </c>
      <c r="D14755" t="str">
        <f>TEST_DATA!D14755</f>
        <v>NON-NIL</v>
      </c>
      <c r="E14755">
        <f>TEST_DATA!E14755</f>
        <v>255</v>
      </c>
    </row>
    <row r="14756" spans="1:5" x14ac:dyDescent="0.55000000000000004">
      <c r="A14756" t="str">
        <f>TEST_DATA!A14756</f>
        <v>27AAAAA14756Z5</v>
      </c>
      <c r="B14756" t="str">
        <f>TEST_DATA!B14756</f>
        <v>Mar-2018</v>
      </c>
      <c r="C14756">
        <f>TEST_DATA!C14756</f>
        <v>43408</v>
      </c>
      <c r="D14756" t="str">
        <f>TEST_DATA!D14756</f>
        <v>NON-NIL</v>
      </c>
      <c r="E14756">
        <f>TEST_DATA!E14756</f>
        <v>2960</v>
      </c>
    </row>
    <row r="14757" spans="1:5" x14ac:dyDescent="0.55000000000000004">
      <c r="A14757" t="str">
        <f>TEST_DATA!A14757</f>
        <v>27AAAAA14757Z5</v>
      </c>
      <c r="B14757" t="str">
        <f>TEST_DATA!B14757</f>
        <v>Nov-2017</v>
      </c>
      <c r="C14757">
        <f>TEST_DATA!C14757</f>
        <v>43980</v>
      </c>
      <c r="D14757" t="str">
        <f>TEST_DATA!D14757</f>
        <v>NON-NIL</v>
      </c>
      <c r="E14757">
        <f>TEST_DATA!E14757</f>
        <v>257</v>
      </c>
    </row>
    <row r="14758" spans="1:5" x14ac:dyDescent="0.55000000000000004">
      <c r="A14758" t="str">
        <f>TEST_DATA!A14758</f>
        <v>27AAAAA14758Z5</v>
      </c>
      <c r="B14758" t="str">
        <f>TEST_DATA!B14758</f>
        <v>Mar-2023</v>
      </c>
      <c r="C14758">
        <f>TEST_DATA!C14758</f>
        <v>44912</v>
      </c>
      <c r="D14758" t="str">
        <f>TEST_DATA!D14758</f>
        <v>NIL</v>
      </c>
      <c r="E14758">
        <f>TEST_DATA!E14758</f>
        <v>1111</v>
      </c>
    </row>
    <row r="14759" spans="1:5" x14ac:dyDescent="0.55000000000000004">
      <c r="A14759" t="str">
        <f>TEST_DATA!A14759</f>
        <v>27AAAAA14759Z5</v>
      </c>
      <c r="B14759" t="str">
        <f>TEST_DATA!B14759</f>
        <v>May-2020</v>
      </c>
      <c r="C14759">
        <f>TEST_DATA!C14759</f>
        <v>44376</v>
      </c>
      <c r="D14759" t="str">
        <f>TEST_DATA!D14759</f>
        <v>NIL</v>
      </c>
      <c r="E14759">
        <f>TEST_DATA!E14759</f>
        <v>100</v>
      </c>
    </row>
    <row r="14760" spans="1:5" x14ac:dyDescent="0.55000000000000004">
      <c r="A14760" t="str">
        <f>TEST_DATA!A14760</f>
        <v>27AAAAA14760Z5</v>
      </c>
      <c r="B14760" t="str">
        <f>TEST_DATA!B14760</f>
        <v>Nov-2017</v>
      </c>
      <c r="C14760">
        <f>TEST_DATA!C14760</f>
        <v>44110</v>
      </c>
      <c r="D14760" t="str">
        <f>TEST_DATA!D14760</f>
        <v>NON-NIL</v>
      </c>
      <c r="E14760">
        <f>TEST_DATA!E14760</f>
        <v>2936</v>
      </c>
    </row>
    <row r="14761" spans="1:5" x14ac:dyDescent="0.55000000000000004">
      <c r="A14761" t="str">
        <f>TEST_DATA!A14761</f>
        <v>27AAAAA14761Z5</v>
      </c>
      <c r="B14761" t="str">
        <f>TEST_DATA!B14761</f>
        <v>Feb-2018</v>
      </c>
      <c r="C14761">
        <f>TEST_DATA!C14761</f>
        <v>44041</v>
      </c>
      <c r="D14761" t="str">
        <f>TEST_DATA!D14761</f>
        <v>NON-NIL</v>
      </c>
      <c r="E14761">
        <f>TEST_DATA!E14761</f>
        <v>1272</v>
      </c>
    </row>
    <row r="14762" spans="1:5" x14ac:dyDescent="0.55000000000000004">
      <c r="A14762" t="str">
        <f>TEST_DATA!A14762</f>
        <v>27AAAAA14762Z5</v>
      </c>
      <c r="B14762" t="str">
        <f>TEST_DATA!B14762</f>
        <v>Mar-2018</v>
      </c>
      <c r="C14762">
        <f>TEST_DATA!C14762</f>
        <v>43278</v>
      </c>
      <c r="D14762" t="str">
        <f>TEST_DATA!D14762</f>
        <v>NON-NIL</v>
      </c>
      <c r="E14762">
        <f>TEST_DATA!E14762</f>
        <v>248</v>
      </c>
    </row>
    <row r="14763" spans="1:5" x14ac:dyDescent="0.55000000000000004">
      <c r="A14763" t="str">
        <f>TEST_DATA!A14763</f>
        <v>27AAAAA14763Z5</v>
      </c>
      <c r="B14763" t="str">
        <f>TEST_DATA!B14763</f>
        <v>Nov-2017</v>
      </c>
      <c r="C14763">
        <f>TEST_DATA!C14763</f>
        <v>44177</v>
      </c>
      <c r="D14763" t="str">
        <f>TEST_DATA!D14763</f>
        <v>NON-NIL</v>
      </c>
      <c r="E14763">
        <f>TEST_DATA!E14763</f>
        <v>2193</v>
      </c>
    </row>
    <row r="14764" spans="1:5" x14ac:dyDescent="0.55000000000000004">
      <c r="A14764" t="str">
        <f>TEST_DATA!A14764</f>
        <v>27AAAAA14764Z5</v>
      </c>
      <c r="B14764" t="str">
        <f>TEST_DATA!B14764</f>
        <v>Mar-2021</v>
      </c>
      <c r="C14764">
        <f>TEST_DATA!C14764</f>
        <v>43496</v>
      </c>
      <c r="D14764" t="str">
        <f>TEST_DATA!D14764</f>
        <v>NON-NIL</v>
      </c>
      <c r="E14764">
        <f>TEST_DATA!E14764</f>
        <v>2862</v>
      </c>
    </row>
    <row r="14765" spans="1:5" x14ac:dyDescent="0.55000000000000004">
      <c r="A14765" t="str">
        <f>TEST_DATA!A14765</f>
        <v>27AAAAA14765Z5</v>
      </c>
      <c r="B14765" t="str">
        <f>TEST_DATA!B14765</f>
        <v>Aug-2018</v>
      </c>
      <c r="C14765">
        <f>TEST_DATA!C14765</f>
        <v>43972</v>
      </c>
      <c r="D14765" t="str">
        <f>TEST_DATA!D14765</f>
        <v>NON-NIL</v>
      </c>
      <c r="E14765">
        <f>TEST_DATA!E14765</f>
        <v>2877</v>
      </c>
    </row>
    <row r="14766" spans="1:5" x14ac:dyDescent="0.55000000000000004">
      <c r="A14766" t="str">
        <f>TEST_DATA!A14766</f>
        <v>27AAAAA14766Z5</v>
      </c>
      <c r="B14766" t="str">
        <f>TEST_DATA!B14766</f>
        <v>Jan-2021</v>
      </c>
      <c r="C14766">
        <f>TEST_DATA!C14766</f>
        <v>45751</v>
      </c>
      <c r="D14766" t="str">
        <f>TEST_DATA!D14766</f>
        <v>NIL</v>
      </c>
      <c r="E14766">
        <f>TEST_DATA!E14766</f>
        <v>2208</v>
      </c>
    </row>
    <row r="14767" spans="1:5" x14ac:dyDescent="0.55000000000000004">
      <c r="A14767" t="str">
        <f>TEST_DATA!A14767</f>
        <v>27AAAAA14767Z5</v>
      </c>
      <c r="B14767" t="str">
        <f>TEST_DATA!B14767</f>
        <v>Jul-2020</v>
      </c>
      <c r="C14767">
        <f>TEST_DATA!C14767</f>
        <v>44755</v>
      </c>
      <c r="D14767" t="str">
        <f>TEST_DATA!D14767</f>
        <v>NON-NIL</v>
      </c>
      <c r="E14767">
        <f>TEST_DATA!E14767</f>
        <v>816</v>
      </c>
    </row>
    <row r="14768" spans="1:5" x14ac:dyDescent="0.55000000000000004">
      <c r="A14768" t="str">
        <f>TEST_DATA!A14768</f>
        <v>27AAAAA14768Z5</v>
      </c>
      <c r="B14768" t="str">
        <f>TEST_DATA!B14768</f>
        <v>Dec-2024</v>
      </c>
      <c r="C14768">
        <f>TEST_DATA!C14768</f>
        <v>44510</v>
      </c>
      <c r="D14768" t="str">
        <f>TEST_DATA!D14768</f>
        <v>NIL</v>
      </c>
      <c r="E14768">
        <f>TEST_DATA!E14768</f>
        <v>1997</v>
      </c>
    </row>
    <row r="14769" spans="1:5" x14ac:dyDescent="0.55000000000000004">
      <c r="A14769" t="str">
        <f>TEST_DATA!A14769</f>
        <v>27AAAAA14769Z5</v>
      </c>
      <c r="B14769" t="str">
        <f>TEST_DATA!B14769</f>
        <v>Dec-2017</v>
      </c>
      <c r="C14769">
        <f>TEST_DATA!C14769</f>
        <v>43546</v>
      </c>
      <c r="D14769" t="str">
        <f>TEST_DATA!D14769</f>
        <v>NON-NIL</v>
      </c>
      <c r="E14769">
        <f>TEST_DATA!E14769</f>
        <v>1906</v>
      </c>
    </row>
    <row r="14770" spans="1:5" x14ac:dyDescent="0.55000000000000004">
      <c r="A14770" t="str">
        <f>TEST_DATA!A14770</f>
        <v>27AAAAA14770Z5</v>
      </c>
      <c r="B14770" t="str">
        <f>TEST_DATA!B14770</f>
        <v>Oct-2017</v>
      </c>
      <c r="C14770">
        <f>TEST_DATA!C14770</f>
        <v>43145</v>
      </c>
      <c r="D14770" t="str">
        <f>TEST_DATA!D14770</f>
        <v>NON-NIL</v>
      </c>
      <c r="E14770">
        <f>TEST_DATA!E14770</f>
        <v>1824</v>
      </c>
    </row>
    <row r="14771" spans="1:5" x14ac:dyDescent="0.55000000000000004">
      <c r="A14771" t="str">
        <f>TEST_DATA!A14771</f>
        <v>27AAAAA14771Z5</v>
      </c>
      <c r="B14771" t="str">
        <f>TEST_DATA!B14771</f>
        <v>Dec-2019</v>
      </c>
      <c r="C14771">
        <f>TEST_DATA!C14771</f>
        <v>45334</v>
      </c>
      <c r="D14771" t="str">
        <f>TEST_DATA!D14771</f>
        <v>NIL</v>
      </c>
      <c r="E14771">
        <f>TEST_DATA!E14771</f>
        <v>1967</v>
      </c>
    </row>
    <row r="14772" spans="1:5" x14ac:dyDescent="0.55000000000000004">
      <c r="A14772" t="str">
        <f>TEST_DATA!A14772</f>
        <v>27AAAAA14772Z5</v>
      </c>
      <c r="B14772" t="str">
        <f>TEST_DATA!B14772</f>
        <v>Apr-2021</v>
      </c>
      <c r="C14772">
        <f>TEST_DATA!C14772</f>
        <v>45665</v>
      </c>
      <c r="D14772" t="str">
        <f>TEST_DATA!D14772</f>
        <v>NIL</v>
      </c>
      <c r="E14772">
        <f>TEST_DATA!E14772</f>
        <v>1398</v>
      </c>
    </row>
    <row r="14773" spans="1:5" x14ac:dyDescent="0.55000000000000004">
      <c r="A14773" t="str">
        <f>TEST_DATA!A14773</f>
        <v>27AAAAA14773Z5</v>
      </c>
      <c r="B14773" t="str">
        <f>TEST_DATA!B14773</f>
        <v>Dec-2024</v>
      </c>
      <c r="C14773">
        <f>TEST_DATA!C14773</f>
        <v>45131</v>
      </c>
      <c r="D14773" t="str">
        <f>TEST_DATA!D14773</f>
        <v>NIL</v>
      </c>
      <c r="E14773">
        <f>TEST_DATA!E14773</f>
        <v>1653</v>
      </c>
    </row>
    <row r="14774" spans="1:5" x14ac:dyDescent="0.55000000000000004">
      <c r="A14774" t="str">
        <f>TEST_DATA!A14774</f>
        <v>27AAAAA14774Z5</v>
      </c>
      <c r="B14774" t="str">
        <f>TEST_DATA!B14774</f>
        <v>Dec-2017</v>
      </c>
      <c r="C14774">
        <f>TEST_DATA!C14774</f>
        <v>43050</v>
      </c>
      <c r="D14774" t="str">
        <f>TEST_DATA!D14774</f>
        <v>NON-NIL</v>
      </c>
      <c r="E14774">
        <f>TEST_DATA!E14774</f>
        <v>866</v>
      </c>
    </row>
    <row r="14775" spans="1:5" x14ac:dyDescent="0.55000000000000004">
      <c r="A14775" t="str">
        <f>TEST_DATA!A14775</f>
        <v>27AAAAA14775Z5</v>
      </c>
      <c r="B14775" t="str">
        <f>TEST_DATA!B14775</f>
        <v>Jul-2018</v>
      </c>
      <c r="C14775">
        <f>TEST_DATA!C14775</f>
        <v>43887</v>
      </c>
      <c r="D14775" t="str">
        <f>TEST_DATA!D14775</f>
        <v>NIL</v>
      </c>
      <c r="E14775">
        <f>TEST_DATA!E14775</f>
        <v>960</v>
      </c>
    </row>
    <row r="14776" spans="1:5" x14ac:dyDescent="0.55000000000000004">
      <c r="A14776" t="str">
        <f>TEST_DATA!A14776</f>
        <v>27AAAAA14776Z5</v>
      </c>
      <c r="B14776" t="str">
        <f>TEST_DATA!B14776</f>
        <v>Jan-2021</v>
      </c>
      <c r="C14776">
        <f>TEST_DATA!C14776</f>
        <v>45626</v>
      </c>
      <c r="D14776" t="str">
        <f>TEST_DATA!D14776</f>
        <v>NON-NIL</v>
      </c>
      <c r="E14776">
        <f>TEST_DATA!E14776</f>
        <v>808</v>
      </c>
    </row>
    <row r="14777" spans="1:5" x14ac:dyDescent="0.55000000000000004">
      <c r="A14777" t="str">
        <f>TEST_DATA!A14777</f>
        <v>27AAAAA14777Z5</v>
      </c>
      <c r="B14777" t="str">
        <f>TEST_DATA!B14777</f>
        <v>Sep-2017</v>
      </c>
      <c r="C14777">
        <f>TEST_DATA!C14777</f>
        <v>43514</v>
      </c>
      <c r="D14777" t="str">
        <f>TEST_DATA!D14777</f>
        <v>NIL</v>
      </c>
      <c r="E14777">
        <f>TEST_DATA!E14777</f>
        <v>2861</v>
      </c>
    </row>
    <row r="14778" spans="1:5" x14ac:dyDescent="0.55000000000000004">
      <c r="A14778" t="str">
        <f>TEST_DATA!A14778</f>
        <v>27AAAAA14778Z5</v>
      </c>
      <c r="B14778" t="str">
        <f>TEST_DATA!B14778</f>
        <v>May-2020</v>
      </c>
      <c r="C14778">
        <f>TEST_DATA!C14778</f>
        <v>44272</v>
      </c>
      <c r="D14778" t="str">
        <f>TEST_DATA!D14778</f>
        <v>NIL</v>
      </c>
      <c r="E14778">
        <f>TEST_DATA!E14778</f>
        <v>2331</v>
      </c>
    </row>
    <row r="14779" spans="1:5" x14ac:dyDescent="0.55000000000000004">
      <c r="A14779" t="str">
        <f>TEST_DATA!A14779</f>
        <v>27AAAAA14779Z5</v>
      </c>
      <c r="B14779" t="str">
        <f>TEST_DATA!B14779</f>
        <v>Jul-2020</v>
      </c>
      <c r="C14779">
        <f>TEST_DATA!C14779</f>
        <v>44071</v>
      </c>
      <c r="D14779" t="str">
        <f>TEST_DATA!D14779</f>
        <v>NON-NIL</v>
      </c>
      <c r="E14779">
        <f>TEST_DATA!E14779</f>
        <v>1741</v>
      </c>
    </row>
    <row r="14780" spans="1:5" x14ac:dyDescent="0.55000000000000004">
      <c r="A14780" t="str">
        <f>TEST_DATA!A14780</f>
        <v>27AAAAA14780Z5</v>
      </c>
      <c r="B14780" t="str">
        <f>TEST_DATA!B14780</f>
        <v>Aug-2018</v>
      </c>
      <c r="C14780">
        <f>TEST_DATA!C14780</f>
        <v>44503</v>
      </c>
      <c r="D14780" t="str">
        <f>TEST_DATA!D14780</f>
        <v>NIL</v>
      </c>
      <c r="E14780">
        <f>TEST_DATA!E14780</f>
        <v>1737</v>
      </c>
    </row>
    <row r="14781" spans="1:5" x14ac:dyDescent="0.55000000000000004">
      <c r="A14781" t="str">
        <f>TEST_DATA!A14781</f>
        <v>27AAAAA14781Z5</v>
      </c>
      <c r="B14781" t="str">
        <f>TEST_DATA!B14781</f>
        <v>Dec-2017</v>
      </c>
      <c r="C14781">
        <f>TEST_DATA!C14781</f>
        <v>43553</v>
      </c>
      <c r="D14781" t="str">
        <f>TEST_DATA!D14781</f>
        <v>NON-NIL</v>
      </c>
      <c r="E14781">
        <f>TEST_DATA!E14781</f>
        <v>2528</v>
      </c>
    </row>
    <row r="14782" spans="1:5" x14ac:dyDescent="0.55000000000000004">
      <c r="A14782" t="str">
        <f>TEST_DATA!A14782</f>
        <v>27AAAAA14782Z5</v>
      </c>
      <c r="B14782" t="str">
        <f>TEST_DATA!B14782</f>
        <v>Jan-2021</v>
      </c>
      <c r="C14782">
        <f>TEST_DATA!C14782</f>
        <v>45700</v>
      </c>
      <c r="D14782" t="str">
        <f>TEST_DATA!D14782</f>
        <v>NON-NIL</v>
      </c>
      <c r="E14782">
        <f>TEST_DATA!E14782</f>
        <v>1964</v>
      </c>
    </row>
    <row r="14783" spans="1:5" x14ac:dyDescent="0.55000000000000004">
      <c r="A14783" t="str">
        <f>TEST_DATA!A14783</f>
        <v>27AAAAA14783Z5</v>
      </c>
      <c r="B14783" t="str">
        <f>TEST_DATA!B14783</f>
        <v>Dec-2024</v>
      </c>
      <c r="C14783">
        <f>TEST_DATA!C14783</f>
        <v>45076</v>
      </c>
      <c r="D14783" t="str">
        <f>TEST_DATA!D14783</f>
        <v>NIL</v>
      </c>
      <c r="E14783">
        <f>TEST_DATA!E14783</f>
        <v>311</v>
      </c>
    </row>
    <row r="14784" spans="1:5" x14ac:dyDescent="0.55000000000000004">
      <c r="A14784" t="str">
        <f>TEST_DATA!A14784</f>
        <v>27AAAAA14784Z5</v>
      </c>
      <c r="B14784" t="str">
        <f>TEST_DATA!B14784</f>
        <v>Jun-2019</v>
      </c>
      <c r="C14784">
        <f>TEST_DATA!C14784</f>
        <v>44033</v>
      </c>
      <c r="D14784" t="str">
        <f>TEST_DATA!D14784</f>
        <v>NIL</v>
      </c>
      <c r="E14784">
        <f>TEST_DATA!E14784</f>
        <v>1278</v>
      </c>
    </row>
    <row r="14785" spans="1:5" x14ac:dyDescent="0.55000000000000004">
      <c r="A14785" t="str">
        <f>TEST_DATA!A14785</f>
        <v>27AAAAA14785Z5</v>
      </c>
      <c r="B14785" t="str">
        <f>TEST_DATA!B14785</f>
        <v>Sep-2018</v>
      </c>
      <c r="C14785">
        <f>TEST_DATA!C14785</f>
        <v>44083</v>
      </c>
      <c r="D14785" t="str">
        <f>TEST_DATA!D14785</f>
        <v>NIL</v>
      </c>
      <c r="E14785">
        <f>TEST_DATA!E14785</f>
        <v>515</v>
      </c>
    </row>
    <row r="14786" spans="1:5" x14ac:dyDescent="0.55000000000000004">
      <c r="A14786" t="str">
        <f>TEST_DATA!A14786</f>
        <v>27AAAAA14786Z5</v>
      </c>
      <c r="B14786" t="str">
        <f>TEST_DATA!B14786</f>
        <v>Mar-2018</v>
      </c>
      <c r="C14786">
        <f>TEST_DATA!C14786</f>
        <v>43928</v>
      </c>
      <c r="D14786" t="str">
        <f>TEST_DATA!D14786</f>
        <v>NON-NIL</v>
      </c>
      <c r="E14786">
        <f>TEST_DATA!E14786</f>
        <v>2671</v>
      </c>
    </row>
    <row r="14787" spans="1:5" x14ac:dyDescent="0.55000000000000004">
      <c r="A14787" t="str">
        <f>TEST_DATA!A14787</f>
        <v>27AAAAA14787Z5</v>
      </c>
      <c r="B14787" t="str">
        <f>TEST_DATA!B14787</f>
        <v>Dec-2024</v>
      </c>
      <c r="C14787">
        <f>TEST_DATA!C14787</f>
        <v>45727</v>
      </c>
      <c r="D14787" t="str">
        <f>TEST_DATA!D14787</f>
        <v>NON-NIL</v>
      </c>
      <c r="E14787">
        <f>TEST_DATA!E14787</f>
        <v>1802</v>
      </c>
    </row>
    <row r="14788" spans="1:5" x14ac:dyDescent="0.55000000000000004">
      <c r="A14788" t="str">
        <f>TEST_DATA!A14788</f>
        <v>27AAAAA14788Z5</v>
      </c>
      <c r="B14788" t="str">
        <f>TEST_DATA!B14788</f>
        <v>Aug-2017</v>
      </c>
      <c r="C14788">
        <f>TEST_DATA!C14788</f>
        <v>44323</v>
      </c>
      <c r="D14788" t="str">
        <f>TEST_DATA!D14788</f>
        <v>NON-NIL</v>
      </c>
      <c r="E14788">
        <f>TEST_DATA!E14788</f>
        <v>419</v>
      </c>
    </row>
    <row r="14789" spans="1:5" x14ac:dyDescent="0.55000000000000004">
      <c r="A14789" t="str">
        <f>TEST_DATA!A14789</f>
        <v>27AAAAA14789Z5</v>
      </c>
      <c r="B14789" t="str">
        <f>TEST_DATA!B14789</f>
        <v>Jul-2018</v>
      </c>
      <c r="C14789">
        <f>TEST_DATA!C14789</f>
        <v>43824</v>
      </c>
      <c r="D14789" t="str">
        <f>TEST_DATA!D14789</f>
        <v>NIL</v>
      </c>
      <c r="E14789">
        <f>TEST_DATA!E14789</f>
        <v>2612</v>
      </c>
    </row>
    <row r="14790" spans="1:5" x14ac:dyDescent="0.55000000000000004">
      <c r="A14790" t="str">
        <f>TEST_DATA!A14790</f>
        <v>27AAAAA14790Z5</v>
      </c>
      <c r="B14790" t="str">
        <f>TEST_DATA!B14790</f>
        <v>Mar-2018</v>
      </c>
      <c r="C14790">
        <f>TEST_DATA!C14790</f>
        <v>43979</v>
      </c>
      <c r="D14790" t="str">
        <f>TEST_DATA!D14790</f>
        <v>NON-NIL</v>
      </c>
      <c r="E14790">
        <f>TEST_DATA!E14790</f>
        <v>1885</v>
      </c>
    </row>
    <row r="14791" spans="1:5" x14ac:dyDescent="0.55000000000000004">
      <c r="A14791" t="str">
        <f>TEST_DATA!A14791</f>
        <v>27AAAAA14791Z5</v>
      </c>
      <c r="B14791" t="str">
        <f>TEST_DATA!B14791</f>
        <v>Apr-2020</v>
      </c>
      <c r="C14791">
        <f>TEST_DATA!C14791</f>
        <v>44119</v>
      </c>
      <c r="D14791" t="str">
        <f>TEST_DATA!D14791</f>
        <v>NON-NIL</v>
      </c>
      <c r="E14791">
        <f>TEST_DATA!E14791</f>
        <v>1868</v>
      </c>
    </row>
    <row r="14792" spans="1:5" x14ac:dyDescent="0.55000000000000004">
      <c r="A14792" t="str">
        <f>TEST_DATA!A14792</f>
        <v>27AAAAA14792Z5</v>
      </c>
      <c r="B14792" t="str">
        <f>TEST_DATA!B14792</f>
        <v>Dec-2019</v>
      </c>
      <c r="C14792">
        <f>TEST_DATA!C14792</f>
        <v>44983</v>
      </c>
      <c r="D14792" t="str">
        <f>TEST_DATA!D14792</f>
        <v>NIL</v>
      </c>
      <c r="E14792">
        <f>TEST_DATA!E14792</f>
        <v>787</v>
      </c>
    </row>
    <row r="14793" spans="1:5" x14ac:dyDescent="0.55000000000000004">
      <c r="A14793" t="str">
        <f>TEST_DATA!A14793</f>
        <v>27AAAAA14793Z5</v>
      </c>
      <c r="B14793" t="str">
        <f>TEST_DATA!B14793</f>
        <v>May-2018</v>
      </c>
      <c r="C14793">
        <f>TEST_DATA!C14793</f>
        <v>43226</v>
      </c>
      <c r="D14793" t="str">
        <f>TEST_DATA!D14793</f>
        <v>NIL</v>
      </c>
      <c r="E14793">
        <f>TEST_DATA!E14793</f>
        <v>106</v>
      </c>
    </row>
    <row r="14794" spans="1:5" x14ac:dyDescent="0.55000000000000004">
      <c r="A14794" t="str">
        <f>TEST_DATA!A14794</f>
        <v>27AAAAA14794Z5</v>
      </c>
      <c r="B14794" t="str">
        <f>TEST_DATA!B14794</f>
        <v>Apr-2021</v>
      </c>
      <c r="C14794">
        <f>TEST_DATA!C14794</f>
        <v>44240</v>
      </c>
      <c r="D14794" t="str">
        <f>TEST_DATA!D14794</f>
        <v>NON-NIL</v>
      </c>
      <c r="E14794">
        <f>TEST_DATA!E14794</f>
        <v>287</v>
      </c>
    </row>
    <row r="14795" spans="1:5" x14ac:dyDescent="0.55000000000000004">
      <c r="A14795" t="str">
        <f>TEST_DATA!A14795</f>
        <v>27AAAAA14795Z5</v>
      </c>
      <c r="B14795" t="str">
        <f>TEST_DATA!B14795</f>
        <v>Feb-2018</v>
      </c>
      <c r="C14795">
        <f>TEST_DATA!C14795</f>
        <v>44508</v>
      </c>
      <c r="D14795" t="str">
        <f>TEST_DATA!D14795</f>
        <v>NON-NIL</v>
      </c>
      <c r="E14795">
        <f>TEST_DATA!E14795</f>
        <v>979</v>
      </c>
    </row>
    <row r="14796" spans="1:5" x14ac:dyDescent="0.55000000000000004">
      <c r="A14796" t="str">
        <f>TEST_DATA!A14796</f>
        <v>27AAAAA14796Z5</v>
      </c>
      <c r="B14796" t="str">
        <f>TEST_DATA!B14796</f>
        <v>Mar-2018</v>
      </c>
      <c r="C14796">
        <f>TEST_DATA!C14796</f>
        <v>43615</v>
      </c>
      <c r="D14796" t="str">
        <f>TEST_DATA!D14796</f>
        <v>NON-NIL</v>
      </c>
      <c r="E14796">
        <f>TEST_DATA!E14796</f>
        <v>526</v>
      </c>
    </row>
    <row r="14797" spans="1:5" x14ac:dyDescent="0.55000000000000004">
      <c r="A14797" t="str">
        <f>TEST_DATA!A14797</f>
        <v>27AAAAA14797Z5</v>
      </c>
      <c r="B14797" t="str">
        <f>TEST_DATA!B14797</f>
        <v>Apr-2018</v>
      </c>
      <c r="C14797">
        <f>TEST_DATA!C14797</f>
        <v>43896</v>
      </c>
      <c r="D14797" t="str">
        <f>TEST_DATA!D14797</f>
        <v>NIL</v>
      </c>
      <c r="E14797">
        <f>TEST_DATA!E14797</f>
        <v>268</v>
      </c>
    </row>
    <row r="14798" spans="1:5" x14ac:dyDescent="0.55000000000000004">
      <c r="A14798" t="str">
        <f>TEST_DATA!A14798</f>
        <v>27AAAAA14798Z5</v>
      </c>
      <c r="B14798" t="str">
        <f>TEST_DATA!B14798</f>
        <v>Jun-2018</v>
      </c>
      <c r="C14798">
        <f>TEST_DATA!C14798</f>
        <v>43561</v>
      </c>
      <c r="D14798" t="str">
        <f>TEST_DATA!D14798</f>
        <v>NIL</v>
      </c>
      <c r="E14798">
        <f>TEST_DATA!E14798</f>
        <v>740</v>
      </c>
    </row>
    <row r="14799" spans="1:5" x14ac:dyDescent="0.55000000000000004">
      <c r="A14799" t="str">
        <f>TEST_DATA!A14799</f>
        <v>27AAAAA14799Z5</v>
      </c>
      <c r="B14799" t="str">
        <f>TEST_DATA!B14799</f>
        <v>Sep-2017</v>
      </c>
      <c r="C14799">
        <f>TEST_DATA!C14799</f>
        <v>44058</v>
      </c>
      <c r="D14799" t="str">
        <f>TEST_DATA!D14799</f>
        <v>NIL</v>
      </c>
      <c r="E14799">
        <f>TEST_DATA!E14799</f>
        <v>2317</v>
      </c>
    </row>
    <row r="14800" spans="1:5" x14ac:dyDescent="0.55000000000000004">
      <c r="A14800" t="str">
        <f>TEST_DATA!A14800</f>
        <v>27AAAAA14800Z5</v>
      </c>
      <c r="B14800" t="str">
        <f>TEST_DATA!B14800</f>
        <v>May-2018</v>
      </c>
      <c r="C14800">
        <f>TEST_DATA!C14800</f>
        <v>43089</v>
      </c>
      <c r="D14800" t="str">
        <f>TEST_DATA!D14800</f>
        <v>NON-NIL</v>
      </c>
      <c r="E14800">
        <f>TEST_DATA!E14800</f>
        <v>377</v>
      </c>
    </row>
    <row r="14801" spans="1:5" x14ac:dyDescent="0.55000000000000004">
      <c r="A14801" t="str">
        <f>TEST_DATA!A14801</f>
        <v>27AAAAA14801Z5</v>
      </c>
      <c r="B14801" t="str">
        <f>TEST_DATA!B14801</f>
        <v>Apr-2021</v>
      </c>
      <c r="C14801">
        <f>TEST_DATA!C14801</f>
        <v>43473</v>
      </c>
      <c r="D14801" t="str">
        <f>TEST_DATA!D14801</f>
        <v>NON-NIL</v>
      </c>
      <c r="E14801">
        <f>TEST_DATA!E14801</f>
        <v>106</v>
      </c>
    </row>
    <row r="14802" spans="1:5" x14ac:dyDescent="0.55000000000000004">
      <c r="A14802" t="str">
        <f>TEST_DATA!A14802</f>
        <v>27AAAAA14802Z5</v>
      </c>
      <c r="B14802" t="str">
        <f>TEST_DATA!B14802</f>
        <v>Aug-2018</v>
      </c>
      <c r="C14802">
        <f>TEST_DATA!C14802</f>
        <v>43851</v>
      </c>
      <c r="D14802" t="str">
        <f>TEST_DATA!D14802</f>
        <v>NON-NIL</v>
      </c>
      <c r="E14802">
        <f>TEST_DATA!E14802</f>
        <v>2675</v>
      </c>
    </row>
    <row r="14803" spans="1:5" x14ac:dyDescent="0.55000000000000004">
      <c r="A14803" t="str">
        <f>TEST_DATA!A14803</f>
        <v>27AAAAA14803Z5</v>
      </c>
      <c r="B14803" t="str">
        <f>TEST_DATA!B14803</f>
        <v>Aug-2018</v>
      </c>
      <c r="C14803">
        <f>TEST_DATA!C14803</f>
        <v>44283</v>
      </c>
      <c r="D14803" t="str">
        <f>TEST_DATA!D14803</f>
        <v>NIL</v>
      </c>
      <c r="E14803">
        <f>TEST_DATA!E14803</f>
        <v>479</v>
      </c>
    </row>
    <row r="14804" spans="1:5" x14ac:dyDescent="0.55000000000000004">
      <c r="A14804" t="str">
        <f>TEST_DATA!A14804</f>
        <v>27AAAAA14804Z5</v>
      </c>
      <c r="B14804" t="str">
        <f>TEST_DATA!B14804</f>
        <v>Jan-2018</v>
      </c>
      <c r="C14804">
        <f>TEST_DATA!C14804</f>
        <v>43116</v>
      </c>
      <c r="D14804" t="str">
        <f>TEST_DATA!D14804</f>
        <v>NON-NIL</v>
      </c>
      <c r="E14804">
        <f>TEST_DATA!E14804</f>
        <v>1219</v>
      </c>
    </row>
    <row r="14805" spans="1:5" x14ac:dyDescent="0.55000000000000004">
      <c r="A14805" t="str">
        <f>TEST_DATA!A14805</f>
        <v>27AAAAA14805Z5</v>
      </c>
      <c r="B14805" t="str">
        <f>TEST_DATA!B14805</f>
        <v>May-2018</v>
      </c>
      <c r="C14805">
        <f>TEST_DATA!C14805</f>
        <v>43416</v>
      </c>
      <c r="D14805" t="str">
        <f>TEST_DATA!D14805</f>
        <v>NIL</v>
      </c>
      <c r="E14805">
        <f>TEST_DATA!E14805</f>
        <v>791</v>
      </c>
    </row>
    <row r="14806" spans="1:5" x14ac:dyDescent="0.55000000000000004">
      <c r="A14806" t="str">
        <f>TEST_DATA!A14806</f>
        <v>27AAAAA14806Z5</v>
      </c>
      <c r="B14806" t="str">
        <f>TEST_DATA!B14806</f>
        <v>Jul-2018</v>
      </c>
      <c r="C14806">
        <f>TEST_DATA!C14806</f>
        <v>43523</v>
      </c>
      <c r="D14806" t="str">
        <f>TEST_DATA!D14806</f>
        <v>NIL</v>
      </c>
      <c r="E14806">
        <f>TEST_DATA!E14806</f>
        <v>1428</v>
      </c>
    </row>
    <row r="14807" spans="1:5" x14ac:dyDescent="0.55000000000000004">
      <c r="A14807" t="str">
        <f>TEST_DATA!A14807</f>
        <v>27AAAAA14807Z5</v>
      </c>
      <c r="B14807" t="str">
        <f>TEST_DATA!B14807</f>
        <v>May-2018</v>
      </c>
      <c r="C14807">
        <f>TEST_DATA!C14807</f>
        <v>42933</v>
      </c>
      <c r="D14807" t="str">
        <f>TEST_DATA!D14807</f>
        <v>NIL</v>
      </c>
      <c r="E14807">
        <f>TEST_DATA!E14807</f>
        <v>1477</v>
      </c>
    </row>
    <row r="14808" spans="1:5" x14ac:dyDescent="0.55000000000000004">
      <c r="A14808" t="str">
        <f>TEST_DATA!A14808</f>
        <v>27AAAAA14808Z5</v>
      </c>
      <c r="B14808" t="str">
        <f>TEST_DATA!B14808</f>
        <v>Feb-2018</v>
      </c>
      <c r="C14808">
        <f>TEST_DATA!C14808</f>
        <v>43414</v>
      </c>
      <c r="D14808" t="str">
        <f>TEST_DATA!D14808</f>
        <v>NIL</v>
      </c>
      <c r="E14808">
        <f>TEST_DATA!E14808</f>
        <v>362</v>
      </c>
    </row>
    <row r="14809" spans="1:5" x14ac:dyDescent="0.55000000000000004">
      <c r="A14809" t="str">
        <f>TEST_DATA!A14809</f>
        <v>27AAAAA14809Z5</v>
      </c>
      <c r="B14809" t="str">
        <f>TEST_DATA!B14809</f>
        <v>Aug-2017</v>
      </c>
      <c r="C14809">
        <f>TEST_DATA!C14809</f>
        <v>43122</v>
      </c>
      <c r="D14809" t="str">
        <f>TEST_DATA!D14809</f>
        <v>NIL</v>
      </c>
      <c r="E14809">
        <f>TEST_DATA!E14809</f>
        <v>1381</v>
      </c>
    </row>
    <row r="14810" spans="1:5" x14ac:dyDescent="0.55000000000000004">
      <c r="A14810" t="str">
        <f>TEST_DATA!A14810</f>
        <v>27AAAAA14810Z5</v>
      </c>
      <c r="B14810" t="str">
        <f>TEST_DATA!B14810</f>
        <v>Apr-2018</v>
      </c>
      <c r="C14810">
        <f>TEST_DATA!C14810</f>
        <v>44346</v>
      </c>
      <c r="D14810" t="str">
        <f>TEST_DATA!D14810</f>
        <v>NON-NIL</v>
      </c>
      <c r="E14810">
        <f>TEST_DATA!E14810</f>
        <v>1847</v>
      </c>
    </row>
    <row r="14811" spans="1:5" x14ac:dyDescent="0.55000000000000004">
      <c r="A14811" t="str">
        <f>TEST_DATA!A14811</f>
        <v>27AAAAA14811Z5</v>
      </c>
      <c r="B14811" t="str">
        <f>TEST_DATA!B14811</f>
        <v>May-2018</v>
      </c>
      <c r="C14811">
        <f>TEST_DATA!C14811</f>
        <v>44492</v>
      </c>
      <c r="D14811" t="str">
        <f>TEST_DATA!D14811</f>
        <v>NIL</v>
      </c>
      <c r="E14811">
        <f>TEST_DATA!E14811</f>
        <v>1196</v>
      </c>
    </row>
    <row r="14812" spans="1:5" x14ac:dyDescent="0.55000000000000004">
      <c r="A14812" t="str">
        <f>TEST_DATA!A14812</f>
        <v>27AAAAA14812Z5</v>
      </c>
      <c r="B14812" t="str">
        <f>TEST_DATA!B14812</f>
        <v>Mar-2020</v>
      </c>
      <c r="C14812">
        <f>TEST_DATA!C14812</f>
        <v>44564</v>
      </c>
      <c r="D14812" t="str">
        <f>TEST_DATA!D14812</f>
        <v>NON-NIL</v>
      </c>
      <c r="E14812">
        <f>TEST_DATA!E14812</f>
        <v>1930</v>
      </c>
    </row>
    <row r="14813" spans="1:5" x14ac:dyDescent="0.55000000000000004">
      <c r="A14813" t="str">
        <f>TEST_DATA!A14813</f>
        <v>27AAAAA14813Z5</v>
      </c>
      <c r="B14813" t="str">
        <f>TEST_DATA!B14813</f>
        <v>Aug-2017</v>
      </c>
      <c r="C14813">
        <f>TEST_DATA!C14813</f>
        <v>43393</v>
      </c>
      <c r="D14813" t="str">
        <f>TEST_DATA!D14813</f>
        <v>NIL</v>
      </c>
      <c r="E14813">
        <f>TEST_DATA!E14813</f>
        <v>2879</v>
      </c>
    </row>
    <row r="14814" spans="1:5" x14ac:dyDescent="0.55000000000000004">
      <c r="A14814" t="str">
        <f>TEST_DATA!A14814</f>
        <v>27AAAAA14814Z5</v>
      </c>
      <c r="B14814" t="str">
        <f>TEST_DATA!B14814</f>
        <v>Apr-2021</v>
      </c>
      <c r="C14814">
        <f>TEST_DATA!C14814</f>
        <v>45432</v>
      </c>
      <c r="D14814" t="str">
        <f>TEST_DATA!D14814</f>
        <v>NIL</v>
      </c>
      <c r="E14814">
        <f>TEST_DATA!E14814</f>
        <v>1476</v>
      </c>
    </row>
    <row r="14815" spans="1:5" x14ac:dyDescent="0.55000000000000004">
      <c r="A14815" t="str">
        <f>TEST_DATA!A14815</f>
        <v>27AAAAA14815Z5</v>
      </c>
      <c r="B14815" t="str">
        <f>TEST_DATA!B14815</f>
        <v>Aug-2018</v>
      </c>
      <c r="C14815">
        <f>TEST_DATA!C14815</f>
        <v>44008</v>
      </c>
      <c r="D14815" t="str">
        <f>TEST_DATA!D14815</f>
        <v>NIL</v>
      </c>
      <c r="E14815">
        <f>TEST_DATA!E14815</f>
        <v>1514</v>
      </c>
    </row>
    <row r="14816" spans="1:5" x14ac:dyDescent="0.55000000000000004">
      <c r="A14816" t="str">
        <f>TEST_DATA!A14816</f>
        <v>27AAAAA14816Z5</v>
      </c>
      <c r="B14816" t="str">
        <f>TEST_DATA!B14816</f>
        <v>Dec-2019</v>
      </c>
      <c r="C14816">
        <f>TEST_DATA!C14816</f>
        <v>44269</v>
      </c>
      <c r="D14816" t="str">
        <f>TEST_DATA!D14816</f>
        <v>NIL</v>
      </c>
      <c r="E14816">
        <f>TEST_DATA!E14816</f>
        <v>168</v>
      </c>
    </row>
    <row r="14817" spans="1:5" x14ac:dyDescent="0.55000000000000004">
      <c r="A14817" t="str">
        <f>TEST_DATA!A14817</f>
        <v>27AAAAA14817Z5</v>
      </c>
      <c r="B14817" t="str">
        <f>TEST_DATA!B14817</f>
        <v>Sep-2017</v>
      </c>
      <c r="C14817">
        <f>TEST_DATA!C14817</f>
        <v>43461</v>
      </c>
      <c r="D14817" t="str">
        <f>TEST_DATA!D14817</f>
        <v>NIL</v>
      </c>
      <c r="E14817">
        <f>TEST_DATA!E14817</f>
        <v>1350</v>
      </c>
    </row>
    <row r="14818" spans="1:5" x14ac:dyDescent="0.55000000000000004">
      <c r="A14818" t="str">
        <f>TEST_DATA!A14818</f>
        <v>27AAAAA14818Z5</v>
      </c>
      <c r="B14818" t="str">
        <f>TEST_DATA!B14818</f>
        <v>Apr-2018</v>
      </c>
      <c r="C14818">
        <f>TEST_DATA!C14818</f>
        <v>43676</v>
      </c>
      <c r="D14818" t="str">
        <f>TEST_DATA!D14818</f>
        <v>NON-NIL</v>
      </c>
      <c r="E14818">
        <f>TEST_DATA!E14818</f>
        <v>790</v>
      </c>
    </row>
    <row r="14819" spans="1:5" x14ac:dyDescent="0.55000000000000004">
      <c r="A14819" t="str">
        <f>TEST_DATA!A14819</f>
        <v>27AAAAA14819Z5</v>
      </c>
      <c r="B14819" t="str">
        <f>TEST_DATA!B14819</f>
        <v>Apr-2021</v>
      </c>
      <c r="C14819">
        <f>TEST_DATA!C14819</f>
        <v>45088</v>
      </c>
      <c r="D14819" t="str">
        <f>TEST_DATA!D14819</f>
        <v>NON-NIL</v>
      </c>
      <c r="E14819">
        <f>TEST_DATA!E14819</f>
        <v>2523</v>
      </c>
    </row>
    <row r="14820" spans="1:5" x14ac:dyDescent="0.55000000000000004">
      <c r="A14820" t="str">
        <f>TEST_DATA!A14820</f>
        <v>27AAAAA14820Z5</v>
      </c>
      <c r="B14820" t="str">
        <f>TEST_DATA!B14820</f>
        <v>Jun-2019</v>
      </c>
      <c r="C14820">
        <f>TEST_DATA!C14820</f>
        <v>45577</v>
      </c>
      <c r="D14820" t="str">
        <f>TEST_DATA!D14820</f>
        <v>NIL</v>
      </c>
      <c r="E14820">
        <f>TEST_DATA!E14820</f>
        <v>1789</v>
      </c>
    </row>
    <row r="14821" spans="1:5" x14ac:dyDescent="0.55000000000000004">
      <c r="A14821" t="str">
        <f>TEST_DATA!A14821</f>
        <v>27AAAAA14821Z5</v>
      </c>
      <c r="B14821" t="str">
        <f>TEST_DATA!B14821</f>
        <v>Jun-2019</v>
      </c>
      <c r="C14821">
        <f>TEST_DATA!C14821</f>
        <v>45241</v>
      </c>
      <c r="D14821" t="str">
        <f>TEST_DATA!D14821</f>
        <v>NIL</v>
      </c>
      <c r="E14821">
        <f>TEST_DATA!E14821</f>
        <v>1717</v>
      </c>
    </row>
    <row r="14822" spans="1:5" x14ac:dyDescent="0.55000000000000004">
      <c r="A14822" t="str">
        <f>TEST_DATA!A14822</f>
        <v>27AAAAA14822Z5</v>
      </c>
      <c r="B14822" t="str">
        <f>TEST_DATA!B14822</f>
        <v>May-2020</v>
      </c>
      <c r="C14822">
        <f>TEST_DATA!C14822</f>
        <v>44446</v>
      </c>
      <c r="D14822" t="str">
        <f>TEST_DATA!D14822</f>
        <v>NON-NIL</v>
      </c>
      <c r="E14822">
        <f>TEST_DATA!E14822</f>
        <v>2946</v>
      </c>
    </row>
    <row r="14823" spans="1:5" x14ac:dyDescent="0.55000000000000004">
      <c r="A14823" t="str">
        <f>TEST_DATA!A14823</f>
        <v>27AAAAA14823Z5</v>
      </c>
      <c r="B14823" t="str">
        <f>TEST_DATA!B14823</f>
        <v>Apr-2018</v>
      </c>
      <c r="C14823">
        <f>TEST_DATA!C14823</f>
        <v>44103</v>
      </c>
      <c r="D14823" t="str">
        <f>TEST_DATA!D14823</f>
        <v>NIL</v>
      </c>
      <c r="E14823">
        <f>TEST_DATA!E14823</f>
        <v>124</v>
      </c>
    </row>
    <row r="14824" spans="1:5" x14ac:dyDescent="0.55000000000000004">
      <c r="A14824" t="str">
        <f>TEST_DATA!A14824</f>
        <v>27AAAAA14824Z5</v>
      </c>
      <c r="B14824" t="str">
        <f>TEST_DATA!B14824</f>
        <v>Jun-2020</v>
      </c>
      <c r="C14824">
        <f>TEST_DATA!C14824</f>
        <v>44657</v>
      </c>
      <c r="D14824" t="str">
        <f>TEST_DATA!D14824</f>
        <v>NIL</v>
      </c>
      <c r="E14824">
        <f>TEST_DATA!E14824</f>
        <v>541</v>
      </c>
    </row>
    <row r="14825" spans="1:5" x14ac:dyDescent="0.55000000000000004">
      <c r="A14825" t="str">
        <f>TEST_DATA!A14825</f>
        <v>27AAAAA14825Z5</v>
      </c>
      <c r="B14825" t="str">
        <f>TEST_DATA!B14825</f>
        <v>Apr-2021</v>
      </c>
      <c r="C14825">
        <f>TEST_DATA!C14825</f>
        <v>45155</v>
      </c>
      <c r="D14825" t="str">
        <f>TEST_DATA!D14825</f>
        <v>NON-NIL</v>
      </c>
      <c r="E14825">
        <f>TEST_DATA!E14825</f>
        <v>790</v>
      </c>
    </row>
    <row r="14826" spans="1:5" x14ac:dyDescent="0.55000000000000004">
      <c r="A14826" t="str">
        <f>TEST_DATA!A14826</f>
        <v>27AAAAA14826Z5</v>
      </c>
      <c r="B14826" t="str">
        <f>TEST_DATA!B14826</f>
        <v>Mar-2020</v>
      </c>
      <c r="C14826">
        <f>TEST_DATA!C14826</f>
        <v>44116</v>
      </c>
      <c r="D14826" t="str">
        <f>TEST_DATA!D14826</f>
        <v>NIL</v>
      </c>
      <c r="E14826">
        <f>TEST_DATA!E14826</f>
        <v>1544</v>
      </c>
    </row>
    <row r="14827" spans="1:5" x14ac:dyDescent="0.55000000000000004">
      <c r="A14827" t="str">
        <f>TEST_DATA!A14827</f>
        <v>27AAAAA14827Z5</v>
      </c>
      <c r="B14827" t="str">
        <f>TEST_DATA!B14827</f>
        <v>Dec-2022</v>
      </c>
      <c r="C14827">
        <f>TEST_DATA!C14827</f>
        <v>43560</v>
      </c>
      <c r="D14827" t="str">
        <f>TEST_DATA!D14827</f>
        <v>NON-NIL</v>
      </c>
      <c r="E14827">
        <f>TEST_DATA!E14827</f>
        <v>575</v>
      </c>
    </row>
    <row r="14828" spans="1:5" x14ac:dyDescent="0.55000000000000004">
      <c r="A14828" t="str">
        <f>TEST_DATA!A14828</f>
        <v>27AAAAA14828Z5</v>
      </c>
      <c r="B14828" t="str">
        <f>TEST_DATA!B14828</f>
        <v>Mar-2023</v>
      </c>
      <c r="C14828">
        <f>TEST_DATA!C14828</f>
        <v>44672</v>
      </c>
      <c r="D14828" t="str">
        <f>TEST_DATA!D14828</f>
        <v>NIL</v>
      </c>
      <c r="E14828">
        <f>TEST_DATA!E14828</f>
        <v>2523</v>
      </c>
    </row>
    <row r="14829" spans="1:5" x14ac:dyDescent="0.55000000000000004">
      <c r="A14829" t="str">
        <f>TEST_DATA!A14829</f>
        <v>27AAAAA14829Z5</v>
      </c>
      <c r="B14829" t="str">
        <f>TEST_DATA!B14829</f>
        <v>Apr-2020</v>
      </c>
      <c r="C14829">
        <f>TEST_DATA!C14829</f>
        <v>44118</v>
      </c>
      <c r="D14829" t="str">
        <f>TEST_DATA!D14829</f>
        <v>NIL</v>
      </c>
      <c r="E14829">
        <f>TEST_DATA!E14829</f>
        <v>366</v>
      </c>
    </row>
    <row r="14830" spans="1:5" x14ac:dyDescent="0.55000000000000004">
      <c r="A14830" t="str">
        <f>TEST_DATA!A14830</f>
        <v>27AAAAA14830Z5</v>
      </c>
      <c r="B14830" t="str">
        <f>TEST_DATA!B14830</f>
        <v>Apr-2020</v>
      </c>
      <c r="C14830">
        <f>TEST_DATA!C14830</f>
        <v>44189</v>
      </c>
      <c r="D14830" t="str">
        <f>TEST_DATA!D14830</f>
        <v>NON-NIL</v>
      </c>
      <c r="E14830">
        <f>TEST_DATA!E14830</f>
        <v>1830</v>
      </c>
    </row>
    <row r="14831" spans="1:5" x14ac:dyDescent="0.55000000000000004">
      <c r="A14831" t="str">
        <f>TEST_DATA!A14831</f>
        <v>27AAAAA14831Z5</v>
      </c>
      <c r="B14831" t="str">
        <f>TEST_DATA!B14831</f>
        <v>Mar-2018</v>
      </c>
      <c r="C14831">
        <f>TEST_DATA!C14831</f>
        <v>43352</v>
      </c>
      <c r="D14831" t="str">
        <f>TEST_DATA!D14831</f>
        <v>NON-NIL</v>
      </c>
      <c r="E14831">
        <f>TEST_DATA!E14831</f>
        <v>205</v>
      </c>
    </row>
    <row r="14832" spans="1:5" x14ac:dyDescent="0.55000000000000004">
      <c r="A14832" t="str">
        <f>TEST_DATA!A14832</f>
        <v>27AAAAA14832Z5</v>
      </c>
      <c r="B14832" t="str">
        <f>TEST_DATA!B14832</f>
        <v>Aug-2018</v>
      </c>
      <c r="C14832">
        <f>TEST_DATA!C14832</f>
        <v>44150</v>
      </c>
      <c r="D14832" t="str">
        <f>TEST_DATA!D14832</f>
        <v>NON-NIL</v>
      </c>
      <c r="E14832">
        <f>TEST_DATA!E14832</f>
        <v>2217</v>
      </c>
    </row>
    <row r="14833" spans="1:5" x14ac:dyDescent="0.55000000000000004">
      <c r="A14833" t="str">
        <f>TEST_DATA!A14833</f>
        <v>27AAAAA14833Z5</v>
      </c>
      <c r="B14833" t="str">
        <f>TEST_DATA!B14833</f>
        <v>Dec-2024</v>
      </c>
      <c r="C14833">
        <f>TEST_DATA!C14833</f>
        <v>44160</v>
      </c>
      <c r="D14833" t="str">
        <f>TEST_DATA!D14833</f>
        <v>NIL</v>
      </c>
      <c r="E14833">
        <f>TEST_DATA!E14833</f>
        <v>2358</v>
      </c>
    </row>
    <row r="14834" spans="1:5" x14ac:dyDescent="0.55000000000000004">
      <c r="A14834" t="str">
        <f>TEST_DATA!A14834</f>
        <v>27AAAAA14834Z5</v>
      </c>
      <c r="B14834" t="str">
        <f>TEST_DATA!B14834</f>
        <v>Mar-2020</v>
      </c>
      <c r="C14834">
        <f>TEST_DATA!C14834</f>
        <v>44255</v>
      </c>
      <c r="D14834" t="str">
        <f>TEST_DATA!D14834</f>
        <v>NON-NIL</v>
      </c>
      <c r="E14834">
        <f>TEST_DATA!E14834</f>
        <v>550</v>
      </c>
    </row>
    <row r="14835" spans="1:5" x14ac:dyDescent="0.55000000000000004">
      <c r="A14835" t="str">
        <f>TEST_DATA!A14835</f>
        <v>27AAAAA14835Z5</v>
      </c>
      <c r="B14835" t="str">
        <f>TEST_DATA!B14835</f>
        <v>Mar-2023</v>
      </c>
      <c r="C14835">
        <f>TEST_DATA!C14835</f>
        <v>43952</v>
      </c>
      <c r="D14835" t="str">
        <f>TEST_DATA!D14835</f>
        <v>NIL</v>
      </c>
      <c r="E14835">
        <f>TEST_DATA!E14835</f>
        <v>566</v>
      </c>
    </row>
    <row r="14836" spans="1:5" x14ac:dyDescent="0.55000000000000004">
      <c r="A14836" t="str">
        <f>TEST_DATA!A14836</f>
        <v>27AAAAA14836Z5</v>
      </c>
      <c r="B14836" t="str">
        <f>TEST_DATA!B14836</f>
        <v>Jul-2017</v>
      </c>
      <c r="C14836">
        <f>TEST_DATA!C14836</f>
        <v>43358</v>
      </c>
      <c r="D14836" t="str">
        <f>TEST_DATA!D14836</f>
        <v>NIL</v>
      </c>
      <c r="E14836">
        <f>TEST_DATA!E14836</f>
        <v>2962</v>
      </c>
    </row>
    <row r="14837" spans="1:5" x14ac:dyDescent="0.55000000000000004">
      <c r="A14837" t="str">
        <f>TEST_DATA!A14837</f>
        <v>27AAAAA14837Z5</v>
      </c>
      <c r="B14837" t="str">
        <f>TEST_DATA!B14837</f>
        <v>Mar-2020</v>
      </c>
      <c r="C14837">
        <f>TEST_DATA!C14837</f>
        <v>44865</v>
      </c>
      <c r="D14837" t="str">
        <f>TEST_DATA!D14837</f>
        <v>NIL</v>
      </c>
      <c r="E14837">
        <f>TEST_DATA!E14837</f>
        <v>2406</v>
      </c>
    </row>
    <row r="14838" spans="1:5" x14ac:dyDescent="0.55000000000000004">
      <c r="A14838" t="str">
        <f>TEST_DATA!A14838</f>
        <v>27AAAAA14838Z5</v>
      </c>
      <c r="B14838" t="str">
        <f>TEST_DATA!B14838</f>
        <v>Mar-2021</v>
      </c>
      <c r="C14838">
        <f>TEST_DATA!C14838</f>
        <v>43633</v>
      </c>
      <c r="D14838" t="str">
        <f>TEST_DATA!D14838</f>
        <v>NIL</v>
      </c>
      <c r="E14838">
        <f>TEST_DATA!E14838</f>
        <v>1511</v>
      </c>
    </row>
    <row r="14839" spans="1:5" x14ac:dyDescent="0.55000000000000004">
      <c r="A14839" t="str">
        <f>TEST_DATA!A14839</f>
        <v>27AAAAA14839Z5</v>
      </c>
      <c r="B14839" t="str">
        <f>TEST_DATA!B14839</f>
        <v>Dec-2024</v>
      </c>
      <c r="C14839">
        <f>TEST_DATA!C14839</f>
        <v>43476</v>
      </c>
      <c r="D14839" t="str">
        <f>TEST_DATA!D14839</f>
        <v>NON-NIL</v>
      </c>
      <c r="E14839">
        <f>TEST_DATA!E14839</f>
        <v>2546</v>
      </c>
    </row>
    <row r="14840" spans="1:5" x14ac:dyDescent="0.55000000000000004">
      <c r="A14840" t="str">
        <f>TEST_DATA!A14840</f>
        <v>27AAAAA14840Z5</v>
      </c>
      <c r="B14840" t="str">
        <f>TEST_DATA!B14840</f>
        <v>Jun-2018</v>
      </c>
      <c r="C14840">
        <f>TEST_DATA!C14840</f>
        <v>43527</v>
      </c>
      <c r="D14840" t="str">
        <f>TEST_DATA!D14840</f>
        <v>NON-NIL</v>
      </c>
      <c r="E14840">
        <f>TEST_DATA!E14840</f>
        <v>1744</v>
      </c>
    </row>
    <row r="14841" spans="1:5" x14ac:dyDescent="0.55000000000000004">
      <c r="A14841" t="str">
        <f>TEST_DATA!A14841</f>
        <v>27AAAAA14841Z5</v>
      </c>
      <c r="B14841" t="str">
        <f>TEST_DATA!B14841</f>
        <v>Sep-2017</v>
      </c>
      <c r="C14841">
        <f>TEST_DATA!C14841</f>
        <v>43807</v>
      </c>
      <c r="D14841" t="str">
        <f>TEST_DATA!D14841</f>
        <v>NIL</v>
      </c>
      <c r="E14841">
        <f>TEST_DATA!E14841</f>
        <v>2961</v>
      </c>
    </row>
    <row r="14842" spans="1:5" x14ac:dyDescent="0.55000000000000004">
      <c r="A14842" t="str">
        <f>TEST_DATA!A14842</f>
        <v>27AAAAA14842Z5</v>
      </c>
      <c r="B14842" t="str">
        <f>TEST_DATA!B14842</f>
        <v>May-2020</v>
      </c>
      <c r="C14842">
        <f>TEST_DATA!C14842</f>
        <v>44626</v>
      </c>
      <c r="D14842" t="str">
        <f>TEST_DATA!D14842</f>
        <v>NIL</v>
      </c>
      <c r="E14842">
        <f>TEST_DATA!E14842</f>
        <v>972</v>
      </c>
    </row>
    <row r="14843" spans="1:5" x14ac:dyDescent="0.55000000000000004">
      <c r="A14843" t="str">
        <f>TEST_DATA!A14843</f>
        <v>27AAAAA14843Z5</v>
      </c>
      <c r="B14843" t="str">
        <f>TEST_DATA!B14843</f>
        <v>Aug-2017</v>
      </c>
      <c r="C14843">
        <f>TEST_DATA!C14843</f>
        <v>43552</v>
      </c>
      <c r="D14843" t="str">
        <f>TEST_DATA!D14843</f>
        <v>NIL</v>
      </c>
      <c r="E14843">
        <f>TEST_DATA!E14843</f>
        <v>25</v>
      </c>
    </row>
    <row r="14844" spans="1:5" x14ac:dyDescent="0.55000000000000004">
      <c r="A14844" t="str">
        <f>TEST_DATA!A14844</f>
        <v>27AAAAA14844Z5</v>
      </c>
      <c r="B14844" t="str">
        <f>TEST_DATA!B14844</f>
        <v>Mar-2023</v>
      </c>
      <c r="C14844">
        <f>TEST_DATA!C14844</f>
        <v>44804</v>
      </c>
      <c r="D14844" t="str">
        <f>TEST_DATA!D14844</f>
        <v>NON-NIL</v>
      </c>
      <c r="E14844">
        <f>TEST_DATA!E14844</f>
        <v>1720</v>
      </c>
    </row>
    <row r="14845" spans="1:5" x14ac:dyDescent="0.55000000000000004">
      <c r="A14845" t="str">
        <f>TEST_DATA!A14845</f>
        <v>27AAAAA14845Z5</v>
      </c>
      <c r="B14845" t="str">
        <f>TEST_DATA!B14845</f>
        <v>Jun-2019</v>
      </c>
      <c r="C14845">
        <f>TEST_DATA!C14845</f>
        <v>43535</v>
      </c>
      <c r="D14845" t="str">
        <f>TEST_DATA!D14845</f>
        <v>NIL</v>
      </c>
      <c r="E14845">
        <f>TEST_DATA!E14845</f>
        <v>2870</v>
      </c>
    </row>
    <row r="14846" spans="1:5" x14ac:dyDescent="0.55000000000000004">
      <c r="A14846" t="str">
        <f>TEST_DATA!A14846</f>
        <v>27AAAAA14846Z5</v>
      </c>
      <c r="B14846" t="str">
        <f>TEST_DATA!B14846</f>
        <v>Mar-2021</v>
      </c>
      <c r="C14846">
        <f>TEST_DATA!C14846</f>
        <v>44287</v>
      </c>
      <c r="D14846" t="str">
        <f>TEST_DATA!D14846</f>
        <v>NIL</v>
      </c>
      <c r="E14846">
        <f>TEST_DATA!E14846</f>
        <v>1123</v>
      </c>
    </row>
    <row r="14847" spans="1:5" x14ac:dyDescent="0.55000000000000004">
      <c r="A14847" t="str">
        <f>TEST_DATA!A14847</f>
        <v>27AAAAA14847Z5</v>
      </c>
      <c r="B14847" t="str">
        <f>TEST_DATA!B14847</f>
        <v>Jan-2018</v>
      </c>
      <c r="C14847">
        <f>TEST_DATA!C14847</f>
        <v>43409</v>
      </c>
      <c r="D14847" t="str">
        <f>TEST_DATA!D14847</f>
        <v>NON-NIL</v>
      </c>
      <c r="E14847">
        <f>TEST_DATA!E14847</f>
        <v>3</v>
      </c>
    </row>
    <row r="14848" spans="1:5" x14ac:dyDescent="0.55000000000000004">
      <c r="A14848" t="str">
        <f>TEST_DATA!A14848</f>
        <v>27AAAAA14848Z5</v>
      </c>
      <c r="B14848" t="str">
        <f>TEST_DATA!B14848</f>
        <v>Jun-2018</v>
      </c>
      <c r="C14848">
        <f>TEST_DATA!C14848</f>
        <v>43927</v>
      </c>
      <c r="D14848" t="str">
        <f>TEST_DATA!D14848</f>
        <v>NON-NIL</v>
      </c>
      <c r="E14848">
        <f>TEST_DATA!E14848</f>
        <v>802</v>
      </c>
    </row>
    <row r="14849" spans="1:5" x14ac:dyDescent="0.55000000000000004">
      <c r="A14849" t="str">
        <f>TEST_DATA!A14849</f>
        <v>27AAAAA14849Z5</v>
      </c>
      <c r="B14849" t="str">
        <f>TEST_DATA!B14849</f>
        <v>Dec-2017</v>
      </c>
      <c r="C14849">
        <f>TEST_DATA!C14849</f>
        <v>43126</v>
      </c>
      <c r="D14849" t="str">
        <f>TEST_DATA!D14849</f>
        <v>NIL</v>
      </c>
      <c r="E14849">
        <f>TEST_DATA!E14849</f>
        <v>490</v>
      </c>
    </row>
    <row r="14850" spans="1:5" x14ac:dyDescent="0.55000000000000004">
      <c r="A14850" t="str">
        <f>TEST_DATA!A14850</f>
        <v>27AAAAA14850Z5</v>
      </c>
      <c r="B14850" t="str">
        <f>TEST_DATA!B14850</f>
        <v>Jun-2018</v>
      </c>
      <c r="C14850">
        <f>TEST_DATA!C14850</f>
        <v>43461</v>
      </c>
      <c r="D14850" t="str">
        <f>TEST_DATA!D14850</f>
        <v>NON-NIL</v>
      </c>
      <c r="E14850">
        <f>TEST_DATA!E14850</f>
        <v>2537</v>
      </c>
    </row>
    <row r="14851" spans="1:5" x14ac:dyDescent="0.55000000000000004">
      <c r="A14851" t="str">
        <f>TEST_DATA!A14851</f>
        <v>27AAAAA14851Z5</v>
      </c>
      <c r="B14851" t="str">
        <f>TEST_DATA!B14851</f>
        <v>May-2020</v>
      </c>
      <c r="C14851">
        <f>TEST_DATA!C14851</f>
        <v>44097</v>
      </c>
      <c r="D14851" t="str">
        <f>TEST_DATA!D14851</f>
        <v>NIL</v>
      </c>
      <c r="E14851">
        <f>TEST_DATA!E14851</f>
        <v>2799</v>
      </c>
    </row>
    <row r="14852" spans="1:5" x14ac:dyDescent="0.55000000000000004">
      <c r="A14852" t="str">
        <f>TEST_DATA!A14852</f>
        <v>27AAAAA14852Z5</v>
      </c>
      <c r="B14852" t="str">
        <f>TEST_DATA!B14852</f>
        <v>Jan-2019</v>
      </c>
      <c r="C14852">
        <f>TEST_DATA!C14852</f>
        <v>43907</v>
      </c>
      <c r="D14852" t="str">
        <f>TEST_DATA!D14852</f>
        <v>NON-NIL</v>
      </c>
      <c r="E14852">
        <f>TEST_DATA!E14852</f>
        <v>2545</v>
      </c>
    </row>
    <row r="14853" spans="1:5" x14ac:dyDescent="0.55000000000000004">
      <c r="A14853" t="str">
        <f>TEST_DATA!A14853</f>
        <v>27AAAAA14853Z5</v>
      </c>
      <c r="B14853" t="str">
        <f>TEST_DATA!B14853</f>
        <v>Apr-2021</v>
      </c>
      <c r="C14853">
        <f>TEST_DATA!C14853</f>
        <v>43659</v>
      </c>
      <c r="D14853" t="str">
        <f>TEST_DATA!D14853</f>
        <v>NIL</v>
      </c>
      <c r="E14853">
        <f>TEST_DATA!E14853</f>
        <v>962</v>
      </c>
    </row>
    <row r="14854" spans="1:5" x14ac:dyDescent="0.55000000000000004">
      <c r="A14854" t="str">
        <f>TEST_DATA!A14854</f>
        <v>27AAAAA14854Z5</v>
      </c>
      <c r="B14854" t="str">
        <f>TEST_DATA!B14854</f>
        <v>Jul-2018</v>
      </c>
      <c r="C14854">
        <f>TEST_DATA!C14854</f>
        <v>43516</v>
      </c>
      <c r="D14854" t="str">
        <f>TEST_DATA!D14854</f>
        <v>NIL</v>
      </c>
      <c r="E14854">
        <f>TEST_DATA!E14854</f>
        <v>2007</v>
      </c>
    </row>
    <row r="14855" spans="1:5" x14ac:dyDescent="0.55000000000000004">
      <c r="A14855" t="str">
        <f>TEST_DATA!A14855</f>
        <v>27AAAAA14855Z5</v>
      </c>
      <c r="B14855" t="str">
        <f>TEST_DATA!B14855</f>
        <v>May-2020</v>
      </c>
      <c r="C14855">
        <f>TEST_DATA!C14855</f>
        <v>44683</v>
      </c>
      <c r="D14855" t="str">
        <f>TEST_DATA!D14855</f>
        <v>NON-NIL</v>
      </c>
      <c r="E14855">
        <f>TEST_DATA!E14855</f>
        <v>2864</v>
      </c>
    </row>
    <row r="14856" spans="1:5" x14ac:dyDescent="0.55000000000000004">
      <c r="A14856" t="str">
        <f>TEST_DATA!A14856</f>
        <v>27AAAAA14856Z5</v>
      </c>
      <c r="B14856" t="str">
        <f>TEST_DATA!B14856</f>
        <v>Mar-2020</v>
      </c>
      <c r="C14856">
        <f>TEST_DATA!C14856</f>
        <v>44094</v>
      </c>
      <c r="D14856" t="str">
        <f>TEST_DATA!D14856</f>
        <v>NIL</v>
      </c>
      <c r="E14856">
        <f>TEST_DATA!E14856</f>
        <v>1509</v>
      </c>
    </row>
    <row r="14857" spans="1:5" x14ac:dyDescent="0.55000000000000004">
      <c r="A14857" t="str">
        <f>TEST_DATA!A14857</f>
        <v>27AAAAA14857Z5</v>
      </c>
      <c r="B14857" t="str">
        <f>TEST_DATA!B14857</f>
        <v>Mar-2020</v>
      </c>
      <c r="C14857">
        <f>TEST_DATA!C14857</f>
        <v>44450</v>
      </c>
      <c r="D14857" t="str">
        <f>TEST_DATA!D14857</f>
        <v>NIL</v>
      </c>
      <c r="E14857">
        <f>TEST_DATA!E14857</f>
        <v>1629</v>
      </c>
    </row>
    <row r="14858" spans="1:5" x14ac:dyDescent="0.55000000000000004">
      <c r="A14858" t="str">
        <f>TEST_DATA!A14858</f>
        <v>27AAAAA14858Z5</v>
      </c>
      <c r="B14858" t="str">
        <f>TEST_DATA!B14858</f>
        <v>Jul-2017</v>
      </c>
      <c r="C14858">
        <f>TEST_DATA!C14858</f>
        <v>44084</v>
      </c>
      <c r="D14858" t="str">
        <f>TEST_DATA!D14858</f>
        <v>NIL</v>
      </c>
      <c r="E14858">
        <f>TEST_DATA!E14858</f>
        <v>305</v>
      </c>
    </row>
    <row r="14859" spans="1:5" x14ac:dyDescent="0.55000000000000004">
      <c r="A14859" t="str">
        <f>TEST_DATA!A14859</f>
        <v>27AAAAA14859Z5</v>
      </c>
      <c r="B14859" t="str">
        <f>TEST_DATA!B14859</f>
        <v>Aug-2018</v>
      </c>
      <c r="C14859">
        <f>TEST_DATA!C14859</f>
        <v>43981</v>
      </c>
      <c r="D14859" t="str">
        <f>TEST_DATA!D14859</f>
        <v>NIL</v>
      </c>
      <c r="E14859">
        <f>TEST_DATA!E14859</f>
        <v>439</v>
      </c>
    </row>
    <row r="14860" spans="1:5" x14ac:dyDescent="0.55000000000000004">
      <c r="A14860" t="str">
        <f>TEST_DATA!A14860</f>
        <v>27AAAAA14860Z5</v>
      </c>
      <c r="B14860" t="str">
        <f>TEST_DATA!B14860</f>
        <v>Mar-2021</v>
      </c>
      <c r="C14860">
        <f>TEST_DATA!C14860</f>
        <v>43802</v>
      </c>
      <c r="D14860" t="str">
        <f>TEST_DATA!D14860</f>
        <v>NON-NIL</v>
      </c>
      <c r="E14860">
        <f>TEST_DATA!E14860</f>
        <v>2710</v>
      </c>
    </row>
    <row r="14861" spans="1:5" x14ac:dyDescent="0.55000000000000004">
      <c r="A14861" t="str">
        <f>TEST_DATA!A14861</f>
        <v>27AAAAA14861Z5</v>
      </c>
      <c r="B14861" t="str">
        <f>TEST_DATA!B14861</f>
        <v>Jan-2018</v>
      </c>
      <c r="C14861">
        <f>TEST_DATA!C14861</f>
        <v>44436</v>
      </c>
      <c r="D14861" t="str">
        <f>TEST_DATA!D14861</f>
        <v>NON-NIL</v>
      </c>
      <c r="E14861">
        <f>TEST_DATA!E14861</f>
        <v>73</v>
      </c>
    </row>
    <row r="14862" spans="1:5" x14ac:dyDescent="0.55000000000000004">
      <c r="A14862" t="str">
        <f>TEST_DATA!A14862</f>
        <v>27AAAAA14862Z5</v>
      </c>
      <c r="B14862" t="str">
        <f>TEST_DATA!B14862</f>
        <v>Apr-2020</v>
      </c>
      <c r="C14862">
        <f>TEST_DATA!C14862</f>
        <v>44619</v>
      </c>
      <c r="D14862" t="str">
        <f>TEST_DATA!D14862</f>
        <v>NON-NIL</v>
      </c>
      <c r="E14862">
        <f>TEST_DATA!E14862</f>
        <v>861</v>
      </c>
    </row>
    <row r="14863" spans="1:5" x14ac:dyDescent="0.55000000000000004">
      <c r="A14863" t="str">
        <f>TEST_DATA!A14863</f>
        <v>27AAAAA14863Z5</v>
      </c>
      <c r="B14863" t="str">
        <f>TEST_DATA!B14863</f>
        <v>Apr-2020</v>
      </c>
      <c r="C14863">
        <f>TEST_DATA!C14863</f>
        <v>44444</v>
      </c>
      <c r="D14863" t="str">
        <f>TEST_DATA!D14863</f>
        <v>NON-NIL</v>
      </c>
      <c r="E14863">
        <f>TEST_DATA!E14863</f>
        <v>2587</v>
      </c>
    </row>
    <row r="14864" spans="1:5" x14ac:dyDescent="0.55000000000000004">
      <c r="A14864" t="str">
        <f>TEST_DATA!A14864</f>
        <v>27AAAAA14864Z5</v>
      </c>
      <c r="B14864" t="str">
        <f>TEST_DATA!B14864</f>
        <v>Mar-2023</v>
      </c>
      <c r="C14864">
        <f>TEST_DATA!C14864</f>
        <v>44267</v>
      </c>
      <c r="D14864" t="str">
        <f>TEST_DATA!D14864</f>
        <v>NON-NIL</v>
      </c>
      <c r="E14864">
        <f>TEST_DATA!E14864</f>
        <v>2489</v>
      </c>
    </row>
    <row r="14865" spans="1:5" x14ac:dyDescent="0.55000000000000004">
      <c r="A14865" t="str">
        <f>TEST_DATA!A14865</f>
        <v>27AAAAA14865Z5</v>
      </c>
      <c r="B14865" t="str">
        <f>TEST_DATA!B14865</f>
        <v>Jan-2019</v>
      </c>
      <c r="C14865">
        <f>TEST_DATA!C14865</f>
        <v>44316</v>
      </c>
      <c r="D14865" t="str">
        <f>TEST_DATA!D14865</f>
        <v>NIL</v>
      </c>
      <c r="E14865">
        <f>TEST_DATA!E14865</f>
        <v>240</v>
      </c>
    </row>
    <row r="14866" spans="1:5" x14ac:dyDescent="0.55000000000000004">
      <c r="A14866" t="str">
        <f>TEST_DATA!A14866</f>
        <v>27AAAAA14866Z5</v>
      </c>
      <c r="B14866" t="str">
        <f>TEST_DATA!B14866</f>
        <v>Jul-2017</v>
      </c>
      <c r="C14866">
        <f>TEST_DATA!C14866</f>
        <v>44111</v>
      </c>
      <c r="D14866" t="str">
        <f>TEST_DATA!D14866</f>
        <v>NON-NIL</v>
      </c>
      <c r="E14866">
        <f>TEST_DATA!E14866</f>
        <v>136</v>
      </c>
    </row>
    <row r="14867" spans="1:5" x14ac:dyDescent="0.55000000000000004">
      <c r="A14867" t="str">
        <f>TEST_DATA!A14867</f>
        <v>27AAAAA14867Z5</v>
      </c>
      <c r="B14867" t="str">
        <f>TEST_DATA!B14867</f>
        <v>Oct-2017</v>
      </c>
      <c r="C14867">
        <f>TEST_DATA!C14867</f>
        <v>43678</v>
      </c>
      <c r="D14867" t="str">
        <f>TEST_DATA!D14867</f>
        <v>NIL</v>
      </c>
      <c r="E14867">
        <f>TEST_DATA!E14867</f>
        <v>1371</v>
      </c>
    </row>
    <row r="14868" spans="1:5" x14ac:dyDescent="0.55000000000000004">
      <c r="A14868" t="str">
        <f>TEST_DATA!A14868</f>
        <v>27AAAAA14868Z5</v>
      </c>
      <c r="B14868" t="str">
        <f>TEST_DATA!B14868</f>
        <v>Jan-2018</v>
      </c>
      <c r="C14868">
        <f>TEST_DATA!C14868</f>
        <v>44208</v>
      </c>
      <c r="D14868" t="str">
        <f>TEST_DATA!D14868</f>
        <v>NIL</v>
      </c>
      <c r="E14868">
        <f>TEST_DATA!E14868</f>
        <v>1469</v>
      </c>
    </row>
    <row r="14869" spans="1:5" x14ac:dyDescent="0.55000000000000004">
      <c r="A14869" t="str">
        <f>TEST_DATA!A14869</f>
        <v>27AAAAA14869Z5</v>
      </c>
      <c r="B14869" t="str">
        <f>TEST_DATA!B14869</f>
        <v>Feb-2018</v>
      </c>
      <c r="C14869">
        <f>TEST_DATA!C14869</f>
        <v>43283</v>
      </c>
      <c r="D14869" t="str">
        <f>TEST_DATA!D14869</f>
        <v>NON-NIL</v>
      </c>
      <c r="E14869">
        <f>TEST_DATA!E14869</f>
        <v>1769</v>
      </c>
    </row>
    <row r="14870" spans="1:5" x14ac:dyDescent="0.55000000000000004">
      <c r="A14870" t="str">
        <f>TEST_DATA!A14870</f>
        <v>27AAAAA14870Z5</v>
      </c>
      <c r="B14870" t="str">
        <f>TEST_DATA!B14870</f>
        <v>Jan-2021</v>
      </c>
      <c r="C14870">
        <f>TEST_DATA!C14870</f>
        <v>44173</v>
      </c>
      <c r="D14870" t="str">
        <f>TEST_DATA!D14870</f>
        <v>NON-NIL</v>
      </c>
      <c r="E14870">
        <f>TEST_DATA!E14870</f>
        <v>2773</v>
      </c>
    </row>
    <row r="14871" spans="1:5" x14ac:dyDescent="0.55000000000000004">
      <c r="A14871" t="str">
        <f>TEST_DATA!A14871</f>
        <v>27AAAAA14871Z5</v>
      </c>
      <c r="B14871" t="str">
        <f>TEST_DATA!B14871</f>
        <v>Dec-2019</v>
      </c>
      <c r="C14871">
        <f>TEST_DATA!C14871</f>
        <v>45705</v>
      </c>
      <c r="D14871" t="str">
        <f>TEST_DATA!D14871</f>
        <v>NIL</v>
      </c>
      <c r="E14871">
        <f>TEST_DATA!E14871</f>
        <v>1230</v>
      </c>
    </row>
    <row r="14872" spans="1:5" x14ac:dyDescent="0.55000000000000004">
      <c r="A14872" t="str">
        <f>TEST_DATA!A14872</f>
        <v>27AAAAA14872Z5</v>
      </c>
      <c r="B14872" t="str">
        <f>TEST_DATA!B14872</f>
        <v>Apr-2020</v>
      </c>
      <c r="C14872">
        <f>TEST_DATA!C14872</f>
        <v>44845</v>
      </c>
      <c r="D14872" t="str">
        <f>TEST_DATA!D14872</f>
        <v>NIL</v>
      </c>
      <c r="E14872">
        <f>TEST_DATA!E14872</f>
        <v>1084</v>
      </c>
    </row>
    <row r="14873" spans="1:5" x14ac:dyDescent="0.55000000000000004">
      <c r="A14873" t="str">
        <f>TEST_DATA!A14873</f>
        <v>27AAAAA14873Z5</v>
      </c>
      <c r="B14873" t="str">
        <f>TEST_DATA!B14873</f>
        <v>Aug-2018</v>
      </c>
      <c r="C14873">
        <f>TEST_DATA!C14873</f>
        <v>43482</v>
      </c>
      <c r="D14873" t="str">
        <f>TEST_DATA!D14873</f>
        <v>NON-NIL</v>
      </c>
      <c r="E14873">
        <f>TEST_DATA!E14873</f>
        <v>1321</v>
      </c>
    </row>
    <row r="14874" spans="1:5" x14ac:dyDescent="0.55000000000000004">
      <c r="A14874" t="str">
        <f>TEST_DATA!A14874</f>
        <v>27AAAAA14874Z5</v>
      </c>
      <c r="B14874" t="str">
        <f>TEST_DATA!B14874</f>
        <v>Jun-2018</v>
      </c>
      <c r="C14874">
        <f>TEST_DATA!C14874</f>
        <v>43116</v>
      </c>
      <c r="D14874" t="str">
        <f>TEST_DATA!D14874</f>
        <v>NON-NIL</v>
      </c>
      <c r="E14874">
        <f>TEST_DATA!E14874</f>
        <v>2335</v>
      </c>
    </row>
    <row r="14875" spans="1:5" x14ac:dyDescent="0.55000000000000004">
      <c r="A14875" t="str">
        <f>TEST_DATA!A14875</f>
        <v>27AAAAA14875Z5</v>
      </c>
      <c r="B14875" t="str">
        <f>TEST_DATA!B14875</f>
        <v>Jan-2021</v>
      </c>
      <c r="C14875">
        <f>TEST_DATA!C14875</f>
        <v>44327</v>
      </c>
      <c r="D14875" t="str">
        <f>TEST_DATA!D14875</f>
        <v>NIL</v>
      </c>
      <c r="E14875">
        <f>TEST_DATA!E14875</f>
        <v>2938</v>
      </c>
    </row>
    <row r="14876" spans="1:5" x14ac:dyDescent="0.55000000000000004">
      <c r="A14876" t="str">
        <f>TEST_DATA!A14876</f>
        <v>27AAAAA14876Z5</v>
      </c>
      <c r="B14876" t="str">
        <f>TEST_DATA!B14876</f>
        <v>Apr-2018</v>
      </c>
      <c r="C14876">
        <f>TEST_DATA!C14876</f>
        <v>42981</v>
      </c>
      <c r="D14876" t="str">
        <f>TEST_DATA!D14876</f>
        <v>NON-NIL</v>
      </c>
      <c r="E14876">
        <f>TEST_DATA!E14876</f>
        <v>2615</v>
      </c>
    </row>
    <row r="14877" spans="1:5" x14ac:dyDescent="0.55000000000000004">
      <c r="A14877" t="str">
        <f>TEST_DATA!A14877</f>
        <v>27AAAAA14877Z5</v>
      </c>
      <c r="B14877" t="str">
        <f>TEST_DATA!B14877</f>
        <v>Dec-2024</v>
      </c>
      <c r="C14877">
        <f>TEST_DATA!C14877</f>
        <v>45311</v>
      </c>
      <c r="D14877" t="str">
        <f>TEST_DATA!D14877</f>
        <v>NON-NIL</v>
      </c>
      <c r="E14877">
        <f>TEST_DATA!E14877</f>
        <v>408</v>
      </c>
    </row>
    <row r="14878" spans="1:5" x14ac:dyDescent="0.55000000000000004">
      <c r="A14878" t="str">
        <f>TEST_DATA!A14878</f>
        <v>27AAAAA14878Z5</v>
      </c>
      <c r="B14878" t="str">
        <f>TEST_DATA!B14878</f>
        <v>Sep-2017</v>
      </c>
      <c r="C14878">
        <f>TEST_DATA!C14878</f>
        <v>44228</v>
      </c>
      <c r="D14878" t="str">
        <f>TEST_DATA!D14878</f>
        <v>NIL</v>
      </c>
      <c r="E14878">
        <f>TEST_DATA!E14878</f>
        <v>1513</v>
      </c>
    </row>
    <row r="14879" spans="1:5" x14ac:dyDescent="0.55000000000000004">
      <c r="A14879" t="str">
        <f>TEST_DATA!A14879</f>
        <v>27AAAAA14879Z5</v>
      </c>
      <c r="B14879" t="str">
        <f>TEST_DATA!B14879</f>
        <v>Jan-2018</v>
      </c>
      <c r="C14879">
        <f>TEST_DATA!C14879</f>
        <v>44077</v>
      </c>
      <c r="D14879" t="str">
        <f>TEST_DATA!D14879</f>
        <v>NIL</v>
      </c>
      <c r="E14879">
        <f>TEST_DATA!E14879</f>
        <v>2567</v>
      </c>
    </row>
    <row r="14880" spans="1:5" x14ac:dyDescent="0.55000000000000004">
      <c r="A14880" t="str">
        <f>TEST_DATA!A14880</f>
        <v>27AAAAA14880Z5</v>
      </c>
      <c r="B14880" t="str">
        <f>TEST_DATA!B14880</f>
        <v>Jul-2017</v>
      </c>
      <c r="C14880">
        <f>TEST_DATA!C14880</f>
        <v>43397</v>
      </c>
      <c r="D14880" t="str">
        <f>TEST_DATA!D14880</f>
        <v>NIL</v>
      </c>
      <c r="E14880">
        <f>TEST_DATA!E14880</f>
        <v>2841</v>
      </c>
    </row>
    <row r="14881" spans="1:5" x14ac:dyDescent="0.55000000000000004">
      <c r="A14881" t="str">
        <f>TEST_DATA!A14881</f>
        <v>27AAAAA14881Z5</v>
      </c>
      <c r="B14881" t="str">
        <f>TEST_DATA!B14881</f>
        <v>Jul-2018</v>
      </c>
      <c r="C14881">
        <f>TEST_DATA!C14881</f>
        <v>44492</v>
      </c>
      <c r="D14881" t="str">
        <f>TEST_DATA!D14881</f>
        <v>NON-NIL</v>
      </c>
      <c r="E14881">
        <f>TEST_DATA!E14881</f>
        <v>2038</v>
      </c>
    </row>
    <row r="14882" spans="1:5" x14ac:dyDescent="0.55000000000000004">
      <c r="A14882" t="str">
        <f>TEST_DATA!A14882</f>
        <v>27AAAAA14882Z5</v>
      </c>
      <c r="B14882" t="str">
        <f>TEST_DATA!B14882</f>
        <v>Sep-2018</v>
      </c>
      <c r="C14882">
        <f>TEST_DATA!C14882</f>
        <v>44324</v>
      </c>
      <c r="D14882" t="str">
        <f>TEST_DATA!D14882</f>
        <v>NIL</v>
      </c>
      <c r="E14882">
        <f>TEST_DATA!E14882</f>
        <v>2557</v>
      </c>
    </row>
    <row r="14883" spans="1:5" x14ac:dyDescent="0.55000000000000004">
      <c r="A14883" t="str">
        <f>TEST_DATA!A14883</f>
        <v>27AAAAA14883Z5</v>
      </c>
      <c r="B14883" t="str">
        <f>TEST_DATA!B14883</f>
        <v>Mar-2023</v>
      </c>
      <c r="C14883">
        <f>TEST_DATA!C14883</f>
        <v>44941</v>
      </c>
      <c r="D14883" t="str">
        <f>TEST_DATA!D14883</f>
        <v>NIL</v>
      </c>
      <c r="E14883">
        <f>TEST_DATA!E14883</f>
        <v>296</v>
      </c>
    </row>
    <row r="14884" spans="1:5" x14ac:dyDescent="0.55000000000000004">
      <c r="A14884" t="str">
        <f>TEST_DATA!A14884</f>
        <v>27AAAAA14884Z5</v>
      </c>
      <c r="B14884" t="str">
        <f>TEST_DATA!B14884</f>
        <v>Jun-2019</v>
      </c>
      <c r="C14884">
        <f>TEST_DATA!C14884</f>
        <v>44826</v>
      </c>
      <c r="D14884" t="str">
        <f>TEST_DATA!D14884</f>
        <v>NON-NIL</v>
      </c>
      <c r="E14884">
        <f>TEST_DATA!E14884</f>
        <v>2173</v>
      </c>
    </row>
    <row r="14885" spans="1:5" x14ac:dyDescent="0.55000000000000004">
      <c r="A14885" t="str">
        <f>TEST_DATA!A14885</f>
        <v>27AAAAA14885Z5</v>
      </c>
      <c r="B14885" t="str">
        <f>TEST_DATA!B14885</f>
        <v>Dec-2024</v>
      </c>
      <c r="C14885">
        <f>TEST_DATA!C14885</f>
        <v>43641</v>
      </c>
      <c r="D14885" t="str">
        <f>TEST_DATA!D14885</f>
        <v>NON-NIL</v>
      </c>
      <c r="E14885">
        <f>TEST_DATA!E14885</f>
        <v>2846</v>
      </c>
    </row>
    <row r="14886" spans="1:5" x14ac:dyDescent="0.55000000000000004">
      <c r="A14886" t="str">
        <f>TEST_DATA!A14886</f>
        <v>27AAAAA14886Z5</v>
      </c>
      <c r="B14886" t="str">
        <f>TEST_DATA!B14886</f>
        <v>Jan-2018</v>
      </c>
      <c r="C14886">
        <f>TEST_DATA!C14886</f>
        <v>44158</v>
      </c>
      <c r="D14886" t="str">
        <f>TEST_DATA!D14886</f>
        <v>NON-NIL</v>
      </c>
      <c r="E14886">
        <f>TEST_DATA!E14886</f>
        <v>591</v>
      </c>
    </row>
    <row r="14887" spans="1:5" x14ac:dyDescent="0.55000000000000004">
      <c r="A14887" t="str">
        <f>TEST_DATA!A14887</f>
        <v>27AAAAA14887Z5</v>
      </c>
      <c r="B14887" t="str">
        <f>TEST_DATA!B14887</f>
        <v>Mar-2020</v>
      </c>
      <c r="C14887">
        <f>TEST_DATA!C14887</f>
        <v>43859</v>
      </c>
      <c r="D14887" t="str">
        <f>TEST_DATA!D14887</f>
        <v>NIL</v>
      </c>
      <c r="E14887">
        <f>TEST_DATA!E14887</f>
        <v>2108</v>
      </c>
    </row>
    <row r="14888" spans="1:5" x14ac:dyDescent="0.55000000000000004">
      <c r="A14888" t="str">
        <f>TEST_DATA!A14888</f>
        <v>27AAAAA14888Z5</v>
      </c>
      <c r="B14888" t="str">
        <f>TEST_DATA!B14888</f>
        <v>Jun-2020</v>
      </c>
      <c r="C14888">
        <f>TEST_DATA!C14888</f>
        <v>44918</v>
      </c>
      <c r="D14888" t="str">
        <f>TEST_DATA!D14888</f>
        <v>NIL</v>
      </c>
      <c r="E14888">
        <f>TEST_DATA!E14888</f>
        <v>1337</v>
      </c>
    </row>
    <row r="14889" spans="1:5" x14ac:dyDescent="0.55000000000000004">
      <c r="A14889" t="str">
        <f>TEST_DATA!A14889</f>
        <v>27AAAAA14889Z5</v>
      </c>
      <c r="B14889" t="str">
        <f>TEST_DATA!B14889</f>
        <v>Mar-2021</v>
      </c>
      <c r="C14889">
        <f>TEST_DATA!C14889</f>
        <v>45677</v>
      </c>
      <c r="D14889" t="str">
        <f>TEST_DATA!D14889</f>
        <v>NON-NIL</v>
      </c>
      <c r="E14889">
        <f>TEST_DATA!E14889</f>
        <v>1982</v>
      </c>
    </row>
    <row r="14890" spans="1:5" x14ac:dyDescent="0.55000000000000004">
      <c r="A14890" t="str">
        <f>TEST_DATA!A14890</f>
        <v>27AAAAA14890Z5</v>
      </c>
      <c r="B14890" t="str">
        <f>TEST_DATA!B14890</f>
        <v>Jun-2019</v>
      </c>
      <c r="C14890">
        <f>TEST_DATA!C14890</f>
        <v>44284</v>
      </c>
      <c r="D14890" t="str">
        <f>TEST_DATA!D14890</f>
        <v>NIL</v>
      </c>
      <c r="E14890">
        <f>TEST_DATA!E14890</f>
        <v>785</v>
      </c>
    </row>
    <row r="14891" spans="1:5" x14ac:dyDescent="0.55000000000000004">
      <c r="A14891" t="str">
        <f>TEST_DATA!A14891</f>
        <v>27AAAAA14891Z5</v>
      </c>
      <c r="B14891" t="str">
        <f>TEST_DATA!B14891</f>
        <v>Jan-2019</v>
      </c>
      <c r="C14891">
        <f>TEST_DATA!C14891</f>
        <v>43563</v>
      </c>
      <c r="D14891" t="str">
        <f>TEST_DATA!D14891</f>
        <v>NIL</v>
      </c>
      <c r="E14891">
        <f>TEST_DATA!E14891</f>
        <v>1852</v>
      </c>
    </row>
    <row r="14892" spans="1:5" x14ac:dyDescent="0.55000000000000004">
      <c r="A14892" t="str">
        <f>TEST_DATA!A14892</f>
        <v>27AAAAA14892Z5</v>
      </c>
      <c r="B14892" t="str">
        <f>TEST_DATA!B14892</f>
        <v>Jan-2019</v>
      </c>
      <c r="C14892">
        <f>TEST_DATA!C14892</f>
        <v>44310</v>
      </c>
      <c r="D14892" t="str">
        <f>TEST_DATA!D14892</f>
        <v>NIL</v>
      </c>
      <c r="E14892">
        <f>TEST_DATA!E14892</f>
        <v>628</v>
      </c>
    </row>
    <row r="14893" spans="1:5" x14ac:dyDescent="0.55000000000000004">
      <c r="A14893" t="str">
        <f>TEST_DATA!A14893</f>
        <v>27AAAAA14893Z5</v>
      </c>
      <c r="B14893" t="str">
        <f>TEST_DATA!B14893</f>
        <v>Aug-2017</v>
      </c>
      <c r="C14893">
        <f>TEST_DATA!C14893</f>
        <v>43671</v>
      </c>
      <c r="D14893" t="str">
        <f>TEST_DATA!D14893</f>
        <v>NON-NIL</v>
      </c>
      <c r="E14893">
        <f>TEST_DATA!E14893</f>
        <v>2321</v>
      </c>
    </row>
    <row r="14894" spans="1:5" x14ac:dyDescent="0.55000000000000004">
      <c r="A14894" t="str">
        <f>TEST_DATA!A14894</f>
        <v>27AAAAA14894Z5</v>
      </c>
      <c r="B14894" t="str">
        <f>TEST_DATA!B14894</f>
        <v>May-2020</v>
      </c>
      <c r="C14894">
        <f>TEST_DATA!C14894</f>
        <v>44457</v>
      </c>
      <c r="D14894" t="str">
        <f>TEST_DATA!D14894</f>
        <v>NON-NIL</v>
      </c>
      <c r="E14894">
        <f>TEST_DATA!E14894</f>
        <v>840</v>
      </c>
    </row>
    <row r="14895" spans="1:5" x14ac:dyDescent="0.55000000000000004">
      <c r="A14895" t="str">
        <f>TEST_DATA!A14895</f>
        <v>27AAAAA14895Z5</v>
      </c>
      <c r="B14895" t="str">
        <f>TEST_DATA!B14895</f>
        <v>Jul-2020</v>
      </c>
      <c r="C14895">
        <f>TEST_DATA!C14895</f>
        <v>43957</v>
      </c>
      <c r="D14895" t="str">
        <f>TEST_DATA!D14895</f>
        <v>NON-NIL</v>
      </c>
      <c r="E14895">
        <f>TEST_DATA!E14895</f>
        <v>1032</v>
      </c>
    </row>
    <row r="14896" spans="1:5" x14ac:dyDescent="0.55000000000000004">
      <c r="A14896" t="str">
        <f>TEST_DATA!A14896</f>
        <v>27AAAAA14896Z5</v>
      </c>
      <c r="B14896" t="str">
        <f>TEST_DATA!B14896</f>
        <v>Jun-2019</v>
      </c>
      <c r="C14896">
        <f>TEST_DATA!C14896</f>
        <v>45345</v>
      </c>
      <c r="D14896" t="str">
        <f>TEST_DATA!D14896</f>
        <v>NIL</v>
      </c>
      <c r="E14896">
        <f>TEST_DATA!E14896</f>
        <v>773</v>
      </c>
    </row>
    <row r="14897" spans="1:5" x14ac:dyDescent="0.55000000000000004">
      <c r="A14897" t="str">
        <f>TEST_DATA!A14897</f>
        <v>27AAAAA14897Z5</v>
      </c>
      <c r="B14897" t="str">
        <f>TEST_DATA!B14897</f>
        <v>Mar-2018</v>
      </c>
      <c r="C14897">
        <f>TEST_DATA!C14897</f>
        <v>42962</v>
      </c>
      <c r="D14897" t="str">
        <f>TEST_DATA!D14897</f>
        <v>NON-NIL</v>
      </c>
      <c r="E14897">
        <f>TEST_DATA!E14897</f>
        <v>2831</v>
      </c>
    </row>
    <row r="14898" spans="1:5" x14ac:dyDescent="0.55000000000000004">
      <c r="A14898" t="str">
        <f>TEST_DATA!A14898</f>
        <v>27AAAAA14898Z5</v>
      </c>
      <c r="B14898" t="str">
        <f>TEST_DATA!B14898</f>
        <v>May-2020</v>
      </c>
      <c r="C14898">
        <f>TEST_DATA!C14898</f>
        <v>44071</v>
      </c>
      <c r="D14898" t="str">
        <f>TEST_DATA!D14898</f>
        <v>NON-NIL</v>
      </c>
      <c r="E14898">
        <f>TEST_DATA!E14898</f>
        <v>58</v>
      </c>
    </row>
    <row r="14899" spans="1:5" x14ac:dyDescent="0.55000000000000004">
      <c r="A14899" t="str">
        <f>TEST_DATA!A14899</f>
        <v>27AAAAA14899Z5</v>
      </c>
      <c r="B14899" t="str">
        <f>TEST_DATA!B14899</f>
        <v>May-2018</v>
      </c>
      <c r="C14899">
        <f>TEST_DATA!C14899</f>
        <v>43034</v>
      </c>
      <c r="D14899" t="str">
        <f>TEST_DATA!D14899</f>
        <v>NIL</v>
      </c>
      <c r="E14899">
        <f>TEST_DATA!E14899</f>
        <v>2267</v>
      </c>
    </row>
    <row r="14900" spans="1:5" x14ac:dyDescent="0.55000000000000004">
      <c r="A14900" t="str">
        <f>TEST_DATA!A14900</f>
        <v>27AAAAA14900Z5</v>
      </c>
      <c r="B14900" t="str">
        <f>TEST_DATA!B14900</f>
        <v>Oct-2017</v>
      </c>
      <c r="C14900">
        <f>TEST_DATA!C14900</f>
        <v>43414</v>
      </c>
      <c r="D14900" t="str">
        <f>TEST_DATA!D14900</f>
        <v>NON-NIL</v>
      </c>
      <c r="E14900">
        <f>TEST_DATA!E14900</f>
        <v>307</v>
      </c>
    </row>
    <row r="14901" spans="1:5" x14ac:dyDescent="0.55000000000000004">
      <c r="A14901" t="str">
        <f>TEST_DATA!A14901</f>
        <v>27AAAAA14901Z5</v>
      </c>
      <c r="B14901" t="str">
        <f>TEST_DATA!B14901</f>
        <v>Jan-2019</v>
      </c>
      <c r="C14901">
        <f>TEST_DATA!C14901</f>
        <v>43603</v>
      </c>
      <c r="D14901" t="str">
        <f>TEST_DATA!D14901</f>
        <v>NIL</v>
      </c>
      <c r="E14901">
        <f>TEST_DATA!E14901</f>
        <v>152</v>
      </c>
    </row>
    <row r="14902" spans="1:5" x14ac:dyDescent="0.55000000000000004">
      <c r="A14902" t="str">
        <f>TEST_DATA!A14902</f>
        <v>27AAAAA14902Z5</v>
      </c>
      <c r="B14902" t="str">
        <f>TEST_DATA!B14902</f>
        <v>Mar-2018</v>
      </c>
      <c r="C14902">
        <f>TEST_DATA!C14902</f>
        <v>43971</v>
      </c>
      <c r="D14902" t="str">
        <f>TEST_DATA!D14902</f>
        <v>NON-NIL</v>
      </c>
      <c r="E14902">
        <f>TEST_DATA!E14902</f>
        <v>1246</v>
      </c>
    </row>
    <row r="14903" spans="1:5" x14ac:dyDescent="0.55000000000000004">
      <c r="A14903" t="str">
        <f>TEST_DATA!A14903</f>
        <v>27AAAAA14903Z5</v>
      </c>
      <c r="B14903" t="str">
        <f>TEST_DATA!B14903</f>
        <v>Jan-2021</v>
      </c>
      <c r="C14903">
        <f>TEST_DATA!C14903</f>
        <v>43913</v>
      </c>
      <c r="D14903" t="str">
        <f>TEST_DATA!D14903</f>
        <v>NIL</v>
      </c>
      <c r="E14903">
        <f>TEST_DATA!E14903</f>
        <v>2793</v>
      </c>
    </row>
    <row r="14904" spans="1:5" x14ac:dyDescent="0.55000000000000004">
      <c r="A14904" t="str">
        <f>TEST_DATA!A14904</f>
        <v>27AAAAA14904Z5</v>
      </c>
      <c r="B14904" t="str">
        <f>TEST_DATA!B14904</f>
        <v>Jan-2018</v>
      </c>
      <c r="C14904">
        <f>TEST_DATA!C14904</f>
        <v>44279</v>
      </c>
      <c r="D14904" t="str">
        <f>TEST_DATA!D14904</f>
        <v>NON-NIL</v>
      </c>
      <c r="E14904">
        <f>TEST_DATA!E14904</f>
        <v>2073</v>
      </c>
    </row>
    <row r="14905" spans="1:5" x14ac:dyDescent="0.55000000000000004">
      <c r="A14905" t="str">
        <f>TEST_DATA!A14905</f>
        <v>27AAAAA14905Z5</v>
      </c>
      <c r="B14905" t="str">
        <f>TEST_DATA!B14905</f>
        <v>Oct-2017</v>
      </c>
      <c r="C14905">
        <f>TEST_DATA!C14905</f>
        <v>42934</v>
      </c>
      <c r="D14905" t="str">
        <f>TEST_DATA!D14905</f>
        <v>NON-NIL</v>
      </c>
      <c r="E14905">
        <f>TEST_DATA!E14905</f>
        <v>2778</v>
      </c>
    </row>
    <row r="14906" spans="1:5" x14ac:dyDescent="0.55000000000000004">
      <c r="A14906" t="str">
        <f>TEST_DATA!A14906</f>
        <v>27AAAAA14906Z5</v>
      </c>
      <c r="B14906" t="str">
        <f>TEST_DATA!B14906</f>
        <v>May-2018</v>
      </c>
      <c r="C14906">
        <f>TEST_DATA!C14906</f>
        <v>43255</v>
      </c>
      <c r="D14906" t="str">
        <f>TEST_DATA!D14906</f>
        <v>NON-NIL</v>
      </c>
      <c r="E14906">
        <f>TEST_DATA!E14906</f>
        <v>1338</v>
      </c>
    </row>
    <row r="14907" spans="1:5" x14ac:dyDescent="0.55000000000000004">
      <c r="A14907" t="str">
        <f>TEST_DATA!A14907</f>
        <v>27AAAAA14907Z5</v>
      </c>
      <c r="B14907" t="str">
        <f>TEST_DATA!B14907</f>
        <v>Dec-2024</v>
      </c>
      <c r="C14907">
        <f>TEST_DATA!C14907</f>
        <v>44485</v>
      </c>
      <c r="D14907" t="str">
        <f>TEST_DATA!D14907</f>
        <v>NON-NIL</v>
      </c>
      <c r="E14907">
        <f>TEST_DATA!E14907</f>
        <v>598</v>
      </c>
    </row>
    <row r="14908" spans="1:5" x14ac:dyDescent="0.55000000000000004">
      <c r="A14908" t="str">
        <f>TEST_DATA!A14908</f>
        <v>27AAAAA14908Z5</v>
      </c>
      <c r="B14908" t="str">
        <f>TEST_DATA!B14908</f>
        <v>May-2018</v>
      </c>
      <c r="C14908">
        <f>TEST_DATA!C14908</f>
        <v>43656</v>
      </c>
      <c r="D14908" t="str">
        <f>TEST_DATA!D14908</f>
        <v>NON-NIL</v>
      </c>
      <c r="E14908">
        <f>TEST_DATA!E14908</f>
        <v>320</v>
      </c>
    </row>
    <row r="14909" spans="1:5" x14ac:dyDescent="0.55000000000000004">
      <c r="A14909" t="str">
        <f>TEST_DATA!A14909</f>
        <v>27AAAAA14909Z5</v>
      </c>
      <c r="B14909" t="str">
        <f>TEST_DATA!B14909</f>
        <v>Mar-2018</v>
      </c>
      <c r="C14909">
        <f>TEST_DATA!C14909</f>
        <v>43467</v>
      </c>
      <c r="D14909" t="str">
        <f>TEST_DATA!D14909</f>
        <v>NIL</v>
      </c>
      <c r="E14909">
        <f>TEST_DATA!E14909</f>
        <v>636</v>
      </c>
    </row>
    <row r="14910" spans="1:5" x14ac:dyDescent="0.55000000000000004">
      <c r="A14910" t="str">
        <f>TEST_DATA!A14910</f>
        <v>27AAAAA14910Z5</v>
      </c>
      <c r="B14910" t="str">
        <f>TEST_DATA!B14910</f>
        <v>Jun-2020</v>
      </c>
      <c r="C14910">
        <f>TEST_DATA!C14910</f>
        <v>44743</v>
      </c>
      <c r="D14910" t="str">
        <f>TEST_DATA!D14910</f>
        <v>NIL</v>
      </c>
      <c r="E14910">
        <f>TEST_DATA!E14910</f>
        <v>256</v>
      </c>
    </row>
    <row r="14911" spans="1:5" x14ac:dyDescent="0.55000000000000004">
      <c r="A14911" t="str">
        <f>TEST_DATA!A14911</f>
        <v>27AAAAA14911Z5</v>
      </c>
      <c r="B14911" t="str">
        <f>TEST_DATA!B14911</f>
        <v>Dec-2022</v>
      </c>
      <c r="C14911">
        <f>TEST_DATA!C14911</f>
        <v>43705</v>
      </c>
      <c r="D14911" t="str">
        <f>TEST_DATA!D14911</f>
        <v>NIL</v>
      </c>
      <c r="E14911">
        <f>TEST_DATA!E14911</f>
        <v>2708</v>
      </c>
    </row>
    <row r="14912" spans="1:5" x14ac:dyDescent="0.55000000000000004">
      <c r="A14912" t="str">
        <f>TEST_DATA!A14912</f>
        <v>27AAAAA14912Z5</v>
      </c>
      <c r="B14912" t="str">
        <f>TEST_DATA!B14912</f>
        <v>Nov-2017</v>
      </c>
      <c r="C14912">
        <f>TEST_DATA!C14912</f>
        <v>43165</v>
      </c>
      <c r="D14912" t="str">
        <f>TEST_DATA!D14912</f>
        <v>NON-NIL</v>
      </c>
      <c r="E14912">
        <f>TEST_DATA!E14912</f>
        <v>596</v>
      </c>
    </row>
    <row r="14913" spans="1:5" x14ac:dyDescent="0.55000000000000004">
      <c r="A14913" t="str">
        <f>TEST_DATA!A14913</f>
        <v>27AAAAA14913Z5</v>
      </c>
      <c r="B14913" t="str">
        <f>TEST_DATA!B14913</f>
        <v>Mar-2020</v>
      </c>
      <c r="C14913">
        <f>TEST_DATA!C14913</f>
        <v>44354</v>
      </c>
      <c r="D14913" t="str">
        <f>TEST_DATA!D14913</f>
        <v>NIL</v>
      </c>
      <c r="E14913">
        <f>TEST_DATA!E14913</f>
        <v>2032</v>
      </c>
    </row>
    <row r="14914" spans="1:5" x14ac:dyDescent="0.55000000000000004">
      <c r="A14914" t="str">
        <f>TEST_DATA!A14914</f>
        <v>27AAAAA14914Z5</v>
      </c>
      <c r="B14914" t="str">
        <f>TEST_DATA!B14914</f>
        <v>Apr-2021</v>
      </c>
      <c r="C14914">
        <f>TEST_DATA!C14914</f>
        <v>45232</v>
      </c>
      <c r="D14914" t="str">
        <f>TEST_DATA!D14914</f>
        <v>NIL</v>
      </c>
      <c r="E14914">
        <f>TEST_DATA!E14914</f>
        <v>453</v>
      </c>
    </row>
    <row r="14915" spans="1:5" x14ac:dyDescent="0.55000000000000004">
      <c r="A14915" t="str">
        <f>TEST_DATA!A14915</f>
        <v>27AAAAA14915Z5</v>
      </c>
      <c r="B14915" t="str">
        <f>TEST_DATA!B14915</f>
        <v>Oct-2017</v>
      </c>
      <c r="C14915">
        <f>TEST_DATA!C14915</f>
        <v>43547</v>
      </c>
      <c r="D14915" t="str">
        <f>TEST_DATA!D14915</f>
        <v>NIL</v>
      </c>
      <c r="E14915">
        <f>TEST_DATA!E14915</f>
        <v>645</v>
      </c>
    </row>
    <row r="14916" spans="1:5" x14ac:dyDescent="0.55000000000000004">
      <c r="A14916" t="str">
        <f>TEST_DATA!A14916</f>
        <v>27AAAAA14916Z5</v>
      </c>
      <c r="B14916" t="str">
        <f>TEST_DATA!B14916</f>
        <v>Mar-2018</v>
      </c>
      <c r="C14916">
        <f>TEST_DATA!C14916</f>
        <v>44453</v>
      </c>
      <c r="D14916" t="str">
        <f>TEST_DATA!D14916</f>
        <v>NIL</v>
      </c>
      <c r="E14916">
        <f>TEST_DATA!E14916</f>
        <v>2453</v>
      </c>
    </row>
    <row r="14917" spans="1:5" x14ac:dyDescent="0.55000000000000004">
      <c r="A14917" t="str">
        <f>TEST_DATA!A14917</f>
        <v>27AAAAA14917Z5</v>
      </c>
      <c r="B14917" t="str">
        <f>TEST_DATA!B14917</f>
        <v>Jul-2018</v>
      </c>
      <c r="C14917">
        <f>TEST_DATA!C14917</f>
        <v>44451</v>
      </c>
      <c r="D14917" t="str">
        <f>TEST_DATA!D14917</f>
        <v>NON-NIL</v>
      </c>
      <c r="E14917">
        <f>TEST_DATA!E14917</f>
        <v>555</v>
      </c>
    </row>
    <row r="14918" spans="1:5" x14ac:dyDescent="0.55000000000000004">
      <c r="A14918" t="str">
        <f>TEST_DATA!A14918</f>
        <v>27AAAAA14918Z5</v>
      </c>
      <c r="B14918" t="str">
        <f>TEST_DATA!B14918</f>
        <v>Jun-2020</v>
      </c>
      <c r="C14918">
        <f>TEST_DATA!C14918</f>
        <v>44673</v>
      </c>
      <c r="D14918" t="str">
        <f>TEST_DATA!D14918</f>
        <v>NIL</v>
      </c>
      <c r="E14918">
        <f>TEST_DATA!E14918</f>
        <v>539</v>
      </c>
    </row>
    <row r="14919" spans="1:5" x14ac:dyDescent="0.55000000000000004">
      <c r="A14919" t="str">
        <f>TEST_DATA!A14919</f>
        <v>27AAAAA14919Z5</v>
      </c>
      <c r="B14919" t="str">
        <f>TEST_DATA!B14919</f>
        <v>Oct-2017</v>
      </c>
      <c r="C14919">
        <f>TEST_DATA!C14919</f>
        <v>43711</v>
      </c>
      <c r="D14919" t="str">
        <f>TEST_DATA!D14919</f>
        <v>NON-NIL</v>
      </c>
      <c r="E14919">
        <f>TEST_DATA!E14919</f>
        <v>2925</v>
      </c>
    </row>
    <row r="14920" spans="1:5" x14ac:dyDescent="0.55000000000000004">
      <c r="A14920" t="str">
        <f>TEST_DATA!A14920</f>
        <v>27AAAAA14920Z5</v>
      </c>
      <c r="B14920" t="str">
        <f>TEST_DATA!B14920</f>
        <v>Mar-2020</v>
      </c>
      <c r="C14920">
        <f>TEST_DATA!C14920</f>
        <v>44442</v>
      </c>
      <c r="D14920" t="str">
        <f>TEST_DATA!D14920</f>
        <v>NIL</v>
      </c>
      <c r="E14920">
        <f>TEST_DATA!E14920</f>
        <v>2878</v>
      </c>
    </row>
    <row r="14921" spans="1:5" x14ac:dyDescent="0.55000000000000004">
      <c r="A14921" t="str">
        <f>TEST_DATA!A14921</f>
        <v>27AAAAA14921Z5</v>
      </c>
      <c r="B14921" t="str">
        <f>TEST_DATA!B14921</f>
        <v>Mar-2023</v>
      </c>
      <c r="C14921">
        <f>TEST_DATA!C14921</f>
        <v>43713</v>
      </c>
      <c r="D14921" t="str">
        <f>TEST_DATA!D14921</f>
        <v>NIL</v>
      </c>
      <c r="E14921">
        <f>TEST_DATA!E14921</f>
        <v>315</v>
      </c>
    </row>
    <row r="14922" spans="1:5" x14ac:dyDescent="0.55000000000000004">
      <c r="A14922" t="str">
        <f>TEST_DATA!A14922</f>
        <v>27AAAAA14922Z5</v>
      </c>
      <c r="B14922" t="str">
        <f>TEST_DATA!B14922</f>
        <v>Sep-2017</v>
      </c>
      <c r="C14922">
        <f>TEST_DATA!C14922</f>
        <v>43254</v>
      </c>
      <c r="D14922" t="str">
        <f>TEST_DATA!D14922</f>
        <v>NIL</v>
      </c>
      <c r="E14922">
        <f>TEST_DATA!E14922</f>
        <v>898</v>
      </c>
    </row>
    <row r="14923" spans="1:5" x14ac:dyDescent="0.55000000000000004">
      <c r="A14923" t="str">
        <f>TEST_DATA!A14923</f>
        <v>27AAAAA14923Z5</v>
      </c>
      <c r="B14923" t="str">
        <f>TEST_DATA!B14923</f>
        <v>Jul-2020</v>
      </c>
      <c r="C14923">
        <f>TEST_DATA!C14923</f>
        <v>43877</v>
      </c>
      <c r="D14923" t="str">
        <f>TEST_DATA!D14923</f>
        <v>NIL</v>
      </c>
      <c r="E14923">
        <f>TEST_DATA!E14923</f>
        <v>1719</v>
      </c>
    </row>
    <row r="14924" spans="1:5" x14ac:dyDescent="0.55000000000000004">
      <c r="A14924" t="str">
        <f>TEST_DATA!A14924</f>
        <v>27AAAAA14924Z5</v>
      </c>
      <c r="B14924" t="str">
        <f>TEST_DATA!B14924</f>
        <v>Sep-2018</v>
      </c>
      <c r="C14924">
        <f>TEST_DATA!C14924</f>
        <v>44104</v>
      </c>
      <c r="D14924" t="str">
        <f>TEST_DATA!D14924</f>
        <v>NON-NIL</v>
      </c>
      <c r="E14924">
        <f>TEST_DATA!E14924</f>
        <v>1381</v>
      </c>
    </row>
    <row r="14925" spans="1:5" x14ac:dyDescent="0.55000000000000004">
      <c r="A14925" t="str">
        <f>TEST_DATA!A14925</f>
        <v>27AAAAA14925Z5</v>
      </c>
      <c r="B14925" t="str">
        <f>TEST_DATA!B14925</f>
        <v>Jun-2018</v>
      </c>
      <c r="C14925">
        <f>TEST_DATA!C14925</f>
        <v>44198</v>
      </c>
      <c r="D14925" t="str">
        <f>TEST_DATA!D14925</f>
        <v>NON-NIL</v>
      </c>
      <c r="E14925">
        <f>TEST_DATA!E14925</f>
        <v>2664</v>
      </c>
    </row>
    <row r="14926" spans="1:5" x14ac:dyDescent="0.55000000000000004">
      <c r="A14926" t="str">
        <f>TEST_DATA!A14926</f>
        <v>27AAAAA14926Z5</v>
      </c>
      <c r="B14926" t="str">
        <f>TEST_DATA!B14926</f>
        <v>Sep-2018</v>
      </c>
      <c r="C14926">
        <f>TEST_DATA!C14926</f>
        <v>43420</v>
      </c>
      <c r="D14926" t="str">
        <f>TEST_DATA!D14926</f>
        <v>NIL</v>
      </c>
      <c r="E14926">
        <f>TEST_DATA!E14926</f>
        <v>906</v>
      </c>
    </row>
    <row r="14927" spans="1:5" x14ac:dyDescent="0.55000000000000004">
      <c r="A14927" t="str">
        <f>TEST_DATA!A14927</f>
        <v>27AAAAA14927Z5</v>
      </c>
      <c r="B14927" t="str">
        <f>TEST_DATA!B14927</f>
        <v>Dec-2019</v>
      </c>
      <c r="C14927">
        <f>TEST_DATA!C14927</f>
        <v>44253</v>
      </c>
      <c r="D14927" t="str">
        <f>TEST_DATA!D14927</f>
        <v>NON-NIL</v>
      </c>
      <c r="E14927">
        <f>TEST_DATA!E14927</f>
        <v>2068</v>
      </c>
    </row>
    <row r="14928" spans="1:5" x14ac:dyDescent="0.55000000000000004">
      <c r="A14928" t="str">
        <f>TEST_DATA!A14928</f>
        <v>27AAAAA14928Z5</v>
      </c>
      <c r="B14928" t="str">
        <f>TEST_DATA!B14928</f>
        <v>Apr-2018</v>
      </c>
      <c r="C14928">
        <f>TEST_DATA!C14928</f>
        <v>43120</v>
      </c>
      <c r="D14928" t="str">
        <f>TEST_DATA!D14928</f>
        <v>NON-NIL</v>
      </c>
      <c r="E14928">
        <f>TEST_DATA!E14928</f>
        <v>986</v>
      </c>
    </row>
    <row r="14929" spans="1:5" x14ac:dyDescent="0.55000000000000004">
      <c r="A14929" t="str">
        <f>TEST_DATA!A14929</f>
        <v>27AAAAA14929Z5</v>
      </c>
      <c r="B14929" t="str">
        <f>TEST_DATA!B14929</f>
        <v>Apr-2018</v>
      </c>
      <c r="C14929">
        <f>TEST_DATA!C14929</f>
        <v>43493</v>
      </c>
      <c r="D14929" t="str">
        <f>TEST_DATA!D14929</f>
        <v>NON-NIL</v>
      </c>
      <c r="E14929">
        <f>TEST_DATA!E14929</f>
        <v>695</v>
      </c>
    </row>
    <row r="14930" spans="1:5" x14ac:dyDescent="0.55000000000000004">
      <c r="A14930" t="str">
        <f>TEST_DATA!A14930</f>
        <v>27AAAAA14930Z5</v>
      </c>
      <c r="B14930" t="str">
        <f>TEST_DATA!B14930</f>
        <v>Dec-2017</v>
      </c>
      <c r="C14930">
        <f>TEST_DATA!C14930</f>
        <v>44559</v>
      </c>
      <c r="D14930" t="str">
        <f>TEST_DATA!D14930</f>
        <v>NIL</v>
      </c>
      <c r="E14930">
        <f>TEST_DATA!E14930</f>
        <v>1993</v>
      </c>
    </row>
    <row r="14931" spans="1:5" x14ac:dyDescent="0.55000000000000004">
      <c r="A14931" t="str">
        <f>TEST_DATA!A14931</f>
        <v>27AAAAA14931Z5</v>
      </c>
      <c r="B14931" t="str">
        <f>TEST_DATA!B14931</f>
        <v>Mar-2018</v>
      </c>
      <c r="C14931">
        <f>TEST_DATA!C14931</f>
        <v>44273</v>
      </c>
      <c r="D14931" t="str">
        <f>TEST_DATA!D14931</f>
        <v>NIL</v>
      </c>
      <c r="E14931">
        <f>TEST_DATA!E14931</f>
        <v>1285</v>
      </c>
    </row>
    <row r="14932" spans="1:5" x14ac:dyDescent="0.55000000000000004">
      <c r="A14932" t="str">
        <f>TEST_DATA!A14932</f>
        <v>27AAAAA14932Z5</v>
      </c>
      <c r="B14932" t="str">
        <f>TEST_DATA!B14932</f>
        <v>Jan-2018</v>
      </c>
      <c r="C14932">
        <f>TEST_DATA!C14932</f>
        <v>43966</v>
      </c>
      <c r="D14932" t="str">
        <f>TEST_DATA!D14932</f>
        <v>NIL</v>
      </c>
      <c r="E14932">
        <f>TEST_DATA!E14932</f>
        <v>1403</v>
      </c>
    </row>
    <row r="14933" spans="1:5" x14ac:dyDescent="0.55000000000000004">
      <c r="A14933" t="str">
        <f>TEST_DATA!A14933</f>
        <v>27AAAAA14933Z5</v>
      </c>
      <c r="B14933" t="str">
        <f>TEST_DATA!B14933</f>
        <v>Jan-2021</v>
      </c>
      <c r="C14933">
        <f>TEST_DATA!C14933</f>
        <v>44970</v>
      </c>
      <c r="D14933" t="str">
        <f>TEST_DATA!D14933</f>
        <v>NIL</v>
      </c>
      <c r="E14933">
        <f>TEST_DATA!E14933</f>
        <v>2518</v>
      </c>
    </row>
    <row r="14934" spans="1:5" x14ac:dyDescent="0.55000000000000004">
      <c r="A14934" t="str">
        <f>TEST_DATA!A14934</f>
        <v>27AAAAA14934Z5</v>
      </c>
      <c r="B14934" t="str">
        <f>TEST_DATA!B14934</f>
        <v>Mar-2021</v>
      </c>
      <c r="C14934">
        <f>TEST_DATA!C14934</f>
        <v>44573</v>
      </c>
      <c r="D14934" t="str">
        <f>TEST_DATA!D14934</f>
        <v>NIL</v>
      </c>
      <c r="E14934">
        <f>TEST_DATA!E14934</f>
        <v>2149</v>
      </c>
    </row>
    <row r="14935" spans="1:5" x14ac:dyDescent="0.55000000000000004">
      <c r="A14935" t="str">
        <f>TEST_DATA!A14935</f>
        <v>27AAAAA14935Z5</v>
      </c>
      <c r="B14935" t="str">
        <f>TEST_DATA!B14935</f>
        <v>May-2020</v>
      </c>
      <c r="C14935">
        <f>TEST_DATA!C14935</f>
        <v>43971</v>
      </c>
      <c r="D14935" t="str">
        <f>TEST_DATA!D14935</f>
        <v>NON-NIL</v>
      </c>
      <c r="E14935">
        <f>TEST_DATA!E14935</f>
        <v>2225</v>
      </c>
    </row>
    <row r="14936" spans="1:5" x14ac:dyDescent="0.55000000000000004">
      <c r="A14936" t="str">
        <f>TEST_DATA!A14936</f>
        <v>27AAAAA14936Z5</v>
      </c>
      <c r="B14936" t="str">
        <f>TEST_DATA!B14936</f>
        <v>Feb-2018</v>
      </c>
      <c r="C14936">
        <f>TEST_DATA!C14936</f>
        <v>43730</v>
      </c>
      <c r="D14936" t="str">
        <f>TEST_DATA!D14936</f>
        <v>NIL</v>
      </c>
      <c r="E14936">
        <f>TEST_DATA!E14936</f>
        <v>1357</v>
      </c>
    </row>
    <row r="14937" spans="1:5" x14ac:dyDescent="0.55000000000000004">
      <c r="A14937" t="str">
        <f>TEST_DATA!A14937</f>
        <v>27AAAAA14937Z5</v>
      </c>
      <c r="B14937" t="str">
        <f>TEST_DATA!B14937</f>
        <v>Sep-2018</v>
      </c>
      <c r="C14937">
        <f>TEST_DATA!C14937</f>
        <v>43924</v>
      </c>
      <c r="D14937" t="str">
        <f>TEST_DATA!D14937</f>
        <v>NIL</v>
      </c>
      <c r="E14937">
        <f>TEST_DATA!E14937</f>
        <v>351</v>
      </c>
    </row>
    <row r="14938" spans="1:5" x14ac:dyDescent="0.55000000000000004">
      <c r="A14938" t="str">
        <f>TEST_DATA!A14938</f>
        <v>27AAAAA14938Z5</v>
      </c>
      <c r="B14938" t="str">
        <f>TEST_DATA!B14938</f>
        <v>Jul-2017</v>
      </c>
      <c r="C14938">
        <f>TEST_DATA!C14938</f>
        <v>44350</v>
      </c>
      <c r="D14938" t="str">
        <f>TEST_DATA!D14938</f>
        <v>NON-NIL</v>
      </c>
      <c r="E14938">
        <f>TEST_DATA!E14938</f>
        <v>757</v>
      </c>
    </row>
    <row r="14939" spans="1:5" x14ac:dyDescent="0.55000000000000004">
      <c r="A14939" t="str">
        <f>TEST_DATA!A14939</f>
        <v>27AAAAA14939Z5</v>
      </c>
      <c r="B14939" t="str">
        <f>TEST_DATA!B14939</f>
        <v>Sep-2018</v>
      </c>
      <c r="C14939">
        <f>TEST_DATA!C14939</f>
        <v>43504</v>
      </c>
      <c r="D14939" t="str">
        <f>TEST_DATA!D14939</f>
        <v>NIL</v>
      </c>
      <c r="E14939">
        <f>TEST_DATA!E14939</f>
        <v>206</v>
      </c>
    </row>
    <row r="14940" spans="1:5" x14ac:dyDescent="0.55000000000000004">
      <c r="A14940" t="str">
        <f>TEST_DATA!A14940</f>
        <v>27AAAAA14940Z5</v>
      </c>
      <c r="B14940" t="str">
        <f>TEST_DATA!B14940</f>
        <v>Dec-2022</v>
      </c>
      <c r="C14940">
        <f>TEST_DATA!C14940</f>
        <v>44992</v>
      </c>
      <c r="D14940" t="str">
        <f>TEST_DATA!D14940</f>
        <v>NIL</v>
      </c>
      <c r="E14940">
        <f>TEST_DATA!E14940</f>
        <v>1432</v>
      </c>
    </row>
    <row r="14941" spans="1:5" x14ac:dyDescent="0.55000000000000004">
      <c r="A14941" t="str">
        <f>TEST_DATA!A14941</f>
        <v>27AAAAA14941Z5</v>
      </c>
      <c r="B14941" t="str">
        <f>TEST_DATA!B14941</f>
        <v>Jan-2021</v>
      </c>
      <c r="C14941">
        <f>TEST_DATA!C14941</f>
        <v>45352</v>
      </c>
      <c r="D14941" t="str">
        <f>TEST_DATA!D14941</f>
        <v>NIL</v>
      </c>
      <c r="E14941">
        <f>TEST_DATA!E14941</f>
        <v>1528</v>
      </c>
    </row>
    <row r="14942" spans="1:5" x14ac:dyDescent="0.55000000000000004">
      <c r="A14942" t="str">
        <f>TEST_DATA!A14942</f>
        <v>27AAAAA14942Z5</v>
      </c>
      <c r="B14942" t="str">
        <f>TEST_DATA!B14942</f>
        <v>May-2018</v>
      </c>
      <c r="C14942">
        <f>TEST_DATA!C14942</f>
        <v>43605</v>
      </c>
      <c r="D14942" t="str">
        <f>TEST_DATA!D14942</f>
        <v>NIL</v>
      </c>
      <c r="E14942">
        <f>TEST_DATA!E14942</f>
        <v>2260</v>
      </c>
    </row>
    <row r="14943" spans="1:5" x14ac:dyDescent="0.55000000000000004">
      <c r="A14943" t="str">
        <f>TEST_DATA!A14943</f>
        <v>27AAAAA14943Z5</v>
      </c>
      <c r="B14943" t="str">
        <f>TEST_DATA!B14943</f>
        <v>Apr-2018</v>
      </c>
      <c r="C14943">
        <f>TEST_DATA!C14943</f>
        <v>44131</v>
      </c>
      <c r="D14943" t="str">
        <f>TEST_DATA!D14943</f>
        <v>NON-NIL</v>
      </c>
      <c r="E14943">
        <f>TEST_DATA!E14943</f>
        <v>2941</v>
      </c>
    </row>
    <row r="14944" spans="1:5" x14ac:dyDescent="0.55000000000000004">
      <c r="A14944" t="str">
        <f>TEST_DATA!A14944</f>
        <v>27AAAAA14944Z5</v>
      </c>
      <c r="B14944" t="str">
        <f>TEST_DATA!B14944</f>
        <v>Apr-2021</v>
      </c>
      <c r="C14944">
        <f>TEST_DATA!C14944</f>
        <v>44973</v>
      </c>
      <c r="D14944" t="str">
        <f>TEST_DATA!D14944</f>
        <v>NIL</v>
      </c>
      <c r="E14944">
        <f>TEST_DATA!E14944</f>
        <v>2550</v>
      </c>
    </row>
    <row r="14945" spans="1:5" x14ac:dyDescent="0.55000000000000004">
      <c r="A14945" t="str">
        <f>TEST_DATA!A14945</f>
        <v>27AAAAA14945Z5</v>
      </c>
      <c r="B14945" t="str">
        <f>TEST_DATA!B14945</f>
        <v>Aug-2018</v>
      </c>
      <c r="C14945">
        <f>TEST_DATA!C14945</f>
        <v>43441</v>
      </c>
      <c r="D14945" t="str">
        <f>TEST_DATA!D14945</f>
        <v>NIL</v>
      </c>
      <c r="E14945">
        <f>TEST_DATA!E14945</f>
        <v>2567</v>
      </c>
    </row>
    <row r="14946" spans="1:5" x14ac:dyDescent="0.55000000000000004">
      <c r="A14946" t="str">
        <f>TEST_DATA!A14946</f>
        <v>27AAAAA14946Z5</v>
      </c>
      <c r="B14946" t="str">
        <f>TEST_DATA!B14946</f>
        <v>May-2018</v>
      </c>
      <c r="C14946">
        <f>TEST_DATA!C14946</f>
        <v>43204</v>
      </c>
      <c r="D14946" t="str">
        <f>TEST_DATA!D14946</f>
        <v>NIL</v>
      </c>
      <c r="E14946">
        <f>TEST_DATA!E14946</f>
        <v>393</v>
      </c>
    </row>
    <row r="14947" spans="1:5" x14ac:dyDescent="0.55000000000000004">
      <c r="A14947" t="str">
        <f>TEST_DATA!A14947</f>
        <v>27AAAAA14947Z5</v>
      </c>
      <c r="B14947" t="str">
        <f>TEST_DATA!B14947</f>
        <v>Jan-2019</v>
      </c>
      <c r="C14947">
        <f>TEST_DATA!C14947</f>
        <v>44278</v>
      </c>
      <c r="D14947" t="str">
        <f>TEST_DATA!D14947</f>
        <v>NIL</v>
      </c>
      <c r="E14947">
        <f>TEST_DATA!E14947</f>
        <v>2259</v>
      </c>
    </row>
    <row r="14948" spans="1:5" x14ac:dyDescent="0.55000000000000004">
      <c r="A14948" t="str">
        <f>TEST_DATA!A14948</f>
        <v>27AAAAA14948Z5</v>
      </c>
      <c r="B14948" t="str">
        <f>TEST_DATA!B14948</f>
        <v>Apr-2018</v>
      </c>
      <c r="C14948">
        <f>TEST_DATA!C14948</f>
        <v>43206</v>
      </c>
      <c r="D14948" t="str">
        <f>TEST_DATA!D14948</f>
        <v>NON-NIL</v>
      </c>
      <c r="E14948">
        <f>TEST_DATA!E14948</f>
        <v>2148</v>
      </c>
    </row>
    <row r="14949" spans="1:5" x14ac:dyDescent="0.55000000000000004">
      <c r="A14949" t="str">
        <f>TEST_DATA!A14949</f>
        <v>27AAAAA14949Z5</v>
      </c>
      <c r="B14949" t="str">
        <f>TEST_DATA!B14949</f>
        <v>Jan-2019</v>
      </c>
      <c r="C14949">
        <f>TEST_DATA!C14949</f>
        <v>44168</v>
      </c>
      <c r="D14949" t="str">
        <f>TEST_DATA!D14949</f>
        <v>NIL</v>
      </c>
      <c r="E14949">
        <f>TEST_DATA!E14949</f>
        <v>2716</v>
      </c>
    </row>
    <row r="14950" spans="1:5" x14ac:dyDescent="0.55000000000000004">
      <c r="A14950" t="str">
        <f>TEST_DATA!A14950</f>
        <v>27AAAAA14950Z5</v>
      </c>
      <c r="B14950" t="str">
        <f>TEST_DATA!B14950</f>
        <v>Dec-2017</v>
      </c>
      <c r="C14950">
        <f>TEST_DATA!C14950</f>
        <v>42963</v>
      </c>
      <c r="D14950" t="str">
        <f>TEST_DATA!D14950</f>
        <v>NIL</v>
      </c>
      <c r="E14950">
        <f>TEST_DATA!E14950</f>
        <v>2528</v>
      </c>
    </row>
    <row r="14951" spans="1:5" x14ac:dyDescent="0.55000000000000004">
      <c r="A14951" t="str">
        <f>TEST_DATA!A14951</f>
        <v>27AAAAA14951Z5</v>
      </c>
      <c r="B14951" t="str">
        <f>TEST_DATA!B14951</f>
        <v>Sep-2017</v>
      </c>
      <c r="C14951">
        <f>TEST_DATA!C14951</f>
        <v>44234</v>
      </c>
      <c r="D14951" t="str">
        <f>TEST_DATA!D14951</f>
        <v>NON-NIL</v>
      </c>
      <c r="E14951">
        <f>TEST_DATA!E14951</f>
        <v>705</v>
      </c>
    </row>
    <row r="14952" spans="1:5" x14ac:dyDescent="0.55000000000000004">
      <c r="A14952" t="str">
        <f>TEST_DATA!A14952</f>
        <v>27AAAAA14952Z5</v>
      </c>
      <c r="B14952" t="str">
        <f>TEST_DATA!B14952</f>
        <v>Jul-2018</v>
      </c>
      <c r="C14952">
        <f>TEST_DATA!C14952</f>
        <v>43560</v>
      </c>
      <c r="D14952" t="str">
        <f>TEST_DATA!D14952</f>
        <v>NIL</v>
      </c>
      <c r="E14952">
        <f>TEST_DATA!E14952</f>
        <v>2677</v>
      </c>
    </row>
    <row r="14953" spans="1:5" x14ac:dyDescent="0.55000000000000004">
      <c r="A14953" t="str">
        <f>TEST_DATA!A14953</f>
        <v>27AAAAA14953Z5</v>
      </c>
      <c r="B14953" t="str">
        <f>TEST_DATA!B14953</f>
        <v>May-2020</v>
      </c>
      <c r="C14953">
        <f>TEST_DATA!C14953</f>
        <v>44330</v>
      </c>
      <c r="D14953" t="str">
        <f>TEST_DATA!D14953</f>
        <v>NON-NIL</v>
      </c>
      <c r="E14953">
        <f>TEST_DATA!E14953</f>
        <v>596</v>
      </c>
    </row>
    <row r="14954" spans="1:5" x14ac:dyDescent="0.55000000000000004">
      <c r="A14954" t="str">
        <f>TEST_DATA!A14954</f>
        <v>27AAAAA14954Z5</v>
      </c>
      <c r="B14954" t="str">
        <f>TEST_DATA!B14954</f>
        <v>Aug-2017</v>
      </c>
      <c r="C14954">
        <f>TEST_DATA!C14954</f>
        <v>43556</v>
      </c>
      <c r="D14954" t="str">
        <f>TEST_DATA!D14954</f>
        <v>NON-NIL</v>
      </c>
      <c r="E14954">
        <f>TEST_DATA!E14954</f>
        <v>2009</v>
      </c>
    </row>
    <row r="14955" spans="1:5" x14ac:dyDescent="0.55000000000000004">
      <c r="A14955" t="str">
        <f>TEST_DATA!A14955</f>
        <v>27AAAAA14955Z5</v>
      </c>
      <c r="B14955" t="str">
        <f>TEST_DATA!B14955</f>
        <v>Jun-2019</v>
      </c>
      <c r="C14955">
        <f>TEST_DATA!C14955</f>
        <v>43921</v>
      </c>
      <c r="D14955" t="str">
        <f>TEST_DATA!D14955</f>
        <v>NIL</v>
      </c>
      <c r="E14955">
        <f>TEST_DATA!E14955</f>
        <v>437</v>
      </c>
    </row>
    <row r="14956" spans="1:5" x14ac:dyDescent="0.55000000000000004">
      <c r="A14956" t="str">
        <f>TEST_DATA!A14956</f>
        <v>27AAAAA14956Z5</v>
      </c>
      <c r="B14956" t="str">
        <f>TEST_DATA!B14956</f>
        <v>Apr-2018</v>
      </c>
      <c r="C14956">
        <f>TEST_DATA!C14956</f>
        <v>43660</v>
      </c>
      <c r="D14956" t="str">
        <f>TEST_DATA!D14956</f>
        <v>NON-NIL</v>
      </c>
      <c r="E14956">
        <f>TEST_DATA!E14956</f>
        <v>561</v>
      </c>
    </row>
    <row r="14957" spans="1:5" x14ac:dyDescent="0.55000000000000004">
      <c r="A14957" t="str">
        <f>TEST_DATA!A14957</f>
        <v>27AAAAA14957Z5</v>
      </c>
      <c r="B14957" t="str">
        <f>TEST_DATA!B14957</f>
        <v>Jan-2021</v>
      </c>
      <c r="C14957">
        <f>TEST_DATA!C14957</f>
        <v>44993</v>
      </c>
      <c r="D14957" t="str">
        <f>TEST_DATA!D14957</f>
        <v>NIL</v>
      </c>
      <c r="E14957">
        <f>TEST_DATA!E14957</f>
        <v>248</v>
      </c>
    </row>
    <row r="14958" spans="1:5" x14ac:dyDescent="0.55000000000000004">
      <c r="A14958" t="str">
        <f>TEST_DATA!A14958</f>
        <v>27AAAAA14958Z5</v>
      </c>
      <c r="B14958" t="str">
        <f>TEST_DATA!B14958</f>
        <v>Jan-2018</v>
      </c>
      <c r="C14958">
        <f>TEST_DATA!C14958</f>
        <v>43040</v>
      </c>
      <c r="D14958" t="str">
        <f>TEST_DATA!D14958</f>
        <v>NIL</v>
      </c>
      <c r="E14958">
        <f>TEST_DATA!E14958</f>
        <v>1149</v>
      </c>
    </row>
    <row r="14959" spans="1:5" x14ac:dyDescent="0.55000000000000004">
      <c r="A14959" t="str">
        <f>TEST_DATA!A14959</f>
        <v>27AAAAA14959Z5</v>
      </c>
      <c r="B14959" t="str">
        <f>TEST_DATA!B14959</f>
        <v>Mar-2023</v>
      </c>
      <c r="C14959">
        <f>TEST_DATA!C14959</f>
        <v>43733</v>
      </c>
      <c r="D14959" t="str">
        <f>TEST_DATA!D14959</f>
        <v>NIL</v>
      </c>
      <c r="E14959">
        <f>TEST_DATA!E14959</f>
        <v>64</v>
      </c>
    </row>
    <row r="14960" spans="1:5" x14ac:dyDescent="0.55000000000000004">
      <c r="A14960" t="str">
        <f>TEST_DATA!A14960</f>
        <v>27AAAAA14960Z5</v>
      </c>
      <c r="B14960" t="str">
        <f>TEST_DATA!B14960</f>
        <v>Jul-2017</v>
      </c>
      <c r="C14960">
        <f>TEST_DATA!C14960</f>
        <v>43153</v>
      </c>
      <c r="D14960" t="str">
        <f>TEST_DATA!D14960</f>
        <v>NIL</v>
      </c>
      <c r="E14960">
        <f>TEST_DATA!E14960</f>
        <v>863</v>
      </c>
    </row>
    <row r="14961" spans="1:5" x14ac:dyDescent="0.55000000000000004">
      <c r="A14961" t="str">
        <f>TEST_DATA!A14961</f>
        <v>27AAAAA14961Z5</v>
      </c>
      <c r="B14961" t="str">
        <f>TEST_DATA!B14961</f>
        <v>Sep-2017</v>
      </c>
      <c r="C14961">
        <f>TEST_DATA!C14961</f>
        <v>43493</v>
      </c>
      <c r="D14961" t="str">
        <f>TEST_DATA!D14961</f>
        <v>NON-NIL</v>
      </c>
      <c r="E14961">
        <f>TEST_DATA!E14961</f>
        <v>1238</v>
      </c>
    </row>
    <row r="14962" spans="1:5" x14ac:dyDescent="0.55000000000000004">
      <c r="A14962" t="str">
        <f>TEST_DATA!A14962</f>
        <v>27AAAAA14962Z5</v>
      </c>
      <c r="B14962" t="str">
        <f>TEST_DATA!B14962</f>
        <v>Dec-2022</v>
      </c>
      <c r="C14962">
        <f>TEST_DATA!C14962</f>
        <v>44725</v>
      </c>
      <c r="D14962" t="str">
        <f>TEST_DATA!D14962</f>
        <v>NIL</v>
      </c>
      <c r="E14962">
        <f>TEST_DATA!E14962</f>
        <v>342</v>
      </c>
    </row>
    <row r="14963" spans="1:5" x14ac:dyDescent="0.55000000000000004">
      <c r="A14963" t="str">
        <f>TEST_DATA!A14963</f>
        <v>27AAAAA14963Z5</v>
      </c>
      <c r="B14963" t="str">
        <f>TEST_DATA!B14963</f>
        <v>Apr-2018</v>
      </c>
      <c r="C14963">
        <f>TEST_DATA!C14963</f>
        <v>43425</v>
      </c>
      <c r="D14963" t="str">
        <f>TEST_DATA!D14963</f>
        <v>NON-NIL</v>
      </c>
      <c r="E14963">
        <f>TEST_DATA!E14963</f>
        <v>2630</v>
      </c>
    </row>
    <row r="14964" spans="1:5" x14ac:dyDescent="0.55000000000000004">
      <c r="A14964" t="str">
        <f>TEST_DATA!A14964</f>
        <v>27AAAAA14964Z5</v>
      </c>
      <c r="B14964" t="str">
        <f>TEST_DATA!B14964</f>
        <v>Jan-2019</v>
      </c>
      <c r="C14964">
        <f>TEST_DATA!C14964</f>
        <v>45522</v>
      </c>
      <c r="D14964" t="str">
        <f>TEST_DATA!D14964</f>
        <v>NIL</v>
      </c>
      <c r="E14964">
        <f>TEST_DATA!E14964</f>
        <v>1520</v>
      </c>
    </row>
    <row r="14965" spans="1:5" x14ac:dyDescent="0.55000000000000004">
      <c r="A14965" t="str">
        <f>TEST_DATA!A14965</f>
        <v>27AAAAA14965Z5</v>
      </c>
      <c r="B14965" t="str">
        <f>TEST_DATA!B14965</f>
        <v>May-2018</v>
      </c>
      <c r="C14965">
        <f>TEST_DATA!C14965</f>
        <v>44276</v>
      </c>
      <c r="D14965" t="str">
        <f>TEST_DATA!D14965</f>
        <v>NIL</v>
      </c>
      <c r="E14965">
        <f>TEST_DATA!E14965</f>
        <v>545</v>
      </c>
    </row>
    <row r="14966" spans="1:5" x14ac:dyDescent="0.55000000000000004">
      <c r="A14966" t="str">
        <f>TEST_DATA!A14966</f>
        <v>27AAAAA14966Z5</v>
      </c>
      <c r="B14966" t="str">
        <f>TEST_DATA!B14966</f>
        <v>Dec-2024</v>
      </c>
      <c r="C14966">
        <f>TEST_DATA!C14966</f>
        <v>45425</v>
      </c>
      <c r="D14966" t="str">
        <f>TEST_DATA!D14966</f>
        <v>NON-NIL</v>
      </c>
      <c r="E14966">
        <f>TEST_DATA!E14966</f>
        <v>96</v>
      </c>
    </row>
    <row r="14967" spans="1:5" x14ac:dyDescent="0.55000000000000004">
      <c r="A14967" t="str">
        <f>TEST_DATA!A14967</f>
        <v>27AAAAA14967Z5</v>
      </c>
      <c r="B14967" t="str">
        <f>TEST_DATA!B14967</f>
        <v>Jun-2020</v>
      </c>
      <c r="C14967">
        <f>TEST_DATA!C14967</f>
        <v>44090</v>
      </c>
      <c r="D14967" t="str">
        <f>TEST_DATA!D14967</f>
        <v>NON-NIL</v>
      </c>
      <c r="E14967">
        <f>TEST_DATA!E14967</f>
        <v>217</v>
      </c>
    </row>
    <row r="14968" spans="1:5" x14ac:dyDescent="0.55000000000000004">
      <c r="A14968" t="str">
        <f>TEST_DATA!A14968</f>
        <v>27AAAAA14968Z5</v>
      </c>
      <c r="B14968" t="str">
        <f>TEST_DATA!B14968</f>
        <v>Jan-2021</v>
      </c>
      <c r="C14968">
        <f>TEST_DATA!C14968</f>
        <v>44718</v>
      </c>
      <c r="D14968" t="str">
        <f>TEST_DATA!D14968</f>
        <v>NON-NIL</v>
      </c>
      <c r="E14968">
        <f>TEST_DATA!E14968</f>
        <v>1636</v>
      </c>
    </row>
    <row r="14969" spans="1:5" x14ac:dyDescent="0.55000000000000004">
      <c r="A14969" t="str">
        <f>TEST_DATA!A14969</f>
        <v>27AAAAA14969Z5</v>
      </c>
      <c r="B14969" t="str">
        <f>TEST_DATA!B14969</f>
        <v>Apr-2020</v>
      </c>
      <c r="C14969">
        <f>TEST_DATA!C14969</f>
        <v>44799</v>
      </c>
      <c r="D14969" t="str">
        <f>TEST_DATA!D14969</f>
        <v>NON-NIL</v>
      </c>
      <c r="E14969">
        <f>TEST_DATA!E14969</f>
        <v>2850</v>
      </c>
    </row>
    <row r="14970" spans="1:5" x14ac:dyDescent="0.55000000000000004">
      <c r="A14970" t="str">
        <f>TEST_DATA!A14970</f>
        <v>27AAAAA14970Z5</v>
      </c>
      <c r="B14970" t="str">
        <f>TEST_DATA!B14970</f>
        <v>Dec-2017</v>
      </c>
      <c r="C14970">
        <f>TEST_DATA!C14970</f>
        <v>43636</v>
      </c>
      <c r="D14970" t="str">
        <f>TEST_DATA!D14970</f>
        <v>NON-NIL</v>
      </c>
      <c r="E14970">
        <f>TEST_DATA!E14970</f>
        <v>2751</v>
      </c>
    </row>
    <row r="14971" spans="1:5" x14ac:dyDescent="0.55000000000000004">
      <c r="A14971" t="str">
        <f>TEST_DATA!A14971</f>
        <v>27AAAAA14971Z5</v>
      </c>
      <c r="B14971" t="str">
        <f>TEST_DATA!B14971</f>
        <v>Mar-2020</v>
      </c>
      <c r="C14971">
        <f>TEST_DATA!C14971</f>
        <v>44724</v>
      </c>
      <c r="D14971" t="str">
        <f>TEST_DATA!D14971</f>
        <v>NON-NIL</v>
      </c>
      <c r="E14971">
        <f>TEST_DATA!E14971</f>
        <v>318</v>
      </c>
    </row>
    <row r="14972" spans="1:5" x14ac:dyDescent="0.55000000000000004">
      <c r="A14972" t="str">
        <f>TEST_DATA!A14972</f>
        <v>27AAAAA14972Z5</v>
      </c>
      <c r="B14972" t="str">
        <f>TEST_DATA!B14972</f>
        <v>Sep-2017</v>
      </c>
      <c r="C14972">
        <f>TEST_DATA!C14972</f>
        <v>43350</v>
      </c>
      <c r="D14972" t="str">
        <f>TEST_DATA!D14972</f>
        <v>NON-NIL</v>
      </c>
      <c r="E14972">
        <f>TEST_DATA!E14972</f>
        <v>63</v>
      </c>
    </row>
    <row r="14973" spans="1:5" x14ac:dyDescent="0.55000000000000004">
      <c r="A14973" t="str">
        <f>TEST_DATA!A14973</f>
        <v>27AAAAA14973Z5</v>
      </c>
      <c r="B14973" t="str">
        <f>TEST_DATA!B14973</f>
        <v>Mar-2023</v>
      </c>
      <c r="C14973">
        <f>TEST_DATA!C14973</f>
        <v>45300</v>
      </c>
      <c r="D14973" t="str">
        <f>TEST_DATA!D14973</f>
        <v>NON-NIL</v>
      </c>
      <c r="E14973">
        <f>TEST_DATA!E14973</f>
        <v>1187</v>
      </c>
    </row>
    <row r="14974" spans="1:5" x14ac:dyDescent="0.55000000000000004">
      <c r="A14974" t="str">
        <f>TEST_DATA!A14974</f>
        <v>27AAAAA14974Z5</v>
      </c>
      <c r="B14974" t="str">
        <f>TEST_DATA!B14974</f>
        <v>Apr-2020</v>
      </c>
      <c r="C14974">
        <f>TEST_DATA!C14974</f>
        <v>44609</v>
      </c>
      <c r="D14974" t="str">
        <f>TEST_DATA!D14974</f>
        <v>NON-NIL</v>
      </c>
      <c r="E14974">
        <f>TEST_DATA!E14974</f>
        <v>687</v>
      </c>
    </row>
    <row r="14975" spans="1:5" x14ac:dyDescent="0.55000000000000004">
      <c r="A14975" t="str">
        <f>TEST_DATA!A14975</f>
        <v>27AAAAA14975Z5</v>
      </c>
      <c r="B14975" t="str">
        <f>TEST_DATA!B14975</f>
        <v>Jul-2020</v>
      </c>
      <c r="C14975">
        <f>TEST_DATA!C14975</f>
        <v>44746</v>
      </c>
      <c r="D14975" t="str">
        <f>TEST_DATA!D14975</f>
        <v>NON-NIL</v>
      </c>
      <c r="E14975">
        <f>TEST_DATA!E14975</f>
        <v>778</v>
      </c>
    </row>
    <row r="14976" spans="1:5" x14ac:dyDescent="0.55000000000000004">
      <c r="A14976" t="str">
        <f>TEST_DATA!A14976</f>
        <v>27AAAAA14976Z5</v>
      </c>
      <c r="B14976" t="str">
        <f>TEST_DATA!B14976</f>
        <v>Jan-2018</v>
      </c>
      <c r="C14976">
        <f>TEST_DATA!C14976</f>
        <v>44073</v>
      </c>
      <c r="D14976" t="str">
        <f>TEST_DATA!D14976</f>
        <v>NON-NIL</v>
      </c>
      <c r="E14976">
        <f>TEST_DATA!E14976</f>
        <v>2072</v>
      </c>
    </row>
    <row r="14977" spans="1:5" x14ac:dyDescent="0.55000000000000004">
      <c r="A14977" t="str">
        <f>TEST_DATA!A14977</f>
        <v>27AAAAA14977Z5</v>
      </c>
      <c r="B14977" t="str">
        <f>TEST_DATA!B14977</f>
        <v>Jul-2017</v>
      </c>
      <c r="C14977">
        <f>TEST_DATA!C14977</f>
        <v>42999</v>
      </c>
      <c r="D14977" t="str">
        <f>TEST_DATA!D14977</f>
        <v>NON-NIL</v>
      </c>
      <c r="E14977">
        <f>TEST_DATA!E14977</f>
        <v>463</v>
      </c>
    </row>
    <row r="14978" spans="1:5" x14ac:dyDescent="0.55000000000000004">
      <c r="A14978" t="str">
        <f>TEST_DATA!A14978</f>
        <v>27AAAAA14978Z5</v>
      </c>
      <c r="B14978" t="str">
        <f>TEST_DATA!B14978</f>
        <v>Oct-2017</v>
      </c>
      <c r="C14978">
        <f>TEST_DATA!C14978</f>
        <v>44178</v>
      </c>
      <c r="D14978" t="str">
        <f>TEST_DATA!D14978</f>
        <v>NON-NIL</v>
      </c>
      <c r="E14978">
        <f>TEST_DATA!E14978</f>
        <v>2044</v>
      </c>
    </row>
    <row r="14979" spans="1:5" x14ac:dyDescent="0.55000000000000004">
      <c r="A14979" t="str">
        <f>TEST_DATA!A14979</f>
        <v>27AAAAA14979Z5</v>
      </c>
      <c r="B14979" t="str">
        <f>TEST_DATA!B14979</f>
        <v>May-2018</v>
      </c>
      <c r="C14979">
        <f>TEST_DATA!C14979</f>
        <v>43014</v>
      </c>
      <c r="D14979" t="str">
        <f>TEST_DATA!D14979</f>
        <v>NON-NIL</v>
      </c>
      <c r="E14979">
        <f>TEST_DATA!E14979</f>
        <v>2600</v>
      </c>
    </row>
    <row r="14980" spans="1:5" x14ac:dyDescent="0.55000000000000004">
      <c r="A14980" t="str">
        <f>TEST_DATA!A14980</f>
        <v>27AAAAA14980Z5</v>
      </c>
      <c r="B14980" t="str">
        <f>TEST_DATA!B14980</f>
        <v>Dec-2017</v>
      </c>
      <c r="C14980">
        <f>TEST_DATA!C14980</f>
        <v>43179</v>
      </c>
      <c r="D14980" t="str">
        <f>TEST_DATA!D14980</f>
        <v>NIL</v>
      </c>
      <c r="E14980">
        <f>TEST_DATA!E14980</f>
        <v>389</v>
      </c>
    </row>
    <row r="14981" spans="1:5" x14ac:dyDescent="0.55000000000000004">
      <c r="A14981" t="str">
        <f>TEST_DATA!A14981</f>
        <v>27AAAAA14981Z5</v>
      </c>
      <c r="B14981" t="str">
        <f>TEST_DATA!B14981</f>
        <v>Sep-2017</v>
      </c>
      <c r="C14981">
        <f>TEST_DATA!C14981</f>
        <v>43211</v>
      </c>
      <c r="D14981" t="str">
        <f>TEST_DATA!D14981</f>
        <v>NON-NIL</v>
      </c>
      <c r="E14981">
        <f>TEST_DATA!E14981</f>
        <v>33</v>
      </c>
    </row>
    <row r="14982" spans="1:5" x14ac:dyDescent="0.55000000000000004">
      <c r="A14982" t="str">
        <f>TEST_DATA!A14982</f>
        <v>27AAAAA14982Z5</v>
      </c>
      <c r="B14982" t="str">
        <f>TEST_DATA!B14982</f>
        <v>Jan-2021</v>
      </c>
      <c r="C14982">
        <f>TEST_DATA!C14982</f>
        <v>44620</v>
      </c>
      <c r="D14982" t="str">
        <f>TEST_DATA!D14982</f>
        <v>NIL</v>
      </c>
      <c r="E14982">
        <f>TEST_DATA!E14982</f>
        <v>526</v>
      </c>
    </row>
    <row r="14983" spans="1:5" x14ac:dyDescent="0.55000000000000004">
      <c r="A14983" t="str">
        <f>TEST_DATA!A14983</f>
        <v>27AAAAA14983Z5</v>
      </c>
      <c r="B14983" t="str">
        <f>TEST_DATA!B14983</f>
        <v>Jul-2020</v>
      </c>
      <c r="C14983">
        <f>TEST_DATA!C14983</f>
        <v>44587</v>
      </c>
      <c r="D14983" t="str">
        <f>TEST_DATA!D14983</f>
        <v>NIL</v>
      </c>
      <c r="E14983">
        <f>TEST_DATA!E14983</f>
        <v>964</v>
      </c>
    </row>
    <row r="14984" spans="1:5" x14ac:dyDescent="0.55000000000000004">
      <c r="A14984" t="str">
        <f>TEST_DATA!A14984</f>
        <v>27AAAAA14984Z5</v>
      </c>
      <c r="B14984" t="str">
        <f>TEST_DATA!B14984</f>
        <v>May-2020</v>
      </c>
      <c r="C14984">
        <f>TEST_DATA!C14984</f>
        <v>44114</v>
      </c>
      <c r="D14984" t="str">
        <f>TEST_DATA!D14984</f>
        <v>NIL</v>
      </c>
      <c r="E14984">
        <f>TEST_DATA!E14984</f>
        <v>2260</v>
      </c>
    </row>
    <row r="14985" spans="1:5" x14ac:dyDescent="0.55000000000000004">
      <c r="A14985" t="str">
        <f>TEST_DATA!A14985</f>
        <v>27AAAAA14985Z5</v>
      </c>
      <c r="B14985" t="str">
        <f>TEST_DATA!B14985</f>
        <v>Sep-2017</v>
      </c>
      <c r="C14985">
        <f>TEST_DATA!C14985</f>
        <v>43540</v>
      </c>
      <c r="D14985" t="str">
        <f>TEST_DATA!D14985</f>
        <v>NIL</v>
      </c>
      <c r="E14985">
        <f>TEST_DATA!E14985</f>
        <v>869</v>
      </c>
    </row>
    <row r="14986" spans="1:5" x14ac:dyDescent="0.55000000000000004">
      <c r="A14986" t="str">
        <f>TEST_DATA!A14986</f>
        <v>27AAAAA14986Z5</v>
      </c>
      <c r="B14986" t="str">
        <f>TEST_DATA!B14986</f>
        <v>Oct-2017</v>
      </c>
      <c r="C14986">
        <f>TEST_DATA!C14986</f>
        <v>43749</v>
      </c>
      <c r="D14986" t="str">
        <f>TEST_DATA!D14986</f>
        <v>NIL</v>
      </c>
      <c r="E14986">
        <f>TEST_DATA!E14986</f>
        <v>1766</v>
      </c>
    </row>
    <row r="14987" spans="1:5" x14ac:dyDescent="0.55000000000000004">
      <c r="A14987" t="str">
        <f>TEST_DATA!A14987</f>
        <v>27AAAAA14987Z5</v>
      </c>
      <c r="B14987" t="str">
        <f>TEST_DATA!B14987</f>
        <v>Jul-2018</v>
      </c>
      <c r="C14987">
        <f>TEST_DATA!C14987</f>
        <v>44429</v>
      </c>
      <c r="D14987" t="str">
        <f>TEST_DATA!D14987</f>
        <v>NON-NIL</v>
      </c>
      <c r="E14987">
        <f>TEST_DATA!E14987</f>
        <v>1259</v>
      </c>
    </row>
    <row r="14988" spans="1:5" x14ac:dyDescent="0.55000000000000004">
      <c r="A14988" t="str">
        <f>TEST_DATA!A14988</f>
        <v>27AAAAA14988Z5</v>
      </c>
      <c r="B14988" t="str">
        <f>TEST_DATA!B14988</f>
        <v>Jun-2020</v>
      </c>
      <c r="C14988">
        <f>TEST_DATA!C14988</f>
        <v>44460</v>
      </c>
      <c r="D14988" t="str">
        <f>TEST_DATA!D14988</f>
        <v>NON-NIL</v>
      </c>
      <c r="E14988">
        <f>TEST_DATA!E14988</f>
        <v>2384</v>
      </c>
    </row>
    <row r="14989" spans="1:5" x14ac:dyDescent="0.55000000000000004">
      <c r="A14989" t="str">
        <f>TEST_DATA!A14989</f>
        <v>27AAAAA14989Z5</v>
      </c>
      <c r="B14989" t="str">
        <f>TEST_DATA!B14989</f>
        <v>Jan-2019</v>
      </c>
      <c r="C14989">
        <f>TEST_DATA!C14989</f>
        <v>43628</v>
      </c>
      <c r="D14989" t="str">
        <f>TEST_DATA!D14989</f>
        <v>NON-NIL</v>
      </c>
      <c r="E14989">
        <f>TEST_DATA!E14989</f>
        <v>468</v>
      </c>
    </row>
    <row r="14990" spans="1:5" x14ac:dyDescent="0.55000000000000004">
      <c r="A14990" t="str">
        <f>TEST_DATA!A14990</f>
        <v>27AAAAA14990Z5</v>
      </c>
      <c r="B14990" t="str">
        <f>TEST_DATA!B14990</f>
        <v>Oct-2017</v>
      </c>
      <c r="C14990">
        <f>TEST_DATA!C14990</f>
        <v>44153</v>
      </c>
      <c r="D14990" t="str">
        <f>TEST_DATA!D14990</f>
        <v>NON-NIL</v>
      </c>
      <c r="E14990">
        <f>TEST_DATA!E14990</f>
        <v>278</v>
      </c>
    </row>
    <row r="14991" spans="1:5" x14ac:dyDescent="0.55000000000000004">
      <c r="A14991" t="str">
        <f>TEST_DATA!A14991</f>
        <v>27AAAAA14991Z5</v>
      </c>
      <c r="B14991" t="str">
        <f>TEST_DATA!B14991</f>
        <v>Apr-2021</v>
      </c>
      <c r="C14991">
        <f>TEST_DATA!C14991</f>
        <v>43916</v>
      </c>
      <c r="D14991" t="str">
        <f>TEST_DATA!D14991</f>
        <v>NIL</v>
      </c>
      <c r="E14991">
        <f>TEST_DATA!E14991</f>
        <v>1515</v>
      </c>
    </row>
    <row r="14992" spans="1:5" x14ac:dyDescent="0.55000000000000004">
      <c r="A14992" t="str">
        <f>TEST_DATA!A14992</f>
        <v>27AAAAA14992Z5</v>
      </c>
      <c r="B14992" t="str">
        <f>TEST_DATA!B14992</f>
        <v>Jan-2019</v>
      </c>
      <c r="C14992">
        <f>TEST_DATA!C14992</f>
        <v>45698</v>
      </c>
      <c r="D14992" t="str">
        <f>TEST_DATA!D14992</f>
        <v>NON-NIL</v>
      </c>
      <c r="E14992">
        <f>TEST_DATA!E14992</f>
        <v>525</v>
      </c>
    </row>
    <row r="14993" spans="1:5" x14ac:dyDescent="0.55000000000000004">
      <c r="A14993" t="str">
        <f>TEST_DATA!A14993</f>
        <v>27AAAAA14993Z5</v>
      </c>
      <c r="B14993" t="str">
        <f>TEST_DATA!B14993</f>
        <v>Feb-2018</v>
      </c>
      <c r="C14993">
        <f>TEST_DATA!C14993</f>
        <v>44110</v>
      </c>
      <c r="D14993" t="str">
        <f>TEST_DATA!D14993</f>
        <v>NIL</v>
      </c>
      <c r="E14993">
        <f>TEST_DATA!E14993</f>
        <v>807</v>
      </c>
    </row>
    <row r="14994" spans="1:5" x14ac:dyDescent="0.55000000000000004">
      <c r="A14994" t="str">
        <f>TEST_DATA!A14994</f>
        <v>27AAAAA14994Z5</v>
      </c>
      <c r="B14994" t="str">
        <f>TEST_DATA!B14994</f>
        <v>Jan-2019</v>
      </c>
      <c r="C14994">
        <f>TEST_DATA!C14994</f>
        <v>43947</v>
      </c>
      <c r="D14994" t="str">
        <f>TEST_DATA!D14994</f>
        <v>NON-NIL</v>
      </c>
      <c r="E14994">
        <f>TEST_DATA!E14994</f>
        <v>2650</v>
      </c>
    </row>
    <row r="14995" spans="1:5" x14ac:dyDescent="0.55000000000000004">
      <c r="A14995" t="str">
        <f>TEST_DATA!A14995</f>
        <v>27AAAAA14995Z5</v>
      </c>
      <c r="B14995" t="str">
        <f>TEST_DATA!B14995</f>
        <v>Jun-2018</v>
      </c>
      <c r="C14995">
        <f>TEST_DATA!C14995</f>
        <v>43973</v>
      </c>
      <c r="D14995" t="str">
        <f>TEST_DATA!D14995</f>
        <v>NON-NIL</v>
      </c>
      <c r="E14995">
        <f>TEST_DATA!E14995</f>
        <v>42</v>
      </c>
    </row>
    <row r="14996" spans="1:5" x14ac:dyDescent="0.55000000000000004">
      <c r="A14996" t="str">
        <f>TEST_DATA!A14996</f>
        <v>27AAAAA14996Z5</v>
      </c>
      <c r="B14996" t="str">
        <f>TEST_DATA!B14996</f>
        <v>Dec-2017</v>
      </c>
      <c r="C14996">
        <f>TEST_DATA!C14996</f>
        <v>43740</v>
      </c>
      <c r="D14996" t="str">
        <f>TEST_DATA!D14996</f>
        <v>NON-NIL</v>
      </c>
      <c r="E14996">
        <f>TEST_DATA!E14996</f>
        <v>533</v>
      </c>
    </row>
    <row r="14997" spans="1:5" x14ac:dyDescent="0.55000000000000004">
      <c r="A14997" t="str">
        <f>TEST_DATA!A14997</f>
        <v>27AAAAA14997Z5</v>
      </c>
      <c r="B14997" t="str">
        <f>TEST_DATA!B14997</f>
        <v>Jan-2018</v>
      </c>
      <c r="C14997">
        <f>TEST_DATA!C14997</f>
        <v>43742</v>
      </c>
      <c r="D14997" t="str">
        <f>TEST_DATA!D14997</f>
        <v>NIL</v>
      </c>
      <c r="E14997">
        <f>TEST_DATA!E14997</f>
        <v>2965</v>
      </c>
    </row>
    <row r="14998" spans="1:5" x14ac:dyDescent="0.55000000000000004">
      <c r="A14998" t="str">
        <f>TEST_DATA!A14998</f>
        <v>27AAAAA14998Z5</v>
      </c>
      <c r="B14998" t="str">
        <f>TEST_DATA!B14998</f>
        <v>Dec-2022</v>
      </c>
      <c r="C14998">
        <f>TEST_DATA!C14998</f>
        <v>44704</v>
      </c>
      <c r="D14998" t="str">
        <f>TEST_DATA!D14998</f>
        <v>NON-NIL</v>
      </c>
      <c r="E14998">
        <f>TEST_DATA!E14998</f>
        <v>2086</v>
      </c>
    </row>
    <row r="14999" spans="1:5" x14ac:dyDescent="0.55000000000000004">
      <c r="A14999" t="str">
        <f>TEST_DATA!A14999</f>
        <v>27AAAAA14999Z5</v>
      </c>
      <c r="B14999" t="str">
        <f>TEST_DATA!B14999</f>
        <v>Dec-2019</v>
      </c>
      <c r="C14999">
        <f>TEST_DATA!C14999</f>
        <v>44635</v>
      </c>
      <c r="D14999" t="str">
        <f>TEST_DATA!D14999</f>
        <v>NON-NIL</v>
      </c>
      <c r="E14999">
        <f>TEST_DATA!E14999</f>
        <v>2378</v>
      </c>
    </row>
    <row r="15000" spans="1:5" x14ac:dyDescent="0.55000000000000004">
      <c r="A15000" t="str">
        <f>TEST_DATA!A15000</f>
        <v>27AAAAA15000Z5</v>
      </c>
      <c r="B15000" t="str">
        <f>TEST_DATA!B15000</f>
        <v>Mar-2023</v>
      </c>
      <c r="C15000">
        <f>TEST_DATA!C15000</f>
        <v>44311</v>
      </c>
      <c r="D15000" t="str">
        <f>TEST_DATA!D15000</f>
        <v>NON-NIL</v>
      </c>
      <c r="E15000">
        <f>TEST_DATA!E15000</f>
        <v>283</v>
      </c>
    </row>
    <row r="15001" spans="1:5" x14ac:dyDescent="0.55000000000000004">
      <c r="A15001" t="str">
        <f>TEST_DATA!A15001</f>
        <v>27AAAAA15001Z5</v>
      </c>
      <c r="B15001" t="str">
        <f>TEST_DATA!B15001</f>
        <v>Apr-2021</v>
      </c>
      <c r="C15001">
        <f>TEST_DATA!C15001</f>
        <v>44617</v>
      </c>
      <c r="D15001" t="str">
        <f>TEST_DATA!D15001</f>
        <v>NON-NIL</v>
      </c>
      <c r="E15001">
        <f>TEST_DATA!E15001</f>
        <v>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01"/>
  <sheetViews>
    <sheetView workbookViewId="0"/>
  </sheetViews>
  <sheetFormatPr defaultRowHeight="14.4" x14ac:dyDescent="0.55000000000000004"/>
  <sheetData>
    <row r="1" spans="1:5" x14ac:dyDescent="0.55000000000000004">
      <c r="A1" s="1" t="s">
        <v>53</v>
      </c>
      <c r="B1" s="1" t="s">
        <v>54</v>
      </c>
      <c r="C1" s="1" t="s">
        <v>55</v>
      </c>
      <c r="D1" s="1" t="s">
        <v>7</v>
      </c>
      <c r="E1" s="1" t="s">
        <v>56</v>
      </c>
    </row>
    <row r="2" spans="1:5" x14ac:dyDescent="0.55000000000000004">
      <c r="A2" t="s">
        <v>61</v>
      </c>
      <c r="B2" t="s">
        <v>35</v>
      </c>
      <c r="C2" s="2">
        <v>44059</v>
      </c>
      <c r="D2" t="s">
        <v>26</v>
      </c>
      <c r="E2">
        <v>1126</v>
      </c>
    </row>
    <row r="3" spans="1:5" x14ac:dyDescent="0.55000000000000004">
      <c r="A3" t="s">
        <v>62</v>
      </c>
      <c r="B3" t="s">
        <v>63</v>
      </c>
      <c r="C3" s="2">
        <v>43374</v>
      </c>
      <c r="D3" t="s">
        <v>26</v>
      </c>
      <c r="E3">
        <v>419</v>
      </c>
    </row>
    <row r="4" spans="1:5" x14ac:dyDescent="0.55000000000000004">
      <c r="A4" t="s">
        <v>64</v>
      </c>
      <c r="B4" t="s">
        <v>38</v>
      </c>
      <c r="C4" s="2">
        <v>44009</v>
      </c>
      <c r="D4" t="s">
        <v>29</v>
      </c>
      <c r="E4">
        <v>130</v>
      </c>
    </row>
    <row r="5" spans="1:5" x14ac:dyDescent="0.55000000000000004">
      <c r="A5" t="s">
        <v>65</v>
      </c>
      <c r="B5" t="s">
        <v>14</v>
      </c>
      <c r="C5" s="2">
        <v>43108</v>
      </c>
      <c r="D5" t="s">
        <v>26</v>
      </c>
      <c r="E5">
        <v>952</v>
      </c>
    </row>
    <row r="6" spans="1:5" x14ac:dyDescent="0.55000000000000004">
      <c r="A6" t="s">
        <v>66</v>
      </c>
      <c r="B6" t="s">
        <v>67</v>
      </c>
      <c r="C6" s="2">
        <v>43574</v>
      </c>
      <c r="D6" t="s">
        <v>26</v>
      </c>
      <c r="E6">
        <v>2932</v>
      </c>
    </row>
    <row r="7" spans="1:5" x14ac:dyDescent="0.55000000000000004">
      <c r="A7" t="s">
        <v>68</v>
      </c>
      <c r="B7" t="s">
        <v>35</v>
      </c>
      <c r="C7" s="2">
        <v>44690</v>
      </c>
      <c r="D7" t="s">
        <v>26</v>
      </c>
      <c r="E7">
        <v>1839</v>
      </c>
    </row>
    <row r="8" spans="1:5" x14ac:dyDescent="0.55000000000000004">
      <c r="A8" t="s">
        <v>69</v>
      </c>
      <c r="B8" t="s">
        <v>23</v>
      </c>
      <c r="C8" s="2">
        <v>44400</v>
      </c>
      <c r="D8" t="s">
        <v>26</v>
      </c>
      <c r="E8">
        <v>653</v>
      </c>
    </row>
    <row r="9" spans="1:5" x14ac:dyDescent="0.55000000000000004">
      <c r="A9" t="s">
        <v>70</v>
      </c>
      <c r="B9" t="s">
        <v>41</v>
      </c>
      <c r="C9" s="2">
        <v>44696</v>
      </c>
      <c r="D9" t="s">
        <v>29</v>
      </c>
      <c r="E9">
        <v>1138</v>
      </c>
    </row>
    <row r="10" spans="1:5" x14ac:dyDescent="0.55000000000000004">
      <c r="A10" t="s">
        <v>71</v>
      </c>
      <c r="B10" t="s">
        <v>72</v>
      </c>
      <c r="C10" s="2">
        <v>43357</v>
      </c>
      <c r="D10" t="s">
        <v>29</v>
      </c>
      <c r="E10">
        <v>418</v>
      </c>
    </row>
    <row r="11" spans="1:5" x14ac:dyDescent="0.55000000000000004">
      <c r="A11" t="s">
        <v>73</v>
      </c>
      <c r="B11" t="s">
        <v>74</v>
      </c>
      <c r="C11" s="2">
        <v>43695</v>
      </c>
      <c r="D11" t="s">
        <v>26</v>
      </c>
      <c r="E11">
        <v>1470</v>
      </c>
    </row>
    <row r="12" spans="1:5" x14ac:dyDescent="0.55000000000000004">
      <c r="A12" t="s">
        <v>75</v>
      </c>
      <c r="B12" t="s">
        <v>76</v>
      </c>
      <c r="C12" s="2">
        <v>44874</v>
      </c>
      <c r="D12" t="s">
        <v>29</v>
      </c>
      <c r="E12">
        <v>177</v>
      </c>
    </row>
    <row r="13" spans="1:5" x14ac:dyDescent="0.55000000000000004">
      <c r="A13" t="s">
        <v>77</v>
      </c>
      <c r="B13" t="s">
        <v>78</v>
      </c>
      <c r="C13" s="2">
        <v>45347</v>
      </c>
      <c r="D13" t="s">
        <v>26</v>
      </c>
      <c r="E13">
        <v>1550</v>
      </c>
    </row>
    <row r="14" spans="1:5" x14ac:dyDescent="0.55000000000000004">
      <c r="A14" t="s">
        <v>79</v>
      </c>
      <c r="B14" t="s">
        <v>74</v>
      </c>
      <c r="C14" s="2">
        <v>44047</v>
      </c>
      <c r="D14" t="s">
        <v>29</v>
      </c>
      <c r="E14">
        <v>2574</v>
      </c>
    </row>
    <row r="15" spans="1:5" x14ac:dyDescent="0.55000000000000004">
      <c r="A15" t="s">
        <v>80</v>
      </c>
      <c r="B15" t="s">
        <v>32</v>
      </c>
      <c r="C15" s="2">
        <v>44571</v>
      </c>
      <c r="D15" t="s">
        <v>26</v>
      </c>
      <c r="E15">
        <v>2885</v>
      </c>
    </row>
    <row r="16" spans="1:5" x14ac:dyDescent="0.55000000000000004">
      <c r="A16" t="s">
        <v>81</v>
      </c>
      <c r="B16" t="s">
        <v>74</v>
      </c>
      <c r="C16" s="2">
        <v>43010</v>
      </c>
      <c r="D16" t="s">
        <v>26</v>
      </c>
      <c r="E16">
        <v>1185</v>
      </c>
    </row>
    <row r="17" spans="1:5" x14ac:dyDescent="0.55000000000000004">
      <c r="A17" t="s">
        <v>82</v>
      </c>
      <c r="B17" t="s">
        <v>74</v>
      </c>
      <c r="C17" s="2">
        <v>43393</v>
      </c>
      <c r="D17" t="s">
        <v>26</v>
      </c>
      <c r="E17">
        <v>1556</v>
      </c>
    </row>
    <row r="18" spans="1:5" x14ac:dyDescent="0.55000000000000004">
      <c r="A18" t="s">
        <v>83</v>
      </c>
      <c r="B18" t="s">
        <v>84</v>
      </c>
      <c r="C18" s="2">
        <v>43845</v>
      </c>
      <c r="D18" t="s">
        <v>29</v>
      </c>
      <c r="E18">
        <v>666</v>
      </c>
    </row>
    <row r="19" spans="1:5" x14ac:dyDescent="0.55000000000000004">
      <c r="A19" t="s">
        <v>85</v>
      </c>
      <c r="B19" t="s">
        <v>86</v>
      </c>
      <c r="C19" s="2">
        <v>43644</v>
      </c>
      <c r="D19" t="s">
        <v>26</v>
      </c>
      <c r="E19">
        <v>2745</v>
      </c>
    </row>
    <row r="20" spans="1:5" x14ac:dyDescent="0.55000000000000004">
      <c r="A20" t="s">
        <v>87</v>
      </c>
      <c r="B20" t="s">
        <v>84</v>
      </c>
      <c r="C20" s="2">
        <v>44354</v>
      </c>
      <c r="D20" t="s">
        <v>26</v>
      </c>
      <c r="E20">
        <v>2495</v>
      </c>
    </row>
    <row r="21" spans="1:5" x14ac:dyDescent="0.55000000000000004">
      <c r="A21" t="s">
        <v>88</v>
      </c>
      <c r="B21" t="s">
        <v>35</v>
      </c>
      <c r="C21" s="2">
        <v>44181</v>
      </c>
      <c r="D21" t="s">
        <v>26</v>
      </c>
      <c r="E21">
        <v>669</v>
      </c>
    </row>
    <row r="22" spans="1:5" x14ac:dyDescent="0.55000000000000004">
      <c r="A22" t="s">
        <v>89</v>
      </c>
      <c r="B22" t="s">
        <v>15</v>
      </c>
      <c r="C22" s="2">
        <v>43694</v>
      </c>
      <c r="D22" t="s">
        <v>29</v>
      </c>
      <c r="E22">
        <v>2621</v>
      </c>
    </row>
    <row r="23" spans="1:5" x14ac:dyDescent="0.55000000000000004">
      <c r="A23" t="s">
        <v>90</v>
      </c>
      <c r="B23" t="s">
        <v>41</v>
      </c>
      <c r="C23" s="2">
        <v>44280</v>
      </c>
      <c r="D23" t="s">
        <v>29</v>
      </c>
      <c r="E23">
        <v>229</v>
      </c>
    </row>
    <row r="24" spans="1:5" x14ac:dyDescent="0.55000000000000004">
      <c r="A24" t="s">
        <v>91</v>
      </c>
      <c r="B24" t="s">
        <v>63</v>
      </c>
      <c r="C24" s="2">
        <v>42982</v>
      </c>
      <c r="D24" t="s">
        <v>29</v>
      </c>
      <c r="E24">
        <v>1643</v>
      </c>
    </row>
    <row r="25" spans="1:5" x14ac:dyDescent="0.55000000000000004">
      <c r="A25" t="s">
        <v>92</v>
      </c>
      <c r="B25" t="s">
        <v>84</v>
      </c>
      <c r="C25" s="2">
        <v>43052</v>
      </c>
      <c r="D25" t="s">
        <v>26</v>
      </c>
      <c r="E25">
        <v>2323</v>
      </c>
    </row>
    <row r="26" spans="1:5" x14ac:dyDescent="0.55000000000000004">
      <c r="A26" t="s">
        <v>93</v>
      </c>
      <c r="B26" t="s">
        <v>94</v>
      </c>
      <c r="C26" s="2">
        <v>44754</v>
      </c>
      <c r="D26" t="s">
        <v>26</v>
      </c>
      <c r="E26">
        <v>2684</v>
      </c>
    </row>
    <row r="27" spans="1:5" x14ac:dyDescent="0.55000000000000004">
      <c r="A27" t="s">
        <v>95</v>
      </c>
      <c r="B27" t="s">
        <v>96</v>
      </c>
      <c r="C27" s="2">
        <v>45086</v>
      </c>
      <c r="D27" t="s">
        <v>29</v>
      </c>
      <c r="E27">
        <v>585</v>
      </c>
    </row>
    <row r="28" spans="1:5" x14ac:dyDescent="0.55000000000000004">
      <c r="A28" t="s">
        <v>97</v>
      </c>
      <c r="B28" t="s">
        <v>84</v>
      </c>
      <c r="C28" s="2">
        <v>43202</v>
      </c>
      <c r="D28" t="s">
        <v>26</v>
      </c>
      <c r="E28">
        <v>2299</v>
      </c>
    </row>
    <row r="29" spans="1:5" x14ac:dyDescent="0.55000000000000004">
      <c r="A29" t="s">
        <v>98</v>
      </c>
      <c r="B29" t="s">
        <v>99</v>
      </c>
      <c r="C29" s="2">
        <v>44542</v>
      </c>
      <c r="D29" t="s">
        <v>29</v>
      </c>
      <c r="E29">
        <v>2390</v>
      </c>
    </row>
    <row r="30" spans="1:5" x14ac:dyDescent="0.55000000000000004">
      <c r="A30" t="s">
        <v>100</v>
      </c>
      <c r="B30" t="s">
        <v>101</v>
      </c>
      <c r="C30" s="2">
        <v>43658</v>
      </c>
      <c r="D30" t="s">
        <v>26</v>
      </c>
      <c r="E30">
        <v>566</v>
      </c>
    </row>
    <row r="31" spans="1:5" x14ac:dyDescent="0.55000000000000004">
      <c r="A31" t="s">
        <v>102</v>
      </c>
      <c r="B31" t="s">
        <v>67</v>
      </c>
      <c r="C31" s="2">
        <v>45487</v>
      </c>
      <c r="D31" t="s">
        <v>26</v>
      </c>
      <c r="E31">
        <v>192</v>
      </c>
    </row>
    <row r="32" spans="1:5" x14ac:dyDescent="0.55000000000000004">
      <c r="A32" t="s">
        <v>103</v>
      </c>
      <c r="B32" t="s">
        <v>76</v>
      </c>
      <c r="C32" s="2">
        <v>43915</v>
      </c>
      <c r="D32" t="s">
        <v>26</v>
      </c>
      <c r="E32">
        <v>2570</v>
      </c>
    </row>
    <row r="33" spans="1:5" x14ac:dyDescent="0.55000000000000004">
      <c r="A33" t="s">
        <v>104</v>
      </c>
      <c r="B33" t="s">
        <v>105</v>
      </c>
      <c r="C33" s="2">
        <v>44539</v>
      </c>
      <c r="D33" t="s">
        <v>29</v>
      </c>
      <c r="E33">
        <v>2442</v>
      </c>
    </row>
    <row r="34" spans="1:5" x14ac:dyDescent="0.55000000000000004">
      <c r="A34" t="s">
        <v>106</v>
      </c>
      <c r="B34" t="s">
        <v>74</v>
      </c>
      <c r="C34" s="2">
        <v>43705</v>
      </c>
      <c r="D34" t="s">
        <v>29</v>
      </c>
      <c r="E34">
        <v>2440</v>
      </c>
    </row>
    <row r="35" spans="1:5" x14ac:dyDescent="0.55000000000000004">
      <c r="A35" t="s">
        <v>107</v>
      </c>
      <c r="B35" t="s">
        <v>15</v>
      </c>
      <c r="C35" s="2">
        <v>44000</v>
      </c>
      <c r="D35" t="s">
        <v>29</v>
      </c>
      <c r="E35">
        <v>2266</v>
      </c>
    </row>
    <row r="36" spans="1:5" x14ac:dyDescent="0.55000000000000004">
      <c r="A36" t="s">
        <v>108</v>
      </c>
      <c r="B36" t="s">
        <v>76</v>
      </c>
      <c r="C36" s="2">
        <v>43513</v>
      </c>
      <c r="D36" t="s">
        <v>26</v>
      </c>
      <c r="E36">
        <v>2792</v>
      </c>
    </row>
    <row r="37" spans="1:5" x14ac:dyDescent="0.55000000000000004">
      <c r="A37" t="s">
        <v>109</v>
      </c>
      <c r="B37" t="s">
        <v>94</v>
      </c>
      <c r="C37" s="2">
        <v>45665</v>
      </c>
      <c r="D37" t="s">
        <v>29</v>
      </c>
      <c r="E37">
        <v>2625</v>
      </c>
    </row>
    <row r="38" spans="1:5" x14ac:dyDescent="0.55000000000000004">
      <c r="A38" t="s">
        <v>110</v>
      </c>
      <c r="B38" t="s">
        <v>111</v>
      </c>
      <c r="C38" s="2">
        <v>43145</v>
      </c>
      <c r="D38" t="s">
        <v>29</v>
      </c>
      <c r="E38">
        <v>1780</v>
      </c>
    </row>
    <row r="39" spans="1:5" x14ac:dyDescent="0.55000000000000004">
      <c r="A39" t="s">
        <v>112</v>
      </c>
      <c r="B39" t="s">
        <v>105</v>
      </c>
      <c r="C39" s="2">
        <v>43846</v>
      </c>
      <c r="D39" t="s">
        <v>26</v>
      </c>
      <c r="E39">
        <v>2957</v>
      </c>
    </row>
    <row r="40" spans="1:5" x14ac:dyDescent="0.55000000000000004">
      <c r="A40" t="s">
        <v>113</v>
      </c>
      <c r="B40" t="s">
        <v>94</v>
      </c>
      <c r="C40" s="2">
        <v>44544</v>
      </c>
      <c r="D40" t="s">
        <v>26</v>
      </c>
      <c r="E40">
        <v>2079</v>
      </c>
    </row>
    <row r="41" spans="1:5" x14ac:dyDescent="0.55000000000000004">
      <c r="A41" t="s">
        <v>114</v>
      </c>
      <c r="B41" t="s">
        <v>115</v>
      </c>
      <c r="C41" s="2">
        <v>44197</v>
      </c>
      <c r="D41" t="s">
        <v>29</v>
      </c>
      <c r="E41">
        <v>2617</v>
      </c>
    </row>
    <row r="42" spans="1:5" x14ac:dyDescent="0.55000000000000004">
      <c r="A42" t="s">
        <v>116</v>
      </c>
      <c r="B42" t="s">
        <v>67</v>
      </c>
      <c r="C42" s="2">
        <v>44280</v>
      </c>
      <c r="D42" t="s">
        <v>26</v>
      </c>
      <c r="E42">
        <v>1531</v>
      </c>
    </row>
    <row r="43" spans="1:5" x14ac:dyDescent="0.55000000000000004">
      <c r="A43" t="s">
        <v>117</v>
      </c>
      <c r="B43" t="s">
        <v>118</v>
      </c>
      <c r="C43" s="2">
        <v>44127</v>
      </c>
      <c r="D43" t="s">
        <v>26</v>
      </c>
      <c r="E43">
        <v>2453</v>
      </c>
    </row>
    <row r="44" spans="1:5" x14ac:dyDescent="0.55000000000000004">
      <c r="A44" t="s">
        <v>119</v>
      </c>
      <c r="B44" t="s">
        <v>111</v>
      </c>
      <c r="C44" s="2">
        <v>43917</v>
      </c>
      <c r="D44" t="s">
        <v>26</v>
      </c>
      <c r="E44">
        <v>458</v>
      </c>
    </row>
    <row r="45" spans="1:5" x14ac:dyDescent="0.55000000000000004">
      <c r="A45" t="s">
        <v>120</v>
      </c>
      <c r="B45" t="s">
        <v>86</v>
      </c>
      <c r="C45" s="2">
        <v>43546</v>
      </c>
      <c r="D45" t="s">
        <v>26</v>
      </c>
      <c r="E45">
        <v>237</v>
      </c>
    </row>
    <row r="46" spans="1:5" x14ac:dyDescent="0.55000000000000004">
      <c r="A46" t="s">
        <v>121</v>
      </c>
      <c r="B46" t="s">
        <v>63</v>
      </c>
      <c r="C46" s="2">
        <v>44078</v>
      </c>
      <c r="D46" t="s">
        <v>26</v>
      </c>
      <c r="E46">
        <v>350</v>
      </c>
    </row>
    <row r="47" spans="1:5" x14ac:dyDescent="0.55000000000000004">
      <c r="A47" t="s">
        <v>122</v>
      </c>
      <c r="B47" t="s">
        <v>78</v>
      </c>
      <c r="C47" s="2">
        <v>45456</v>
      </c>
      <c r="D47" t="s">
        <v>26</v>
      </c>
      <c r="E47">
        <v>2181</v>
      </c>
    </row>
    <row r="48" spans="1:5" x14ac:dyDescent="0.55000000000000004">
      <c r="A48" t="s">
        <v>123</v>
      </c>
      <c r="B48" t="s">
        <v>118</v>
      </c>
      <c r="C48" s="2">
        <v>43981</v>
      </c>
      <c r="D48" t="s">
        <v>26</v>
      </c>
      <c r="E48">
        <v>2702</v>
      </c>
    </row>
    <row r="49" spans="1:5" x14ac:dyDescent="0.55000000000000004">
      <c r="A49" t="s">
        <v>124</v>
      </c>
      <c r="B49" t="s">
        <v>96</v>
      </c>
      <c r="C49" s="2">
        <v>45717</v>
      </c>
      <c r="D49" t="s">
        <v>26</v>
      </c>
      <c r="E49">
        <v>1085</v>
      </c>
    </row>
    <row r="50" spans="1:5" x14ac:dyDescent="0.55000000000000004">
      <c r="A50" t="s">
        <v>125</v>
      </c>
      <c r="B50" t="s">
        <v>67</v>
      </c>
      <c r="C50" s="2">
        <v>45199</v>
      </c>
      <c r="D50" t="s">
        <v>26</v>
      </c>
      <c r="E50">
        <v>2208</v>
      </c>
    </row>
    <row r="51" spans="1:5" x14ac:dyDescent="0.55000000000000004">
      <c r="A51" t="s">
        <v>126</v>
      </c>
      <c r="B51" t="s">
        <v>118</v>
      </c>
      <c r="C51" s="2">
        <v>44289</v>
      </c>
      <c r="D51" t="s">
        <v>29</v>
      </c>
      <c r="E51">
        <v>1634</v>
      </c>
    </row>
    <row r="52" spans="1:5" x14ac:dyDescent="0.55000000000000004">
      <c r="A52" t="s">
        <v>127</v>
      </c>
      <c r="B52" t="s">
        <v>38</v>
      </c>
      <c r="C52" s="2">
        <v>44595</v>
      </c>
      <c r="D52" t="s">
        <v>29</v>
      </c>
      <c r="E52">
        <v>2119</v>
      </c>
    </row>
    <row r="53" spans="1:5" x14ac:dyDescent="0.55000000000000004">
      <c r="A53" t="s">
        <v>128</v>
      </c>
      <c r="B53" t="s">
        <v>15</v>
      </c>
      <c r="C53" s="2">
        <v>43164</v>
      </c>
      <c r="D53" t="s">
        <v>26</v>
      </c>
      <c r="E53">
        <v>920</v>
      </c>
    </row>
    <row r="54" spans="1:5" x14ac:dyDescent="0.55000000000000004">
      <c r="A54" t="s">
        <v>129</v>
      </c>
      <c r="B54" t="s">
        <v>74</v>
      </c>
      <c r="C54" s="2">
        <v>43609</v>
      </c>
      <c r="D54" t="s">
        <v>26</v>
      </c>
      <c r="E54">
        <v>2409</v>
      </c>
    </row>
    <row r="55" spans="1:5" x14ac:dyDescent="0.55000000000000004">
      <c r="A55" t="s">
        <v>130</v>
      </c>
      <c r="B55" t="s">
        <v>99</v>
      </c>
      <c r="C55" s="2">
        <v>44408</v>
      </c>
      <c r="D55" t="s">
        <v>26</v>
      </c>
      <c r="E55">
        <v>29</v>
      </c>
    </row>
    <row r="56" spans="1:5" x14ac:dyDescent="0.55000000000000004">
      <c r="A56" t="s">
        <v>131</v>
      </c>
      <c r="B56" t="s">
        <v>74</v>
      </c>
      <c r="C56" s="2">
        <v>44366</v>
      </c>
      <c r="D56" t="s">
        <v>26</v>
      </c>
      <c r="E56">
        <v>937</v>
      </c>
    </row>
    <row r="57" spans="1:5" x14ac:dyDescent="0.55000000000000004">
      <c r="A57" t="s">
        <v>132</v>
      </c>
      <c r="B57" t="s">
        <v>74</v>
      </c>
      <c r="C57" s="2">
        <v>42981</v>
      </c>
      <c r="D57" t="s">
        <v>29</v>
      </c>
      <c r="E57">
        <v>290</v>
      </c>
    </row>
    <row r="58" spans="1:5" x14ac:dyDescent="0.55000000000000004">
      <c r="A58" t="s">
        <v>133</v>
      </c>
      <c r="B58" t="s">
        <v>67</v>
      </c>
      <c r="C58" s="2">
        <v>44440</v>
      </c>
      <c r="D58" t="s">
        <v>29</v>
      </c>
      <c r="E58">
        <v>2740</v>
      </c>
    </row>
    <row r="59" spans="1:5" x14ac:dyDescent="0.55000000000000004">
      <c r="A59" t="s">
        <v>134</v>
      </c>
      <c r="B59" t="s">
        <v>96</v>
      </c>
      <c r="C59" s="2">
        <v>44343</v>
      </c>
      <c r="D59" t="s">
        <v>26</v>
      </c>
      <c r="E59">
        <v>2962</v>
      </c>
    </row>
    <row r="60" spans="1:5" x14ac:dyDescent="0.55000000000000004">
      <c r="A60" t="s">
        <v>135</v>
      </c>
      <c r="B60" t="s">
        <v>94</v>
      </c>
      <c r="C60" s="2">
        <v>45804</v>
      </c>
      <c r="D60" t="s">
        <v>29</v>
      </c>
      <c r="E60">
        <v>995</v>
      </c>
    </row>
    <row r="61" spans="1:5" x14ac:dyDescent="0.55000000000000004">
      <c r="A61" t="s">
        <v>136</v>
      </c>
      <c r="B61" t="s">
        <v>137</v>
      </c>
      <c r="C61" s="2">
        <v>45403</v>
      </c>
      <c r="D61" t="s">
        <v>29</v>
      </c>
      <c r="E61">
        <v>779</v>
      </c>
    </row>
    <row r="62" spans="1:5" x14ac:dyDescent="0.55000000000000004">
      <c r="A62" t="s">
        <v>138</v>
      </c>
      <c r="B62" t="s">
        <v>115</v>
      </c>
      <c r="C62" s="2">
        <v>43115</v>
      </c>
      <c r="D62" t="s">
        <v>29</v>
      </c>
      <c r="E62">
        <v>1451</v>
      </c>
    </row>
    <row r="63" spans="1:5" x14ac:dyDescent="0.55000000000000004">
      <c r="A63" t="s">
        <v>139</v>
      </c>
      <c r="B63" t="s">
        <v>140</v>
      </c>
      <c r="C63" s="2">
        <v>43758</v>
      </c>
      <c r="D63" t="s">
        <v>29</v>
      </c>
      <c r="E63">
        <v>2986</v>
      </c>
    </row>
    <row r="64" spans="1:5" x14ac:dyDescent="0.55000000000000004">
      <c r="A64" t="s">
        <v>141</v>
      </c>
      <c r="B64" t="s">
        <v>142</v>
      </c>
      <c r="C64" s="2">
        <v>44296</v>
      </c>
      <c r="D64" t="s">
        <v>26</v>
      </c>
      <c r="E64">
        <v>248</v>
      </c>
    </row>
    <row r="65" spans="1:5" x14ac:dyDescent="0.55000000000000004">
      <c r="A65" t="s">
        <v>143</v>
      </c>
      <c r="B65" t="s">
        <v>101</v>
      </c>
      <c r="C65" s="2">
        <v>44408</v>
      </c>
      <c r="D65" t="s">
        <v>29</v>
      </c>
      <c r="E65">
        <v>447</v>
      </c>
    </row>
    <row r="66" spans="1:5" x14ac:dyDescent="0.55000000000000004">
      <c r="A66" t="s">
        <v>144</v>
      </c>
      <c r="B66" t="s">
        <v>63</v>
      </c>
      <c r="C66" s="2">
        <v>43309</v>
      </c>
      <c r="D66" t="s">
        <v>26</v>
      </c>
      <c r="E66">
        <v>2196</v>
      </c>
    </row>
    <row r="67" spans="1:5" x14ac:dyDescent="0.55000000000000004">
      <c r="A67" t="s">
        <v>145</v>
      </c>
      <c r="B67" t="s">
        <v>15</v>
      </c>
      <c r="C67" s="2">
        <v>43204</v>
      </c>
      <c r="D67" t="s">
        <v>29</v>
      </c>
      <c r="E67">
        <v>751</v>
      </c>
    </row>
    <row r="68" spans="1:5" x14ac:dyDescent="0.55000000000000004">
      <c r="A68" t="s">
        <v>146</v>
      </c>
      <c r="B68" t="s">
        <v>84</v>
      </c>
      <c r="C68" s="2">
        <v>43864</v>
      </c>
      <c r="D68" t="s">
        <v>26</v>
      </c>
      <c r="E68">
        <v>308</v>
      </c>
    </row>
    <row r="69" spans="1:5" x14ac:dyDescent="0.55000000000000004">
      <c r="A69" t="s">
        <v>147</v>
      </c>
      <c r="B69" t="s">
        <v>15</v>
      </c>
      <c r="C69" s="2">
        <v>44044</v>
      </c>
      <c r="D69" t="s">
        <v>26</v>
      </c>
      <c r="E69">
        <v>207</v>
      </c>
    </row>
    <row r="70" spans="1:5" x14ac:dyDescent="0.55000000000000004">
      <c r="A70" t="s">
        <v>148</v>
      </c>
      <c r="B70" t="s">
        <v>35</v>
      </c>
      <c r="C70" s="2">
        <v>43861</v>
      </c>
      <c r="D70" t="s">
        <v>26</v>
      </c>
      <c r="E70">
        <v>968</v>
      </c>
    </row>
    <row r="71" spans="1:5" x14ac:dyDescent="0.55000000000000004">
      <c r="A71" t="s">
        <v>149</v>
      </c>
      <c r="B71" t="s">
        <v>105</v>
      </c>
      <c r="C71" s="2">
        <v>43749</v>
      </c>
      <c r="D71" t="s">
        <v>29</v>
      </c>
      <c r="E71">
        <v>1971</v>
      </c>
    </row>
    <row r="72" spans="1:5" x14ac:dyDescent="0.55000000000000004">
      <c r="A72" t="s">
        <v>150</v>
      </c>
      <c r="B72" t="s">
        <v>151</v>
      </c>
      <c r="C72" s="2">
        <v>43738</v>
      </c>
      <c r="D72" t="s">
        <v>26</v>
      </c>
      <c r="E72">
        <v>674</v>
      </c>
    </row>
    <row r="73" spans="1:5" x14ac:dyDescent="0.55000000000000004">
      <c r="A73" t="s">
        <v>152</v>
      </c>
      <c r="B73" t="s">
        <v>101</v>
      </c>
      <c r="C73" s="2">
        <v>42921</v>
      </c>
      <c r="D73" t="s">
        <v>29</v>
      </c>
      <c r="E73">
        <v>1086</v>
      </c>
    </row>
    <row r="74" spans="1:5" x14ac:dyDescent="0.55000000000000004">
      <c r="A74" t="s">
        <v>153</v>
      </c>
      <c r="B74" t="s">
        <v>137</v>
      </c>
      <c r="C74" s="2">
        <v>45329</v>
      </c>
      <c r="D74" t="s">
        <v>29</v>
      </c>
      <c r="E74">
        <v>1732</v>
      </c>
    </row>
    <row r="75" spans="1:5" x14ac:dyDescent="0.55000000000000004">
      <c r="A75" t="s">
        <v>154</v>
      </c>
      <c r="B75" t="s">
        <v>41</v>
      </c>
      <c r="C75" s="2">
        <v>44827</v>
      </c>
      <c r="D75" t="s">
        <v>26</v>
      </c>
      <c r="E75">
        <v>777</v>
      </c>
    </row>
    <row r="76" spans="1:5" x14ac:dyDescent="0.55000000000000004">
      <c r="A76" t="s">
        <v>155</v>
      </c>
      <c r="B76" t="s">
        <v>156</v>
      </c>
      <c r="C76" s="2">
        <v>43362</v>
      </c>
      <c r="D76" t="s">
        <v>26</v>
      </c>
      <c r="E76">
        <v>2372</v>
      </c>
    </row>
    <row r="77" spans="1:5" x14ac:dyDescent="0.55000000000000004">
      <c r="A77" t="s">
        <v>157</v>
      </c>
      <c r="B77" t="s">
        <v>78</v>
      </c>
      <c r="C77" s="2">
        <v>45686</v>
      </c>
      <c r="D77" t="s">
        <v>26</v>
      </c>
      <c r="E77">
        <v>1284</v>
      </c>
    </row>
    <row r="78" spans="1:5" x14ac:dyDescent="0.55000000000000004">
      <c r="A78" t="s">
        <v>158</v>
      </c>
      <c r="B78" t="s">
        <v>142</v>
      </c>
      <c r="C78" s="2">
        <v>43019</v>
      </c>
      <c r="D78" t="s">
        <v>29</v>
      </c>
      <c r="E78">
        <v>2059</v>
      </c>
    </row>
    <row r="79" spans="1:5" x14ac:dyDescent="0.55000000000000004">
      <c r="A79" t="s">
        <v>159</v>
      </c>
      <c r="B79" t="s">
        <v>76</v>
      </c>
      <c r="C79" s="2">
        <v>45641</v>
      </c>
      <c r="D79" t="s">
        <v>26</v>
      </c>
      <c r="E79">
        <v>232</v>
      </c>
    </row>
    <row r="80" spans="1:5" x14ac:dyDescent="0.55000000000000004">
      <c r="A80" t="s">
        <v>160</v>
      </c>
      <c r="B80" t="s">
        <v>67</v>
      </c>
      <c r="C80" s="2">
        <v>43794</v>
      </c>
      <c r="D80" t="s">
        <v>26</v>
      </c>
      <c r="E80">
        <v>280</v>
      </c>
    </row>
    <row r="81" spans="1:5" x14ac:dyDescent="0.55000000000000004">
      <c r="A81" t="s">
        <v>161</v>
      </c>
      <c r="B81" t="s">
        <v>32</v>
      </c>
      <c r="C81" s="2">
        <v>43970</v>
      </c>
      <c r="D81" t="s">
        <v>26</v>
      </c>
      <c r="E81">
        <v>1653</v>
      </c>
    </row>
    <row r="82" spans="1:5" x14ac:dyDescent="0.55000000000000004">
      <c r="A82" t="s">
        <v>162</v>
      </c>
      <c r="B82" t="s">
        <v>115</v>
      </c>
      <c r="C82" s="2">
        <v>44083</v>
      </c>
      <c r="D82" t="s">
        <v>26</v>
      </c>
      <c r="E82">
        <v>2371</v>
      </c>
    </row>
    <row r="83" spans="1:5" x14ac:dyDescent="0.55000000000000004">
      <c r="A83" t="s">
        <v>163</v>
      </c>
      <c r="B83" t="s">
        <v>32</v>
      </c>
      <c r="C83" s="2">
        <v>43912</v>
      </c>
      <c r="D83" t="s">
        <v>26</v>
      </c>
      <c r="E83">
        <v>1717</v>
      </c>
    </row>
    <row r="84" spans="1:5" x14ac:dyDescent="0.55000000000000004">
      <c r="A84" t="s">
        <v>164</v>
      </c>
      <c r="B84" t="s">
        <v>38</v>
      </c>
      <c r="C84" s="2">
        <v>44901</v>
      </c>
      <c r="D84" t="s">
        <v>29</v>
      </c>
      <c r="E84">
        <v>1068</v>
      </c>
    </row>
    <row r="85" spans="1:5" x14ac:dyDescent="0.55000000000000004">
      <c r="A85" t="s">
        <v>165</v>
      </c>
      <c r="B85" t="s">
        <v>151</v>
      </c>
      <c r="C85" s="2">
        <v>44288</v>
      </c>
      <c r="D85" t="s">
        <v>29</v>
      </c>
      <c r="E85">
        <v>977</v>
      </c>
    </row>
    <row r="86" spans="1:5" x14ac:dyDescent="0.55000000000000004">
      <c r="A86" t="s">
        <v>166</v>
      </c>
      <c r="B86" t="s">
        <v>84</v>
      </c>
      <c r="C86" s="2">
        <v>43727</v>
      </c>
      <c r="D86" t="s">
        <v>26</v>
      </c>
      <c r="E86">
        <v>2751</v>
      </c>
    </row>
    <row r="87" spans="1:5" x14ac:dyDescent="0.55000000000000004">
      <c r="A87" t="s">
        <v>167</v>
      </c>
      <c r="B87" t="s">
        <v>35</v>
      </c>
      <c r="C87" s="2">
        <v>44445</v>
      </c>
      <c r="D87" t="s">
        <v>29</v>
      </c>
      <c r="E87">
        <v>1295</v>
      </c>
    </row>
    <row r="88" spans="1:5" x14ac:dyDescent="0.55000000000000004">
      <c r="A88" t="s">
        <v>168</v>
      </c>
      <c r="B88" t="s">
        <v>118</v>
      </c>
      <c r="C88" s="2">
        <v>43763</v>
      </c>
      <c r="D88" t="s">
        <v>26</v>
      </c>
      <c r="E88">
        <v>1877</v>
      </c>
    </row>
    <row r="89" spans="1:5" x14ac:dyDescent="0.55000000000000004">
      <c r="A89" t="s">
        <v>169</v>
      </c>
      <c r="B89" t="s">
        <v>32</v>
      </c>
      <c r="C89" s="2">
        <v>44035</v>
      </c>
      <c r="D89" t="s">
        <v>26</v>
      </c>
      <c r="E89">
        <v>2202</v>
      </c>
    </row>
    <row r="90" spans="1:5" x14ac:dyDescent="0.55000000000000004">
      <c r="A90" t="s">
        <v>170</v>
      </c>
      <c r="B90" t="s">
        <v>151</v>
      </c>
      <c r="C90" s="2">
        <v>43953</v>
      </c>
      <c r="D90" t="s">
        <v>29</v>
      </c>
      <c r="E90">
        <v>542</v>
      </c>
    </row>
    <row r="91" spans="1:5" x14ac:dyDescent="0.55000000000000004">
      <c r="A91" t="s">
        <v>171</v>
      </c>
      <c r="B91" t="s">
        <v>86</v>
      </c>
      <c r="C91" s="2">
        <v>43057</v>
      </c>
      <c r="D91" t="s">
        <v>26</v>
      </c>
      <c r="E91">
        <v>1513</v>
      </c>
    </row>
    <row r="92" spans="1:5" x14ac:dyDescent="0.55000000000000004">
      <c r="A92" t="s">
        <v>172</v>
      </c>
      <c r="B92" t="s">
        <v>156</v>
      </c>
      <c r="C92" s="2">
        <v>43240</v>
      </c>
      <c r="D92" t="s">
        <v>29</v>
      </c>
      <c r="E92">
        <v>2225</v>
      </c>
    </row>
    <row r="93" spans="1:5" x14ac:dyDescent="0.55000000000000004">
      <c r="A93" t="s">
        <v>173</v>
      </c>
      <c r="B93" t="s">
        <v>41</v>
      </c>
      <c r="C93" s="2">
        <v>44450</v>
      </c>
      <c r="D93" t="s">
        <v>26</v>
      </c>
      <c r="E93">
        <v>2735</v>
      </c>
    </row>
    <row r="94" spans="1:5" x14ac:dyDescent="0.55000000000000004">
      <c r="A94" t="s">
        <v>174</v>
      </c>
      <c r="B94" t="s">
        <v>175</v>
      </c>
      <c r="C94" s="2">
        <v>45737</v>
      </c>
      <c r="D94" t="s">
        <v>29</v>
      </c>
      <c r="E94">
        <v>2717</v>
      </c>
    </row>
    <row r="95" spans="1:5" x14ac:dyDescent="0.55000000000000004">
      <c r="A95" t="s">
        <v>176</v>
      </c>
      <c r="B95" t="s">
        <v>115</v>
      </c>
      <c r="C95" s="2">
        <v>43192</v>
      </c>
      <c r="D95" t="s">
        <v>29</v>
      </c>
      <c r="E95">
        <v>472</v>
      </c>
    </row>
    <row r="96" spans="1:5" x14ac:dyDescent="0.55000000000000004">
      <c r="A96" t="s">
        <v>177</v>
      </c>
      <c r="B96" t="s">
        <v>94</v>
      </c>
      <c r="C96" s="2">
        <v>43904</v>
      </c>
      <c r="D96" t="s">
        <v>26</v>
      </c>
      <c r="E96">
        <v>1115</v>
      </c>
    </row>
    <row r="97" spans="1:5" x14ac:dyDescent="0.55000000000000004">
      <c r="A97" t="s">
        <v>178</v>
      </c>
      <c r="B97" t="s">
        <v>156</v>
      </c>
      <c r="C97" s="2">
        <v>44155</v>
      </c>
      <c r="D97" t="s">
        <v>26</v>
      </c>
      <c r="E97">
        <v>2939</v>
      </c>
    </row>
    <row r="98" spans="1:5" x14ac:dyDescent="0.55000000000000004">
      <c r="A98" t="s">
        <v>179</v>
      </c>
      <c r="B98" t="s">
        <v>111</v>
      </c>
      <c r="C98" s="2">
        <v>43333</v>
      </c>
      <c r="D98" t="s">
        <v>29</v>
      </c>
      <c r="E98">
        <v>2070</v>
      </c>
    </row>
    <row r="99" spans="1:5" x14ac:dyDescent="0.55000000000000004">
      <c r="A99" t="s">
        <v>180</v>
      </c>
      <c r="B99" t="s">
        <v>96</v>
      </c>
      <c r="C99" s="2">
        <v>44494</v>
      </c>
      <c r="D99" t="s">
        <v>26</v>
      </c>
      <c r="E99">
        <v>378</v>
      </c>
    </row>
    <row r="100" spans="1:5" x14ac:dyDescent="0.55000000000000004">
      <c r="A100" t="s">
        <v>181</v>
      </c>
      <c r="B100" t="s">
        <v>35</v>
      </c>
      <c r="C100" s="2">
        <v>44698</v>
      </c>
      <c r="D100" t="s">
        <v>29</v>
      </c>
      <c r="E100">
        <v>180</v>
      </c>
    </row>
    <row r="101" spans="1:5" x14ac:dyDescent="0.55000000000000004">
      <c r="A101" t="s">
        <v>182</v>
      </c>
      <c r="B101" t="s">
        <v>14</v>
      </c>
      <c r="C101" s="2">
        <v>43600</v>
      </c>
      <c r="D101" t="s">
        <v>26</v>
      </c>
      <c r="E101">
        <v>2609</v>
      </c>
    </row>
    <row r="102" spans="1:5" x14ac:dyDescent="0.55000000000000004">
      <c r="A102" t="s">
        <v>183</v>
      </c>
      <c r="B102" t="s">
        <v>84</v>
      </c>
      <c r="C102" s="2">
        <v>43247</v>
      </c>
      <c r="D102" t="s">
        <v>29</v>
      </c>
      <c r="E102">
        <v>2259</v>
      </c>
    </row>
    <row r="103" spans="1:5" x14ac:dyDescent="0.55000000000000004">
      <c r="A103" t="s">
        <v>184</v>
      </c>
      <c r="B103" t="s">
        <v>41</v>
      </c>
      <c r="C103" s="2">
        <v>44706</v>
      </c>
      <c r="D103" t="s">
        <v>26</v>
      </c>
      <c r="E103">
        <v>458</v>
      </c>
    </row>
    <row r="104" spans="1:5" x14ac:dyDescent="0.55000000000000004">
      <c r="A104" t="s">
        <v>185</v>
      </c>
      <c r="B104" t="s">
        <v>74</v>
      </c>
      <c r="C104" s="2">
        <v>44332</v>
      </c>
      <c r="D104" t="s">
        <v>26</v>
      </c>
      <c r="E104">
        <v>2234</v>
      </c>
    </row>
    <row r="105" spans="1:5" x14ac:dyDescent="0.55000000000000004">
      <c r="A105" t="s">
        <v>186</v>
      </c>
      <c r="B105" t="s">
        <v>142</v>
      </c>
      <c r="C105" s="2">
        <v>43673</v>
      </c>
      <c r="D105" t="s">
        <v>26</v>
      </c>
      <c r="E105">
        <v>1760</v>
      </c>
    </row>
    <row r="106" spans="1:5" x14ac:dyDescent="0.55000000000000004">
      <c r="A106" t="s">
        <v>187</v>
      </c>
      <c r="B106" t="s">
        <v>72</v>
      </c>
      <c r="C106" s="2">
        <v>43002</v>
      </c>
      <c r="D106" t="s">
        <v>29</v>
      </c>
      <c r="E106">
        <v>1493</v>
      </c>
    </row>
    <row r="107" spans="1:5" x14ac:dyDescent="0.55000000000000004">
      <c r="A107" t="s">
        <v>188</v>
      </c>
      <c r="B107" t="s">
        <v>94</v>
      </c>
      <c r="C107" s="2">
        <v>43629</v>
      </c>
      <c r="D107" t="s">
        <v>29</v>
      </c>
      <c r="E107">
        <v>860</v>
      </c>
    </row>
    <row r="108" spans="1:5" x14ac:dyDescent="0.55000000000000004">
      <c r="A108" t="s">
        <v>189</v>
      </c>
      <c r="B108" t="s">
        <v>38</v>
      </c>
      <c r="C108" s="2">
        <v>44342</v>
      </c>
      <c r="D108" t="s">
        <v>26</v>
      </c>
      <c r="E108">
        <v>1448</v>
      </c>
    </row>
    <row r="109" spans="1:5" x14ac:dyDescent="0.55000000000000004">
      <c r="A109" t="s">
        <v>190</v>
      </c>
      <c r="B109" t="s">
        <v>118</v>
      </c>
      <c r="C109" s="2">
        <v>45759</v>
      </c>
      <c r="D109" t="s">
        <v>29</v>
      </c>
      <c r="E109">
        <v>2542</v>
      </c>
    </row>
    <row r="110" spans="1:5" x14ac:dyDescent="0.55000000000000004">
      <c r="A110" t="s">
        <v>191</v>
      </c>
      <c r="B110" t="s">
        <v>78</v>
      </c>
      <c r="C110" s="2">
        <v>44099</v>
      </c>
      <c r="D110" t="s">
        <v>26</v>
      </c>
      <c r="E110">
        <v>665</v>
      </c>
    </row>
    <row r="111" spans="1:5" x14ac:dyDescent="0.55000000000000004">
      <c r="A111" t="s">
        <v>192</v>
      </c>
      <c r="B111" t="s">
        <v>137</v>
      </c>
      <c r="C111" s="2">
        <v>44191</v>
      </c>
      <c r="D111" t="s">
        <v>29</v>
      </c>
      <c r="E111">
        <v>101</v>
      </c>
    </row>
    <row r="112" spans="1:5" x14ac:dyDescent="0.55000000000000004">
      <c r="A112" t="s">
        <v>193</v>
      </c>
      <c r="B112" t="s">
        <v>105</v>
      </c>
      <c r="C112" s="2">
        <v>44425</v>
      </c>
      <c r="D112" t="s">
        <v>29</v>
      </c>
      <c r="E112">
        <v>1686</v>
      </c>
    </row>
    <row r="113" spans="1:5" x14ac:dyDescent="0.55000000000000004">
      <c r="A113" t="s">
        <v>194</v>
      </c>
      <c r="B113" t="s">
        <v>137</v>
      </c>
      <c r="C113" s="2">
        <v>44482</v>
      </c>
      <c r="D113" t="s">
        <v>29</v>
      </c>
      <c r="E113">
        <v>652</v>
      </c>
    </row>
    <row r="114" spans="1:5" x14ac:dyDescent="0.55000000000000004">
      <c r="A114" t="s">
        <v>195</v>
      </c>
      <c r="B114" t="s">
        <v>137</v>
      </c>
      <c r="C114" s="2">
        <v>43908</v>
      </c>
      <c r="D114" t="s">
        <v>29</v>
      </c>
      <c r="E114">
        <v>158</v>
      </c>
    </row>
    <row r="115" spans="1:5" x14ac:dyDescent="0.55000000000000004">
      <c r="A115" t="s">
        <v>196</v>
      </c>
      <c r="B115" t="s">
        <v>76</v>
      </c>
      <c r="C115" s="2">
        <v>45393</v>
      </c>
      <c r="D115" t="s">
        <v>26</v>
      </c>
      <c r="E115">
        <v>817</v>
      </c>
    </row>
    <row r="116" spans="1:5" x14ac:dyDescent="0.55000000000000004">
      <c r="A116" t="s">
        <v>197</v>
      </c>
      <c r="B116" t="s">
        <v>175</v>
      </c>
      <c r="C116" s="2">
        <v>45351</v>
      </c>
      <c r="D116" t="s">
        <v>29</v>
      </c>
      <c r="E116">
        <v>1250</v>
      </c>
    </row>
    <row r="117" spans="1:5" x14ac:dyDescent="0.55000000000000004">
      <c r="A117" t="s">
        <v>198</v>
      </c>
      <c r="B117" t="s">
        <v>175</v>
      </c>
      <c r="C117" s="2">
        <v>44398</v>
      </c>
      <c r="D117" t="s">
        <v>26</v>
      </c>
      <c r="E117">
        <v>96</v>
      </c>
    </row>
    <row r="118" spans="1:5" x14ac:dyDescent="0.55000000000000004">
      <c r="A118" t="s">
        <v>199</v>
      </c>
      <c r="B118" t="s">
        <v>38</v>
      </c>
      <c r="C118" s="2">
        <v>44226</v>
      </c>
      <c r="D118" t="s">
        <v>29</v>
      </c>
      <c r="E118">
        <v>1344</v>
      </c>
    </row>
    <row r="119" spans="1:5" x14ac:dyDescent="0.55000000000000004">
      <c r="A119" t="s">
        <v>200</v>
      </c>
      <c r="B119" t="s">
        <v>84</v>
      </c>
      <c r="C119" s="2">
        <v>43059</v>
      </c>
      <c r="D119" t="s">
        <v>29</v>
      </c>
      <c r="E119">
        <v>1438</v>
      </c>
    </row>
    <row r="120" spans="1:5" x14ac:dyDescent="0.55000000000000004">
      <c r="A120" t="s">
        <v>201</v>
      </c>
      <c r="B120" t="s">
        <v>35</v>
      </c>
      <c r="C120" s="2">
        <v>44874</v>
      </c>
      <c r="D120" t="s">
        <v>29</v>
      </c>
      <c r="E120">
        <v>2783</v>
      </c>
    </row>
    <row r="121" spans="1:5" x14ac:dyDescent="0.55000000000000004">
      <c r="A121" t="s">
        <v>202</v>
      </c>
      <c r="B121" t="s">
        <v>175</v>
      </c>
      <c r="C121" s="2">
        <v>45662</v>
      </c>
      <c r="D121" t="s">
        <v>29</v>
      </c>
      <c r="E121">
        <v>113</v>
      </c>
    </row>
    <row r="122" spans="1:5" x14ac:dyDescent="0.55000000000000004">
      <c r="A122" t="s">
        <v>203</v>
      </c>
      <c r="B122" t="s">
        <v>115</v>
      </c>
      <c r="C122" s="2">
        <v>43451</v>
      </c>
      <c r="D122" t="s">
        <v>26</v>
      </c>
      <c r="E122">
        <v>2378</v>
      </c>
    </row>
    <row r="123" spans="1:5" x14ac:dyDescent="0.55000000000000004">
      <c r="A123" t="s">
        <v>204</v>
      </c>
      <c r="B123" t="s">
        <v>84</v>
      </c>
      <c r="C123" s="2">
        <v>42995</v>
      </c>
      <c r="D123" t="s">
        <v>26</v>
      </c>
      <c r="E123">
        <v>2443</v>
      </c>
    </row>
    <row r="124" spans="1:5" x14ac:dyDescent="0.55000000000000004">
      <c r="A124" t="s">
        <v>205</v>
      </c>
      <c r="B124" t="s">
        <v>140</v>
      </c>
      <c r="C124" s="2">
        <v>43624</v>
      </c>
      <c r="D124" t="s">
        <v>29</v>
      </c>
      <c r="E124">
        <v>1787</v>
      </c>
    </row>
    <row r="125" spans="1:5" x14ac:dyDescent="0.55000000000000004">
      <c r="A125" t="s">
        <v>206</v>
      </c>
      <c r="B125" t="s">
        <v>32</v>
      </c>
      <c r="C125" s="2">
        <v>44878</v>
      </c>
      <c r="D125" t="s">
        <v>26</v>
      </c>
      <c r="E125">
        <v>1577</v>
      </c>
    </row>
    <row r="126" spans="1:5" x14ac:dyDescent="0.55000000000000004">
      <c r="A126" t="s">
        <v>207</v>
      </c>
      <c r="B126" t="s">
        <v>94</v>
      </c>
      <c r="C126" s="2">
        <v>45827</v>
      </c>
      <c r="D126" t="s">
        <v>26</v>
      </c>
      <c r="E126">
        <v>1043</v>
      </c>
    </row>
    <row r="127" spans="1:5" x14ac:dyDescent="0.55000000000000004">
      <c r="A127" t="s">
        <v>208</v>
      </c>
      <c r="B127" t="s">
        <v>142</v>
      </c>
      <c r="C127" s="2">
        <v>44368</v>
      </c>
      <c r="D127" t="s">
        <v>29</v>
      </c>
      <c r="E127">
        <v>6</v>
      </c>
    </row>
    <row r="128" spans="1:5" x14ac:dyDescent="0.55000000000000004">
      <c r="A128" t="s">
        <v>209</v>
      </c>
      <c r="B128" t="s">
        <v>67</v>
      </c>
      <c r="C128" s="2">
        <v>45671</v>
      </c>
      <c r="D128" t="s">
        <v>26</v>
      </c>
      <c r="E128">
        <v>1491</v>
      </c>
    </row>
    <row r="129" spans="1:5" x14ac:dyDescent="0.55000000000000004">
      <c r="A129" t="s">
        <v>210</v>
      </c>
      <c r="B129" t="s">
        <v>140</v>
      </c>
      <c r="C129" s="2">
        <v>43060</v>
      </c>
      <c r="D129" t="s">
        <v>29</v>
      </c>
      <c r="E129">
        <v>2552</v>
      </c>
    </row>
    <row r="130" spans="1:5" x14ac:dyDescent="0.55000000000000004">
      <c r="A130" t="s">
        <v>211</v>
      </c>
      <c r="B130" t="s">
        <v>111</v>
      </c>
      <c r="C130" s="2">
        <v>44275</v>
      </c>
      <c r="D130" t="s">
        <v>26</v>
      </c>
      <c r="E130">
        <v>2948</v>
      </c>
    </row>
    <row r="131" spans="1:5" x14ac:dyDescent="0.55000000000000004">
      <c r="A131" t="s">
        <v>212</v>
      </c>
      <c r="B131" t="s">
        <v>94</v>
      </c>
      <c r="C131" s="2">
        <v>44696</v>
      </c>
      <c r="D131" t="s">
        <v>29</v>
      </c>
      <c r="E131">
        <v>2731</v>
      </c>
    </row>
    <row r="132" spans="1:5" x14ac:dyDescent="0.55000000000000004">
      <c r="A132" t="s">
        <v>213</v>
      </c>
      <c r="B132" t="s">
        <v>140</v>
      </c>
      <c r="C132" s="2">
        <v>43585</v>
      </c>
      <c r="D132" t="s">
        <v>29</v>
      </c>
      <c r="E132">
        <v>2855</v>
      </c>
    </row>
    <row r="133" spans="1:5" x14ac:dyDescent="0.55000000000000004">
      <c r="A133" t="s">
        <v>214</v>
      </c>
      <c r="B133" t="s">
        <v>156</v>
      </c>
      <c r="C133" s="2">
        <v>44052</v>
      </c>
      <c r="D133" t="s">
        <v>26</v>
      </c>
      <c r="E133">
        <v>785</v>
      </c>
    </row>
    <row r="134" spans="1:5" x14ac:dyDescent="0.55000000000000004">
      <c r="A134" t="s">
        <v>215</v>
      </c>
      <c r="B134" t="s">
        <v>140</v>
      </c>
      <c r="C134" s="2">
        <v>44278</v>
      </c>
      <c r="D134" t="s">
        <v>29</v>
      </c>
      <c r="E134">
        <v>2774</v>
      </c>
    </row>
    <row r="135" spans="1:5" x14ac:dyDescent="0.55000000000000004">
      <c r="A135" t="s">
        <v>216</v>
      </c>
      <c r="B135" t="s">
        <v>78</v>
      </c>
      <c r="C135" s="2">
        <v>44178</v>
      </c>
      <c r="D135" t="s">
        <v>29</v>
      </c>
      <c r="E135">
        <v>1663</v>
      </c>
    </row>
    <row r="136" spans="1:5" x14ac:dyDescent="0.55000000000000004">
      <c r="A136" t="s">
        <v>217</v>
      </c>
      <c r="B136" t="s">
        <v>99</v>
      </c>
      <c r="C136" s="2">
        <v>43467</v>
      </c>
      <c r="D136" t="s">
        <v>29</v>
      </c>
      <c r="E136">
        <v>1175</v>
      </c>
    </row>
    <row r="137" spans="1:5" x14ac:dyDescent="0.55000000000000004">
      <c r="A137" t="s">
        <v>218</v>
      </c>
      <c r="B137" t="s">
        <v>151</v>
      </c>
      <c r="C137" s="2">
        <v>43797</v>
      </c>
      <c r="D137" t="s">
        <v>29</v>
      </c>
      <c r="E137">
        <v>1904</v>
      </c>
    </row>
    <row r="138" spans="1:5" x14ac:dyDescent="0.55000000000000004">
      <c r="A138" t="s">
        <v>219</v>
      </c>
      <c r="B138" t="s">
        <v>15</v>
      </c>
      <c r="C138" s="2">
        <v>43822</v>
      </c>
      <c r="D138" t="s">
        <v>26</v>
      </c>
      <c r="E138">
        <v>2093</v>
      </c>
    </row>
    <row r="139" spans="1:5" x14ac:dyDescent="0.55000000000000004">
      <c r="A139" t="s">
        <v>220</v>
      </c>
      <c r="B139" t="s">
        <v>96</v>
      </c>
      <c r="C139" s="2">
        <v>44161</v>
      </c>
      <c r="D139" t="s">
        <v>26</v>
      </c>
      <c r="E139">
        <v>1162</v>
      </c>
    </row>
    <row r="140" spans="1:5" x14ac:dyDescent="0.55000000000000004">
      <c r="A140" t="s">
        <v>221</v>
      </c>
      <c r="B140" t="s">
        <v>67</v>
      </c>
      <c r="C140" s="2">
        <v>44838</v>
      </c>
      <c r="D140" t="s">
        <v>26</v>
      </c>
      <c r="E140">
        <v>962</v>
      </c>
    </row>
    <row r="141" spans="1:5" x14ac:dyDescent="0.55000000000000004">
      <c r="A141" t="s">
        <v>222</v>
      </c>
      <c r="B141" t="s">
        <v>38</v>
      </c>
      <c r="C141" s="2">
        <v>44466</v>
      </c>
      <c r="D141" t="s">
        <v>26</v>
      </c>
      <c r="E141">
        <v>815</v>
      </c>
    </row>
    <row r="142" spans="1:5" x14ac:dyDescent="0.55000000000000004">
      <c r="A142" t="s">
        <v>223</v>
      </c>
      <c r="B142" t="s">
        <v>72</v>
      </c>
      <c r="C142" s="2">
        <v>42967</v>
      </c>
      <c r="D142" t="s">
        <v>26</v>
      </c>
      <c r="E142">
        <v>1002</v>
      </c>
    </row>
    <row r="143" spans="1:5" x14ac:dyDescent="0.55000000000000004">
      <c r="A143" t="s">
        <v>224</v>
      </c>
      <c r="B143" t="s">
        <v>96</v>
      </c>
      <c r="C143" s="2">
        <v>43764</v>
      </c>
      <c r="D143" t="s">
        <v>29</v>
      </c>
      <c r="E143">
        <v>1697</v>
      </c>
    </row>
    <row r="144" spans="1:5" x14ac:dyDescent="0.55000000000000004">
      <c r="A144" t="s">
        <v>225</v>
      </c>
      <c r="B144" t="s">
        <v>94</v>
      </c>
      <c r="C144" s="2">
        <v>45823</v>
      </c>
      <c r="D144" t="s">
        <v>26</v>
      </c>
      <c r="E144">
        <v>2942</v>
      </c>
    </row>
    <row r="145" spans="1:5" x14ac:dyDescent="0.55000000000000004">
      <c r="A145" t="s">
        <v>226</v>
      </c>
      <c r="B145" t="s">
        <v>41</v>
      </c>
      <c r="C145" s="2">
        <v>44617</v>
      </c>
      <c r="D145" t="s">
        <v>29</v>
      </c>
      <c r="E145">
        <v>1636</v>
      </c>
    </row>
    <row r="146" spans="1:5" x14ac:dyDescent="0.55000000000000004">
      <c r="A146" t="s">
        <v>227</v>
      </c>
      <c r="B146" t="s">
        <v>63</v>
      </c>
      <c r="C146" s="2">
        <v>43219</v>
      </c>
      <c r="D146" t="s">
        <v>26</v>
      </c>
      <c r="E146">
        <v>436</v>
      </c>
    </row>
    <row r="147" spans="1:5" x14ac:dyDescent="0.55000000000000004">
      <c r="A147" t="s">
        <v>228</v>
      </c>
      <c r="B147" t="s">
        <v>118</v>
      </c>
      <c r="C147" s="2">
        <v>45207</v>
      </c>
      <c r="D147" t="s">
        <v>26</v>
      </c>
      <c r="E147">
        <v>720</v>
      </c>
    </row>
    <row r="148" spans="1:5" x14ac:dyDescent="0.55000000000000004">
      <c r="A148" t="s">
        <v>229</v>
      </c>
      <c r="B148" t="s">
        <v>137</v>
      </c>
      <c r="C148" s="2">
        <v>45587</v>
      </c>
      <c r="D148" t="s">
        <v>29</v>
      </c>
      <c r="E148">
        <v>205</v>
      </c>
    </row>
    <row r="149" spans="1:5" x14ac:dyDescent="0.55000000000000004">
      <c r="A149" t="s">
        <v>230</v>
      </c>
      <c r="B149" t="s">
        <v>99</v>
      </c>
      <c r="C149" s="2">
        <v>44486</v>
      </c>
      <c r="D149" t="s">
        <v>26</v>
      </c>
      <c r="E149">
        <v>1869</v>
      </c>
    </row>
    <row r="150" spans="1:5" x14ac:dyDescent="0.55000000000000004">
      <c r="A150" t="s">
        <v>231</v>
      </c>
      <c r="B150" t="s">
        <v>72</v>
      </c>
      <c r="C150" s="2">
        <v>44558</v>
      </c>
      <c r="D150" t="s">
        <v>29</v>
      </c>
      <c r="E150">
        <v>2734</v>
      </c>
    </row>
    <row r="151" spans="1:5" x14ac:dyDescent="0.55000000000000004">
      <c r="A151" t="s">
        <v>232</v>
      </c>
      <c r="B151" t="s">
        <v>67</v>
      </c>
      <c r="C151" s="2">
        <v>45755</v>
      </c>
      <c r="D151" t="s">
        <v>29</v>
      </c>
      <c r="E151">
        <v>1812</v>
      </c>
    </row>
    <row r="152" spans="1:5" x14ac:dyDescent="0.55000000000000004">
      <c r="A152" t="s">
        <v>233</v>
      </c>
      <c r="B152" t="s">
        <v>32</v>
      </c>
      <c r="C152" s="2">
        <v>44864</v>
      </c>
      <c r="D152" t="s">
        <v>29</v>
      </c>
      <c r="E152">
        <v>2244</v>
      </c>
    </row>
    <row r="153" spans="1:5" x14ac:dyDescent="0.55000000000000004">
      <c r="A153" t="s">
        <v>234</v>
      </c>
      <c r="B153" t="s">
        <v>15</v>
      </c>
      <c r="C153" s="2">
        <v>43242</v>
      </c>
      <c r="D153" t="s">
        <v>29</v>
      </c>
      <c r="E153">
        <v>1843</v>
      </c>
    </row>
    <row r="154" spans="1:5" x14ac:dyDescent="0.55000000000000004">
      <c r="A154" t="s">
        <v>235</v>
      </c>
      <c r="B154" t="s">
        <v>84</v>
      </c>
      <c r="C154" s="2">
        <v>44456</v>
      </c>
      <c r="D154" t="s">
        <v>26</v>
      </c>
      <c r="E154">
        <v>2611</v>
      </c>
    </row>
    <row r="155" spans="1:5" x14ac:dyDescent="0.55000000000000004">
      <c r="A155" t="s">
        <v>236</v>
      </c>
      <c r="B155" t="s">
        <v>84</v>
      </c>
      <c r="C155" s="2">
        <v>44485</v>
      </c>
      <c r="D155" t="s">
        <v>29</v>
      </c>
      <c r="E155">
        <v>2567</v>
      </c>
    </row>
    <row r="156" spans="1:5" x14ac:dyDescent="0.55000000000000004">
      <c r="A156" t="s">
        <v>237</v>
      </c>
      <c r="B156" t="s">
        <v>63</v>
      </c>
      <c r="C156" s="2">
        <v>43479</v>
      </c>
      <c r="D156" t="s">
        <v>29</v>
      </c>
      <c r="E156">
        <v>317</v>
      </c>
    </row>
    <row r="157" spans="1:5" x14ac:dyDescent="0.55000000000000004">
      <c r="A157" t="s">
        <v>238</v>
      </c>
      <c r="B157" t="s">
        <v>41</v>
      </c>
      <c r="C157" s="2">
        <v>44416</v>
      </c>
      <c r="D157" t="s">
        <v>26</v>
      </c>
      <c r="E157">
        <v>1112</v>
      </c>
    </row>
    <row r="158" spans="1:5" x14ac:dyDescent="0.55000000000000004">
      <c r="A158" t="s">
        <v>239</v>
      </c>
      <c r="B158" t="s">
        <v>111</v>
      </c>
      <c r="C158" s="2">
        <v>43571</v>
      </c>
      <c r="D158" t="s">
        <v>26</v>
      </c>
      <c r="E158">
        <v>566</v>
      </c>
    </row>
    <row r="159" spans="1:5" x14ac:dyDescent="0.55000000000000004">
      <c r="A159" t="s">
        <v>240</v>
      </c>
      <c r="B159" t="s">
        <v>72</v>
      </c>
      <c r="C159" s="2">
        <v>43390</v>
      </c>
      <c r="D159" t="s">
        <v>29</v>
      </c>
      <c r="E159">
        <v>2842</v>
      </c>
    </row>
    <row r="160" spans="1:5" x14ac:dyDescent="0.55000000000000004">
      <c r="A160" t="s">
        <v>241</v>
      </c>
      <c r="B160" t="s">
        <v>72</v>
      </c>
      <c r="C160" s="2">
        <v>44363</v>
      </c>
      <c r="D160" t="s">
        <v>26</v>
      </c>
      <c r="E160">
        <v>263</v>
      </c>
    </row>
    <row r="161" spans="1:5" x14ac:dyDescent="0.55000000000000004">
      <c r="A161" t="s">
        <v>242</v>
      </c>
      <c r="B161" t="s">
        <v>140</v>
      </c>
      <c r="C161" s="2">
        <v>43751</v>
      </c>
      <c r="D161" t="s">
        <v>29</v>
      </c>
      <c r="E161">
        <v>2222</v>
      </c>
    </row>
    <row r="162" spans="1:5" x14ac:dyDescent="0.55000000000000004">
      <c r="A162" t="s">
        <v>243</v>
      </c>
      <c r="B162" t="s">
        <v>15</v>
      </c>
      <c r="C162" s="2">
        <v>43768</v>
      </c>
      <c r="D162" t="s">
        <v>26</v>
      </c>
      <c r="E162">
        <v>847</v>
      </c>
    </row>
    <row r="163" spans="1:5" x14ac:dyDescent="0.55000000000000004">
      <c r="A163" t="s">
        <v>244</v>
      </c>
      <c r="B163" t="s">
        <v>175</v>
      </c>
      <c r="C163" s="2">
        <v>45186</v>
      </c>
      <c r="D163" t="s">
        <v>29</v>
      </c>
      <c r="E163">
        <v>2392</v>
      </c>
    </row>
    <row r="164" spans="1:5" x14ac:dyDescent="0.55000000000000004">
      <c r="A164" t="s">
        <v>245</v>
      </c>
      <c r="B164" t="s">
        <v>41</v>
      </c>
      <c r="C164" s="2">
        <v>43871</v>
      </c>
      <c r="D164" t="s">
        <v>29</v>
      </c>
      <c r="E164">
        <v>1953</v>
      </c>
    </row>
    <row r="165" spans="1:5" x14ac:dyDescent="0.55000000000000004">
      <c r="A165" t="s">
        <v>246</v>
      </c>
      <c r="B165" t="s">
        <v>14</v>
      </c>
      <c r="C165" s="2">
        <v>43637</v>
      </c>
      <c r="D165" t="s">
        <v>29</v>
      </c>
      <c r="E165">
        <v>1597</v>
      </c>
    </row>
    <row r="166" spans="1:5" x14ac:dyDescent="0.55000000000000004">
      <c r="A166" t="s">
        <v>247</v>
      </c>
      <c r="B166" t="s">
        <v>76</v>
      </c>
      <c r="C166" s="2">
        <v>45182</v>
      </c>
      <c r="D166" t="s">
        <v>26</v>
      </c>
      <c r="E166">
        <v>1999</v>
      </c>
    </row>
    <row r="167" spans="1:5" x14ac:dyDescent="0.55000000000000004">
      <c r="A167" t="s">
        <v>248</v>
      </c>
      <c r="B167" t="s">
        <v>63</v>
      </c>
      <c r="C167" s="2">
        <v>43475</v>
      </c>
      <c r="D167" t="s">
        <v>29</v>
      </c>
      <c r="E167">
        <v>1989</v>
      </c>
    </row>
    <row r="168" spans="1:5" x14ac:dyDescent="0.55000000000000004">
      <c r="A168" t="s">
        <v>249</v>
      </c>
      <c r="B168" t="s">
        <v>14</v>
      </c>
      <c r="C168" s="2">
        <v>43713</v>
      </c>
      <c r="D168" t="s">
        <v>29</v>
      </c>
      <c r="E168">
        <v>2739</v>
      </c>
    </row>
    <row r="169" spans="1:5" x14ac:dyDescent="0.55000000000000004">
      <c r="A169" t="s">
        <v>250</v>
      </c>
      <c r="B169" t="s">
        <v>38</v>
      </c>
      <c r="C169" s="2">
        <v>44659</v>
      </c>
      <c r="D169" t="s">
        <v>26</v>
      </c>
      <c r="E169">
        <v>1914</v>
      </c>
    </row>
    <row r="170" spans="1:5" x14ac:dyDescent="0.55000000000000004">
      <c r="A170" t="s">
        <v>251</v>
      </c>
      <c r="B170" t="s">
        <v>72</v>
      </c>
      <c r="C170" s="2">
        <v>44191</v>
      </c>
      <c r="D170" t="s">
        <v>26</v>
      </c>
      <c r="E170">
        <v>1613</v>
      </c>
    </row>
    <row r="171" spans="1:5" x14ac:dyDescent="0.55000000000000004">
      <c r="A171" t="s">
        <v>252</v>
      </c>
      <c r="B171" t="s">
        <v>23</v>
      </c>
      <c r="C171" s="2">
        <v>43886</v>
      </c>
      <c r="D171" t="s">
        <v>26</v>
      </c>
      <c r="E171">
        <v>2632</v>
      </c>
    </row>
    <row r="172" spans="1:5" x14ac:dyDescent="0.55000000000000004">
      <c r="A172" t="s">
        <v>253</v>
      </c>
      <c r="B172" t="s">
        <v>140</v>
      </c>
      <c r="C172" s="2">
        <v>43194</v>
      </c>
      <c r="D172" t="s">
        <v>29</v>
      </c>
      <c r="E172">
        <v>744</v>
      </c>
    </row>
    <row r="173" spans="1:5" x14ac:dyDescent="0.55000000000000004">
      <c r="A173" t="s">
        <v>254</v>
      </c>
      <c r="B173" t="s">
        <v>142</v>
      </c>
      <c r="C173" s="2">
        <v>43449</v>
      </c>
      <c r="D173" t="s">
        <v>29</v>
      </c>
      <c r="E173">
        <v>1340</v>
      </c>
    </row>
    <row r="174" spans="1:5" x14ac:dyDescent="0.55000000000000004">
      <c r="A174" t="s">
        <v>255</v>
      </c>
      <c r="B174" t="s">
        <v>151</v>
      </c>
      <c r="C174" s="2">
        <v>43848</v>
      </c>
      <c r="D174" t="s">
        <v>29</v>
      </c>
      <c r="E174">
        <v>1382</v>
      </c>
    </row>
    <row r="175" spans="1:5" x14ac:dyDescent="0.55000000000000004">
      <c r="A175" t="s">
        <v>256</v>
      </c>
      <c r="B175" t="s">
        <v>118</v>
      </c>
      <c r="C175" s="2">
        <v>45018</v>
      </c>
      <c r="D175" t="s">
        <v>29</v>
      </c>
      <c r="E175">
        <v>1726</v>
      </c>
    </row>
    <row r="176" spans="1:5" x14ac:dyDescent="0.55000000000000004">
      <c r="A176" t="s">
        <v>257</v>
      </c>
      <c r="B176" t="s">
        <v>84</v>
      </c>
      <c r="C176" s="2">
        <v>43084</v>
      </c>
      <c r="D176" t="s">
        <v>29</v>
      </c>
      <c r="E176">
        <v>79</v>
      </c>
    </row>
    <row r="177" spans="1:5" x14ac:dyDescent="0.55000000000000004">
      <c r="A177" t="s">
        <v>258</v>
      </c>
      <c r="B177" t="s">
        <v>78</v>
      </c>
      <c r="C177" s="2">
        <v>45675</v>
      </c>
      <c r="D177" t="s">
        <v>26</v>
      </c>
      <c r="E177">
        <v>1433</v>
      </c>
    </row>
    <row r="178" spans="1:5" x14ac:dyDescent="0.55000000000000004">
      <c r="A178" t="s">
        <v>259</v>
      </c>
      <c r="B178" t="s">
        <v>63</v>
      </c>
      <c r="C178" s="2">
        <v>44248</v>
      </c>
      <c r="D178" t="s">
        <v>26</v>
      </c>
      <c r="E178">
        <v>2669</v>
      </c>
    </row>
    <row r="179" spans="1:5" x14ac:dyDescent="0.55000000000000004">
      <c r="A179" t="s">
        <v>260</v>
      </c>
      <c r="B179" t="s">
        <v>142</v>
      </c>
      <c r="C179" s="2">
        <v>44461</v>
      </c>
      <c r="D179" t="s">
        <v>26</v>
      </c>
      <c r="E179">
        <v>1012</v>
      </c>
    </row>
    <row r="180" spans="1:5" x14ac:dyDescent="0.55000000000000004">
      <c r="A180" t="s">
        <v>261</v>
      </c>
      <c r="B180" t="s">
        <v>151</v>
      </c>
      <c r="C180" s="2">
        <v>42958</v>
      </c>
      <c r="D180" t="s">
        <v>26</v>
      </c>
      <c r="E180">
        <v>977</v>
      </c>
    </row>
    <row r="181" spans="1:5" x14ac:dyDescent="0.55000000000000004">
      <c r="A181" t="s">
        <v>262</v>
      </c>
      <c r="B181" t="s">
        <v>72</v>
      </c>
      <c r="C181" s="2">
        <v>43886</v>
      </c>
      <c r="D181" t="s">
        <v>26</v>
      </c>
      <c r="E181">
        <v>2310</v>
      </c>
    </row>
    <row r="182" spans="1:5" x14ac:dyDescent="0.55000000000000004">
      <c r="A182" t="s">
        <v>263</v>
      </c>
      <c r="B182" t="s">
        <v>151</v>
      </c>
      <c r="C182" s="2">
        <v>43869</v>
      </c>
      <c r="D182" t="s">
        <v>29</v>
      </c>
      <c r="E182">
        <v>1510</v>
      </c>
    </row>
    <row r="183" spans="1:5" x14ac:dyDescent="0.55000000000000004">
      <c r="A183" t="s">
        <v>264</v>
      </c>
      <c r="B183" t="s">
        <v>105</v>
      </c>
      <c r="C183" s="2">
        <v>44157</v>
      </c>
      <c r="D183" t="s">
        <v>26</v>
      </c>
      <c r="E183">
        <v>670</v>
      </c>
    </row>
    <row r="184" spans="1:5" x14ac:dyDescent="0.55000000000000004">
      <c r="A184" t="s">
        <v>265</v>
      </c>
      <c r="B184" t="s">
        <v>156</v>
      </c>
      <c r="C184" s="2">
        <v>43138</v>
      </c>
      <c r="D184" t="s">
        <v>26</v>
      </c>
      <c r="E184">
        <v>1277</v>
      </c>
    </row>
    <row r="185" spans="1:5" x14ac:dyDescent="0.55000000000000004">
      <c r="A185" t="s">
        <v>266</v>
      </c>
      <c r="B185" t="s">
        <v>23</v>
      </c>
      <c r="C185" s="2">
        <v>44599</v>
      </c>
      <c r="D185" t="s">
        <v>29</v>
      </c>
      <c r="E185">
        <v>2928</v>
      </c>
    </row>
    <row r="186" spans="1:5" x14ac:dyDescent="0.55000000000000004">
      <c r="A186" t="s">
        <v>267</v>
      </c>
      <c r="B186" t="s">
        <v>151</v>
      </c>
      <c r="C186" s="2">
        <v>43072</v>
      </c>
      <c r="D186" t="s">
        <v>26</v>
      </c>
      <c r="E186">
        <v>417</v>
      </c>
    </row>
    <row r="187" spans="1:5" x14ac:dyDescent="0.55000000000000004">
      <c r="A187" t="s">
        <v>268</v>
      </c>
      <c r="B187" t="s">
        <v>41</v>
      </c>
      <c r="C187" s="2">
        <v>44448</v>
      </c>
      <c r="D187" t="s">
        <v>26</v>
      </c>
      <c r="E187">
        <v>2318</v>
      </c>
    </row>
    <row r="188" spans="1:5" x14ac:dyDescent="0.55000000000000004">
      <c r="A188" t="s">
        <v>269</v>
      </c>
      <c r="B188" t="s">
        <v>137</v>
      </c>
      <c r="C188" s="2">
        <v>43634</v>
      </c>
      <c r="D188" t="s">
        <v>29</v>
      </c>
      <c r="E188">
        <v>2182</v>
      </c>
    </row>
    <row r="189" spans="1:5" x14ac:dyDescent="0.55000000000000004">
      <c r="A189" t="s">
        <v>270</v>
      </c>
      <c r="B189" t="s">
        <v>140</v>
      </c>
      <c r="C189" s="2">
        <v>44271</v>
      </c>
      <c r="D189" t="s">
        <v>29</v>
      </c>
      <c r="E189">
        <v>282</v>
      </c>
    </row>
    <row r="190" spans="1:5" x14ac:dyDescent="0.55000000000000004">
      <c r="A190" t="s">
        <v>271</v>
      </c>
      <c r="B190" t="s">
        <v>67</v>
      </c>
      <c r="C190" s="2">
        <v>44863</v>
      </c>
      <c r="D190" t="s">
        <v>26</v>
      </c>
      <c r="E190">
        <v>1720</v>
      </c>
    </row>
    <row r="191" spans="1:5" x14ac:dyDescent="0.55000000000000004">
      <c r="A191" t="s">
        <v>272</v>
      </c>
      <c r="B191" t="s">
        <v>175</v>
      </c>
      <c r="C191" s="2">
        <v>45473</v>
      </c>
      <c r="D191" t="s">
        <v>26</v>
      </c>
      <c r="E191">
        <v>1775</v>
      </c>
    </row>
    <row r="192" spans="1:5" x14ac:dyDescent="0.55000000000000004">
      <c r="A192" t="s">
        <v>273</v>
      </c>
      <c r="B192" t="s">
        <v>86</v>
      </c>
      <c r="C192" s="2">
        <v>44218</v>
      </c>
      <c r="D192" t="s">
        <v>29</v>
      </c>
      <c r="E192">
        <v>2897</v>
      </c>
    </row>
    <row r="193" spans="1:5" x14ac:dyDescent="0.55000000000000004">
      <c r="A193" t="s">
        <v>274</v>
      </c>
      <c r="B193" t="s">
        <v>72</v>
      </c>
      <c r="C193" s="2">
        <v>43808</v>
      </c>
      <c r="D193" t="s">
        <v>26</v>
      </c>
      <c r="E193">
        <v>2137</v>
      </c>
    </row>
    <row r="194" spans="1:5" x14ac:dyDescent="0.55000000000000004">
      <c r="A194" t="s">
        <v>275</v>
      </c>
      <c r="B194" t="s">
        <v>35</v>
      </c>
      <c r="C194" s="2">
        <v>44384</v>
      </c>
      <c r="D194" t="s">
        <v>29</v>
      </c>
      <c r="E194">
        <v>1904</v>
      </c>
    </row>
    <row r="195" spans="1:5" x14ac:dyDescent="0.55000000000000004">
      <c r="A195" t="s">
        <v>276</v>
      </c>
      <c r="B195" t="s">
        <v>140</v>
      </c>
      <c r="C195" s="2">
        <v>44414</v>
      </c>
      <c r="D195" t="s">
        <v>29</v>
      </c>
      <c r="E195">
        <v>1320</v>
      </c>
    </row>
    <row r="196" spans="1:5" x14ac:dyDescent="0.55000000000000004">
      <c r="A196" t="s">
        <v>277</v>
      </c>
      <c r="B196" t="s">
        <v>76</v>
      </c>
      <c r="C196" s="2">
        <v>44471</v>
      </c>
      <c r="D196" t="s">
        <v>26</v>
      </c>
      <c r="E196">
        <v>1142</v>
      </c>
    </row>
    <row r="197" spans="1:5" x14ac:dyDescent="0.55000000000000004">
      <c r="A197" t="s">
        <v>278</v>
      </c>
      <c r="B197" t="s">
        <v>94</v>
      </c>
      <c r="C197" s="2">
        <v>45312</v>
      </c>
      <c r="D197" t="s">
        <v>26</v>
      </c>
      <c r="E197">
        <v>1903</v>
      </c>
    </row>
    <row r="198" spans="1:5" x14ac:dyDescent="0.55000000000000004">
      <c r="A198" t="s">
        <v>279</v>
      </c>
      <c r="B198" t="s">
        <v>23</v>
      </c>
      <c r="C198" s="2">
        <v>44607</v>
      </c>
      <c r="D198" t="s">
        <v>29</v>
      </c>
      <c r="E198">
        <v>117</v>
      </c>
    </row>
    <row r="199" spans="1:5" x14ac:dyDescent="0.55000000000000004">
      <c r="A199" t="s">
        <v>280</v>
      </c>
      <c r="B199" t="s">
        <v>96</v>
      </c>
      <c r="C199" s="2">
        <v>44797</v>
      </c>
      <c r="D199" t="s">
        <v>26</v>
      </c>
      <c r="E199">
        <v>1997</v>
      </c>
    </row>
    <row r="200" spans="1:5" x14ac:dyDescent="0.55000000000000004">
      <c r="A200" t="s">
        <v>281</v>
      </c>
      <c r="B200" t="s">
        <v>151</v>
      </c>
      <c r="C200" s="2">
        <v>43643</v>
      </c>
      <c r="D200" t="s">
        <v>29</v>
      </c>
      <c r="E200">
        <v>1394</v>
      </c>
    </row>
    <row r="201" spans="1:5" x14ac:dyDescent="0.55000000000000004">
      <c r="A201" t="s">
        <v>282</v>
      </c>
      <c r="B201" t="s">
        <v>84</v>
      </c>
      <c r="C201" s="2">
        <v>44137</v>
      </c>
      <c r="D201" t="s">
        <v>29</v>
      </c>
      <c r="E201">
        <v>2276</v>
      </c>
    </row>
    <row r="202" spans="1:5" x14ac:dyDescent="0.55000000000000004">
      <c r="A202" t="s">
        <v>283</v>
      </c>
      <c r="B202" t="s">
        <v>14</v>
      </c>
      <c r="C202" s="2">
        <v>43975</v>
      </c>
      <c r="D202" t="s">
        <v>26</v>
      </c>
      <c r="E202">
        <v>350</v>
      </c>
    </row>
    <row r="203" spans="1:5" x14ac:dyDescent="0.55000000000000004">
      <c r="A203" t="s">
        <v>284</v>
      </c>
      <c r="B203" t="s">
        <v>63</v>
      </c>
      <c r="C203" s="2">
        <v>44391</v>
      </c>
      <c r="D203" t="s">
        <v>29</v>
      </c>
      <c r="E203">
        <v>2001</v>
      </c>
    </row>
    <row r="204" spans="1:5" x14ac:dyDescent="0.55000000000000004">
      <c r="A204" t="s">
        <v>285</v>
      </c>
      <c r="B204" t="s">
        <v>99</v>
      </c>
      <c r="C204" s="2">
        <v>44450</v>
      </c>
      <c r="D204" t="s">
        <v>29</v>
      </c>
      <c r="E204">
        <v>2645</v>
      </c>
    </row>
    <row r="205" spans="1:5" x14ac:dyDescent="0.55000000000000004">
      <c r="A205" t="s">
        <v>286</v>
      </c>
      <c r="B205" t="s">
        <v>41</v>
      </c>
      <c r="C205" s="2">
        <v>44836</v>
      </c>
      <c r="D205" t="s">
        <v>29</v>
      </c>
      <c r="E205">
        <v>70</v>
      </c>
    </row>
    <row r="206" spans="1:5" x14ac:dyDescent="0.55000000000000004">
      <c r="A206" t="s">
        <v>287</v>
      </c>
      <c r="B206" t="s">
        <v>74</v>
      </c>
      <c r="C206" s="2">
        <v>43519</v>
      </c>
      <c r="D206" t="s">
        <v>26</v>
      </c>
      <c r="E206">
        <v>1656</v>
      </c>
    </row>
    <row r="207" spans="1:5" x14ac:dyDescent="0.55000000000000004">
      <c r="A207" t="s">
        <v>288</v>
      </c>
      <c r="B207" t="s">
        <v>41</v>
      </c>
      <c r="C207" s="2">
        <v>44329</v>
      </c>
      <c r="D207" t="s">
        <v>29</v>
      </c>
      <c r="E207">
        <v>2719</v>
      </c>
    </row>
    <row r="208" spans="1:5" x14ac:dyDescent="0.55000000000000004">
      <c r="A208" t="s">
        <v>289</v>
      </c>
      <c r="B208" t="s">
        <v>23</v>
      </c>
      <c r="C208" s="2">
        <v>44586</v>
      </c>
      <c r="D208" t="s">
        <v>29</v>
      </c>
      <c r="E208">
        <v>2267</v>
      </c>
    </row>
    <row r="209" spans="1:5" x14ac:dyDescent="0.55000000000000004">
      <c r="A209" t="s">
        <v>290</v>
      </c>
      <c r="B209" t="s">
        <v>67</v>
      </c>
      <c r="C209" s="2">
        <v>44874</v>
      </c>
      <c r="D209" t="s">
        <v>29</v>
      </c>
      <c r="E209">
        <v>2254</v>
      </c>
    </row>
    <row r="210" spans="1:5" x14ac:dyDescent="0.55000000000000004">
      <c r="A210" t="s">
        <v>291</v>
      </c>
      <c r="B210" t="s">
        <v>111</v>
      </c>
      <c r="C210" s="2">
        <v>43637</v>
      </c>
      <c r="D210" t="s">
        <v>29</v>
      </c>
      <c r="E210">
        <v>1109</v>
      </c>
    </row>
    <row r="211" spans="1:5" x14ac:dyDescent="0.55000000000000004">
      <c r="A211" t="s">
        <v>292</v>
      </c>
      <c r="B211" t="s">
        <v>156</v>
      </c>
      <c r="C211" s="2">
        <v>43431</v>
      </c>
      <c r="D211" t="s">
        <v>26</v>
      </c>
      <c r="E211">
        <v>494</v>
      </c>
    </row>
    <row r="212" spans="1:5" x14ac:dyDescent="0.55000000000000004">
      <c r="A212" t="s">
        <v>293</v>
      </c>
      <c r="B212" t="s">
        <v>78</v>
      </c>
      <c r="C212" s="2">
        <v>44254</v>
      </c>
      <c r="D212" t="s">
        <v>29</v>
      </c>
      <c r="E212">
        <v>489</v>
      </c>
    </row>
    <row r="213" spans="1:5" x14ac:dyDescent="0.55000000000000004">
      <c r="A213" t="s">
        <v>294</v>
      </c>
      <c r="B213" t="s">
        <v>78</v>
      </c>
      <c r="C213" s="2">
        <v>45660</v>
      </c>
      <c r="D213" t="s">
        <v>26</v>
      </c>
      <c r="E213">
        <v>784</v>
      </c>
    </row>
    <row r="214" spans="1:5" x14ac:dyDescent="0.55000000000000004">
      <c r="A214" t="s">
        <v>295</v>
      </c>
      <c r="B214" t="s">
        <v>151</v>
      </c>
      <c r="C214" s="2">
        <v>44429</v>
      </c>
      <c r="D214" t="s">
        <v>29</v>
      </c>
      <c r="E214">
        <v>1132</v>
      </c>
    </row>
    <row r="215" spans="1:5" x14ac:dyDescent="0.55000000000000004">
      <c r="A215" t="s">
        <v>296</v>
      </c>
      <c r="B215" t="s">
        <v>78</v>
      </c>
      <c r="C215" s="2">
        <v>45614</v>
      </c>
      <c r="D215" t="s">
        <v>29</v>
      </c>
      <c r="E215">
        <v>411</v>
      </c>
    </row>
    <row r="216" spans="1:5" x14ac:dyDescent="0.55000000000000004">
      <c r="A216" t="s">
        <v>297</v>
      </c>
      <c r="B216" t="s">
        <v>175</v>
      </c>
      <c r="C216" s="2">
        <v>44261</v>
      </c>
      <c r="D216" t="s">
        <v>29</v>
      </c>
      <c r="E216">
        <v>931</v>
      </c>
    </row>
    <row r="217" spans="1:5" x14ac:dyDescent="0.55000000000000004">
      <c r="A217" t="s">
        <v>298</v>
      </c>
      <c r="B217" t="s">
        <v>86</v>
      </c>
      <c r="C217" s="2">
        <v>43284</v>
      </c>
      <c r="D217" t="s">
        <v>29</v>
      </c>
      <c r="E217">
        <v>57</v>
      </c>
    </row>
    <row r="218" spans="1:5" x14ac:dyDescent="0.55000000000000004">
      <c r="A218" t="s">
        <v>299</v>
      </c>
      <c r="B218" t="s">
        <v>41</v>
      </c>
      <c r="C218" s="2">
        <v>44924</v>
      </c>
      <c r="D218" t="s">
        <v>26</v>
      </c>
      <c r="E218">
        <v>1123</v>
      </c>
    </row>
    <row r="219" spans="1:5" x14ac:dyDescent="0.55000000000000004">
      <c r="A219" t="s">
        <v>300</v>
      </c>
      <c r="B219" t="s">
        <v>142</v>
      </c>
      <c r="C219" s="2">
        <v>43028</v>
      </c>
      <c r="D219" t="s">
        <v>29</v>
      </c>
      <c r="E219">
        <v>2856</v>
      </c>
    </row>
    <row r="220" spans="1:5" x14ac:dyDescent="0.55000000000000004">
      <c r="A220" t="s">
        <v>301</v>
      </c>
      <c r="B220" t="s">
        <v>72</v>
      </c>
      <c r="C220" s="2">
        <v>44223</v>
      </c>
      <c r="D220" t="s">
        <v>29</v>
      </c>
      <c r="E220">
        <v>420</v>
      </c>
    </row>
    <row r="221" spans="1:5" x14ac:dyDescent="0.55000000000000004">
      <c r="A221" t="s">
        <v>302</v>
      </c>
      <c r="B221" t="s">
        <v>76</v>
      </c>
      <c r="C221" s="2">
        <v>43516</v>
      </c>
      <c r="D221" t="s">
        <v>29</v>
      </c>
      <c r="E221">
        <v>1922</v>
      </c>
    </row>
    <row r="222" spans="1:5" x14ac:dyDescent="0.55000000000000004">
      <c r="A222" t="s">
        <v>303</v>
      </c>
      <c r="B222" t="s">
        <v>96</v>
      </c>
      <c r="C222" s="2">
        <v>45270</v>
      </c>
      <c r="D222" t="s">
        <v>29</v>
      </c>
      <c r="E222">
        <v>755</v>
      </c>
    </row>
    <row r="223" spans="1:5" x14ac:dyDescent="0.55000000000000004">
      <c r="A223" t="s">
        <v>304</v>
      </c>
      <c r="B223" t="s">
        <v>142</v>
      </c>
      <c r="C223" s="2">
        <v>43434</v>
      </c>
      <c r="D223" t="s">
        <v>29</v>
      </c>
      <c r="E223">
        <v>467</v>
      </c>
    </row>
    <row r="224" spans="1:5" x14ac:dyDescent="0.55000000000000004">
      <c r="A224" t="s">
        <v>305</v>
      </c>
      <c r="B224" t="s">
        <v>175</v>
      </c>
      <c r="C224" s="2">
        <v>43733</v>
      </c>
      <c r="D224" t="s">
        <v>29</v>
      </c>
      <c r="E224">
        <v>2014</v>
      </c>
    </row>
    <row r="225" spans="1:5" x14ac:dyDescent="0.55000000000000004">
      <c r="A225" t="s">
        <v>306</v>
      </c>
      <c r="B225" t="s">
        <v>74</v>
      </c>
      <c r="C225" s="2">
        <v>44098</v>
      </c>
      <c r="D225" t="s">
        <v>26</v>
      </c>
      <c r="E225">
        <v>621</v>
      </c>
    </row>
    <row r="226" spans="1:5" x14ac:dyDescent="0.55000000000000004">
      <c r="A226" t="s">
        <v>307</v>
      </c>
      <c r="B226" t="s">
        <v>72</v>
      </c>
      <c r="C226" s="2">
        <v>44069</v>
      </c>
      <c r="D226" t="s">
        <v>29</v>
      </c>
      <c r="E226">
        <v>348</v>
      </c>
    </row>
    <row r="227" spans="1:5" x14ac:dyDescent="0.55000000000000004">
      <c r="A227" t="s">
        <v>308</v>
      </c>
      <c r="B227" t="s">
        <v>63</v>
      </c>
      <c r="C227" s="2">
        <v>43159</v>
      </c>
      <c r="D227" t="s">
        <v>29</v>
      </c>
      <c r="E227">
        <v>2483</v>
      </c>
    </row>
    <row r="228" spans="1:5" x14ac:dyDescent="0.55000000000000004">
      <c r="A228" t="s">
        <v>309</v>
      </c>
      <c r="B228" t="s">
        <v>32</v>
      </c>
      <c r="C228" s="2">
        <v>44293</v>
      </c>
      <c r="D228" t="s">
        <v>29</v>
      </c>
      <c r="E228">
        <v>1845</v>
      </c>
    </row>
    <row r="229" spans="1:5" x14ac:dyDescent="0.55000000000000004">
      <c r="A229" t="s">
        <v>310</v>
      </c>
      <c r="B229" t="s">
        <v>15</v>
      </c>
      <c r="C229" s="2">
        <v>43525</v>
      </c>
      <c r="D229" t="s">
        <v>29</v>
      </c>
      <c r="E229">
        <v>1250</v>
      </c>
    </row>
    <row r="230" spans="1:5" x14ac:dyDescent="0.55000000000000004">
      <c r="A230" t="s">
        <v>311</v>
      </c>
      <c r="B230" t="s">
        <v>23</v>
      </c>
      <c r="C230" s="2">
        <v>43954</v>
      </c>
      <c r="D230" t="s">
        <v>26</v>
      </c>
      <c r="E230">
        <v>851</v>
      </c>
    </row>
    <row r="231" spans="1:5" x14ac:dyDescent="0.55000000000000004">
      <c r="A231" t="s">
        <v>312</v>
      </c>
      <c r="B231" t="s">
        <v>35</v>
      </c>
      <c r="C231" s="2">
        <v>44263</v>
      </c>
      <c r="D231" t="s">
        <v>29</v>
      </c>
      <c r="E231">
        <v>2705</v>
      </c>
    </row>
    <row r="232" spans="1:5" x14ac:dyDescent="0.55000000000000004">
      <c r="A232" t="s">
        <v>313</v>
      </c>
      <c r="B232" t="s">
        <v>74</v>
      </c>
      <c r="C232" s="2">
        <v>43238</v>
      </c>
      <c r="D232" t="s">
        <v>26</v>
      </c>
      <c r="E232">
        <v>711</v>
      </c>
    </row>
    <row r="233" spans="1:5" x14ac:dyDescent="0.55000000000000004">
      <c r="A233" t="s">
        <v>314</v>
      </c>
      <c r="B233" t="s">
        <v>99</v>
      </c>
      <c r="C233" s="2">
        <v>43773</v>
      </c>
      <c r="D233" t="s">
        <v>26</v>
      </c>
      <c r="E233">
        <v>10</v>
      </c>
    </row>
    <row r="234" spans="1:5" x14ac:dyDescent="0.55000000000000004">
      <c r="A234" t="s">
        <v>315</v>
      </c>
      <c r="B234" t="s">
        <v>140</v>
      </c>
      <c r="C234" s="2">
        <v>43839</v>
      </c>
      <c r="D234" t="s">
        <v>29</v>
      </c>
      <c r="E234">
        <v>1192</v>
      </c>
    </row>
    <row r="235" spans="1:5" x14ac:dyDescent="0.55000000000000004">
      <c r="A235" t="s">
        <v>316</v>
      </c>
      <c r="B235" t="s">
        <v>142</v>
      </c>
      <c r="C235" s="2">
        <v>43391</v>
      </c>
      <c r="D235" t="s">
        <v>29</v>
      </c>
      <c r="E235">
        <v>2895</v>
      </c>
    </row>
    <row r="236" spans="1:5" x14ac:dyDescent="0.55000000000000004">
      <c r="A236" t="s">
        <v>317</v>
      </c>
      <c r="B236" t="s">
        <v>156</v>
      </c>
      <c r="C236" s="2">
        <v>44356</v>
      </c>
      <c r="D236" t="s">
        <v>29</v>
      </c>
      <c r="E236">
        <v>291</v>
      </c>
    </row>
    <row r="237" spans="1:5" x14ac:dyDescent="0.55000000000000004">
      <c r="A237" t="s">
        <v>318</v>
      </c>
      <c r="B237" t="s">
        <v>38</v>
      </c>
      <c r="C237" s="2">
        <v>44309</v>
      </c>
      <c r="D237" t="s">
        <v>29</v>
      </c>
      <c r="E237">
        <v>2560</v>
      </c>
    </row>
    <row r="238" spans="1:5" x14ac:dyDescent="0.55000000000000004">
      <c r="A238" t="s">
        <v>319</v>
      </c>
      <c r="B238" t="s">
        <v>23</v>
      </c>
      <c r="C238" s="2">
        <v>44236</v>
      </c>
      <c r="D238" t="s">
        <v>29</v>
      </c>
      <c r="E238">
        <v>470</v>
      </c>
    </row>
    <row r="239" spans="1:5" x14ac:dyDescent="0.55000000000000004">
      <c r="A239" t="s">
        <v>320</v>
      </c>
      <c r="B239" t="s">
        <v>99</v>
      </c>
      <c r="C239" s="2">
        <v>44386</v>
      </c>
      <c r="D239" t="s">
        <v>26</v>
      </c>
      <c r="E239">
        <v>1088</v>
      </c>
    </row>
    <row r="240" spans="1:5" x14ac:dyDescent="0.55000000000000004">
      <c r="A240" t="s">
        <v>321</v>
      </c>
      <c r="B240" t="s">
        <v>175</v>
      </c>
      <c r="C240" s="2">
        <v>44048</v>
      </c>
      <c r="D240" t="s">
        <v>26</v>
      </c>
      <c r="E240">
        <v>244</v>
      </c>
    </row>
    <row r="241" spans="1:5" x14ac:dyDescent="0.55000000000000004">
      <c r="A241" t="s">
        <v>322</v>
      </c>
      <c r="B241" t="s">
        <v>105</v>
      </c>
      <c r="C241" s="2">
        <v>44540</v>
      </c>
      <c r="D241" t="s">
        <v>29</v>
      </c>
      <c r="E241">
        <v>2437</v>
      </c>
    </row>
    <row r="242" spans="1:5" x14ac:dyDescent="0.55000000000000004">
      <c r="A242" t="s">
        <v>323</v>
      </c>
      <c r="B242" t="s">
        <v>78</v>
      </c>
      <c r="C242" s="2">
        <v>45797</v>
      </c>
      <c r="D242" t="s">
        <v>29</v>
      </c>
      <c r="E242">
        <v>1798</v>
      </c>
    </row>
    <row r="243" spans="1:5" x14ac:dyDescent="0.55000000000000004">
      <c r="A243" t="s">
        <v>324</v>
      </c>
      <c r="B243" t="s">
        <v>115</v>
      </c>
      <c r="C243" s="2">
        <v>43876</v>
      </c>
      <c r="D243" t="s">
        <v>29</v>
      </c>
      <c r="E243">
        <v>2866</v>
      </c>
    </row>
    <row r="244" spans="1:5" x14ac:dyDescent="0.55000000000000004">
      <c r="A244" t="s">
        <v>325</v>
      </c>
      <c r="B244" t="s">
        <v>101</v>
      </c>
      <c r="C244" s="2">
        <v>43474</v>
      </c>
      <c r="D244" t="s">
        <v>29</v>
      </c>
      <c r="E244">
        <v>1793</v>
      </c>
    </row>
    <row r="245" spans="1:5" x14ac:dyDescent="0.55000000000000004">
      <c r="A245" t="s">
        <v>326</v>
      </c>
      <c r="B245" t="s">
        <v>74</v>
      </c>
      <c r="C245" s="2">
        <v>44141</v>
      </c>
      <c r="D245" t="s">
        <v>26</v>
      </c>
      <c r="E245">
        <v>1769</v>
      </c>
    </row>
    <row r="246" spans="1:5" x14ac:dyDescent="0.55000000000000004">
      <c r="A246" t="s">
        <v>327</v>
      </c>
      <c r="B246" t="s">
        <v>78</v>
      </c>
      <c r="C246" s="2">
        <v>44786</v>
      </c>
      <c r="D246" t="s">
        <v>29</v>
      </c>
      <c r="E246">
        <v>105</v>
      </c>
    </row>
    <row r="247" spans="1:5" x14ac:dyDescent="0.55000000000000004">
      <c r="A247" t="s">
        <v>328</v>
      </c>
      <c r="B247" t="s">
        <v>74</v>
      </c>
      <c r="C247" s="2">
        <v>43385</v>
      </c>
      <c r="D247" t="s">
        <v>26</v>
      </c>
      <c r="E247">
        <v>2753</v>
      </c>
    </row>
    <row r="248" spans="1:5" x14ac:dyDescent="0.55000000000000004">
      <c r="A248" t="s">
        <v>329</v>
      </c>
      <c r="B248" t="s">
        <v>175</v>
      </c>
      <c r="C248" s="2">
        <v>44569</v>
      </c>
      <c r="D248" t="s">
        <v>26</v>
      </c>
      <c r="E248">
        <v>717</v>
      </c>
    </row>
    <row r="249" spans="1:5" x14ac:dyDescent="0.55000000000000004">
      <c r="A249" t="s">
        <v>330</v>
      </c>
      <c r="B249" t="s">
        <v>96</v>
      </c>
      <c r="C249" s="2">
        <v>45591</v>
      </c>
      <c r="D249" t="s">
        <v>29</v>
      </c>
      <c r="E249">
        <v>1139</v>
      </c>
    </row>
    <row r="250" spans="1:5" x14ac:dyDescent="0.55000000000000004">
      <c r="A250" t="s">
        <v>331</v>
      </c>
      <c r="B250" t="s">
        <v>105</v>
      </c>
      <c r="C250" s="2">
        <v>44115</v>
      </c>
      <c r="D250" t="s">
        <v>29</v>
      </c>
      <c r="E250">
        <v>2600</v>
      </c>
    </row>
    <row r="251" spans="1:5" x14ac:dyDescent="0.55000000000000004">
      <c r="A251" t="s">
        <v>332</v>
      </c>
      <c r="B251" t="s">
        <v>175</v>
      </c>
      <c r="C251" s="2">
        <v>45480</v>
      </c>
      <c r="D251" t="s">
        <v>26</v>
      </c>
      <c r="E251">
        <v>1925</v>
      </c>
    </row>
    <row r="252" spans="1:5" x14ac:dyDescent="0.55000000000000004">
      <c r="A252" t="s">
        <v>333</v>
      </c>
      <c r="B252" t="s">
        <v>86</v>
      </c>
      <c r="C252" s="2">
        <v>43753</v>
      </c>
      <c r="D252" t="s">
        <v>29</v>
      </c>
      <c r="E252">
        <v>1315</v>
      </c>
    </row>
    <row r="253" spans="1:5" x14ac:dyDescent="0.55000000000000004">
      <c r="A253" t="s">
        <v>334</v>
      </c>
      <c r="B253" t="s">
        <v>38</v>
      </c>
      <c r="C253" s="2">
        <v>44045</v>
      </c>
      <c r="D253" t="s">
        <v>26</v>
      </c>
      <c r="E253">
        <v>1350</v>
      </c>
    </row>
    <row r="254" spans="1:5" x14ac:dyDescent="0.55000000000000004">
      <c r="A254" t="s">
        <v>335</v>
      </c>
      <c r="B254" t="s">
        <v>140</v>
      </c>
      <c r="C254" s="2">
        <v>44337</v>
      </c>
      <c r="D254" t="s">
        <v>29</v>
      </c>
      <c r="E254">
        <v>1180</v>
      </c>
    </row>
    <row r="255" spans="1:5" x14ac:dyDescent="0.55000000000000004">
      <c r="A255" t="s">
        <v>336</v>
      </c>
      <c r="B255" t="s">
        <v>38</v>
      </c>
      <c r="C255" s="2">
        <v>44651</v>
      </c>
      <c r="D255" t="s">
        <v>26</v>
      </c>
      <c r="E255">
        <v>1862</v>
      </c>
    </row>
    <row r="256" spans="1:5" x14ac:dyDescent="0.55000000000000004">
      <c r="A256" t="s">
        <v>337</v>
      </c>
      <c r="B256" t="s">
        <v>74</v>
      </c>
      <c r="C256" s="2">
        <v>43561</v>
      </c>
      <c r="D256" t="s">
        <v>29</v>
      </c>
      <c r="E256">
        <v>1324</v>
      </c>
    </row>
    <row r="257" spans="1:5" x14ac:dyDescent="0.55000000000000004">
      <c r="A257" t="s">
        <v>338</v>
      </c>
      <c r="B257" t="s">
        <v>115</v>
      </c>
      <c r="C257" s="2">
        <v>44499</v>
      </c>
      <c r="D257" t="s">
        <v>29</v>
      </c>
      <c r="E257">
        <v>2107</v>
      </c>
    </row>
    <row r="258" spans="1:5" x14ac:dyDescent="0.55000000000000004">
      <c r="A258" t="s">
        <v>339</v>
      </c>
      <c r="B258" t="s">
        <v>175</v>
      </c>
      <c r="C258" s="2">
        <v>43470</v>
      </c>
      <c r="D258" t="s">
        <v>29</v>
      </c>
      <c r="E258">
        <v>1692</v>
      </c>
    </row>
    <row r="259" spans="1:5" x14ac:dyDescent="0.55000000000000004">
      <c r="A259" t="s">
        <v>340</v>
      </c>
      <c r="B259" t="s">
        <v>142</v>
      </c>
      <c r="C259" s="2">
        <v>43301</v>
      </c>
      <c r="D259" t="s">
        <v>29</v>
      </c>
      <c r="E259">
        <v>2550</v>
      </c>
    </row>
    <row r="260" spans="1:5" x14ac:dyDescent="0.55000000000000004">
      <c r="A260" t="s">
        <v>341</v>
      </c>
      <c r="B260" t="s">
        <v>118</v>
      </c>
      <c r="C260" s="2">
        <v>45507</v>
      </c>
      <c r="D260" t="s">
        <v>29</v>
      </c>
      <c r="E260">
        <v>211</v>
      </c>
    </row>
    <row r="261" spans="1:5" x14ac:dyDescent="0.55000000000000004">
      <c r="A261" t="s">
        <v>342</v>
      </c>
      <c r="B261" t="s">
        <v>151</v>
      </c>
      <c r="C261" s="2">
        <v>43463</v>
      </c>
      <c r="D261" t="s">
        <v>26</v>
      </c>
      <c r="E261">
        <v>1179</v>
      </c>
    </row>
    <row r="262" spans="1:5" x14ac:dyDescent="0.55000000000000004">
      <c r="A262" t="s">
        <v>343</v>
      </c>
      <c r="B262" t="s">
        <v>15</v>
      </c>
      <c r="C262" s="2">
        <v>44347</v>
      </c>
      <c r="D262" t="s">
        <v>29</v>
      </c>
      <c r="E262">
        <v>497</v>
      </c>
    </row>
    <row r="263" spans="1:5" x14ac:dyDescent="0.55000000000000004">
      <c r="A263" t="s">
        <v>344</v>
      </c>
      <c r="B263" t="s">
        <v>14</v>
      </c>
      <c r="C263" s="2">
        <v>44207</v>
      </c>
      <c r="D263" t="s">
        <v>26</v>
      </c>
      <c r="E263">
        <v>2907</v>
      </c>
    </row>
    <row r="264" spans="1:5" x14ac:dyDescent="0.55000000000000004">
      <c r="A264" t="s">
        <v>345</v>
      </c>
      <c r="B264" t="s">
        <v>105</v>
      </c>
      <c r="C264" s="2">
        <v>43553</v>
      </c>
      <c r="D264" t="s">
        <v>26</v>
      </c>
      <c r="E264">
        <v>2262</v>
      </c>
    </row>
    <row r="265" spans="1:5" x14ac:dyDescent="0.55000000000000004">
      <c r="A265" t="s">
        <v>346</v>
      </c>
      <c r="B265" t="s">
        <v>140</v>
      </c>
      <c r="C265" s="2">
        <v>43107</v>
      </c>
      <c r="D265" t="s">
        <v>26</v>
      </c>
      <c r="E265">
        <v>464</v>
      </c>
    </row>
    <row r="266" spans="1:5" x14ac:dyDescent="0.55000000000000004">
      <c r="A266" t="s">
        <v>347</v>
      </c>
      <c r="B266" t="s">
        <v>15</v>
      </c>
      <c r="C266" s="2">
        <v>43157</v>
      </c>
      <c r="D266" t="s">
        <v>26</v>
      </c>
      <c r="E266">
        <v>2041</v>
      </c>
    </row>
    <row r="267" spans="1:5" x14ac:dyDescent="0.55000000000000004">
      <c r="A267" t="s">
        <v>348</v>
      </c>
      <c r="B267" t="s">
        <v>41</v>
      </c>
      <c r="C267" s="2">
        <v>44428</v>
      </c>
      <c r="D267" t="s">
        <v>29</v>
      </c>
      <c r="E267">
        <v>1701</v>
      </c>
    </row>
    <row r="268" spans="1:5" x14ac:dyDescent="0.55000000000000004">
      <c r="A268" t="s">
        <v>349</v>
      </c>
      <c r="B268" t="s">
        <v>175</v>
      </c>
      <c r="C268" s="2">
        <v>45442</v>
      </c>
      <c r="D268" t="s">
        <v>29</v>
      </c>
      <c r="E268">
        <v>998</v>
      </c>
    </row>
    <row r="269" spans="1:5" x14ac:dyDescent="0.55000000000000004">
      <c r="A269" t="s">
        <v>350</v>
      </c>
      <c r="B269" t="s">
        <v>15</v>
      </c>
      <c r="C269" s="2">
        <v>44045</v>
      </c>
      <c r="D269" t="s">
        <v>26</v>
      </c>
      <c r="E269">
        <v>1571</v>
      </c>
    </row>
    <row r="270" spans="1:5" x14ac:dyDescent="0.55000000000000004">
      <c r="A270" t="s">
        <v>351</v>
      </c>
      <c r="B270" t="s">
        <v>151</v>
      </c>
      <c r="C270" s="2">
        <v>44144</v>
      </c>
      <c r="D270" t="s">
        <v>26</v>
      </c>
      <c r="E270">
        <v>285</v>
      </c>
    </row>
    <row r="271" spans="1:5" x14ac:dyDescent="0.55000000000000004">
      <c r="A271" t="s">
        <v>352</v>
      </c>
      <c r="B271" t="s">
        <v>84</v>
      </c>
      <c r="C271" s="2">
        <v>44499</v>
      </c>
      <c r="D271" t="s">
        <v>29</v>
      </c>
      <c r="E271">
        <v>1392</v>
      </c>
    </row>
    <row r="272" spans="1:5" x14ac:dyDescent="0.55000000000000004">
      <c r="A272" t="s">
        <v>353</v>
      </c>
      <c r="B272" t="s">
        <v>137</v>
      </c>
      <c r="C272" s="2">
        <v>45545</v>
      </c>
      <c r="D272" t="s">
        <v>29</v>
      </c>
      <c r="E272">
        <v>10</v>
      </c>
    </row>
    <row r="273" spans="1:5" x14ac:dyDescent="0.55000000000000004">
      <c r="A273" t="s">
        <v>354</v>
      </c>
      <c r="B273" t="s">
        <v>156</v>
      </c>
      <c r="C273" s="2">
        <v>44403</v>
      </c>
      <c r="D273" t="s">
        <v>29</v>
      </c>
      <c r="E273">
        <v>2404</v>
      </c>
    </row>
    <row r="274" spans="1:5" x14ac:dyDescent="0.55000000000000004">
      <c r="A274" t="s">
        <v>355</v>
      </c>
      <c r="B274" t="s">
        <v>23</v>
      </c>
      <c r="C274" s="2">
        <v>44833</v>
      </c>
      <c r="D274" t="s">
        <v>26</v>
      </c>
      <c r="E274">
        <v>1829</v>
      </c>
    </row>
    <row r="275" spans="1:5" x14ac:dyDescent="0.55000000000000004">
      <c r="A275" t="s">
        <v>356</v>
      </c>
      <c r="B275" t="s">
        <v>99</v>
      </c>
      <c r="C275" s="2">
        <v>45449</v>
      </c>
      <c r="D275" t="s">
        <v>29</v>
      </c>
      <c r="E275">
        <v>1361</v>
      </c>
    </row>
    <row r="276" spans="1:5" x14ac:dyDescent="0.55000000000000004">
      <c r="A276" t="s">
        <v>357</v>
      </c>
      <c r="B276" t="s">
        <v>99</v>
      </c>
      <c r="C276" s="2">
        <v>45691</v>
      </c>
      <c r="D276" t="s">
        <v>29</v>
      </c>
      <c r="E276">
        <v>1865</v>
      </c>
    </row>
    <row r="277" spans="1:5" x14ac:dyDescent="0.55000000000000004">
      <c r="A277" t="s">
        <v>358</v>
      </c>
      <c r="B277" t="s">
        <v>111</v>
      </c>
      <c r="C277" s="2">
        <v>43303</v>
      </c>
      <c r="D277" t="s">
        <v>26</v>
      </c>
      <c r="E277">
        <v>2342</v>
      </c>
    </row>
    <row r="278" spans="1:5" x14ac:dyDescent="0.55000000000000004">
      <c r="A278" t="s">
        <v>359</v>
      </c>
      <c r="B278" t="s">
        <v>101</v>
      </c>
      <c r="C278" s="2">
        <v>43395</v>
      </c>
      <c r="D278" t="s">
        <v>29</v>
      </c>
      <c r="E278">
        <v>178</v>
      </c>
    </row>
    <row r="279" spans="1:5" x14ac:dyDescent="0.55000000000000004">
      <c r="A279" t="s">
        <v>360</v>
      </c>
      <c r="B279" t="s">
        <v>111</v>
      </c>
      <c r="C279" s="2">
        <v>44442</v>
      </c>
      <c r="D279" t="s">
        <v>29</v>
      </c>
      <c r="E279">
        <v>2888</v>
      </c>
    </row>
    <row r="280" spans="1:5" x14ac:dyDescent="0.55000000000000004">
      <c r="A280" t="s">
        <v>361</v>
      </c>
      <c r="B280" t="s">
        <v>137</v>
      </c>
      <c r="C280" s="2">
        <v>45027</v>
      </c>
      <c r="D280" t="s">
        <v>29</v>
      </c>
      <c r="E280">
        <v>2718</v>
      </c>
    </row>
    <row r="281" spans="1:5" x14ac:dyDescent="0.55000000000000004">
      <c r="A281" t="s">
        <v>362</v>
      </c>
      <c r="B281" t="s">
        <v>137</v>
      </c>
      <c r="C281" s="2">
        <v>44089</v>
      </c>
      <c r="D281" t="s">
        <v>29</v>
      </c>
      <c r="E281">
        <v>151</v>
      </c>
    </row>
    <row r="282" spans="1:5" x14ac:dyDescent="0.55000000000000004">
      <c r="A282" t="s">
        <v>363</v>
      </c>
      <c r="B282" t="s">
        <v>72</v>
      </c>
      <c r="C282" s="2">
        <v>43945</v>
      </c>
      <c r="D282" t="s">
        <v>29</v>
      </c>
      <c r="E282">
        <v>411</v>
      </c>
    </row>
    <row r="283" spans="1:5" x14ac:dyDescent="0.55000000000000004">
      <c r="A283" t="s">
        <v>364</v>
      </c>
      <c r="B283" t="s">
        <v>76</v>
      </c>
      <c r="C283" s="2">
        <v>45269</v>
      </c>
      <c r="D283" t="s">
        <v>26</v>
      </c>
      <c r="E283">
        <v>2154</v>
      </c>
    </row>
    <row r="284" spans="1:5" x14ac:dyDescent="0.55000000000000004">
      <c r="A284" t="s">
        <v>365</v>
      </c>
      <c r="B284" t="s">
        <v>15</v>
      </c>
      <c r="C284" s="2">
        <v>42948</v>
      </c>
      <c r="D284" t="s">
        <v>26</v>
      </c>
      <c r="E284">
        <v>1679</v>
      </c>
    </row>
    <row r="285" spans="1:5" x14ac:dyDescent="0.55000000000000004">
      <c r="A285" t="s">
        <v>366</v>
      </c>
      <c r="B285" t="s">
        <v>76</v>
      </c>
      <c r="C285" s="2">
        <v>44098</v>
      </c>
      <c r="D285" t="s">
        <v>26</v>
      </c>
      <c r="E285">
        <v>1923</v>
      </c>
    </row>
    <row r="286" spans="1:5" x14ac:dyDescent="0.55000000000000004">
      <c r="A286" t="s">
        <v>367</v>
      </c>
      <c r="B286" t="s">
        <v>137</v>
      </c>
      <c r="C286" s="2">
        <v>44551</v>
      </c>
      <c r="D286" t="s">
        <v>29</v>
      </c>
      <c r="E286">
        <v>2552</v>
      </c>
    </row>
    <row r="287" spans="1:5" x14ac:dyDescent="0.55000000000000004">
      <c r="A287" t="s">
        <v>368</v>
      </c>
      <c r="B287" t="s">
        <v>41</v>
      </c>
      <c r="C287" s="2">
        <v>44645</v>
      </c>
      <c r="D287" t="s">
        <v>26</v>
      </c>
      <c r="E287">
        <v>1345</v>
      </c>
    </row>
    <row r="288" spans="1:5" x14ac:dyDescent="0.55000000000000004">
      <c r="A288" t="s">
        <v>369</v>
      </c>
      <c r="B288" t="s">
        <v>76</v>
      </c>
      <c r="C288" s="2">
        <v>45651</v>
      </c>
      <c r="D288" t="s">
        <v>29</v>
      </c>
      <c r="E288">
        <v>1297</v>
      </c>
    </row>
    <row r="289" spans="1:5" x14ac:dyDescent="0.55000000000000004">
      <c r="A289" t="s">
        <v>370</v>
      </c>
      <c r="B289" t="s">
        <v>35</v>
      </c>
      <c r="C289" s="2">
        <v>44830</v>
      </c>
      <c r="D289" t="s">
        <v>26</v>
      </c>
      <c r="E289">
        <v>2529</v>
      </c>
    </row>
    <row r="290" spans="1:5" x14ac:dyDescent="0.55000000000000004">
      <c r="A290" t="s">
        <v>371</v>
      </c>
      <c r="B290" t="s">
        <v>74</v>
      </c>
      <c r="C290" s="2">
        <v>43397</v>
      </c>
      <c r="D290" t="s">
        <v>29</v>
      </c>
      <c r="E290">
        <v>931</v>
      </c>
    </row>
    <row r="291" spans="1:5" x14ac:dyDescent="0.55000000000000004">
      <c r="A291" t="s">
        <v>372</v>
      </c>
      <c r="B291" t="s">
        <v>78</v>
      </c>
      <c r="C291" s="2">
        <v>43836</v>
      </c>
      <c r="D291" t="s">
        <v>29</v>
      </c>
      <c r="E291">
        <v>403</v>
      </c>
    </row>
    <row r="292" spans="1:5" x14ac:dyDescent="0.55000000000000004">
      <c r="A292" t="s">
        <v>373</v>
      </c>
      <c r="B292" t="s">
        <v>118</v>
      </c>
      <c r="C292" s="2">
        <v>43877</v>
      </c>
      <c r="D292" t="s">
        <v>29</v>
      </c>
      <c r="E292">
        <v>681</v>
      </c>
    </row>
    <row r="293" spans="1:5" x14ac:dyDescent="0.55000000000000004">
      <c r="A293" t="s">
        <v>374</v>
      </c>
      <c r="B293" t="s">
        <v>41</v>
      </c>
      <c r="C293" s="2">
        <v>44444</v>
      </c>
      <c r="D293" t="s">
        <v>26</v>
      </c>
      <c r="E293">
        <v>188</v>
      </c>
    </row>
    <row r="294" spans="1:5" x14ac:dyDescent="0.55000000000000004">
      <c r="A294" t="s">
        <v>375</v>
      </c>
      <c r="B294" t="s">
        <v>111</v>
      </c>
      <c r="C294" s="2">
        <v>44547</v>
      </c>
      <c r="D294" t="s">
        <v>26</v>
      </c>
      <c r="E294">
        <v>1201</v>
      </c>
    </row>
    <row r="295" spans="1:5" x14ac:dyDescent="0.55000000000000004">
      <c r="A295" t="s">
        <v>376</v>
      </c>
      <c r="B295" t="s">
        <v>86</v>
      </c>
      <c r="C295" s="2">
        <v>43684</v>
      </c>
      <c r="D295" t="s">
        <v>29</v>
      </c>
      <c r="E295">
        <v>596</v>
      </c>
    </row>
    <row r="296" spans="1:5" x14ac:dyDescent="0.55000000000000004">
      <c r="A296" t="s">
        <v>377</v>
      </c>
      <c r="B296" t="s">
        <v>63</v>
      </c>
      <c r="C296" s="2">
        <v>44004</v>
      </c>
      <c r="D296" t="s">
        <v>29</v>
      </c>
      <c r="E296">
        <v>2318</v>
      </c>
    </row>
    <row r="297" spans="1:5" x14ac:dyDescent="0.55000000000000004">
      <c r="A297" t="s">
        <v>378</v>
      </c>
      <c r="B297" t="s">
        <v>38</v>
      </c>
      <c r="C297" s="2">
        <v>44199</v>
      </c>
      <c r="D297" t="s">
        <v>26</v>
      </c>
      <c r="E297">
        <v>717</v>
      </c>
    </row>
    <row r="298" spans="1:5" x14ac:dyDescent="0.55000000000000004">
      <c r="A298" t="s">
        <v>379</v>
      </c>
      <c r="B298" t="s">
        <v>74</v>
      </c>
      <c r="C298" s="2">
        <v>44165</v>
      </c>
      <c r="D298" t="s">
        <v>29</v>
      </c>
      <c r="E298">
        <v>2538</v>
      </c>
    </row>
    <row r="299" spans="1:5" x14ac:dyDescent="0.55000000000000004">
      <c r="A299" t="s">
        <v>380</v>
      </c>
      <c r="B299" t="s">
        <v>38</v>
      </c>
      <c r="C299" s="2">
        <v>44324</v>
      </c>
      <c r="D299" t="s">
        <v>29</v>
      </c>
      <c r="E299">
        <v>2388</v>
      </c>
    </row>
    <row r="300" spans="1:5" x14ac:dyDescent="0.55000000000000004">
      <c r="A300" t="s">
        <v>381</v>
      </c>
      <c r="B300" t="s">
        <v>72</v>
      </c>
      <c r="C300" s="2">
        <v>43392</v>
      </c>
      <c r="D300" t="s">
        <v>29</v>
      </c>
      <c r="E300">
        <v>2612</v>
      </c>
    </row>
    <row r="301" spans="1:5" x14ac:dyDescent="0.55000000000000004">
      <c r="A301" t="s">
        <v>382</v>
      </c>
      <c r="B301" t="s">
        <v>84</v>
      </c>
      <c r="C301" s="2">
        <v>43858</v>
      </c>
      <c r="D301" t="s">
        <v>29</v>
      </c>
      <c r="E301">
        <v>2731</v>
      </c>
    </row>
    <row r="302" spans="1:5" x14ac:dyDescent="0.55000000000000004">
      <c r="A302" t="s">
        <v>383</v>
      </c>
      <c r="B302" t="s">
        <v>14</v>
      </c>
      <c r="C302" s="2">
        <v>43869</v>
      </c>
      <c r="D302" t="s">
        <v>29</v>
      </c>
      <c r="E302">
        <v>2775</v>
      </c>
    </row>
    <row r="303" spans="1:5" x14ac:dyDescent="0.55000000000000004">
      <c r="A303" t="s">
        <v>384</v>
      </c>
      <c r="B303" t="s">
        <v>99</v>
      </c>
      <c r="C303" s="2">
        <v>44113</v>
      </c>
      <c r="D303" t="s">
        <v>26</v>
      </c>
      <c r="E303">
        <v>1809</v>
      </c>
    </row>
    <row r="304" spans="1:5" x14ac:dyDescent="0.55000000000000004">
      <c r="A304" t="s">
        <v>385</v>
      </c>
      <c r="B304" t="s">
        <v>86</v>
      </c>
      <c r="C304" s="2">
        <v>44120</v>
      </c>
      <c r="D304" t="s">
        <v>29</v>
      </c>
      <c r="E304">
        <v>2617</v>
      </c>
    </row>
    <row r="305" spans="1:5" x14ac:dyDescent="0.55000000000000004">
      <c r="A305" t="s">
        <v>386</v>
      </c>
      <c r="B305" t="s">
        <v>140</v>
      </c>
      <c r="C305" s="2">
        <v>44330</v>
      </c>
      <c r="D305" t="s">
        <v>29</v>
      </c>
      <c r="E305">
        <v>1871</v>
      </c>
    </row>
    <row r="306" spans="1:5" x14ac:dyDescent="0.55000000000000004">
      <c r="A306" t="s">
        <v>387</v>
      </c>
      <c r="B306" t="s">
        <v>76</v>
      </c>
      <c r="C306" s="2">
        <v>44703</v>
      </c>
      <c r="D306" t="s">
        <v>26</v>
      </c>
      <c r="E306">
        <v>1575</v>
      </c>
    </row>
    <row r="307" spans="1:5" x14ac:dyDescent="0.55000000000000004">
      <c r="A307" t="s">
        <v>388</v>
      </c>
      <c r="B307" t="s">
        <v>76</v>
      </c>
      <c r="C307" s="2">
        <v>45445</v>
      </c>
      <c r="D307" t="s">
        <v>26</v>
      </c>
      <c r="E307">
        <v>971</v>
      </c>
    </row>
    <row r="308" spans="1:5" x14ac:dyDescent="0.55000000000000004">
      <c r="A308" t="s">
        <v>389</v>
      </c>
      <c r="B308" t="s">
        <v>101</v>
      </c>
      <c r="C308" s="2">
        <v>44088</v>
      </c>
      <c r="D308" t="s">
        <v>29</v>
      </c>
      <c r="E308">
        <v>2354</v>
      </c>
    </row>
    <row r="309" spans="1:5" x14ac:dyDescent="0.55000000000000004">
      <c r="A309" t="s">
        <v>390</v>
      </c>
      <c r="B309" t="s">
        <v>156</v>
      </c>
      <c r="C309" s="2">
        <v>44349</v>
      </c>
      <c r="D309" t="s">
        <v>29</v>
      </c>
      <c r="E309">
        <v>89</v>
      </c>
    </row>
    <row r="310" spans="1:5" x14ac:dyDescent="0.55000000000000004">
      <c r="A310" t="s">
        <v>391</v>
      </c>
      <c r="B310" t="s">
        <v>175</v>
      </c>
      <c r="C310" s="2">
        <v>45087</v>
      </c>
      <c r="D310" t="s">
        <v>29</v>
      </c>
      <c r="E310">
        <v>33</v>
      </c>
    </row>
    <row r="311" spans="1:5" x14ac:dyDescent="0.55000000000000004">
      <c r="A311" t="s">
        <v>392</v>
      </c>
      <c r="B311" t="s">
        <v>23</v>
      </c>
      <c r="C311" s="2">
        <v>43931</v>
      </c>
      <c r="D311" t="s">
        <v>29</v>
      </c>
      <c r="E311">
        <v>1172</v>
      </c>
    </row>
    <row r="312" spans="1:5" x14ac:dyDescent="0.55000000000000004">
      <c r="A312" t="s">
        <v>393</v>
      </c>
      <c r="B312" t="s">
        <v>118</v>
      </c>
      <c r="C312" s="2">
        <v>44408</v>
      </c>
      <c r="D312" t="s">
        <v>29</v>
      </c>
      <c r="E312">
        <v>897</v>
      </c>
    </row>
    <row r="313" spans="1:5" x14ac:dyDescent="0.55000000000000004">
      <c r="A313" t="s">
        <v>394</v>
      </c>
      <c r="B313" t="s">
        <v>35</v>
      </c>
      <c r="C313" s="2">
        <v>44220</v>
      </c>
      <c r="D313" t="s">
        <v>29</v>
      </c>
      <c r="E313">
        <v>2776</v>
      </c>
    </row>
    <row r="314" spans="1:5" x14ac:dyDescent="0.55000000000000004">
      <c r="A314" t="s">
        <v>395</v>
      </c>
      <c r="B314" t="s">
        <v>118</v>
      </c>
      <c r="C314" s="2">
        <v>44026</v>
      </c>
      <c r="D314" t="s">
        <v>26</v>
      </c>
      <c r="E314">
        <v>2570</v>
      </c>
    </row>
    <row r="315" spans="1:5" x14ac:dyDescent="0.55000000000000004">
      <c r="A315" t="s">
        <v>396</v>
      </c>
      <c r="B315" t="s">
        <v>35</v>
      </c>
      <c r="C315" s="2">
        <v>43911</v>
      </c>
      <c r="D315" t="s">
        <v>29</v>
      </c>
      <c r="E315">
        <v>1805</v>
      </c>
    </row>
    <row r="316" spans="1:5" x14ac:dyDescent="0.55000000000000004">
      <c r="A316" t="s">
        <v>397</v>
      </c>
      <c r="B316" t="s">
        <v>142</v>
      </c>
      <c r="C316" s="2">
        <v>44103</v>
      </c>
      <c r="D316" t="s">
        <v>29</v>
      </c>
      <c r="E316">
        <v>2999</v>
      </c>
    </row>
    <row r="317" spans="1:5" x14ac:dyDescent="0.55000000000000004">
      <c r="A317" t="s">
        <v>398</v>
      </c>
      <c r="B317" t="s">
        <v>72</v>
      </c>
      <c r="C317" s="2">
        <v>43101</v>
      </c>
      <c r="D317" t="s">
        <v>29</v>
      </c>
      <c r="E317">
        <v>1338</v>
      </c>
    </row>
    <row r="318" spans="1:5" x14ac:dyDescent="0.55000000000000004">
      <c r="A318" t="s">
        <v>399</v>
      </c>
      <c r="B318" t="s">
        <v>78</v>
      </c>
      <c r="C318" s="2">
        <v>45167</v>
      </c>
      <c r="D318" t="s">
        <v>26</v>
      </c>
      <c r="E318">
        <v>822</v>
      </c>
    </row>
    <row r="319" spans="1:5" x14ac:dyDescent="0.55000000000000004">
      <c r="A319" t="s">
        <v>400</v>
      </c>
      <c r="B319" t="s">
        <v>72</v>
      </c>
      <c r="C319" s="2">
        <v>44527</v>
      </c>
      <c r="D319" t="s">
        <v>29</v>
      </c>
      <c r="E319">
        <v>2174</v>
      </c>
    </row>
    <row r="320" spans="1:5" x14ac:dyDescent="0.55000000000000004">
      <c r="A320" t="s">
        <v>401</v>
      </c>
      <c r="B320" t="s">
        <v>67</v>
      </c>
      <c r="C320" s="2">
        <v>44582</v>
      </c>
      <c r="D320" t="s">
        <v>26</v>
      </c>
      <c r="E320">
        <v>1052</v>
      </c>
    </row>
    <row r="321" spans="1:5" x14ac:dyDescent="0.55000000000000004">
      <c r="A321" t="s">
        <v>402</v>
      </c>
      <c r="B321" t="s">
        <v>175</v>
      </c>
      <c r="C321" s="2">
        <v>45439</v>
      </c>
      <c r="D321" t="s">
        <v>29</v>
      </c>
      <c r="E321">
        <v>1387</v>
      </c>
    </row>
    <row r="322" spans="1:5" x14ac:dyDescent="0.55000000000000004">
      <c r="A322" t="s">
        <v>403</v>
      </c>
      <c r="B322" t="s">
        <v>137</v>
      </c>
      <c r="C322" s="2">
        <v>43937</v>
      </c>
      <c r="D322" t="s">
        <v>29</v>
      </c>
      <c r="E322">
        <v>308</v>
      </c>
    </row>
    <row r="323" spans="1:5" x14ac:dyDescent="0.55000000000000004">
      <c r="A323" t="s">
        <v>404</v>
      </c>
      <c r="B323" t="s">
        <v>72</v>
      </c>
      <c r="C323" s="2">
        <v>44461</v>
      </c>
      <c r="D323" t="s">
        <v>26</v>
      </c>
      <c r="E323">
        <v>2770</v>
      </c>
    </row>
    <row r="324" spans="1:5" x14ac:dyDescent="0.55000000000000004">
      <c r="A324" t="s">
        <v>405</v>
      </c>
      <c r="B324" t="s">
        <v>78</v>
      </c>
      <c r="C324" s="2">
        <v>45093</v>
      </c>
      <c r="D324" t="s">
        <v>29</v>
      </c>
      <c r="E324">
        <v>369</v>
      </c>
    </row>
    <row r="325" spans="1:5" x14ac:dyDescent="0.55000000000000004">
      <c r="A325" t="s">
        <v>406</v>
      </c>
      <c r="B325" t="s">
        <v>137</v>
      </c>
      <c r="C325" s="2">
        <v>45082</v>
      </c>
      <c r="D325" t="s">
        <v>26</v>
      </c>
      <c r="E325">
        <v>1083</v>
      </c>
    </row>
    <row r="326" spans="1:5" x14ac:dyDescent="0.55000000000000004">
      <c r="A326" t="s">
        <v>407</v>
      </c>
      <c r="B326" t="s">
        <v>99</v>
      </c>
      <c r="C326" s="2">
        <v>43972</v>
      </c>
      <c r="D326" t="s">
        <v>29</v>
      </c>
      <c r="E326">
        <v>1509</v>
      </c>
    </row>
    <row r="327" spans="1:5" x14ac:dyDescent="0.55000000000000004">
      <c r="A327" t="s">
        <v>408</v>
      </c>
      <c r="B327" t="s">
        <v>38</v>
      </c>
      <c r="C327" s="2">
        <v>44367</v>
      </c>
      <c r="D327" t="s">
        <v>29</v>
      </c>
      <c r="E327">
        <v>2615</v>
      </c>
    </row>
    <row r="328" spans="1:5" x14ac:dyDescent="0.55000000000000004">
      <c r="A328" t="s">
        <v>409</v>
      </c>
      <c r="B328" t="s">
        <v>86</v>
      </c>
      <c r="C328" s="2">
        <v>43138</v>
      </c>
      <c r="D328" t="s">
        <v>26</v>
      </c>
      <c r="E328">
        <v>1931</v>
      </c>
    </row>
    <row r="329" spans="1:5" x14ac:dyDescent="0.55000000000000004">
      <c r="A329" t="s">
        <v>410</v>
      </c>
      <c r="B329" t="s">
        <v>14</v>
      </c>
      <c r="C329" s="2">
        <v>44185</v>
      </c>
      <c r="D329" t="s">
        <v>29</v>
      </c>
      <c r="E329">
        <v>2498</v>
      </c>
    </row>
    <row r="330" spans="1:5" x14ac:dyDescent="0.55000000000000004">
      <c r="A330" t="s">
        <v>411</v>
      </c>
      <c r="B330" t="s">
        <v>63</v>
      </c>
      <c r="C330" s="2">
        <v>44243</v>
      </c>
      <c r="D330" t="s">
        <v>26</v>
      </c>
      <c r="E330">
        <v>2602</v>
      </c>
    </row>
    <row r="331" spans="1:5" x14ac:dyDescent="0.55000000000000004">
      <c r="A331" t="s">
        <v>412</v>
      </c>
      <c r="B331" t="s">
        <v>175</v>
      </c>
      <c r="C331" s="2">
        <v>45367</v>
      </c>
      <c r="D331" t="s">
        <v>29</v>
      </c>
      <c r="E331">
        <v>2659</v>
      </c>
    </row>
    <row r="332" spans="1:5" x14ac:dyDescent="0.55000000000000004">
      <c r="A332" t="s">
        <v>413</v>
      </c>
      <c r="B332" t="s">
        <v>140</v>
      </c>
      <c r="C332" s="2">
        <v>43155</v>
      </c>
      <c r="D332" t="s">
        <v>26</v>
      </c>
      <c r="E332">
        <v>185</v>
      </c>
    </row>
    <row r="333" spans="1:5" x14ac:dyDescent="0.55000000000000004">
      <c r="A333" t="s">
        <v>414</v>
      </c>
      <c r="B333" t="s">
        <v>142</v>
      </c>
      <c r="C333" s="2">
        <v>43540</v>
      </c>
      <c r="D333" t="s">
        <v>29</v>
      </c>
      <c r="E333">
        <v>475</v>
      </c>
    </row>
    <row r="334" spans="1:5" x14ac:dyDescent="0.55000000000000004">
      <c r="A334" t="s">
        <v>415</v>
      </c>
      <c r="B334" t="s">
        <v>115</v>
      </c>
      <c r="C334" s="2">
        <v>43397</v>
      </c>
      <c r="D334" t="s">
        <v>26</v>
      </c>
      <c r="E334">
        <v>1591</v>
      </c>
    </row>
    <row r="335" spans="1:5" x14ac:dyDescent="0.55000000000000004">
      <c r="A335" t="s">
        <v>416</v>
      </c>
      <c r="B335" t="s">
        <v>15</v>
      </c>
      <c r="C335" s="2">
        <v>43676</v>
      </c>
      <c r="D335" t="s">
        <v>29</v>
      </c>
      <c r="E335">
        <v>2405</v>
      </c>
    </row>
    <row r="336" spans="1:5" x14ac:dyDescent="0.55000000000000004">
      <c r="A336" t="s">
        <v>417</v>
      </c>
      <c r="B336" t="s">
        <v>78</v>
      </c>
      <c r="C336" s="2">
        <v>44098</v>
      </c>
      <c r="D336" t="s">
        <v>29</v>
      </c>
      <c r="E336">
        <v>2682</v>
      </c>
    </row>
    <row r="337" spans="1:5" x14ac:dyDescent="0.55000000000000004">
      <c r="A337" t="s">
        <v>418</v>
      </c>
      <c r="B337" t="s">
        <v>115</v>
      </c>
      <c r="C337" s="2">
        <v>43919</v>
      </c>
      <c r="D337" t="s">
        <v>29</v>
      </c>
      <c r="E337">
        <v>1145</v>
      </c>
    </row>
    <row r="338" spans="1:5" x14ac:dyDescent="0.55000000000000004">
      <c r="A338" t="s">
        <v>419</v>
      </c>
      <c r="B338" t="s">
        <v>142</v>
      </c>
      <c r="C338" s="2">
        <v>44330</v>
      </c>
      <c r="D338" t="s">
        <v>29</v>
      </c>
      <c r="E338">
        <v>889</v>
      </c>
    </row>
    <row r="339" spans="1:5" x14ac:dyDescent="0.55000000000000004">
      <c r="A339" t="s">
        <v>420</v>
      </c>
      <c r="B339" t="s">
        <v>15</v>
      </c>
      <c r="C339" s="2">
        <v>43827</v>
      </c>
      <c r="D339" t="s">
        <v>26</v>
      </c>
      <c r="E339">
        <v>1485</v>
      </c>
    </row>
    <row r="340" spans="1:5" x14ac:dyDescent="0.55000000000000004">
      <c r="A340" t="s">
        <v>421</v>
      </c>
      <c r="B340" t="s">
        <v>115</v>
      </c>
      <c r="C340" s="2">
        <v>44321</v>
      </c>
      <c r="D340" t="s">
        <v>29</v>
      </c>
      <c r="E340">
        <v>2230</v>
      </c>
    </row>
    <row r="341" spans="1:5" x14ac:dyDescent="0.55000000000000004">
      <c r="A341" t="s">
        <v>422</v>
      </c>
      <c r="B341" t="s">
        <v>94</v>
      </c>
      <c r="C341" s="2">
        <v>44935</v>
      </c>
      <c r="D341" t="s">
        <v>26</v>
      </c>
      <c r="E341">
        <v>1630</v>
      </c>
    </row>
    <row r="342" spans="1:5" x14ac:dyDescent="0.55000000000000004">
      <c r="A342" t="s">
        <v>423</v>
      </c>
      <c r="B342" t="s">
        <v>84</v>
      </c>
      <c r="C342" s="2">
        <v>43305</v>
      </c>
      <c r="D342" t="s">
        <v>26</v>
      </c>
      <c r="E342">
        <v>1862</v>
      </c>
    </row>
    <row r="343" spans="1:5" x14ac:dyDescent="0.55000000000000004">
      <c r="A343" t="s">
        <v>424</v>
      </c>
      <c r="B343" t="s">
        <v>74</v>
      </c>
      <c r="C343" s="2">
        <v>44274</v>
      </c>
      <c r="D343" t="s">
        <v>26</v>
      </c>
      <c r="E343">
        <v>2628</v>
      </c>
    </row>
    <row r="344" spans="1:5" x14ac:dyDescent="0.55000000000000004">
      <c r="A344" t="s">
        <v>425</v>
      </c>
      <c r="B344" t="s">
        <v>35</v>
      </c>
      <c r="C344" s="2">
        <v>43874</v>
      </c>
      <c r="D344" t="s">
        <v>26</v>
      </c>
      <c r="E344">
        <v>1366</v>
      </c>
    </row>
    <row r="345" spans="1:5" x14ac:dyDescent="0.55000000000000004">
      <c r="A345" t="s">
        <v>426</v>
      </c>
      <c r="B345" t="s">
        <v>63</v>
      </c>
      <c r="C345" s="2">
        <v>43174</v>
      </c>
      <c r="D345" t="s">
        <v>26</v>
      </c>
      <c r="E345">
        <v>281</v>
      </c>
    </row>
    <row r="346" spans="1:5" x14ac:dyDescent="0.55000000000000004">
      <c r="A346" t="s">
        <v>427</v>
      </c>
      <c r="B346" t="s">
        <v>175</v>
      </c>
      <c r="C346" s="2">
        <v>45736</v>
      </c>
      <c r="D346" t="s">
        <v>26</v>
      </c>
      <c r="E346">
        <v>2401</v>
      </c>
    </row>
    <row r="347" spans="1:5" x14ac:dyDescent="0.55000000000000004">
      <c r="A347" t="s">
        <v>428</v>
      </c>
      <c r="B347" t="s">
        <v>151</v>
      </c>
      <c r="C347" s="2">
        <v>43394</v>
      </c>
      <c r="D347" t="s">
        <v>29</v>
      </c>
      <c r="E347">
        <v>604</v>
      </c>
    </row>
    <row r="348" spans="1:5" x14ac:dyDescent="0.55000000000000004">
      <c r="A348" t="s">
        <v>429</v>
      </c>
      <c r="B348" t="s">
        <v>137</v>
      </c>
      <c r="C348" s="2">
        <v>43477</v>
      </c>
      <c r="D348" t="s">
        <v>29</v>
      </c>
      <c r="E348">
        <v>592</v>
      </c>
    </row>
    <row r="349" spans="1:5" x14ac:dyDescent="0.55000000000000004">
      <c r="A349" t="s">
        <v>430</v>
      </c>
      <c r="B349" t="s">
        <v>72</v>
      </c>
      <c r="C349" s="2">
        <v>44023</v>
      </c>
      <c r="D349" t="s">
        <v>29</v>
      </c>
      <c r="E349">
        <v>714</v>
      </c>
    </row>
    <row r="350" spans="1:5" x14ac:dyDescent="0.55000000000000004">
      <c r="A350" t="s">
        <v>431</v>
      </c>
      <c r="B350" t="s">
        <v>115</v>
      </c>
      <c r="C350" s="2">
        <v>44270</v>
      </c>
      <c r="D350" t="s">
        <v>26</v>
      </c>
      <c r="E350">
        <v>539</v>
      </c>
    </row>
    <row r="351" spans="1:5" x14ac:dyDescent="0.55000000000000004">
      <c r="A351" t="s">
        <v>432</v>
      </c>
      <c r="B351" t="s">
        <v>14</v>
      </c>
      <c r="C351" s="2">
        <v>43650</v>
      </c>
      <c r="D351" t="s">
        <v>26</v>
      </c>
      <c r="E351">
        <v>2411</v>
      </c>
    </row>
    <row r="352" spans="1:5" x14ac:dyDescent="0.55000000000000004">
      <c r="A352" t="s">
        <v>433</v>
      </c>
      <c r="B352" t="s">
        <v>111</v>
      </c>
      <c r="C352" s="2">
        <v>42949</v>
      </c>
      <c r="D352" t="s">
        <v>26</v>
      </c>
      <c r="E352">
        <v>1086</v>
      </c>
    </row>
    <row r="353" spans="1:5" x14ac:dyDescent="0.55000000000000004">
      <c r="A353" t="s">
        <v>434</v>
      </c>
      <c r="B353" t="s">
        <v>142</v>
      </c>
      <c r="C353" s="2">
        <v>43176</v>
      </c>
      <c r="D353" t="s">
        <v>29</v>
      </c>
      <c r="E353">
        <v>2154</v>
      </c>
    </row>
    <row r="354" spans="1:5" x14ac:dyDescent="0.55000000000000004">
      <c r="A354" t="s">
        <v>435</v>
      </c>
      <c r="B354" t="s">
        <v>115</v>
      </c>
      <c r="C354" s="2">
        <v>44444</v>
      </c>
      <c r="D354" t="s">
        <v>26</v>
      </c>
      <c r="E354">
        <v>1950</v>
      </c>
    </row>
    <row r="355" spans="1:5" x14ac:dyDescent="0.55000000000000004">
      <c r="A355" t="s">
        <v>436</v>
      </c>
      <c r="B355" t="s">
        <v>15</v>
      </c>
      <c r="C355" s="2">
        <v>44510</v>
      </c>
      <c r="D355" t="s">
        <v>29</v>
      </c>
      <c r="E355">
        <v>2102</v>
      </c>
    </row>
    <row r="356" spans="1:5" x14ac:dyDescent="0.55000000000000004">
      <c r="A356" t="s">
        <v>437</v>
      </c>
      <c r="B356" t="s">
        <v>23</v>
      </c>
      <c r="C356" s="2">
        <v>44054</v>
      </c>
      <c r="D356" t="s">
        <v>29</v>
      </c>
      <c r="E356">
        <v>2063</v>
      </c>
    </row>
    <row r="357" spans="1:5" x14ac:dyDescent="0.55000000000000004">
      <c r="A357" t="s">
        <v>438</v>
      </c>
      <c r="B357" t="s">
        <v>63</v>
      </c>
      <c r="C357" s="2">
        <v>44176</v>
      </c>
      <c r="D357" t="s">
        <v>26</v>
      </c>
      <c r="E357">
        <v>2978</v>
      </c>
    </row>
    <row r="358" spans="1:5" x14ac:dyDescent="0.55000000000000004">
      <c r="A358" t="s">
        <v>439</v>
      </c>
      <c r="B358" t="s">
        <v>137</v>
      </c>
      <c r="C358" s="2">
        <v>45601</v>
      </c>
      <c r="D358" t="s">
        <v>29</v>
      </c>
      <c r="E358">
        <v>1876</v>
      </c>
    </row>
    <row r="359" spans="1:5" x14ac:dyDescent="0.55000000000000004">
      <c r="A359" t="s">
        <v>440</v>
      </c>
      <c r="B359" t="s">
        <v>35</v>
      </c>
      <c r="C359" s="2">
        <v>43894</v>
      </c>
      <c r="D359" t="s">
        <v>26</v>
      </c>
      <c r="E359">
        <v>1961</v>
      </c>
    </row>
    <row r="360" spans="1:5" x14ac:dyDescent="0.55000000000000004">
      <c r="A360" t="s">
        <v>441</v>
      </c>
      <c r="B360" t="s">
        <v>76</v>
      </c>
      <c r="C360" s="2">
        <v>45111</v>
      </c>
      <c r="D360" t="s">
        <v>29</v>
      </c>
      <c r="E360">
        <v>2810</v>
      </c>
    </row>
    <row r="361" spans="1:5" x14ac:dyDescent="0.55000000000000004">
      <c r="A361" t="s">
        <v>442</v>
      </c>
      <c r="B361" t="s">
        <v>115</v>
      </c>
      <c r="C361" s="2">
        <v>43921</v>
      </c>
      <c r="D361" t="s">
        <v>29</v>
      </c>
      <c r="E361">
        <v>301</v>
      </c>
    </row>
    <row r="362" spans="1:5" x14ac:dyDescent="0.55000000000000004">
      <c r="A362" t="s">
        <v>443</v>
      </c>
      <c r="B362" t="s">
        <v>94</v>
      </c>
      <c r="C362" s="2">
        <v>43796</v>
      </c>
      <c r="D362" t="s">
        <v>29</v>
      </c>
      <c r="E362">
        <v>2491</v>
      </c>
    </row>
    <row r="363" spans="1:5" x14ac:dyDescent="0.55000000000000004">
      <c r="A363" t="s">
        <v>444</v>
      </c>
      <c r="B363" t="s">
        <v>72</v>
      </c>
      <c r="C363" s="2">
        <v>43051</v>
      </c>
      <c r="D363" t="s">
        <v>26</v>
      </c>
      <c r="E363">
        <v>1126</v>
      </c>
    </row>
    <row r="364" spans="1:5" x14ac:dyDescent="0.55000000000000004">
      <c r="A364" t="s">
        <v>445</v>
      </c>
      <c r="B364" t="s">
        <v>32</v>
      </c>
      <c r="C364" s="2">
        <v>44496</v>
      </c>
      <c r="D364" t="s">
        <v>29</v>
      </c>
      <c r="E364">
        <v>2446</v>
      </c>
    </row>
    <row r="365" spans="1:5" x14ac:dyDescent="0.55000000000000004">
      <c r="A365" t="s">
        <v>446</v>
      </c>
      <c r="B365" t="s">
        <v>67</v>
      </c>
      <c r="C365" s="2">
        <v>44673</v>
      </c>
      <c r="D365" t="s">
        <v>29</v>
      </c>
      <c r="E365">
        <v>2070</v>
      </c>
    </row>
    <row r="366" spans="1:5" x14ac:dyDescent="0.55000000000000004">
      <c r="A366" t="s">
        <v>447</v>
      </c>
      <c r="B366" t="s">
        <v>32</v>
      </c>
      <c r="C366" s="2">
        <v>44712</v>
      </c>
      <c r="D366" t="s">
        <v>26</v>
      </c>
      <c r="E366">
        <v>2874</v>
      </c>
    </row>
    <row r="367" spans="1:5" x14ac:dyDescent="0.55000000000000004">
      <c r="A367" t="s">
        <v>448</v>
      </c>
      <c r="B367" t="s">
        <v>115</v>
      </c>
      <c r="C367" s="2">
        <v>44257</v>
      </c>
      <c r="D367" t="s">
        <v>26</v>
      </c>
      <c r="E367">
        <v>1761</v>
      </c>
    </row>
    <row r="368" spans="1:5" x14ac:dyDescent="0.55000000000000004">
      <c r="A368" t="s">
        <v>449</v>
      </c>
      <c r="B368" t="s">
        <v>15</v>
      </c>
      <c r="C368" s="2">
        <v>43384</v>
      </c>
      <c r="D368" t="s">
        <v>29</v>
      </c>
      <c r="E368">
        <v>1388</v>
      </c>
    </row>
    <row r="369" spans="1:5" x14ac:dyDescent="0.55000000000000004">
      <c r="A369" t="s">
        <v>450</v>
      </c>
      <c r="B369" t="s">
        <v>175</v>
      </c>
      <c r="C369" s="2">
        <v>45323</v>
      </c>
      <c r="D369" t="s">
        <v>29</v>
      </c>
      <c r="E369">
        <v>1703</v>
      </c>
    </row>
    <row r="370" spans="1:5" x14ac:dyDescent="0.55000000000000004">
      <c r="A370" t="s">
        <v>451</v>
      </c>
      <c r="B370" t="s">
        <v>78</v>
      </c>
      <c r="C370" s="2">
        <v>43855</v>
      </c>
      <c r="D370" t="s">
        <v>29</v>
      </c>
      <c r="E370">
        <v>1748</v>
      </c>
    </row>
    <row r="371" spans="1:5" x14ac:dyDescent="0.55000000000000004">
      <c r="A371" t="s">
        <v>452</v>
      </c>
      <c r="B371" t="s">
        <v>111</v>
      </c>
      <c r="C371" s="2">
        <v>44279</v>
      </c>
      <c r="D371" t="s">
        <v>29</v>
      </c>
      <c r="E371">
        <v>1533</v>
      </c>
    </row>
    <row r="372" spans="1:5" x14ac:dyDescent="0.55000000000000004">
      <c r="A372" t="s">
        <v>453</v>
      </c>
      <c r="B372" t="s">
        <v>72</v>
      </c>
      <c r="C372" s="2">
        <v>44323</v>
      </c>
      <c r="D372" t="s">
        <v>29</v>
      </c>
      <c r="E372">
        <v>274</v>
      </c>
    </row>
    <row r="373" spans="1:5" x14ac:dyDescent="0.55000000000000004">
      <c r="A373" t="s">
        <v>454</v>
      </c>
      <c r="B373" t="s">
        <v>74</v>
      </c>
      <c r="C373" s="2">
        <v>43091</v>
      </c>
      <c r="D373" t="s">
        <v>26</v>
      </c>
      <c r="E373">
        <v>1768</v>
      </c>
    </row>
    <row r="374" spans="1:5" x14ac:dyDescent="0.55000000000000004">
      <c r="A374" t="s">
        <v>455</v>
      </c>
      <c r="B374" t="s">
        <v>115</v>
      </c>
      <c r="C374" s="2">
        <v>44441</v>
      </c>
      <c r="D374" t="s">
        <v>29</v>
      </c>
      <c r="E374">
        <v>532</v>
      </c>
    </row>
    <row r="375" spans="1:5" x14ac:dyDescent="0.55000000000000004">
      <c r="A375" t="s">
        <v>456</v>
      </c>
      <c r="B375" t="s">
        <v>99</v>
      </c>
      <c r="C375" s="2">
        <v>43711</v>
      </c>
      <c r="D375" t="s">
        <v>29</v>
      </c>
      <c r="E375">
        <v>2744</v>
      </c>
    </row>
    <row r="376" spans="1:5" x14ac:dyDescent="0.55000000000000004">
      <c r="A376" t="s">
        <v>457</v>
      </c>
      <c r="B376" t="s">
        <v>115</v>
      </c>
      <c r="C376" s="2">
        <v>43758</v>
      </c>
      <c r="D376" t="s">
        <v>29</v>
      </c>
      <c r="E376">
        <v>2725</v>
      </c>
    </row>
    <row r="377" spans="1:5" x14ac:dyDescent="0.55000000000000004">
      <c r="A377" t="s">
        <v>458</v>
      </c>
      <c r="B377" t="s">
        <v>118</v>
      </c>
      <c r="C377" s="2">
        <v>45198</v>
      </c>
      <c r="D377" t="s">
        <v>26</v>
      </c>
      <c r="E377">
        <v>1178</v>
      </c>
    </row>
    <row r="378" spans="1:5" x14ac:dyDescent="0.55000000000000004">
      <c r="A378" t="s">
        <v>459</v>
      </c>
      <c r="B378" t="s">
        <v>32</v>
      </c>
      <c r="C378" s="2">
        <v>44470</v>
      </c>
      <c r="D378" t="s">
        <v>29</v>
      </c>
      <c r="E378">
        <v>424</v>
      </c>
    </row>
    <row r="379" spans="1:5" x14ac:dyDescent="0.55000000000000004">
      <c r="A379" t="s">
        <v>460</v>
      </c>
      <c r="B379" t="s">
        <v>23</v>
      </c>
      <c r="C379" s="2">
        <v>44870</v>
      </c>
      <c r="D379" t="s">
        <v>26</v>
      </c>
      <c r="E379">
        <v>633</v>
      </c>
    </row>
    <row r="380" spans="1:5" x14ac:dyDescent="0.55000000000000004">
      <c r="A380" t="s">
        <v>461</v>
      </c>
      <c r="B380" t="s">
        <v>38</v>
      </c>
      <c r="C380" s="2">
        <v>44818</v>
      </c>
      <c r="D380" t="s">
        <v>26</v>
      </c>
      <c r="E380">
        <v>443</v>
      </c>
    </row>
    <row r="381" spans="1:5" x14ac:dyDescent="0.55000000000000004">
      <c r="A381" t="s">
        <v>462</v>
      </c>
      <c r="B381" t="s">
        <v>86</v>
      </c>
      <c r="C381" s="2">
        <v>44056</v>
      </c>
      <c r="D381" t="s">
        <v>29</v>
      </c>
      <c r="E381">
        <v>470</v>
      </c>
    </row>
    <row r="382" spans="1:5" x14ac:dyDescent="0.55000000000000004">
      <c r="A382" t="s">
        <v>463</v>
      </c>
      <c r="B382" t="s">
        <v>118</v>
      </c>
      <c r="C382" s="2">
        <v>44607</v>
      </c>
      <c r="D382" t="s">
        <v>26</v>
      </c>
      <c r="E382">
        <v>1757</v>
      </c>
    </row>
    <row r="383" spans="1:5" x14ac:dyDescent="0.55000000000000004">
      <c r="A383" t="s">
        <v>464</v>
      </c>
      <c r="B383" t="s">
        <v>76</v>
      </c>
      <c r="C383" s="2">
        <v>45763</v>
      </c>
      <c r="D383" t="s">
        <v>26</v>
      </c>
      <c r="E383">
        <v>2494</v>
      </c>
    </row>
    <row r="384" spans="1:5" x14ac:dyDescent="0.55000000000000004">
      <c r="A384" t="s">
        <v>465</v>
      </c>
      <c r="B384" t="s">
        <v>38</v>
      </c>
      <c r="C384" s="2">
        <v>44378</v>
      </c>
      <c r="D384" t="s">
        <v>26</v>
      </c>
      <c r="E384">
        <v>738</v>
      </c>
    </row>
    <row r="385" spans="1:5" x14ac:dyDescent="0.55000000000000004">
      <c r="A385" t="s">
        <v>466</v>
      </c>
      <c r="B385" t="s">
        <v>84</v>
      </c>
      <c r="C385" s="2">
        <v>44356</v>
      </c>
      <c r="D385" t="s">
        <v>29</v>
      </c>
      <c r="E385">
        <v>1391</v>
      </c>
    </row>
    <row r="386" spans="1:5" x14ac:dyDescent="0.55000000000000004">
      <c r="A386" t="s">
        <v>467</v>
      </c>
      <c r="B386" t="s">
        <v>86</v>
      </c>
      <c r="C386" s="2">
        <v>42929</v>
      </c>
      <c r="D386" t="s">
        <v>26</v>
      </c>
      <c r="E386">
        <v>586</v>
      </c>
    </row>
    <row r="387" spans="1:5" x14ac:dyDescent="0.55000000000000004">
      <c r="A387" t="s">
        <v>468</v>
      </c>
      <c r="B387" t="s">
        <v>23</v>
      </c>
      <c r="C387" s="2">
        <v>44651</v>
      </c>
      <c r="D387" t="s">
        <v>26</v>
      </c>
      <c r="E387">
        <v>581</v>
      </c>
    </row>
    <row r="388" spans="1:5" x14ac:dyDescent="0.55000000000000004">
      <c r="A388" t="s">
        <v>469</v>
      </c>
      <c r="B388" t="s">
        <v>78</v>
      </c>
      <c r="C388" s="2">
        <v>43591</v>
      </c>
      <c r="D388" t="s">
        <v>26</v>
      </c>
      <c r="E388">
        <v>2172</v>
      </c>
    </row>
    <row r="389" spans="1:5" x14ac:dyDescent="0.55000000000000004">
      <c r="A389" t="s">
        <v>470</v>
      </c>
      <c r="B389" t="s">
        <v>151</v>
      </c>
      <c r="C389" s="2">
        <v>43687</v>
      </c>
      <c r="D389" t="s">
        <v>29</v>
      </c>
      <c r="E389">
        <v>1858</v>
      </c>
    </row>
    <row r="390" spans="1:5" x14ac:dyDescent="0.55000000000000004">
      <c r="A390" t="s">
        <v>471</v>
      </c>
      <c r="B390" t="s">
        <v>111</v>
      </c>
      <c r="C390" s="2">
        <v>43239</v>
      </c>
      <c r="D390" t="s">
        <v>29</v>
      </c>
      <c r="E390">
        <v>1276</v>
      </c>
    </row>
    <row r="391" spans="1:5" x14ac:dyDescent="0.55000000000000004">
      <c r="A391" t="s">
        <v>472</v>
      </c>
      <c r="B391" t="s">
        <v>78</v>
      </c>
      <c r="C391" s="2">
        <v>44794</v>
      </c>
      <c r="D391" t="s">
        <v>26</v>
      </c>
      <c r="E391">
        <v>215</v>
      </c>
    </row>
    <row r="392" spans="1:5" x14ac:dyDescent="0.55000000000000004">
      <c r="A392" t="s">
        <v>473</v>
      </c>
      <c r="B392" t="s">
        <v>72</v>
      </c>
      <c r="C392" s="2">
        <v>43239</v>
      </c>
      <c r="D392" t="s">
        <v>26</v>
      </c>
      <c r="E392">
        <v>2760</v>
      </c>
    </row>
    <row r="393" spans="1:5" x14ac:dyDescent="0.55000000000000004">
      <c r="A393" t="s">
        <v>474</v>
      </c>
      <c r="B393" t="s">
        <v>74</v>
      </c>
      <c r="C393" s="2">
        <v>43474</v>
      </c>
      <c r="D393" t="s">
        <v>29</v>
      </c>
      <c r="E393">
        <v>2711</v>
      </c>
    </row>
    <row r="394" spans="1:5" x14ac:dyDescent="0.55000000000000004">
      <c r="A394" t="s">
        <v>475</v>
      </c>
      <c r="B394" t="s">
        <v>140</v>
      </c>
      <c r="C394" s="2">
        <v>43911</v>
      </c>
      <c r="D394" t="s">
        <v>29</v>
      </c>
      <c r="E394">
        <v>1696</v>
      </c>
    </row>
    <row r="395" spans="1:5" x14ac:dyDescent="0.55000000000000004">
      <c r="A395" t="s">
        <v>476</v>
      </c>
      <c r="B395" t="s">
        <v>84</v>
      </c>
      <c r="C395" s="2">
        <v>43358</v>
      </c>
      <c r="D395" t="s">
        <v>26</v>
      </c>
      <c r="E395">
        <v>1413</v>
      </c>
    </row>
    <row r="396" spans="1:5" x14ac:dyDescent="0.55000000000000004">
      <c r="A396" t="s">
        <v>477</v>
      </c>
      <c r="B396" t="s">
        <v>140</v>
      </c>
      <c r="C396" s="2">
        <v>43144</v>
      </c>
      <c r="D396" t="s">
        <v>29</v>
      </c>
      <c r="E396">
        <v>2777</v>
      </c>
    </row>
    <row r="397" spans="1:5" x14ac:dyDescent="0.55000000000000004">
      <c r="A397" t="s">
        <v>478</v>
      </c>
      <c r="B397" t="s">
        <v>38</v>
      </c>
      <c r="C397" s="2">
        <v>44827</v>
      </c>
      <c r="D397" t="s">
        <v>29</v>
      </c>
      <c r="E397">
        <v>186</v>
      </c>
    </row>
    <row r="398" spans="1:5" x14ac:dyDescent="0.55000000000000004">
      <c r="A398" t="s">
        <v>479</v>
      </c>
      <c r="B398" t="s">
        <v>63</v>
      </c>
      <c r="C398" s="2">
        <v>43726</v>
      </c>
      <c r="D398" t="s">
        <v>26</v>
      </c>
      <c r="E398">
        <v>31</v>
      </c>
    </row>
    <row r="399" spans="1:5" x14ac:dyDescent="0.55000000000000004">
      <c r="A399" t="s">
        <v>480</v>
      </c>
      <c r="B399" t="s">
        <v>151</v>
      </c>
      <c r="C399" s="2">
        <v>43534</v>
      </c>
      <c r="D399" t="s">
        <v>26</v>
      </c>
      <c r="E399">
        <v>562</v>
      </c>
    </row>
    <row r="400" spans="1:5" x14ac:dyDescent="0.55000000000000004">
      <c r="A400" t="s">
        <v>481</v>
      </c>
      <c r="B400" t="s">
        <v>118</v>
      </c>
      <c r="C400" s="2">
        <v>44512</v>
      </c>
      <c r="D400" t="s">
        <v>29</v>
      </c>
      <c r="E400">
        <v>1343</v>
      </c>
    </row>
    <row r="401" spans="1:5" x14ac:dyDescent="0.55000000000000004">
      <c r="A401" t="s">
        <v>482</v>
      </c>
      <c r="B401" t="s">
        <v>115</v>
      </c>
      <c r="C401" s="2">
        <v>42932</v>
      </c>
      <c r="D401" t="s">
        <v>29</v>
      </c>
      <c r="E401">
        <v>1763</v>
      </c>
    </row>
    <row r="402" spans="1:5" x14ac:dyDescent="0.55000000000000004">
      <c r="A402" t="s">
        <v>483</v>
      </c>
      <c r="B402" t="s">
        <v>105</v>
      </c>
      <c r="C402" s="2">
        <v>43181</v>
      </c>
      <c r="D402" t="s">
        <v>29</v>
      </c>
      <c r="E402">
        <v>2181</v>
      </c>
    </row>
    <row r="403" spans="1:5" x14ac:dyDescent="0.55000000000000004">
      <c r="A403" t="s">
        <v>484</v>
      </c>
      <c r="B403" t="s">
        <v>41</v>
      </c>
      <c r="C403" s="2">
        <v>44302</v>
      </c>
      <c r="D403" t="s">
        <v>29</v>
      </c>
      <c r="E403">
        <v>295</v>
      </c>
    </row>
    <row r="404" spans="1:5" x14ac:dyDescent="0.55000000000000004">
      <c r="A404" t="s">
        <v>485</v>
      </c>
      <c r="B404" t="s">
        <v>101</v>
      </c>
      <c r="C404" s="2">
        <v>44436</v>
      </c>
      <c r="D404" t="s">
        <v>26</v>
      </c>
      <c r="E404">
        <v>1786</v>
      </c>
    </row>
    <row r="405" spans="1:5" x14ac:dyDescent="0.55000000000000004">
      <c r="A405" t="s">
        <v>486</v>
      </c>
      <c r="B405" t="s">
        <v>14</v>
      </c>
      <c r="C405" s="2">
        <v>43858</v>
      </c>
      <c r="D405" t="s">
        <v>26</v>
      </c>
      <c r="E405">
        <v>1282</v>
      </c>
    </row>
    <row r="406" spans="1:5" x14ac:dyDescent="0.55000000000000004">
      <c r="A406" t="s">
        <v>487</v>
      </c>
      <c r="B406" t="s">
        <v>23</v>
      </c>
      <c r="C406" s="2">
        <v>44710</v>
      </c>
      <c r="D406" t="s">
        <v>29</v>
      </c>
      <c r="E406">
        <v>2906</v>
      </c>
    </row>
    <row r="407" spans="1:5" x14ac:dyDescent="0.55000000000000004">
      <c r="A407" t="s">
        <v>488</v>
      </c>
      <c r="B407" t="s">
        <v>35</v>
      </c>
      <c r="C407" s="2">
        <v>44686</v>
      </c>
      <c r="D407" t="s">
        <v>29</v>
      </c>
      <c r="E407">
        <v>471</v>
      </c>
    </row>
    <row r="408" spans="1:5" x14ac:dyDescent="0.55000000000000004">
      <c r="A408" t="s">
        <v>489</v>
      </c>
      <c r="B408" t="s">
        <v>101</v>
      </c>
      <c r="C408" s="2">
        <v>42959</v>
      </c>
      <c r="D408" t="s">
        <v>29</v>
      </c>
      <c r="E408">
        <v>703</v>
      </c>
    </row>
    <row r="409" spans="1:5" x14ac:dyDescent="0.55000000000000004">
      <c r="A409" t="s">
        <v>490</v>
      </c>
      <c r="B409" t="s">
        <v>137</v>
      </c>
      <c r="C409" s="2">
        <v>45350</v>
      </c>
      <c r="D409" t="s">
        <v>29</v>
      </c>
      <c r="E409">
        <v>360</v>
      </c>
    </row>
    <row r="410" spans="1:5" x14ac:dyDescent="0.55000000000000004">
      <c r="A410" t="s">
        <v>491</v>
      </c>
      <c r="B410" t="s">
        <v>140</v>
      </c>
      <c r="C410" s="2">
        <v>43133</v>
      </c>
      <c r="D410" t="s">
        <v>26</v>
      </c>
      <c r="E410">
        <v>1784</v>
      </c>
    </row>
    <row r="411" spans="1:5" x14ac:dyDescent="0.55000000000000004">
      <c r="A411" t="s">
        <v>492</v>
      </c>
      <c r="B411" t="s">
        <v>23</v>
      </c>
      <c r="C411" s="2">
        <v>44651</v>
      </c>
      <c r="D411" t="s">
        <v>26</v>
      </c>
      <c r="E411">
        <v>1621</v>
      </c>
    </row>
    <row r="412" spans="1:5" x14ac:dyDescent="0.55000000000000004">
      <c r="A412" t="s">
        <v>493</v>
      </c>
      <c r="B412" t="s">
        <v>76</v>
      </c>
      <c r="C412" s="2">
        <v>44736</v>
      </c>
      <c r="D412" t="s">
        <v>29</v>
      </c>
      <c r="E412">
        <v>907</v>
      </c>
    </row>
    <row r="413" spans="1:5" x14ac:dyDescent="0.55000000000000004">
      <c r="A413" t="s">
        <v>494</v>
      </c>
      <c r="B413" t="s">
        <v>111</v>
      </c>
      <c r="C413" s="2">
        <v>44512</v>
      </c>
      <c r="D413" t="s">
        <v>26</v>
      </c>
      <c r="E413">
        <v>312</v>
      </c>
    </row>
    <row r="414" spans="1:5" x14ac:dyDescent="0.55000000000000004">
      <c r="A414" t="s">
        <v>495</v>
      </c>
      <c r="B414" t="s">
        <v>67</v>
      </c>
      <c r="C414" s="2">
        <v>43933</v>
      </c>
      <c r="D414" t="s">
        <v>26</v>
      </c>
      <c r="E414">
        <v>1431</v>
      </c>
    </row>
    <row r="415" spans="1:5" x14ac:dyDescent="0.55000000000000004">
      <c r="A415" t="s">
        <v>496</v>
      </c>
      <c r="B415" t="s">
        <v>86</v>
      </c>
      <c r="C415" s="2">
        <v>44406</v>
      </c>
      <c r="D415" t="s">
        <v>26</v>
      </c>
      <c r="E415">
        <v>967</v>
      </c>
    </row>
    <row r="416" spans="1:5" x14ac:dyDescent="0.55000000000000004">
      <c r="A416" t="s">
        <v>497</v>
      </c>
      <c r="B416" t="s">
        <v>115</v>
      </c>
      <c r="C416" s="2">
        <v>43216</v>
      </c>
      <c r="D416" t="s">
        <v>29</v>
      </c>
      <c r="E416">
        <v>808</v>
      </c>
    </row>
    <row r="417" spans="1:5" x14ac:dyDescent="0.55000000000000004">
      <c r="A417" t="s">
        <v>498</v>
      </c>
      <c r="B417" t="s">
        <v>105</v>
      </c>
      <c r="C417" s="2">
        <v>44150</v>
      </c>
      <c r="D417" t="s">
        <v>26</v>
      </c>
      <c r="E417">
        <v>2684</v>
      </c>
    </row>
    <row r="418" spans="1:5" x14ac:dyDescent="0.55000000000000004">
      <c r="A418" t="s">
        <v>499</v>
      </c>
      <c r="B418" t="s">
        <v>74</v>
      </c>
      <c r="C418" s="2">
        <v>43279</v>
      </c>
      <c r="D418" t="s">
        <v>29</v>
      </c>
      <c r="E418">
        <v>1900</v>
      </c>
    </row>
    <row r="419" spans="1:5" x14ac:dyDescent="0.55000000000000004">
      <c r="A419" t="s">
        <v>500</v>
      </c>
      <c r="B419" t="s">
        <v>118</v>
      </c>
      <c r="C419" s="2">
        <v>45775</v>
      </c>
      <c r="D419" t="s">
        <v>29</v>
      </c>
      <c r="E419">
        <v>2789</v>
      </c>
    </row>
    <row r="420" spans="1:5" x14ac:dyDescent="0.55000000000000004">
      <c r="A420" t="s">
        <v>501</v>
      </c>
      <c r="B420" t="s">
        <v>94</v>
      </c>
      <c r="C420" s="2">
        <v>45778</v>
      </c>
      <c r="D420" t="s">
        <v>29</v>
      </c>
      <c r="E420">
        <v>2569</v>
      </c>
    </row>
    <row r="421" spans="1:5" x14ac:dyDescent="0.55000000000000004">
      <c r="A421" t="s">
        <v>502</v>
      </c>
      <c r="B421" t="s">
        <v>111</v>
      </c>
      <c r="C421" s="2">
        <v>43226</v>
      </c>
      <c r="D421" t="s">
        <v>29</v>
      </c>
      <c r="E421">
        <v>279</v>
      </c>
    </row>
    <row r="422" spans="1:5" x14ac:dyDescent="0.55000000000000004">
      <c r="A422" t="s">
        <v>503</v>
      </c>
      <c r="B422" t="s">
        <v>96</v>
      </c>
      <c r="C422" s="2">
        <v>45277</v>
      </c>
      <c r="D422" t="s">
        <v>29</v>
      </c>
      <c r="E422">
        <v>1125</v>
      </c>
    </row>
    <row r="423" spans="1:5" x14ac:dyDescent="0.55000000000000004">
      <c r="A423" t="s">
        <v>504</v>
      </c>
      <c r="B423" t="s">
        <v>23</v>
      </c>
      <c r="C423" s="2">
        <v>43946</v>
      </c>
      <c r="D423" t="s">
        <v>29</v>
      </c>
      <c r="E423">
        <v>2078</v>
      </c>
    </row>
    <row r="424" spans="1:5" x14ac:dyDescent="0.55000000000000004">
      <c r="A424" t="s">
        <v>505</v>
      </c>
      <c r="B424" t="s">
        <v>74</v>
      </c>
      <c r="C424" s="2">
        <v>43552</v>
      </c>
      <c r="D424" t="s">
        <v>29</v>
      </c>
      <c r="E424">
        <v>1851</v>
      </c>
    </row>
    <row r="425" spans="1:5" x14ac:dyDescent="0.55000000000000004">
      <c r="A425" t="s">
        <v>506</v>
      </c>
      <c r="B425" t="s">
        <v>142</v>
      </c>
      <c r="C425" s="2">
        <v>43033</v>
      </c>
      <c r="D425" t="s">
        <v>29</v>
      </c>
      <c r="E425">
        <v>1175</v>
      </c>
    </row>
    <row r="426" spans="1:5" x14ac:dyDescent="0.55000000000000004">
      <c r="A426" t="s">
        <v>507</v>
      </c>
      <c r="B426" t="s">
        <v>74</v>
      </c>
      <c r="C426" s="2">
        <v>44237</v>
      </c>
      <c r="D426" t="s">
        <v>26</v>
      </c>
      <c r="E426">
        <v>2519</v>
      </c>
    </row>
    <row r="427" spans="1:5" x14ac:dyDescent="0.55000000000000004">
      <c r="A427" t="s">
        <v>508</v>
      </c>
      <c r="B427" t="s">
        <v>32</v>
      </c>
      <c r="C427" s="2">
        <v>44869</v>
      </c>
      <c r="D427" t="s">
        <v>29</v>
      </c>
      <c r="E427">
        <v>1895</v>
      </c>
    </row>
    <row r="428" spans="1:5" x14ac:dyDescent="0.55000000000000004">
      <c r="A428" t="s">
        <v>509</v>
      </c>
      <c r="B428" t="s">
        <v>23</v>
      </c>
      <c r="C428" s="2">
        <v>43915</v>
      </c>
      <c r="D428" t="s">
        <v>29</v>
      </c>
      <c r="E428">
        <v>2341</v>
      </c>
    </row>
    <row r="429" spans="1:5" x14ac:dyDescent="0.55000000000000004">
      <c r="A429" t="s">
        <v>510</v>
      </c>
      <c r="B429" t="s">
        <v>35</v>
      </c>
      <c r="C429" s="2">
        <v>44216</v>
      </c>
      <c r="D429" t="s">
        <v>29</v>
      </c>
      <c r="E429">
        <v>2478</v>
      </c>
    </row>
    <row r="430" spans="1:5" x14ac:dyDescent="0.55000000000000004">
      <c r="A430" t="s">
        <v>511</v>
      </c>
      <c r="B430" t="s">
        <v>96</v>
      </c>
      <c r="C430" s="2">
        <v>45519</v>
      </c>
      <c r="D430" t="s">
        <v>26</v>
      </c>
      <c r="E430">
        <v>253</v>
      </c>
    </row>
    <row r="431" spans="1:5" x14ac:dyDescent="0.55000000000000004">
      <c r="A431" t="s">
        <v>512</v>
      </c>
      <c r="B431" t="s">
        <v>15</v>
      </c>
      <c r="C431" s="2">
        <v>43128</v>
      </c>
      <c r="D431" t="s">
        <v>29</v>
      </c>
      <c r="E431">
        <v>2925</v>
      </c>
    </row>
    <row r="432" spans="1:5" x14ac:dyDescent="0.55000000000000004">
      <c r="A432" t="s">
        <v>513</v>
      </c>
      <c r="B432" t="s">
        <v>74</v>
      </c>
      <c r="C432" s="2">
        <v>43950</v>
      </c>
      <c r="D432" t="s">
        <v>26</v>
      </c>
      <c r="E432">
        <v>160</v>
      </c>
    </row>
    <row r="433" spans="1:5" x14ac:dyDescent="0.55000000000000004">
      <c r="A433" t="s">
        <v>514</v>
      </c>
      <c r="B433" t="s">
        <v>63</v>
      </c>
      <c r="C433" s="2">
        <v>44366</v>
      </c>
      <c r="D433" t="s">
        <v>29</v>
      </c>
      <c r="E433">
        <v>1799</v>
      </c>
    </row>
    <row r="434" spans="1:5" x14ac:dyDescent="0.55000000000000004">
      <c r="A434" t="s">
        <v>515</v>
      </c>
      <c r="B434" t="s">
        <v>67</v>
      </c>
      <c r="C434" s="2">
        <v>45607</v>
      </c>
      <c r="D434" t="s">
        <v>26</v>
      </c>
      <c r="E434">
        <v>1490</v>
      </c>
    </row>
    <row r="435" spans="1:5" x14ac:dyDescent="0.55000000000000004">
      <c r="A435" t="s">
        <v>516</v>
      </c>
      <c r="B435" t="s">
        <v>86</v>
      </c>
      <c r="C435" s="2">
        <v>43496</v>
      </c>
      <c r="D435" t="s">
        <v>29</v>
      </c>
      <c r="E435">
        <v>1674</v>
      </c>
    </row>
    <row r="436" spans="1:5" x14ac:dyDescent="0.55000000000000004">
      <c r="A436" t="s">
        <v>517</v>
      </c>
      <c r="B436" t="s">
        <v>118</v>
      </c>
      <c r="C436" s="2">
        <v>44851</v>
      </c>
      <c r="D436" t="s">
        <v>26</v>
      </c>
      <c r="E436">
        <v>2584</v>
      </c>
    </row>
    <row r="437" spans="1:5" x14ac:dyDescent="0.55000000000000004">
      <c r="A437" t="s">
        <v>518</v>
      </c>
      <c r="B437" t="s">
        <v>35</v>
      </c>
      <c r="C437" s="2">
        <v>44516</v>
      </c>
      <c r="D437" t="s">
        <v>26</v>
      </c>
      <c r="E437">
        <v>1350</v>
      </c>
    </row>
    <row r="438" spans="1:5" x14ac:dyDescent="0.55000000000000004">
      <c r="A438" t="s">
        <v>519</v>
      </c>
      <c r="B438" t="s">
        <v>115</v>
      </c>
      <c r="C438" s="2">
        <v>44059</v>
      </c>
      <c r="D438" t="s">
        <v>29</v>
      </c>
      <c r="E438">
        <v>1163</v>
      </c>
    </row>
    <row r="439" spans="1:5" x14ac:dyDescent="0.55000000000000004">
      <c r="A439" t="s">
        <v>520</v>
      </c>
      <c r="B439" t="s">
        <v>84</v>
      </c>
      <c r="C439" s="2">
        <v>44399</v>
      </c>
      <c r="D439" t="s">
        <v>26</v>
      </c>
      <c r="E439">
        <v>1365</v>
      </c>
    </row>
    <row r="440" spans="1:5" x14ac:dyDescent="0.55000000000000004">
      <c r="A440" t="s">
        <v>521</v>
      </c>
      <c r="B440" t="s">
        <v>74</v>
      </c>
      <c r="C440" s="2">
        <v>44110</v>
      </c>
      <c r="D440" t="s">
        <v>26</v>
      </c>
      <c r="E440">
        <v>1432</v>
      </c>
    </row>
    <row r="441" spans="1:5" x14ac:dyDescent="0.55000000000000004">
      <c r="A441" t="s">
        <v>522</v>
      </c>
      <c r="B441" t="s">
        <v>156</v>
      </c>
      <c r="C441" s="2">
        <v>44260</v>
      </c>
      <c r="D441" t="s">
        <v>29</v>
      </c>
      <c r="E441">
        <v>528</v>
      </c>
    </row>
    <row r="442" spans="1:5" x14ac:dyDescent="0.55000000000000004">
      <c r="A442" t="s">
        <v>523</v>
      </c>
      <c r="B442" t="s">
        <v>32</v>
      </c>
      <c r="C442" s="2">
        <v>44004</v>
      </c>
      <c r="D442" t="s">
        <v>29</v>
      </c>
      <c r="E442">
        <v>2289</v>
      </c>
    </row>
    <row r="443" spans="1:5" x14ac:dyDescent="0.55000000000000004">
      <c r="A443" t="s">
        <v>524</v>
      </c>
      <c r="B443" t="s">
        <v>101</v>
      </c>
      <c r="C443" s="2">
        <v>44234</v>
      </c>
      <c r="D443" t="s">
        <v>29</v>
      </c>
      <c r="E443">
        <v>523</v>
      </c>
    </row>
    <row r="444" spans="1:5" x14ac:dyDescent="0.55000000000000004">
      <c r="A444" t="s">
        <v>525</v>
      </c>
      <c r="B444" t="s">
        <v>38</v>
      </c>
      <c r="C444" s="2">
        <v>44909</v>
      </c>
      <c r="D444" t="s">
        <v>26</v>
      </c>
      <c r="E444">
        <v>2646</v>
      </c>
    </row>
    <row r="445" spans="1:5" x14ac:dyDescent="0.55000000000000004">
      <c r="A445" t="s">
        <v>526</v>
      </c>
      <c r="B445" t="s">
        <v>38</v>
      </c>
      <c r="C445" s="2">
        <v>44698</v>
      </c>
      <c r="D445" t="s">
        <v>29</v>
      </c>
      <c r="E445">
        <v>74</v>
      </c>
    </row>
    <row r="446" spans="1:5" x14ac:dyDescent="0.55000000000000004">
      <c r="A446" t="s">
        <v>527</v>
      </c>
      <c r="B446" t="s">
        <v>86</v>
      </c>
      <c r="C446" s="2">
        <v>43549</v>
      </c>
      <c r="D446" t="s">
        <v>26</v>
      </c>
      <c r="E446">
        <v>877</v>
      </c>
    </row>
    <row r="447" spans="1:5" x14ac:dyDescent="0.55000000000000004">
      <c r="A447" t="s">
        <v>528</v>
      </c>
      <c r="B447" t="s">
        <v>111</v>
      </c>
      <c r="C447" s="2">
        <v>44486</v>
      </c>
      <c r="D447" t="s">
        <v>29</v>
      </c>
      <c r="E447">
        <v>786</v>
      </c>
    </row>
    <row r="448" spans="1:5" x14ac:dyDescent="0.55000000000000004">
      <c r="A448" t="s">
        <v>529</v>
      </c>
      <c r="B448" t="s">
        <v>63</v>
      </c>
      <c r="C448" s="2">
        <v>43198</v>
      </c>
      <c r="D448" t="s">
        <v>26</v>
      </c>
      <c r="E448">
        <v>316</v>
      </c>
    </row>
    <row r="449" spans="1:5" x14ac:dyDescent="0.55000000000000004">
      <c r="A449" t="s">
        <v>530</v>
      </c>
      <c r="B449" t="s">
        <v>156</v>
      </c>
      <c r="C449" s="2">
        <v>44531</v>
      </c>
      <c r="D449" t="s">
        <v>26</v>
      </c>
      <c r="E449">
        <v>2079</v>
      </c>
    </row>
    <row r="450" spans="1:5" x14ac:dyDescent="0.55000000000000004">
      <c r="A450" t="s">
        <v>531</v>
      </c>
      <c r="B450" t="s">
        <v>118</v>
      </c>
      <c r="C450" s="2">
        <v>45676</v>
      </c>
      <c r="D450" t="s">
        <v>26</v>
      </c>
      <c r="E450">
        <v>2711</v>
      </c>
    </row>
    <row r="451" spans="1:5" x14ac:dyDescent="0.55000000000000004">
      <c r="A451" t="s">
        <v>532</v>
      </c>
      <c r="B451" t="s">
        <v>111</v>
      </c>
      <c r="C451" s="2">
        <v>44486</v>
      </c>
      <c r="D451" t="s">
        <v>26</v>
      </c>
      <c r="E451">
        <v>2446</v>
      </c>
    </row>
    <row r="452" spans="1:5" x14ac:dyDescent="0.55000000000000004">
      <c r="A452" t="s">
        <v>533</v>
      </c>
      <c r="B452" t="s">
        <v>101</v>
      </c>
      <c r="C452" s="2">
        <v>43232</v>
      </c>
      <c r="D452" t="s">
        <v>26</v>
      </c>
      <c r="E452">
        <v>740</v>
      </c>
    </row>
    <row r="453" spans="1:5" x14ac:dyDescent="0.55000000000000004">
      <c r="A453" t="s">
        <v>534</v>
      </c>
      <c r="B453" t="s">
        <v>175</v>
      </c>
      <c r="C453" s="2">
        <v>44144</v>
      </c>
      <c r="D453" t="s">
        <v>29</v>
      </c>
      <c r="E453">
        <v>178</v>
      </c>
    </row>
    <row r="454" spans="1:5" x14ac:dyDescent="0.55000000000000004">
      <c r="A454" t="s">
        <v>535</v>
      </c>
      <c r="B454" t="s">
        <v>140</v>
      </c>
      <c r="C454" s="2">
        <v>43663</v>
      </c>
      <c r="D454" t="s">
        <v>26</v>
      </c>
      <c r="E454">
        <v>1819</v>
      </c>
    </row>
    <row r="455" spans="1:5" x14ac:dyDescent="0.55000000000000004">
      <c r="A455" t="s">
        <v>536</v>
      </c>
      <c r="B455" t="s">
        <v>32</v>
      </c>
      <c r="C455" s="2">
        <v>44414</v>
      </c>
      <c r="D455" t="s">
        <v>29</v>
      </c>
      <c r="E455">
        <v>958</v>
      </c>
    </row>
    <row r="456" spans="1:5" x14ac:dyDescent="0.55000000000000004">
      <c r="A456" t="s">
        <v>537</v>
      </c>
      <c r="B456" t="s">
        <v>99</v>
      </c>
      <c r="C456" s="2">
        <v>44445</v>
      </c>
      <c r="D456" t="s">
        <v>29</v>
      </c>
      <c r="E456">
        <v>1921</v>
      </c>
    </row>
    <row r="457" spans="1:5" x14ac:dyDescent="0.55000000000000004">
      <c r="A457" t="s">
        <v>538</v>
      </c>
      <c r="B457" t="s">
        <v>94</v>
      </c>
      <c r="C457" s="2">
        <v>44260</v>
      </c>
      <c r="D457" t="s">
        <v>29</v>
      </c>
      <c r="E457">
        <v>2778</v>
      </c>
    </row>
    <row r="458" spans="1:5" x14ac:dyDescent="0.55000000000000004">
      <c r="A458" t="s">
        <v>539</v>
      </c>
      <c r="B458" t="s">
        <v>23</v>
      </c>
      <c r="C458" s="2">
        <v>44733</v>
      </c>
      <c r="D458" t="s">
        <v>29</v>
      </c>
      <c r="E458">
        <v>1154</v>
      </c>
    </row>
    <row r="459" spans="1:5" x14ac:dyDescent="0.55000000000000004">
      <c r="A459" t="s">
        <v>540</v>
      </c>
      <c r="B459" t="s">
        <v>118</v>
      </c>
      <c r="C459" s="2">
        <v>45030</v>
      </c>
      <c r="D459" t="s">
        <v>29</v>
      </c>
      <c r="E459">
        <v>663</v>
      </c>
    </row>
    <row r="460" spans="1:5" x14ac:dyDescent="0.55000000000000004">
      <c r="A460" t="s">
        <v>541</v>
      </c>
      <c r="B460" t="s">
        <v>175</v>
      </c>
      <c r="C460" s="2">
        <v>44283</v>
      </c>
      <c r="D460" t="s">
        <v>26</v>
      </c>
      <c r="E460">
        <v>1024</v>
      </c>
    </row>
    <row r="461" spans="1:5" x14ac:dyDescent="0.55000000000000004">
      <c r="A461" t="s">
        <v>542</v>
      </c>
      <c r="B461" t="s">
        <v>142</v>
      </c>
      <c r="C461" s="2">
        <v>44230</v>
      </c>
      <c r="D461" t="s">
        <v>29</v>
      </c>
      <c r="E461">
        <v>1520</v>
      </c>
    </row>
    <row r="462" spans="1:5" x14ac:dyDescent="0.55000000000000004">
      <c r="A462" t="s">
        <v>543</v>
      </c>
      <c r="B462" t="s">
        <v>99</v>
      </c>
      <c r="C462" s="2">
        <v>43886</v>
      </c>
      <c r="D462" t="s">
        <v>26</v>
      </c>
      <c r="E462">
        <v>1167</v>
      </c>
    </row>
    <row r="463" spans="1:5" x14ac:dyDescent="0.55000000000000004">
      <c r="A463" t="s">
        <v>544</v>
      </c>
      <c r="B463" t="s">
        <v>74</v>
      </c>
      <c r="C463" s="2">
        <v>44479</v>
      </c>
      <c r="D463" t="s">
        <v>26</v>
      </c>
      <c r="E463">
        <v>1117</v>
      </c>
    </row>
    <row r="464" spans="1:5" x14ac:dyDescent="0.55000000000000004">
      <c r="A464" t="s">
        <v>545</v>
      </c>
      <c r="B464" t="s">
        <v>15</v>
      </c>
      <c r="C464" s="2">
        <v>43968</v>
      </c>
      <c r="D464" t="s">
        <v>26</v>
      </c>
      <c r="E464">
        <v>1791</v>
      </c>
    </row>
    <row r="465" spans="1:5" x14ac:dyDescent="0.55000000000000004">
      <c r="A465" t="s">
        <v>546</v>
      </c>
      <c r="B465" t="s">
        <v>74</v>
      </c>
      <c r="C465" s="2">
        <v>43371</v>
      </c>
      <c r="D465" t="s">
        <v>29</v>
      </c>
      <c r="E465">
        <v>1431</v>
      </c>
    </row>
    <row r="466" spans="1:5" x14ac:dyDescent="0.55000000000000004">
      <c r="A466" t="s">
        <v>547</v>
      </c>
      <c r="B466" t="s">
        <v>14</v>
      </c>
      <c r="C466" s="2">
        <v>43766</v>
      </c>
      <c r="D466" t="s">
        <v>26</v>
      </c>
      <c r="E466">
        <v>1623</v>
      </c>
    </row>
    <row r="467" spans="1:5" x14ac:dyDescent="0.55000000000000004">
      <c r="A467" t="s">
        <v>548</v>
      </c>
      <c r="B467" t="s">
        <v>67</v>
      </c>
      <c r="C467" s="2">
        <v>44997</v>
      </c>
      <c r="D467" t="s">
        <v>26</v>
      </c>
      <c r="E467">
        <v>1581</v>
      </c>
    </row>
    <row r="468" spans="1:5" x14ac:dyDescent="0.55000000000000004">
      <c r="A468" t="s">
        <v>549</v>
      </c>
      <c r="B468" t="s">
        <v>74</v>
      </c>
      <c r="C468" s="2">
        <v>43684</v>
      </c>
      <c r="D468" t="s">
        <v>26</v>
      </c>
      <c r="E468">
        <v>115</v>
      </c>
    </row>
    <row r="469" spans="1:5" x14ac:dyDescent="0.55000000000000004">
      <c r="A469" t="s">
        <v>550</v>
      </c>
      <c r="B469" t="s">
        <v>111</v>
      </c>
      <c r="C469" s="2">
        <v>43119</v>
      </c>
      <c r="D469" t="s">
        <v>29</v>
      </c>
      <c r="E469">
        <v>598</v>
      </c>
    </row>
    <row r="470" spans="1:5" x14ac:dyDescent="0.55000000000000004">
      <c r="A470" t="s">
        <v>551</v>
      </c>
      <c r="B470" t="s">
        <v>72</v>
      </c>
      <c r="C470" s="2">
        <v>42995</v>
      </c>
      <c r="D470" t="s">
        <v>29</v>
      </c>
      <c r="E470">
        <v>1935</v>
      </c>
    </row>
    <row r="471" spans="1:5" x14ac:dyDescent="0.55000000000000004">
      <c r="A471" t="s">
        <v>552</v>
      </c>
      <c r="B471" t="s">
        <v>41</v>
      </c>
      <c r="C471" s="2">
        <v>44115</v>
      </c>
      <c r="D471" t="s">
        <v>29</v>
      </c>
      <c r="E471">
        <v>1837</v>
      </c>
    </row>
    <row r="472" spans="1:5" x14ac:dyDescent="0.55000000000000004">
      <c r="A472" t="s">
        <v>553</v>
      </c>
      <c r="B472" t="s">
        <v>32</v>
      </c>
      <c r="C472" s="2">
        <v>43841</v>
      </c>
      <c r="D472" t="s">
        <v>26</v>
      </c>
      <c r="E472">
        <v>77</v>
      </c>
    </row>
    <row r="473" spans="1:5" x14ac:dyDescent="0.55000000000000004">
      <c r="A473" t="s">
        <v>554</v>
      </c>
      <c r="B473" t="s">
        <v>84</v>
      </c>
      <c r="C473" s="2">
        <v>43358</v>
      </c>
      <c r="D473" t="s">
        <v>26</v>
      </c>
      <c r="E473">
        <v>2247</v>
      </c>
    </row>
    <row r="474" spans="1:5" x14ac:dyDescent="0.55000000000000004">
      <c r="A474" t="s">
        <v>555</v>
      </c>
      <c r="B474" t="s">
        <v>78</v>
      </c>
      <c r="C474" s="2">
        <v>45627</v>
      </c>
      <c r="D474" t="s">
        <v>29</v>
      </c>
      <c r="E474">
        <v>455</v>
      </c>
    </row>
    <row r="475" spans="1:5" x14ac:dyDescent="0.55000000000000004">
      <c r="A475" t="s">
        <v>556</v>
      </c>
      <c r="B475" t="s">
        <v>118</v>
      </c>
      <c r="C475" s="2">
        <v>44646</v>
      </c>
      <c r="D475" t="s">
        <v>26</v>
      </c>
      <c r="E475">
        <v>1233</v>
      </c>
    </row>
    <row r="476" spans="1:5" x14ac:dyDescent="0.55000000000000004">
      <c r="A476" t="s">
        <v>557</v>
      </c>
      <c r="B476" t="s">
        <v>115</v>
      </c>
      <c r="C476" s="2">
        <v>43014</v>
      </c>
      <c r="D476" t="s">
        <v>26</v>
      </c>
      <c r="E476">
        <v>1719</v>
      </c>
    </row>
    <row r="477" spans="1:5" x14ac:dyDescent="0.55000000000000004">
      <c r="A477" t="s">
        <v>558</v>
      </c>
      <c r="B477" t="s">
        <v>35</v>
      </c>
      <c r="C477" s="2">
        <v>44767</v>
      </c>
      <c r="D477" t="s">
        <v>26</v>
      </c>
      <c r="E477">
        <v>454</v>
      </c>
    </row>
    <row r="478" spans="1:5" x14ac:dyDescent="0.55000000000000004">
      <c r="A478" t="s">
        <v>559</v>
      </c>
      <c r="B478" t="s">
        <v>175</v>
      </c>
      <c r="C478" s="2">
        <v>45513</v>
      </c>
      <c r="D478" t="s">
        <v>26</v>
      </c>
      <c r="E478">
        <v>2588</v>
      </c>
    </row>
    <row r="479" spans="1:5" x14ac:dyDescent="0.55000000000000004">
      <c r="A479" t="s">
        <v>560</v>
      </c>
      <c r="B479" t="s">
        <v>67</v>
      </c>
      <c r="C479" s="2">
        <v>45821</v>
      </c>
      <c r="D479" t="s">
        <v>26</v>
      </c>
      <c r="E479">
        <v>2943</v>
      </c>
    </row>
    <row r="480" spans="1:5" x14ac:dyDescent="0.55000000000000004">
      <c r="A480" t="s">
        <v>561</v>
      </c>
      <c r="B480" t="s">
        <v>72</v>
      </c>
      <c r="C480" s="2">
        <v>43513</v>
      </c>
      <c r="D480" t="s">
        <v>29</v>
      </c>
      <c r="E480">
        <v>6</v>
      </c>
    </row>
    <row r="481" spans="1:5" x14ac:dyDescent="0.55000000000000004">
      <c r="A481" t="s">
        <v>562</v>
      </c>
      <c r="B481" t="s">
        <v>32</v>
      </c>
      <c r="C481" s="2">
        <v>44553</v>
      </c>
      <c r="D481" t="s">
        <v>26</v>
      </c>
      <c r="E481">
        <v>2337</v>
      </c>
    </row>
    <row r="482" spans="1:5" x14ac:dyDescent="0.55000000000000004">
      <c r="A482" t="s">
        <v>563</v>
      </c>
      <c r="B482" t="s">
        <v>140</v>
      </c>
      <c r="C482" s="2">
        <v>43300</v>
      </c>
      <c r="D482" t="s">
        <v>26</v>
      </c>
      <c r="E482">
        <v>2144</v>
      </c>
    </row>
    <row r="483" spans="1:5" x14ac:dyDescent="0.55000000000000004">
      <c r="A483" t="s">
        <v>564</v>
      </c>
      <c r="B483" t="s">
        <v>86</v>
      </c>
      <c r="C483" s="2">
        <v>43055</v>
      </c>
      <c r="D483" t="s">
        <v>26</v>
      </c>
      <c r="E483">
        <v>1599</v>
      </c>
    </row>
    <row r="484" spans="1:5" x14ac:dyDescent="0.55000000000000004">
      <c r="A484" t="s">
        <v>565</v>
      </c>
      <c r="B484" t="s">
        <v>76</v>
      </c>
      <c r="C484" s="2">
        <v>45391</v>
      </c>
      <c r="D484" t="s">
        <v>26</v>
      </c>
      <c r="E484">
        <v>2603</v>
      </c>
    </row>
    <row r="485" spans="1:5" x14ac:dyDescent="0.55000000000000004">
      <c r="A485" t="s">
        <v>566</v>
      </c>
      <c r="B485" t="s">
        <v>101</v>
      </c>
      <c r="C485" s="2">
        <v>43681</v>
      </c>
      <c r="D485" t="s">
        <v>29</v>
      </c>
      <c r="E485">
        <v>66</v>
      </c>
    </row>
    <row r="486" spans="1:5" x14ac:dyDescent="0.55000000000000004">
      <c r="A486" t="s">
        <v>567</v>
      </c>
      <c r="B486" t="s">
        <v>86</v>
      </c>
      <c r="C486" s="2">
        <v>44531</v>
      </c>
      <c r="D486" t="s">
        <v>26</v>
      </c>
      <c r="E486">
        <v>1412</v>
      </c>
    </row>
    <row r="487" spans="1:5" x14ac:dyDescent="0.55000000000000004">
      <c r="A487" t="s">
        <v>568</v>
      </c>
      <c r="B487" t="s">
        <v>63</v>
      </c>
      <c r="C487" s="2">
        <v>44418</v>
      </c>
      <c r="D487" t="s">
        <v>26</v>
      </c>
      <c r="E487">
        <v>2383</v>
      </c>
    </row>
    <row r="488" spans="1:5" x14ac:dyDescent="0.55000000000000004">
      <c r="A488" t="s">
        <v>569</v>
      </c>
      <c r="B488" t="s">
        <v>78</v>
      </c>
      <c r="C488" s="2">
        <v>44827</v>
      </c>
      <c r="D488" t="s">
        <v>26</v>
      </c>
      <c r="E488">
        <v>181</v>
      </c>
    </row>
    <row r="489" spans="1:5" x14ac:dyDescent="0.55000000000000004">
      <c r="A489" t="s">
        <v>570</v>
      </c>
      <c r="B489" t="s">
        <v>86</v>
      </c>
      <c r="C489" s="2">
        <v>44035</v>
      </c>
      <c r="D489" t="s">
        <v>29</v>
      </c>
      <c r="E489">
        <v>2632</v>
      </c>
    </row>
    <row r="490" spans="1:5" x14ac:dyDescent="0.55000000000000004">
      <c r="A490" t="s">
        <v>571</v>
      </c>
      <c r="B490" t="s">
        <v>105</v>
      </c>
      <c r="C490" s="2">
        <v>44512</v>
      </c>
      <c r="D490" t="s">
        <v>29</v>
      </c>
      <c r="E490">
        <v>2848</v>
      </c>
    </row>
    <row r="491" spans="1:5" x14ac:dyDescent="0.55000000000000004">
      <c r="A491" t="s">
        <v>572</v>
      </c>
      <c r="B491" t="s">
        <v>96</v>
      </c>
      <c r="C491" s="2">
        <v>44212</v>
      </c>
      <c r="D491" t="s">
        <v>26</v>
      </c>
      <c r="E491">
        <v>258</v>
      </c>
    </row>
    <row r="492" spans="1:5" x14ac:dyDescent="0.55000000000000004">
      <c r="A492" t="s">
        <v>573</v>
      </c>
      <c r="B492" t="s">
        <v>41</v>
      </c>
      <c r="C492" s="2">
        <v>44768</v>
      </c>
      <c r="D492" t="s">
        <v>26</v>
      </c>
      <c r="E492">
        <v>1201</v>
      </c>
    </row>
    <row r="493" spans="1:5" x14ac:dyDescent="0.55000000000000004">
      <c r="A493" t="s">
        <v>574</v>
      </c>
      <c r="B493" t="s">
        <v>151</v>
      </c>
      <c r="C493" s="2">
        <v>43006</v>
      </c>
      <c r="D493" t="s">
        <v>26</v>
      </c>
      <c r="E493">
        <v>171</v>
      </c>
    </row>
    <row r="494" spans="1:5" x14ac:dyDescent="0.55000000000000004">
      <c r="A494" t="s">
        <v>575</v>
      </c>
      <c r="B494" t="s">
        <v>111</v>
      </c>
      <c r="C494" s="2">
        <v>43552</v>
      </c>
      <c r="D494" t="s">
        <v>29</v>
      </c>
      <c r="E494">
        <v>2224</v>
      </c>
    </row>
    <row r="495" spans="1:5" x14ac:dyDescent="0.55000000000000004">
      <c r="A495" t="s">
        <v>576</v>
      </c>
      <c r="B495" t="s">
        <v>96</v>
      </c>
      <c r="C495" s="2">
        <v>44503</v>
      </c>
      <c r="D495" t="s">
        <v>26</v>
      </c>
      <c r="E495">
        <v>2649</v>
      </c>
    </row>
    <row r="496" spans="1:5" x14ac:dyDescent="0.55000000000000004">
      <c r="A496" t="s">
        <v>577</v>
      </c>
      <c r="B496" t="s">
        <v>151</v>
      </c>
      <c r="C496" s="2">
        <v>43502</v>
      </c>
      <c r="D496" t="s">
        <v>29</v>
      </c>
      <c r="E496">
        <v>195</v>
      </c>
    </row>
    <row r="497" spans="1:5" x14ac:dyDescent="0.55000000000000004">
      <c r="A497" t="s">
        <v>578</v>
      </c>
      <c r="B497" t="s">
        <v>76</v>
      </c>
      <c r="C497" s="2">
        <v>44825</v>
      </c>
      <c r="D497" t="s">
        <v>29</v>
      </c>
      <c r="E497">
        <v>509</v>
      </c>
    </row>
    <row r="498" spans="1:5" x14ac:dyDescent="0.55000000000000004">
      <c r="A498" t="s">
        <v>579</v>
      </c>
      <c r="B498" t="s">
        <v>137</v>
      </c>
      <c r="C498" s="2">
        <v>44973</v>
      </c>
      <c r="D498" t="s">
        <v>29</v>
      </c>
      <c r="E498">
        <v>1638</v>
      </c>
    </row>
    <row r="499" spans="1:5" x14ac:dyDescent="0.55000000000000004">
      <c r="A499" t="s">
        <v>580</v>
      </c>
      <c r="B499" t="s">
        <v>78</v>
      </c>
      <c r="C499" s="2">
        <v>45267</v>
      </c>
      <c r="D499" t="s">
        <v>29</v>
      </c>
      <c r="E499">
        <v>1388</v>
      </c>
    </row>
    <row r="500" spans="1:5" x14ac:dyDescent="0.55000000000000004">
      <c r="A500" t="s">
        <v>581</v>
      </c>
      <c r="B500" t="s">
        <v>105</v>
      </c>
      <c r="C500" s="2">
        <v>43933</v>
      </c>
      <c r="D500" t="s">
        <v>29</v>
      </c>
      <c r="E500">
        <v>1504</v>
      </c>
    </row>
    <row r="501" spans="1:5" x14ac:dyDescent="0.55000000000000004">
      <c r="A501" t="s">
        <v>582</v>
      </c>
      <c r="B501" t="s">
        <v>137</v>
      </c>
      <c r="C501" s="2">
        <v>45592</v>
      </c>
      <c r="D501" t="s">
        <v>29</v>
      </c>
      <c r="E501">
        <v>338</v>
      </c>
    </row>
    <row r="502" spans="1:5" x14ac:dyDescent="0.55000000000000004">
      <c r="A502" t="s">
        <v>583</v>
      </c>
      <c r="B502" t="s">
        <v>78</v>
      </c>
      <c r="C502" s="2">
        <v>45204</v>
      </c>
      <c r="D502" t="s">
        <v>26</v>
      </c>
      <c r="E502">
        <v>1763</v>
      </c>
    </row>
    <row r="503" spans="1:5" x14ac:dyDescent="0.55000000000000004">
      <c r="A503" t="s">
        <v>584</v>
      </c>
      <c r="B503" t="s">
        <v>32</v>
      </c>
      <c r="C503" s="2">
        <v>44200</v>
      </c>
      <c r="D503" t="s">
        <v>29</v>
      </c>
      <c r="E503">
        <v>1315</v>
      </c>
    </row>
    <row r="504" spans="1:5" x14ac:dyDescent="0.55000000000000004">
      <c r="A504" t="s">
        <v>585</v>
      </c>
      <c r="B504" t="s">
        <v>115</v>
      </c>
      <c r="C504" s="2">
        <v>43080</v>
      </c>
      <c r="D504" t="s">
        <v>29</v>
      </c>
      <c r="E504">
        <v>2707</v>
      </c>
    </row>
    <row r="505" spans="1:5" x14ac:dyDescent="0.55000000000000004">
      <c r="A505" t="s">
        <v>586</v>
      </c>
      <c r="B505" t="s">
        <v>156</v>
      </c>
      <c r="C505" s="2">
        <v>43544</v>
      </c>
      <c r="D505" t="s">
        <v>29</v>
      </c>
      <c r="E505">
        <v>2468</v>
      </c>
    </row>
    <row r="506" spans="1:5" x14ac:dyDescent="0.55000000000000004">
      <c r="A506" t="s">
        <v>587</v>
      </c>
      <c r="B506" t="s">
        <v>41</v>
      </c>
      <c r="C506" s="2">
        <v>44703</v>
      </c>
      <c r="D506" t="s">
        <v>26</v>
      </c>
      <c r="E506">
        <v>2825</v>
      </c>
    </row>
    <row r="507" spans="1:5" x14ac:dyDescent="0.55000000000000004">
      <c r="A507" t="s">
        <v>588</v>
      </c>
      <c r="B507" t="s">
        <v>15</v>
      </c>
      <c r="C507" s="2">
        <v>43636</v>
      </c>
      <c r="D507" t="s">
        <v>29</v>
      </c>
      <c r="E507">
        <v>173</v>
      </c>
    </row>
    <row r="508" spans="1:5" x14ac:dyDescent="0.55000000000000004">
      <c r="A508" t="s">
        <v>589</v>
      </c>
      <c r="B508" t="s">
        <v>78</v>
      </c>
      <c r="C508" s="2">
        <v>44910</v>
      </c>
      <c r="D508" t="s">
        <v>29</v>
      </c>
      <c r="E508">
        <v>1124</v>
      </c>
    </row>
    <row r="509" spans="1:5" x14ac:dyDescent="0.55000000000000004">
      <c r="A509" t="s">
        <v>590</v>
      </c>
      <c r="B509" t="s">
        <v>35</v>
      </c>
      <c r="C509" s="2">
        <v>43948</v>
      </c>
      <c r="D509" t="s">
        <v>26</v>
      </c>
      <c r="E509">
        <v>2749</v>
      </c>
    </row>
    <row r="510" spans="1:5" x14ac:dyDescent="0.55000000000000004">
      <c r="A510" t="s">
        <v>591</v>
      </c>
      <c r="B510" t="s">
        <v>35</v>
      </c>
      <c r="C510" s="2">
        <v>44662</v>
      </c>
      <c r="D510" t="s">
        <v>29</v>
      </c>
      <c r="E510">
        <v>2101</v>
      </c>
    </row>
    <row r="511" spans="1:5" x14ac:dyDescent="0.55000000000000004">
      <c r="A511" t="s">
        <v>592</v>
      </c>
      <c r="B511" t="s">
        <v>137</v>
      </c>
      <c r="C511" s="2">
        <v>44121</v>
      </c>
      <c r="D511" t="s">
        <v>26</v>
      </c>
      <c r="E511">
        <v>584</v>
      </c>
    </row>
    <row r="512" spans="1:5" x14ac:dyDescent="0.55000000000000004">
      <c r="A512" t="s">
        <v>593</v>
      </c>
      <c r="B512" t="s">
        <v>76</v>
      </c>
      <c r="C512" s="2">
        <v>45260</v>
      </c>
      <c r="D512" t="s">
        <v>26</v>
      </c>
      <c r="E512">
        <v>517</v>
      </c>
    </row>
    <row r="513" spans="1:5" x14ac:dyDescent="0.55000000000000004">
      <c r="A513" t="s">
        <v>594</v>
      </c>
      <c r="B513" t="s">
        <v>74</v>
      </c>
      <c r="C513" s="2">
        <v>43400</v>
      </c>
      <c r="D513" t="s">
        <v>29</v>
      </c>
      <c r="E513">
        <v>1483</v>
      </c>
    </row>
    <row r="514" spans="1:5" x14ac:dyDescent="0.55000000000000004">
      <c r="A514" t="s">
        <v>595</v>
      </c>
      <c r="B514" t="s">
        <v>101</v>
      </c>
      <c r="C514" s="2">
        <v>44078</v>
      </c>
      <c r="D514" t="s">
        <v>26</v>
      </c>
      <c r="E514">
        <v>2478</v>
      </c>
    </row>
    <row r="515" spans="1:5" x14ac:dyDescent="0.55000000000000004">
      <c r="A515" t="s">
        <v>596</v>
      </c>
      <c r="B515" t="s">
        <v>72</v>
      </c>
      <c r="C515" s="2">
        <v>44307</v>
      </c>
      <c r="D515" t="s">
        <v>29</v>
      </c>
      <c r="E515">
        <v>1519</v>
      </c>
    </row>
    <row r="516" spans="1:5" x14ac:dyDescent="0.55000000000000004">
      <c r="A516" t="s">
        <v>597</v>
      </c>
      <c r="B516" t="s">
        <v>86</v>
      </c>
      <c r="C516" s="2">
        <v>43826</v>
      </c>
      <c r="D516" t="s">
        <v>26</v>
      </c>
      <c r="E516">
        <v>2350</v>
      </c>
    </row>
    <row r="517" spans="1:5" x14ac:dyDescent="0.55000000000000004">
      <c r="A517" t="s">
        <v>598</v>
      </c>
      <c r="B517" t="s">
        <v>72</v>
      </c>
      <c r="C517" s="2">
        <v>44001</v>
      </c>
      <c r="D517" t="s">
        <v>29</v>
      </c>
      <c r="E517">
        <v>1630</v>
      </c>
    </row>
    <row r="518" spans="1:5" x14ac:dyDescent="0.55000000000000004">
      <c r="A518" t="s">
        <v>599</v>
      </c>
      <c r="B518" t="s">
        <v>111</v>
      </c>
      <c r="C518" s="2">
        <v>44247</v>
      </c>
      <c r="D518" t="s">
        <v>29</v>
      </c>
      <c r="E518">
        <v>1022</v>
      </c>
    </row>
    <row r="519" spans="1:5" x14ac:dyDescent="0.55000000000000004">
      <c r="A519" t="s">
        <v>600</v>
      </c>
      <c r="B519" t="s">
        <v>115</v>
      </c>
      <c r="C519" s="2">
        <v>42970</v>
      </c>
      <c r="D519" t="s">
        <v>26</v>
      </c>
      <c r="E519">
        <v>2044</v>
      </c>
    </row>
    <row r="520" spans="1:5" x14ac:dyDescent="0.55000000000000004">
      <c r="A520" t="s">
        <v>601</v>
      </c>
      <c r="B520" t="s">
        <v>67</v>
      </c>
      <c r="C520" s="2">
        <v>45051</v>
      </c>
      <c r="D520" t="s">
        <v>26</v>
      </c>
      <c r="E520">
        <v>1072</v>
      </c>
    </row>
    <row r="521" spans="1:5" x14ac:dyDescent="0.55000000000000004">
      <c r="A521" t="s">
        <v>602</v>
      </c>
      <c r="B521" t="s">
        <v>118</v>
      </c>
      <c r="C521" s="2">
        <v>44532</v>
      </c>
      <c r="D521" t="s">
        <v>29</v>
      </c>
      <c r="E521">
        <v>878</v>
      </c>
    </row>
    <row r="522" spans="1:5" x14ac:dyDescent="0.55000000000000004">
      <c r="A522" t="s">
        <v>603</v>
      </c>
      <c r="B522" t="s">
        <v>32</v>
      </c>
      <c r="C522" s="2">
        <v>44415</v>
      </c>
      <c r="D522" t="s">
        <v>29</v>
      </c>
      <c r="E522">
        <v>819</v>
      </c>
    </row>
    <row r="523" spans="1:5" x14ac:dyDescent="0.55000000000000004">
      <c r="A523" t="s">
        <v>604</v>
      </c>
      <c r="B523" t="s">
        <v>115</v>
      </c>
      <c r="C523" s="2">
        <v>43194</v>
      </c>
      <c r="D523" t="s">
        <v>26</v>
      </c>
      <c r="E523">
        <v>1851</v>
      </c>
    </row>
    <row r="524" spans="1:5" x14ac:dyDescent="0.55000000000000004">
      <c r="A524" t="s">
        <v>605</v>
      </c>
      <c r="B524" t="s">
        <v>105</v>
      </c>
      <c r="C524" s="2">
        <v>44377</v>
      </c>
      <c r="D524" t="s">
        <v>29</v>
      </c>
      <c r="E524">
        <v>359</v>
      </c>
    </row>
    <row r="525" spans="1:5" x14ac:dyDescent="0.55000000000000004">
      <c r="A525" t="s">
        <v>606</v>
      </c>
      <c r="B525" t="s">
        <v>137</v>
      </c>
      <c r="C525" s="2">
        <v>44775</v>
      </c>
      <c r="D525" t="s">
        <v>29</v>
      </c>
      <c r="E525">
        <v>2906</v>
      </c>
    </row>
    <row r="526" spans="1:5" x14ac:dyDescent="0.55000000000000004">
      <c r="A526" t="s">
        <v>607</v>
      </c>
      <c r="B526" t="s">
        <v>74</v>
      </c>
      <c r="C526" s="2">
        <v>44043</v>
      </c>
      <c r="D526" t="s">
        <v>29</v>
      </c>
      <c r="E526">
        <v>1228</v>
      </c>
    </row>
    <row r="527" spans="1:5" x14ac:dyDescent="0.55000000000000004">
      <c r="A527" t="s">
        <v>608</v>
      </c>
      <c r="B527" t="s">
        <v>76</v>
      </c>
      <c r="C527" s="2">
        <v>44111</v>
      </c>
      <c r="D527" t="s">
        <v>26</v>
      </c>
      <c r="E527">
        <v>1480</v>
      </c>
    </row>
    <row r="528" spans="1:5" x14ac:dyDescent="0.55000000000000004">
      <c r="A528" t="s">
        <v>609</v>
      </c>
      <c r="B528" t="s">
        <v>67</v>
      </c>
      <c r="C528" s="2">
        <v>44384</v>
      </c>
      <c r="D528" t="s">
        <v>26</v>
      </c>
      <c r="E528">
        <v>823</v>
      </c>
    </row>
    <row r="529" spans="1:5" x14ac:dyDescent="0.55000000000000004">
      <c r="A529" t="s">
        <v>610</v>
      </c>
      <c r="B529" t="s">
        <v>137</v>
      </c>
      <c r="C529" s="2">
        <v>44034</v>
      </c>
      <c r="D529" t="s">
        <v>26</v>
      </c>
      <c r="E529">
        <v>2023</v>
      </c>
    </row>
    <row r="530" spans="1:5" x14ac:dyDescent="0.55000000000000004">
      <c r="A530" t="s">
        <v>611</v>
      </c>
      <c r="B530" t="s">
        <v>14</v>
      </c>
      <c r="C530" s="2">
        <v>43656</v>
      </c>
      <c r="D530" t="s">
        <v>29</v>
      </c>
      <c r="E530">
        <v>1914</v>
      </c>
    </row>
    <row r="531" spans="1:5" x14ac:dyDescent="0.55000000000000004">
      <c r="A531" t="s">
        <v>612</v>
      </c>
      <c r="B531" t="s">
        <v>137</v>
      </c>
      <c r="C531" s="2">
        <v>45725</v>
      </c>
      <c r="D531" t="s">
        <v>26</v>
      </c>
      <c r="E531">
        <v>2506</v>
      </c>
    </row>
    <row r="532" spans="1:5" x14ac:dyDescent="0.55000000000000004">
      <c r="A532" t="s">
        <v>613</v>
      </c>
      <c r="B532" t="s">
        <v>94</v>
      </c>
      <c r="C532" s="2">
        <v>43819</v>
      </c>
      <c r="D532" t="s">
        <v>26</v>
      </c>
      <c r="E532">
        <v>1266</v>
      </c>
    </row>
    <row r="533" spans="1:5" x14ac:dyDescent="0.55000000000000004">
      <c r="A533" t="s">
        <v>614</v>
      </c>
      <c r="B533" t="s">
        <v>101</v>
      </c>
      <c r="C533" s="2">
        <v>44385</v>
      </c>
      <c r="D533" t="s">
        <v>29</v>
      </c>
      <c r="E533">
        <v>2153</v>
      </c>
    </row>
    <row r="534" spans="1:5" x14ac:dyDescent="0.55000000000000004">
      <c r="A534" t="s">
        <v>615</v>
      </c>
      <c r="B534" t="s">
        <v>140</v>
      </c>
      <c r="C534" s="2">
        <v>44492</v>
      </c>
      <c r="D534" t="s">
        <v>29</v>
      </c>
      <c r="E534">
        <v>2354</v>
      </c>
    </row>
    <row r="535" spans="1:5" x14ac:dyDescent="0.55000000000000004">
      <c r="A535" t="s">
        <v>616</v>
      </c>
      <c r="B535" t="s">
        <v>74</v>
      </c>
      <c r="C535" s="2">
        <v>43173</v>
      </c>
      <c r="D535" t="s">
        <v>29</v>
      </c>
      <c r="E535">
        <v>2631</v>
      </c>
    </row>
    <row r="536" spans="1:5" x14ac:dyDescent="0.55000000000000004">
      <c r="A536" t="s">
        <v>617</v>
      </c>
      <c r="B536" t="s">
        <v>74</v>
      </c>
      <c r="C536" s="2">
        <v>43838</v>
      </c>
      <c r="D536" t="s">
        <v>29</v>
      </c>
      <c r="E536">
        <v>2785</v>
      </c>
    </row>
    <row r="537" spans="1:5" x14ac:dyDescent="0.55000000000000004">
      <c r="A537" t="s">
        <v>618</v>
      </c>
      <c r="B537" t="s">
        <v>67</v>
      </c>
      <c r="C537" s="2">
        <v>44877</v>
      </c>
      <c r="D537" t="s">
        <v>26</v>
      </c>
      <c r="E537">
        <v>2258</v>
      </c>
    </row>
    <row r="538" spans="1:5" x14ac:dyDescent="0.55000000000000004">
      <c r="A538" t="s">
        <v>619</v>
      </c>
      <c r="B538" t="s">
        <v>35</v>
      </c>
      <c r="C538" s="2">
        <v>44203</v>
      </c>
      <c r="D538" t="s">
        <v>26</v>
      </c>
      <c r="E538">
        <v>1772</v>
      </c>
    </row>
    <row r="539" spans="1:5" x14ac:dyDescent="0.55000000000000004">
      <c r="A539" t="s">
        <v>620</v>
      </c>
      <c r="B539" t="s">
        <v>67</v>
      </c>
      <c r="C539" s="2">
        <v>43692</v>
      </c>
      <c r="D539" t="s">
        <v>26</v>
      </c>
      <c r="E539">
        <v>2122</v>
      </c>
    </row>
    <row r="540" spans="1:5" x14ac:dyDescent="0.55000000000000004">
      <c r="A540" t="s">
        <v>621</v>
      </c>
      <c r="B540" t="s">
        <v>72</v>
      </c>
      <c r="C540" s="2">
        <v>43539</v>
      </c>
      <c r="D540" t="s">
        <v>26</v>
      </c>
      <c r="E540">
        <v>663</v>
      </c>
    </row>
    <row r="541" spans="1:5" x14ac:dyDescent="0.55000000000000004">
      <c r="A541" t="s">
        <v>622</v>
      </c>
      <c r="B541" t="s">
        <v>111</v>
      </c>
      <c r="C541" s="2">
        <v>44369</v>
      </c>
      <c r="D541" t="s">
        <v>26</v>
      </c>
      <c r="E541">
        <v>1417</v>
      </c>
    </row>
    <row r="542" spans="1:5" x14ac:dyDescent="0.55000000000000004">
      <c r="A542" t="s">
        <v>623</v>
      </c>
      <c r="B542" t="s">
        <v>67</v>
      </c>
      <c r="C542" s="2">
        <v>44629</v>
      </c>
      <c r="D542" t="s">
        <v>26</v>
      </c>
      <c r="E542">
        <v>1026</v>
      </c>
    </row>
    <row r="543" spans="1:5" x14ac:dyDescent="0.55000000000000004">
      <c r="A543" t="s">
        <v>624</v>
      </c>
      <c r="B543" t="s">
        <v>151</v>
      </c>
      <c r="C543" s="2">
        <v>44217</v>
      </c>
      <c r="D543" t="s">
        <v>29</v>
      </c>
      <c r="E543">
        <v>512</v>
      </c>
    </row>
    <row r="544" spans="1:5" x14ac:dyDescent="0.55000000000000004">
      <c r="A544" t="s">
        <v>625</v>
      </c>
      <c r="B544" t="s">
        <v>35</v>
      </c>
      <c r="C544" s="2">
        <v>44451</v>
      </c>
      <c r="D544" t="s">
        <v>26</v>
      </c>
      <c r="E544">
        <v>2058</v>
      </c>
    </row>
    <row r="545" spans="1:5" x14ac:dyDescent="0.55000000000000004">
      <c r="A545" t="s">
        <v>626</v>
      </c>
      <c r="B545" t="s">
        <v>35</v>
      </c>
      <c r="C545" s="2">
        <v>44176</v>
      </c>
      <c r="D545" t="s">
        <v>26</v>
      </c>
      <c r="E545">
        <v>701</v>
      </c>
    </row>
    <row r="546" spans="1:5" x14ac:dyDescent="0.55000000000000004">
      <c r="A546" t="s">
        <v>627</v>
      </c>
      <c r="B546" t="s">
        <v>38</v>
      </c>
      <c r="C546" s="2">
        <v>44522</v>
      </c>
      <c r="D546" t="s">
        <v>26</v>
      </c>
      <c r="E546">
        <v>116</v>
      </c>
    </row>
    <row r="547" spans="1:5" x14ac:dyDescent="0.55000000000000004">
      <c r="A547" t="s">
        <v>628</v>
      </c>
      <c r="B547" t="s">
        <v>74</v>
      </c>
      <c r="C547" s="2">
        <v>43010</v>
      </c>
      <c r="D547" t="s">
        <v>29</v>
      </c>
      <c r="E547">
        <v>2667</v>
      </c>
    </row>
    <row r="548" spans="1:5" x14ac:dyDescent="0.55000000000000004">
      <c r="A548" t="s">
        <v>629</v>
      </c>
      <c r="B548" t="s">
        <v>151</v>
      </c>
      <c r="C548" s="2">
        <v>44487</v>
      </c>
      <c r="D548" t="s">
        <v>29</v>
      </c>
      <c r="E548">
        <v>2531</v>
      </c>
    </row>
    <row r="549" spans="1:5" x14ac:dyDescent="0.55000000000000004">
      <c r="A549" t="s">
        <v>630</v>
      </c>
      <c r="B549" t="s">
        <v>35</v>
      </c>
      <c r="C549" s="2">
        <v>43893</v>
      </c>
      <c r="D549" t="s">
        <v>29</v>
      </c>
      <c r="E549">
        <v>2568</v>
      </c>
    </row>
    <row r="550" spans="1:5" x14ac:dyDescent="0.55000000000000004">
      <c r="A550" t="s">
        <v>631</v>
      </c>
      <c r="B550" t="s">
        <v>99</v>
      </c>
      <c r="C550" s="2">
        <v>44652</v>
      </c>
      <c r="D550" t="s">
        <v>29</v>
      </c>
      <c r="E550">
        <v>1978</v>
      </c>
    </row>
    <row r="551" spans="1:5" x14ac:dyDescent="0.55000000000000004">
      <c r="A551" t="s">
        <v>632</v>
      </c>
      <c r="B551" t="s">
        <v>63</v>
      </c>
      <c r="C551" s="2">
        <v>44319</v>
      </c>
      <c r="D551" t="s">
        <v>29</v>
      </c>
      <c r="E551">
        <v>1218</v>
      </c>
    </row>
    <row r="552" spans="1:5" x14ac:dyDescent="0.55000000000000004">
      <c r="A552" t="s">
        <v>633</v>
      </c>
      <c r="B552" t="s">
        <v>15</v>
      </c>
      <c r="C552" s="2">
        <v>43066</v>
      </c>
      <c r="D552" t="s">
        <v>26</v>
      </c>
      <c r="E552">
        <v>647</v>
      </c>
    </row>
    <row r="553" spans="1:5" x14ac:dyDescent="0.55000000000000004">
      <c r="A553" t="s">
        <v>634</v>
      </c>
      <c r="B553" t="s">
        <v>15</v>
      </c>
      <c r="C553" s="2">
        <v>43768</v>
      </c>
      <c r="D553" t="s">
        <v>29</v>
      </c>
      <c r="E553">
        <v>1902</v>
      </c>
    </row>
    <row r="554" spans="1:5" x14ac:dyDescent="0.55000000000000004">
      <c r="A554" t="s">
        <v>635</v>
      </c>
      <c r="B554" t="s">
        <v>151</v>
      </c>
      <c r="C554" s="2">
        <v>43613</v>
      </c>
      <c r="D554" t="s">
        <v>26</v>
      </c>
      <c r="E554">
        <v>1280</v>
      </c>
    </row>
    <row r="555" spans="1:5" x14ac:dyDescent="0.55000000000000004">
      <c r="A555" t="s">
        <v>636</v>
      </c>
      <c r="B555" t="s">
        <v>76</v>
      </c>
      <c r="C555" s="2">
        <v>44773</v>
      </c>
      <c r="D555" t="s">
        <v>29</v>
      </c>
      <c r="E555">
        <v>1633</v>
      </c>
    </row>
    <row r="556" spans="1:5" x14ac:dyDescent="0.55000000000000004">
      <c r="A556" t="s">
        <v>637</v>
      </c>
      <c r="B556" t="s">
        <v>72</v>
      </c>
      <c r="C556" s="2">
        <v>44474</v>
      </c>
      <c r="D556" t="s">
        <v>29</v>
      </c>
      <c r="E556">
        <v>2109</v>
      </c>
    </row>
    <row r="557" spans="1:5" x14ac:dyDescent="0.55000000000000004">
      <c r="A557" t="s">
        <v>638</v>
      </c>
      <c r="B557" t="s">
        <v>99</v>
      </c>
      <c r="C557" s="2">
        <v>43900</v>
      </c>
      <c r="D557" t="s">
        <v>29</v>
      </c>
      <c r="E557">
        <v>990</v>
      </c>
    </row>
    <row r="558" spans="1:5" x14ac:dyDescent="0.55000000000000004">
      <c r="A558" t="s">
        <v>639</v>
      </c>
      <c r="B558" t="s">
        <v>15</v>
      </c>
      <c r="C558" s="2">
        <v>43167</v>
      </c>
      <c r="D558" t="s">
        <v>29</v>
      </c>
      <c r="E558">
        <v>1841</v>
      </c>
    </row>
    <row r="559" spans="1:5" x14ac:dyDescent="0.55000000000000004">
      <c r="A559" t="s">
        <v>640</v>
      </c>
      <c r="B559" t="s">
        <v>63</v>
      </c>
      <c r="C559" s="2">
        <v>43205</v>
      </c>
      <c r="D559" t="s">
        <v>26</v>
      </c>
      <c r="E559">
        <v>207</v>
      </c>
    </row>
    <row r="560" spans="1:5" x14ac:dyDescent="0.55000000000000004">
      <c r="A560" t="s">
        <v>641</v>
      </c>
      <c r="B560" t="s">
        <v>156</v>
      </c>
      <c r="C560" s="2">
        <v>43703</v>
      </c>
      <c r="D560" t="s">
        <v>29</v>
      </c>
      <c r="E560">
        <v>1016</v>
      </c>
    </row>
    <row r="561" spans="1:5" x14ac:dyDescent="0.55000000000000004">
      <c r="A561" t="s">
        <v>642</v>
      </c>
      <c r="B561" t="s">
        <v>76</v>
      </c>
      <c r="C561" s="2">
        <v>44120</v>
      </c>
      <c r="D561" t="s">
        <v>29</v>
      </c>
      <c r="E561">
        <v>2366</v>
      </c>
    </row>
    <row r="562" spans="1:5" x14ac:dyDescent="0.55000000000000004">
      <c r="A562" t="s">
        <v>643</v>
      </c>
      <c r="B562" t="s">
        <v>78</v>
      </c>
      <c r="C562" s="2">
        <v>44746</v>
      </c>
      <c r="D562" t="s">
        <v>26</v>
      </c>
      <c r="E562">
        <v>652</v>
      </c>
    </row>
    <row r="563" spans="1:5" x14ac:dyDescent="0.55000000000000004">
      <c r="A563" t="s">
        <v>644</v>
      </c>
      <c r="B563" t="s">
        <v>96</v>
      </c>
      <c r="C563" s="2">
        <v>45574</v>
      </c>
      <c r="D563" t="s">
        <v>29</v>
      </c>
      <c r="E563">
        <v>2042</v>
      </c>
    </row>
    <row r="564" spans="1:5" x14ac:dyDescent="0.55000000000000004">
      <c r="A564" t="s">
        <v>645</v>
      </c>
      <c r="B564" t="s">
        <v>94</v>
      </c>
      <c r="C564" s="2">
        <v>44729</v>
      </c>
      <c r="D564" t="s">
        <v>29</v>
      </c>
      <c r="E564">
        <v>94</v>
      </c>
    </row>
    <row r="565" spans="1:5" x14ac:dyDescent="0.55000000000000004">
      <c r="A565" t="s">
        <v>646</v>
      </c>
      <c r="B565" t="s">
        <v>74</v>
      </c>
      <c r="C565" s="2">
        <v>43722</v>
      </c>
      <c r="D565" t="s">
        <v>29</v>
      </c>
      <c r="E565">
        <v>986</v>
      </c>
    </row>
    <row r="566" spans="1:5" x14ac:dyDescent="0.55000000000000004">
      <c r="A566" t="s">
        <v>647</v>
      </c>
      <c r="B566" t="s">
        <v>151</v>
      </c>
      <c r="C566" s="2">
        <v>44111</v>
      </c>
      <c r="D566" t="s">
        <v>29</v>
      </c>
      <c r="E566">
        <v>199</v>
      </c>
    </row>
    <row r="567" spans="1:5" x14ac:dyDescent="0.55000000000000004">
      <c r="A567" t="s">
        <v>648</v>
      </c>
      <c r="B567" t="s">
        <v>142</v>
      </c>
      <c r="C567" s="2">
        <v>43493</v>
      </c>
      <c r="D567" t="s">
        <v>29</v>
      </c>
      <c r="E567">
        <v>2447</v>
      </c>
    </row>
    <row r="568" spans="1:5" x14ac:dyDescent="0.55000000000000004">
      <c r="A568" t="s">
        <v>649</v>
      </c>
      <c r="B568" t="s">
        <v>94</v>
      </c>
      <c r="C568" s="2">
        <v>45393</v>
      </c>
      <c r="D568" t="s">
        <v>29</v>
      </c>
      <c r="E568">
        <v>2198</v>
      </c>
    </row>
    <row r="569" spans="1:5" x14ac:dyDescent="0.55000000000000004">
      <c r="A569" t="s">
        <v>650</v>
      </c>
      <c r="B569" t="s">
        <v>14</v>
      </c>
      <c r="C569" s="2">
        <v>43137</v>
      </c>
      <c r="D569" t="s">
        <v>29</v>
      </c>
      <c r="E569">
        <v>548</v>
      </c>
    </row>
    <row r="570" spans="1:5" x14ac:dyDescent="0.55000000000000004">
      <c r="A570" t="s">
        <v>651</v>
      </c>
      <c r="B570" t="s">
        <v>94</v>
      </c>
      <c r="C570" s="2">
        <v>44549</v>
      </c>
      <c r="D570" t="s">
        <v>29</v>
      </c>
      <c r="E570">
        <v>1651</v>
      </c>
    </row>
    <row r="571" spans="1:5" x14ac:dyDescent="0.55000000000000004">
      <c r="A571" t="s">
        <v>652</v>
      </c>
      <c r="B571" t="s">
        <v>86</v>
      </c>
      <c r="C571" s="2">
        <v>43009</v>
      </c>
      <c r="D571" t="s">
        <v>29</v>
      </c>
      <c r="E571">
        <v>209</v>
      </c>
    </row>
    <row r="572" spans="1:5" x14ac:dyDescent="0.55000000000000004">
      <c r="A572" t="s">
        <v>653</v>
      </c>
      <c r="B572" t="s">
        <v>23</v>
      </c>
      <c r="C572" s="2">
        <v>44229</v>
      </c>
      <c r="D572" t="s">
        <v>29</v>
      </c>
      <c r="E572">
        <v>2266</v>
      </c>
    </row>
    <row r="573" spans="1:5" x14ac:dyDescent="0.55000000000000004">
      <c r="A573" t="s">
        <v>654</v>
      </c>
      <c r="B573" t="s">
        <v>156</v>
      </c>
      <c r="C573" s="2">
        <v>43067</v>
      </c>
      <c r="D573" t="s">
        <v>29</v>
      </c>
      <c r="E573">
        <v>2065</v>
      </c>
    </row>
    <row r="574" spans="1:5" x14ac:dyDescent="0.55000000000000004">
      <c r="A574" t="s">
        <v>655</v>
      </c>
      <c r="B574" t="s">
        <v>15</v>
      </c>
      <c r="C574" s="2">
        <v>44482</v>
      </c>
      <c r="D574" t="s">
        <v>29</v>
      </c>
      <c r="E574">
        <v>2552</v>
      </c>
    </row>
    <row r="575" spans="1:5" x14ac:dyDescent="0.55000000000000004">
      <c r="A575" t="s">
        <v>656</v>
      </c>
      <c r="B575" t="s">
        <v>38</v>
      </c>
      <c r="C575" s="2">
        <v>44074</v>
      </c>
      <c r="D575" t="s">
        <v>26</v>
      </c>
      <c r="E575">
        <v>396</v>
      </c>
    </row>
    <row r="576" spans="1:5" x14ac:dyDescent="0.55000000000000004">
      <c r="A576" t="s">
        <v>657</v>
      </c>
      <c r="B576" t="s">
        <v>101</v>
      </c>
      <c r="C576" s="2">
        <v>43681</v>
      </c>
      <c r="D576" t="s">
        <v>29</v>
      </c>
      <c r="E576">
        <v>2284</v>
      </c>
    </row>
    <row r="577" spans="1:5" x14ac:dyDescent="0.55000000000000004">
      <c r="A577" t="s">
        <v>658</v>
      </c>
      <c r="B577" t="s">
        <v>86</v>
      </c>
      <c r="C577" s="2">
        <v>44463</v>
      </c>
      <c r="D577" t="s">
        <v>26</v>
      </c>
      <c r="E577">
        <v>815</v>
      </c>
    </row>
    <row r="578" spans="1:5" x14ac:dyDescent="0.55000000000000004">
      <c r="A578" t="s">
        <v>659</v>
      </c>
      <c r="B578" t="s">
        <v>32</v>
      </c>
      <c r="C578" s="2">
        <v>44873</v>
      </c>
      <c r="D578" t="s">
        <v>29</v>
      </c>
      <c r="E578">
        <v>2048</v>
      </c>
    </row>
    <row r="579" spans="1:5" x14ac:dyDescent="0.55000000000000004">
      <c r="A579" t="s">
        <v>660</v>
      </c>
      <c r="B579" t="s">
        <v>142</v>
      </c>
      <c r="C579" s="2">
        <v>43009</v>
      </c>
      <c r="D579" t="s">
        <v>26</v>
      </c>
      <c r="E579">
        <v>561</v>
      </c>
    </row>
    <row r="580" spans="1:5" x14ac:dyDescent="0.55000000000000004">
      <c r="A580" t="s">
        <v>661</v>
      </c>
      <c r="B580" t="s">
        <v>41</v>
      </c>
      <c r="C580" s="2">
        <v>44513</v>
      </c>
      <c r="D580" t="s">
        <v>29</v>
      </c>
      <c r="E580">
        <v>2127</v>
      </c>
    </row>
    <row r="581" spans="1:5" x14ac:dyDescent="0.55000000000000004">
      <c r="A581" t="s">
        <v>662</v>
      </c>
      <c r="B581" t="s">
        <v>15</v>
      </c>
      <c r="C581" s="2">
        <v>43222</v>
      </c>
      <c r="D581" t="s">
        <v>26</v>
      </c>
      <c r="E581">
        <v>1343</v>
      </c>
    </row>
    <row r="582" spans="1:5" x14ac:dyDescent="0.55000000000000004">
      <c r="A582" t="s">
        <v>663</v>
      </c>
      <c r="B582" t="s">
        <v>32</v>
      </c>
      <c r="C582" s="2">
        <v>44483</v>
      </c>
      <c r="D582" t="s">
        <v>26</v>
      </c>
      <c r="E582">
        <v>1609</v>
      </c>
    </row>
    <row r="583" spans="1:5" x14ac:dyDescent="0.55000000000000004">
      <c r="A583" t="s">
        <v>664</v>
      </c>
      <c r="B583" t="s">
        <v>32</v>
      </c>
      <c r="C583" s="2">
        <v>44443</v>
      </c>
      <c r="D583" t="s">
        <v>29</v>
      </c>
      <c r="E583">
        <v>2077</v>
      </c>
    </row>
    <row r="584" spans="1:5" x14ac:dyDescent="0.55000000000000004">
      <c r="A584" t="s">
        <v>665</v>
      </c>
      <c r="B584" t="s">
        <v>175</v>
      </c>
      <c r="C584" s="2">
        <v>45553</v>
      </c>
      <c r="D584" t="s">
        <v>29</v>
      </c>
      <c r="E584">
        <v>2902</v>
      </c>
    </row>
    <row r="585" spans="1:5" x14ac:dyDescent="0.55000000000000004">
      <c r="A585" t="s">
        <v>666</v>
      </c>
      <c r="B585" t="s">
        <v>23</v>
      </c>
      <c r="C585" s="2">
        <v>44444</v>
      </c>
      <c r="D585" t="s">
        <v>29</v>
      </c>
      <c r="E585">
        <v>68</v>
      </c>
    </row>
    <row r="586" spans="1:5" x14ac:dyDescent="0.55000000000000004">
      <c r="A586" t="s">
        <v>667</v>
      </c>
      <c r="B586" t="s">
        <v>86</v>
      </c>
      <c r="C586" s="2">
        <v>43595</v>
      </c>
      <c r="D586" t="s">
        <v>26</v>
      </c>
      <c r="E586">
        <v>1706</v>
      </c>
    </row>
    <row r="587" spans="1:5" x14ac:dyDescent="0.55000000000000004">
      <c r="A587" t="s">
        <v>668</v>
      </c>
      <c r="B587" t="s">
        <v>23</v>
      </c>
      <c r="C587" s="2">
        <v>44461</v>
      </c>
      <c r="D587" t="s">
        <v>26</v>
      </c>
      <c r="E587">
        <v>2444</v>
      </c>
    </row>
    <row r="588" spans="1:5" x14ac:dyDescent="0.55000000000000004">
      <c r="A588" t="s">
        <v>669</v>
      </c>
      <c r="B588" t="s">
        <v>96</v>
      </c>
      <c r="C588" s="2">
        <v>44553</v>
      </c>
      <c r="D588" t="s">
        <v>26</v>
      </c>
      <c r="E588">
        <v>2954</v>
      </c>
    </row>
    <row r="589" spans="1:5" x14ac:dyDescent="0.55000000000000004">
      <c r="A589" t="s">
        <v>670</v>
      </c>
      <c r="B589" t="s">
        <v>142</v>
      </c>
      <c r="C589" s="2">
        <v>44112</v>
      </c>
      <c r="D589" t="s">
        <v>29</v>
      </c>
      <c r="E589">
        <v>698</v>
      </c>
    </row>
    <row r="590" spans="1:5" x14ac:dyDescent="0.55000000000000004">
      <c r="A590" t="s">
        <v>671</v>
      </c>
      <c r="B590" t="s">
        <v>67</v>
      </c>
      <c r="C590" s="2">
        <v>45023</v>
      </c>
      <c r="D590" t="s">
        <v>26</v>
      </c>
      <c r="E590">
        <v>2788</v>
      </c>
    </row>
    <row r="591" spans="1:5" x14ac:dyDescent="0.55000000000000004">
      <c r="A591" t="s">
        <v>672</v>
      </c>
      <c r="B591" t="s">
        <v>63</v>
      </c>
      <c r="C591" s="2">
        <v>42981</v>
      </c>
      <c r="D591" t="s">
        <v>26</v>
      </c>
      <c r="E591">
        <v>781</v>
      </c>
    </row>
    <row r="592" spans="1:5" x14ac:dyDescent="0.55000000000000004">
      <c r="A592" t="s">
        <v>673</v>
      </c>
      <c r="B592" t="s">
        <v>14</v>
      </c>
      <c r="C592" s="2">
        <v>43820</v>
      </c>
      <c r="D592" t="s">
        <v>29</v>
      </c>
      <c r="E592">
        <v>1715</v>
      </c>
    </row>
    <row r="593" spans="1:5" x14ac:dyDescent="0.55000000000000004">
      <c r="A593" t="s">
        <v>674</v>
      </c>
      <c r="B593" t="s">
        <v>72</v>
      </c>
      <c r="C593" s="2">
        <v>43762</v>
      </c>
      <c r="D593" t="s">
        <v>26</v>
      </c>
      <c r="E593">
        <v>1680</v>
      </c>
    </row>
    <row r="594" spans="1:5" x14ac:dyDescent="0.55000000000000004">
      <c r="A594" t="s">
        <v>675</v>
      </c>
      <c r="B594" t="s">
        <v>67</v>
      </c>
      <c r="C594" s="2">
        <v>45397</v>
      </c>
      <c r="D594" t="s">
        <v>26</v>
      </c>
      <c r="E594">
        <v>2890</v>
      </c>
    </row>
    <row r="595" spans="1:5" x14ac:dyDescent="0.55000000000000004">
      <c r="A595" t="s">
        <v>676</v>
      </c>
      <c r="B595" t="s">
        <v>72</v>
      </c>
      <c r="C595" s="2">
        <v>43979</v>
      </c>
      <c r="D595" t="s">
        <v>26</v>
      </c>
      <c r="E595">
        <v>2297</v>
      </c>
    </row>
    <row r="596" spans="1:5" x14ac:dyDescent="0.55000000000000004">
      <c r="A596" t="s">
        <v>677</v>
      </c>
      <c r="B596" t="s">
        <v>111</v>
      </c>
      <c r="C596" s="2">
        <v>44273</v>
      </c>
      <c r="D596" t="s">
        <v>29</v>
      </c>
      <c r="E596">
        <v>2152</v>
      </c>
    </row>
    <row r="597" spans="1:5" x14ac:dyDescent="0.55000000000000004">
      <c r="A597" t="s">
        <v>678</v>
      </c>
      <c r="B597" t="s">
        <v>101</v>
      </c>
      <c r="C597" s="2">
        <v>43559</v>
      </c>
      <c r="D597" t="s">
        <v>26</v>
      </c>
      <c r="E597">
        <v>1882</v>
      </c>
    </row>
    <row r="598" spans="1:5" x14ac:dyDescent="0.55000000000000004">
      <c r="A598" t="s">
        <v>679</v>
      </c>
      <c r="B598" t="s">
        <v>99</v>
      </c>
      <c r="C598" s="2">
        <v>44868</v>
      </c>
      <c r="D598" t="s">
        <v>29</v>
      </c>
      <c r="E598">
        <v>2768</v>
      </c>
    </row>
    <row r="599" spans="1:5" x14ac:dyDescent="0.55000000000000004">
      <c r="A599" t="s">
        <v>680</v>
      </c>
      <c r="B599" t="s">
        <v>118</v>
      </c>
      <c r="C599" s="2">
        <v>44548</v>
      </c>
      <c r="D599" t="s">
        <v>29</v>
      </c>
      <c r="E599">
        <v>787</v>
      </c>
    </row>
    <row r="600" spans="1:5" x14ac:dyDescent="0.55000000000000004">
      <c r="A600" t="s">
        <v>681</v>
      </c>
      <c r="B600" t="s">
        <v>63</v>
      </c>
      <c r="C600" s="2">
        <v>43488</v>
      </c>
      <c r="D600" t="s">
        <v>29</v>
      </c>
      <c r="E600">
        <v>921</v>
      </c>
    </row>
    <row r="601" spans="1:5" x14ac:dyDescent="0.55000000000000004">
      <c r="A601" t="s">
        <v>682</v>
      </c>
      <c r="B601" t="s">
        <v>156</v>
      </c>
      <c r="C601" s="2">
        <v>44496</v>
      </c>
      <c r="D601" t="s">
        <v>29</v>
      </c>
      <c r="E601">
        <v>2887</v>
      </c>
    </row>
    <row r="602" spans="1:5" x14ac:dyDescent="0.55000000000000004">
      <c r="A602" t="s">
        <v>683</v>
      </c>
      <c r="B602" t="s">
        <v>151</v>
      </c>
      <c r="C602" s="2">
        <v>44330</v>
      </c>
      <c r="D602" t="s">
        <v>29</v>
      </c>
      <c r="E602">
        <v>1298</v>
      </c>
    </row>
    <row r="603" spans="1:5" x14ac:dyDescent="0.55000000000000004">
      <c r="A603" t="s">
        <v>684</v>
      </c>
      <c r="B603" t="s">
        <v>96</v>
      </c>
      <c r="C603" s="2">
        <v>44894</v>
      </c>
      <c r="D603" t="s">
        <v>29</v>
      </c>
      <c r="E603">
        <v>1178</v>
      </c>
    </row>
    <row r="604" spans="1:5" x14ac:dyDescent="0.55000000000000004">
      <c r="A604" t="s">
        <v>685</v>
      </c>
      <c r="B604" t="s">
        <v>115</v>
      </c>
      <c r="C604" s="2">
        <v>44091</v>
      </c>
      <c r="D604" t="s">
        <v>29</v>
      </c>
      <c r="E604">
        <v>1616</v>
      </c>
    </row>
    <row r="605" spans="1:5" x14ac:dyDescent="0.55000000000000004">
      <c r="A605" t="s">
        <v>686</v>
      </c>
      <c r="B605" t="s">
        <v>175</v>
      </c>
      <c r="C605" s="2">
        <v>44879</v>
      </c>
      <c r="D605" t="s">
        <v>26</v>
      </c>
      <c r="E605">
        <v>1189</v>
      </c>
    </row>
    <row r="606" spans="1:5" x14ac:dyDescent="0.55000000000000004">
      <c r="A606" t="s">
        <v>687</v>
      </c>
      <c r="B606" t="s">
        <v>142</v>
      </c>
      <c r="C606" s="2">
        <v>43506</v>
      </c>
      <c r="D606" t="s">
        <v>26</v>
      </c>
      <c r="E606">
        <v>1418</v>
      </c>
    </row>
    <row r="607" spans="1:5" x14ac:dyDescent="0.55000000000000004">
      <c r="A607" t="s">
        <v>688</v>
      </c>
      <c r="B607" t="s">
        <v>15</v>
      </c>
      <c r="C607" s="2">
        <v>44260</v>
      </c>
      <c r="D607" t="s">
        <v>29</v>
      </c>
      <c r="E607">
        <v>1962</v>
      </c>
    </row>
    <row r="608" spans="1:5" x14ac:dyDescent="0.55000000000000004">
      <c r="A608" t="s">
        <v>689</v>
      </c>
      <c r="B608" t="s">
        <v>151</v>
      </c>
      <c r="C608" s="2">
        <v>43330</v>
      </c>
      <c r="D608" t="s">
        <v>29</v>
      </c>
      <c r="E608">
        <v>2302</v>
      </c>
    </row>
    <row r="609" spans="1:5" x14ac:dyDescent="0.55000000000000004">
      <c r="A609" t="s">
        <v>690</v>
      </c>
      <c r="B609" t="s">
        <v>41</v>
      </c>
      <c r="C609" s="2">
        <v>44387</v>
      </c>
      <c r="D609" t="s">
        <v>26</v>
      </c>
      <c r="E609">
        <v>447</v>
      </c>
    </row>
    <row r="610" spans="1:5" x14ac:dyDescent="0.55000000000000004">
      <c r="A610" t="s">
        <v>691</v>
      </c>
      <c r="B610" t="s">
        <v>32</v>
      </c>
      <c r="C610" s="2">
        <v>44321</v>
      </c>
      <c r="D610" t="s">
        <v>26</v>
      </c>
      <c r="E610">
        <v>207</v>
      </c>
    </row>
    <row r="611" spans="1:5" x14ac:dyDescent="0.55000000000000004">
      <c r="A611" t="s">
        <v>692</v>
      </c>
      <c r="B611" t="s">
        <v>38</v>
      </c>
      <c r="C611" s="2">
        <v>44918</v>
      </c>
      <c r="D611" t="s">
        <v>26</v>
      </c>
      <c r="E611">
        <v>2613</v>
      </c>
    </row>
    <row r="612" spans="1:5" x14ac:dyDescent="0.55000000000000004">
      <c r="A612" t="s">
        <v>693</v>
      </c>
      <c r="B612" t="s">
        <v>63</v>
      </c>
      <c r="C612" s="2">
        <v>43024</v>
      </c>
      <c r="D612" t="s">
        <v>26</v>
      </c>
      <c r="E612">
        <v>1692</v>
      </c>
    </row>
    <row r="613" spans="1:5" x14ac:dyDescent="0.55000000000000004">
      <c r="A613" t="s">
        <v>694</v>
      </c>
      <c r="B613" t="s">
        <v>111</v>
      </c>
      <c r="C613" s="2">
        <v>44386</v>
      </c>
      <c r="D613" t="s">
        <v>29</v>
      </c>
      <c r="E613">
        <v>411</v>
      </c>
    </row>
    <row r="614" spans="1:5" x14ac:dyDescent="0.55000000000000004">
      <c r="A614" t="s">
        <v>695</v>
      </c>
      <c r="B614" t="s">
        <v>38</v>
      </c>
      <c r="C614" s="2">
        <v>44112</v>
      </c>
      <c r="D614" t="s">
        <v>26</v>
      </c>
      <c r="E614">
        <v>2254</v>
      </c>
    </row>
    <row r="615" spans="1:5" x14ac:dyDescent="0.55000000000000004">
      <c r="A615" t="s">
        <v>696</v>
      </c>
      <c r="B615" t="s">
        <v>105</v>
      </c>
      <c r="C615" s="2">
        <v>43750</v>
      </c>
      <c r="D615" t="s">
        <v>29</v>
      </c>
      <c r="E615">
        <v>1955</v>
      </c>
    </row>
    <row r="616" spans="1:5" x14ac:dyDescent="0.55000000000000004">
      <c r="A616" t="s">
        <v>697</v>
      </c>
      <c r="B616" t="s">
        <v>35</v>
      </c>
      <c r="C616" s="2">
        <v>44239</v>
      </c>
      <c r="D616" t="s">
        <v>29</v>
      </c>
      <c r="E616">
        <v>1315</v>
      </c>
    </row>
    <row r="617" spans="1:5" x14ac:dyDescent="0.55000000000000004">
      <c r="A617" t="s">
        <v>698</v>
      </c>
      <c r="B617" t="s">
        <v>156</v>
      </c>
      <c r="C617" s="2">
        <v>44239</v>
      </c>
      <c r="D617" t="s">
        <v>26</v>
      </c>
      <c r="E617">
        <v>366</v>
      </c>
    </row>
    <row r="618" spans="1:5" x14ac:dyDescent="0.55000000000000004">
      <c r="A618" t="s">
        <v>699</v>
      </c>
      <c r="B618" t="s">
        <v>35</v>
      </c>
      <c r="C618" s="2">
        <v>44306</v>
      </c>
      <c r="D618" t="s">
        <v>26</v>
      </c>
      <c r="E618">
        <v>717</v>
      </c>
    </row>
    <row r="619" spans="1:5" x14ac:dyDescent="0.55000000000000004">
      <c r="A619" t="s">
        <v>700</v>
      </c>
      <c r="B619" t="s">
        <v>140</v>
      </c>
      <c r="C619" s="2">
        <v>43277</v>
      </c>
      <c r="D619" t="s">
        <v>26</v>
      </c>
      <c r="E619">
        <v>1626</v>
      </c>
    </row>
    <row r="620" spans="1:5" x14ac:dyDescent="0.55000000000000004">
      <c r="A620" t="s">
        <v>701</v>
      </c>
      <c r="B620" t="s">
        <v>137</v>
      </c>
      <c r="C620" s="2">
        <v>45495</v>
      </c>
      <c r="D620" t="s">
        <v>26</v>
      </c>
      <c r="E620">
        <v>1185</v>
      </c>
    </row>
    <row r="621" spans="1:5" x14ac:dyDescent="0.55000000000000004">
      <c r="A621" t="s">
        <v>702</v>
      </c>
      <c r="B621" t="s">
        <v>94</v>
      </c>
      <c r="C621" s="2">
        <v>43619</v>
      </c>
      <c r="D621" t="s">
        <v>26</v>
      </c>
      <c r="E621">
        <v>1222</v>
      </c>
    </row>
    <row r="622" spans="1:5" x14ac:dyDescent="0.55000000000000004">
      <c r="A622" t="s">
        <v>703</v>
      </c>
      <c r="B622" t="s">
        <v>23</v>
      </c>
      <c r="C622" s="2">
        <v>44050</v>
      </c>
      <c r="D622" t="s">
        <v>29</v>
      </c>
      <c r="E622">
        <v>1165</v>
      </c>
    </row>
    <row r="623" spans="1:5" x14ac:dyDescent="0.55000000000000004">
      <c r="A623" t="s">
        <v>704</v>
      </c>
      <c r="B623" t="s">
        <v>15</v>
      </c>
      <c r="C623" s="2">
        <v>44230</v>
      </c>
      <c r="D623" t="s">
        <v>29</v>
      </c>
      <c r="E623">
        <v>549</v>
      </c>
    </row>
    <row r="624" spans="1:5" x14ac:dyDescent="0.55000000000000004">
      <c r="A624" t="s">
        <v>705</v>
      </c>
      <c r="B624" t="s">
        <v>76</v>
      </c>
      <c r="C624" s="2">
        <v>45531</v>
      </c>
      <c r="D624" t="s">
        <v>29</v>
      </c>
      <c r="E624">
        <v>1117</v>
      </c>
    </row>
    <row r="625" spans="1:5" x14ac:dyDescent="0.55000000000000004">
      <c r="A625" t="s">
        <v>706</v>
      </c>
      <c r="B625" t="s">
        <v>151</v>
      </c>
      <c r="C625" s="2">
        <v>43147</v>
      </c>
      <c r="D625" t="s">
        <v>29</v>
      </c>
      <c r="E625">
        <v>665</v>
      </c>
    </row>
    <row r="626" spans="1:5" x14ac:dyDescent="0.55000000000000004">
      <c r="A626" t="s">
        <v>707</v>
      </c>
      <c r="B626" t="s">
        <v>78</v>
      </c>
      <c r="C626" s="2">
        <v>45345</v>
      </c>
      <c r="D626" t="s">
        <v>29</v>
      </c>
      <c r="E626">
        <v>2943</v>
      </c>
    </row>
    <row r="627" spans="1:5" x14ac:dyDescent="0.55000000000000004">
      <c r="A627" t="s">
        <v>708</v>
      </c>
      <c r="B627" t="s">
        <v>105</v>
      </c>
      <c r="C627" s="2">
        <v>42945</v>
      </c>
      <c r="D627" t="s">
        <v>29</v>
      </c>
      <c r="E627">
        <v>1208</v>
      </c>
    </row>
    <row r="628" spans="1:5" x14ac:dyDescent="0.55000000000000004">
      <c r="A628" t="s">
        <v>709</v>
      </c>
      <c r="B628" t="s">
        <v>23</v>
      </c>
      <c r="C628" s="2">
        <v>44226</v>
      </c>
      <c r="D628" t="s">
        <v>26</v>
      </c>
      <c r="E628">
        <v>2502</v>
      </c>
    </row>
    <row r="629" spans="1:5" x14ac:dyDescent="0.55000000000000004">
      <c r="A629" t="s">
        <v>710</v>
      </c>
      <c r="B629" t="s">
        <v>76</v>
      </c>
      <c r="C629" s="2">
        <v>45126</v>
      </c>
      <c r="D629" t="s">
        <v>29</v>
      </c>
      <c r="E629">
        <v>2110</v>
      </c>
    </row>
    <row r="630" spans="1:5" x14ac:dyDescent="0.55000000000000004">
      <c r="A630" t="s">
        <v>711</v>
      </c>
      <c r="B630" t="s">
        <v>111</v>
      </c>
      <c r="C630" s="2">
        <v>43094</v>
      </c>
      <c r="D630" t="s">
        <v>29</v>
      </c>
      <c r="E630">
        <v>2741</v>
      </c>
    </row>
    <row r="631" spans="1:5" x14ac:dyDescent="0.55000000000000004">
      <c r="A631" t="s">
        <v>712</v>
      </c>
      <c r="B631" t="s">
        <v>115</v>
      </c>
      <c r="C631" s="2">
        <v>43295</v>
      </c>
      <c r="D631" t="s">
        <v>26</v>
      </c>
      <c r="E631">
        <v>1955</v>
      </c>
    </row>
    <row r="632" spans="1:5" x14ac:dyDescent="0.55000000000000004">
      <c r="A632" t="s">
        <v>713</v>
      </c>
      <c r="B632" t="s">
        <v>111</v>
      </c>
      <c r="C632" s="2">
        <v>43425</v>
      </c>
      <c r="D632" t="s">
        <v>26</v>
      </c>
      <c r="E632">
        <v>1068</v>
      </c>
    </row>
    <row r="633" spans="1:5" x14ac:dyDescent="0.55000000000000004">
      <c r="A633" t="s">
        <v>714</v>
      </c>
      <c r="B633" t="s">
        <v>101</v>
      </c>
      <c r="C633" s="2">
        <v>43399</v>
      </c>
      <c r="D633" t="s">
        <v>29</v>
      </c>
      <c r="E633">
        <v>1093</v>
      </c>
    </row>
    <row r="634" spans="1:5" x14ac:dyDescent="0.55000000000000004">
      <c r="A634" t="s">
        <v>715</v>
      </c>
      <c r="B634" t="s">
        <v>111</v>
      </c>
      <c r="C634" s="2">
        <v>43535</v>
      </c>
      <c r="D634" t="s">
        <v>26</v>
      </c>
      <c r="E634">
        <v>1071</v>
      </c>
    </row>
    <row r="635" spans="1:5" x14ac:dyDescent="0.55000000000000004">
      <c r="A635" t="s">
        <v>716</v>
      </c>
      <c r="B635" t="s">
        <v>35</v>
      </c>
      <c r="C635" s="2">
        <v>44567</v>
      </c>
      <c r="D635" t="s">
        <v>26</v>
      </c>
      <c r="E635">
        <v>254</v>
      </c>
    </row>
    <row r="636" spans="1:5" x14ac:dyDescent="0.55000000000000004">
      <c r="A636" t="s">
        <v>717</v>
      </c>
      <c r="B636" t="s">
        <v>38</v>
      </c>
      <c r="C636" s="2">
        <v>44073</v>
      </c>
      <c r="D636" t="s">
        <v>29</v>
      </c>
      <c r="E636">
        <v>1256</v>
      </c>
    </row>
    <row r="637" spans="1:5" x14ac:dyDescent="0.55000000000000004">
      <c r="A637" t="s">
        <v>718</v>
      </c>
      <c r="B637" t="s">
        <v>105</v>
      </c>
      <c r="C637" s="2">
        <v>43747</v>
      </c>
      <c r="D637" t="s">
        <v>29</v>
      </c>
      <c r="E637">
        <v>2827</v>
      </c>
    </row>
    <row r="638" spans="1:5" x14ac:dyDescent="0.55000000000000004">
      <c r="A638" t="s">
        <v>719</v>
      </c>
      <c r="B638" t="s">
        <v>115</v>
      </c>
      <c r="C638" s="2">
        <v>44225</v>
      </c>
      <c r="D638" t="s">
        <v>29</v>
      </c>
      <c r="E638">
        <v>1505</v>
      </c>
    </row>
    <row r="639" spans="1:5" x14ac:dyDescent="0.55000000000000004">
      <c r="A639" t="s">
        <v>720</v>
      </c>
      <c r="B639" t="s">
        <v>32</v>
      </c>
      <c r="C639" s="2">
        <v>44283</v>
      </c>
      <c r="D639" t="s">
        <v>26</v>
      </c>
      <c r="E639">
        <v>547</v>
      </c>
    </row>
    <row r="640" spans="1:5" x14ac:dyDescent="0.55000000000000004">
      <c r="A640" t="s">
        <v>721</v>
      </c>
      <c r="B640" t="s">
        <v>96</v>
      </c>
      <c r="C640" s="2">
        <v>44093</v>
      </c>
      <c r="D640" t="s">
        <v>29</v>
      </c>
      <c r="E640">
        <v>2481</v>
      </c>
    </row>
    <row r="641" spans="1:5" x14ac:dyDescent="0.55000000000000004">
      <c r="A641" t="s">
        <v>722</v>
      </c>
      <c r="B641" t="s">
        <v>86</v>
      </c>
      <c r="C641" s="2">
        <v>43768</v>
      </c>
      <c r="D641" t="s">
        <v>29</v>
      </c>
      <c r="E641">
        <v>2201</v>
      </c>
    </row>
    <row r="642" spans="1:5" x14ac:dyDescent="0.55000000000000004">
      <c r="A642" t="s">
        <v>723</v>
      </c>
      <c r="B642" t="s">
        <v>137</v>
      </c>
      <c r="C642" s="2">
        <v>44360</v>
      </c>
      <c r="D642" t="s">
        <v>26</v>
      </c>
      <c r="E642">
        <v>2786</v>
      </c>
    </row>
    <row r="643" spans="1:5" x14ac:dyDescent="0.55000000000000004">
      <c r="A643" t="s">
        <v>724</v>
      </c>
      <c r="B643" t="s">
        <v>118</v>
      </c>
      <c r="C643" s="2">
        <v>43801</v>
      </c>
      <c r="D643" t="s">
        <v>29</v>
      </c>
      <c r="E643">
        <v>2163</v>
      </c>
    </row>
    <row r="644" spans="1:5" x14ac:dyDescent="0.55000000000000004">
      <c r="A644" t="s">
        <v>725</v>
      </c>
      <c r="B644" t="s">
        <v>41</v>
      </c>
      <c r="C644" s="2">
        <v>44571</v>
      </c>
      <c r="D644" t="s">
        <v>26</v>
      </c>
      <c r="E644">
        <v>2310</v>
      </c>
    </row>
    <row r="645" spans="1:5" x14ac:dyDescent="0.55000000000000004">
      <c r="A645" t="s">
        <v>726</v>
      </c>
      <c r="B645" t="s">
        <v>115</v>
      </c>
      <c r="C645" s="2">
        <v>43043</v>
      </c>
      <c r="D645" t="s">
        <v>26</v>
      </c>
      <c r="E645">
        <v>2345</v>
      </c>
    </row>
    <row r="646" spans="1:5" x14ac:dyDescent="0.55000000000000004">
      <c r="A646" t="s">
        <v>727</v>
      </c>
      <c r="B646" t="s">
        <v>99</v>
      </c>
      <c r="C646" s="2">
        <v>44079</v>
      </c>
      <c r="D646" t="s">
        <v>26</v>
      </c>
      <c r="E646">
        <v>1343</v>
      </c>
    </row>
    <row r="647" spans="1:5" x14ac:dyDescent="0.55000000000000004">
      <c r="A647" t="s">
        <v>728</v>
      </c>
      <c r="B647" t="s">
        <v>76</v>
      </c>
      <c r="C647" s="2">
        <v>45597</v>
      </c>
      <c r="D647" t="s">
        <v>29</v>
      </c>
      <c r="E647">
        <v>476</v>
      </c>
    </row>
    <row r="648" spans="1:5" x14ac:dyDescent="0.55000000000000004">
      <c r="A648" t="s">
        <v>729</v>
      </c>
      <c r="B648" t="s">
        <v>38</v>
      </c>
      <c r="C648" s="2">
        <v>44251</v>
      </c>
      <c r="D648" t="s">
        <v>29</v>
      </c>
      <c r="E648">
        <v>372</v>
      </c>
    </row>
    <row r="649" spans="1:5" x14ac:dyDescent="0.55000000000000004">
      <c r="A649" t="s">
        <v>730</v>
      </c>
      <c r="B649" t="s">
        <v>94</v>
      </c>
      <c r="C649" s="2">
        <v>45556</v>
      </c>
      <c r="D649" t="s">
        <v>29</v>
      </c>
      <c r="E649">
        <v>227</v>
      </c>
    </row>
    <row r="650" spans="1:5" x14ac:dyDescent="0.55000000000000004">
      <c r="A650" t="s">
        <v>731</v>
      </c>
      <c r="B650" t="s">
        <v>15</v>
      </c>
      <c r="C650" s="2">
        <v>43187</v>
      </c>
      <c r="D650" t="s">
        <v>29</v>
      </c>
      <c r="E650">
        <v>1871</v>
      </c>
    </row>
    <row r="651" spans="1:5" x14ac:dyDescent="0.55000000000000004">
      <c r="A651" t="s">
        <v>732</v>
      </c>
      <c r="B651" t="s">
        <v>23</v>
      </c>
      <c r="C651" s="2">
        <v>43949</v>
      </c>
      <c r="D651" t="s">
        <v>29</v>
      </c>
      <c r="E651">
        <v>2755</v>
      </c>
    </row>
    <row r="652" spans="1:5" x14ac:dyDescent="0.55000000000000004">
      <c r="A652" t="s">
        <v>733</v>
      </c>
      <c r="B652" t="s">
        <v>137</v>
      </c>
      <c r="C652" s="2">
        <v>44728</v>
      </c>
      <c r="D652" t="s">
        <v>26</v>
      </c>
      <c r="E652">
        <v>1621</v>
      </c>
    </row>
    <row r="653" spans="1:5" x14ac:dyDescent="0.55000000000000004">
      <c r="A653" t="s">
        <v>734</v>
      </c>
      <c r="B653" t="s">
        <v>84</v>
      </c>
      <c r="C653" s="2">
        <v>42923</v>
      </c>
      <c r="D653" t="s">
        <v>26</v>
      </c>
      <c r="E653">
        <v>2368</v>
      </c>
    </row>
    <row r="654" spans="1:5" x14ac:dyDescent="0.55000000000000004">
      <c r="A654" t="s">
        <v>735</v>
      </c>
      <c r="B654" t="s">
        <v>74</v>
      </c>
      <c r="C654" s="2">
        <v>43009</v>
      </c>
      <c r="D654" t="s">
        <v>29</v>
      </c>
      <c r="E654">
        <v>1411</v>
      </c>
    </row>
    <row r="655" spans="1:5" x14ac:dyDescent="0.55000000000000004">
      <c r="A655" t="s">
        <v>736</v>
      </c>
      <c r="B655" t="s">
        <v>41</v>
      </c>
      <c r="C655" s="2">
        <v>43961</v>
      </c>
      <c r="D655" t="s">
        <v>26</v>
      </c>
      <c r="E655">
        <v>282</v>
      </c>
    </row>
    <row r="656" spans="1:5" x14ac:dyDescent="0.55000000000000004">
      <c r="A656" t="s">
        <v>737</v>
      </c>
      <c r="B656" t="s">
        <v>96</v>
      </c>
      <c r="C656" s="2">
        <v>43595</v>
      </c>
      <c r="D656" t="s">
        <v>29</v>
      </c>
      <c r="E656">
        <v>1674</v>
      </c>
    </row>
    <row r="657" spans="1:5" x14ac:dyDescent="0.55000000000000004">
      <c r="A657" t="s">
        <v>738</v>
      </c>
      <c r="B657" t="s">
        <v>105</v>
      </c>
      <c r="C657" s="2">
        <v>44491</v>
      </c>
      <c r="D657" t="s">
        <v>26</v>
      </c>
      <c r="E657">
        <v>2627</v>
      </c>
    </row>
    <row r="658" spans="1:5" x14ac:dyDescent="0.55000000000000004">
      <c r="A658" t="s">
        <v>739</v>
      </c>
      <c r="B658" t="s">
        <v>78</v>
      </c>
      <c r="C658" s="2">
        <v>45187</v>
      </c>
      <c r="D658" t="s">
        <v>29</v>
      </c>
      <c r="E658">
        <v>1566</v>
      </c>
    </row>
    <row r="659" spans="1:5" x14ac:dyDescent="0.55000000000000004">
      <c r="A659" t="s">
        <v>740</v>
      </c>
      <c r="B659" t="s">
        <v>15</v>
      </c>
      <c r="C659" s="2">
        <v>43690</v>
      </c>
      <c r="D659" t="s">
        <v>29</v>
      </c>
      <c r="E659">
        <v>328</v>
      </c>
    </row>
    <row r="660" spans="1:5" x14ac:dyDescent="0.55000000000000004">
      <c r="A660" t="s">
        <v>741</v>
      </c>
      <c r="B660" t="s">
        <v>38</v>
      </c>
      <c r="C660" s="2">
        <v>44103</v>
      </c>
      <c r="D660" t="s">
        <v>29</v>
      </c>
      <c r="E660">
        <v>485</v>
      </c>
    </row>
    <row r="661" spans="1:5" x14ac:dyDescent="0.55000000000000004">
      <c r="A661" t="s">
        <v>742</v>
      </c>
      <c r="B661" t="s">
        <v>105</v>
      </c>
      <c r="C661" s="2">
        <v>44017</v>
      </c>
      <c r="D661" t="s">
        <v>29</v>
      </c>
      <c r="E661">
        <v>2166</v>
      </c>
    </row>
    <row r="662" spans="1:5" x14ac:dyDescent="0.55000000000000004">
      <c r="A662" t="s">
        <v>743</v>
      </c>
      <c r="B662" t="s">
        <v>72</v>
      </c>
      <c r="C662" s="2">
        <v>44407</v>
      </c>
      <c r="D662" t="s">
        <v>26</v>
      </c>
      <c r="E662">
        <v>14</v>
      </c>
    </row>
    <row r="663" spans="1:5" x14ac:dyDescent="0.55000000000000004">
      <c r="A663" t="s">
        <v>744</v>
      </c>
      <c r="B663" t="s">
        <v>118</v>
      </c>
      <c r="C663" s="2">
        <v>43559</v>
      </c>
      <c r="D663" t="s">
        <v>29</v>
      </c>
      <c r="E663">
        <v>1896</v>
      </c>
    </row>
    <row r="664" spans="1:5" x14ac:dyDescent="0.55000000000000004">
      <c r="A664" t="s">
        <v>745</v>
      </c>
      <c r="B664" t="s">
        <v>38</v>
      </c>
      <c r="C664" s="2">
        <v>44699</v>
      </c>
      <c r="D664" t="s">
        <v>29</v>
      </c>
      <c r="E664">
        <v>940</v>
      </c>
    </row>
    <row r="665" spans="1:5" x14ac:dyDescent="0.55000000000000004">
      <c r="A665" t="s">
        <v>746</v>
      </c>
      <c r="B665" t="s">
        <v>63</v>
      </c>
      <c r="C665" s="2">
        <v>43860</v>
      </c>
      <c r="D665" t="s">
        <v>29</v>
      </c>
      <c r="E665">
        <v>635</v>
      </c>
    </row>
    <row r="666" spans="1:5" x14ac:dyDescent="0.55000000000000004">
      <c r="A666" t="s">
        <v>747</v>
      </c>
      <c r="B666" t="s">
        <v>84</v>
      </c>
      <c r="C666" s="2">
        <v>43303</v>
      </c>
      <c r="D666" t="s">
        <v>26</v>
      </c>
      <c r="E666">
        <v>131</v>
      </c>
    </row>
    <row r="667" spans="1:5" x14ac:dyDescent="0.55000000000000004">
      <c r="A667" t="s">
        <v>748</v>
      </c>
      <c r="B667" t="s">
        <v>137</v>
      </c>
      <c r="C667" s="2">
        <v>45183</v>
      </c>
      <c r="D667" t="s">
        <v>26</v>
      </c>
      <c r="E667">
        <v>985</v>
      </c>
    </row>
    <row r="668" spans="1:5" x14ac:dyDescent="0.55000000000000004">
      <c r="A668" t="s">
        <v>749</v>
      </c>
      <c r="B668" t="s">
        <v>151</v>
      </c>
      <c r="C668" s="2">
        <v>43054</v>
      </c>
      <c r="D668" t="s">
        <v>26</v>
      </c>
      <c r="E668">
        <v>2432</v>
      </c>
    </row>
    <row r="669" spans="1:5" x14ac:dyDescent="0.55000000000000004">
      <c r="A669" t="s">
        <v>750</v>
      </c>
      <c r="B669" t="s">
        <v>142</v>
      </c>
      <c r="C669" s="2">
        <v>43831</v>
      </c>
      <c r="D669" t="s">
        <v>26</v>
      </c>
      <c r="E669">
        <v>1002</v>
      </c>
    </row>
    <row r="670" spans="1:5" x14ac:dyDescent="0.55000000000000004">
      <c r="A670" t="s">
        <v>751</v>
      </c>
      <c r="B670" t="s">
        <v>78</v>
      </c>
      <c r="C670" s="2">
        <v>43647</v>
      </c>
      <c r="D670" t="s">
        <v>29</v>
      </c>
      <c r="E670">
        <v>1797</v>
      </c>
    </row>
    <row r="671" spans="1:5" x14ac:dyDescent="0.55000000000000004">
      <c r="A671" t="s">
        <v>752</v>
      </c>
      <c r="B671" t="s">
        <v>63</v>
      </c>
      <c r="C671" s="2">
        <v>44022</v>
      </c>
      <c r="D671" t="s">
        <v>26</v>
      </c>
      <c r="E671">
        <v>231</v>
      </c>
    </row>
    <row r="672" spans="1:5" x14ac:dyDescent="0.55000000000000004">
      <c r="A672" t="s">
        <v>753</v>
      </c>
      <c r="B672" t="s">
        <v>72</v>
      </c>
      <c r="C672" s="2">
        <v>43948</v>
      </c>
      <c r="D672" t="s">
        <v>29</v>
      </c>
      <c r="E672">
        <v>959</v>
      </c>
    </row>
    <row r="673" spans="1:5" x14ac:dyDescent="0.55000000000000004">
      <c r="A673" t="s">
        <v>754</v>
      </c>
      <c r="B673" t="s">
        <v>175</v>
      </c>
      <c r="C673" s="2">
        <v>45825</v>
      </c>
      <c r="D673" t="s">
        <v>29</v>
      </c>
      <c r="E673">
        <v>2365</v>
      </c>
    </row>
    <row r="674" spans="1:5" x14ac:dyDescent="0.55000000000000004">
      <c r="A674" t="s">
        <v>755</v>
      </c>
      <c r="B674" t="s">
        <v>32</v>
      </c>
      <c r="C674" s="2">
        <v>44487</v>
      </c>
      <c r="D674" t="s">
        <v>26</v>
      </c>
      <c r="E674">
        <v>1236</v>
      </c>
    </row>
    <row r="675" spans="1:5" x14ac:dyDescent="0.55000000000000004">
      <c r="A675" t="s">
        <v>756</v>
      </c>
      <c r="B675" t="s">
        <v>94</v>
      </c>
      <c r="C675" s="2">
        <v>44052</v>
      </c>
      <c r="D675" t="s">
        <v>26</v>
      </c>
      <c r="E675">
        <v>1693</v>
      </c>
    </row>
    <row r="676" spans="1:5" x14ac:dyDescent="0.55000000000000004">
      <c r="A676" t="s">
        <v>757</v>
      </c>
      <c r="B676" t="s">
        <v>156</v>
      </c>
      <c r="C676" s="2">
        <v>43480</v>
      </c>
      <c r="D676" t="s">
        <v>26</v>
      </c>
      <c r="E676">
        <v>2280</v>
      </c>
    </row>
    <row r="677" spans="1:5" x14ac:dyDescent="0.55000000000000004">
      <c r="A677" t="s">
        <v>758</v>
      </c>
      <c r="B677" t="s">
        <v>23</v>
      </c>
      <c r="C677" s="2">
        <v>44189</v>
      </c>
      <c r="D677" t="s">
        <v>29</v>
      </c>
      <c r="E677">
        <v>2276</v>
      </c>
    </row>
    <row r="678" spans="1:5" x14ac:dyDescent="0.55000000000000004">
      <c r="A678" t="s">
        <v>759</v>
      </c>
      <c r="B678" t="s">
        <v>96</v>
      </c>
      <c r="C678" s="2">
        <v>43658</v>
      </c>
      <c r="D678" t="s">
        <v>29</v>
      </c>
      <c r="E678">
        <v>2635</v>
      </c>
    </row>
    <row r="679" spans="1:5" x14ac:dyDescent="0.55000000000000004">
      <c r="A679" t="s">
        <v>760</v>
      </c>
      <c r="B679" t="s">
        <v>38</v>
      </c>
      <c r="C679" s="2">
        <v>44611</v>
      </c>
      <c r="D679" t="s">
        <v>29</v>
      </c>
      <c r="E679">
        <v>2852</v>
      </c>
    </row>
    <row r="680" spans="1:5" x14ac:dyDescent="0.55000000000000004">
      <c r="A680" t="s">
        <v>761</v>
      </c>
      <c r="B680" t="s">
        <v>140</v>
      </c>
      <c r="C680" s="2">
        <v>43753</v>
      </c>
      <c r="D680" t="s">
        <v>26</v>
      </c>
      <c r="E680">
        <v>1228</v>
      </c>
    </row>
    <row r="681" spans="1:5" x14ac:dyDescent="0.55000000000000004">
      <c r="A681" t="s">
        <v>762</v>
      </c>
      <c r="B681" t="s">
        <v>101</v>
      </c>
      <c r="C681" s="2">
        <v>43293</v>
      </c>
      <c r="D681" t="s">
        <v>29</v>
      </c>
      <c r="E681">
        <v>987</v>
      </c>
    </row>
    <row r="682" spans="1:5" x14ac:dyDescent="0.55000000000000004">
      <c r="A682" t="s">
        <v>763</v>
      </c>
      <c r="B682" t="s">
        <v>76</v>
      </c>
      <c r="C682" s="2">
        <v>44389</v>
      </c>
      <c r="D682" t="s">
        <v>29</v>
      </c>
      <c r="E682">
        <v>2898</v>
      </c>
    </row>
    <row r="683" spans="1:5" x14ac:dyDescent="0.55000000000000004">
      <c r="A683" t="s">
        <v>764</v>
      </c>
      <c r="B683" t="s">
        <v>72</v>
      </c>
      <c r="C683" s="2">
        <v>43865</v>
      </c>
      <c r="D683" t="s">
        <v>26</v>
      </c>
      <c r="E683">
        <v>2303</v>
      </c>
    </row>
    <row r="684" spans="1:5" x14ac:dyDescent="0.55000000000000004">
      <c r="A684" t="s">
        <v>765</v>
      </c>
      <c r="B684" t="s">
        <v>140</v>
      </c>
      <c r="C684" s="2">
        <v>43770</v>
      </c>
      <c r="D684" t="s">
        <v>26</v>
      </c>
      <c r="E684">
        <v>1590</v>
      </c>
    </row>
    <row r="685" spans="1:5" x14ac:dyDescent="0.55000000000000004">
      <c r="A685" t="s">
        <v>766</v>
      </c>
      <c r="B685" t="s">
        <v>63</v>
      </c>
      <c r="C685" s="2">
        <v>43439</v>
      </c>
      <c r="D685" t="s">
        <v>26</v>
      </c>
      <c r="E685">
        <v>1352</v>
      </c>
    </row>
    <row r="686" spans="1:5" x14ac:dyDescent="0.55000000000000004">
      <c r="A686" t="s">
        <v>767</v>
      </c>
      <c r="B686" t="s">
        <v>35</v>
      </c>
      <c r="C686" s="2">
        <v>43992</v>
      </c>
      <c r="D686" t="s">
        <v>29</v>
      </c>
      <c r="E686">
        <v>1519</v>
      </c>
    </row>
    <row r="687" spans="1:5" x14ac:dyDescent="0.55000000000000004">
      <c r="A687" t="s">
        <v>768</v>
      </c>
      <c r="B687" t="s">
        <v>74</v>
      </c>
      <c r="C687" s="2">
        <v>44013</v>
      </c>
      <c r="D687" t="s">
        <v>26</v>
      </c>
      <c r="E687">
        <v>211</v>
      </c>
    </row>
    <row r="688" spans="1:5" x14ac:dyDescent="0.55000000000000004">
      <c r="A688" t="s">
        <v>769</v>
      </c>
      <c r="B688" t="s">
        <v>84</v>
      </c>
      <c r="C688" s="2">
        <v>43689</v>
      </c>
      <c r="D688" t="s">
        <v>26</v>
      </c>
      <c r="E688">
        <v>298</v>
      </c>
    </row>
    <row r="689" spans="1:5" x14ac:dyDescent="0.55000000000000004">
      <c r="A689" t="s">
        <v>770</v>
      </c>
      <c r="B689" t="s">
        <v>151</v>
      </c>
      <c r="C689" s="2">
        <v>44476</v>
      </c>
      <c r="D689" t="s">
        <v>26</v>
      </c>
      <c r="E689">
        <v>1963</v>
      </c>
    </row>
    <row r="690" spans="1:5" x14ac:dyDescent="0.55000000000000004">
      <c r="A690" t="s">
        <v>771</v>
      </c>
      <c r="B690" t="s">
        <v>151</v>
      </c>
      <c r="C690" s="2">
        <v>43598</v>
      </c>
      <c r="D690" t="s">
        <v>29</v>
      </c>
      <c r="E690">
        <v>62</v>
      </c>
    </row>
    <row r="691" spans="1:5" x14ac:dyDescent="0.55000000000000004">
      <c r="A691" t="s">
        <v>772</v>
      </c>
      <c r="B691" t="s">
        <v>151</v>
      </c>
      <c r="C691" s="2">
        <v>43306</v>
      </c>
      <c r="D691" t="s">
        <v>26</v>
      </c>
      <c r="E691">
        <v>1961</v>
      </c>
    </row>
    <row r="692" spans="1:5" x14ac:dyDescent="0.55000000000000004">
      <c r="A692" t="s">
        <v>773</v>
      </c>
      <c r="B692" t="s">
        <v>63</v>
      </c>
      <c r="C692" s="2">
        <v>44341</v>
      </c>
      <c r="D692" t="s">
        <v>26</v>
      </c>
      <c r="E692">
        <v>1624</v>
      </c>
    </row>
    <row r="693" spans="1:5" x14ac:dyDescent="0.55000000000000004">
      <c r="A693" t="s">
        <v>774</v>
      </c>
      <c r="B693" t="s">
        <v>63</v>
      </c>
      <c r="C693" s="2">
        <v>44047</v>
      </c>
      <c r="D693" t="s">
        <v>29</v>
      </c>
      <c r="E693">
        <v>1159</v>
      </c>
    </row>
    <row r="694" spans="1:5" x14ac:dyDescent="0.55000000000000004">
      <c r="A694" t="s">
        <v>775</v>
      </c>
      <c r="B694" t="s">
        <v>101</v>
      </c>
      <c r="C694" s="2">
        <v>43871</v>
      </c>
      <c r="D694" t="s">
        <v>29</v>
      </c>
      <c r="E694">
        <v>1263</v>
      </c>
    </row>
    <row r="695" spans="1:5" x14ac:dyDescent="0.55000000000000004">
      <c r="A695" t="s">
        <v>776</v>
      </c>
      <c r="B695" t="s">
        <v>84</v>
      </c>
      <c r="C695" s="2">
        <v>43653</v>
      </c>
      <c r="D695" t="s">
        <v>29</v>
      </c>
      <c r="E695">
        <v>1908</v>
      </c>
    </row>
    <row r="696" spans="1:5" x14ac:dyDescent="0.55000000000000004">
      <c r="A696" t="s">
        <v>777</v>
      </c>
      <c r="B696" t="s">
        <v>115</v>
      </c>
      <c r="C696" s="2">
        <v>44561</v>
      </c>
      <c r="D696" t="s">
        <v>29</v>
      </c>
      <c r="E696">
        <v>1311</v>
      </c>
    </row>
    <row r="697" spans="1:5" x14ac:dyDescent="0.55000000000000004">
      <c r="A697" t="s">
        <v>778</v>
      </c>
      <c r="B697" t="s">
        <v>151</v>
      </c>
      <c r="C697" s="2">
        <v>43676</v>
      </c>
      <c r="D697" t="s">
        <v>29</v>
      </c>
      <c r="E697">
        <v>1695</v>
      </c>
    </row>
    <row r="698" spans="1:5" x14ac:dyDescent="0.55000000000000004">
      <c r="A698" t="s">
        <v>779</v>
      </c>
      <c r="B698" t="s">
        <v>142</v>
      </c>
      <c r="C698" s="2">
        <v>44069</v>
      </c>
      <c r="D698" t="s">
        <v>26</v>
      </c>
      <c r="E698">
        <v>597</v>
      </c>
    </row>
    <row r="699" spans="1:5" x14ac:dyDescent="0.55000000000000004">
      <c r="A699" t="s">
        <v>780</v>
      </c>
      <c r="B699" t="s">
        <v>14</v>
      </c>
      <c r="C699" s="2">
        <v>43451</v>
      </c>
      <c r="D699" t="s">
        <v>29</v>
      </c>
      <c r="E699">
        <v>1209</v>
      </c>
    </row>
    <row r="700" spans="1:5" x14ac:dyDescent="0.55000000000000004">
      <c r="A700" t="s">
        <v>781</v>
      </c>
      <c r="B700" t="s">
        <v>72</v>
      </c>
      <c r="C700" s="2">
        <v>43318</v>
      </c>
      <c r="D700" t="s">
        <v>29</v>
      </c>
      <c r="E700">
        <v>942</v>
      </c>
    </row>
    <row r="701" spans="1:5" x14ac:dyDescent="0.55000000000000004">
      <c r="A701" t="s">
        <v>782</v>
      </c>
      <c r="B701" t="s">
        <v>101</v>
      </c>
      <c r="C701" s="2">
        <v>44083</v>
      </c>
      <c r="D701" t="s">
        <v>26</v>
      </c>
      <c r="E701">
        <v>2045</v>
      </c>
    </row>
    <row r="702" spans="1:5" x14ac:dyDescent="0.55000000000000004">
      <c r="A702" t="s">
        <v>783</v>
      </c>
      <c r="B702" t="s">
        <v>99</v>
      </c>
      <c r="C702" s="2">
        <v>44848</v>
      </c>
      <c r="D702" t="s">
        <v>29</v>
      </c>
      <c r="E702">
        <v>2001</v>
      </c>
    </row>
    <row r="703" spans="1:5" x14ac:dyDescent="0.55000000000000004">
      <c r="A703" t="s">
        <v>784</v>
      </c>
      <c r="B703" t="s">
        <v>78</v>
      </c>
      <c r="C703" s="2">
        <v>45475</v>
      </c>
      <c r="D703" t="s">
        <v>29</v>
      </c>
      <c r="E703">
        <v>689</v>
      </c>
    </row>
    <row r="704" spans="1:5" x14ac:dyDescent="0.55000000000000004">
      <c r="A704" t="s">
        <v>785</v>
      </c>
      <c r="B704" t="s">
        <v>78</v>
      </c>
      <c r="C704" s="2">
        <v>44908</v>
      </c>
      <c r="D704" t="s">
        <v>26</v>
      </c>
      <c r="E704">
        <v>573</v>
      </c>
    </row>
    <row r="705" spans="1:5" x14ac:dyDescent="0.55000000000000004">
      <c r="A705" t="s">
        <v>786</v>
      </c>
      <c r="B705" t="s">
        <v>78</v>
      </c>
      <c r="C705" s="2">
        <v>45704</v>
      </c>
      <c r="D705" t="s">
        <v>29</v>
      </c>
      <c r="E705">
        <v>753</v>
      </c>
    </row>
    <row r="706" spans="1:5" x14ac:dyDescent="0.55000000000000004">
      <c r="A706" t="s">
        <v>787</v>
      </c>
      <c r="B706" t="s">
        <v>94</v>
      </c>
      <c r="C706" s="2">
        <v>45686</v>
      </c>
      <c r="D706" t="s">
        <v>26</v>
      </c>
      <c r="E706">
        <v>2146</v>
      </c>
    </row>
    <row r="707" spans="1:5" x14ac:dyDescent="0.55000000000000004">
      <c r="A707" t="s">
        <v>788</v>
      </c>
      <c r="B707" t="s">
        <v>142</v>
      </c>
      <c r="C707" s="2">
        <v>43069</v>
      </c>
      <c r="D707" t="s">
        <v>26</v>
      </c>
      <c r="E707">
        <v>26</v>
      </c>
    </row>
    <row r="708" spans="1:5" x14ac:dyDescent="0.55000000000000004">
      <c r="A708" t="s">
        <v>789</v>
      </c>
      <c r="B708" t="s">
        <v>140</v>
      </c>
      <c r="C708" s="2">
        <v>43198</v>
      </c>
      <c r="D708" t="s">
        <v>26</v>
      </c>
      <c r="E708">
        <v>278</v>
      </c>
    </row>
    <row r="709" spans="1:5" x14ac:dyDescent="0.55000000000000004">
      <c r="A709" t="s">
        <v>790</v>
      </c>
      <c r="B709" t="s">
        <v>41</v>
      </c>
      <c r="C709" s="2">
        <v>44140</v>
      </c>
      <c r="D709" t="s">
        <v>26</v>
      </c>
      <c r="E709">
        <v>895</v>
      </c>
    </row>
    <row r="710" spans="1:5" x14ac:dyDescent="0.55000000000000004">
      <c r="A710" t="s">
        <v>791</v>
      </c>
      <c r="B710" t="s">
        <v>67</v>
      </c>
      <c r="C710" s="2">
        <v>45333</v>
      </c>
      <c r="D710" t="s">
        <v>29</v>
      </c>
      <c r="E710">
        <v>247</v>
      </c>
    </row>
    <row r="711" spans="1:5" x14ac:dyDescent="0.55000000000000004">
      <c r="A711" t="s">
        <v>792</v>
      </c>
      <c r="B711" t="s">
        <v>32</v>
      </c>
      <c r="C711" s="2">
        <v>44820</v>
      </c>
      <c r="D711" t="s">
        <v>29</v>
      </c>
      <c r="E711">
        <v>64</v>
      </c>
    </row>
    <row r="712" spans="1:5" x14ac:dyDescent="0.55000000000000004">
      <c r="A712" t="s">
        <v>793</v>
      </c>
      <c r="B712" t="s">
        <v>14</v>
      </c>
      <c r="C712" s="2">
        <v>44006</v>
      </c>
      <c r="D712" t="s">
        <v>29</v>
      </c>
      <c r="E712">
        <v>48</v>
      </c>
    </row>
    <row r="713" spans="1:5" x14ac:dyDescent="0.55000000000000004">
      <c r="A713" t="s">
        <v>794</v>
      </c>
      <c r="B713" t="s">
        <v>14</v>
      </c>
      <c r="C713" s="2">
        <v>44001</v>
      </c>
      <c r="D713" t="s">
        <v>29</v>
      </c>
      <c r="E713">
        <v>2194</v>
      </c>
    </row>
    <row r="714" spans="1:5" x14ac:dyDescent="0.55000000000000004">
      <c r="A714" t="s">
        <v>795</v>
      </c>
      <c r="B714" t="s">
        <v>156</v>
      </c>
      <c r="C714" s="2">
        <v>42952</v>
      </c>
      <c r="D714" t="s">
        <v>29</v>
      </c>
      <c r="E714">
        <v>734</v>
      </c>
    </row>
    <row r="715" spans="1:5" x14ac:dyDescent="0.55000000000000004">
      <c r="A715" t="s">
        <v>796</v>
      </c>
      <c r="B715" t="s">
        <v>115</v>
      </c>
      <c r="C715" s="2">
        <v>43114</v>
      </c>
      <c r="D715" t="s">
        <v>26</v>
      </c>
      <c r="E715">
        <v>987</v>
      </c>
    </row>
    <row r="716" spans="1:5" x14ac:dyDescent="0.55000000000000004">
      <c r="A716" t="s">
        <v>797</v>
      </c>
      <c r="B716" t="s">
        <v>151</v>
      </c>
      <c r="C716" s="2">
        <v>44186</v>
      </c>
      <c r="D716" t="s">
        <v>29</v>
      </c>
      <c r="E716">
        <v>1451</v>
      </c>
    </row>
    <row r="717" spans="1:5" x14ac:dyDescent="0.55000000000000004">
      <c r="A717" t="s">
        <v>798</v>
      </c>
      <c r="B717" t="s">
        <v>84</v>
      </c>
      <c r="C717" s="2">
        <v>44545</v>
      </c>
      <c r="D717" t="s">
        <v>29</v>
      </c>
      <c r="E717">
        <v>323</v>
      </c>
    </row>
    <row r="718" spans="1:5" x14ac:dyDescent="0.55000000000000004">
      <c r="A718" t="s">
        <v>799</v>
      </c>
      <c r="B718" t="s">
        <v>86</v>
      </c>
      <c r="C718" s="2">
        <v>43748</v>
      </c>
      <c r="D718" t="s">
        <v>29</v>
      </c>
      <c r="E718">
        <v>2314</v>
      </c>
    </row>
    <row r="719" spans="1:5" x14ac:dyDescent="0.55000000000000004">
      <c r="A719" t="s">
        <v>800</v>
      </c>
      <c r="B719" t="s">
        <v>63</v>
      </c>
      <c r="C719" s="2">
        <v>44344</v>
      </c>
      <c r="D719" t="s">
        <v>26</v>
      </c>
      <c r="E719">
        <v>1228</v>
      </c>
    </row>
    <row r="720" spans="1:5" x14ac:dyDescent="0.55000000000000004">
      <c r="A720" t="s">
        <v>801</v>
      </c>
      <c r="B720" t="s">
        <v>38</v>
      </c>
      <c r="C720" s="2">
        <v>43996</v>
      </c>
      <c r="D720" t="s">
        <v>26</v>
      </c>
      <c r="E720">
        <v>382</v>
      </c>
    </row>
    <row r="721" spans="1:5" x14ac:dyDescent="0.55000000000000004">
      <c r="A721" t="s">
        <v>802</v>
      </c>
      <c r="B721" t="s">
        <v>101</v>
      </c>
      <c r="C721" s="2">
        <v>43693</v>
      </c>
      <c r="D721" t="s">
        <v>29</v>
      </c>
      <c r="E721">
        <v>2263</v>
      </c>
    </row>
    <row r="722" spans="1:5" x14ac:dyDescent="0.55000000000000004">
      <c r="A722" t="s">
        <v>803</v>
      </c>
      <c r="B722" t="s">
        <v>96</v>
      </c>
      <c r="C722" s="2">
        <v>43695</v>
      </c>
      <c r="D722" t="s">
        <v>26</v>
      </c>
      <c r="E722">
        <v>2878</v>
      </c>
    </row>
    <row r="723" spans="1:5" x14ac:dyDescent="0.55000000000000004">
      <c r="A723" t="s">
        <v>804</v>
      </c>
      <c r="B723" t="s">
        <v>105</v>
      </c>
      <c r="C723" s="2">
        <v>43086</v>
      </c>
      <c r="D723" t="s">
        <v>29</v>
      </c>
      <c r="E723">
        <v>1777</v>
      </c>
    </row>
    <row r="724" spans="1:5" x14ac:dyDescent="0.55000000000000004">
      <c r="A724" t="s">
        <v>805</v>
      </c>
      <c r="B724" t="s">
        <v>35</v>
      </c>
      <c r="C724" s="2">
        <v>44509</v>
      </c>
      <c r="D724" t="s">
        <v>26</v>
      </c>
      <c r="E724">
        <v>2163</v>
      </c>
    </row>
    <row r="725" spans="1:5" x14ac:dyDescent="0.55000000000000004">
      <c r="A725" t="s">
        <v>806</v>
      </c>
      <c r="B725" t="s">
        <v>142</v>
      </c>
      <c r="C725" s="2">
        <v>43387</v>
      </c>
      <c r="D725" t="s">
        <v>26</v>
      </c>
      <c r="E725">
        <v>2835</v>
      </c>
    </row>
    <row r="726" spans="1:5" x14ac:dyDescent="0.55000000000000004">
      <c r="A726" t="s">
        <v>807</v>
      </c>
      <c r="B726" t="s">
        <v>94</v>
      </c>
      <c r="C726" s="2">
        <v>45787</v>
      </c>
      <c r="D726" t="s">
        <v>29</v>
      </c>
      <c r="E726">
        <v>1110</v>
      </c>
    </row>
    <row r="727" spans="1:5" x14ac:dyDescent="0.55000000000000004">
      <c r="A727" t="s">
        <v>808</v>
      </c>
      <c r="B727" t="s">
        <v>142</v>
      </c>
      <c r="C727" s="2">
        <v>43069</v>
      </c>
      <c r="D727" t="s">
        <v>29</v>
      </c>
      <c r="E727">
        <v>2224</v>
      </c>
    </row>
    <row r="728" spans="1:5" x14ac:dyDescent="0.55000000000000004">
      <c r="A728" t="s">
        <v>809</v>
      </c>
      <c r="B728" t="s">
        <v>23</v>
      </c>
      <c r="C728" s="2">
        <v>43898</v>
      </c>
      <c r="D728" t="s">
        <v>26</v>
      </c>
      <c r="E728">
        <v>1288</v>
      </c>
    </row>
    <row r="729" spans="1:5" x14ac:dyDescent="0.55000000000000004">
      <c r="A729" t="s">
        <v>810</v>
      </c>
      <c r="B729" t="s">
        <v>14</v>
      </c>
      <c r="C729" s="2">
        <v>43341</v>
      </c>
      <c r="D729" t="s">
        <v>26</v>
      </c>
      <c r="E729">
        <v>2919</v>
      </c>
    </row>
    <row r="730" spans="1:5" x14ac:dyDescent="0.55000000000000004">
      <c r="A730" t="s">
        <v>811</v>
      </c>
      <c r="B730" t="s">
        <v>175</v>
      </c>
      <c r="C730" s="2">
        <v>45097</v>
      </c>
      <c r="D730" t="s">
        <v>26</v>
      </c>
      <c r="E730">
        <v>1225</v>
      </c>
    </row>
    <row r="731" spans="1:5" x14ac:dyDescent="0.55000000000000004">
      <c r="A731" t="s">
        <v>812</v>
      </c>
      <c r="B731" t="s">
        <v>105</v>
      </c>
      <c r="C731" s="2">
        <v>44071</v>
      </c>
      <c r="D731" t="s">
        <v>26</v>
      </c>
      <c r="E731">
        <v>2321</v>
      </c>
    </row>
    <row r="732" spans="1:5" x14ac:dyDescent="0.55000000000000004">
      <c r="A732" t="s">
        <v>813</v>
      </c>
      <c r="B732" t="s">
        <v>175</v>
      </c>
      <c r="C732" s="2">
        <v>45059</v>
      </c>
      <c r="D732" t="s">
        <v>29</v>
      </c>
      <c r="E732">
        <v>1572</v>
      </c>
    </row>
    <row r="733" spans="1:5" x14ac:dyDescent="0.55000000000000004">
      <c r="A733" t="s">
        <v>814</v>
      </c>
      <c r="B733" t="s">
        <v>118</v>
      </c>
      <c r="C733" s="2">
        <v>44039</v>
      </c>
      <c r="D733" t="s">
        <v>26</v>
      </c>
      <c r="E733">
        <v>2051</v>
      </c>
    </row>
    <row r="734" spans="1:5" x14ac:dyDescent="0.55000000000000004">
      <c r="A734" t="s">
        <v>815</v>
      </c>
      <c r="B734" t="s">
        <v>78</v>
      </c>
      <c r="C734" s="2">
        <v>44882</v>
      </c>
      <c r="D734" t="s">
        <v>26</v>
      </c>
      <c r="E734">
        <v>400</v>
      </c>
    </row>
    <row r="735" spans="1:5" x14ac:dyDescent="0.55000000000000004">
      <c r="A735" t="s">
        <v>816</v>
      </c>
      <c r="B735" t="s">
        <v>140</v>
      </c>
      <c r="C735" s="2">
        <v>43392</v>
      </c>
      <c r="D735" t="s">
        <v>26</v>
      </c>
      <c r="E735">
        <v>1395</v>
      </c>
    </row>
    <row r="736" spans="1:5" x14ac:dyDescent="0.55000000000000004">
      <c r="A736" t="s">
        <v>817</v>
      </c>
      <c r="B736" t="s">
        <v>32</v>
      </c>
      <c r="C736" s="2">
        <v>44643</v>
      </c>
      <c r="D736" t="s">
        <v>29</v>
      </c>
      <c r="E736">
        <v>121</v>
      </c>
    </row>
    <row r="737" spans="1:5" x14ac:dyDescent="0.55000000000000004">
      <c r="A737" t="s">
        <v>818</v>
      </c>
      <c r="B737" t="s">
        <v>35</v>
      </c>
      <c r="C737" s="2">
        <v>44390</v>
      </c>
      <c r="D737" t="s">
        <v>29</v>
      </c>
      <c r="E737">
        <v>2009</v>
      </c>
    </row>
    <row r="738" spans="1:5" x14ac:dyDescent="0.55000000000000004">
      <c r="A738" t="s">
        <v>819</v>
      </c>
      <c r="B738" t="s">
        <v>63</v>
      </c>
      <c r="C738" s="2">
        <v>43645</v>
      </c>
      <c r="D738" t="s">
        <v>29</v>
      </c>
      <c r="E738">
        <v>1768</v>
      </c>
    </row>
    <row r="739" spans="1:5" x14ac:dyDescent="0.55000000000000004">
      <c r="A739" t="s">
        <v>820</v>
      </c>
      <c r="B739" t="s">
        <v>105</v>
      </c>
      <c r="C739" s="2">
        <v>44309</v>
      </c>
      <c r="D739" t="s">
        <v>29</v>
      </c>
      <c r="E739">
        <v>351</v>
      </c>
    </row>
    <row r="740" spans="1:5" x14ac:dyDescent="0.55000000000000004">
      <c r="A740" t="s">
        <v>821</v>
      </c>
      <c r="B740" t="s">
        <v>118</v>
      </c>
      <c r="C740" s="2">
        <v>44675</v>
      </c>
      <c r="D740" t="s">
        <v>26</v>
      </c>
      <c r="E740">
        <v>2920</v>
      </c>
    </row>
    <row r="741" spans="1:5" x14ac:dyDescent="0.55000000000000004">
      <c r="A741" t="s">
        <v>822</v>
      </c>
      <c r="B741" t="s">
        <v>74</v>
      </c>
      <c r="C741" s="2">
        <v>43085</v>
      </c>
      <c r="D741" t="s">
        <v>29</v>
      </c>
      <c r="E741">
        <v>631</v>
      </c>
    </row>
    <row r="742" spans="1:5" x14ac:dyDescent="0.55000000000000004">
      <c r="A742" t="s">
        <v>823</v>
      </c>
      <c r="B742" t="s">
        <v>101</v>
      </c>
      <c r="C742" s="2">
        <v>44374</v>
      </c>
      <c r="D742" t="s">
        <v>26</v>
      </c>
      <c r="E742">
        <v>1595</v>
      </c>
    </row>
    <row r="743" spans="1:5" x14ac:dyDescent="0.55000000000000004">
      <c r="A743" t="s">
        <v>824</v>
      </c>
      <c r="B743" t="s">
        <v>111</v>
      </c>
      <c r="C743" s="2">
        <v>43655</v>
      </c>
      <c r="D743" t="s">
        <v>26</v>
      </c>
      <c r="E743">
        <v>374</v>
      </c>
    </row>
    <row r="744" spans="1:5" x14ac:dyDescent="0.55000000000000004">
      <c r="A744" t="s">
        <v>825</v>
      </c>
      <c r="B744" t="s">
        <v>14</v>
      </c>
      <c r="C744" s="2">
        <v>43548</v>
      </c>
      <c r="D744" t="s">
        <v>29</v>
      </c>
      <c r="E744">
        <v>1474</v>
      </c>
    </row>
    <row r="745" spans="1:5" x14ac:dyDescent="0.55000000000000004">
      <c r="A745" t="s">
        <v>826</v>
      </c>
      <c r="B745" t="s">
        <v>118</v>
      </c>
      <c r="C745" s="2">
        <v>44570</v>
      </c>
      <c r="D745" t="s">
        <v>26</v>
      </c>
      <c r="E745">
        <v>542</v>
      </c>
    </row>
    <row r="746" spans="1:5" x14ac:dyDescent="0.55000000000000004">
      <c r="A746" t="s">
        <v>827</v>
      </c>
      <c r="B746" t="s">
        <v>74</v>
      </c>
      <c r="C746" s="2">
        <v>43300</v>
      </c>
      <c r="D746" t="s">
        <v>29</v>
      </c>
      <c r="E746">
        <v>1838</v>
      </c>
    </row>
    <row r="747" spans="1:5" x14ac:dyDescent="0.55000000000000004">
      <c r="A747" t="s">
        <v>828</v>
      </c>
      <c r="B747" t="s">
        <v>99</v>
      </c>
      <c r="C747" s="2">
        <v>45738</v>
      </c>
      <c r="D747" t="s">
        <v>29</v>
      </c>
      <c r="E747">
        <v>423</v>
      </c>
    </row>
    <row r="748" spans="1:5" x14ac:dyDescent="0.55000000000000004">
      <c r="A748" t="s">
        <v>829</v>
      </c>
      <c r="B748" t="s">
        <v>14</v>
      </c>
      <c r="C748" s="2">
        <v>43100</v>
      </c>
      <c r="D748" t="s">
        <v>29</v>
      </c>
      <c r="E748">
        <v>2270</v>
      </c>
    </row>
    <row r="749" spans="1:5" x14ac:dyDescent="0.55000000000000004">
      <c r="A749" t="s">
        <v>830</v>
      </c>
      <c r="B749" t="s">
        <v>74</v>
      </c>
      <c r="C749" s="2">
        <v>44139</v>
      </c>
      <c r="D749" t="s">
        <v>29</v>
      </c>
      <c r="E749">
        <v>1577</v>
      </c>
    </row>
    <row r="750" spans="1:5" x14ac:dyDescent="0.55000000000000004">
      <c r="A750" t="s">
        <v>831</v>
      </c>
      <c r="B750" t="s">
        <v>14</v>
      </c>
      <c r="C750" s="2">
        <v>43514</v>
      </c>
      <c r="D750" t="s">
        <v>29</v>
      </c>
      <c r="E750">
        <v>1588</v>
      </c>
    </row>
    <row r="751" spans="1:5" x14ac:dyDescent="0.55000000000000004">
      <c r="A751" t="s">
        <v>832</v>
      </c>
      <c r="B751" t="s">
        <v>118</v>
      </c>
      <c r="C751" s="2">
        <v>43812</v>
      </c>
      <c r="D751" t="s">
        <v>26</v>
      </c>
      <c r="E751">
        <v>2342</v>
      </c>
    </row>
    <row r="752" spans="1:5" x14ac:dyDescent="0.55000000000000004">
      <c r="A752" t="s">
        <v>833</v>
      </c>
      <c r="B752" t="s">
        <v>67</v>
      </c>
      <c r="C752" s="2">
        <v>44160</v>
      </c>
      <c r="D752" t="s">
        <v>29</v>
      </c>
      <c r="E752">
        <v>694</v>
      </c>
    </row>
    <row r="753" spans="1:5" x14ac:dyDescent="0.55000000000000004">
      <c r="A753" t="s">
        <v>834</v>
      </c>
      <c r="B753" t="s">
        <v>72</v>
      </c>
      <c r="C753" s="2">
        <v>43467</v>
      </c>
      <c r="D753" t="s">
        <v>29</v>
      </c>
      <c r="E753">
        <v>1099</v>
      </c>
    </row>
    <row r="754" spans="1:5" x14ac:dyDescent="0.55000000000000004">
      <c r="A754" t="s">
        <v>835</v>
      </c>
      <c r="B754" t="s">
        <v>96</v>
      </c>
      <c r="C754" s="2">
        <v>44063</v>
      </c>
      <c r="D754" t="s">
        <v>26</v>
      </c>
      <c r="E754">
        <v>684</v>
      </c>
    </row>
    <row r="755" spans="1:5" x14ac:dyDescent="0.55000000000000004">
      <c r="A755" t="s">
        <v>836</v>
      </c>
      <c r="B755" t="s">
        <v>140</v>
      </c>
      <c r="C755" s="2">
        <v>43482</v>
      </c>
      <c r="D755" t="s">
        <v>29</v>
      </c>
      <c r="E755">
        <v>1227</v>
      </c>
    </row>
    <row r="756" spans="1:5" x14ac:dyDescent="0.55000000000000004">
      <c r="A756" t="s">
        <v>837</v>
      </c>
      <c r="B756" t="s">
        <v>96</v>
      </c>
      <c r="C756" s="2">
        <v>43781</v>
      </c>
      <c r="D756" t="s">
        <v>29</v>
      </c>
      <c r="E756">
        <v>1030</v>
      </c>
    </row>
    <row r="757" spans="1:5" x14ac:dyDescent="0.55000000000000004">
      <c r="A757" t="s">
        <v>838</v>
      </c>
      <c r="B757" t="s">
        <v>63</v>
      </c>
      <c r="C757" s="2">
        <v>44393</v>
      </c>
      <c r="D757" t="s">
        <v>29</v>
      </c>
      <c r="E757">
        <v>2432</v>
      </c>
    </row>
    <row r="758" spans="1:5" x14ac:dyDescent="0.55000000000000004">
      <c r="A758" t="s">
        <v>839</v>
      </c>
      <c r="B758" t="s">
        <v>32</v>
      </c>
      <c r="C758" s="2">
        <v>44231</v>
      </c>
      <c r="D758" t="s">
        <v>29</v>
      </c>
      <c r="E758">
        <v>438</v>
      </c>
    </row>
    <row r="759" spans="1:5" x14ac:dyDescent="0.55000000000000004">
      <c r="A759" t="s">
        <v>840</v>
      </c>
      <c r="B759" t="s">
        <v>72</v>
      </c>
      <c r="C759" s="2">
        <v>43540</v>
      </c>
      <c r="D759" t="s">
        <v>26</v>
      </c>
      <c r="E759">
        <v>1620</v>
      </c>
    </row>
    <row r="760" spans="1:5" x14ac:dyDescent="0.55000000000000004">
      <c r="A760" t="s">
        <v>841</v>
      </c>
      <c r="B760" t="s">
        <v>111</v>
      </c>
      <c r="C760" s="2">
        <v>44187</v>
      </c>
      <c r="D760" t="s">
        <v>29</v>
      </c>
      <c r="E760">
        <v>1349</v>
      </c>
    </row>
    <row r="761" spans="1:5" x14ac:dyDescent="0.55000000000000004">
      <c r="A761" t="s">
        <v>842</v>
      </c>
      <c r="B761" t="s">
        <v>15</v>
      </c>
      <c r="C761" s="2">
        <v>43602</v>
      </c>
      <c r="D761" t="s">
        <v>29</v>
      </c>
      <c r="E761">
        <v>2666</v>
      </c>
    </row>
    <row r="762" spans="1:5" x14ac:dyDescent="0.55000000000000004">
      <c r="A762" t="s">
        <v>843</v>
      </c>
      <c r="B762" t="s">
        <v>32</v>
      </c>
      <c r="C762" s="2">
        <v>44109</v>
      </c>
      <c r="D762" t="s">
        <v>29</v>
      </c>
      <c r="E762">
        <v>1313</v>
      </c>
    </row>
    <row r="763" spans="1:5" x14ac:dyDescent="0.55000000000000004">
      <c r="A763" t="s">
        <v>844</v>
      </c>
      <c r="B763" t="s">
        <v>32</v>
      </c>
      <c r="C763" s="2">
        <v>44242</v>
      </c>
      <c r="D763" t="s">
        <v>29</v>
      </c>
      <c r="E763">
        <v>1286</v>
      </c>
    </row>
    <row r="764" spans="1:5" x14ac:dyDescent="0.55000000000000004">
      <c r="A764" t="s">
        <v>845</v>
      </c>
      <c r="B764" t="s">
        <v>105</v>
      </c>
      <c r="C764" s="2">
        <v>43732</v>
      </c>
      <c r="D764" t="s">
        <v>29</v>
      </c>
      <c r="E764">
        <v>1193</v>
      </c>
    </row>
    <row r="765" spans="1:5" x14ac:dyDescent="0.55000000000000004">
      <c r="A765" t="s">
        <v>846</v>
      </c>
      <c r="B765" t="s">
        <v>78</v>
      </c>
      <c r="C765" s="2">
        <v>45477</v>
      </c>
      <c r="D765" t="s">
        <v>26</v>
      </c>
      <c r="E765">
        <v>1334</v>
      </c>
    </row>
    <row r="766" spans="1:5" x14ac:dyDescent="0.55000000000000004">
      <c r="A766" t="s">
        <v>847</v>
      </c>
      <c r="B766" t="s">
        <v>101</v>
      </c>
      <c r="C766" s="2">
        <v>43491</v>
      </c>
      <c r="D766" t="s">
        <v>29</v>
      </c>
      <c r="E766">
        <v>1495</v>
      </c>
    </row>
    <row r="767" spans="1:5" x14ac:dyDescent="0.55000000000000004">
      <c r="A767" t="s">
        <v>848</v>
      </c>
      <c r="B767" t="s">
        <v>115</v>
      </c>
      <c r="C767" s="2">
        <v>44071</v>
      </c>
      <c r="D767" t="s">
        <v>26</v>
      </c>
      <c r="E767">
        <v>2425</v>
      </c>
    </row>
    <row r="768" spans="1:5" x14ac:dyDescent="0.55000000000000004">
      <c r="A768" t="s">
        <v>849</v>
      </c>
      <c r="B768" t="s">
        <v>99</v>
      </c>
      <c r="C768" s="2">
        <v>44202</v>
      </c>
      <c r="D768" t="s">
        <v>26</v>
      </c>
      <c r="E768">
        <v>2978</v>
      </c>
    </row>
    <row r="769" spans="1:5" x14ac:dyDescent="0.55000000000000004">
      <c r="A769" t="s">
        <v>850</v>
      </c>
      <c r="B769" t="s">
        <v>15</v>
      </c>
      <c r="C769" s="2">
        <v>44367</v>
      </c>
      <c r="D769" t="s">
        <v>26</v>
      </c>
      <c r="E769">
        <v>1795</v>
      </c>
    </row>
    <row r="770" spans="1:5" x14ac:dyDescent="0.55000000000000004">
      <c r="A770" t="s">
        <v>851</v>
      </c>
      <c r="B770" t="s">
        <v>137</v>
      </c>
      <c r="C770" s="2">
        <v>44659</v>
      </c>
      <c r="D770" t="s">
        <v>26</v>
      </c>
      <c r="E770">
        <v>1675</v>
      </c>
    </row>
    <row r="771" spans="1:5" x14ac:dyDescent="0.55000000000000004">
      <c r="A771" t="s">
        <v>852</v>
      </c>
      <c r="B771" t="s">
        <v>38</v>
      </c>
      <c r="C771" s="2">
        <v>44853</v>
      </c>
      <c r="D771" t="s">
        <v>26</v>
      </c>
      <c r="E771">
        <v>2594</v>
      </c>
    </row>
    <row r="772" spans="1:5" x14ac:dyDescent="0.55000000000000004">
      <c r="A772" t="s">
        <v>853</v>
      </c>
      <c r="B772" t="s">
        <v>156</v>
      </c>
      <c r="C772" s="2">
        <v>43412</v>
      </c>
      <c r="D772" t="s">
        <v>29</v>
      </c>
      <c r="E772">
        <v>2697</v>
      </c>
    </row>
    <row r="773" spans="1:5" x14ac:dyDescent="0.55000000000000004">
      <c r="A773" t="s">
        <v>854</v>
      </c>
      <c r="B773" t="s">
        <v>72</v>
      </c>
      <c r="C773" s="2">
        <v>44381</v>
      </c>
      <c r="D773" t="s">
        <v>29</v>
      </c>
      <c r="E773">
        <v>1544</v>
      </c>
    </row>
    <row r="774" spans="1:5" x14ac:dyDescent="0.55000000000000004">
      <c r="A774" t="s">
        <v>855</v>
      </c>
      <c r="B774" t="s">
        <v>74</v>
      </c>
      <c r="C774" s="2">
        <v>43836</v>
      </c>
      <c r="D774" t="s">
        <v>29</v>
      </c>
      <c r="E774">
        <v>2384</v>
      </c>
    </row>
    <row r="775" spans="1:5" x14ac:dyDescent="0.55000000000000004">
      <c r="A775" t="s">
        <v>856</v>
      </c>
      <c r="B775" t="s">
        <v>101</v>
      </c>
      <c r="C775" s="2">
        <v>44011</v>
      </c>
      <c r="D775" t="s">
        <v>29</v>
      </c>
      <c r="E775">
        <v>2226</v>
      </c>
    </row>
    <row r="776" spans="1:5" x14ac:dyDescent="0.55000000000000004">
      <c r="A776" t="s">
        <v>857</v>
      </c>
      <c r="B776" t="s">
        <v>142</v>
      </c>
      <c r="C776" s="2">
        <v>44536</v>
      </c>
      <c r="D776" t="s">
        <v>29</v>
      </c>
      <c r="E776">
        <v>2873</v>
      </c>
    </row>
    <row r="777" spans="1:5" x14ac:dyDescent="0.55000000000000004">
      <c r="A777" t="s">
        <v>858</v>
      </c>
      <c r="B777" t="s">
        <v>94</v>
      </c>
      <c r="C777" s="2">
        <v>45665</v>
      </c>
      <c r="D777" t="s">
        <v>26</v>
      </c>
      <c r="E777">
        <v>447</v>
      </c>
    </row>
    <row r="778" spans="1:5" x14ac:dyDescent="0.55000000000000004">
      <c r="A778" t="s">
        <v>859</v>
      </c>
      <c r="B778" t="s">
        <v>118</v>
      </c>
      <c r="C778" s="2">
        <v>44482</v>
      </c>
      <c r="D778" t="s">
        <v>29</v>
      </c>
      <c r="E778">
        <v>681</v>
      </c>
    </row>
    <row r="779" spans="1:5" x14ac:dyDescent="0.55000000000000004">
      <c r="A779" t="s">
        <v>860</v>
      </c>
      <c r="B779" t="s">
        <v>35</v>
      </c>
      <c r="C779" s="2">
        <v>43921</v>
      </c>
      <c r="D779" t="s">
        <v>29</v>
      </c>
      <c r="E779">
        <v>1358</v>
      </c>
    </row>
    <row r="780" spans="1:5" x14ac:dyDescent="0.55000000000000004">
      <c r="A780" t="s">
        <v>861</v>
      </c>
      <c r="B780" t="s">
        <v>137</v>
      </c>
      <c r="C780" s="2">
        <v>45229</v>
      </c>
      <c r="D780" t="s">
        <v>26</v>
      </c>
      <c r="E780">
        <v>43</v>
      </c>
    </row>
    <row r="781" spans="1:5" x14ac:dyDescent="0.55000000000000004">
      <c r="A781" t="s">
        <v>862</v>
      </c>
      <c r="B781" t="s">
        <v>115</v>
      </c>
      <c r="C781" s="2">
        <v>43446</v>
      </c>
      <c r="D781" t="s">
        <v>26</v>
      </c>
      <c r="E781">
        <v>2091</v>
      </c>
    </row>
    <row r="782" spans="1:5" x14ac:dyDescent="0.55000000000000004">
      <c r="A782" t="s">
        <v>863</v>
      </c>
      <c r="B782" t="s">
        <v>78</v>
      </c>
      <c r="C782" s="2">
        <v>45590</v>
      </c>
      <c r="D782" t="s">
        <v>26</v>
      </c>
      <c r="E782">
        <v>1825</v>
      </c>
    </row>
    <row r="783" spans="1:5" x14ac:dyDescent="0.55000000000000004">
      <c r="A783" t="s">
        <v>864</v>
      </c>
      <c r="B783" t="s">
        <v>86</v>
      </c>
      <c r="C783" s="2">
        <v>43718</v>
      </c>
      <c r="D783" t="s">
        <v>29</v>
      </c>
      <c r="E783">
        <v>2783</v>
      </c>
    </row>
    <row r="784" spans="1:5" x14ac:dyDescent="0.55000000000000004">
      <c r="A784" t="s">
        <v>865</v>
      </c>
      <c r="B784" t="s">
        <v>23</v>
      </c>
      <c r="C784" s="2">
        <v>44855</v>
      </c>
      <c r="D784" t="s">
        <v>26</v>
      </c>
      <c r="E784">
        <v>1412</v>
      </c>
    </row>
    <row r="785" spans="1:5" x14ac:dyDescent="0.55000000000000004">
      <c r="A785" t="s">
        <v>866</v>
      </c>
      <c r="B785" t="s">
        <v>14</v>
      </c>
      <c r="C785" s="2">
        <v>43905</v>
      </c>
      <c r="D785" t="s">
        <v>26</v>
      </c>
      <c r="E785">
        <v>1210</v>
      </c>
    </row>
    <row r="786" spans="1:5" x14ac:dyDescent="0.55000000000000004">
      <c r="A786" t="s">
        <v>867</v>
      </c>
      <c r="B786" t="s">
        <v>140</v>
      </c>
      <c r="C786" s="2">
        <v>43092</v>
      </c>
      <c r="D786" t="s">
        <v>26</v>
      </c>
      <c r="E786">
        <v>2990</v>
      </c>
    </row>
    <row r="787" spans="1:5" x14ac:dyDescent="0.55000000000000004">
      <c r="A787" t="s">
        <v>868</v>
      </c>
      <c r="B787" t="s">
        <v>72</v>
      </c>
      <c r="C787" s="2">
        <v>43630</v>
      </c>
      <c r="D787" t="s">
        <v>29</v>
      </c>
      <c r="E787">
        <v>1405</v>
      </c>
    </row>
    <row r="788" spans="1:5" x14ac:dyDescent="0.55000000000000004">
      <c r="A788" t="s">
        <v>869</v>
      </c>
      <c r="B788" t="s">
        <v>15</v>
      </c>
      <c r="C788" s="2">
        <v>44523</v>
      </c>
      <c r="D788" t="s">
        <v>26</v>
      </c>
      <c r="E788">
        <v>2134</v>
      </c>
    </row>
    <row r="789" spans="1:5" x14ac:dyDescent="0.55000000000000004">
      <c r="A789" t="s">
        <v>870</v>
      </c>
      <c r="B789" t="s">
        <v>96</v>
      </c>
      <c r="C789" s="2">
        <v>44892</v>
      </c>
      <c r="D789" t="s">
        <v>29</v>
      </c>
      <c r="E789">
        <v>399</v>
      </c>
    </row>
    <row r="790" spans="1:5" x14ac:dyDescent="0.55000000000000004">
      <c r="A790" t="s">
        <v>871</v>
      </c>
      <c r="B790" t="s">
        <v>15</v>
      </c>
      <c r="C790" s="2">
        <v>44395</v>
      </c>
      <c r="D790" t="s">
        <v>29</v>
      </c>
      <c r="E790">
        <v>1306</v>
      </c>
    </row>
    <row r="791" spans="1:5" x14ac:dyDescent="0.55000000000000004">
      <c r="A791" t="s">
        <v>872</v>
      </c>
      <c r="B791" t="s">
        <v>74</v>
      </c>
      <c r="C791" s="2">
        <v>43531</v>
      </c>
      <c r="D791" t="s">
        <v>26</v>
      </c>
      <c r="E791">
        <v>2911</v>
      </c>
    </row>
    <row r="792" spans="1:5" x14ac:dyDescent="0.55000000000000004">
      <c r="A792" t="s">
        <v>873</v>
      </c>
      <c r="B792" t="s">
        <v>115</v>
      </c>
      <c r="C792" s="2">
        <v>42963</v>
      </c>
      <c r="D792" t="s">
        <v>29</v>
      </c>
      <c r="E792">
        <v>2654</v>
      </c>
    </row>
    <row r="793" spans="1:5" x14ac:dyDescent="0.55000000000000004">
      <c r="A793" t="s">
        <v>874</v>
      </c>
      <c r="B793" t="s">
        <v>115</v>
      </c>
      <c r="C793" s="2">
        <v>44303</v>
      </c>
      <c r="D793" t="s">
        <v>26</v>
      </c>
      <c r="E793">
        <v>999</v>
      </c>
    </row>
    <row r="794" spans="1:5" x14ac:dyDescent="0.55000000000000004">
      <c r="A794" t="s">
        <v>875</v>
      </c>
      <c r="B794" t="s">
        <v>67</v>
      </c>
      <c r="C794" s="2">
        <v>44180</v>
      </c>
      <c r="D794" t="s">
        <v>26</v>
      </c>
      <c r="E794">
        <v>1355</v>
      </c>
    </row>
    <row r="795" spans="1:5" x14ac:dyDescent="0.55000000000000004">
      <c r="A795" t="s">
        <v>876</v>
      </c>
      <c r="B795" t="s">
        <v>99</v>
      </c>
      <c r="C795" s="2">
        <v>45212</v>
      </c>
      <c r="D795" t="s">
        <v>29</v>
      </c>
      <c r="E795">
        <v>949</v>
      </c>
    </row>
    <row r="796" spans="1:5" x14ac:dyDescent="0.55000000000000004">
      <c r="A796" t="s">
        <v>877</v>
      </c>
      <c r="B796" t="s">
        <v>137</v>
      </c>
      <c r="C796" s="2">
        <v>45125</v>
      </c>
      <c r="D796" t="s">
        <v>26</v>
      </c>
      <c r="E796">
        <v>763</v>
      </c>
    </row>
    <row r="797" spans="1:5" x14ac:dyDescent="0.55000000000000004">
      <c r="A797" t="s">
        <v>878</v>
      </c>
      <c r="B797" t="s">
        <v>35</v>
      </c>
      <c r="C797" s="2">
        <v>44716</v>
      </c>
      <c r="D797" t="s">
        <v>29</v>
      </c>
      <c r="E797">
        <v>119</v>
      </c>
    </row>
    <row r="798" spans="1:5" x14ac:dyDescent="0.55000000000000004">
      <c r="A798" t="s">
        <v>879</v>
      </c>
      <c r="B798" t="s">
        <v>78</v>
      </c>
      <c r="C798" s="2">
        <v>44274</v>
      </c>
      <c r="D798" t="s">
        <v>29</v>
      </c>
      <c r="E798">
        <v>2425</v>
      </c>
    </row>
    <row r="799" spans="1:5" x14ac:dyDescent="0.55000000000000004">
      <c r="A799" t="s">
        <v>880</v>
      </c>
      <c r="B799" t="s">
        <v>140</v>
      </c>
      <c r="C799" s="2">
        <v>43713</v>
      </c>
      <c r="D799" t="s">
        <v>26</v>
      </c>
      <c r="E799">
        <v>2886</v>
      </c>
    </row>
    <row r="800" spans="1:5" x14ac:dyDescent="0.55000000000000004">
      <c r="A800" t="s">
        <v>881</v>
      </c>
      <c r="B800" t="s">
        <v>151</v>
      </c>
      <c r="C800" s="2">
        <v>43338</v>
      </c>
      <c r="D800" t="s">
        <v>29</v>
      </c>
      <c r="E800">
        <v>2882</v>
      </c>
    </row>
    <row r="801" spans="1:5" x14ac:dyDescent="0.55000000000000004">
      <c r="A801" t="s">
        <v>882</v>
      </c>
      <c r="B801" t="s">
        <v>137</v>
      </c>
      <c r="C801" s="2">
        <v>43722</v>
      </c>
      <c r="D801" t="s">
        <v>26</v>
      </c>
      <c r="E801">
        <v>2199</v>
      </c>
    </row>
    <row r="802" spans="1:5" x14ac:dyDescent="0.55000000000000004">
      <c r="A802" t="s">
        <v>883</v>
      </c>
      <c r="B802" t="s">
        <v>105</v>
      </c>
      <c r="C802" s="2">
        <v>43666</v>
      </c>
      <c r="D802" t="s">
        <v>29</v>
      </c>
      <c r="E802">
        <v>807</v>
      </c>
    </row>
    <row r="803" spans="1:5" x14ac:dyDescent="0.55000000000000004">
      <c r="A803" t="s">
        <v>884</v>
      </c>
      <c r="B803" t="s">
        <v>15</v>
      </c>
      <c r="C803" s="2">
        <v>43150</v>
      </c>
      <c r="D803" t="s">
        <v>29</v>
      </c>
      <c r="E803">
        <v>2747</v>
      </c>
    </row>
    <row r="804" spans="1:5" x14ac:dyDescent="0.55000000000000004">
      <c r="A804" t="s">
        <v>885</v>
      </c>
      <c r="B804" t="s">
        <v>76</v>
      </c>
      <c r="C804" s="2">
        <v>45470</v>
      </c>
      <c r="D804" t="s">
        <v>29</v>
      </c>
      <c r="E804">
        <v>2445</v>
      </c>
    </row>
    <row r="805" spans="1:5" x14ac:dyDescent="0.55000000000000004">
      <c r="A805" t="s">
        <v>886</v>
      </c>
      <c r="B805" t="s">
        <v>101</v>
      </c>
      <c r="C805" s="2">
        <v>44168</v>
      </c>
      <c r="D805" t="s">
        <v>29</v>
      </c>
      <c r="E805">
        <v>2404</v>
      </c>
    </row>
    <row r="806" spans="1:5" x14ac:dyDescent="0.55000000000000004">
      <c r="A806" t="s">
        <v>887</v>
      </c>
      <c r="B806" t="s">
        <v>115</v>
      </c>
      <c r="C806" s="2">
        <v>43629</v>
      </c>
      <c r="D806" t="s">
        <v>29</v>
      </c>
      <c r="E806">
        <v>1875</v>
      </c>
    </row>
    <row r="807" spans="1:5" x14ac:dyDescent="0.55000000000000004">
      <c r="A807" t="s">
        <v>888</v>
      </c>
      <c r="B807" t="s">
        <v>32</v>
      </c>
      <c r="C807" s="2">
        <v>44184</v>
      </c>
      <c r="D807" t="s">
        <v>29</v>
      </c>
      <c r="E807">
        <v>2516</v>
      </c>
    </row>
    <row r="808" spans="1:5" x14ac:dyDescent="0.55000000000000004">
      <c r="A808" t="s">
        <v>889</v>
      </c>
      <c r="B808" t="s">
        <v>23</v>
      </c>
      <c r="C808" s="2">
        <v>44004</v>
      </c>
      <c r="D808" t="s">
        <v>26</v>
      </c>
      <c r="E808">
        <v>1282</v>
      </c>
    </row>
    <row r="809" spans="1:5" x14ac:dyDescent="0.55000000000000004">
      <c r="A809" t="s">
        <v>890</v>
      </c>
      <c r="B809" t="s">
        <v>115</v>
      </c>
      <c r="C809" s="2">
        <v>43405</v>
      </c>
      <c r="D809" t="s">
        <v>29</v>
      </c>
      <c r="E809">
        <v>479</v>
      </c>
    </row>
    <row r="810" spans="1:5" x14ac:dyDescent="0.55000000000000004">
      <c r="A810" t="s">
        <v>891</v>
      </c>
      <c r="B810" t="s">
        <v>105</v>
      </c>
      <c r="C810" s="2">
        <v>43681</v>
      </c>
      <c r="D810" t="s">
        <v>26</v>
      </c>
      <c r="E810">
        <v>2092</v>
      </c>
    </row>
    <row r="811" spans="1:5" x14ac:dyDescent="0.55000000000000004">
      <c r="A811" t="s">
        <v>892</v>
      </c>
      <c r="B811" t="s">
        <v>101</v>
      </c>
      <c r="C811" s="2">
        <v>43773</v>
      </c>
      <c r="D811" t="s">
        <v>26</v>
      </c>
      <c r="E811">
        <v>2354</v>
      </c>
    </row>
    <row r="812" spans="1:5" x14ac:dyDescent="0.55000000000000004">
      <c r="A812" t="s">
        <v>893</v>
      </c>
      <c r="B812" t="s">
        <v>101</v>
      </c>
      <c r="C812" s="2">
        <v>43783</v>
      </c>
      <c r="D812" t="s">
        <v>26</v>
      </c>
      <c r="E812">
        <v>1993</v>
      </c>
    </row>
    <row r="813" spans="1:5" x14ac:dyDescent="0.55000000000000004">
      <c r="A813" t="s">
        <v>894</v>
      </c>
      <c r="B813" t="s">
        <v>35</v>
      </c>
      <c r="C813" s="2">
        <v>44185</v>
      </c>
      <c r="D813" t="s">
        <v>26</v>
      </c>
      <c r="E813">
        <v>2005</v>
      </c>
    </row>
    <row r="814" spans="1:5" x14ac:dyDescent="0.55000000000000004">
      <c r="A814" t="s">
        <v>895</v>
      </c>
      <c r="B814" t="s">
        <v>156</v>
      </c>
      <c r="C814" s="2">
        <v>43204</v>
      </c>
      <c r="D814" t="s">
        <v>26</v>
      </c>
      <c r="E814">
        <v>1288</v>
      </c>
    </row>
    <row r="815" spans="1:5" x14ac:dyDescent="0.55000000000000004">
      <c r="A815" t="s">
        <v>896</v>
      </c>
      <c r="B815" t="s">
        <v>175</v>
      </c>
      <c r="C815" s="2">
        <v>45313</v>
      </c>
      <c r="D815" t="s">
        <v>26</v>
      </c>
      <c r="E815">
        <v>1470</v>
      </c>
    </row>
    <row r="816" spans="1:5" x14ac:dyDescent="0.55000000000000004">
      <c r="A816" t="s">
        <v>897</v>
      </c>
      <c r="B816" t="s">
        <v>14</v>
      </c>
      <c r="C816" s="2">
        <v>43909</v>
      </c>
      <c r="D816" t="s">
        <v>26</v>
      </c>
      <c r="E816">
        <v>799</v>
      </c>
    </row>
    <row r="817" spans="1:5" x14ac:dyDescent="0.55000000000000004">
      <c r="A817" t="s">
        <v>898</v>
      </c>
      <c r="B817" t="s">
        <v>175</v>
      </c>
      <c r="C817" s="2">
        <v>45038</v>
      </c>
      <c r="D817" t="s">
        <v>29</v>
      </c>
      <c r="E817">
        <v>1675</v>
      </c>
    </row>
    <row r="818" spans="1:5" x14ac:dyDescent="0.55000000000000004">
      <c r="A818" t="s">
        <v>899</v>
      </c>
      <c r="B818" t="s">
        <v>38</v>
      </c>
      <c r="C818" s="2">
        <v>44838</v>
      </c>
      <c r="D818" t="s">
        <v>29</v>
      </c>
      <c r="E818">
        <v>2908</v>
      </c>
    </row>
    <row r="819" spans="1:5" x14ac:dyDescent="0.55000000000000004">
      <c r="A819" t="s">
        <v>900</v>
      </c>
      <c r="B819" t="s">
        <v>175</v>
      </c>
      <c r="C819" s="2">
        <v>45284</v>
      </c>
      <c r="D819" t="s">
        <v>29</v>
      </c>
      <c r="E819">
        <v>685</v>
      </c>
    </row>
    <row r="820" spans="1:5" x14ac:dyDescent="0.55000000000000004">
      <c r="A820" t="s">
        <v>901</v>
      </c>
      <c r="B820" t="s">
        <v>74</v>
      </c>
      <c r="C820" s="2">
        <v>44074</v>
      </c>
      <c r="D820" t="s">
        <v>26</v>
      </c>
      <c r="E820">
        <v>903</v>
      </c>
    </row>
    <row r="821" spans="1:5" x14ac:dyDescent="0.55000000000000004">
      <c r="A821" t="s">
        <v>902</v>
      </c>
      <c r="B821" t="s">
        <v>156</v>
      </c>
      <c r="C821" s="2">
        <v>42983</v>
      </c>
      <c r="D821" t="s">
        <v>29</v>
      </c>
      <c r="E821">
        <v>920</v>
      </c>
    </row>
    <row r="822" spans="1:5" x14ac:dyDescent="0.55000000000000004">
      <c r="A822" t="s">
        <v>903</v>
      </c>
      <c r="B822" t="s">
        <v>99</v>
      </c>
      <c r="C822" s="2">
        <v>44648</v>
      </c>
      <c r="D822" t="s">
        <v>26</v>
      </c>
      <c r="E822">
        <v>1873</v>
      </c>
    </row>
    <row r="823" spans="1:5" x14ac:dyDescent="0.55000000000000004">
      <c r="A823" t="s">
        <v>904</v>
      </c>
      <c r="B823" t="s">
        <v>23</v>
      </c>
      <c r="C823" s="2">
        <v>44845</v>
      </c>
      <c r="D823" t="s">
        <v>26</v>
      </c>
      <c r="E823">
        <v>2345</v>
      </c>
    </row>
    <row r="824" spans="1:5" x14ac:dyDescent="0.55000000000000004">
      <c r="A824" t="s">
        <v>905</v>
      </c>
      <c r="B824" t="s">
        <v>115</v>
      </c>
      <c r="C824" s="2">
        <v>43465</v>
      </c>
      <c r="D824" t="s">
        <v>29</v>
      </c>
      <c r="E824">
        <v>2220</v>
      </c>
    </row>
    <row r="825" spans="1:5" x14ac:dyDescent="0.55000000000000004">
      <c r="A825" t="s">
        <v>906</v>
      </c>
      <c r="B825" t="s">
        <v>175</v>
      </c>
      <c r="C825" s="2">
        <v>43636</v>
      </c>
      <c r="D825" t="s">
        <v>29</v>
      </c>
      <c r="E825">
        <v>2237</v>
      </c>
    </row>
    <row r="826" spans="1:5" x14ac:dyDescent="0.55000000000000004">
      <c r="A826" t="s">
        <v>907</v>
      </c>
      <c r="B826" t="s">
        <v>151</v>
      </c>
      <c r="C826" s="2">
        <v>43787</v>
      </c>
      <c r="D826" t="s">
        <v>26</v>
      </c>
      <c r="E826">
        <v>2677</v>
      </c>
    </row>
    <row r="827" spans="1:5" x14ac:dyDescent="0.55000000000000004">
      <c r="A827" t="s">
        <v>908</v>
      </c>
      <c r="B827" t="s">
        <v>118</v>
      </c>
      <c r="C827" s="2">
        <v>44479</v>
      </c>
      <c r="D827" t="s">
        <v>29</v>
      </c>
      <c r="E827">
        <v>132</v>
      </c>
    </row>
    <row r="828" spans="1:5" x14ac:dyDescent="0.55000000000000004">
      <c r="A828" t="s">
        <v>909</v>
      </c>
      <c r="B828" t="s">
        <v>15</v>
      </c>
      <c r="C828" s="2">
        <v>43455</v>
      </c>
      <c r="D828" t="s">
        <v>29</v>
      </c>
      <c r="E828">
        <v>356</v>
      </c>
    </row>
    <row r="829" spans="1:5" x14ac:dyDescent="0.55000000000000004">
      <c r="A829" t="s">
        <v>910</v>
      </c>
      <c r="B829" t="s">
        <v>15</v>
      </c>
      <c r="C829" s="2">
        <v>43157</v>
      </c>
      <c r="D829" t="s">
        <v>26</v>
      </c>
      <c r="E829">
        <v>859</v>
      </c>
    </row>
    <row r="830" spans="1:5" x14ac:dyDescent="0.55000000000000004">
      <c r="A830" t="s">
        <v>911</v>
      </c>
      <c r="B830" t="s">
        <v>137</v>
      </c>
      <c r="C830" s="2">
        <v>44902</v>
      </c>
      <c r="D830" t="s">
        <v>29</v>
      </c>
      <c r="E830">
        <v>679</v>
      </c>
    </row>
    <row r="831" spans="1:5" x14ac:dyDescent="0.55000000000000004">
      <c r="A831" t="s">
        <v>912</v>
      </c>
      <c r="B831" t="s">
        <v>32</v>
      </c>
      <c r="C831" s="2">
        <v>44116</v>
      </c>
      <c r="D831" t="s">
        <v>26</v>
      </c>
      <c r="E831">
        <v>847</v>
      </c>
    </row>
    <row r="832" spans="1:5" x14ac:dyDescent="0.55000000000000004">
      <c r="A832" t="s">
        <v>913</v>
      </c>
      <c r="B832" t="s">
        <v>137</v>
      </c>
      <c r="C832" s="2">
        <v>43709</v>
      </c>
      <c r="D832" t="s">
        <v>29</v>
      </c>
      <c r="E832">
        <v>2180</v>
      </c>
    </row>
    <row r="833" spans="1:5" x14ac:dyDescent="0.55000000000000004">
      <c r="A833" t="s">
        <v>914</v>
      </c>
      <c r="B833" t="s">
        <v>84</v>
      </c>
      <c r="C833" s="2">
        <v>44139</v>
      </c>
      <c r="D833" t="s">
        <v>26</v>
      </c>
      <c r="E833">
        <v>1325</v>
      </c>
    </row>
    <row r="834" spans="1:5" x14ac:dyDescent="0.55000000000000004">
      <c r="A834" t="s">
        <v>915</v>
      </c>
      <c r="B834" t="s">
        <v>41</v>
      </c>
      <c r="C834" s="2">
        <v>44430</v>
      </c>
      <c r="D834" t="s">
        <v>29</v>
      </c>
      <c r="E834">
        <v>2345</v>
      </c>
    </row>
    <row r="835" spans="1:5" x14ac:dyDescent="0.55000000000000004">
      <c r="A835" t="s">
        <v>916</v>
      </c>
      <c r="B835" t="s">
        <v>84</v>
      </c>
      <c r="C835" s="2">
        <v>43970</v>
      </c>
      <c r="D835" t="s">
        <v>26</v>
      </c>
      <c r="E835">
        <v>555</v>
      </c>
    </row>
    <row r="836" spans="1:5" x14ac:dyDescent="0.55000000000000004">
      <c r="A836" t="s">
        <v>917</v>
      </c>
      <c r="B836" t="s">
        <v>118</v>
      </c>
      <c r="C836" s="2">
        <v>45151</v>
      </c>
      <c r="D836" t="s">
        <v>26</v>
      </c>
      <c r="E836">
        <v>1135</v>
      </c>
    </row>
    <row r="837" spans="1:5" x14ac:dyDescent="0.55000000000000004">
      <c r="A837" t="s">
        <v>918</v>
      </c>
      <c r="B837" t="s">
        <v>76</v>
      </c>
      <c r="C837" s="2">
        <v>43985</v>
      </c>
      <c r="D837" t="s">
        <v>26</v>
      </c>
      <c r="E837">
        <v>1022</v>
      </c>
    </row>
    <row r="838" spans="1:5" x14ac:dyDescent="0.55000000000000004">
      <c r="A838" t="s">
        <v>919</v>
      </c>
      <c r="B838" t="s">
        <v>72</v>
      </c>
      <c r="C838" s="2">
        <v>44373</v>
      </c>
      <c r="D838" t="s">
        <v>29</v>
      </c>
      <c r="E838">
        <v>1013</v>
      </c>
    </row>
    <row r="839" spans="1:5" x14ac:dyDescent="0.55000000000000004">
      <c r="A839" t="s">
        <v>920</v>
      </c>
      <c r="B839" t="s">
        <v>118</v>
      </c>
      <c r="C839" s="2">
        <v>45074</v>
      </c>
      <c r="D839" t="s">
        <v>29</v>
      </c>
      <c r="E839">
        <v>582</v>
      </c>
    </row>
    <row r="840" spans="1:5" x14ac:dyDescent="0.55000000000000004">
      <c r="A840" t="s">
        <v>921</v>
      </c>
      <c r="B840" t="s">
        <v>23</v>
      </c>
      <c r="C840" s="2">
        <v>44381</v>
      </c>
      <c r="D840" t="s">
        <v>29</v>
      </c>
      <c r="E840">
        <v>1536</v>
      </c>
    </row>
    <row r="841" spans="1:5" x14ac:dyDescent="0.55000000000000004">
      <c r="A841" t="s">
        <v>922</v>
      </c>
      <c r="B841" t="s">
        <v>15</v>
      </c>
      <c r="C841" s="2">
        <v>43071</v>
      </c>
      <c r="D841" t="s">
        <v>26</v>
      </c>
      <c r="E841">
        <v>1650</v>
      </c>
    </row>
    <row r="842" spans="1:5" x14ac:dyDescent="0.55000000000000004">
      <c r="A842" t="s">
        <v>923</v>
      </c>
      <c r="B842" t="s">
        <v>67</v>
      </c>
      <c r="C842" s="2">
        <v>44605</v>
      </c>
      <c r="D842" t="s">
        <v>29</v>
      </c>
      <c r="E842">
        <v>1862</v>
      </c>
    </row>
    <row r="843" spans="1:5" x14ac:dyDescent="0.55000000000000004">
      <c r="A843" t="s">
        <v>924</v>
      </c>
      <c r="B843" t="s">
        <v>96</v>
      </c>
      <c r="C843" s="2">
        <v>44806</v>
      </c>
      <c r="D843" t="s">
        <v>26</v>
      </c>
      <c r="E843">
        <v>381</v>
      </c>
    </row>
    <row r="844" spans="1:5" x14ac:dyDescent="0.55000000000000004">
      <c r="A844" t="s">
        <v>925</v>
      </c>
      <c r="B844" t="s">
        <v>78</v>
      </c>
      <c r="C844" s="2">
        <v>45343</v>
      </c>
      <c r="D844" t="s">
        <v>29</v>
      </c>
      <c r="E844">
        <v>259</v>
      </c>
    </row>
    <row r="845" spans="1:5" x14ac:dyDescent="0.55000000000000004">
      <c r="A845" t="s">
        <v>926</v>
      </c>
      <c r="B845" t="s">
        <v>137</v>
      </c>
      <c r="C845" s="2">
        <v>45655</v>
      </c>
      <c r="D845" t="s">
        <v>29</v>
      </c>
      <c r="E845">
        <v>892</v>
      </c>
    </row>
    <row r="846" spans="1:5" x14ac:dyDescent="0.55000000000000004">
      <c r="A846" t="s">
        <v>927</v>
      </c>
      <c r="B846" t="s">
        <v>140</v>
      </c>
      <c r="C846" s="2">
        <v>43350</v>
      </c>
      <c r="D846" t="s">
        <v>29</v>
      </c>
      <c r="E846">
        <v>1099</v>
      </c>
    </row>
    <row r="847" spans="1:5" x14ac:dyDescent="0.55000000000000004">
      <c r="A847" t="s">
        <v>928</v>
      </c>
      <c r="B847" t="s">
        <v>111</v>
      </c>
      <c r="C847" s="2">
        <v>43497</v>
      </c>
      <c r="D847" t="s">
        <v>29</v>
      </c>
      <c r="E847">
        <v>2241</v>
      </c>
    </row>
    <row r="848" spans="1:5" x14ac:dyDescent="0.55000000000000004">
      <c r="A848" t="s">
        <v>929</v>
      </c>
      <c r="B848" t="s">
        <v>23</v>
      </c>
      <c r="C848" s="2">
        <v>44098</v>
      </c>
      <c r="D848" t="s">
        <v>29</v>
      </c>
      <c r="E848">
        <v>1407</v>
      </c>
    </row>
    <row r="849" spans="1:5" x14ac:dyDescent="0.55000000000000004">
      <c r="A849" t="s">
        <v>930</v>
      </c>
      <c r="B849" t="s">
        <v>94</v>
      </c>
      <c r="C849" s="2">
        <v>43664</v>
      </c>
      <c r="D849" t="s">
        <v>26</v>
      </c>
      <c r="E849">
        <v>407</v>
      </c>
    </row>
    <row r="850" spans="1:5" x14ac:dyDescent="0.55000000000000004">
      <c r="A850" t="s">
        <v>931</v>
      </c>
      <c r="B850" t="s">
        <v>35</v>
      </c>
      <c r="C850" s="2">
        <v>44772</v>
      </c>
      <c r="D850" t="s">
        <v>26</v>
      </c>
      <c r="E850">
        <v>508</v>
      </c>
    </row>
    <row r="851" spans="1:5" x14ac:dyDescent="0.55000000000000004">
      <c r="A851" t="s">
        <v>932</v>
      </c>
      <c r="B851" t="s">
        <v>76</v>
      </c>
      <c r="C851" s="2">
        <v>44113</v>
      </c>
      <c r="D851" t="s">
        <v>29</v>
      </c>
      <c r="E851">
        <v>1869</v>
      </c>
    </row>
    <row r="852" spans="1:5" x14ac:dyDescent="0.55000000000000004">
      <c r="A852" t="s">
        <v>933</v>
      </c>
      <c r="B852" t="s">
        <v>14</v>
      </c>
      <c r="C852" s="2">
        <v>43793</v>
      </c>
      <c r="D852" t="s">
        <v>26</v>
      </c>
      <c r="E852">
        <v>2820</v>
      </c>
    </row>
    <row r="853" spans="1:5" x14ac:dyDescent="0.55000000000000004">
      <c r="A853" t="s">
        <v>934</v>
      </c>
      <c r="B853" t="s">
        <v>72</v>
      </c>
      <c r="C853" s="2">
        <v>44248</v>
      </c>
      <c r="D853" t="s">
        <v>29</v>
      </c>
      <c r="E853">
        <v>651</v>
      </c>
    </row>
    <row r="854" spans="1:5" x14ac:dyDescent="0.55000000000000004">
      <c r="A854" t="s">
        <v>935</v>
      </c>
      <c r="B854" t="s">
        <v>76</v>
      </c>
      <c r="C854" s="2">
        <v>44588</v>
      </c>
      <c r="D854" t="s">
        <v>26</v>
      </c>
      <c r="E854">
        <v>2681</v>
      </c>
    </row>
    <row r="855" spans="1:5" x14ac:dyDescent="0.55000000000000004">
      <c r="A855" t="s">
        <v>936</v>
      </c>
      <c r="B855" t="s">
        <v>86</v>
      </c>
      <c r="C855" s="2">
        <v>43429</v>
      </c>
      <c r="D855" t="s">
        <v>26</v>
      </c>
      <c r="E855">
        <v>1523</v>
      </c>
    </row>
    <row r="856" spans="1:5" x14ac:dyDescent="0.55000000000000004">
      <c r="A856" t="s">
        <v>937</v>
      </c>
      <c r="B856" t="s">
        <v>38</v>
      </c>
      <c r="C856" s="2">
        <v>44169</v>
      </c>
      <c r="D856" t="s">
        <v>26</v>
      </c>
      <c r="E856">
        <v>1623</v>
      </c>
    </row>
    <row r="857" spans="1:5" x14ac:dyDescent="0.55000000000000004">
      <c r="A857" t="s">
        <v>938</v>
      </c>
      <c r="B857" t="s">
        <v>35</v>
      </c>
      <c r="C857" s="2">
        <v>44456</v>
      </c>
      <c r="D857" t="s">
        <v>26</v>
      </c>
      <c r="E857">
        <v>1758</v>
      </c>
    </row>
    <row r="858" spans="1:5" x14ac:dyDescent="0.55000000000000004">
      <c r="A858" t="s">
        <v>939</v>
      </c>
      <c r="B858" t="s">
        <v>35</v>
      </c>
      <c r="C858" s="2">
        <v>44017</v>
      </c>
      <c r="D858" t="s">
        <v>26</v>
      </c>
      <c r="E858">
        <v>4</v>
      </c>
    </row>
    <row r="859" spans="1:5" x14ac:dyDescent="0.55000000000000004">
      <c r="A859" t="s">
        <v>940</v>
      </c>
      <c r="B859" t="s">
        <v>151</v>
      </c>
      <c r="C859" s="2">
        <v>43893</v>
      </c>
      <c r="D859" t="s">
        <v>26</v>
      </c>
      <c r="E859">
        <v>543</v>
      </c>
    </row>
    <row r="860" spans="1:5" x14ac:dyDescent="0.55000000000000004">
      <c r="A860" t="s">
        <v>941</v>
      </c>
      <c r="B860" t="s">
        <v>23</v>
      </c>
      <c r="C860" s="2">
        <v>44294</v>
      </c>
      <c r="D860" t="s">
        <v>29</v>
      </c>
      <c r="E860">
        <v>38</v>
      </c>
    </row>
    <row r="861" spans="1:5" x14ac:dyDescent="0.55000000000000004">
      <c r="A861" t="s">
        <v>942</v>
      </c>
      <c r="B861" t="s">
        <v>14</v>
      </c>
      <c r="C861" s="2">
        <v>44341</v>
      </c>
      <c r="D861" t="s">
        <v>29</v>
      </c>
      <c r="E861">
        <v>493</v>
      </c>
    </row>
    <row r="862" spans="1:5" x14ac:dyDescent="0.55000000000000004">
      <c r="A862" t="s">
        <v>943</v>
      </c>
      <c r="B862" t="s">
        <v>76</v>
      </c>
      <c r="C862" s="2">
        <v>45195</v>
      </c>
      <c r="D862" t="s">
        <v>26</v>
      </c>
      <c r="E862">
        <v>1956</v>
      </c>
    </row>
    <row r="863" spans="1:5" x14ac:dyDescent="0.55000000000000004">
      <c r="A863" t="s">
        <v>944</v>
      </c>
      <c r="B863" t="s">
        <v>74</v>
      </c>
      <c r="C863" s="2">
        <v>43385</v>
      </c>
      <c r="D863" t="s">
        <v>29</v>
      </c>
      <c r="E863">
        <v>365</v>
      </c>
    </row>
    <row r="864" spans="1:5" x14ac:dyDescent="0.55000000000000004">
      <c r="A864" t="s">
        <v>945</v>
      </c>
      <c r="B864" t="s">
        <v>78</v>
      </c>
      <c r="C864" s="2">
        <v>43885</v>
      </c>
      <c r="D864" t="s">
        <v>26</v>
      </c>
      <c r="E864">
        <v>1283</v>
      </c>
    </row>
    <row r="865" spans="1:5" x14ac:dyDescent="0.55000000000000004">
      <c r="A865" t="s">
        <v>946</v>
      </c>
      <c r="B865" t="s">
        <v>86</v>
      </c>
      <c r="C865" s="2">
        <v>43529</v>
      </c>
      <c r="D865" t="s">
        <v>26</v>
      </c>
      <c r="E865">
        <v>1567</v>
      </c>
    </row>
    <row r="866" spans="1:5" x14ac:dyDescent="0.55000000000000004">
      <c r="A866" t="s">
        <v>947</v>
      </c>
      <c r="B866" t="s">
        <v>118</v>
      </c>
      <c r="C866" s="2">
        <v>44011</v>
      </c>
      <c r="D866" t="s">
        <v>26</v>
      </c>
      <c r="E866">
        <v>280</v>
      </c>
    </row>
    <row r="867" spans="1:5" x14ac:dyDescent="0.55000000000000004">
      <c r="A867" t="s">
        <v>948</v>
      </c>
      <c r="B867" t="s">
        <v>67</v>
      </c>
      <c r="C867" s="2">
        <v>45773</v>
      </c>
      <c r="D867" t="s">
        <v>26</v>
      </c>
      <c r="E867">
        <v>2499</v>
      </c>
    </row>
    <row r="868" spans="1:5" x14ac:dyDescent="0.55000000000000004">
      <c r="A868" t="s">
        <v>949</v>
      </c>
      <c r="B868" t="s">
        <v>35</v>
      </c>
      <c r="C868" s="2">
        <v>44167</v>
      </c>
      <c r="D868" t="s">
        <v>29</v>
      </c>
      <c r="E868">
        <v>1438</v>
      </c>
    </row>
    <row r="869" spans="1:5" x14ac:dyDescent="0.55000000000000004">
      <c r="A869" t="s">
        <v>950</v>
      </c>
      <c r="B869" t="s">
        <v>78</v>
      </c>
      <c r="C869" s="2">
        <v>44338</v>
      </c>
      <c r="D869" t="s">
        <v>26</v>
      </c>
      <c r="E869">
        <v>1686</v>
      </c>
    </row>
    <row r="870" spans="1:5" x14ac:dyDescent="0.55000000000000004">
      <c r="A870" t="s">
        <v>951</v>
      </c>
      <c r="B870" t="s">
        <v>32</v>
      </c>
      <c r="C870" s="2">
        <v>44737</v>
      </c>
      <c r="D870" t="s">
        <v>26</v>
      </c>
      <c r="E870">
        <v>355</v>
      </c>
    </row>
    <row r="871" spans="1:5" x14ac:dyDescent="0.55000000000000004">
      <c r="A871" t="s">
        <v>952</v>
      </c>
      <c r="B871" t="s">
        <v>94</v>
      </c>
      <c r="C871" s="2">
        <v>43877</v>
      </c>
      <c r="D871" t="s">
        <v>26</v>
      </c>
      <c r="E871">
        <v>504</v>
      </c>
    </row>
    <row r="872" spans="1:5" x14ac:dyDescent="0.55000000000000004">
      <c r="A872" t="s">
        <v>953</v>
      </c>
      <c r="B872" t="s">
        <v>23</v>
      </c>
      <c r="C872" s="2">
        <v>44617</v>
      </c>
      <c r="D872" t="s">
        <v>29</v>
      </c>
      <c r="E872">
        <v>1758</v>
      </c>
    </row>
    <row r="873" spans="1:5" x14ac:dyDescent="0.55000000000000004">
      <c r="A873" t="s">
        <v>954</v>
      </c>
      <c r="B873" t="s">
        <v>111</v>
      </c>
      <c r="C873" s="2">
        <v>44537</v>
      </c>
      <c r="D873" t="s">
        <v>26</v>
      </c>
      <c r="E873">
        <v>1014</v>
      </c>
    </row>
    <row r="874" spans="1:5" x14ac:dyDescent="0.55000000000000004">
      <c r="A874" t="s">
        <v>955</v>
      </c>
      <c r="B874" t="s">
        <v>84</v>
      </c>
      <c r="C874" s="2">
        <v>44237</v>
      </c>
      <c r="D874" t="s">
        <v>26</v>
      </c>
      <c r="E874">
        <v>1016</v>
      </c>
    </row>
    <row r="875" spans="1:5" x14ac:dyDescent="0.55000000000000004">
      <c r="A875" t="s">
        <v>956</v>
      </c>
      <c r="B875" t="s">
        <v>99</v>
      </c>
      <c r="C875" s="2">
        <v>44633</v>
      </c>
      <c r="D875" t="s">
        <v>26</v>
      </c>
      <c r="E875">
        <v>2696</v>
      </c>
    </row>
    <row r="876" spans="1:5" x14ac:dyDescent="0.55000000000000004">
      <c r="A876" t="s">
        <v>957</v>
      </c>
      <c r="B876" t="s">
        <v>94</v>
      </c>
      <c r="C876" s="2">
        <v>44701</v>
      </c>
      <c r="D876" t="s">
        <v>26</v>
      </c>
      <c r="E876">
        <v>2120</v>
      </c>
    </row>
    <row r="877" spans="1:5" x14ac:dyDescent="0.55000000000000004">
      <c r="A877" t="s">
        <v>958</v>
      </c>
      <c r="B877" t="s">
        <v>32</v>
      </c>
      <c r="C877" s="2">
        <v>44874</v>
      </c>
      <c r="D877" t="s">
        <v>26</v>
      </c>
      <c r="E877">
        <v>1604</v>
      </c>
    </row>
    <row r="878" spans="1:5" x14ac:dyDescent="0.55000000000000004">
      <c r="A878" t="s">
        <v>959</v>
      </c>
      <c r="B878" t="s">
        <v>156</v>
      </c>
      <c r="C878" s="2">
        <v>44240</v>
      </c>
      <c r="D878" t="s">
        <v>26</v>
      </c>
      <c r="E878">
        <v>980</v>
      </c>
    </row>
    <row r="879" spans="1:5" x14ac:dyDescent="0.55000000000000004">
      <c r="A879" t="s">
        <v>960</v>
      </c>
      <c r="B879" t="s">
        <v>96</v>
      </c>
      <c r="C879" s="2">
        <v>45046</v>
      </c>
      <c r="D879" t="s">
        <v>26</v>
      </c>
      <c r="E879">
        <v>987</v>
      </c>
    </row>
    <row r="880" spans="1:5" x14ac:dyDescent="0.55000000000000004">
      <c r="A880" t="s">
        <v>961</v>
      </c>
      <c r="B880" t="s">
        <v>96</v>
      </c>
      <c r="C880" s="2">
        <v>43756</v>
      </c>
      <c r="D880" t="s">
        <v>26</v>
      </c>
      <c r="E880">
        <v>1479</v>
      </c>
    </row>
    <row r="881" spans="1:5" x14ac:dyDescent="0.55000000000000004">
      <c r="A881" t="s">
        <v>962</v>
      </c>
      <c r="B881" t="s">
        <v>111</v>
      </c>
      <c r="C881" s="2">
        <v>43187</v>
      </c>
      <c r="D881" t="s">
        <v>29</v>
      </c>
      <c r="E881">
        <v>2328</v>
      </c>
    </row>
    <row r="882" spans="1:5" x14ac:dyDescent="0.55000000000000004">
      <c r="A882" t="s">
        <v>963</v>
      </c>
      <c r="B882" t="s">
        <v>140</v>
      </c>
      <c r="C882" s="2">
        <v>43665</v>
      </c>
      <c r="D882" t="s">
        <v>26</v>
      </c>
      <c r="E882">
        <v>1929</v>
      </c>
    </row>
    <row r="883" spans="1:5" x14ac:dyDescent="0.55000000000000004">
      <c r="A883" t="s">
        <v>964</v>
      </c>
      <c r="B883" t="s">
        <v>118</v>
      </c>
      <c r="C883" s="2">
        <v>43764</v>
      </c>
      <c r="D883" t="s">
        <v>26</v>
      </c>
      <c r="E883">
        <v>2405</v>
      </c>
    </row>
    <row r="884" spans="1:5" x14ac:dyDescent="0.55000000000000004">
      <c r="A884" t="s">
        <v>965</v>
      </c>
      <c r="B884" t="s">
        <v>74</v>
      </c>
      <c r="C884" s="2">
        <v>42945</v>
      </c>
      <c r="D884" t="s">
        <v>29</v>
      </c>
      <c r="E884">
        <v>883</v>
      </c>
    </row>
    <row r="885" spans="1:5" x14ac:dyDescent="0.55000000000000004">
      <c r="A885" t="s">
        <v>966</v>
      </c>
      <c r="B885" t="s">
        <v>142</v>
      </c>
      <c r="C885" s="2">
        <v>43040</v>
      </c>
      <c r="D885" t="s">
        <v>29</v>
      </c>
      <c r="E885">
        <v>2075</v>
      </c>
    </row>
    <row r="886" spans="1:5" x14ac:dyDescent="0.55000000000000004">
      <c r="A886" t="s">
        <v>967</v>
      </c>
      <c r="B886" t="s">
        <v>156</v>
      </c>
      <c r="C886" s="2">
        <v>44204</v>
      </c>
      <c r="D886" t="s">
        <v>29</v>
      </c>
      <c r="E886">
        <v>1734</v>
      </c>
    </row>
    <row r="887" spans="1:5" x14ac:dyDescent="0.55000000000000004">
      <c r="A887" t="s">
        <v>968</v>
      </c>
      <c r="B887" t="s">
        <v>41</v>
      </c>
      <c r="C887" s="2">
        <v>44654</v>
      </c>
      <c r="D887" t="s">
        <v>26</v>
      </c>
      <c r="E887">
        <v>2623</v>
      </c>
    </row>
    <row r="888" spans="1:5" x14ac:dyDescent="0.55000000000000004">
      <c r="A888" t="s">
        <v>969</v>
      </c>
      <c r="B888" t="s">
        <v>99</v>
      </c>
      <c r="C888" s="2">
        <v>45668</v>
      </c>
      <c r="D888" t="s">
        <v>26</v>
      </c>
      <c r="E888">
        <v>1136</v>
      </c>
    </row>
    <row r="889" spans="1:5" x14ac:dyDescent="0.55000000000000004">
      <c r="A889" t="s">
        <v>970</v>
      </c>
      <c r="B889" t="s">
        <v>74</v>
      </c>
      <c r="C889" s="2">
        <v>43551</v>
      </c>
      <c r="D889" t="s">
        <v>26</v>
      </c>
      <c r="E889">
        <v>2094</v>
      </c>
    </row>
    <row r="890" spans="1:5" x14ac:dyDescent="0.55000000000000004">
      <c r="A890" t="s">
        <v>971</v>
      </c>
      <c r="B890" t="s">
        <v>151</v>
      </c>
      <c r="C890" s="2">
        <v>43235</v>
      </c>
      <c r="D890" t="s">
        <v>29</v>
      </c>
      <c r="E890">
        <v>1600</v>
      </c>
    </row>
    <row r="891" spans="1:5" x14ac:dyDescent="0.55000000000000004">
      <c r="A891" t="s">
        <v>972</v>
      </c>
      <c r="B891" t="s">
        <v>23</v>
      </c>
      <c r="C891" s="2">
        <v>43966</v>
      </c>
      <c r="D891" t="s">
        <v>29</v>
      </c>
      <c r="E891">
        <v>2861</v>
      </c>
    </row>
    <row r="892" spans="1:5" x14ac:dyDescent="0.55000000000000004">
      <c r="A892" t="s">
        <v>973</v>
      </c>
      <c r="B892" t="s">
        <v>140</v>
      </c>
      <c r="C892" s="2">
        <v>44411</v>
      </c>
      <c r="D892" t="s">
        <v>26</v>
      </c>
      <c r="E892">
        <v>237</v>
      </c>
    </row>
    <row r="893" spans="1:5" x14ac:dyDescent="0.55000000000000004">
      <c r="A893" t="s">
        <v>974</v>
      </c>
      <c r="B893" t="s">
        <v>63</v>
      </c>
      <c r="C893" s="2">
        <v>43093</v>
      </c>
      <c r="D893" t="s">
        <v>29</v>
      </c>
      <c r="E893">
        <v>475</v>
      </c>
    </row>
    <row r="894" spans="1:5" x14ac:dyDescent="0.55000000000000004">
      <c r="A894" t="s">
        <v>975</v>
      </c>
      <c r="B894" t="s">
        <v>15</v>
      </c>
      <c r="C894" s="2">
        <v>44170</v>
      </c>
      <c r="D894" t="s">
        <v>26</v>
      </c>
      <c r="E894">
        <v>1266</v>
      </c>
    </row>
    <row r="895" spans="1:5" x14ac:dyDescent="0.55000000000000004">
      <c r="A895" t="s">
        <v>976</v>
      </c>
      <c r="B895" t="s">
        <v>38</v>
      </c>
      <c r="C895" s="2">
        <v>44190</v>
      </c>
      <c r="D895" t="s">
        <v>26</v>
      </c>
      <c r="E895">
        <v>51</v>
      </c>
    </row>
    <row r="896" spans="1:5" x14ac:dyDescent="0.55000000000000004">
      <c r="A896" t="s">
        <v>977</v>
      </c>
      <c r="B896" t="s">
        <v>41</v>
      </c>
      <c r="C896" s="2">
        <v>44112</v>
      </c>
      <c r="D896" t="s">
        <v>26</v>
      </c>
      <c r="E896">
        <v>671</v>
      </c>
    </row>
    <row r="897" spans="1:5" x14ac:dyDescent="0.55000000000000004">
      <c r="A897" t="s">
        <v>978</v>
      </c>
      <c r="B897" t="s">
        <v>96</v>
      </c>
      <c r="C897" s="2">
        <v>44886</v>
      </c>
      <c r="D897" t="s">
        <v>29</v>
      </c>
      <c r="E897">
        <v>683</v>
      </c>
    </row>
    <row r="898" spans="1:5" x14ac:dyDescent="0.55000000000000004">
      <c r="A898" t="s">
        <v>979</v>
      </c>
      <c r="B898" t="s">
        <v>86</v>
      </c>
      <c r="C898" s="2">
        <v>43176</v>
      </c>
      <c r="D898" t="s">
        <v>29</v>
      </c>
      <c r="E898">
        <v>483</v>
      </c>
    </row>
    <row r="899" spans="1:5" x14ac:dyDescent="0.55000000000000004">
      <c r="A899" t="s">
        <v>980</v>
      </c>
      <c r="B899" t="s">
        <v>118</v>
      </c>
      <c r="C899" s="2">
        <v>43586</v>
      </c>
      <c r="D899" t="s">
        <v>29</v>
      </c>
      <c r="E899">
        <v>1758</v>
      </c>
    </row>
    <row r="900" spans="1:5" x14ac:dyDescent="0.55000000000000004">
      <c r="A900" t="s">
        <v>981</v>
      </c>
      <c r="B900" t="s">
        <v>84</v>
      </c>
      <c r="C900" s="2">
        <v>43989</v>
      </c>
      <c r="D900" t="s">
        <v>26</v>
      </c>
      <c r="E900">
        <v>1077</v>
      </c>
    </row>
    <row r="901" spans="1:5" x14ac:dyDescent="0.55000000000000004">
      <c r="A901" t="s">
        <v>982</v>
      </c>
      <c r="B901" t="s">
        <v>41</v>
      </c>
      <c r="C901" s="2">
        <v>43988</v>
      </c>
      <c r="D901" t="s">
        <v>29</v>
      </c>
      <c r="E901">
        <v>1864</v>
      </c>
    </row>
    <row r="902" spans="1:5" x14ac:dyDescent="0.55000000000000004">
      <c r="A902" t="s">
        <v>983</v>
      </c>
      <c r="B902" t="s">
        <v>67</v>
      </c>
      <c r="C902" s="2">
        <v>44941</v>
      </c>
      <c r="D902" t="s">
        <v>26</v>
      </c>
      <c r="E902">
        <v>2046</v>
      </c>
    </row>
    <row r="903" spans="1:5" x14ac:dyDescent="0.55000000000000004">
      <c r="A903" t="s">
        <v>984</v>
      </c>
      <c r="B903" t="s">
        <v>76</v>
      </c>
      <c r="C903" s="2">
        <v>45787</v>
      </c>
      <c r="D903" t="s">
        <v>26</v>
      </c>
      <c r="E903">
        <v>1506</v>
      </c>
    </row>
    <row r="904" spans="1:5" x14ac:dyDescent="0.55000000000000004">
      <c r="A904" t="s">
        <v>985</v>
      </c>
      <c r="B904" t="s">
        <v>105</v>
      </c>
      <c r="C904" s="2">
        <v>43439</v>
      </c>
      <c r="D904" t="s">
        <v>26</v>
      </c>
      <c r="E904">
        <v>2350</v>
      </c>
    </row>
    <row r="905" spans="1:5" x14ac:dyDescent="0.55000000000000004">
      <c r="A905" t="s">
        <v>986</v>
      </c>
      <c r="B905" t="s">
        <v>38</v>
      </c>
      <c r="C905" s="2">
        <v>44067</v>
      </c>
      <c r="D905" t="s">
        <v>26</v>
      </c>
      <c r="E905">
        <v>2084</v>
      </c>
    </row>
    <row r="906" spans="1:5" x14ac:dyDescent="0.55000000000000004">
      <c r="A906" t="s">
        <v>987</v>
      </c>
      <c r="B906" t="s">
        <v>14</v>
      </c>
      <c r="C906" s="2">
        <v>43007</v>
      </c>
      <c r="D906" t="s">
        <v>26</v>
      </c>
      <c r="E906">
        <v>1001</v>
      </c>
    </row>
    <row r="907" spans="1:5" x14ac:dyDescent="0.55000000000000004">
      <c r="A907" t="s">
        <v>988</v>
      </c>
      <c r="B907" t="s">
        <v>142</v>
      </c>
      <c r="C907" s="2">
        <v>43883</v>
      </c>
      <c r="D907" t="s">
        <v>29</v>
      </c>
      <c r="E907">
        <v>1568</v>
      </c>
    </row>
    <row r="908" spans="1:5" x14ac:dyDescent="0.55000000000000004">
      <c r="A908" t="s">
        <v>989</v>
      </c>
      <c r="B908" t="s">
        <v>72</v>
      </c>
      <c r="C908" s="2">
        <v>43283</v>
      </c>
      <c r="D908" t="s">
        <v>26</v>
      </c>
      <c r="E908">
        <v>2264</v>
      </c>
    </row>
    <row r="909" spans="1:5" x14ac:dyDescent="0.55000000000000004">
      <c r="A909" t="s">
        <v>990</v>
      </c>
      <c r="B909" t="s">
        <v>137</v>
      </c>
      <c r="C909" s="2">
        <v>45183</v>
      </c>
      <c r="D909" t="s">
        <v>26</v>
      </c>
      <c r="E909">
        <v>1318</v>
      </c>
    </row>
    <row r="910" spans="1:5" x14ac:dyDescent="0.55000000000000004">
      <c r="A910" t="s">
        <v>991</v>
      </c>
      <c r="B910" t="s">
        <v>63</v>
      </c>
      <c r="C910" s="2">
        <v>43769</v>
      </c>
      <c r="D910" t="s">
        <v>29</v>
      </c>
      <c r="E910">
        <v>1111</v>
      </c>
    </row>
    <row r="911" spans="1:5" x14ac:dyDescent="0.55000000000000004">
      <c r="A911" t="s">
        <v>992</v>
      </c>
      <c r="B911" t="s">
        <v>175</v>
      </c>
      <c r="C911" s="2">
        <v>43785</v>
      </c>
      <c r="D911" t="s">
        <v>29</v>
      </c>
      <c r="E911">
        <v>489</v>
      </c>
    </row>
    <row r="912" spans="1:5" x14ac:dyDescent="0.55000000000000004">
      <c r="A912" t="s">
        <v>993</v>
      </c>
      <c r="B912" t="s">
        <v>67</v>
      </c>
      <c r="C912" s="2">
        <v>43681</v>
      </c>
      <c r="D912" t="s">
        <v>26</v>
      </c>
      <c r="E912">
        <v>914</v>
      </c>
    </row>
    <row r="913" spans="1:5" x14ac:dyDescent="0.55000000000000004">
      <c r="A913" t="s">
        <v>994</v>
      </c>
      <c r="B913" t="s">
        <v>137</v>
      </c>
      <c r="C913" s="2">
        <v>45578</v>
      </c>
      <c r="D913" t="s">
        <v>26</v>
      </c>
      <c r="E913">
        <v>1642</v>
      </c>
    </row>
    <row r="914" spans="1:5" x14ac:dyDescent="0.55000000000000004">
      <c r="A914" t="s">
        <v>995</v>
      </c>
      <c r="B914" t="s">
        <v>74</v>
      </c>
      <c r="C914" s="2">
        <v>43869</v>
      </c>
      <c r="D914" t="s">
        <v>29</v>
      </c>
      <c r="E914">
        <v>1272</v>
      </c>
    </row>
    <row r="915" spans="1:5" x14ac:dyDescent="0.55000000000000004">
      <c r="A915" t="s">
        <v>996</v>
      </c>
      <c r="B915" t="s">
        <v>111</v>
      </c>
      <c r="C915" s="2">
        <v>43093</v>
      </c>
      <c r="D915" t="s">
        <v>29</v>
      </c>
      <c r="E915">
        <v>32</v>
      </c>
    </row>
    <row r="916" spans="1:5" x14ac:dyDescent="0.55000000000000004">
      <c r="A916" t="s">
        <v>997</v>
      </c>
      <c r="B916" t="s">
        <v>86</v>
      </c>
      <c r="C916" s="2">
        <v>43327</v>
      </c>
      <c r="D916" t="s">
        <v>29</v>
      </c>
      <c r="E916">
        <v>2309</v>
      </c>
    </row>
    <row r="917" spans="1:5" x14ac:dyDescent="0.55000000000000004">
      <c r="A917" t="s">
        <v>998</v>
      </c>
      <c r="B917" t="s">
        <v>137</v>
      </c>
      <c r="C917" s="2">
        <v>44710</v>
      </c>
      <c r="D917" t="s">
        <v>26</v>
      </c>
      <c r="E917">
        <v>1900</v>
      </c>
    </row>
    <row r="918" spans="1:5" x14ac:dyDescent="0.55000000000000004">
      <c r="A918" t="s">
        <v>999</v>
      </c>
      <c r="B918" t="s">
        <v>86</v>
      </c>
      <c r="C918" s="2">
        <v>44128</v>
      </c>
      <c r="D918" t="s">
        <v>29</v>
      </c>
      <c r="E918">
        <v>800</v>
      </c>
    </row>
    <row r="919" spans="1:5" x14ac:dyDescent="0.55000000000000004">
      <c r="A919" t="s">
        <v>1000</v>
      </c>
      <c r="B919" t="s">
        <v>78</v>
      </c>
      <c r="C919" s="2">
        <v>45704</v>
      </c>
      <c r="D919" t="s">
        <v>26</v>
      </c>
      <c r="E919">
        <v>616</v>
      </c>
    </row>
    <row r="920" spans="1:5" x14ac:dyDescent="0.55000000000000004">
      <c r="A920" t="s">
        <v>1001</v>
      </c>
      <c r="B920" t="s">
        <v>14</v>
      </c>
      <c r="C920" s="2">
        <v>43756</v>
      </c>
      <c r="D920" t="s">
        <v>26</v>
      </c>
      <c r="E920">
        <v>954</v>
      </c>
    </row>
    <row r="921" spans="1:5" x14ac:dyDescent="0.55000000000000004">
      <c r="A921" t="s">
        <v>1002</v>
      </c>
      <c r="B921" t="s">
        <v>99</v>
      </c>
      <c r="C921" s="2">
        <v>44884</v>
      </c>
      <c r="D921" t="s">
        <v>26</v>
      </c>
      <c r="E921">
        <v>1372</v>
      </c>
    </row>
    <row r="922" spans="1:5" x14ac:dyDescent="0.55000000000000004">
      <c r="A922" t="s">
        <v>1003</v>
      </c>
      <c r="B922" t="s">
        <v>14</v>
      </c>
      <c r="C922" s="2">
        <v>44471</v>
      </c>
      <c r="D922" t="s">
        <v>29</v>
      </c>
      <c r="E922">
        <v>2978</v>
      </c>
    </row>
    <row r="923" spans="1:5" x14ac:dyDescent="0.55000000000000004">
      <c r="A923" t="s">
        <v>1004</v>
      </c>
      <c r="B923" t="s">
        <v>156</v>
      </c>
      <c r="C923" s="2">
        <v>43129</v>
      </c>
      <c r="D923" t="s">
        <v>26</v>
      </c>
      <c r="E923">
        <v>2170</v>
      </c>
    </row>
    <row r="924" spans="1:5" x14ac:dyDescent="0.55000000000000004">
      <c r="A924" t="s">
        <v>1005</v>
      </c>
      <c r="B924" t="s">
        <v>63</v>
      </c>
      <c r="C924" s="2">
        <v>43776</v>
      </c>
      <c r="D924" t="s">
        <v>29</v>
      </c>
      <c r="E924">
        <v>245</v>
      </c>
    </row>
    <row r="925" spans="1:5" x14ac:dyDescent="0.55000000000000004">
      <c r="A925" t="s">
        <v>1006</v>
      </c>
      <c r="B925" t="s">
        <v>72</v>
      </c>
      <c r="C925" s="2">
        <v>44374</v>
      </c>
      <c r="D925" t="s">
        <v>29</v>
      </c>
      <c r="E925">
        <v>381</v>
      </c>
    </row>
    <row r="926" spans="1:5" x14ac:dyDescent="0.55000000000000004">
      <c r="A926" t="s">
        <v>1007</v>
      </c>
      <c r="B926" t="s">
        <v>142</v>
      </c>
      <c r="C926" s="2">
        <v>43391</v>
      </c>
      <c r="D926" t="s">
        <v>29</v>
      </c>
      <c r="E926">
        <v>2870</v>
      </c>
    </row>
    <row r="927" spans="1:5" x14ac:dyDescent="0.55000000000000004">
      <c r="A927" t="s">
        <v>1008</v>
      </c>
      <c r="B927" t="s">
        <v>94</v>
      </c>
      <c r="C927" s="2">
        <v>44991</v>
      </c>
      <c r="D927" t="s">
        <v>29</v>
      </c>
      <c r="E927">
        <v>347</v>
      </c>
    </row>
    <row r="928" spans="1:5" x14ac:dyDescent="0.55000000000000004">
      <c r="A928" t="s">
        <v>1009</v>
      </c>
      <c r="B928" t="s">
        <v>23</v>
      </c>
      <c r="C928" s="2">
        <v>44026</v>
      </c>
      <c r="D928" t="s">
        <v>26</v>
      </c>
      <c r="E928">
        <v>2610</v>
      </c>
    </row>
    <row r="929" spans="1:5" x14ac:dyDescent="0.55000000000000004">
      <c r="A929" t="s">
        <v>1010</v>
      </c>
      <c r="B929" t="s">
        <v>175</v>
      </c>
      <c r="C929" s="2">
        <v>45081</v>
      </c>
      <c r="D929" t="s">
        <v>26</v>
      </c>
      <c r="E929">
        <v>2424</v>
      </c>
    </row>
    <row r="930" spans="1:5" x14ac:dyDescent="0.55000000000000004">
      <c r="A930" t="s">
        <v>1011</v>
      </c>
      <c r="B930" t="s">
        <v>23</v>
      </c>
      <c r="C930" s="2">
        <v>43958</v>
      </c>
      <c r="D930" t="s">
        <v>29</v>
      </c>
      <c r="E930">
        <v>2713</v>
      </c>
    </row>
    <row r="931" spans="1:5" x14ac:dyDescent="0.55000000000000004">
      <c r="A931" t="s">
        <v>1012</v>
      </c>
      <c r="B931" t="s">
        <v>72</v>
      </c>
      <c r="C931" s="2">
        <v>43401</v>
      </c>
      <c r="D931" t="s">
        <v>29</v>
      </c>
      <c r="E931">
        <v>1069</v>
      </c>
    </row>
    <row r="932" spans="1:5" x14ac:dyDescent="0.55000000000000004">
      <c r="A932" t="s">
        <v>1013</v>
      </c>
      <c r="B932" t="s">
        <v>76</v>
      </c>
      <c r="C932" s="2">
        <v>44756</v>
      </c>
      <c r="D932" t="s">
        <v>29</v>
      </c>
      <c r="E932">
        <v>2870</v>
      </c>
    </row>
    <row r="933" spans="1:5" x14ac:dyDescent="0.55000000000000004">
      <c r="A933" t="s">
        <v>1014</v>
      </c>
      <c r="B933" t="s">
        <v>175</v>
      </c>
      <c r="C933" s="2">
        <v>44802</v>
      </c>
      <c r="D933" t="s">
        <v>29</v>
      </c>
      <c r="E933">
        <v>1854</v>
      </c>
    </row>
    <row r="934" spans="1:5" x14ac:dyDescent="0.55000000000000004">
      <c r="A934" t="s">
        <v>1015</v>
      </c>
      <c r="B934" t="s">
        <v>84</v>
      </c>
      <c r="C934" s="2">
        <v>43395</v>
      </c>
      <c r="D934" t="s">
        <v>26</v>
      </c>
      <c r="E934">
        <v>830</v>
      </c>
    </row>
    <row r="935" spans="1:5" x14ac:dyDescent="0.55000000000000004">
      <c r="A935" t="s">
        <v>1016</v>
      </c>
      <c r="B935" t="s">
        <v>72</v>
      </c>
      <c r="C935" s="2">
        <v>44514</v>
      </c>
      <c r="D935" t="s">
        <v>26</v>
      </c>
      <c r="E935">
        <v>636</v>
      </c>
    </row>
    <row r="936" spans="1:5" x14ac:dyDescent="0.55000000000000004">
      <c r="A936" t="s">
        <v>1017</v>
      </c>
      <c r="B936" t="s">
        <v>115</v>
      </c>
      <c r="C936" s="2">
        <v>43253</v>
      </c>
      <c r="D936" t="s">
        <v>29</v>
      </c>
      <c r="E936">
        <v>1908</v>
      </c>
    </row>
    <row r="937" spans="1:5" x14ac:dyDescent="0.55000000000000004">
      <c r="A937" t="s">
        <v>1018</v>
      </c>
      <c r="B937" t="s">
        <v>111</v>
      </c>
      <c r="C937" s="2">
        <v>43749</v>
      </c>
      <c r="D937" t="s">
        <v>26</v>
      </c>
      <c r="E937">
        <v>2195</v>
      </c>
    </row>
    <row r="938" spans="1:5" x14ac:dyDescent="0.55000000000000004">
      <c r="A938" t="s">
        <v>1019</v>
      </c>
      <c r="B938" t="s">
        <v>86</v>
      </c>
      <c r="C938" s="2">
        <v>44494</v>
      </c>
      <c r="D938" t="s">
        <v>26</v>
      </c>
      <c r="E938">
        <v>1851</v>
      </c>
    </row>
    <row r="939" spans="1:5" x14ac:dyDescent="0.55000000000000004">
      <c r="A939" t="s">
        <v>1020</v>
      </c>
      <c r="B939" t="s">
        <v>156</v>
      </c>
      <c r="C939" s="2">
        <v>43865</v>
      </c>
      <c r="D939" t="s">
        <v>29</v>
      </c>
      <c r="E939">
        <v>491</v>
      </c>
    </row>
    <row r="940" spans="1:5" x14ac:dyDescent="0.55000000000000004">
      <c r="A940" t="s">
        <v>1021</v>
      </c>
      <c r="B940" t="s">
        <v>74</v>
      </c>
      <c r="C940" s="2">
        <v>43239</v>
      </c>
      <c r="D940" t="s">
        <v>29</v>
      </c>
      <c r="E940">
        <v>2886</v>
      </c>
    </row>
    <row r="941" spans="1:5" x14ac:dyDescent="0.55000000000000004">
      <c r="A941" t="s">
        <v>1022</v>
      </c>
      <c r="B941" t="s">
        <v>41</v>
      </c>
      <c r="C941" s="2">
        <v>43913</v>
      </c>
      <c r="D941" t="s">
        <v>26</v>
      </c>
      <c r="E941">
        <v>1342</v>
      </c>
    </row>
    <row r="942" spans="1:5" x14ac:dyDescent="0.55000000000000004">
      <c r="A942" t="s">
        <v>1023</v>
      </c>
      <c r="B942" t="s">
        <v>72</v>
      </c>
      <c r="C942" s="2">
        <v>43103</v>
      </c>
      <c r="D942" t="s">
        <v>26</v>
      </c>
      <c r="E942">
        <v>1457</v>
      </c>
    </row>
    <row r="943" spans="1:5" x14ac:dyDescent="0.55000000000000004">
      <c r="A943" t="s">
        <v>1024</v>
      </c>
      <c r="B943" t="s">
        <v>101</v>
      </c>
      <c r="C943" s="2">
        <v>43968</v>
      </c>
      <c r="D943" t="s">
        <v>26</v>
      </c>
      <c r="E943">
        <v>2773</v>
      </c>
    </row>
    <row r="944" spans="1:5" x14ac:dyDescent="0.55000000000000004">
      <c r="A944" t="s">
        <v>1025</v>
      </c>
      <c r="B944" t="s">
        <v>156</v>
      </c>
      <c r="C944" s="2">
        <v>43449</v>
      </c>
      <c r="D944" t="s">
        <v>26</v>
      </c>
      <c r="E944">
        <v>127</v>
      </c>
    </row>
    <row r="945" spans="1:5" x14ac:dyDescent="0.55000000000000004">
      <c r="A945" t="s">
        <v>1026</v>
      </c>
      <c r="B945" t="s">
        <v>101</v>
      </c>
      <c r="C945" s="2">
        <v>43843</v>
      </c>
      <c r="D945" t="s">
        <v>26</v>
      </c>
      <c r="E945">
        <v>387</v>
      </c>
    </row>
    <row r="946" spans="1:5" x14ac:dyDescent="0.55000000000000004">
      <c r="A946" t="s">
        <v>1027</v>
      </c>
      <c r="B946" t="s">
        <v>15</v>
      </c>
      <c r="C946" s="2">
        <v>43125</v>
      </c>
      <c r="D946" t="s">
        <v>26</v>
      </c>
      <c r="E946">
        <v>497</v>
      </c>
    </row>
    <row r="947" spans="1:5" x14ac:dyDescent="0.55000000000000004">
      <c r="A947" t="s">
        <v>1028</v>
      </c>
      <c r="B947" t="s">
        <v>14</v>
      </c>
      <c r="C947" s="2">
        <v>43043</v>
      </c>
      <c r="D947" t="s">
        <v>26</v>
      </c>
      <c r="E947">
        <v>535</v>
      </c>
    </row>
    <row r="948" spans="1:5" x14ac:dyDescent="0.55000000000000004">
      <c r="A948" t="s">
        <v>1029</v>
      </c>
      <c r="B948" t="s">
        <v>151</v>
      </c>
      <c r="C948" s="2">
        <v>43737</v>
      </c>
      <c r="D948" t="s">
        <v>29</v>
      </c>
      <c r="E948">
        <v>2811</v>
      </c>
    </row>
    <row r="949" spans="1:5" x14ac:dyDescent="0.55000000000000004">
      <c r="A949" t="s">
        <v>1030</v>
      </c>
      <c r="B949" t="s">
        <v>35</v>
      </c>
      <c r="C949" s="2">
        <v>44003</v>
      </c>
      <c r="D949" t="s">
        <v>29</v>
      </c>
      <c r="E949">
        <v>307</v>
      </c>
    </row>
    <row r="950" spans="1:5" x14ac:dyDescent="0.55000000000000004">
      <c r="A950" t="s">
        <v>1031</v>
      </c>
      <c r="B950" t="s">
        <v>14</v>
      </c>
      <c r="C950" s="2">
        <v>43049</v>
      </c>
      <c r="D950" t="s">
        <v>26</v>
      </c>
      <c r="E950">
        <v>2645</v>
      </c>
    </row>
    <row r="951" spans="1:5" x14ac:dyDescent="0.55000000000000004">
      <c r="A951" t="s">
        <v>1032</v>
      </c>
      <c r="B951" t="s">
        <v>15</v>
      </c>
      <c r="C951" s="2">
        <v>43180</v>
      </c>
      <c r="D951" t="s">
        <v>26</v>
      </c>
      <c r="E951">
        <v>1358</v>
      </c>
    </row>
    <row r="952" spans="1:5" x14ac:dyDescent="0.55000000000000004">
      <c r="A952" t="s">
        <v>1033</v>
      </c>
      <c r="B952" t="s">
        <v>115</v>
      </c>
      <c r="C952" s="2">
        <v>43004</v>
      </c>
      <c r="D952" t="s">
        <v>29</v>
      </c>
      <c r="E952">
        <v>207</v>
      </c>
    </row>
    <row r="953" spans="1:5" x14ac:dyDescent="0.55000000000000004">
      <c r="A953" t="s">
        <v>1034</v>
      </c>
      <c r="B953" t="s">
        <v>105</v>
      </c>
      <c r="C953" s="2">
        <v>44092</v>
      </c>
      <c r="D953" t="s">
        <v>29</v>
      </c>
      <c r="E953">
        <v>2967</v>
      </c>
    </row>
    <row r="954" spans="1:5" x14ac:dyDescent="0.55000000000000004">
      <c r="A954" t="s">
        <v>1035</v>
      </c>
      <c r="B954" t="s">
        <v>101</v>
      </c>
      <c r="C954" s="2">
        <v>43933</v>
      </c>
      <c r="D954" t="s">
        <v>26</v>
      </c>
      <c r="E954">
        <v>1567</v>
      </c>
    </row>
    <row r="955" spans="1:5" x14ac:dyDescent="0.55000000000000004">
      <c r="A955" t="s">
        <v>1036</v>
      </c>
      <c r="B955" t="s">
        <v>38</v>
      </c>
      <c r="C955" s="2">
        <v>44704</v>
      </c>
      <c r="D955" t="s">
        <v>26</v>
      </c>
      <c r="E955">
        <v>1449</v>
      </c>
    </row>
    <row r="956" spans="1:5" x14ac:dyDescent="0.55000000000000004">
      <c r="A956" t="s">
        <v>1037</v>
      </c>
      <c r="B956" t="s">
        <v>151</v>
      </c>
      <c r="C956" s="2">
        <v>43300</v>
      </c>
      <c r="D956" t="s">
        <v>29</v>
      </c>
      <c r="E956">
        <v>1146</v>
      </c>
    </row>
    <row r="957" spans="1:5" x14ac:dyDescent="0.55000000000000004">
      <c r="A957" t="s">
        <v>1038</v>
      </c>
      <c r="B957" t="s">
        <v>15</v>
      </c>
      <c r="C957" s="2">
        <v>43221</v>
      </c>
      <c r="D957" t="s">
        <v>26</v>
      </c>
      <c r="E957">
        <v>2515</v>
      </c>
    </row>
    <row r="958" spans="1:5" x14ac:dyDescent="0.55000000000000004">
      <c r="A958" t="s">
        <v>1039</v>
      </c>
      <c r="B958" t="s">
        <v>32</v>
      </c>
      <c r="C958" s="2">
        <v>44334</v>
      </c>
      <c r="D958" t="s">
        <v>29</v>
      </c>
      <c r="E958">
        <v>2043</v>
      </c>
    </row>
    <row r="959" spans="1:5" x14ac:dyDescent="0.55000000000000004">
      <c r="A959" t="s">
        <v>1040</v>
      </c>
      <c r="B959" t="s">
        <v>140</v>
      </c>
      <c r="C959" s="2">
        <v>44044</v>
      </c>
      <c r="D959" t="s">
        <v>29</v>
      </c>
      <c r="E959">
        <v>249</v>
      </c>
    </row>
    <row r="960" spans="1:5" x14ac:dyDescent="0.55000000000000004">
      <c r="A960" t="s">
        <v>1041</v>
      </c>
      <c r="B960" t="s">
        <v>74</v>
      </c>
      <c r="C960" s="2">
        <v>43489</v>
      </c>
      <c r="D960" t="s">
        <v>29</v>
      </c>
      <c r="E960">
        <v>562</v>
      </c>
    </row>
    <row r="961" spans="1:5" x14ac:dyDescent="0.55000000000000004">
      <c r="A961" t="s">
        <v>1042</v>
      </c>
      <c r="B961" t="s">
        <v>140</v>
      </c>
      <c r="C961" s="2">
        <v>43325</v>
      </c>
      <c r="D961" t="s">
        <v>26</v>
      </c>
      <c r="E961">
        <v>2583</v>
      </c>
    </row>
    <row r="962" spans="1:5" x14ac:dyDescent="0.55000000000000004">
      <c r="A962" t="s">
        <v>1043</v>
      </c>
      <c r="B962" t="s">
        <v>137</v>
      </c>
      <c r="C962" s="2">
        <v>45692</v>
      </c>
      <c r="D962" t="s">
        <v>26</v>
      </c>
      <c r="E962">
        <v>1566</v>
      </c>
    </row>
    <row r="963" spans="1:5" x14ac:dyDescent="0.55000000000000004">
      <c r="A963" t="s">
        <v>1044</v>
      </c>
      <c r="B963" t="s">
        <v>137</v>
      </c>
      <c r="C963" s="2">
        <v>44936</v>
      </c>
      <c r="D963" t="s">
        <v>29</v>
      </c>
      <c r="E963">
        <v>2230</v>
      </c>
    </row>
    <row r="964" spans="1:5" x14ac:dyDescent="0.55000000000000004">
      <c r="A964" t="s">
        <v>1045</v>
      </c>
      <c r="B964" t="s">
        <v>137</v>
      </c>
      <c r="C964" s="2">
        <v>45451</v>
      </c>
      <c r="D964" t="s">
        <v>29</v>
      </c>
      <c r="E964">
        <v>2316</v>
      </c>
    </row>
    <row r="965" spans="1:5" x14ac:dyDescent="0.55000000000000004">
      <c r="A965" t="s">
        <v>1046</v>
      </c>
      <c r="B965" t="s">
        <v>67</v>
      </c>
      <c r="C965" s="2">
        <v>44783</v>
      </c>
      <c r="D965" t="s">
        <v>29</v>
      </c>
      <c r="E965">
        <v>1107</v>
      </c>
    </row>
    <row r="966" spans="1:5" x14ac:dyDescent="0.55000000000000004">
      <c r="A966" t="s">
        <v>1047</v>
      </c>
      <c r="B966" t="s">
        <v>105</v>
      </c>
      <c r="C966" s="2">
        <v>42970</v>
      </c>
      <c r="D966" t="s">
        <v>29</v>
      </c>
      <c r="E966">
        <v>2445</v>
      </c>
    </row>
    <row r="967" spans="1:5" x14ac:dyDescent="0.55000000000000004">
      <c r="A967" t="s">
        <v>1048</v>
      </c>
      <c r="B967" t="s">
        <v>63</v>
      </c>
      <c r="C967" s="2">
        <v>42977</v>
      </c>
      <c r="D967" t="s">
        <v>29</v>
      </c>
      <c r="E967">
        <v>239</v>
      </c>
    </row>
    <row r="968" spans="1:5" x14ac:dyDescent="0.55000000000000004">
      <c r="A968" t="s">
        <v>1049</v>
      </c>
      <c r="B968" t="s">
        <v>137</v>
      </c>
      <c r="C968" s="2">
        <v>45398</v>
      </c>
      <c r="D968" t="s">
        <v>29</v>
      </c>
      <c r="E968">
        <v>2392</v>
      </c>
    </row>
    <row r="969" spans="1:5" x14ac:dyDescent="0.55000000000000004">
      <c r="A969" t="s">
        <v>1050</v>
      </c>
      <c r="B969" t="s">
        <v>63</v>
      </c>
      <c r="C969" s="2">
        <v>43243</v>
      </c>
      <c r="D969" t="s">
        <v>26</v>
      </c>
      <c r="E969">
        <v>1015</v>
      </c>
    </row>
    <row r="970" spans="1:5" x14ac:dyDescent="0.55000000000000004">
      <c r="A970" t="s">
        <v>1051</v>
      </c>
      <c r="B970" t="s">
        <v>38</v>
      </c>
      <c r="C970" s="2">
        <v>44324</v>
      </c>
      <c r="D970" t="s">
        <v>29</v>
      </c>
      <c r="E970">
        <v>2185</v>
      </c>
    </row>
    <row r="971" spans="1:5" x14ac:dyDescent="0.55000000000000004">
      <c r="A971" t="s">
        <v>1052</v>
      </c>
      <c r="B971" t="s">
        <v>175</v>
      </c>
      <c r="C971" s="2">
        <v>43695</v>
      </c>
      <c r="D971" t="s">
        <v>26</v>
      </c>
      <c r="E971">
        <v>2358</v>
      </c>
    </row>
    <row r="972" spans="1:5" x14ac:dyDescent="0.55000000000000004">
      <c r="A972" t="s">
        <v>1053</v>
      </c>
      <c r="B972" t="s">
        <v>76</v>
      </c>
      <c r="C972" s="2">
        <v>45056</v>
      </c>
      <c r="D972" t="s">
        <v>29</v>
      </c>
      <c r="E972">
        <v>711</v>
      </c>
    </row>
    <row r="973" spans="1:5" x14ac:dyDescent="0.55000000000000004">
      <c r="A973" t="s">
        <v>1054</v>
      </c>
      <c r="B973" t="s">
        <v>105</v>
      </c>
      <c r="C973" s="2">
        <v>43401</v>
      </c>
      <c r="D973" t="s">
        <v>29</v>
      </c>
      <c r="E973">
        <v>2857</v>
      </c>
    </row>
    <row r="974" spans="1:5" x14ac:dyDescent="0.55000000000000004">
      <c r="A974" t="s">
        <v>1055</v>
      </c>
      <c r="B974" t="s">
        <v>86</v>
      </c>
      <c r="C974" s="2">
        <v>44128</v>
      </c>
      <c r="D974" t="s">
        <v>26</v>
      </c>
      <c r="E974">
        <v>2881</v>
      </c>
    </row>
    <row r="975" spans="1:5" x14ac:dyDescent="0.55000000000000004">
      <c r="A975" t="s">
        <v>1056</v>
      </c>
      <c r="B975" t="s">
        <v>41</v>
      </c>
      <c r="C975" s="2">
        <v>44551</v>
      </c>
      <c r="D975" t="s">
        <v>26</v>
      </c>
      <c r="E975">
        <v>2306</v>
      </c>
    </row>
    <row r="976" spans="1:5" x14ac:dyDescent="0.55000000000000004">
      <c r="A976" t="s">
        <v>1057</v>
      </c>
      <c r="B976" t="s">
        <v>151</v>
      </c>
      <c r="C976" s="2">
        <v>43925</v>
      </c>
      <c r="D976" t="s">
        <v>29</v>
      </c>
      <c r="E976">
        <v>719</v>
      </c>
    </row>
    <row r="977" spans="1:5" x14ac:dyDescent="0.55000000000000004">
      <c r="A977" t="s">
        <v>1058</v>
      </c>
      <c r="B977" t="s">
        <v>96</v>
      </c>
      <c r="C977" s="2">
        <v>43621</v>
      </c>
      <c r="D977" t="s">
        <v>26</v>
      </c>
      <c r="E977">
        <v>230</v>
      </c>
    </row>
    <row r="978" spans="1:5" x14ac:dyDescent="0.55000000000000004">
      <c r="A978" t="s">
        <v>1059</v>
      </c>
      <c r="B978" t="s">
        <v>63</v>
      </c>
      <c r="C978" s="2">
        <v>44149</v>
      </c>
      <c r="D978" t="s">
        <v>26</v>
      </c>
      <c r="E978">
        <v>81</v>
      </c>
    </row>
    <row r="979" spans="1:5" x14ac:dyDescent="0.55000000000000004">
      <c r="A979" t="s">
        <v>1060</v>
      </c>
      <c r="B979" t="s">
        <v>67</v>
      </c>
      <c r="C979" s="2">
        <v>45423</v>
      </c>
      <c r="D979" t="s">
        <v>26</v>
      </c>
      <c r="E979">
        <v>1358</v>
      </c>
    </row>
    <row r="980" spans="1:5" x14ac:dyDescent="0.55000000000000004">
      <c r="A980" t="s">
        <v>1061</v>
      </c>
      <c r="B980" t="s">
        <v>32</v>
      </c>
      <c r="C980" s="2">
        <v>44243</v>
      </c>
      <c r="D980" t="s">
        <v>26</v>
      </c>
      <c r="E980">
        <v>1395</v>
      </c>
    </row>
    <row r="981" spans="1:5" x14ac:dyDescent="0.55000000000000004">
      <c r="A981" t="s">
        <v>1062</v>
      </c>
      <c r="B981" t="s">
        <v>41</v>
      </c>
      <c r="C981" s="2">
        <v>44194</v>
      </c>
      <c r="D981" t="s">
        <v>29</v>
      </c>
      <c r="E981">
        <v>243</v>
      </c>
    </row>
    <row r="982" spans="1:5" x14ac:dyDescent="0.55000000000000004">
      <c r="A982" t="s">
        <v>1063</v>
      </c>
      <c r="B982" t="s">
        <v>14</v>
      </c>
      <c r="C982" s="2">
        <v>43219</v>
      </c>
      <c r="D982" t="s">
        <v>26</v>
      </c>
      <c r="E982">
        <v>454</v>
      </c>
    </row>
    <row r="983" spans="1:5" x14ac:dyDescent="0.55000000000000004">
      <c r="A983" t="s">
        <v>1064</v>
      </c>
      <c r="B983" t="s">
        <v>76</v>
      </c>
      <c r="C983" s="2">
        <v>45621</v>
      </c>
      <c r="D983" t="s">
        <v>29</v>
      </c>
      <c r="E983">
        <v>297</v>
      </c>
    </row>
    <row r="984" spans="1:5" x14ac:dyDescent="0.55000000000000004">
      <c r="A984" t="s">
        <v>1065</v>
      </c>
      <c r="B984" t="s">
        <v>86</v>
      </c>
      <c r="C984" s="2">
        <v>44359</v>
      </c>
      <c r="D984" t="s">
        <v>29</v>
      </c>
      <c r="E984">
        <v>2400</v>
      </c>
    </row>
    <row r="985" spans="1:5" x14ac:dyDescent="0.55000000000000004">
      <c r="A985" t="s">
        <v>1066</v>
      </c>
      <c r="B985" t="s">
        <v>115</v>
      </c>
      <c r="C985" s="2">
        <v>43606</v>
      </c>
      <c r="D985" t="s">
        <v>29</v>
      </c>
      <c r="E985">
        <v>1321</v>
      </c>
    </row>
    <row r="986" spans="1:5" x14ac:dyDescent="0.55000000000000004">
      <c r="A986" t="s">
        <v>1067</v>
      </c>
      <c r="B986" t="s">
        <v>72</v>
      </c>
      <c r="C986" s="2">
        <v>43239</v>
      </c>
      <c r="D986" t="s">
        <v>29</v>
      </c>
      <c r="E986">
        <v>2618</v>
      </c>
    </row>
    <row r="987" spans="1:5" x14ac:dyDescent="0.55000000000000004">
      <c r="A987" t="s">
        <v>1068</v>
      </c>
      <c r="B987" t="s">
        <v>96</v>
      </c>
      <c r="C987" s="2">
        <v>44765</v>
      </c>
      <c r="D987" t="s">
        <v>26</v>
      </c>
      <c r="E987">
        <v>2896</v>
      </c>
    </row>
    <row r="988" spans="1:5" x14ac:dyDescent="0.55000000000000004">
      <c r="A988" t="s">
        <v>1069</v>
      </c>
      <c r="B988" t="s">
        <v>99</v>
      </c>
      <c r="C988" s="2">
        <v>44927</v>
      </c>
      <c r="D988" t="s">
        <v>26</v>
      </c>
      <c r="E988">
        <v>2726</v>
      </c>
    </row>
    <row r="989" spans="1:5" x14ac:dyDescent="0.55000000000000004">
      <c r="A989" t="s">
        <v>1070</v>
      </c>
      <c r="B989" t="s">
        <v>23</v>
      </c>
      <c r="C989" s="2">
        <v>44190</v>
      </c>
      <c r="D989" t="s">
        <v>29</v>
      </c>
      <c r="E989">
        <v>1256</v>
      </c>
    </row>
    <row r="990" spans="1:5" x14ac:dyDescent="0.55000000000000004">
      <c r="A990" t="s">
        <v>1071</v>
      </c>
      <c r="B990" t="s">
        <v>78</v>
      </c>
      <c r="C990" s="2">
        <v>44672</v>
      </c>
      <c r="D990" t="s">
        <v>26</v>
      </c>
      <c r="E990">
        <v>727</v>
      </c>
    </row>
    <row r="991" spans="1:5" x14ac:dyDescent="0.55000000000000004">
      <c r="A991" t="s">
        <v>1072</v>
      </c>
      <c r="B991" t="s">
        <v>78</v>
      </c>
      <c r="C991" s="2">
        <v>43473</v>
      </c>
      <c r="D991" t="s">
        <v>29</v>
      </c>
      <c r="E991">
        <v>2324</v>
      </c>
    </row>
    <row r="992" spans="1:5" x14ac:dyDescent="0.55000000000000004">
      <c r="A992" t="s">
        <v>1073</v>
      </c>
      <c r="B992" t="s">
        <v>142</v>
      </c>
      <c r="C992" s="2">
        <v>43289</v>
      </c>
      <c r="D992" t="s">
        <v>29</v>
      </c>
      <c r="E992">
        <v>2504</v>
      </c>
    </row>
    <row r="993" spans="1:5" x14ac:dyDescent="0.55000000000000004">
      <c r="A993" t="s">
        <v>1074</v>
      </c>
      <c r="B993" t="s">
        <v>63</v>
      </c>
      <c r="C993" s="2">
        <v>44226</v>
      </c>
      <c r="D993" t="s">
        <v>26</v>
      </c>
      <c r="E993">
        <v>2032</v>
      </c>
    </row>
    <row r="994" spans="1:5" x14ac:dyDescent="0.55000000000000004">
      <c r="A994" t="s">
        <v>1075</v>
      </c>
      <c r="B994" t="s">
        <v>72</v>
      </c>
      <c r="C994" s="2">
        <v>43595</v>
      </c>
      <c r="D994" t="s">
        <v>26</v>
      </c>
      <c r="E994">
        <v>974</v>
      </c>
    </row>
    <row r="995" spans="1:5" x14ac:dyDescent="0.55000000000000004">
      <c r="A995" t="s">
        <v>1076</v>
      </c>
      <c r="B995" t="s">
        <v>86</v>
      </c>
      <c r="C995" s="2">
        <v>43571</v>
      </c>
      <c r="D995" t="s">
        <v>26</v>
      </c>
      <c r="E995">
        <v>2605</v>
      </c>
    </row>
    <row r="996" spans="1:5" x14ac:dyDescent="0.55000000000000004">
      <c r="A996" t="s">
        <v>1077</v>
      </c>
      <c r="B996" t="s">
        <v>94</v>
      </c>
      <c r="C996" s="2">
        <v>43829</v>
      </c>
      <c r="D996" t="s">
        <v>29</v>
      </c>
      <c r="E996">
        <v>1829</v>
      </c>
    </row>
    <row r="997" spans="1:5" x14ac:dyDescent="0.55000000000000004">
      <c r="A997" t="s">
        <v>1078</v>
      </c>
      <c r="B997" t="s">
        <v>14</v>
      </c>
      <c r="C997" s="2">
        <v>43460</v>
      </c>
      <c r="D997" t="s">
        <v>26</v>
      </c>
      <c r="E997">
        <v>1022</v>
      </c>
    </row>
    <row r="998" spans="1:5" x14ac:dyDescent="0.55000000000000004">
      <c r="A998" t="s">
        <v>1079</v>
      </c>
      <c r="B998" t="s">
        <v>41</v>
      </c>
      <c r="C998" s="2">
        <v>43969</v>
      </c>
      <c r="D998" t="s">
        <v>29</v>
      </c>
      <c r="E998">
        <v>1051</v>
      </c>
    </row>
    <row r="999" spans="1:5" x14ac:dyDescent="0.55000000000000004">
      <c r="A999" t="s">
        <v>1080</v>
      </c>
      <c r="B999" t="s">
        <v>137</v>
      </c>
      <c r="C999" s="2">
        <v>43908</v>
      </c>
      <c r="D999" t="s">
        <v>26</v>
      </c>
      <c r="E999">
        <v>197</v>
      </c>
    </row>
    <row r="1000" spans="1:5" x14ac:dyDescent="0.55000000000000004">
      <c r="A1000" t="s">
        <v>1081</v>
      </c>
      <c r="B1000" t="s">
        <v>101</v>
      </c>
      <c r="C1000" s="2">
        <v>43814</v>
      </c>
      <c r="D1000" t="s">
        <v>29</v>
      </c>
      <c r="E1000">
        <v>681</v>
      </c>
    </row>
    <row r="1001" spans="1:5" x14ac:dyDescent="0.55000000000000004">
      <c r="A1001" t="s">
        <v>1082</v>
      </c>
      <c r="B1001" t="s">
        <v>94</v>
      </c>
      <c r="C1001" s="2">
        <v>45161</v>
      </c>
      <c r="D1001" t="s">
        <v>29</v>
      </c>
      <c r="E1001">
        <v>1551</v>
      </c>
    </row>
    <row r="1002" spans="1:5" x14ac:dyDescent="0.55000000000000004">
      <c r="A1002" t="s">
        <v>1083</v>
      </c>
      <c r="B1002" t="s">
        <v>86</v>
      </c>
      <c r="C1002" s="2">
        <v>44035</v>
      </c>
      <c r="D1002" t="s">
        <v>29</v>
      </c>
      <c r="E1002">
        <v>415</v>
      </c>
    </row>
    <row r="1003" spans="1:5" x14ac:dyDescent="0.55000000000000004">
      <c r="A1003" t="s">
        <v>1084</v>
      </c>
      <c r="B1003" t="s">
        <v>175</v>
      </c>
      <c r="C1003" s="2">
        <v>45429</v>
      </c>
      <c r="D1003" t="s">
        <v>26</v>
      </c>
      <c r="E1003">
        <v>666</v>
      </c>
    </row>
    <row r="1004" spans="1:5" x14ac:dyDescent="0.55000000000000004">
      <c r="A1004" t="s">
        <v>1085</v>
      </c>
      <c r="B1004" t="s">
        <v>15</v>
      </c>
      <c r="C1004" s="2">
        <v>43067</v>
      </c>
      <c r="D1004" t="s">
        <v>26</v>
      </c>
      <c r="E1004">
        <v>1207</v>
      </c>
    </row>
    <row r="1005" spans="1:5" x14ac:dyDescent="0.55000000000000004">
      <c r="A1005" t="s">
        <v>1086</v>
      </c>
      <c r="B1005" t="s">
        <v>14</v>
      </c>
      <c r="C1005" s="2">
        <v>43569</v>
      </c>
      <c r="D1005" t="s">
        <v>29</v>
      </c>
      <c r="E1005">
        <v>428</v>
      </c>
    </row>
    <row r="1006" spans="1:5" x14ac:dyDescent="0.55000000000000004">
      <c r="A1006" t="s">
        <v>1087</v>
      </c>
      <c r="B1006" t="s">
        <v>74</v>
      </c>
      <c r="C1006" s="2">
        <v>43617</v>
      </c>
      <c r="D1006" t="s">
        <v>26</v>
      </c>
      <c r="E1006">
        <v>1537</v>
      </c>
    </row>
    <row r="1007" spans="1:5" x14ac:dyDescent="0.55000000000000004">
      <c r="A1007" t="s">
        <v>1088</v>
      </c>
      <c r="B1007" t="s">
        <v>105</v>
      </c>
      <c r="C1007" s="2">
        <v>44416</v>
      </c>
      <c r="D1007" t="s">
        <v>26</v>
      </c>
      <c r="E1007">
        <v>2240</v>
      </c>
    </row>
    <row r="1008" spans="1:5" x14ac:dyDescent="0.55000000000000004">
      <c r="A1008" t="s">
        <v>1089</v>
      </c>
      <c r="B1008" t="s">
        <v>94</v>
      </c>
      <c r="C1008" s="2">
        <v>43847</v>
      </c>
      <c r="D1008" t="s">
        <v>29</v>
      </c>
      <c r="E1008">
        <v>2433</v>
      </c>
    </row>
    <row r="1009" spans="1:5" x14ac:dyDescent="0.55000000000000004">
      <c r="A1009" t="s">
        <v>1090</v>
      </c>
      <c r="B1009" t="s">
        <v>32</v>
      </c>
      <c r="C1009" s="2">
        <v>44819</v>
      </c>
      <c r="D1009" t="s">
        <v>26</v>
      </c>
      <c r="E1009">
        <v>1766</v>
      </c>
    </row>
    <row r="1010" spans="1:5" x14ac:dyDescent="0.55000000000000004">
      <c r="A1010" t="s">
        <v>1091</v>
      </c>
      <c r="B1010" t="s">
        <v>35</v>
      </c>
      <c r="C1010" s="2">
        <v>44168</v>
      </c>
      <c r="D1010" t="s">
        <v>29</v>
      </c>
      <c r="E1010">
        <v>643</v>
      </c>
    </row>
    <row r="1011" spans="1:5" x14ac:dyDescent="0.55000000000000004">
      <c r="A1011" t="s">
        <v>1092</v>
      </c>
      <c r="B1011" t="s">
        <v>142</v>
      </c>
      <c r="C1011" s="2">
        <v>43124</v>
      </c>
      <c r="D1011" t="s">
        <v>29</v>
      </c>
      <c r="E1011">
        <v>841</v>
      </c>
    </row>
    <row r="1012" spans="1:5" x14ac:dyDescent="0.55000000000000004">
      <c r="A1012" t="s">
        <v>1093</v>
      </c>
      <c r="B1012" t="s">
        <v>151</v>
      </c>
      <c r="C1012" s="2">
        <v>43755</v>
      </c>
      <c r="D1012" t="s">
        <v>29</v>
      </c>
      <c r="E1012">
        <v>2705</v>
      </c>
    </row>
    <row r="1013" spans="1:5" x14ac:dyDescent="0.55000000000000004">
      <c r="A1013" t="s">
        <v>1094</v>
      </c>
      <c r="B1013" t="s">
        <v>156</v>
      </c>
      <c r="C1013" s="2">
        <v>43526</v>
      </c>
      <c r="D1013" t="s">
        <v>26</v>
      </c>
      <c r="E1013">
        <v>392</v>
      </c>
    </row>
    <row r="1014" spans="1:5" x14ac:dyDescent="0.55000000000000004">
      <c r="A1014" t="s">
        <v>1095</v>
      </c>
      <c r="B1014" t="s">
        <v>142</v>
      </c>
      <c r="C1014" s="2">
        <v>43721</v>
      </c>
      <c r="D1014" t="s">
        <v>29</v>
      </c>
      <c r="E1014">
        <v>629</v>
      </c>
    </row>
    <row r="1015" spans="1:5" x14ac:dyDescent="0.55000000000000004">
      <c r="A1015" t="s">
        <v>1096</v>
      </c>
      <c r="B1015" t="s">
        <v>142</v>
      </c>
      <c r="C1015" s="2">
        <v>43655</v>
      </c>
      <c r="D1015" t="s">
        <v>26</v>
      </c>
      <c r="E1015">
        <v>1751</v>
      </c>
    </row>
    <row r="1016" spans="1:5" x14ac:dyDescent="0.55000000000000004">
      <c r="A1016" t="s">
        <v>1097</v>
      </c>
      <c r="B1016" t="s">
        <v>74</v>
      </c>
      <c r="C1016" s="2">
        <v>43520</v>
      </c>
      <c r="D1016" t="s">
        <v>29</v>
      </c>
      <c r="E1016">
        <v>817</v>
      </c>
    </row>
    <row r="1017" spans="1:5" x14ac:dyDescent="0.55000000000000004">
      <c r="A1017" t="s">
        <v>1098</v>
      </c>
      <c r="B1017" t="s">
        <v>115</v>
      </c>
      <c r="C1017" s="2">
        <v>42969</v>
      </c>
      <c r="D1017" t="s">
        <v>26</v>
      </c>
      <c r="E1017">
        <v>699</v>
      </c>
    </row>
    <row r="1018" spans="1:5" x14ac:dyDescent="0.55000000000000004">
      <c r="A1018" t="s">
        <v>1099</v>
      </c>
      <c r="B1018" t="s">
        <v>35</v>
      </c>
      <c r="C1018" s="2">
        <v>44428</v>
      </c>
      <c r="D1018" t="s">
        <v>26</v>
      </c>
      <c r="E1018">
        <v>1939</v>
      </c>
    </row>
    <row r="1019" spans="1:5" x14ac:dyDescent="0.55000000000000004">
      <c r="A1019" t="s">
        <v>1100</v>
      </c>
      <c r="B1019" t="s">
        <v>76</v>
      </c>
      <c r="C1019" s="2">
        <v>43939</v>
      </c>
      <c r="D1019" t="s">
        <v>29</v>
      </c>
      <c r="E1019">
        <v>1628</v>
      </c>
    </row>
    <row r="1020" spans="1:5" x14ac:dyDescent="0.55000000000000004">
      <c r="A1020" t="s">
        <v>1101</v>
      </c>
      <c r="B1020" t="s">
        <v>96</v>
      </c>
      <c r="C1020" s="2">
        <v>45469</v>
      </c>
      <c r="D1020" t="s">
        <v>29</v>
      </c>
      <c r="E1020">
        <v>373</v>
      </c>
    </row>
    <row r="1021" spans="1:5" x14ac:dyDescent="0.55000000000000004">
      <c r="A1021" t="s">
        <v>1102</v>
      </c>
      <c r="B1021" t="s">
        <v>35</v>
      </c>
      <c r="C1021" s="2">
        <v>44624</v>
      </c>
      <c r="D1021" t="s">
        <v>26</v>
      </c>
      <c r="E1021">
        <v>1519</v>
      </c>
    </row>
    <row r="1022" spans="1:5" x14ac:dyDescent="0.55000000000000004">
      <c r="A1022" t="s">
        <v>1103</v>
      </c>
      <c r="B1022" t="s">
        <v>94</v>
      </c>
      <c r="C1022" s="2">
        <v>45028</v>
      </c>
      <c r="D1022" t="s">
        <v>29</v>
      </c>
      <c r="E1022">
        <v>764</v>
      </c>
    </row>
    <row r="1023" spans="1:5" x14ac:dyDescent="0.55000000000000004">
      <c r="A1023" t="s">
        <v>1104</v>
      </c>
      <c r="B1023" t="s">
        <v>15</v>
      </c>
      <c r="C1023" s="2">
        <v>43008</v>
      </c>
      <c r="D1023" t="s">
        <v>29</v>
      </c>
      <c r="E1023">
        <v>1801</v>
      </c>
    </row>
    <row r="1024" spans="1:5" x14ac:dyDescent="0.55000000000000004">
      <c r="A1024" t="s">
        <v>1105</v>
      </c>
      <c r="B1024" t="s">
        <v>15</v>
      </c>
      <c r="C1024" s="2">
        <v>43456</v>
      </c>
      <c r="D1024" t="s">
        <v>26</v>
      </c>
      <c r="E1024">
        <v>1100</v>
      </c>
    </row>
    <row r="1025" spans="1:5" x14ac:dyDescent="0.55000000000000004">
      <c r="A1025" t="s">
        <v>1106</v>
      </c>
      <c r="B1025" t="s">
        <v>23</v>
      </c>
      <c r="C1025" s="2">
        <v>43957</v>
      </c>
      <c r="D1025" t="s">
        <v>26</v>
      </c>
      <c r="E1025">
        <v>2852</v>
      </c>
    </row>
    <row r="1026" spans="1:5" x14ac:dyDescent="0.55000000000000004">
      <c r="A1026" t="s">
        <v>1107</v>
      </c>
      <c r="B1026" t="s">
        <v>38</v>
      </c>
      <c r="C1026" s="2">
        <v>44029</v>
      </c>
      <c r="D1026" t="s">
        <v>26</v>
      </c>
      <c r="E1026">
        <v>2736</v>
      </c>
    </row>
    <row r="1027" spans="1:5" x14ac:dyDescent="0.55000000000000004">
      <c r="A1027" t="s">
        <v>1108</v>
      </c>
      <c r="B1027" t="s">
        <v>86</v>
      </c>
      <c r="C1027" s="2">
        <v>44025</v>
      </c>
      <c r="D1027" t="s">
        <v>29</v>
      </c>
      <c r="E1027">
        <v>2415</v>
      </c>
    </row>
    <row r="1028" spans="1:5" x14ac:dyDescent="0.55000000000000004">
      <c r="A1028" t="s">
        <v>1109</v>
      </c>
      <c r="B1028" t="s">
        <v>63</v>
      </c>
      <c r="C1028" s="2">
        <v>44050</v>
      </c>
      <c r="D1028" t="s">
        <v>26</v>
      </c>
      <c r="E1028">
        <v>1585</v>
      </c>
    </row>
    <row r="1029" spans="1:5" x14ac:dyDescent="0.55000000000000004">
      <c r="A1029" t="s">
        <v>1110</v>
      </c>
      <c r="B1029" t="s">
        <v>175</v>
      </c>
      <c r="C1029" s="2">
        <v>45606</v>
      </c>
      <c r="D1029" t="s">
        <v>29</v>
      </c>
      <c r="E1029">
        <v>2193</v>
      </c>
    </row>
    <row r="1030" spans="1:5" x14ac:dyDescent="0.55000000000000004">
      <c r="A1030" t="s">
        <v>1111</v>
      </c>
      <c r="B1030" t="s">
        <v>38</v>
      </c>
      <c r="C1030" s="2">
        <v>44803</v>
      </c>
      <c r="D1030" t="s">
        <v>26</v>
      </c>
      <c r="E1030">
        <v>1950</v>
      </c>
    </row>
    <row r="1031" spans="1:5" x14ac:dyDescent="0.55000000000000004">
      <c r="A1031" t="s">
        <v>1112</v>
      </c>
      <c r="B1031" t="s">
        <v>156</v>
      </c>
      <c r="C1031" s="2">
        <v>43078</v>
      </c>
      <c r="D1031" t="s">
        <v>29</v>
      </c>
      <c r="E1031">
        <v>2925</v>
      </c>
    </row>
    <row r="1032" spans="1:5" x14ac:dyDescent="0.55000000000000004">
      <c r="A1032" t="s">
        <v>1113</v>
      </c>
      <c r="B1032" t="s">
        <v>142</v>
      </c>
      <c r="C1032" s="2">
        <v>43945</v>
      </c>
      <c r="D1032" t="s">
        <v>26</v>
      </c>
      <c r="E1032">
        <v>492</v>
      </c>
    </row>
    <row r="1033" spans="1:5" x14ac:dyDescent="0.55000000000000004">
      <c r="A1033" t="s">
        <v>1114</v>
      </c>
      <c r="B1033" t="s">
        <v>118</v>
      </c>
      <c r="C1033" s="2">
        <v>45305</v>
      </c>
      <c r="D1033" t="s">
        <v>26</v>
      </c>
      <c r="E1033">
        <v>684</v>
      </c>
    </row>
    <row r="1034" spans="1:5" x14ac:dyDescent="0.55000000000000004">
      <c r="A1034" t="s">
        <v>1115</v>
      </c>
      <c r="B1034" t="s">
        <v>151</v>
      </c>
      <c r="C1034" s="2">
        <v>43311</v>
      </c>
      <c r="D1034" t="s">
        <v>26</v>
      </c>
      <c r="E1034">
        <v>174</v>
      </c>
    </row>
    <row r="1035" spans="1:5" x14ac:dyDescent="0.55000000000000004">
      <c r="A1035" t="s">
        <v>1116</v>
      </c>
      <c r="B1035" t="s">
        <v>140</v>
      </c>
      <c r="C1035" s="2">
        <v>43077</v>
      </c>
      <c r="D1035" t="s">
        <v>29</v>
      </c>
      <c r="E1035">
        <v>827</v>
      </c>
    </row>
    <row r="1036" spans="1:5" x14ac:dyDescent="0.55000000000000004">
      <c r="A1036" t="s">
        <v>1117</v>
      </c>
      <c r="B1036" t="s">
        <v>175</v>
      </c>
      <c r="C1036" s="2">
        <v>44071</v>
      </c>
      <c r="D1036" t="s">
        <v>29</v>
      </c>
      <c r="E1036">
        <v>1309</v>
      </c>
    </row>
    <row r="1037" spans="1:5" x14ac:dyDescent="0.55000000000000004">
      <c r="A1037" t="s">
        <v>1118</v>
      </c>
      <c r="B1037" t="s">
        <v>78</v>
      </c>
      <c r="C1037" s="2">
        <v>43740</v>
      </c>
      <c r="D1037" t="s">
        <v>26</v>
      </c>
      <c r="E1037">
        <v>1589</v>
      </c>
    </row>
    <row r="1038" spans="1:5" x14ac:dyDescent="0.55000000000000004">
      <c r="A1038" t="s">
        <v>1119</v>
      </c>
      <c r="B1038" t="s">
        <v>99</v>
      </c>
      <c r="C1038" s="2">
        <v>45093</v>
      </c>
      <c r="D1038" t="s">
        <v>29</v>
      </c>
      <c r="E1038">
        <v>1131</v>
      </c>
    </row>
    <row r="1039" spans="1:5" x14ac:dyDescent="0.55000000000000004">
      <c r="A1039" t="s">
        <v>1120</v>
      </c>
      <c r="B1039" t="s">
        <v>67</v>
      </c>
      <c r="C1039" s="2">
        <v>45342</v>
      </c>
      <c r="D1039" t="s">
        <v>26</v>
      </c>
      <c r="E1039">
        <v>2868</v>
      </c>
    </row>
    <row r="1040" spans="1:5" x14ac:dyDescent="0.55000000000000004">
      <c r="A1040" t="s">
        <v>1121</v>
      </c>
      <c r="B1040" t="s">
        <v>32</v>
      </c>
      <c r="C1040" s="2">
        <v>44901</v>
      </c>
      <c r="D1040" t="s">
        <v>29</v>
      </c>
      <c r="E1040">
        <v>460</v>
      </c>
    </row>
    <row r="1041" spans="1:5" x14ac:dyDescent="0.55000000000000004">
      <c r="A1041" t="s">
        <v>1122</v>
      </c>
      <c r="B1041" t="s">
        <v>140</v>
      </c>
      <c r="C1041" s="2">
        <v>43223</v>
      </c>
      <c r="D1041" t="s">
        <v>26</v>
      </c>
      <c r="E1041">
        <v>2320</v>
      </c>
    </row>
    <row r="1042" spans="1:5" x14ac:dyDescent="0.55000000000000004">
      <c r="A1042" t="s">
        <v>1123</v>
      </c>
      <c r="B1042" t="s">
        <v>23</v>
      </c>
      <c r="C1042" s="2">
        <v>44036</v>
      </c>
      <c r="D1042" t="s">
        <v>26</v>
      </c>
      <c r="E1042">
        <v>2304</v>
      </c>
    </row>
    <row r="1043" spans="1:5" x14ac:dyDescent="0.55000000000000004">
      <c r="A1043" t="s">
        <v>1124</v>
      </c>
      <c r="B1043" t="s">
        <v>118</v>
      </c>
      <c r="C1043" s="2">
        <v>43879</v>
      </c>
      <c r="D1043" t="s">
        <v>29</v>
      </c>
      <c r="E1043">
        <v>2193</v>
      </c>
    </row>
    <row r="1044" spans="1:5" x14ac:dyDescent="0.55000000000000004">
      <c r="A1044" t="s">
        <v>1125</v>
      </c>
      <c r="B1044" t="s">
        <v>94</v>
      </c>
      <c r="C1044" s="2">
        <v>44874</v>
      </c>
      <c r="D1044" t="s">
        <v>29</v>
      </c>
      <c r="E1044">
        <v>1081</v>
      </c>
    </row>
    <row r="1045" spans="1:5" x14ac:dyDescent="0.55000000000000004">
      <c r="A1045" t="s">
        <v>1126</v>
      </c>
      <c r="B1045" t="s">
        <v>101</v>
      </c>
      <c r="C1045" s="2">
        <v>44258</v>
      </c>
      <c r="D1045" t="s">
        <v>29</v>
      </c>
      <c r="E1045">
        <v>2343</v>
      </c>
    </row>
    <row r="1046" spans="1:5" x14ac:dyDescent="0.55000000000000004">
      <c r="A1046" t="s">
        <v>1127</v>
      </c>
      <c r="B1046" t="s">
        <v>32</v>
      </c>
      <c r="C1046" s="2">
        <v>44799</v>
      </c>
      <c r="D1046" t="s">
        <v>26</v>
      </c>
      <c r="E1046">
        <v>705</v>
      </c>
    </row>
    <row r="1047" spans="1:5" x14ac:dyDescent="0.55000000000000004">
      <c r="A1047" t="s">
        <v>1128</v>
      </c>
      <c r="B1047" t="s">
        <v>84</v>
      </c>
      <c r="C1047" s="2">
        <v>43742</v>
      </c>
      <c r="D1047" t="s">
        <v>26</v>
      </c>
      <c r="E1047">
        <v>2532</v>
      </c>
    </row>
    <row r="1048" spans="1:5" x14ac:dyDescent="0.55000000000000004">
      <c r="A1048" t="s">
        <v>1129</v>
      </c>
      <c r="B1048" t="s">
        <v>32</v>
      </c>
      <c r="C1048" s="2">
        <v>44653</v>
      </c>
      <c r="D1048" t="s">
        <v>26</v>
      </c>
      <c r="E1048">
        <v>1621</v>
      </c>
    </row>
    <row r="1049" spans="1:5" x14ac:dyDescent="0.55000000000000004">
      <c r="A1049" t="s">
        <v>1130</v>
      </c>
      <c r="B1049" t="s">
        <v>94</v>
      </c>
      <c r="C1049" s="2">
        <v>44823</v>
      </c>
      <c r="D1049" t="s">
        <v>26</v>
      </c>
      <c r="E1049">
        <v>201</v>
      </c>
    </row>
    <row r="1050" spans="1:5" x14ac:dyDescent="0.55000000000000004">
      <c r="A1050" t="s">
        <v>1131</v>
      </c>
      <c r="B1050" t="s">
        <v>78</v>
      </c>
      <c r="C1050" s="2">
        <v>45412</v>
      </c>
      <c r="D1050" t="s">
        <v>29</v>
      </c>
      <c r="E1050">
        <v>1525</v>
      </c>
    </row>
    <row r="1051" spans="1:5" x14ac:dyDescent="0.55000000000000004">
      <c r="A1051" t="s">
        <v>1132</v>
      </c>
      <c r="B1051" t="s">
        <v>14</v>
      </c>
      <c r="C1051" s="2">
        <v>43608</v>
      </c>
      <c r="D1051" t="s">
        <v>29</v>
      </c>
      <c r="E1051">
        <v>1273</v>
      </c>
    </row>
    <row r="1052" spans="1:5" x14ac:dyDescent="0.55000000000000004">
      <c r="A1052" t="s">
        <v>1133</v>
      </c>
      <c r="B1052" t="s">
        <v>84</v>
      </c>
      <c r="C1052" s="2">
        <v>43923</v>
      </c>
      <c r="D1052" t="s">
        <v>26</v>
      </c>
      <c r="E1052">
        <v>933</v>
      </c>
    </row>
    <row r="1053" spans="1:5" x14ac:dyDescent="0.55000000000000004">
      <c r="A1053" t="s">
        <v>1134</v>
      </c>
      <c r="B1053" t="s">
        <v>72</v>
      </c>
      <c r="C1053" s="2">
        <v>43532</v>
      </c>
      <c r="D1053" t="s">
        <v>29</v>
      </c>
      <c r="E1053">
        <v>1314</v>
      </c>
    </row>
    <row r="1054" spans="1:5" x14ac:dyDescent="0.55000000000000004">
      <c r="A1054" t="s">
        <v>1135</v>
      </c>
      <c r="B1054" t="s">
        <v>84</v>
      </c>
      <c r="C1054" s="2">
        <v>44409</v>
      </c>
      <c r="D1054" t="s">
        <v>29</v>
      </c>
      <c r="E1054">
        <v>2477</v>
      </c>
    </row>
    <row r="1055" spans="1:5" x14ac:dyDescent="0.55000000000000004">
      <c r="A1055" t="s">
        <v>1136</v>
      </c>
      <c r="B1055" t="s">
        <v>35</v>
      </c>
      <c r="C1055" s="2">
        <v>44013</v>
      </c>
      <c r="D1055" t="s">
        <v>26</v>
      </c>
      <c r="E1055">
        <v>1809</v>
      </c>
    </row>
    <row r="1056" spans="1:5" x14ac:dyDescent="0.55000000000000004">
      <c r="A1056" t="s">
        <v>1137</v>
      </c>
      <c r="B1056" t="s">
        <v>151</v>
      </c>
      <c r="C1056" s="2">
        <v>43750</v>
      </c>
      <c r="D1056" t="s">
        <v>29</v>
      </c>
      <c r="E1056">
        <v>2115</v>
      </c>
    </row>
    <row r="1057" spans="1:5" x14ac:dyDescent="0.55000000000000004">
      <c r="A1057" t="s">
        <v>1138</v>
      </c>
      <c r="B1057" t="s">
        <v>76</v>
      </c>
      <c r="C1057" s="2">
        <v>44997</v>
      </c>
      <c r="D1057" t="s">
        <v>26</v>
      </c>
      <c r="E1057">
        <v>2110</v>
      </c>
    </row>
    <row r="1058" spans="1:5" x14ac:dyDescent="0.55000000000000004">
      <c r="A1058" t="s">
        <v>1139</v>
      </c>
      <c r="B1058" t="s">
        <v>137</v>
      </c>
      <c r="C1058" s="2">
        <v>44117</v>
      </c>
      <c r="D1058" t="s">
        <v>26</v>
      </c>
      <c r="E1058">
        <v>1274</v>
      </c>
    </row>
    <row r="1059" spans="1:5" x14ac:dyDescent="0.55000000000000004">
      <c r="A1059" t="s">
        <v>1140</v>
      </c>
      <c r="B1059" t="s">
        <v>41</v>
      </c>
      <c r="C1059" s="2">
        <v>44868</v>
      </c>
      <c r="D1059" t="s">
        <v>29</v>
      </c>
      <c r="E1059">
        <v>555</v>
      </c>
    </row>
    <row r="1060" spans="1:5" x14ac:dyDescent="0.55000000000000004">
      <c r="A1060" t="s">
        <v>1141</v>
      </c>
      <c r="B1060" t="s">
        <v>118</v>
      </c>
      <c r="C1060" s="2">
        <v>45613</v>
      </c>
      <c r="D1060" t="s">
        <v>26</v>
      </c>
      <c r="E1060">
        <v>711</v>
      </c>
    </row>
    <row r="1061" spans="1:5" x14ac:dyDescent="0.55000000000000004">
      <c r="A1061" t="s">
        <v>1142</v>
      </c>
      <c r="B1061" t="s">
        <v>151</v>
      </c>
      <c r="C1061" s="2">
        <v>43328</v>
      </c>
      <c r="D1061" t="s">
        <v>26</v>
      </c>
      <c r="E1061">
        <v>1021</v>
      </c>
    </row>
    <row r="1062" spans="1:5" x14ac:dyDescent="0.55000000000000004">
      <c r="A1062" t="s">
        <v>1143</v>
      </c>
      <c r="B1062" t="s">
        <v>142</v>
      </c>
      <c r="C1062" s="2">
        <v>43851</v>
      </c>
      <c r="D1062" t="s">
        <v>26</v>
      </c>
      <c r="E1062">
        <v>1476</v>
      </c>
    </row>
    <row r="1063" spans="1:5" x14ac:dyDescent="0.55000000000000004">
      <c r="A1063" t="s">
        <v>1144</v>
      </c>
      <c r="B1063" t="s">
        <v>41</v>
      </c>
      <c r="C1063" s="2">
        <v>44238</v>
      </c>
      <c r="D1063" t="s">
        <v>29</v>
      </c>
      <c r="E1063">
        <v>1508</v>
      </c>
    </row>
    <row r="1064" spans="1:5" x14ac:dyDescent="0.55000000000000004">
      <c r="A1064" t="s">
        <v>1145</v>
      </c>
      <c r="B1064" t="s">
        <v>175</v>
      </c>
      <c r="C1064" s="2">
        <v>45367</v>
      </c>
      <c r="D1064" t="s">
        <v>29</v>
      </c>
      <c r="E1064">
        <v>2602</v>
      </c>
    </row>
    <row r="1065" spans="1:5" x14ac:dyDescent="0.55000000000000004">
      <c r="A1065" t="s">
        <v>1146</v>
      </c>
      <c r="B1065" t="s">
        <v>115</v>
      </c>
      <c r="C1065" s="2">
        <v>44312</v>
      </c>
      <c r="D1065" t="s">
        <v>26</v>
      </c>
      <c r="E1065">
        <v>990</v>
      </c>
    </row>
    <row r="1066" spans="1:5" x14ac:dyDescent="0.55000000000000004">
      <c r="A1066" t="s">
        <v>1147</v>
      </c>
      <c r="B1066" t="s">
        <v>86</v>
      </c>
      <c r="C1066" s="2">
        <v>43918</v>
      </c>
      <c r="D1066" t="s">
        <v>29</v>
      </c>
      <c r="E1066">
        <v>727</v>
      </c>
    </row>
    <row r="1067" spans="1:5" x14ac:dyDescent="0.55000000000000004">
      <c r="A1067" t="s">
        <v>1148</v>
      </c>
      <c r="B1067" t="s">
        <v>76</v>
      </c>
      <c r="C1067" s="2">
        <v>45409</v>
      </c>
      <c r="D1067" t="s">
        <v>29</v>
      </c>
      <c r="E1067">
        <v>1410</v>
      </c>
    </row>
    <row r="1068" spans="1:5" x14ac:dyDescent="0.55000000000000004">
      <c r="A1068" t="s">
        <v>1149</v>
      </c>
      <c r="B1068" t="s">
        <v>105</v>
      </c>
      <c r="C1068" s="2">
        <v>43446</v>
      </c>
      <c r="D1068" t="s">
        <v>26</v>
      </c>
      <c r="E1068">
        <v>1167</v>
      </c>
    </row>
    <row r="1069" spans="1:5" x14ac:dyDescent="0.55000000000000004">
      <c r="A1069" t="s">
        <v>1150</v>
      </c>
      <c r="B1069" t="s">
        <v>14</v>
      </c>
      <c r="C1069" s="2">
        <v>43708</v>
      </c>
      <c r="D1069" t="s">
        <v>26</v>
      </c>
      <c r="E1069">
        <v>667</v>
      </c>
    </row>
    <row r="1070" spans="1:5" x14ac:dyDescent="0.55000000000000004">
      <c r="A1070" t="s">
        <v>1151</v>
      </c>
      <c r="B1070" t="s">
        <v>76</v>
      </c>
      <c r="C1070" s="2">
        <v>45809</v>
      </c>
      <c r="D1070" t="s">
        <v>26</v>
      </c>
      <c r="E1070">
        <v>906</v>
      </c>
    </row>
    <row r="1071" spans="1:5" x14ac:dyDescent="0.55000000000000004">
      <c r="A1071" t="s">
        <v>1152</v>
      </c>
      <c r="B1071" t="s">
        <v>35</v>
      </c>
      <c r="C1071" s="2">
        <v>44292</v>
      </c>
      <c r="D1071" t="s">
        <v>26</v>
      </c>
      <c r="E1071">
        <v>1102</v>
      </c>
    </row>
    <row r="1072" spans="1:5" x14ac:dyDescent="0.55000000000000004">
      <c r="A1072" t="s">
        <v>1153</v>
      </c>
      <c r="B1072" t="s">
        <v>35</v>
      </c>
      <c r="C1072" s="2">
        <v>44669</v>
      </c>
      <c r="D1072" t="s">
        <v>26</v>
      </c>
      <c r="E1072">
        <v>2794</v>
      </c>
    </row>
    <row r="1073" spans="1:5" x14ac:dyDescent="0.55000000000000004">
      <c r="A1073" t="s">
        <v>1154</v>
      </c>
      <c r="B1073" t="s">
        <v>14</v>
      </c>
      <c r="C1073" s="2">
        <v>43887</v>
      </c>
      <c r="D1073" t="s">
        <v>26</v>
      </c>
      <c r="E1073">
        <v>2651</v>
      </c>
    </row>
    <row r="1074" spans="1:5" x14ac:dyDescent="0.55000000000000004">
      <c r="A1074" t="s">
        <v>1155</v>
      </c>
      <c r="B1074" t="s">
        <v>105</v>
      </c>
      <c r="C1074" s="2">
        <v>44148</v>
      </c>
      <c r="D1074" t="s">
        <v>26</v>
      </c>
      <c r="E1074">
        <v>916</v>
      </c>
    </row>
    <row r="1075" spans="1:5" x14ac:dyDescent="0.55000000000000004">
      <c r="A1075" t="s">
        <v>1156</v>
      </c>
      <c r="B1075" t="s">
        <v>84</v>
      </c>
      <c r="C1075" s="2">
        <v>44162</v>
      </c>
      <c r="D1075" t="s">
        <v>29</v>
      </c>
      <c r="E1075">
        <v>2919</v>
      </c>
    </row>
    <row r="1076" spans="1:5" x14ac:dyDescent="0.55000000000000004">
      <c r="A1076" t="s">
        <v>1157</v>
      </c>
      <c r="B1076" t="s">
        <v>41</v>
      </c>
      <c r="C1076" s="2">
        <v>44394</v>
      </c>
      <c r="D1076" t="s">
        <v>29</v>
      </c>
      <c r="E1076">
        <v>1542</v>
      </c>
    </row>
    <row r="1077" spans="1:5" x14ac:dyDescent="0.55000000000000004">
      <c r="A1077" t="s">
        <v>1158</v>
      </c>
      <c r="B1077" t="s">
        <v>76</v>
      </c>
      <c r="C1077" s="2">
        <v>44894</v>
      </c>
      <c r="D1077" t="s">
        <v>29</v>
      </c>
      <c r="E1077">
        <v>1032</v>
      </c>
    </row>
    <row r="1078" spans="1:5" x14ac:dyDescent="0.55000000000000004">
      <c r="A1078" t="s">
        <v>1159</v>
      </c>
      <c r="B1078" t="s">
        <v>151</v>
      </c>
      <c r="C1078" s="2">
        <v>43872</v>
      </c>
      <c r="D1078" t="s">
        <v>29</v>
      </c>
      <c r="E1078">
        <v>2773</v>
      </c>
    </row>
    <row r="1079" spans="1:5" x14ac:dyDescent="0.55000000000000004">
      <c r="A1079" t="s">
        <v>1160</v>
      </c>
      <c r="B1079" t="s">
        <v>67</v>
      </c>
      <c r="C1079" s="2">
        <v>45092</v>
      </c>
      <c r="D1079" t="s">
        <v>26</v>
      </c>
      <c r="E1079">
        <v>30</v>
      </c>
    </row>
    <row r="1080" spans="1:5" x14ac:dyDescent="0.55000000000000004">
      <c r="A1080" t="s">
        <v>1161</v>
      </c>
      <c r="B1080" t="s">
        <v>67</v>
      </c>
      <c r="C1080" s="2">
        <v>44998</v>
      </c>
      <c r="D1080" t="s">
        <v>29</v>
      </c>
      <c r="E1080">
        <v>1222</v>
      </c>
    </row>
    <row r="1081" spans="1:5" x14ac:dyDescent="0.55000000000000004">
      <c r="A1081" t="s">
        <v>1162</v>
      </c>
      <c r="B1081" t="s">
        <v>38</v>
      </c>
      <c r="C1081" s="2">
        <v>44052</v>
      </c>
      <c r="D1081" t="s">
        <v>29</v>
      </c>
      <c r="E1081">
        <v>261</v>
      </c>
    </row>
    <row r="1082" spans="1:5" x14ac:dyDescent="0.55000000000000004">
      <c r="A1082" t="s">
        <v>1163</v>
      </c>
      <c r="B1082" t="s">
        <v>111</v>
      </c>
      <c r="C1082" s="2">
        <v>43483</v>
      </c>
      <c r="D1082" t="s">
        <v>29</v>
      </c>
      <c r="E1082">
        <v>1134</v>
      </c>
    </row>
    <row r="1083" spans="1:5" x14ac:dyDescent="0.55000000000000004">
      <c r="A1083" t="s">
        <v>1164</v>
      </c>
      <c r="B1083" t="s">
        <v>84</v>
      </c>
      <c r="C1083" s="2">
        <v>44260</v>
      </c>
      <c r="D1083" t="s">
        <v>29</v>
      </c>
      <c r="E1083">
        <v>771</v>
      </c>
    </row>
    <row r="1084" spans="1:5" x14ac:dyDescent="0.55000000000000004">
      <c r="A1084" t="s">
        <v>1165</v>
      </c>
      <c r="B1084" t="s">
        <v>72</v>
      </c>
      <c r="C1084" s="2">
        <v>43976</v>
      </c>
      <c r="D1084" t="s">
        <v>26</v>
      </c>
      <c r="E1084">
        <v>232</v>
      </c>
    </row>
    <row r="1085" spans="1:5" x14ac:dyDescent="0.55000000000000004">
      <c r="A1085" t="s">
        <v>1166</v>
      </c>
      <c r="B1085" t="s">
        <v>137</v>
      </c>
      <c r="C1085" s="2">
        <v>45121</v>
      </c>
      <c r="D1085" t="s">
        <v>29</v>
      </c>
      <c r="E1085">
        <v>2788</v>
      </c>
    </row>
    <row r="1086" spans="1:5" x14ac:dyDescent="0.55000000000000004">
      <c r="A1086" t="s">
        <v>1167</v>
      </c>
      <c r="B1086" t="s">
        <v>72</v>
      </c>
      <c r="C1086" s="2">
        <v>44394</v>
      </c>
      <c r="D1086" t="s">
        <v>26</v>
      </c>
      <c r="E1086">
        <v>2684</v>
      </c>
    </row>
    <row r="1087" spans="1:5" x14ac:dyDescent="0.55000000000000004">
      <c r="A1087" t="s">
        <v>1168</v>
      </c>
      <c r="B1087" t="s">
        <v>96</v>
      </c>
      <c r="C1087" s="2">
        <v>44676</v>
      </c>
      <c r="D1087" t="s">
        <v>29</v>
      </c>
      <c r="E1087">
        <v>1714</v>
      </c>
    </row>
    <row r="1088" spans="1:5" x14ac:dyDescent="0.55000000000000004">
      <c r="A1088" t="s">
        <v>1169</v>
      </c>
      <c r="B1088" t="s">
        <v>101</v>
      </c>
      <c r="C1088" s="2">
        <v>43712</v>
      </c>
      <c r="D1088" t="s">
        <v>26</v>
      </c>
      <c r="E1088">
        <v>2388</v>
      </c>
    </row>
    <row r="1089" spans="1:5" x14ac:dyDescent="0.55000000000000004">
      <c r="A1089" t="s">
        <v>1170</v>
      </c>
      <c r="B1089" t="s">
        <v>41</v>
      </c>
      <c r="C1089" s="2">
        <v>44219</v>
      </c>
      <c r="D1089" t="s">
        <v>29</v>
      </c>
      <c r="E1089">
        <v>2975</v>
      </c>
    </row>
    <row r="1090" spans="1:5" x14ac:dyDescent="0.55000000000000004">
      <c r="A1090" t="s">
        <v>1171</v>
      </c>
      <c r="B1090" t="s">
        <v>41</v>
      </c>
      <c r="C1090" s="2">
        <v>44286</v>
      </c>
      <c r="D1090" t="s">
        <v>29</v>
      </c>
      <c r="E1090">
        <v>2751</v>
      </c>
    </row>
    <row r="1091" spans="1:5" x14ac:dyDescent="0.55000000000000004">
      <c r="A1091" t="s">
        <v>1172</v>
      </c>
      <c r="B1091" t="s">
        <v>86</v>
      </c>
      <c r="C1091" s="2">
        <v>43955</v>
      </c>
      <c r="D1091" t="s">
        <v>29</v>
      </c>
      <c r="E1091">
        <v>696</v>
      </c>
    </row>
    <row r="1092" spans="1:5" x14ac:dyDescent="0.55000000000000004">
      <c r="A1092" t="s">
        <v>1173</v>
      </c>
      <c r="B1092" t="s">
        <v>175</v>
      </c>
      <c r="C1092" s="2">
        <v>45752</v>
      </c>
      <c r="D1092" t="s">
        <v>26</v>
      </c>
      <c r="E1092">
        <v>1203</v>
      </c>
    </row>
    <row r="1093" spans="1:5" x14ac:dyDescent="0.55000000000000004">
      <c r="A1093" t="s">
        <v>1174</v>
      </c>
      <c r="B1093" t="s">
        <v>115</v>
      </c>
      <c r="C1093" s="2">
        <v>43881</v>
      </c>
      <c r="D1093" t="s">
        <v>26</v>
      </c>
      <c r="E1093">
        <v>1059</v>
      </c>
    </row>
    <row r="1094" spans="1:5" x14ac:dyDescent="0.55000000000000004">
      <c r="A1094" t="s">
        <v>1175</v>
      </c>
      <c r="B1094" t="s">
        <v>78</v>
      </c>
      <c r="C1094" s="2">
        <v>45755</v>
      </c>
      <c r="D1094" t="s">
        <v>26</v>
      </c>
      <c r="E1094">
        <v>2784</v>
      </c>
    </row>
    <row r="1095" spans="1:5" x14ac:dyDescent="0.55000000000000004">
      <c r="A1095" t="s">
        <v>1176</v>
      </c>
      <c r="B1095" t="s">
        <v>94</v>
      </c>
      <c r="C1095" s="2">
        <v>44840</v>
      </c>
      <c r="D1095" t="s">
        <v>26</v>
      </c>
      <c r="E1095">
        <v>910</v>
      </c>
    </row>
    <row r="1096" spans="1:5" x14ac:dyDescent="0.55000000000000004">
      <c r="A1096" t="s">
        <v>1177</v>
      </c>
      <c r="B1096" t="s">
        <v>86</v>
      </c>
      <c r="C1096" s="2">
        <v>43374</v>
      </c>
      <c r="D1096" t="s">
        <v>29</v>
      </c>
      <c r="E1096">
        <v>1722</v>
      </c>
    </row>
    <row r="1097" spans="1:5" x14ac:dyDescent="0.55000000000000004">
      <c r="A1097" t="s">
        <v>1178</v>
      </c>
      <c r="B1097" t="s">
        <v>137</v>
      </c>
      <c r="C1097" s="2">
        <v>44823</v>
      </c>
      <c r="D1097" t="s">
        <v>29</v>
      </c>
      <c r="E1097">
        <v>1067</v>
      </c>
    </row>
    <row r="1098" spans="1:5" x14ac:dyDescent="0.55000000000000004">
      <c r="A1098" t="s">
        <v>1179</v>
      </c>
      <c r="B1098" t="s">
        <v>23</v>
      </c>
      <c r="C1098" s="2">
        <v>44433</v>
      </c>
      <c r="D1098" t="s">
        <v>29</v>
      </c>
      <c r="E1098">
        <v>482</v>
      </c>
    </row>
    <row r="1099" spans="1:5" x14ac:dyDescent="0.55000000000000004">
      <c r="A1099" t="s">
        <v>1180</v>
      </c>
      <c r="B1099" t="s">
        <v>96</v>
      </c>
      <c r="C1099" s="2">
        <v>43685</v>
      </c>
      <c r="D1099" t="s">
        <v>26</v>
      </c>
      <c r="E1099">
        <v>1934</v>
      </c>
    </row>
    <row r="1100" spans="1:5" x14ac:dyDescent="0.55000000000000004">
      <c r="A1100" t="s">
        <v>1181</v>
      </c>
      <c r="B1100" t="s">
        <v>94</v>
      </c>
      <c r="C1100" s="2">
        <v>44262</v>
      </c>
      <c r="D1100" t="s">
        <v>26</v>
      </c>
      <c r="E1100">
        <v>2788</v>
      </c>
    </row>
    <row r="1101" spans="1:5" x14ac:dyDescent="0.55000000000000004">
      <c r="A1101" t="s">
        <v>1182</v>
      </c>
      <c r="B1101" t="s">
        <v>101</v>
      </c>
      <c r="C1101" s="2">
        <v>44002</v>
      </c>
      <c r="D1101" t="s">
        <v>29</v>
      </c>
      <c r="E1101">
        <v>1692</v>
      </c>
    </row>
    <row r="1102" spans="1:5" x14ac:dyDescent="0.55000000000000004">
      <c r="A1102" t="s">
        <v>1183</v>
      </c>
      <c r="B1102" t="s">
        <v>142</v>
      </c>
      <c r="C1102" s="2">
        <v>43225</v>
      </c>
      <c r="D1102" t="s">
        <v>26</v>
      </c>
      <c r="E1102">
        <v>820</v>
      </c>
    </row>
    <row r="1103" spans="1:5" x14ac:dyDescent="0.55000000000000004">
      <c r="A1103" t="s">
        <v>1184</v>
      </c>
      <c r="B1103" t="s">
        <v>111</v>
      </c>
      <c r="C1103" s="2">
        <v>43755</v>
      </c>
      <c r="D1103" t="s">
        <v>29</v>
      </c>
      <c r="E1103">
        <v>586</v>
      </c>
    </row>
    <row r="1104" spans="1:5" x14ac:dyDescent="0.55000000000000004">
      <c r="A1104" t="s">
        <v>1185</v>
      </c>
      <c r="B1104" t="s">
        <v>111</v>
      </c>
      <c r="C1104" s="2">
        <v>44382</v>
      </c>
      <c r="D1104" t="s">
        <v>26</v>
      </c>
      <c r="E1104">
        <v>331</v>
      </c>
    </row>
    <row r="1105" spans="1:5" x14ac:dyDescent="0.55000000000000004">
      <c r="A1105" t="s">
        <v>1186</v>
      </c>
      <c r="B1105" t="s">
        <v>96</v>
      </c>
      <c r="C1105" s="2">
        <v>44828</v>
      </c>
      <c r="D1105" t="s">
        <v>26</v>
      </c>
      <c r="E1105">
        <v>1283</v>
      </c>
    </row>
    <row r="1106" spans="1:5" x14ac:dyDescent="0.55000000000000004">
      <c r="A1106" t="s">
        <v>1187</v>
      </c>
      <c r="B1106" t="s">
        <v>35</v>
      </c>
      <c r="C1106" s="2">
        <v>43949</v>
      </c>
      <c r="D1106" t="s">
        <v>26</v>
      </c>
      <c r="E1106">
        <v>1851</v>
      </c>
    </row>
    <row r="1107" spans="1:5" x14ac:dyDescent="0.55000000000000004">
      <c r="A1107" t="s">
        <v>1188</v>
      </c>
      <c r="B1107" t="s">
        <v>84</v>
      </c>
      <c r="C1107" s="2">
        <v>43345</v>
      </c>
      <c r="D1107" t="s">
        <v>26</v>
      </c>
      <c r="E1107">
        <v>2360</v>
      </c>
    </row>
    <row r="1108" spans="1:5" x14ac:dyDescent="0.55000000000000004">
      <c r="A1108" t="s">
        <v>1189</v>
      </c>
      <c r="B1108" t="s">
        <v>118</v>
      </c>
      <c r="C1108" s="2">
        <v>44114</v>
      </c>
      <c r="D1108" t="s">
        <v>29</v>
      </c>
      <c r="E1108">
        <v>360</v>
      </c>
    </row>
    <row r="1109" spans="1:5" x14ac:dyDescent="0.55000000000000004">
      <c r="A1109" t="s">
        <v>1190</v>
      </c>
      <c r="B1109" t="s">
        <v>72</v>
      </c>
      <c r="C1109" s="2">
        <v>44175</v>
      </c>
      <c r="D1109" t="s">
        <v>29</v>
      </c>
      <c r="E1109">
        <v>2594</v>
      </c>
    </row>
    <row r="1110" spans="1:5" x14ac:dyDescent="0.55000000000000004">
      <c r="A1110" t="s">
        <v>1191</v>
      </c>
      <c r="B1110" t="s">
        <v>140</v>
      </c>
      <c r="C1110" s="2">
        <v>43743</v>
      </c>
      <c r="D1110" t="s">
        <v>29</v>
      </c>
      <c r="E1110">
        <v>1955</v>
      </c>
    </row>
    <row r="1111" spans="1:5" x14ac:dyDescent="0.55000000000000004">
      <c r="A1111" t="s">
        <v>1192</v>
      </c>
      <c r="B1111" t="s">
        <v>101</v>
      </c>
      <c r="C1111" s="2">
        <v>42926</v>
      </c>
      <c r="D1111" t="s">
        <v>26</v>
      </c>
      <c r="E1111">
        <v>2186</v>
      </c>
    </row>
    <row r="1112" spans="1:5" x14ac:dyDescent="0.55000000000000004">
      <c r="A1112" t="s">
        <v>1193</v>
      </c>
      <c r="B1112" t="s">
        <v>151</v>
      </c>
      <c r="C1112" s="2">
        <v>44413</v>
      </c>
      <c r="D1112" t="s">
        <v>29</v>
      </c>
      <c r="E1112">
        <v>57</v>
      </c>
    </row>
    <row r="1113" spans="1:5" x14ac:dyDescent="0.55000000000000004">
      <c r="A1113" t="s">
        <v>1194</v>
      </c>
      <c r="B1113" t="s">
        <v>94</v>
      </c>
      <c r="C1113" s="2">
        <v>44785</v>
      </c>
      <c r="D1113" t="s">
        <v>26</v>
      </c>
      <c r="E1113">
        <v>73</v>
      </c>
    </row>
    <row r="1114" spans="1:5" x14ac:dyDescent="0.55000000000000004">
      <c r="A1114" t="s">
        <v>1195</v>
      </c>
      <c r="B1114" t="s">
        <v>38</v>
      </c>
      <c r="C1114" s="2">
        <v>43839</v>
      </c>
      <c r="D1114" t="s">
        <v>26</v>
      </c>
      <c r="E1114">
        <v>926</v>
      </c>
    </row>
    <row r="1115" spans="1:5" x14ac:dyDescent="0.55000000000000004">
      <c r="A1115" t="s">
        <v>1196</v>
      </c>
      <c r="B1115" t="s">
        <v>41</v>
      </c>
      <c r="C1115" s="2">
        <v>44536</v>
      </c>
      <c r="D1115" t="s">
        <v>29</v>
      </c>
      <c r="E1115">
        <v>528</v>
      </c>
    </row>
    <row r="1116" spans="1:5" x14ac:dyDescent="0.55000000000000004">
      <c r="A1116" t="s">
        <v>1197</v>
      </c>
      <c r="B1116" t="s">
        <v>115</v>
      </c>
      <c r="C1116" s="2">
        <v>43702</v>
      </c>
      <c r="D1116" t="s">
        <v>29</v>
      </c>
      <c r="E1116">
        <v>684</v>
      </c>
    </row>
    <row r="1117" spans="1:5" x14ac:dyDescent="0.55000000000000004">
      <c r="A1117" t="s">
        <v>1198</v>
      </c>
      <c r="B1117" t="s">
        <v>74</v>
      </c>
      <c r="C1117" s="2">
        <v>43010</v>
      </c>
      <c r="D1117" t="s">
        <v>29</v>
      </c>
      <c r="E1117">
        <v>1191</v>
      </c>
    </row>
    <row r="1118" spans="1:5" x14ac:dyDescent="0.55000000000000004">
      <c r="A1118" t="s">
        <v>1199</v>
      </c>
      <c r="B1118" t="s">
        <v>15</v>
      </c>
      <c r="C1118" s="2">
        <v>44407</v>
      </c>
      <c r="D1118" t="s">
        <v>29</v>
      </c>
      <c r="E1118">
        <v>1776</v>
      </c>
    </row>
    <row r="1119" spans="1:5" x14ac:dyDescent="0.55000000000000004">
      <c r="A1119" t="s">
        <v>1200</v>
      </c>
      <c r="B1119" t="s">
        <v>94</v>
      </c>
      <c r="C1119" s="2">
        <v>44014</v>
      </c>
      <c r="D1119" t="s">
        <v>29</v>
      </c>
      <c r="E1119">
        <v>2007</v>
      </c>
    </row>
    <row r="1120" spans="1:5" x14ac:dyDescent="0.55000000000000004">
      <c r="A1120" t="s">
        <v>1201</v>
      </c>
      <c r="B1120" t="s">
        <v>86</v>
      </c>
      <c r="C1120" s="2">
        <v>44453</v>
      </c>
      <c r="D1120" t="s">
        <v>26</v>
      </c>
      <c r="E1120">
        <v>675</v>
      </c>
    </row>
    <row r="1121" spans="1:5" x14ac:dyDescent="0.55000000000000004">
      <c r="A1121" t="s">
        <v>1202</v>
      </c>
      <c r="B1121" t="s">
        <v>137</v>
      </c>
      <c r="C1121" s="2">
        <v>45118</v>
      </c>
      <c r="D1121" t="s">
        <v>26</v>
      </c>
      <c r="E1121">
        <v>935</v>
      </c>
    </row>
    <row r="1122" spans="1:5" x14ac:dyDescent="0.55000000000000004">
      <c r="A1122" t="s">
        <v>1203</v>
      </c>
      <c r="B1122" t="s">
        <v>63</v>
      </c>
      <c r="C1122" s="2">
        <v>44406</v>
      </c>
      <c r="D1122" t="s">
        <v>26</v>
      </c>
      <c r="E1122">
        <v>865</v>
      </c>
    </row>
    <row r="1123" spans="1:5" x14ac:dyDescent="0.55000000000000004">
      <c r="A1123" t="s">
        <v>1204</v>
      </c>
      <c r="B1123" t="s">
        <v>78</v>
      </c>
      <c r="C1123" s="2">
        <v>43555</v>
      </c>
      <c r="D1123" t="s">
        <v>26</v>
      </c>
      <c r="E1123">
        <v>504</v>
      </c>
    </row>
    <row r="1124" spans="1:5" x14ac:dyDescent="0.55000000000000004">
      <c r="A1124" t="s">
        <v>1205</v>
      </c>
      <c r="B1124" t="s">
        <v>86</v>
      </c>
      <c r="C1124" s="2">
        <v>44373</v>
      </c>
      <c r="D1124" t="s">
        <v>26</v>
      </c>
      <c r="E1124">
        <v>1536</v>
      </c>
    </row>
    <row r="1125" spans="1:5" x14ac:dyDescent="0.55000000000000004">
      <c r="A1125" t="s">
        <v>1206</v>
      </c>
      <c r="B1125" t="s">
        <v>94</v>
      </c>
      <c r="C1125" s="2">
        <v>44513</v>
      </c>
      <c r="D1125" t="s">
        <v>26</v>
      </c>
      <c r="E1125">
        <v>2432</v>
      </c>
    </row>
    <row r="1126" spans="1:5" x14ac:dyDescent="0.55000000000000004">
      <c r="A1126" t="s">
        <v>1207</v>
      </c>
      <c r="B1126" t="s">
        <v>142</v>
      </c>
      <c r="C1126" s="2">
        <v>44272</v>
      </c>
      <c r="D1126" t="s">
        <v>26</v>
      </c>
      <c r="E1126">
        <v>2677</v>
      </c>
    </row>
    <row r="1127" spans="1:5" x14ac:dyDescent="0.55000000000000004">
      <c r="A1127" t="s">
        <v>1208</v>
      </c>
      <c r="B1127" t="s">
        <v>175</v>
      </c>
      <c r="C1127" s="2">
        <v>43546</v>
      </c>
      <c r="D1127" t="s">
        <v>26</v>
      </c>
      <c r="E1127">
        <v>2825</v>
      </c>
    </row>
    <row r="1128" spans="1:5" x14ac:dyDescent="0.55000000000000004">
      <c r="A1128" t="s">
        <v>1209</v>
      </c>
      <c r="B1128" t="s">
        <v>115</v>
      </c>
      <c r="C1128" s="2">
        <v>43770</v>
      </c>
      <c r="D1128" t="s">
        <v>29</v>
      </c>
      <c r="E1128">
        <v>1557</v>
      </c>
    </row>
    <row r="1129" spans="1:5" x14ac:dyDescent="0.55000000000000004">
      <c r="A1129" t="s">
        <v>1210</v>
      </c>
      <c r="B1129" t="s">
        <v>115</v>
      </c>
      <c r="C1129" s="2">
        <v>44037</v>
      </c>
      <c r="D1129" t="s">
        <v>29</v>
      </c>
      <c r="E1129">
        <v>1943</v>
      </c>
    </row>
    <row r="1130" spans="1:5" x14ac:dyDescent="0.55000000000000004">
      <c r="A1130" t="s">
        <v>1211</v>
      </c>
      <c r="B1130" t="s">
        <v>41</v>
      </c>
      <c r="C1130" s="2">
        <v>44144</v>
      </c>
      <c r="D1130" t="s">
        <v>26</v>
      </c>
      <c r="E1130">
        <v>2847</v>
      </c>
    </row>
    <row r="1131" spans="1:5" x14ac:dyDescent="0.55000000000000004">
      <c r="A1131" t="s">
        <v>1212</v>
      </c>
      <c r="B1131" t="s">
        <v>38</v>
      </c>
      <c r="C1131" s="2">
        <v>43850</v>
      </c>
      <c r="D1131" t="s">
        <v>29</v>
      </c>
      <c r="E1131">
        <v>1723</v>
      </c>
    </row>
    <row r="1132" spans="1:5" x14ac:dyDescent="0.55000000000000004">
      <c r="A1132" t="s">
        <v>1213</v>
      </c>
      <c r="B1132" t="s">
        <v>38</v>
      </c>
      <c r="C1132" s="2">
        <v>44037</v>
      </c>
      <c r="D1132" t="s">
        <v>29</v>
      </c>
      <c r="E1132">
        <v>2550</v>
      </c>
    </row>
    <row r="1133" spans="1:5" x14ac:dyDescent="0.55000000000000004">
      <c r="A1133" t="s">
        <v>1214</v>
      </c>
      <c r="B1133" t="s">
        <v>32</v>
      </c>
      <c r="C1133" s="2">
        <v>44111</v>
      </c>
      <c r="D1133" t="s">
        <v>29</v>
      </c>
      <c r="E1133">
        <v>429</v>
      </c>
    </row>
    <row r="1134" spans="1:5" x14ac:dyDescent="0.55000000000000004">
      <c r="A1134" t="s">
        <v>1215</v>
      </c>
      <c r="B1134" t="s">
        <v>67</v>
      </c>
      <c r="C1134" s="2">
        <v>43948</v>
      </c>
      <c r="D1134" t="s">
        <v>29</v>
      </c>
      <c r="E1134">
        <v>466</v>
      </c>
    </row>
    <row r="1135" spans="1:5" x14ac:dyDescent="0.55000000000000004">
      <c r="A1135" t="s">
        <v>1216</v>
      </c>
      <c r="B1135" t="s">
        <v>137</v>
      </c>
      <c r="C1135" s="2">
        <v>43901</v>
      </c>
      <c r="D1135" t="s">
        <v>29</v>
      </c>
      <c r="E1135">
        <v>813</v>
      </c>
    </row>
    <row r="1136" spans="1:5" x14ac:dyDescent="0.55000000000000004">
      <c r="A1136" t="s">
        <v>1217</v>
      </c>
      <c r="B1136" t="s">
        <v>32</v>
      </c>
      <c r="C1136" s="2">
        <v>44240</v>
      </c>
      <c r="D1136" t="s">
        <v>29</v>
      </c>
      <c r="E1136">
        <v>2142</v>
      </c>
    </row>
    <row r="1137" spans="1:5" x14ac:dyDescent="0.55000000000000004">
      <c r="A1137" t="s">
        <v>1218</v>
      </c>
      <c r="B1137" t="s">
        <v>151</v>
      </c>
      <c r="C1137" s="2">
        <v>43650</v>
      </c>
      <c r="D1137" t="s">
        <v>29</v>
      </c>
      <c r="E1137">
        <v>1209</v>
      </c>
    </row>
    <row r="1138" spans="1:5" x14ac:dyDescent="0.55000000000000004">
      <c r="A1138" t="s">
        <v>1219</v>
      </c>
      <c r="B1138" t="s">
        <v>105</v>
      </c>
      <c r="C1138" s="2">
        <v>42997</v>
      </c>
      <c r="D1138" t="s">
        <v>29</v>
      </c>
      <c r="E1138">
        <v>850</v>
      </c>
    </row>
    <row r="1139" spans="1:5" x14ac:dyDescent="0.55000000000000004">
      <c r="A1139" t="s">
        <v>1220</v>
      </c>
      <c r="B1139" t="s">
        <v>41</v>
      </c>
      <c r="C1139" s="2">
        <v>44815</v>
      </c>
      <c r="D1139" t="s">
        <v>29</v>
      </c>
      <c r="E1139">
        <v>960</v>
      </c>
    </row>
    <row r="1140" spans="1:5" x14ac:dyDescent="0.55000000000000004">
      <c r="A1140" t="s">
        <v>1221</v>
      </c>
      <c r="B1140" t="s">
        <v>14</v>
      </c>
      <c r="C1140" s="2">
        <v>42943</v>
      </c>
      <c r="D1140" t="s">
        <v>26</v>
      </c>
      <c r="E1140">
        <v>452</v>
      </c>
    </row>
    <row r="1141" spans="1:5" x14ac:dyDescent="0.55000000000000004">
      <c r="A1141" t="s">
        <v>1222</v>
      </c>
      <c r="B1141" t="s">
        <v>175</v>
      </c>
      <c r="C1141" s="2">
        <v>45817</v>
      </c>
      <c r="D1141" t="s">
        <v>29</v>
      </c>
      <c r="E1141">
        <v>610</v>
      </c>
    </row>
    <row r="1142" spans="1:5" x14ac:dyDescent="0.55000000000000004">
      <c r="A1142" t="s">
        <v>1223</v>
      </c>
      <c r="B1142" t="s">
        <v>74</v>
      </c>
      <c r="C1142" s="2">
        <v>44513</v>
      </c>
      <c r="D1142" t="s">
        <v>26</v>
      </c>
      <c r="E1142">
        <v>2963</v>
      </c>
    </row>
    <row r="1143" spans="1:5" x14ac:dyDescent="0.55000000000000004">
      <c r="A1143" t="s">
        <v>1224</v>
      </c>
      <c r="B1143" t="s">
        <v>78</v>
      </c>
      <c r="C1143" s="2">
        <v>43880</v>
      </c>
      <c r="D1143" t="s">
        <v>29</v>
      </c>
      <c r="E1143">
        <v>2639</v>
      </c>
    </row>
    <row r="1144" spans="1:5" x14ac:dyDescent="0.55000000000000004">
      <c r="A1144" t="s">
        <v>1225</v>
      </c>
      <c r="B1144" t="s">
        <v>63</v>
      </c>
      <c r="C1144" s="2">
        <v>43852</v>
      </c>
      <c r="D1144" t="s">
        <v>29</v>
      </c>
      <c r="E1144">
        <v>1081</v>
      </c>
    </row>
    <row r="1145" spans="1:5" x14ac:dyDescent="0.55000000000000004">
      <c r="A1145" t="s">
        <v>1226</v>
      </c>
      <c r="B1145" t="s">
        <v>15</v>
      </c>
      <c r="C1145" s="2">
        <v>43019</v>
      </c>
      <c r="D1145" t="s">
        <v>26</v>
      </c>
      <c r="E1145">
        <v>715</v>
      </c>
    </row>
    <row r="1146" spans="1:5" x14ac:dyDescent="0.55000000000000004">
      <c r="A1146" t="s">
        <v>1227</v>
      </c>
      <c r="B1146" t="s">
        <v>76</v>
      </c>
      <c r="C1146" s="2">
        <v>43627</v>
      </c>
      <c r="D1146" t="s">
        <v>29</v>
      </c>
      <c r="E1146">
        <v>1475</v>
      </c>
    </row>
    <row r="1147" spans="1:5" x14ac:dyDescent="0.55000000000000004">
      <c r="A1147" t="s">
        <v>1228</v>
      </c>
      <c r="B1147" t="s">
        <v>137</v>
      </c>
      <c r="C1147" s="2">
        <v>44746</v>
      </c>
      <c r="D1147" t="s">
        <v>29</v>
      </c>
      <c r="E1147">
        <v>474</v>
      </c>
    </row>
    <row r="1148" spans="1:5" x14ac:dyDescent="0.55000000000000004">
      <c r="A1148" t="s">
        <v>1229</v>
      </c>
      <c r="B1148" t="s">
        <v>115</v>
      </c>
      <c r="C1148" s="2">
        <v>44469</v>
      </c>
      <c r="D1148" t="s">
        <v>26</v>
      </c>
      <c r="E1148">
        <v>39</v>
      </c>
    </row>
    <row r="1149" spans="1:5" x14ac:dyDescent="0.55000000000000004">
      <c r="A1149" t="s">
        <v>1230</v>
      </c>
      <c r="B1149" t="s">
        <v>76</v>
      </c>
      <c r="C1149" s="2">
        <v>44032</v>
      </c>
      <c r="D1149" t="s">
        <v>26</v>
      </c>
      <c r="E1149">
        <v>1346</v>
      </c>
    </row>
    <row r="1150" spans="1:5" x14ac:dyDescent="0.55000000000000004">
      <c r="A1150" t="s">
        <v>1231</v>
      </c>
      <c r="B1150" t="s">
        <v>86</v>
      </c>
      <c r="C1150" s="2">
        <v>43813</v>
      </c>
      <c r="D1150" t="s">
        <v>29</v>
      </c>
      <c r="E1150">
        <v>380</v>
      </c>
    </row>
    <row r="1151" spans="1:5" x14ac:dyDescent="0.55000000000000004">
      <c r="A1151" t="s">
        <v>1232</v>
      </c>
      <c r="B1151" t="s">
        <v>86</v>
      </c>
      <c r="C1151" s="2">
        <v>43618</v>
      </c>
      <c r="D1151" t="s">
        <v>26</v>
      </c>
      <c r="E1151">
        <v>466</v>
      </c>
    </row>
    <row r="1152" spans="1:5" x14ac:dyDescent="0.55000000000000004">
      <c r="A1152" t="s">
        <v>1233</v>
      </c>
      <c r="B1152" t="s">
        <v>101</v>
      </c>
      <c r="C1152" s="2">
        <v>43736</v>
      </c>
      <c r="D1152" t="s">
        <v>29</v>
      </c>
      <c r="E1152">
        <v>1113</v>
      </c>
    </row>
    <row r="1153" spans="1:5" x14ac:dyDescent="0.55000000000000004">
      <c r="A1153" t="s">
        <v>1234</v>
      </c>
      <c r="B1153" t="s">
        <v>175</v>
      </c>
      <c r="C1153" s="2">
        <v>45045</v>
      </c>
      <c r="D1153" t="s">
        <v>29</v>
      </c>
      <c r="E1153">
        <v>1727</v>
      </c>
    </row>
    <row r="1154" spans="1:5" x14ac:dyDescent="0.55000000000000004">
      <c r="A1154" t="s">
        <v>1235</v>
      </c>
      <c r="B1154" t="s">
        <v>35</v>
      </c>
      <c r="C1154" s="2">
        <v>44172</v>
      </c>
      <c r="D1154" t="s">
        <v>26</v>
      </c>
      <c r="E1154">
        <v>542</v>
      </c>
    </row>
    <row r="1155" spans="1:5" x14ac:dyDescent="0.55000000000000004">
      <c r="A1155" t="s">
        <v>1236</v>
      </c>
      <c r="B1155" t="s">
        <v>41</v>
      </c>
      <c r="C1155" s="2">
        <v>43951</v>
      </c>
      <c r="D1155" t="s">
        <v>26</v>
      </c>
      <c r="E1155">
        <v>424</v>
      </c>
    </row>
    <row r="1156" spans="1:5" x14ac:dyDescent="0.55000000000000004">
      <c r="A1156" t="s">
        <v>1237</v>
      </c>
      <c r="B1156" t="s">
        <v>140</v>
      </c>
      <c r="C1156" s="2">
        <v>44126</v>
      </c>
      <c r="D1156" t="s">
        <v>29</v>
      </c>
      <c r="E1156">
        <v>2330</v>
      </c>
    </row>
    <row r="1157" spans="1:5" x14ac:dyDescent="0.55000000000000004">
      <c r="A1157" t="s">
        <v>1238</v>
      </c>
      <c r="B1157" t="s">
        <v>38</v>
      </c>
      <c r="C1157" s="2">
        <v>44728</v>
      </c>
      <c r="D1157" t="s">
        <v>26</v>
      </c>
      <c r="E1157">
        <v>2503</v>
      </c>
    </row>
    <row r="1158" spans="1:5" x14ac:dyDescent="0.55000000000000004">
      <c r="A1158" t="s">
        <v>1239</v>
      </c>
      <c r="B1158" t="s">
        <v>101</v>
      </c>
      <c r="C1158" s="2">
        <v>44512</v>
      </c>
      <c r="D1158" t="s">
        <v>29</v>
      </c>
      <c r="E1158">
        <v>2504</v>
      </c>
    </row>
    <row r="1159" spans="1:5" x14ac:dyDescent="0.55000000000000004">
      <c r="A1159" t="s">
        <v>1240</v>
      </c>
      <c r="B1159" t="s">
        <v>14</v>
      </c>
      <c r="C1159" s="2">
        <v>44318</v>
      </c>
      <c r="D1159" t="s">
        <v>26</v>
      </c>
      <c r="E1159">
        <v>1978</v>
      </c>
    </row>
    <row r="1160" spans="1:5" x14ac:dyDescent="0.55000000000000004">
      <c r="A1160" t="s">
        <v>1241</v>
      </c>
      <c r="B1160" t="s">
        <v>96</v>
      </c>
      <c r="C1160" s="2">
        <v>43928</v>
      </c>
      <c r="D1160" t="s">
        <v>29</v>
      </c>
      <c r="E1160">
        <v>1805</v>
      </c>
    </row>
    <row r="1161" spans="1:5" x14ac:dyDescent="0.55000000000000004">
      <c r="A1161" t="s">
        <v>1242</v>
      </c>
      <c r="B1161" t="s">
        <v>142</v>
      </c>
      <c r="C1161" s="2">
        <v>43046</v>
      </c>
      <c r="D1161" t="s">
        <v>29</v>
      </c>
      <c r="E1161">
        <v>2682</v>
      </c>
    </row>
    <row r="1162" spans="1:5" x14ac:dyDescent="0.55000000000000004">
      <c r="A1162" t="s">
        <v>1243</v>
      </c>
      <c r="B1162" t="s">
        <v>111</v>
      </c>
      <c r="C1162" s="2">
        <v>42942</v>
      </c>
      <c r="D1162" t="s">
        <v>26</v>
      </c>
      <c r="E1162">
        <v>2743</v>
      </c>
    </row>
    <row r="1163" spans="1:5" x14ac:dyDescent="0.55000000000000004">
      <c r="A1163" t="s">
        <v>1244</v>
      </c>
      <c r="B1163" t="s">
        <v>76</v>
      </c>
      <c r="C1163" s="2">
        <v>44851</v>
      </c>
      <c r="D1163" t="s">
        <v>26</v>
      </c>
      <c r="E1163">
        <v>1772</v>
      </c>
    </row>
    <row r="1164" spans="1:5" x14ac:dyDescent="0.55000000000000004">
      <c r="A1164" t="s">
        <v>1245</v>
      </c>
      <c r="B1164" t="s">
        <v>38</v>
      </c>
      <c r="C1164" s="2">
        <v>44340</v>
      </c>
      <c r="D1164" t="s">
        <v>29</v>
      </c>
      <c r="E1164">
        <v>1416</v>
      </c>
    </row>
    <row r="1165" spans="1:5" x14ac:dyDescent="0.55000000000000004">
      <c r="A1165" t="s">
        <v>1246</v>
      </c>
      <c r="B1165" t="s">
        <v>38</v>
      </c>
      <c r="C1165" s="2">
        <v>44619</v>
      </c>
      <c r="D1165" t="s">
        <v>26</v>
      </c>
      <c r="E1165">
        <v>2286</v>
      </c>
    </row>
    <row r="1166" spans="1:5" x14ac:dyDescent="0.55000000000000004">
      <c r="A1166" t="s">
        <v>1247</v>
      </c>
      <c r="B1166" t="s">
        <v>94</v>
      </c>
      <c r="C1166" s="2">
        <v>43689</v>
      </c>
      <c r="D1166" t="s">
        <v>26</v>
      </c>
      <c r="E1166">
        <v>2635</v>
      </c>
    </row>
    <row r="1167" spans="1:5" x14ac:dyDescent="0.55000000000000004">
      <c r="A1167" t="s">
        <v>1248</v>
      </c>
      <c r="B1167" t="s">
        <v>105</v>
      </c>
      <c r="C1167" s="2">
        <v>43952</v>
      </c>
      <c r="D1167" t="s">
        <v>29</v>
      </c>
      <c r="E1167">
        <v>2030</v>
      </c>
    </row>
    <row r="1168" spans="1:5" x14ac:dyDescent="0.55000000000000004">
      <c r="A1168" t="s">
        <v>1249</v>
      </c>
      <c r="B1168" t="s">
        <v>76</v>
      </c>
      <c r="C1168" s="2">
        <v>44143</v>
      </c>
      <c r="D1168" t="s">
        <v>26</v>
      </c>
      <c r="E1168">
        <v>2013</v>
      </c>
    </row>
    <row r="1169" spans="1:5" x14ac:dyDescent="0.55000000000000004">
      <c r="A1169" t="s">
        <v>1250</v>
      </c>
      <c r="B1169" t="s">
        <v>111</v>
      </c>
      <c r="C1169" s="2">
        <v>43410</v>
      </c>
      <c r="D1169" t="s">
        <v>29</v>
      </c>
      <c r="E1169">
        <v>1139</v>
      </c>
    </row>
    <row r="1170" spans="1:5" x14ac:dyDescent="0.55000000000000004">
      <c r="A1170" t="s">
        <v>1251</v>
      </c>
      <c r="B1170" t="s">
        <v>142</v>
      </c>
      <c r="C1170" s="2">
        <v>43955</v>
      </c>
      <c r="D1170" t="s">
        <v>26</v>
      </c>
      <c r="E1170">
        <v>2254</v>
      </c>
    </row>
    <row r="1171" spans="1:5" x14ac:dyDescent="0.55000000000000004">
      <c r="A1171" t="s">
        <v>1252</v>
      </c>
      <c r="B1171" t="s">
        <v>35</v>
      </c>
      <c r="C1171" s="2">
        <v>44606</v>
      </c>
      <c r="D1171" t="s">
        <v>29</v>
      </c>
      <c r="E1171">
        <v>962</v>
      </c>
    </row>
    <row r="1172" spans="1:5" x14ac:dyDescent="0.55000000000000004">
      <c r="A1172" t="s">
        <v>1253</v>
      </c>
      <c r="B1172" t="s">
        <v>74</v>
      </c>
      <c r="C1172" s="2">
        <v>43857</v>
      </c>
      <c r="D1172" t="s">
        <v>29</v>
      </c>
      <c r="E1172">
        <v>2347</v>
      </c>
    </row>
    <row r="1173" spans="1:5" x14ac:dyDescent="0.55000000000000004">
      <c r="A1173" t="s">
        <v>1254</v>
      </c>
      <c r="B1173" t="s">
        <v>15</v>
      </c>
      <c r="C1173" s="2">
        <v>43097</v>
      </c>
      <c r="D1173" t="s">
        <v>29</v>
      </c>
      <c r="E1173">
        <v>1831</v>
      </c>
    </row>
    <row r="1174" spans="1:5" x14ac:dyDescent="0.55000000000000004">
      <c r="A1174" t="s">
        <v>1255</v>
      </c>
      <c r="B1174" t="s">
        <v>111</v>
      </c>
      <c r="C1174" s="2">
        <v>43160</v>
      </c>
      <c r="D1174" t="s">
        <v>29</v>
      </c>
      <c r="E1174">
        <v>2676</v>
      </c>
    </row>
    <row r="1175" spans="1:5" x14ac:dyDescent="0.55000000000000004">
      <c r="A1175" t="s">
        <v>1256</v>
      </c>
      <c r="B1175" t="s">
        <v>14</v>
      </c>
      <c r="C1175" s="2">
        <v>43127</v>
      </c>
      <c r="D1175" t="s">
        <v>29</v>
      </c>
      <c r="E1175">
        <v>1688</v>
      </c>
    </row>
    <row r="1176" spans="1:5" x14ac:dyDescent="0.55000000000000004">
      <c r="A1176" t="s">
        <v>1257</v>
      </c>
      <c r="B1176" t="s">
        <v>142</v>
      </c>
      <c r="C1176" s="2">
        <v>44058</v>
      </c>
      <c r="D1176" t="s">
        <v>26</v>
      </c>
      <c r="E1176">
        <v>372</v>
      </c>
    </row>
    <row r="1177" spans="1:5" x14ac:dyDescent="0.55000000000000004">
      <c r="A1177" t="s">
        <v>1258</v>
      </c>
      <c r="B1177" t="s">
        <v>137</v>
      </c>
      <c r="C1177" s="2">
        <v>44713</v>
      </c>
      <c r="D1177" t="s">
        <v>26</v>
      </c>
      <c r="E1177">
        <v>2681</v>
      </c>
    </row>
    <row r="1178" spans="1:5" x14ac:dyDescent="0.55000000000000004">
      <c r="A1178" t="s">
        <v>1259</v>
      </c>
      <c r="B1178" t="s">
        <v>38</v>
      </c>
      <c r="C1178" s="2">
        <v>44765</v>
      </c>
      <c r="D1178" t="s">
        <v>29</v>
      </c>
      <c r="E1178">
        <v>1488</v>
      </c>
    </row>
    <row r="1179" spans="1:5" x14ac:dyDescent="0.55000000000000004">
      <c r="A1179" t="s">
        <v>1260</v>
      </c>
      <c r="B1179" t="s">
        <v>175</v>
      </c>
      <c r="C1179" s="2">
        <v>43688</v>
      </c>
      <c r="D1179" t="s">
        <v>26</v>
      </c>
      <c r="E1179">
        <v>1861</v>
      </c>
    </row>
    <row r="1180" spans="1:5" x14ac:dyDescent="0.55000000000000004">
      <c r="A1180" t="s">
        <v>1261</v>
      </c>
      <c r="B1180" t="s">
        <v>111</v>
      </c>
      <c r="C1180" s="2">
        <v>44064</v>
      </c>
      <c r="D1180" t="s">
        <v>29</v>
      </c>
      <c r="E1180">
        <v>2935</v>
      </c>
    </row>
    <row r="1181" spans="1:5" x14ac:dyDescent="0.55000000000000004">
      <c r="A1181" t="s">
        <v>1262</v>
      </c>
      <c r="B1181" t="s">
        <v>38</v>
      </c>
      <c r="C1181" s="2">
        <v>44575</v>
      </c>
      <c r="D1181" t="s">
        <v>29</v>
      </c>
      <c r="E1181">
        <v>467</v>
      </c>
    </row>
    <row r="1182" spans="1:5" x14ac:dyDescent="0.55000000000000004">
      <c r="A1182" t="s">
        <v>1263</v>
      </c>
      <c r="B1182" t="s">
        <v>115</v>
      </c>
      <c r="C1182" s="2">
        <v>44472</v>
      </c>
      <c r="D1182" t="s">
        <v>26</v>
      </c>
      <c r="E1182">
        <v>8</v>
      </c>
    </row>
    <row r="1183" spans="1:5" x14ac:dyDescent="0.55000000000000004">
      <c r="A1183" t="s">
        <v>1264</v>
      </c>
      <c r="B1183" t="s">
        <v>111</v>
      </c>
      <c r="C1183" s="2">
        <v>43644</v>
      </c>
      <c r="D1183" t="s">
        <v>29</v>
      </c>
      <c r="E1183">
        <v>2243</v>
      </c>
    </row>
    <row r="1184" spans="1:5" x14ac:dyDescent="0.55000000000000004">
      <c r="A1184" t="s">
        <v>1265</v>
      </c>
      <c r="B1184" t="s">
        <v>67</v>
      </c>
      <c r="C1184" s="2">
        <v>44997</v>
      </c>
      <c r="D1184" t="s">
        <v>26</v>
      </c>
      <c r="E1184">
        <v>187</v>
      </c>
    </row>
    <row r="1185" spans="1:5" x14ac:dyDescent="0.55000000000000004">
      <c r="A1185" t="s">
        <v>1266</v>
      </c>
      <c r="B1185" t="s">
        <v>94</v>
      </c>
      <c r="C1185" s="2">
        <v>44138</v>
      </c>
      <c r="D1185" t="s">
        <v>29</v>
      </c>
      <c r="E1185">
        <v>575</v>
      </c>
    </row>
    <row r="1186" spans="1:5" x14ac:dyDescent="0.55000000000000004">
      <c r="A1186" t="s">
        <v>1267</v>
      </c>
      <c r="B1186" t="s">
        <v>175</v>
      </c>
      <c r="C1186" s="2">
        <v>45142</v>
      </c>
      <c r="D1186" t="s">
        <v>26</v>
      </c>
      <c r="E1186">
        <v>1041</v>
      </c>
    </row>
    <row r="1187" spans="1:5" x14ac:dyDescent="0.55000000000000004">
      <c r="A1187" t="s">
        <v>1268</v>
      </c>
      <c r="B1187" t="s">
        <v>32</v>
      </c>
      <c r="C1187" s="2">
        <v>44232</v>
      </c>
      <c r="D1187" t="s">
        <v>26</v>
      </c>
      <c r="E1187">
        <v>494</v>
      </c>
    </row>
    <row r="1188" spans="1:5" x14ac:dyDescent="0.55000000000000004">
      <c r="A1188" t="s">
        <v>1269</v>
      </c>
      <c r="B1188" t="s">
        <v>76</v>
      </c>
      <c r="C1188" s="2">
        <v>45075</v>
      </c>
      <c r="D1188" t="s">
        <v>26</v>
      </c>
      <c r="E1188">
        <v>1872</v>
      </c>
    </row>
    <row r="1189" spans="1:5" x14ac:dyDescent="0.55000000000000004">
      <c r="A1189" t="s">
        <v>1270</v>
      </c>
      <c r="B1189" t="s">
        <v>175</v>
      </c>
      <c r="C1189" s="2">
        <v>44246</v>
      </c>
      <c r="D1189" t="s">
        <v>29</v>
      </c>
      <c r="E1189">
        <v>441</v>
      </c>
    </row>
    <row r="1190" spans="1:5" x14ac:dyDescent="0.55000000000000004">
      <c r="A1190" t="s">
        <v>1271</v>
      </c>
      <c r="B1190" t="s">
        <v>118</v>
      </c>
      <c r="C1190" s="2">
        <v>45163</v>
      </c>
      <c r="D1190" t="s">
        <v>26</v>
      </c>
      <c r="E1190">
        <v>2593</v>
      </c>
    </row>
    <row r="1191" spans="1:5" x14ac:dyDescent="0.55000000000000004">
      <c r="A1191" t="s">
        <v>1272</v>
      </c>
      <c r="B1191" t="s">
        <v>175</v>
      </c>
      <c r="C1191" s="2">
        <v>43970</v>
      </c>
      <c r="D1191" t="s">
        <v>29</v>
      </c>
      <c r="E1191">
        <v>1873</v>
      </c>
    </row>
    <row r="1192" spans="1:5" x14ac:dyDescent="0.55000000000000004">
      <c r="A1192" t="s">
        <v>1273</v>
      </c>
      <c r="B1192" t="s">
        <v>38</v>
      </c>
      <c r="C1192" s="2">
        <v>44863</v>
      </c>
      <c r="D1192" t="s">
        <v>26</v>
      </c>
      <c r="E1192">
        <v>2043</v>
      </c>
    </row>
    <row r="1193" spans="1:5" x14ac:dyDescent="0.55000000000000004">
      <c r="A1193" t="s">
        <v>1274</v>
      </c>
      <c r="B1193" t="s">
        <v>14</v>
      </c>
      <c r="C1193" s="2">
        <v>44003</v>
      </c>
      <c r="D1193" t="s">
        <v>26</v>
      </c>
      <c r="E1193">
        <v>2266</v>
      </c>
    </row>
    <row r="1194" spans="1:5" x14ac:dyDescent="0.55000000000000004">
      <c r="A1194" t="s">
        <v>1275</v>
      </c>
      <c r="B1194" t="s">
        <v>140</v>
      </c>
      <c r="C1194" s="2">
        <v>44115</v>
      </c>
      <c r="D1194" t="s">
        <v>29</v>
      </c>
      <c r="E1194">
        <v>2082</v>
      </c>
    </row>
    <row r="1195" spans="1:5" x14ac:dyDescent="0.55000000000000004">
      <c r="A1195" t="s">
        <v>1276</v>
      </c>
      <c r="B1195" t="s">
        <v>118</v>
      </c>
      <c r="C1195" s="2">
        <v>44191</v>
      </c>
      <c r="D1195" t="s">
        <v>26</v>
      </c>
      <c r="E1195">
        <v>2992</v>
      </c>
    </row>
    <row r="1196" spans="1:5" x14ac:dyDescent="0.55000000000000004">
      <c r="A1196" t="s">
        <v>1277</v>
      </c>
      <c r="B1196" t="s">
        <v>175</v>
      </c>
      <c r="C1196" s="2">
        <v>43991</v>
      </c>
      <c r="D1196" t="s">
        <v>26</v>
      </c>
      <c r="E1196">
        <v>1586</v>
      </c>
    </row>
    <row r="1197" spans="1:5" x14ac:dyDescent="0.55000000000000004">
      <c r="A1197" t="s">
        <v>1278</v>
      </c>
      <c r="B1197" t="s">
        <v>38</v>
      </c>
      <c r="C1197" s="2">
        <v>44490</v>
      </c>
      <c r="D1197" t="s">
        <v>29</v>
      </c>
      <c r="E1197">
        <v>1714</v>
      </c>
    </row>
    <row r="1198" spans="1:5" x14ac:dyDescent="0.55000000000000004">
      <c r="A1198" t="s">
        <v>1279</v>
      </c>
      <c r="B1198" t="s">
        <v>32</v>
      </c>
      <c r="C1198" s="2">
        <v>44339</v>
      </c>
      <c r="D1198" t="s">
        <v>29</v>
      </c>
      <c r="E1198">
        <v>1629</v>
      </c>
    </row>
    <row r="1199" spans="1:5" x14ac:dyDescent="0.55000000000000004">
      <c r="A1199" t="s">
        <v>1280</v>
      </c>
      <c r="B1199" t="s">
        <v>111</v>
      </c>
      <c r="C1199" s="2">
        <v>43519</v>
      </c>
      <c r="D1199" t="s">
        <v>29</v>
      </c>
      <c r="E1199">
        <v>546</v>
      </c>
    </row>
    <row r="1200" spans="1:5" x14ac:dyDescent="0.55000000000000004">
      <c r="A1200" t="s">
        <v>1281</v>
      </c>
      <c r="B1200" t="s">
        <v>72</v>
      </c>
      <c r="C1200" s="2">
        <v>43762</v>
      </c>
      <c r="D1200" t="s">
        <v>29</v>
      </c>
      <c r="E1200">
        <v>2873</v>
      </c>
    </row>
    <row r="1201" spans="1:5" x14ac:dyDescent="0.55000000000000004">
      <c r="A1201" t="s">
        <v>1282</v>
      </c>
      <c r="B1201" t="s">
        <v>99</v>
      </c>
      <c r="C1201" s="2">
        <v>44751</v>
      </c>
      <c r="D1201" t="s">
        <v>26</v>
      </c>
      <c r="E1201">
        <v>822</v>
      </c>
    </row>
    <row r="1202" spans="1:5" x14ac:dyDescent="0.55000000000000004">
      <c r="A1202" t="s">
        <v>1283</v>
      </c>
      <c r="B1202" t="s">
        <v>151</v>
      </c>
      <c r="C1202" s="2">
        <v>44195</v>
      </c>
      <c r="D1202" t="s">
        <v>29</v>
      </c>
      <c r="E1202">
        <v>2812</v>
      </c>
    </row>
    <row r="1203" spans="1:5" x14ac:dyDescent="0.55000000000000004">
      <c r="A1203" t="s">
        <v>1284</v>
      </c>
      <c r="B1203" t="s">
        <v>86</v>
      </c>
      <c r="C1203" s="2">
        <v>44294</v>
      </c>
      <c r="D1203" t="s">
        <v>26</v>
      </c>
      <c r="E1203">
        <v>2909</v>
      </c>
    </row>
    <row r="1204" spans="1:5" x14ac:dyDescent="0.55000000000000004">
      <c r="A1204" t="s">
        <v>1285</v>
      </c>
      <c r="B1204" t="s">
        <v>35</v>
      </c>
      <c r="C1204" s="2">
        <v>44195</v>
      </c>
      <c r="D1204" t="s">
        <v>29</v>
      </c>
      <c r="E1204">
        <v>2909</v>
      </c>
    </row>
    <row r="1205" spans="1:5" x14ac:dyDescent="0.55000000000000004">
      <c r="A1205" t="s">
        <v>1286</v>
      </c>
      <c r="B1205" t="s">
        <v>115</v>
      </c>
      <c r="C1205" s="2">
        <v>44475</v>
      </c>
      <c r="D1205" t="s">
        <v>29</v>
      </c>
      <c r="E1205">
        <v>2303</v>
      </c>
    </row>
    <row r="1206" spans="1:5" x14ac:dyDescent="0.55000000000000004">
      <c r="A1206" t="s">
        <v>1287</v>
      </c>
      <c r="B1206" t="s">
        <v>96</v>
      </c>
      <c r="C1206" s="2">
        <v>45803</v>
      </c>
      <c r="D1206" t="s">
        <v>29</v>
      </c>
      <c r="E1206">
        <v>2761</v>
      </c>
    </row>
    <row r="1207" spans="1:5" x14ac:dyDescent="0.55000000000000004">
      <c r="A1207" t="s">
        <v>1288</v>
      </c>
      <c r="B1207" t="s">
        <v>78</v>
      </c>
      <c r="C1207" s="2">
        <v>45652</v>
      </c>
      <c r="D1207" t="s">
        <v>29</v>
      </c>
      <c r="E1207">
        <v>1730</v>
      </c>
    </row>
    <row r="1208" spans="1:5" x14ac:dyDescent="0.55000000000000004">
      <c r="A1208" t="s">
        <v>1289</v>
      </c>
      <c r="B1208" t="s">
        <v>137</v>
      </c>
      <c r="C1208" s="2">
        <v>43518</v>
      </c>
      <c r="D1208" t="s">
        <v>26</v>
      </c>
      <c r="E1208">
        <v>103</v>
      </c>
    </row>
    <row r="1209" spans="1:5" x14ac:dyDescent="0.55000000000000004">
      <c r="A1209" t="s">
        <v>1290</v>
      </c>
      <c r="B1209" t="s">
        <v>101</v>
      </c>
      <c r="C1209" s="2">
        <v>43214</v>
      </c>
      <c r="D1209" t="s">
        <v>26</v>
      </c>
      <c r="E1209">
        <v>2745</v>
      </c>
    </row>
    <row r="1210" spans="1:5" x14ac:dyDescent="0.55000000000000004">
      <c r="A1210" t="s">
        <v>1291</v>
      </c>
      <c r="B1210" t="s">
        <v>142</v>
      </c>
      <c r="C1210" s="2">
        <v>43326</v>
      </c>
      <c r="D1210" t="s">
        <v>29</v>
      </c>
      <c r="E1210">
        <v>659</v>
      </c>
    </row>
    <row r="1211" spans="1:5" x14ac:dyDescent="0.55000000000000004">
      <c r="A1211" t="s">
        <v>1292</v>
      </c>
      <c r="B1211" t="s">
        <v>156</v>
      </c>
      <c r="C1211" s="2">
        <v>44316</v>
      </c>
      <c r="D1211" t="s">
        <v>29</v>
      </c>
      <c r="E1211">
        <v>599</v>
      </c>
    </row>
    <row r="1212" spans="1:5" x14ac:dyDescent="0.55000000000000004">
      <c r="A1212" t="s">
        <v>1293</v>
      </c>
      <c r="B1212" t="s">
        <v>175</v>
      </c>
      <c r="C1212" s="2">
        <v>43720</v>
      </c>
      <c r="D1212" t="s">
        <v>29</v>
      </c>
      <c r="E1212">
        <v>835</v>
      </c>
    </row>
    <row r="1213" spans="1:5" x14ac:dyDescent="0.55000000000000004">
      <c r="A1213" t="s">
        <v>1294</v>
      </c>
      <c r="B1213" t="s">
        <v>118</v>
      </c>
      <c r="C1213" s="2">
        <v>45682</v>
      </c>
      <c r="D1213" t="s">
        <v>26</v>
      </c>
      <c r="E1213">
        <v>1469</v>
      </c>
    </row>
    <row r="1214" spans="1:5" x14ac:dyDescent="0.55000000000000004">
      <c r="A1214" t="s">
        <v>1295</v>
      </c>
      <c r="B1214" t="s">
        <v>175</v>
      </c>
      <c r="C1214" s="2">
        <v>45319</v>
      </c>
      <c r="D1214" t="s">
        <v>26</v>
      </c>
      <c r="E1214">
        <v>2523</v>
      </c>
    </row>
    <row r="1215" spans="1:5" x14ac:dyDescent="0.55000000000000004">
      <c r="A1215" t="s">
        <v>1296</v>
      </c>
      <c r="B1215" t="s">
        <v>76</v>
      </c>
      <c r="C1215" s="2">
        <v>45767</v>
      </c>
      <c r="D1215" t="s">
        <v>26</v>
      </c>
      <c r="E1215">
        <v>2650</v>
      </c>
    </row>
    <row r="1216" spans="1:5" x14ac:dyDescent="0.55000000000000004">
      <c r="A1216" t="s">
        <v>1297</v>
      </c>
      <c r="B1216" t="s">
        <v>99</v>
      </c>
      <c r="C1216" s="2">
        <v>45058</v>
      </c>
      <c r="D1216" t="s">
        <v>26</v>
      </c>
      <c r="E1216">
        <v>2092</v>
      </c>
    </row>
    <row r="1217" spans="1:5" x14ac:dyDescent="0.55000000000000004">
      <c r="A1217" t="s">
        <v>1298</v>
      </c>
      <c r="B1217" t="s">
        <v>137</v>
      </c>
      <c r="C1217" s="2">
        <v>44644</v>
      </c>
      <c r="D1217" t="s">
        <v>26</v>
      </c>
      <c r="E1217">
        <v>1562</v>
      </c>
    </row>
    <row r="1218" spans="1:5" x14ac:dyDescent="0.55000000000000004">
      <c r="A1218" t="s">
        <v>1299</v>
      </c>
      <c r="B1218" t="s">
        <v>101</v>
      </c>
      <c r="C1218" s="2">
        <v>43770</v>
      </c>
      <c r="D1218" t="s">
        <v>29</v>
      </c>
      <c r="E1218">
        <v>2261</v>
      </c>
    </row>
    <row r="1219" spans="1:5" x14ac:dyDescent="0.55000000000000004">
      <c r="A1219" t="s">
        <v>1300</v>
      </c>
      <c r="B1219" t="s">
        <v>142</v>
      </c>
      <c r="C1219" s="2">
        <v>42943</v>
      </c>
      <c r="D1219" t="s">
        <v>29</v>
      </c>
      <c r="E1219">
        <v>831</v>
      </c>
    </row>
    <row r="1220" spans="1:5" x14ac:dyDescent="0.55000000000000004">
      <c r="A1220" t="s">
        <v>1301</v>
      </c>
      <c r="B1220" t="s">
        <v>32</v>
      </c>
      <c r="C1220" s="2">
        <v>44738</v>
      </c>
      <c r="D1220" t="s">
        <v>26</v>
      </c>
      <c r="E1220">
        <v>2595</v>
      </c>
    </row>
    <row r="1221" spans="1:5" x14ac:dyDescent="0.55000000000000004">
      <c r="A1221" t="s">
        <v>1302</v>
      </c>
      <c r="B1221" t="s">
        <v>41</v>
      </c>
      <c r="C1221" s="2">
        <v>44584</v>
      </c>
      <c r="D1221" t="s">
        <v>26</v>
      </c>
      <c r="E1221">
        <v>2969</v>
      </c>
    </row>
    <row r="1222" spans="1:5" x14ac:dyDescent="0.55000000000000004">
      <c r="A1222" t="s">
        <v>1303</v>
      </c>
      <c r="B1222" t="s">
        <v>151</v>
      </c>
      <c r="C1222" s="2">
        <v>43519</v>
      </c>
      <c r="D1222" t="s">
        <v>29</v>
      </c>
      <c r="E1222">
        <v>726</v>
      </c>
    </row>
    <row r="1223" spans="1:5" x14ac:dyDescent="0.55000000000000004">
      <c r="A1223" t="s">
        <v>1304</v>
      </c>
      <c r="B1223" t="s">
        <v>38</v>
      </c>
      <c r="C1223" s="2">
        <v>43983</v>
      </c>
      <c r="D1223" t="s">
        <v>26</v>
      </c>
      <c r="E1223">
        <v>711</v>
      </c>
    </row>
    <row r="1224" spans="1:5" x14ac:dyDescent="0.55000000000000004">
      <c r="A1224" t="s">
        <v>1305</v>
      </c>
      <c r="B1224" t="s">
        <v>78</v>
      </c>
      <c r="C1224" s="2">
        <v>45570</v>
      </c>
      <c r="D1224" t="s">
        <v>26</v>
      </c>
      <c r="E1224">
        <v>1545</v>
      </c>
    </row>
    <row r="1225" spans="1:5" x14ac:dyDescent="0.55000000000000004">
      <c r="A1225" t="s">
        <v>1306</v>
      </c>
      <c r="B1225" t="s">
        <v>142</v>
      </c>
      <c r="C1225" s="2">
        <v>43794</v>
      </c>
      <c r="D1225" t="s">
        <v>29</v>
      </c>
      <c r="E1225">
        <v>2279</v>
      </c>
    </row>
    <row r="1226" spans="1:5" x14ac:dyDescent="0.55000000000000004">
      <c r="A1226" t="s">
        <v>1307</v>
      </c>
      <c r="B1226" t="s">
        <v>84</v>
      </c>
      <c r="C1226" s="2">
        <v>43183</v>
      </c>
      <c r="D1226" t="s">
        <v>26</v>
      </c>
      <c r="E1226">
        <v>2392</v>
      </c>
    </row>
    <row r="1227" spans="1:5" x14ac:dyDescent="0.55000000000000004">
      <c r="A1227" t="s">
        <v>1308</v>
      </c>
      <c r="B1227" t="s">
        <v>76</v>
      </c>
      <c r="C1227" s="2">
        <v>44510</v>
      </c>
      <c r="D1227" t="s">
        <v>26</v>
      </c>
      <c r="E1227">
        <v>1353</v>
      </c>
    </row>
    <row r="1228" spans="1:5" x14ac:dyDescent="0.55000000000000004">
      <c r="A1228" t="s">
        <v>1309</v>
      </c>
      <c r="B1228" t="s">
        <v>15</v>
      </c>
      <c r="C1228" s="2">
        <v>44370</v>
      </c>
      <c r="D1228" t="s">
        <v>26</v>
      </c>
      <c r="E1228">
        <v>163</v>
      </c>
    </row>
    <row r="1229" spans="1:5" x14ac:dyDescent="0.55000000000000004">
      <c r="A1229" t="s">
        <v>1310</v>
      </c>
      <c r="B1229" t="s">
        <v>72</v>
      </c>
      <c r="C1229" s="2">
        <v>43577</v>
      </c>
      <c r="D1229" t="s">
        <v>26</v>
      </c>
      <c r="E1229">
        <v>2561</v>
      </c>
    </row>
    <row r="1230" spans="1:5" x14ac:dyDescent="0.55000000000000004">
      <c r="A1230" t="s">
        <v>1311</v>
      </c>
      <c r="B1230" t="s">
        <v>32</v>
      </c>
      <c r="C1230" s="2">
        <v>44447</v>
      </c>
      <c r="D1230" t="s">
        <v>29</v>
      </c>
      <c r="E1230">
        <v>2345</v>
      </c>
    </row>
    <row r="1231" spans="1:5" x14ac:dyDescent="0.55000000000000004">
      <c r="A1231" t="s">
        <v>1312</v>
      </c>
      <c r="B1231" t="s">
        <v>99</v>
      </c>
      <c r="C1231" s="2">
        <v>44932</v>
      </c>
      <c r="D1231" t="s">
        <v>26</v>
      </c>
      <c r="E1231">
        <v>2898</v>
      </c>
    </row>
    <row r="1232" spans="1:5" x14ac:dyDescent="0.55000000000000004">
      <c r="A1232" t="s">
        <v>1313</v>
      </c>
      <c r="B1232" t="s">
        <v>111</v>
      </c>
      <c r="C1232" s="2">
        <v>43993</v>
      </c>
      <c r="D1232" t="s">
        <v>26</v>
      </c>
      <c r="E1232">
        <v>753</v>
      </c>
    </row>
    <row r="1233" spans="1:5" x14ac:dyDescent="0.55000000000000004">
      <c r="A1233" t="s">
        <v>1314</v>
      </c>
      <c r="B1233" t="s">
        <v>67</v>
      </c>
      <c r="C1233" s="2">
        <v>43745</v>
      </c>
      <c r="D1233" t="s">
        <v>26</v>
      </c>
      <c r="E1233">
        <v>1703</v>
      </c>
    </row>
    <row r="1234" spans="1:5" x14ac:dyDescent="0.55000000000000004">
      <c r="A1234" t="s">
        <v>1315</v>
      </c>
      <c r="B1234" t="s">
        <v>99</v>
      </c>
      <c r="C1234" s="2">
        <v>45665</v>
      </c>
      <c r="D1234" t="s">
        <v>29</v>
      </c>
      <c r="E1234">
        <v>376</v>
      </c>
    </row>
    <row r="1235" spans="1:5" x14ac:dyDescent="0.55000000000000004">
      <c r="A1235" t="s">
        <v>1316</v>
      </c>
      <c r="B1235" t="s">
        <v>86</v>
      </c>
      <c r="C1235" s="2">
        <v>43370</v>
      </c>
      <c r="D1235" t="s">
        <v>26</v>
      </c>
      <c r="E1235">
        <v>2717</v>
      </c>
    </row>
    <row r="1236" spans="1:5" x14ac:dyDescent="0.55000000000000004">
      <c r="A1236" t="s">
        <v>1317</v>
      </c>
      <c r="B1236" t="s">
        <v>111</v>
      </c>
      <c r="C1236" s="2">
        <v>43595</v>
      </c>
      <c r="D1236" t="s">
        <v>29</v>
      </c>
      <c r="E1236">
        <v>1202</v>
      </c>
    </row>
    <row r="1237" spans="1:5" x14ac:dyDescent="0.55000000000000004">
      <c r="A1237" t="s">
        <v>1318</v>
      </c>
      <c r="B1237" t="s">
        <v>151</v>
      </c>
      <c r="C1237" s="2">
        <v>44458</v>
      </c>
      <c r="D1237" t="s">
        <v>29</v>
      </c>
      <c r="E1237">
        <v>2299</v>
      </c>
    </row>
    <row r="1238" spans="1:5" x14ac:dyDescent="0.55000000000000004">
      <c r="A1238" t="s">
        <v>1319</v>
      </c>
      <c r="B1238" t="s">
        <v>175</v>
      </c>
      <c r="C1238" s="2">
        <v>43502</v>
      </c>
      <c r="D1238" t="s">
        <v>26</v>
      </c>
      <c r="E1238">
        <v>2739</v>
      </c>
    </row>
    <row r="1239" spans="1:5" x14ac:dyDescent="0.55000000000000004">
      <c r="A1239" t="s">
        <v>1320</v>
      </c>
      <c r="B1239" t="s">
        <v>86</v>
      </c>
      <c r="C1239" s="2">
        <v>43829</v>
      </c>
      <c r="D1239" t="s">
        <v>26</v>
      </c>
      <c r="E1239">
        <v>2630</v>
      </c>
    </row>
    <row r="1240" spans="1:5" x14ac:dyDescent="0.55000000000000004">
      <c r="A1240" t="s">
        <v>1321</v>
      </c>
      <c r="B1240" t="s">
        <v>32</v>
      </c>
      <c r="C1240" s="2">
        <v>44330</v>
      </c>
      <c r="D1240" t="s">
        <v>26</v>
      </c>
      <c r="E1240">
        <v>2795</v>
      </c>
    </row>
    <row r="1241" spans="1:5" x14ac:dyDescent="0.55000000000000004">
      <c r="A1241" t="s">
        <v>1322</v>
      </c>
      <c r="B1241" t="s">
        <v>94</v>
      </c>
      <c r="C1241" s="2">
        <v>44780</v>
      </c>
      <c r="D1241" t="s">
        <v>29</v>
      </c>
      <c r="E1241">
        <v>464</v>
      </c>
    </row>
    <row r="1242" spans="1:5" x14ac:dyDescent="0.55000000000000004">
      <c r="A1242" t="s">
        <v>1323</v>
      </c>
      <c r="B1242" t="s">
        <v>101</v>
      </c>
      <c r="C1242" s="2">
        <v>43442</v>
      </c>
      <c r="D1242" t="s">
        <v>29</v>
      </c>
      <c r="E1242">
        <v>101</v>
      </c>
    </row>
    <row r="1243" spans="1:5" x14ac:dyDescent="0.55000000000000004">
      <c r="A1243" t="s">
        <v>1324</v>
      </c>
      <c r="B1243" t="s">
        <v>67</v>
      </c>
      <c r="C1243" s="2">
        <v>45001</v>
      </c>
      <c r="D1243" t="s">
        <v>29</v>
      </c>
      <c r="E1243">
        <v>1993</v>
      </c>
    </row>
    <row r="1244" spans="1:5" x14ac:dyDescent="0.55000000000000004">
      <c r="A1244" t="s">
        <v>1325</v>
      </c>
      <c r="B1244" t="s">
        <v>142</v>
      </c>
      <c r="C1244" s="2">
        <v>43524</v>
      </c>
      <c r="D1244" t="s">
        <v>26</v>
      </c>
      <c r="E1244">
        <v>1312</v>
      </c>
    </row>
    <row r="1245" spans="1:5" x14ac:dyDescent="0.55000000000000004">
      <c r="A1245" t="s">
        <v>1326</v>
      </c>
      <c r="B1245" t="s">
        <v>67</v>
      </c>
      <c r="C1245" s="2">
        <v>43803</v>
      </c>
      <c r="D1245" t="s">
        <v>26</v>
      </c>
      <c r="E1245">
        <v>685</v>
      </c>
    </row>
    <row r="1246" spans="1:5" x14ac:dyDescent="0.55000000000000004">
      <c r="A1246" t="s">
        <v>1327</v>
      </c>
      <c r="B1246" t="s">
        <v>118</v>
      </c>
      <c r="C1246" s="2">
        <v>45669</v>
      </c>
      <c r="D1246" t="s">
        <v>26</v>
      </c>
      <c r="E1246">
        <v>2567</v>
      </c>
    </row>
    <row r="1247" spans="1:5" x14ac:dyDescent="0.55000000000000004">
      <c r="A1247" t="s">
        <v>1328</v>
      </c>
      <c r="B1247" t="s">
        <v>74</v>
      </c>
      <c r="C1247" s="2">
        <v>43348</v>
      </c>
      <c r="D1247" t="s">
        <v>26</v>
      </c>
      <c r="E1247">
        <v>2807</v>
      </c>
    </row>
    <row r="1248" spans="1:5" x14ac:dyDescent="0.55000000000000004">
      <c r="A1248" t="s">
        <v>1329</v>
      </c>
      <c r="B1248" t="s">
        <v>140</v>
      </c>
      <c r="C1248" s="2">
        <v>43129</v>
      </c>
      <c r="D1248" t="s">
        <v>26</v>
      </c>
      <c r="E1248">
        <v>2202</v>
      </c>
    </row>
    <row r="1249" spans="1:5" x14ac:dyDescent="0.55000000000000004">
      <c r="A1249" t="s">
        <v>1330</v>
      </c>
      <c r="B1249" t="s">
        <v>175</v>
      </c>
      <c r="C1249" s="2">
        <v>45248</v>
      </c>
      <c r="D1249" t="s">
        <v>26</v>
      </c>
      <c r="E1249">
        <v>2810</v>
      </c>
    </row>
    <row r="1250" spans="1:5" x14ac:dyDescent="0.55000000000000004">
      <c r="A1250" t="s">
        <v>1331</v>
      </c>
      <c r="B1250" t="s">
        <v>72</v>
      </c>
      <c r="C1250" s="2">
        <v>42965</v>
      </c>
      <c r="D1250" t="s">
        <v>29</v>
      </c>
      <c r="E1250">
        <v>2936</v>
      </c>
    </row>
    <row r="1251" spans="1:5" x14ac:dyDescent="0.55000000000000004">
      <c r="A1251" t="s">
        <v>1332</v>
      </c>
      <c r="B1251" t="s">
        <v>111</v>
      </c>
      <c r="C1251" s="2">
        <v>42994</v>
      </c>
      <c r="D1251" t="s">
        <v>26</v>
      </c>
      <c r="E1251">
        <v>300</v>
      </c>
    </row>
    <row r="1252" spans="1:5" x14ac:dyDescent="0.55000000000000004">
      <c r="A1252" t="s">
        <v>1333</v>
      </c>
      <c r="B1252" t="s">
        <v>142</v>
      </c>
      <c r="C1252" s="2">
        <v>43281</v>
      </c>
      <c r="D1252" t="s">
        <v>29</v>
      </c>
      <c r="E1252">
        <v>2285</v>
      </c>
    </row>
    <row r="1253" spans="1:5" x14ac:dyDescent="0.55000000000000004">
      <c r="A1253" t="s">
        <v>1334</v>
      </c>
      <c r="B1253" t="s">
        <v>74</v>
      </c>
      <c r="C1253" s="2">
        <v>44094</v>
      </c>
      <c r="D1253" t="s">
        <v>26</v>
      </c>
      <c r="E1253">
        <v>1059</v>
      </c>
    </row>
    <row r="1254" spans="1:5" x14ac:dyDescent="0.55000000000000004">
      <c r="A1254" t="s">
        <v>1335</v>
      </c>
      <c r="B1254" t="s">
        <v>140</v>
      </c>
      <c r="C1254" s="2">
        <v>43711</v>
      </c>
      <c r="D1254" t="s">
        <v>29</v>
      </c>
      <c r="E1254">
        <v>2581</v>
      </c>
    </row>
    <row r="1255" spans="1:5" x14ac:dyDescent="0.55000000000000004">
      <c r="A1255" t="s">
        <v>1336</v>
      </c>
      <c r="B1255" t="s">
        <v>101</v>
      </c>
      <c r="C1255" s="2">
        <v>43803</v>
      </c>
      <c r="D1255" t="s">
        <v>29</v>
      </c>
      <c r="E1255">
        <v>69</v>
      </c>
    </row>
    <row r="1256" spans="1:5" x14ac:dyDescent="0.55000000000000004">
      <c r="A1256" t="s">
        <v>1337</v>
      </c>
      <c r="B1256" t="s">
        <v>101</v>
      </c>
      <c r="C1256" s="2">
        <v>44295</v>
      </c>
      <c r="D1256" t="s">
        <v>26</v>
      </c>
      <c r="E1256">
        <v>2190</v>
      </c>
    </row>
    <row r="1257" spans="1:5" x14ac:dyDescent="0.55000000000000004">
      <c r="A1257" t="s">
        <v>1338</v>
      </c>
      <c r="B1257" t="s">
        <v>14</v>
      </c>
      <c r="C1257" s="2">
        <v>44230</v>
      </c>
      <c r="D1257" t="s">
        <v>26</v>
      </c>
      <c r="E1257">
        <v>2398</v>
      </c>
    </row>
    <row r="1258" spans="1:5" x14ac:dyDescent="0.55000000000000004">
      <c r="A1258" t="s">
        <v>1339</v>
      </c>
      <c r="B1258" t="s">
        <v>142</v>
      </c>
      <c r="C1258" s="2">
        <v>44352</v>
      </c>
      <c r="D1258" t="s">
        <v>26</v>
      </c>
      <c r="E1258">
        <v>1465</v>
      </c>
    </row>
    <row r="1259" spans="1:5" x14ac:dyDescent="0.55000000000000004">
      <c r="A1259" t="s">
        <v>1340</v>
      </c>
      <c r="B1259" t="s">
        <v>67</v>
      </c>
      <c r="C1259" s="2">
        <v>43900</v>
      </c>
      <c r="D1259" t="s">
        <v>29</v>
      </c>
      <c r="E1259">
        <v>2809</v>
      </c>
    </row>
    <row r="1260" spans="1:5" x14ac:dyDescent="0.55000000000000004">
      <c r="A1260" t="s">
        <v>1341</v>
      </c>
      <c r="B1260" t="s">
        <v>156</v>
      </c>
      <c r="C1260" s="2">
        <v>44159</v>
      </c>
      <c r="D1260" t="s">
        <v>26</v>
      </c>
      <c r="E1260">
        <v>1153</v>
      </c>
    </row>
    <row r="1261" spans="1:5" x14ac:dyDescent="0.55000000000000004">
      <c r="A1261" t="s">
        <v>1342</v>
      </c>
      <c r="B1261" t="s">
        <v>118</v>
      </c>
      <c r="C1261" s="2">
        <v>45258</v>
      </c>
      <c r="D1261" t="s">
        <v>29</v>
      </c>
      <c r="E1261">
        <v>1618</v>
      </c>
    </row>
    <row r="1262" spans="1:5" x14ac:dyDescent="0.55000000000000004">
      <c r="A1262" t="s">
        <v>1343</v>
      </c>
      <c r="B1262" t="s">
        <v>175</v>
      </c>
      <c r="C1262" s="2">
        <v>43592</v>
      </c>
      <c r="D1262" t="s">
        <v>29</v>
      </c>
      <c r="E1262">
        <v>640</v>
      </c>
    </row>
    <row r="1263" spans="1:5" x14ac:dyDescent="0.55000000000000004">
      <c r="A1263" t="s">
        <v>1344</v>
      </c>
      <c r="B1263" t="s">
        <v>99</v>
      </c>
      <c r="C1263" s="2">
        <v>44366</v>
      </c>
      <c r="D1263" t="s">
        <v>26</v>
      </c>
      <c r="E1263">
        <v>1601</v>
      </c>
    </row>
    <row r="1264" spans="1:5" x14ac:dyDescent="0.55000000000000004">
      <c r="A1264" t="s">
        <v>1345</v>
      </c>
      <c r="B1264" t="s">
        <v>137</v>
      </c>
      <c r="C1264" s="2">
        <v>45701</v>
      </c>
      <c r="D1264" t="s">
        <v>29</v>
      </c>
      <c r="E1264">
        <v>2597</v>
      </c>
    </row>
    <row r="1265" spans="1:5" x14ac:dyDescent="0.55000000000000004">
      <c r="A1265" t="s">
        <v>1346</v>
      </c>
      <c r="B1265" t="s">
        <v>72</v>
      </c>
      <c r="C1265" s="2">
        <v>43527</v>
      </c>
      <c r="D1265" t="s">
        <v>29</v>
      </c>
      <c r="E1265">
        <v>45</v>
      </c>
    </row>
    <row r="1266" spans="1:5" x14ac:dyDescent="0.55000000000000004">
      <c r="A1266" t="s">
        <v>1347</v>
      </c>
      <c r="B1266" t="s">
        <v>99</v>
      </c>
      <c r="C1266" s="2">
        <v>45739</v>
      </c>
      <c r="D1266" t="s">
        <v>26</v>
      </c>
      <c r="E1266">
        <v>504</v>
      </c>
    </row>
    <row r="1267" spans="1:5" x14ac:dyDescent="0.55000000000000004">
      <c r="A1267" t="s">
        <v>1348</v>
      </c>
      <c r="B1267" t="s">
        <v>142</v>
      </c>
      <c r="C1267" s="2">
        <v>42927</v>
      </c>
      <c r="D1267" t="s">
        <v>29</v>
      </c>
      <c r="E1267">
        <v>2200</v>
      </c>
    </row>
    <row r="1268" spans="1:5" x14ac:dyDescent="0.55000000000000004">
      <c r="A1268" t="s">
        <v>1349</v>
      </c>
      <c r="B1268" t="s">
        <v>99</v>
      </c>
      <c r="C1268" s="2">
        <v>43814</v>
      </c>
      <c r="D1268" t="s">
        <v>29</v>
      </c>
      <c r="E1268">
        <v>860</v>
      </c>
    </row>
    <row r="1269" spans="1:5" x14ac:dyDescent="0.55000000000000004">
      <c r="A1269" t="s">
        <v>1350</v>
      </c>
      <c r="B1269" t="s">
        <v>78</v>
      </c>
      <c r="C1269" s="2">
        <v>44874</v>
      </c>
      <c r="D1269" t="s">
        <v>26</v>
      </c>
      <c r="E1269">
        <v>1690</v>
      </c>
    </row>
    <row r="1270" spans="1:5" x14ac:dyDescent="0.55000000000000004">
      <c r="A1270" t="s">
        <v>1351</v>
      </c>
      <c r="B1270" t="s">
        <v>94</v>
      </c>
      <c r="C1270" s="2">
        <v>45565</v>
      </c>
      <c r="D1270" t="s">
        <v>26</v>
      </c>
      <c r="E1270">
        <v>659</v>
      </c>
    </row>
    <row r="1271" spans="1:5" x14ac:dyDescent="0.55000000000000004">
      <c r="A1271" t="s">
        <v>1352</v>
      </c>
      <c r="B1271" t="s">
        <v>105</v>
      </c>
      <c r="C1271" s="2">
        <v>43369</v>
      </c>
      <c r="D1271" t="s">
        <v>29</v>
      </c>
      <c r="E1271">
        <v>795</v>
      </c>
    </row>
    <row r="1272" spans="1:5" x14ac:dyDescent="0.55000000000000004">
      <c r="A1272" t="s">
        <v>1353</v>
      </c>
      <c r="B1272" t="s">
        <v>115</v>
      </c>
      <c r="C1272" s="2">
        <v>43288</v>
      </c>
      <c r="D1272" t="s">
        <v>26</v>
      </c>
      <c r="E1272">
        <v>2248</v>
      </c>
    </row>
    <row r="1273" spans="1:5" x14ac:dyDescent="0.55000000000000004">
      <c r="A1273" t="s">
        <v>1354</v>
      </c>
      <c r="B1273" t="s">
        <v>15</v>
      </c>
      <c r="C1273" s="2">
        <v>44237</v>
      </c>
      <c r="D1273" t="s">
        <v>26</v>
      </c>
      <c r="E1273">
        <v>1190</v>
      </c>
    </row>
    <row r="1274" spans="1:5" x14ac:dyDescent="0.55000000000000004">
      <c r="A1274" t="s">
        <v>1355</v>
      </c>
      <c r="B1274" t="s">
        <v>38</v>
      </c>
      <c r="C1274" s="2">
        <v>43968</v>
      </c>
      <c r="D1274" t="s">
        <v>29</v>
      </c>
      <c r="E1274">
        <v>402</v>
      </c>
    </row>
    <row r="1275" spans="1:5" x14ac:dyDescent="0.55000000000000004">
      <c r="A1275" t="s">
        <v>1356</v>
      </c>
      <c r="B1275" t="s">
        <v>151</v>
      </c>
      <c r="C1275" s="2">
        <v>44403</v>
      </c>
      <c r="D1275" t="s">
        <v>29</v>
      </c>
      <c r="E1275">
        <v>1355</v>
      </c>
    </row>
    <row r="1276" spans="1:5" x14ac:dyDescent="0.55000000000000004">
      <c r="A1276" t="s">
        <v>1357</v>
      </c>
      <c r="B1276" t="s">
        <v>86</v>
      </c>
      <c r="C1276" s="2">
        <v>43179</v>
      </c>
      <c r="D1276" t="s">
        <v>26</v>
      </c>
      <c r="E1276">
        <v>409</v>
      </c>
    </row>
    <row r="1277" spans="1:5" x14ac:dyDescent="0.55000000000000004">
      <c r="A1277" t="s">
        <v>1358</v>
      </c>
      <c r="B1277" t="s">
        <v>156</v>
      </c>
      <c r="C1277" s="2">
        <v>44185</v>
      </c>
      <c r="D1277" t="s">
        <v>26</v>
      </c>
      <c r="E1277">
        <v>792</v>
      </c>
    </row>
    <row r="1278" spans="1:5" x14ac:dyDescent="0.55000000000000004">
      <c r="A1278" t="s">
        <v>1359</v>
      </c>
      <c r="B1278" t="s">
        <v>111</v>
      </c>
      <c r="C1278" s="2">
        <v>43912</v>
      </c>
      <c r="D1278" t="s">
        <v>29</v>
      </c>
      <c r="E1278">
        <v>1344</v>
      </c>
    </row>
    <row r="1279" spans="1:5" x14ac:dyDescent="0.55000000000000004">
      <c r="A1279" t="s">
        <v>1360</v>
      </c>
      <c r="B1279" t="s">
        <v>32</v>
      </c>
      <c r="C1279" s="2">
        <v>44457</v>
      </c>
      <c r="D1279" t="s">
        <v>26</v>
      </c>
      <c r="E1279">
        <v>2316</v>
      </c>
    </row>
    <row r="1280" spans="1:5" x14ac:dyDescent="0.55000000000000004">
      <c r="A1280" t="s">
        <v>1361</v>
      </c>
      <c r="B1280" t="s">
        <v>23</v>
      </c>
      <c r="C1280" s="2">
        <v>44577</v>
      </c>
      <c r="D1280" t="s">
        <v>29</v>
      </c>
      <c r="E1280">
        <v>1754</v>
      </c>
    </row>
    <row r="1281" spans="1:5" x14ac:dyDescent="0.55000000000000004">
      <c r="A1281" t="s">
        <v>1362</v>
      </c>
      <c r="B1281" t="s">
        <v>105</v>
      </c>
      <c r="C1281" s="2">
        <v>42926</v>
      </c>
      <c r="D1281" t="s">
        <v>29</v>
      </c>
      <c r="E1281">
        <v>1008</v>
      </c>
    </row>
    <row r="1282" spans="1:5" x14ac:dyDescent="0.55000000000000004">
      <c r="A1282" t="s">
        <v>1363</v>
      </c>
      <c r="B1282" t="s">
        <v>137</v>
      </c>
      <c r="C1282" s="2">
        <v>44373</v>
      </c>
      <c r="D1282" t="s">
        <v>29</v>
      </c>
      <c r="E1282">
        <v>1133</v>
      </c>
    </row>
    <row r="1283" spans="1:5" x14ac:dyDescent="0.55000000000000004">
      <c r="A1283" t="s">
        <v>1364</v>
      </c>
      <c r="B1283" t="s">
        <v>175</v>
      </c>
      <c r="C1283" s="2">
        <v>44938</v>
      </c>
      <c r="D1283" t="s">
        <v>26</v>
      </c>
      <c r="E1283">
        <v>2783</v>
      </c>
    </row>
    <row r="1284" spans="1:5" x14ac:dyDescent="0.55000000000000004">
      <c r="A1284" t="s">
        <v>1365</v>
      </c>
      <c r="B1284" t="s">
        <v>78</v>
      </c>
      <c r="C1284" s="2">
        <v>44824</v>
      </c>
      <c r="D1284" t="s">
        <v>29</v>
      </c>
      <c r="E1284">
        <v>1895</v>
      </c>
    </row>
    <row r="1285" spans="1:5" x14ac:dyDescent="0.55000000000000004">
      <c r="A1285" t="s">
        <v>1366</v>
      </c>
      <c r="B1285" t="s">
        <v>15</v>
      </c>
      <c r="C1285" s="2">
        <v>43651</v>
      </c>
      <c r="D1285" t="s">
        <v>29</v>
      </c>
      <c r="E1285">
        <v>1994</v>
      </c>
    </row>
    <row r="1286" spans="1:5" x14ac:dyDescent="0.55000000000000004">
      <c r="A1286" t="s">
        <v>1367</v>
      </c>
      <c r="B1286" t="s">
        <v>99</v>
      </c>
      <c r="C1286" s="2">
        <v>43911</v>
      </c>
      <c r="D1286" t="s">
        <v>26</v>
      </c>
      <c r="E1286">
        <v>2644</v>
      </c>
    </row>
    <row r="1287" spans="1:5" x14ac:dyDescent="0.55000000000000004">
      <c r="A1287" t="s">
        <v>1368</v>
      </c>
      <c r="B1287" t="s">
        <v>32</v>
      </c>
      <c r="C1287" s="2">
        <v>43998</v>
      </c>
      <c r="D1287" t="s">
        <v>29</v>
      </c>
      <c r="E1287">
        <v>573</v>
      </c>
    </row>
    <row r="1288" spans="1:5" x14ac:dyDescent="0.55000000000000004">
      <c r="A1288" t="s">
        <v>1369</v>
      </c>
      <c r="B1288" t="s">
        <v>94</v>
      </c>
      <c r="C1288" s="2">
        <v>45672</v>
      </c>
      <c r="D1288" t="s">
        <v>26</v>
      </c>
      <c r="E1288">
        <v>1078</v>
      </c>
    </row>
    <row r="1289" spans="1:5" x14ac:dyDescent="0.55000000000000004">
      <c r="A1289" t="s">
        <v>1370</v>
      </c>
      <c r="B1289" t="s">
        <v>78</v>
      </c>
      <c r="C1289" s="2">
        <v>43779</v>
      </c>
      <c r="D1289" t="s">
        <v>26</v>
      </c>
      <c r="E1289">
        <v>76</v>
      </c>
    </row>
    <row r="1290" spans="1:5" x14ac:dyDescent="0.55000000000000004">
      <c r="A1290" t="s">
        <v>1371</v>
      </c>
      <c r="B1290" t="s">
        <v>76</v>
      </c>
      <c r="C1290" s="2">
        <v>45543</v>
      </c>
      <c r="D1290" t="s">
        <v>26</v>
      </c>
      <c r="E1290">
        <v>2383</v>
      </c>
    </row>
    <row r="1291" spans="1:5" x14ac:dyDescent="0.55000000000000004">
      <c r="A1291" t="s">
        <v>1372</v>
      </c>
      <c r="B1291" t="s">
        <v>23</v>
      </c>
      <c r="C1291" s="2">
        <v>44660</v>
      </c>
      <c r="D1291" t="s">
        <v>26</v>
      </c>
      <c r="E1291">
        <v>150</v>
      </c>
    </row>
    <row r="1292" spans="1:5" x14ac:dyDescent="0.55000000000000004">
      <c r="A1292" t="s">
        <v>1373</v>
      </c>
      <c r="B1292" t="s">
        <v>99</v>
      </c>
      <c r="C1292" s="2">
        <v>44533</v>
      </c>
      <c r="D1292" t="s">
        <v>29</v>
      </c>
      <c r="E1292">
        <v>2678</v>
      </c>
    </row>
    <row r="1293" spans="1:5" x14ac:dyDescent="0.55000000000000004">
      <c r="A1293" t="s">
        <v>1374</v>
      </c>
      <c r="B1293" t="s">
        <v>118</v>
      </c>
      <c r="C1293" s="2">
        <v>44074</v>
      </c>
      <c r="D1293" t="s">
        <v>29</v>
      </c>
      <c r="E1293">
        <v>1607</v>
      </c>
    </row>
    <row r="1294" spans="1:5" x14ac:dyDescent="0.55000000000000004">
      <c r="A1294" t="s">
        <v>1375</v>
      </c>
      <c r="B1294" t="s">
        <v>63</v>
      </c>
      <c r="C1294" s="2">
        <v>44498</v>
      </c>
      <c r="D1294" t="s">
        <v>29</v>
      </c>
      <c r="E1294">
        <v>548</v>
      </c>
    </row>
    <row r="1295" spans="1:5" x14ac:dyDescent="0.55000000000000004">
      <c r="A1295" t="s">
        <v>1376</v>
      </c>
      <c r="B1295" t="s">
        <v>15</v>
      </c>
      <c r="C1295" s="2">
        <v>43943</v>
      </c>
      <c r="D1295" t="s">
        <v>26</v>
      </c>
      <c r="E1295">
        <v>1625</v>
      </c>
    </row>
    <row r="1296" spans="1:5" x14ac:dyDescent="0.55000000000000004">
      <c r="A1296" t="s">
        <v>1377</v>
      </c>
      <c r="B1296" t="s">
        <v>86</v>
      </c>
      <c r="C1296" s="2">
        <v>43945</v>
      </c>
      <c r="D1296" t="s">
        <v>26</v>
      </c>
      <c r="E1296">
        <v>2714</v>
      </c>
    </row>
    <row r="1297" spans="1:5" x14ac:dyDescent="0.55000000000000004">
      <c r="A1297" t="s">
        <v>1378</v>
      </c>
      <c r="B1297" t="s">
        <v>63</v>
      </c>
      <c r="C1297" s="2">
        <v>44174</v>
      </c>
      <c r="D1297" t="s">
        <v>26</v>
      </c>
      <c r="E1297">
        <v>2105</v>
      </c>
    </row>
    <row r="1298" spans="1:5" x14ac:dyDescent="0.55000000000000004">
      <c r="A1298" t="s">
        <v>1379</v>
      </c>
      <c r="B1298" t="s">
        <v>72</v>
      </c>
      <c r="C1298" s="2">
        <v>43830</v>
      </c>
      <c r="D1298" t="s">
        <v>26</v>
      </c>
      <c r="E1298">
        <v>733</v>
      </c>
    </row>
    <row r="1299" spans="1:5" x14ac:dyDescent="0.55000000000000004">
      <c r="A1299" t="s">
        <v>1380</v>
      </c>
      <c r="B1299" t="s">
        <v>23</v>
      </c>
      <c r="C1299" s="2">
        <v>44130</v>
      </c>
      <c r="D1299" t="s">
        <v>29</v>
      </c>
      <c r="E1299">
        <v>1469</v>
      </c>
    </row>
    <row r="1300" spans="1:5" x14ac:dyDescent="0.55000000000000004">
      <c r="A1300" t="s">
        <v>1381</v>
      </c>
      <c r="B1300" t="s">
        <v>142</v>
      </c>
      <c r="C1300" s="2">
        <v>43365</v>
      </c>
      <c r="D1300" t="s">
        <v>29</v>
      </c>
      <c r="E1300">
        <v>949</v>
      </c>
    </row>
    <row r="1301" spans="1:5" x14ac:dyDescent="0.55000000000000004">
      <c r="A1301" t="s">
        <v>1382</v>
      </c>
      <c r="B1301" t="s">
        <v>74</v>
      </c>
      <c r="C1301" s="2">
        <v>43458</v>
      </c>
      <c r="D1301" t="s">
        <v>29</v>
      </c>
      <c r="E1301">
        <v>958</v>
      </c>
    </row>
    <row r="1302" spans="1:5" x14ac:dyDescent="0.55000000000000004">
      <c r="A1302" t="s">
        <v>1383</v>
      </c>
      <c r="B1302" t="s">
        <v>142</v>
      </c>
      <c r="C1302" s="2">
        <v>44286</v>
      </c>
      <c r="D1302" t="s">
        <v>26</v>
      </c>
      <c r="E1302">
        <v>2121</v>
      </c>
    </row>
    <row r="1303" spans="1:5" x14ac:dyDescent="0.55000000000000004">
      <c r="A1303" t="s">
        <v>1384</v>
      </c>
      <c r="B1303" t="s">
        <v>137</v>
      </c>
      <c r="C1303" s="2">
        <v>44945</v>
      </c>
      <c r="D1303" t="s">
        <v>29</v>
      </c>
      <c r="E1303">
        <v>1923</v>
      </c>
    </row>
    <row r="1304" spans="1:5" x14ac:dyDescent="0.55000000000000004">
      <c r="A1304" t="s">
        <v>1385</v>
      </c>
      <c r="B1304" t="s">
        <v>15</v>
      </c>
      <c r="C1304" s="2">
        <v>43012</v>
      </c>
      <c r="D1304" t="s">
        <v>26</v>
      </c>
      <c r="E1304">
        <v>2656</v>
      </c>
    </row>
    <row r="1305" spans="1:5" x14ac:dyDescent="0.55000000000000004">
      <c r="A1305" t="s">
        <v>1386</v>
      </c>
      <c r="B1305" t="s">
        <v>111</v>
      </c>
      <c r="C1305" s="2">
        <v>43128</v>
      </c>
      <c r="D1305" t="s">
        <v>29</v>
      </c>
      <c r="E1305">
        <v>1078</v>
      </c>
    </row>
    <row r="1306" spans="1:5" x14ac:dyDescent="0.55000000000000004">
      <c r="A1306" t="s">
        <v>1387</v>
      </c>
      <c r="B1306" t="s">
        <v>23</v>
      </c>
      <c r="C1306" s="2">
        <v>44187</v>
      </c>
      <c r="D1306" t="s">
        <v>29</v>
      </c>
      <c r="E1306">
        <v>2677</v>
      </c>
    </row>
    <row r="1307" spans="1:5" x14ac:dyDescent="0.55000000000000004">
      <c r="A1307" t="s">
        <v>1388</v>
      </c>
      <c r="B1307" t="s">
        <v>101</v>
      </c>
      <c r="C1307" s="2">
        <v>43665</v>
      </c>
      <c r="D1307" t="s">
        <v>26</v>
      </c>
      <c r="E1307">
        <v>2116</v>
      </c>
    </row>
    <row r="1308" spans="1:5" x14ac:dyDescent="0.55000000000000004">
      <c r="A1308" t="s">
        <v>1389</v>
      </c>
      <c r="B1308" t="s">
        <v>84</v>
      </c>
      <c r="C1308" s="2">
        <v>43687</v>
      </c>
      <c r="D1308" t="s">
        <v>26</v>
      </c>
      <c r="E1308">
        <v>2115</v>
      </c>
    </row>
    <row r="1309" spans="1:5" x14ac:dyDescent="0.55000000000000004">
      <c r="A1309" t="s">
        <v>1390</v>
      </c>
      <c r="B1309" t="s">
        <v>101</v>
      </c>
      <c r="C1309" s="2">
        <v>43639</v>
      </c>
      <c r="D1309" t="s">
        <v>29</v>
      </c>
      <c r="E1309">
        <v>1994</v>
      </c>
    </row>
    <row r="1310" spans="1:5" x14ac:dyDescent="0.55000000000000004">
      <c r="A1310" t="s">
        <v>1391</v>
      </c>
      <c r="B1310" t="s">
        <v>137</v>
      </c>
      <c r="C1310" s="2">
        <v>45440</v>
      </c>
      <c r="D1310" t="s">
        <v>26</v>
      </c>
      <c r="E1310">
        <v>2055</v>
      </c>
    </row>
    <row r="1311" spans="1:5" x14ac:dyDescent="0.55000000000000004">
      <c r="A1311" t="s">
        <v>1392</v>
      </c>
      <c r="B1311" t="s">
        <v>94</v>
      </c>
      <c r="C1311" s="2">
        <v>44035</v>
      </c>
      <c r="D1311" t="s">
        <v>29</v>
      </c>
      <c r="E1311">
        <v>678</v>
      </c>
    </row>
    <row r="1312" spans="1:5" x14ac:dyDescent="0.55000000000000004">
      <c r="A1312" t="s">
        <v>1393</v>
      </c>
      <c r="B1312" t="s">
        <v>63</v>
      </c>
      <c r="C1312" s="2">
        <v>43074</v>
      </c>
      <c r="D1312" t="s">
        <v>29</v>
      </c>
      <c r="E1312">
        <v>866</v>
      </c>
    </row>
    <row r="1313" spans="1:5" x14ac:dyDescent="0.55000000000000004">
      <c r="A1313" t="s">
        <v>1394</v>
      </c>
      <c r="B1313" t="s">
        <v>72</v>
      </c>
      <c r="C1313" s="2">
        <v>43299</v>
      </c>
      <c r="D1313" t="s">
        <v>26</v>
      </c>
      <c r="E1313">
        <v>1483</v>
      </c>
    </row>
    <row r="1314" spans="1:5" x14ac:dyDescent="0.55000000000000004">
      <c r="A1314" t="s">
        <v>1395</v>
      </c>
      <c r="B1314" t="s">
        <v>32</v>
      </c>
      <c r="C1314" s="2">
        <v>44073</v>
      </c>
      <c r="D1314" t="s">
        <v>26</v>
      </c>
      <c r="E1314">
        <v>1698</v>
      </c>
    </row>
    <row r="1315" spans="1:5" x14ac:dyDescent="0.55000000000000004">
      <c r="A1315" t="s">
        <v>1396</v>
      </c>
      <c r="B1315" t="s">
        <v>137</v>
      </c>
      <c r="C1315" s="2">
        <v>44818</v>
      </c>
      <c r="D1315" t="s">
        <v>26</v>
      </c>
      <c r="E1315">
        <v>1972</v>
      </c>
    </row>
    <row r="1316" spans="1:5" x14ac:dyDescent="0.55000000000000004">
      <c r="A1316" t="s">
        <v>1397</v>
      </c>
      <c r="B1316" t="s">
        <v>38</v>
      </c>
      <c r="C1316" s="2">
        <v>44811</v>
      </c>
      <c r="D1316" t="s">
        <v>29</v>
      </c>
      <c r="E1316">
        <v>863</v>
      </c>
    </row>
    <row r="1317" spans="1:5" x14ac:dyDescent="0.55000000000000004">
      <c r="A1317" t="s">
        <v>1398</v>
      </c>
      <c r="B1317" t="s">
        <v>23</v>
      </c>
      <c r="C1317" s="2">
        <v>44161</v>
      </c>
      <c r="D1317" t="s">
        <v>29</v>
      </c>
      <c r="E1317">
        <v>91</v>
      </c>
    </row>
    <row r="1318" spans="1:5" x14ac:dyDescent="0.55000000000000004">
      <c r="A1318" t="s">
        <v>1399</v>
      </c>
      <c r="B1318" t="s">
        <v>63</v>
      </c>
      <c r="C1318" s="2">
        <v>43005</v>
      </c>
      <c r="D1318" t="s">
        <v>26</v>
      </c>
      <c r="E1318">
        <v>2349</v>
      </c>
    </row>
    <row r="1319" spans="1:5" x14ac:dyDescent="0.55000000000000004">
      <c r="A1319" t="s">
        <v>1400</v>
      </c>
      <c r="B1319" t="s">
        <v>23</v>
      </c>
      <c r="C1319" s="2">
        <v>44160</v>
      </c>
      <c r="D1319" t="s">
        <v>26</v>
      </c>
      <c r="E1319">
        <v>2578</v>
      </c>
    </row>
    <row r="1320" spans="1:5" x14ac:dyDescent="0.55000000000000004">
      <c r="A1320" t="s">
        <v>1401</v>
      </c>
      <c r="B1320" t="s">
        <v>67</v>
      </c>
      <c r="C1320" s="2">
        <v>43626</v>
      </c>
      <c r="D1320" t="s">
        <v>26</v>
      </c>
      <c r="E1320">
        <v>229</v>
      </c>
    </row>
    <row r="1321" spans="1:5" x14ac:dyDescent="0.55000000000000004">
      <c r="A1321" t="s">
        <v>1402</v>
      </c>
      <c r="B1321" t="s">
        <v>105</v>
      </c>
      <c r="C1321" s="2">
        <v>43445</v>
      </c>
      <c r="D1321" t="s">
        <v>26</v>
      </c>
      <c r="E1321">
        <v>2116</v>
      </c>
    </row>
    <row r="1322" spans="1:5" x14ac:dyDescent="0.55000000000000004">
      <c r="A1322" t="s">
        <v>1403</v>
      </c>
      <c r="B1322" t="s">
        <v>101</v>
      </c>
      <c r="C1322" s="2">
        <v>44144</v>
      </c>
      <c r="D1322" t="s">
        <v>26</v>
      </c>
      <c r="E1322">
        <v>2947</v>
      </c>
    </row>
    <row r="1323" spans="1:5" x14ac:dyDescent="0.55000000000000004">
      <c r="A1323" t="s">
        <v>1404</v>
      </c>
      <c r="B1323" t="s">
        <v>78</v>
      </c>
      <c r="C1323" s="2">
        <v>44627</v>
      </c>
      <c r="D1323" t="s">
        <v>26</v>
      </c>
      <c r="E1323">
        <v>887</v>
      </c>
    </row>
    <row r="1324" spans="1:5" x14ac:dyDescent="0.55000000000000004">
      <c r="A1324" t="s">
        <v>1405</v>
      </c>
      <c r="B1324" t="s">
        <v>15</v>
      </c>
      <c r="C1324" s="2">
        <v>44159</v>
      </c>
      <c r="D1324" t="s">
        <v>29</v>
      </c>
      <c r="E1324">
        <v>1972</v>
      </c>
    </row>
    <row r="1325" spans="1:5" x14ac:dyDescent="0.55000000000000004">
      <c r="A1325" t="s">
        <v>1406</v>
      </c>
      <c r="B1325" t="s">
        <v>105</v>
      </c>
      <c r="C1325" s="2">
        <v>43366</v>
      </c>
      <c r="D1325" t="s">
        <v>29</v>
      </c>
      <c r="E1325">
        <v>2461</v>
      </c>
    </row>
    <row r="1326" spans="1:5" x14ac:dyDescent="0.55000000000000004">
      <c r="A1326" t="s">
        <v>1407</v>
      </c>
      <c r="B1326" t="s">
        <v>72</v>
      </c>
      <c r="C1326" s="2">
        <v>44544</v>
      </c>
      <c r="D1326" t="s">
        <v>26</v>
      </c>
      <c r="E1326">
        <v>2552</v>
      </c>
    </row>
    <row r="1327" spans="1:5" x14ac:dyDescent="0.55000000000000004">
      <c r="A1327" t="s">
        <v>1408</v>
      </c>
      <c r="B1327" t="s">
        <v>38</v>
      </c>
      <c r="C1327" s="2">
        <v>44877</v>
      </c>
      <c r="D1327" t="s">
        <v>29</v>
      </c>
      <c r="E1327">
        <v>686</v>
      </c>
    </row>
    <row r="1328" spans="1:5" x14ac:dyDescent="0.55000000000000004">
      <c r="A1328" t="s">
        <v>1409</v>
      </c>
      <c r="B1328" t="s">
        <v>78</v>
      </c>
      <c r="C1328" s="2">
        <v>44869</v>
      </c>
      <c r="D1328" t="s">
        <v>29</v>
      </c>
      <c r="E1328">
        <v>2443</v>
      </c>
    </row>
    <row r="1329" spans="1:5" x14ac:dyDescent="0.55000000000000004">
      <c r="A1329" t="s">
        <v>1410</v>
      </c>
      <c r="B1329" t="s">
        <v>23</v>
      </c>
      <c r="C1329" s="2">
        <v>43971</v>
      </c>
      <c r="D1329" t="s">
        <v>26</v>
      </c>
      <c r="E1329">
        <v>1549</v>
      </c>
    </row>
    <row r="1330" spans="1:5" x14ac:dyDescent="0.55000000000000004">
      <c r="A1330" t="s">
        <v>1411</v>
      </c>
      <c r="B1330" t="s">
        <v>101</v>
      </c>
      <c r="C1330" s="2">
        <v>43187</v>
      </c>
      <c r="D1330" t="s">
        <v>26</v>
      </c>
      <c r="E1330">
        <v>67</v>
      </c>
    </row>
    <row r="1331" spans="1:5" x14ac:dyDescent="0.55000000000000004">
      <c r="A1331" t="s">
        <v>1412</v>
      </c>
      <c r="B1331" t="s">
        <v>151</v>
      </c>
      <c r="C1331" s="2">
        <v>43987</v>
      </c>
      <c r="D1331" t="s">
        <v>29</v>
      </c>
      <c r="E1331">
        <v>612</v>
      </c>
    </row>
    <row r="1332" spans="1:5" x14ac:dyDescent="0.55000000000000004">
      <c r="A1332" t="s">
        <v>1413</v>
      </c>
      <c r="B1332" t="s">
        <v>32</v>
      </c>
      <c r="C1332" s="2">
        <v>44028</v>
      </c>
      <c r="D1332" t="s">
        <v>26</v>
      </c>
      <c r="E1332">
        <v>1949</v>
      </c>
    </row>
    <row r="1333" spans="1:5" x14ac:dyDescent="0.55000000000000004">
      <c r="A1333" t="s">
        <v>1414</v>
      </c>
      <c r="B1333" t="s">
        <v>94</v>
      </c>
      <c r="C1333" s="2">
        <v>43625</v>
      </c>
      <c r="D1333" t="s">
        <v>26</v>
      </c>
      <c r="E1333">
        <v>381</v>
      </c>
    </row>
    <row r="1334" spans="1:5" x14ac:dyDescent="0.55000000000000004">
      <c r="A1334" t="s">
        <v>1415</v>
      </c>
      <c r="B1334" t="s">
        <v>96</v>
      </c>
      <c r="C1334" s="2">
        <v>43999</v>
      </c>
      <c r="D1334" t="s">
        <v>26</v>
      </c>
      <c r="E1334">
        <v>2779</v>
      </c>
    </row>
    <row r="1335" spans="1:5" x14ac:dyDescent="0.55000000000000004">
      <c r="A1335" t="s">
        <v>1416</v>
      </c>
      <c r="B1335" t="s">
        <v>35</v>
      </c>
      <c r="C1335" s="2">
        <v>44714</v>
      </c>
      <c r="D1335" t="s">
        <v>29</v>
      </c>
      <c r="E1335">
        <v>1517</v>
      </c>
    </row>
    <row r="1336" spans="1:5" x14ac:dyDescent="0.55000000000000004">
      <c r="A1336" t="s">
        <v>1417</v>
      </c>
      <c r="B1336" t="s">
        <v>76</v>
      </c>
      <c r="C1336" s="2">
        <v>43643</v>
      </c>
      <c r="D1336" t="s">
        <v>29</v>
      </c>
      <c r="E1336">
        <v>939</v>
      </c>
    </row>
    <row r="1337" spans="1:5" x14ac:dyDescent="0.55000000000000004">
      <c r="A1337" t="s">
        <v>1418</v>
      </c>
      <c r="B1337" t="s">
        <v>137</v>
      </c>
      <c r="C1337" s="2">
        <v>45440</v>
      </c>
      <c r="D1337" t="s">
        <v>29</v>
      </c>
      <c r="E1337">
        <v>1435</v>
      </c>
    </row>
    <row r="1338" spans="1:5" x14ac:dyDescent="0.55000000000000004">
      <c r="A1338" t="s">
        <v>1419</v>
      </c>
      <c r="B1338" t="s">
        <v>23</v>
      </c>
      <c r="C1338" s="2">
        <v>44031</v>
      </c>
      <c r="D1338" t="s">
        <v>29</v>
      </c>
      <c r="E1338">
        <v>548</v>
      </c>
    </row>
    <row r="1339" spans="1:5" x14ac:dyDescent="0.55000000000000004">
      <c r="A1339" t="s">
        <v>1420</v>
      </c>
      <c r="B1339" t="s">
        <v>84</v>
      </c>
      <c r="C1339" s="2">
        <v>43894</v>
      </c>
      <c r="D1339" t="s">
        <v>26</v>
      </c>
      <c r="E1339">
        <v>343</v>
      </c>
    </row>
    <row r="1340" spans="1:5" x14ac:dyDescent="0.55000000000000004">
      <c r="A1340" t="s">
        <v>1421</v>
      </c>
      <c r="B1340" t="s">
        <v>156</v>
      </c>
      <c r="C1340" s="2">
        <v>44142</v>
      </c>
      <c r="D1340" t="s">
        <v>29</v>
      </c>
      <c r="E1340">
        <v>1055</v>
      </c>
    </row>
    <row r="1341" spans="1:5" x14ac:dyDescent="0.55000000000000004">
      <c r="A1341" t="s">
        <v>1422</v>
      </c>
      <c r="B1341" t="s">
        <v>151</v>
      </c>
      <c r="C1341" s="2">
        <v>42928</v>
      </c>
      <c r="D1341" t="s">
        <v>26</v>
      </c>
      <c r="E1341">
        <v>2367</v>
      </c>
    </row>
    <row r="1342" spans="1:5" x14ac:dyDescent="0.55000000000000004">
      <c r="A1342" t="s">
        <v>1423</v>
      </c>
      <c r="B1342" t="s">
        <v>67</v>
      </c>
      <c r="C1342" s="2">
        <v>43948</v>
      </c>
      <c r="D1342" t="s">
        <v>26</v>
      </c>
      <c r="E1342">
        <v>1536</v>
      </c>
    </row>
    <row r="1343" spans="1:5" x14ac:dyDescent="0.55000000000000004">
      <c r="A1343" t="s">
        <v>1424</v>
      </c>
      <c r="B1343" t="s">
        <v>35</v>
      </c>
      <c r="C1343" s="2">
        <v>44251</v>
      </c>
      <c r="D1343" t="s">
        <v>29</v>
      </c>
      <c r="E1343">
        <v>1674</v>
      </c>
    </row>
    <row r="1344" spans="1:5" x14ac:dyDescent="0.55000000000000004">
      <c r="A1344" t="s">
        <v>1425</v>
      </c>
      <c r="B1344" t="s">
        <v>86</v>
      </c>
      <c r="C1344" s="2">
        <v>43135</v>
      </c>
      <c r="D1344" t="s">
        <v>26</v>
      </c>
      <c r="E1344">
        <v>1745</v>
      </c>
    </row>
    <row r="1345" spans="1:5" x14ac:dyDescent="0.55000000000000004">
      <c r="A1345" t="s">
        <v>1426</v>
      </c>
      <c r="B1345" t="s">
        <v>35</v>
      </c>
      <c r="C1345" s="2">
        <v>44350</v>
      </c>
      <c r="D1345" t="s">
        <v>29</v>
      </c>
      <c r="E1345">
        <v>2195</v>
      </c>
    </row>
    <row r="1346" spans="1:5" x14ac:dyDescent="0.55000000000000004">
      <c r="A1346" t="s">
        <v>1427</v>
      </c>
      <c r="B1346" t="s">
        <v>140</v>
      </c>
      <c r="C1346" s="2">
        <v>44073</v>
      </c>
      <c r="D1346" t="s">
        <v>29</v>
      </c>
      <c r="E1346">
        <v>2506</v>
      </c>
    </row>
    <row r="1347" spans="1:5" x14ac:dyDescent="0.55000000000000004">
      <c r="A1347" t="s">
        <v>1428</v>
      </c>
      <c r="B1347" t="s">
        <v>84</v>
      </c>
      <c r="C1347" s="2">
        <v>44310</v>
      </c>
      <c r="D1347" t="s">
        <v>29</v>
      </c>
      <c r="E1347">
        <v>834</v>
      </c>
    </row>
    <row r="1348" spans="1:5" x14ac:dyDescent="0.55000000000000004">
      <c r="A1348" t="s">
        <v>1429</v>
      </c>
      <c r="B1348" t="s">
        <v>140</v>
      </c>
      <c r="C1348" s="2">
        <v>44047</v>
      </c>
      <c r="D1348" t="s">
        <v>29</v>
      </c>
      <c r="E1348">
        <v>732</v>
      </c>
    </row>
    <row r="1349" spans="1:5" x14ac:dyDescent="0.55000000000000004">
      <c r="A1349" t="s">
        <v>1430</v>
      </c>
      <c r="B1349" t="s">
        <v>86</v>
      </c>
      <c r="C1349" s="2">
        <v>44062</v>
      </c>
      <c r="D1349" t="s">
        <v>29</v>
      </c>
      <c r="E1349">
        <v>1039</v>
      </c>
    </row>
    <row r="1350" spans="1:5" x14ac:dyDescent="0.55000000000000004">
      <c r="A1350" t="s">
        <v>1431</v>
      </c>
      <c r="B1350" t="s">
        <v>156</v>
      </c>
      <c r="C1350" s="2">
        <v>44100</v>
      </c>
      <c r="D1350" t="s">
        <v>29</v>
      </c>
      <c r="E1350">
        <v>2889</v>
      </c>
    </row>
    <row r="1351" spans="1:5" x14ac:dyDescent="0.55000000000000004">
      <c r="A1351" t="s">
        <v>1432</v>
      </c>
      <c r="B1351" t="s">
        <v>101</v>
      </c>
      <c r="C1351" s="2">
        <v>44423</v>
      </c>
      <c r="D1351" t="s">
        <v>26</v>
      </c>
      <c r="E1351">
        <v>2700</v>
      </c>
    </row>
    <row r="1352" spans="1:5" x14ac:dyDescent="0.55000000000000004">
      <c r="A1352" t="s">
        <v>1433</v>
      </c>
      <c r="B1352" t="s">
        <v>115</v>
      </c>
      <c r="C1352" s="2">
        <v>44448</v>
      </c>
      <c r="D1352" t="s">
        <v>26</v>
      </c>
      <c r="E1352">
        <v>1829</v>
      </c>
    </row>
    <row r="1353" spans="1:5" x14ac:dyDescent="0.55000000000000004">
      <c r="A1353" t="s">
        <v>1434</v>
      </c>
      <c r="B1353" t="s">
        <v>137</v>
      </c>
      <c r="C1353" s="2">
        <v>44128</v>
      </c>
      <c r="D1353" t="s">
        <v>26</v>
      </c>
      <c r="E1353">
        <v>878</v>
      </c>
    </row>
    <row r="1354" spans="1:5" x14ac:dyDescent="0.55000000000000004">
      <c r="A1354" t="s">
        <v>1435</v>
      </c>
      <c r="B1354" t="s">
        <v>67</v>
      </c>
      <c r="C1354" s="2">
        <v>45106</v>
      </c>
      <c r="D1354" t="s">
        <v>29</v>
      </c>
      <c r="E1354">
        <v>2255</v>
      </c>
    </row>
    <row r="1355" spans="1:5" x14ac:dyDescent="0.55000000000000004">
      <c r="A1355" t="s">
        <v>1436</v>
      </c>
      <c r="B1355" t="s">
        <v>32</v>
      </c>
      <c r="C1355" s="2">
        <v>43937</v>
      </c>
      <c r="D1355" t="s">
        <v>26</v>
      </c>
      <c r="E1355">
        <v>1593</v>
      </c>
    </row>
    <row r="1356" spans="1:5" x14ac:dyDescent="0.55000000000000004">
      <c r="A1356" t="s">
        <v>1437</v>
      </c>
      <c r="B1356" t="s">
        <v>35</v>
      </c>
      <c r="C1356" s="2">
        <v>43841</v>
      </c>
      <c r="D1356" t="s">
        <v>26</v>
      </c>
      <c r="E1356">
        <v>595</v>
      </c>
    </row>
    <row r="1357" spans="1:5" x14ac:dyDescent="0.55000000000000004">
      <c r="A1357" t="s">
        <v>1438</v>
      </c>
      <c r="B1357" t="s">
        <v>96</v>
      </c>
      <c r="C1357" s="2">
        <v>45249</v>
      </c>
      <c r="D1357" t="s">
        <v>26</v>
      </c>
      <c r="E1357">
        <v>262</v>
      </c>
    </row>
    <row r="1358" spans="1:5" x14ac:dyDescent="0.55000000000000004">
      <c r="A1358" t="s">
        <v>1439</v>
      </c>
      <c r="B1358" t="s">
        <v>84</v>
      </c>
      <c r="C1358" s="2">
        <v>43371</v>
      </c>
      <c r="D1358" t="s">
        <v>29</v>
      </c>
      <c r="E1358">
        <v>327</v>
      </c>
    </row>
    <row r="1359" spans="1:5" x14ac:dyDescent="0.55000000000000004">
      <c r="A1359" t="s">
        <v>1440</v>
      </c>
      <c r="B1359" t="s">
        <v>32</v>
      </c>
      <c r="C1359" s="2">
        <v>43908</v>
      </c>
      <c r="D1359" t="s">
        <v>29</v>
      </c>
      <c r="E1359">
        <v>1641</v>
      </c>
    </row>
    <row r="1360" spans="1:5" x14ac:dyDescent="0.55000000000000004">
      <c r="A1360" t="s">
        <v>1441</v>
      </c>
      <c r="B1360" t="s">
        <v>32</v>
      </c>
      <c r="C1360" s="2">
        <v>44898</v>
      </c>
      <c r="D1360" t="s">
        <v>29</v>
      </c>
      <c r="E1360">
        <v>2914</v>
      </c>
    </row>
    <row r="1361" spans="1:5" x14ac:dyDescent="0.55000000000000004">
      <c r="A1361" t="s">
        <v>1442</v>
      </c>
      <c r="B1361" t="s">
        <v>32</v>
      </c>
      <c r="C1361" s="2">
        <v>43948</v>
      </c>
      <c r="D1361" t="s">
        <v>26</v>
      </c>
      <c r="E1361">
        <v>2622</v>
      </c>
    </row>
    <row r="1362" spans="1:5" x14ac:dyDescent="0.55000000000000004">
      <c r="A1362" t="s">
        <v>1443</v>
      </c>
      <c r="B1362" t="s">
        <v>96</v>
      </c>
      <c r="C1362" s="2">
        <v>45264</v>
      </c>
      <c r="D1362" t="s">
        <v>26</v>
      </c>
      <c r="E1362">
        <v>826</v>
      </c>
    </row>
    <row r="1363" spans="1:5" x14ac:dyDescent="0.55000000000000004">
      <c r="A1363" t="s">
        <v>1444</v>
      </c>
      <c r="B1363" t="s">
        <v>76</v>
      </c>
      <c r="C1363" s="2">
        <v>45588</v>
      </c>
      <c r="D1363" t="s">
        <v>29</v>
      </c>
      <c r="E1363">
        <v>797</v>
      </c>
    </row>
    <row r="1364" spans="1:5" x14ac:dyDescent="0.55000000000000004">
      <c r="A1364" t="s">
        <v>1445</v>
      </c>
      <c r="B1364" t="s">
        <v>142</v>
      </c>
      <c r="C1364" s="2">
        <v>44522</v>
      </c>
      <c r="D1364" t="s">
        <v>26</v>
      </c>
      <c r="E1364">
        <v>2519</v>
      </c>
    </row>
    <row r="1365" spans="1:5" x14ac:dyDescent="0.55000000000000004">
      <c r="A1365" t="s">
        <v>1446</v>
      </c>
      <c r="B1365" t="s">
        <v>105</v>
      </c>
      <c r="C1365" s="2">
        <v>44297</v>
      </c>
      <c r="D1365" t="s">
        <v>26</v>
      </c>
      <c r="E1365">
        <v>1473</v>
      </c>
    </row>
    <row r="1366" spans="1:5" x14ac:dyDescent="0.55000000000000004">
      <c r="A1366" t="s">
        <v>1447</v>
      </c>
      <c r="B1366" t="s">
        <v>63</v>
      </c>
      <c r="C1366" s="2">
        <v>44258</v>
      </c>
      <c r="D1366" t="s">
        <v>26</v>
      </c>
      <c r="E1366">
        <v>644</v>
      </c>
    </row>
    <row r="1367" spans="1:5" x14ac:dyDescent="0.55000000000000004">
      <c r="A1367" t="s">
        <v>1448</v>
      </c>
      <c r="B1367" t="s">
        <v>74</v>
      </c>
      <c r="C1367" s="2">
        <v>43482</v>
      </c>
      <c r="D1367" t="s">
        <v>29</v>
      </c>
      <c r="E1367">
        <v>1446</v>
      </c>
    </row>
    <row r="1368" spans="1:5" x14ac:dyDescent="0.55000000000000004">
      <c r="A1368" t="s">
        <v>1449</v>
      </c>
      <c r="B1368" t="s">
        <v>38</v>
      </c>
      <c r="C1368" s="2">
        <v>44640</v>
      </c>
      <c r="D1368" t="s">
        <v>29</v>
      </c>
      <c r="E1368">
        <v>2400</v>
      </c>
    </row>
    <row r="1369" spans="1:5" x14ac:dyDescent="0.55000000000000004">
      <c r="A1369" t="s">
        <v>1450</v>
      </c>
      <c r="B1369" t="s">
        <v>151</v>
      </c>
      <c r="C1369" s="2">
        <v>43977</v>
      </c>
      <c r="D1369" t="s">
        <v>26</v>
      </c>
      <c r="E1369">
        <v>2882</v>
      </c>
    </row>
    <row r="1370" spans="1:5" x14ac:dyDescent="0.55000000000000004">
      <c r="A1370" t="s">
        <v>1451</v>
      </c>
      <c r="B1370" t="s">
        <v>74</v>
      </c>
      <c r="C1370" s="2">
        <v>43101</v>
      </c>
      <c r="D1370" t="s">
        <v>29</v>
      </c>
      <c r="E1370">
        <v>2974</v>
      </c>
    </row>
    <row r="1371" spans="1:5" x14ac:dyDescent="0.55000000000000004">
      <c r="A1371" t="s">
        <v>1452</v>
      </c>
      <c r="B1371" t="s">
        <v>175</v>
      </c>
      <c r="C1371" s="2">
        <v>45756</v>
      </c>
      <c r="D1371" t="s">
        <v>29</v>
      </c>
      <c r="E1371">
        <v>1423</v>
      </c>
    </row>
    <row r="1372" spans="1:5" x14ac:dyDescent="0.55000000000000004">
      <c r="A1372" t="s">
        <v>1453</v>
      </c>
      <c r="B1372" t="s">
        <v>175</v>
      </c>
      <c r="C1372" s="2">
        <v>44598</v>
      </c>
      <c r="D1372" t="s">
        <v>26</v>
      </c>
      <c r="E1372">
        <v>2483</v>
      </c>
    </row>
    <row r="1373" spans="1:5" x14ac:dyDescent="0.55000000000000004">
      <c r="A1373" t="s">
        <v>1454</v>
      </c>
      <c r="B1373" t="s">
        <v>151</v>
      </c>
      <c r="C1373" s="2">
        <v>43848</v>
      </c>
      <c r="D1373" t="s">
        <v>29</v>
      </c>
      <c r="E1373">
        <v>2354</v>
      </c>
    </row>
    <row r="1374" spans="1:5" x14ac:dyDescent="0.55000000000000004">
      <c r="A1374" t="s">
        <v>1455</v>
      </c>
      <c r="B1374" t="s">
        <v>14</v>
      </c>
      <c r="C1374" s="2">
        <v>43451</v>
      </c>
      <c r="D1374" t="s">
        <v>26</v>
      </c>
      <c r="E1374">
        <v>1667</v>
      </c>
    </row>
    <row r="1375" spans="1:5" x14ac:dyDescent="0.55000000000000004">
      <c r="A1375" t="s">
        <v>1456</v>
      </c>
      <c r="B1375" t="s">
        <v>67</v>
      </c>
      <c r="C1375" s="2">
        <v>43902</v>
      </c>
      <c r="D1375" t="s">
        <v>26</v>
      </c>
      <c r="E1375">
        <v>2060</v>
      </c>
    </row>
    <row r="1376" spans="1:5" x14ac:dyDescent="0.55000000000000004">
      <c r="A1376" t="s">
        <v>1457</v>
      </c>
      <c r="B1376" t="s">
        <v>156</v>
      </c>
      <c r="C1376" s="2">
        <v>43613</v>
      </c>
      <c r="D1376" t="s">
        <v>26</v>
      </c>
      <c r="E1376">
        <v>2102</v>
      </c>
    </row>
    <row r="1377" spans="1:5" x14ac:dyDescent="0.55000000000000004">
      <c r="A1377" t="s">
        <v>1458</v>
      </c>
      <c r="B1377" t="s">
        <v>84</v>
      </c>
      <c r="C1377" s="2">
        <v>44018</v>
      </c>
      <c r="D1377" t="s">
        <v>29</v>
      </c>
      <c r="E1377">
        <v>2843</v>
      </c>
    </row>
    <row r="1378" spans="1:5" x14ac:dyDescent="0.55000000000000004">
      <c r="A1378" t="s">
        <v>1459</v>
      </c>
      <c r="B1378" t="s">
        <v>15</v>
      </c>
      <c r="C1378" s="2">
        <v>43689</v>
      </c>
      <c r="D1378" t="s">
        <v>29</v>
      </c>
      <c r="E1378">
        <v>996</v>
      </c>
    </row>
    <row r="1379" spans="1:5" x14ac:dyDescent="0.55000000000000004">
      <c r="A1379" t="s">
        <v>1460</v>
      </c>
      <c r="B1379" t="s">
        <v>118</v>
      </c>
      <c r="C1379" s="2">
        <v>44857</v>
      </c>
      <c r="D1379" t="s">
        <v>29</v>
      </c>
      <c r="E1379">
        <v>2791</v>
      </c>
    </row>
    <row r="1380" spans="1:5" x14ac:dyDescent="0.55000000000000004">
      <c r="A1380" t="s">
        <v>1461</v>
      </c>
      <c r="B1380" t="s">
        <v>15</v>
      </c>
      <c r="C1380" s="2">
        <v>44118</v>
      </c>
      <c r="D1380" t="s">
        <v>26</v>
      </c>
      <c r="E1380">
        <v>1974</v>
      </c>
    </row>
    <row r="1381" spans="1:5" x14ac:dyDescent="0.55000000000000004">
      <c r="A1381" t="s">
        <v>1462</v>
      </c>
      <c r="B1381" t="s">
        <v>115</v>
      </c>
      <c r="C1381" s="2">
        <v>43445</v>
      </c>
      <c r="D1381" t="s">
        <v>26</v>
      </c>
      <c r="E1381">
        <v>1567</v>
      </c>
    </row>
    <row r="1382" spans="1:5" x14ac:dyDescent="0.55000000000000004">
      <c r="A1382" t="s">
        <v>1463</v>
      </c>
      <c r="B1382" t="s">
        <v>35</v>
      </c>
      <c r="C1382" s="2">
        <v>44282</v>
      </c>
      <c r="D1382" t="s">
        <v>26</v>
      </c>
      <c r="E1382">
        <v>1293</v>
      </c>
    </row>
    <row r="1383" spans="1:5" x14ac:dyDescent="0.55000000000000004">
      <c r="A1383" t="s">
        <v>1464</v>
      </c>
      <c r="B1383" t="s">
        <v>140</v>
      </c>
      <c r="C1383" s="2">
        <v>43640</v>
      </c>
      <c r="D1383" t="s">
        <v>26</v>
      </c>
      <c r="E1383">
        <v>2870</v>
      </c>
    </row>
    <row r="1384" spans="1:5" x14ac:dyDescent="0.55000000000000004">
      <c r="A1384" t="s">
        <v>1465</v>
      </c>
      <c r="B1384" t="s">
        <v>175</v>
      </c>
      <c r="C1384" s="2">
        <v>44544</v>
      </c>
      <c r="D1384" t="s">
        <v>26</v>
      </c>
      <c r="E1384">
        <v>1176</v>
      </c>
    </row>
    <row r="1385" spans="1:5" x14ac:dyDescent="0.55000000000000004">
      <c r="A1385" t="s">
        <v>1466</v>
      </c>
      <c r="B1385" t="s">
        <v>74</v>
      </c>
      <c r="C1385" s="2">
        <v>43734</v>
      </c>
      <c r="D1385" t="s">
        <v>29</v>
      </c>
      <c r="E1385">
        <v>311</v>
      </c>
    </row>
    <row r="1386" spans="1:5" x14ac:dyDescent="0.55000000000000004">
      <c r="A1386" t="s">
        <v>1467</v>
      </c>
      <c r="B1386" t="s">
        <v>99</v>
      </c>
      <c r="C1386" s="2">
        <v>44197</v>
      </c>
      <c r="D1386" t="s">
        <v>29</v>
      </c>
      <c r="E1386">
        <v>1285</v>
      </c>
    </row>
    <row r="1387" spans="1:5" x14ac:dyDescent="0.55000000000000004">
      <c r="A1387" t="s">
        <v>1468</v>
      </c>
      <c r="B1387" t="s">
        <v>86</v>
      </c>
      <c r="C1387" s="2">
        <v>43364</v>
      </c>
      <c r="D1387" t="s">
        <v>29</v>
      </c>
      <c r="E1387">
        <v>748</v>
      </c>
    </row>
    <row r="1388" spans="1:5" x14ac:dyDescent="0.55000000000000004">
      <c r="A1388" t="s">
        <v>1469</v>
      </c>
      <c r="B1388" t="s">
        <v>78</v>
      </c>
      <c r="C1388" s="2">
        <v>44244</v>
      </c>
      <c r="D1388" t="s">
        <v>29</v>
      </c>
      <c r="E1388">
        <v>817</v>
      </c>
    </row>
    <row r="1389" spans="1:5" x14ac:dyDescent="0.55000000000000004">
      <c r="A1389" t="s">
        <v>1470</v>
      </c>
      <c r="B1389" t="s">
        <v>63</v>
      </c>
      <c r="C1389" s="2">
        <v>44423</v>
      </c>
      <c r="D1389" t="s">
        <v>26</v>
      </c>
      <c r="E1389">
        <v>1087</v>
      </c>
    </row>
    <row r="1390" spans="1:5" x14ac:dyDescent="0.55000000000000004">
      <c r="A1390" t="s">
        <v>1471</v>
      </c>
      <c r="B1390" t="s">
        <v>151</v>
      </c>
      <c r="C1390" s="2">
        <v>43386</v>
      </c>
      <c r="D1390" t="s">
        <v>26</v>
      </c>
      <c r="E1390">
        <v>1022</v>
      </c>
    </row>
    <row r="1391" spans="1:5" x14ac:dyDescent="0.55000000000000004">
      <c r="A1391" t="s">
        <v>1472</v>
      </c>
      <c r="B1391" t="s">
        <v>175</v>
      </c>
      <c r="C1391" s="2">
        <v>44924</v>
      </c>
      <c r="D1391" t="s">
        <v>26</v>
      </c>
      <c r="E1391">
        <v>436</v>
      </c>
    </row>
    <row r="1392" spans="1:5" x14ac:dyDescent="0.55000000000000004">
      <c r="A1392" t="s">
        <v>1473</v>
      </c>
      <c r="B1392" t="s">
        <v>115</v>
      </c>
      <c r="C1392" s="2">
        <v>43077</v>
      </c>
      <c r="D1392" t="s">
        <v>29</v>
      </c>
      <c r="E1392">
        <v>2514</v>
      </c>
    </row>
    <row r="1393" spans="1:5" x14ac:dyDescent="0.55000000000000004">
      <c r="A1393" t="s">
        <v>1474</v>
      </c>
      <c r="B1393" t="s">
        <v>14</v>
      </c>
      <c r="C1393" s="2">
        <v>44482</v>
      </c>
      <c r="D1393" t="s">
        <v>26</v>
      </c>
      <c r="E1393">
        <v>1975</v>
      </c>
    </row>
    <row r="1394" spans="1:5" x14ac:dyDescent="0.55000000000000004">
      <c r="A1394" t="s">
        <v>1475</v>
      </c>
      <c r="B1394" t="s">
        <v>86</v>
      </c>
      <c r="C1394" s="2">
        <v>44188</v>
      </c>
      <c r="D1394" t="s">
        <v>29</v>
      </c>
      <c r="E1394">
        <v>2016</v>
      </c>
    </row>
    <row r="1395" spans="1:5" x14ac:dyDescent="0.55000000000000004">
      <c r="A1395" t="s">
        <v>1476</v>
      </c>
      <c r="B1395" t="s">
        <v>94</v>
      </c>
      <c r="C1395" s="2">
        <v>45819</v>
      </c>
      <c r="D1395" t="s">
        <v>29</v>
      </c>
      <c r="E1395">
        <v>2010</v>
      </c>
    </row>
    <row r="1396" spans="1:5" x14ac:dyDescent="0.55000000000000004">
      <c r="A1396" t="s">
        <v>1477</v>
      </c>
      <c r="B1396" t="s">
        <v>105</v>
      </c>
      <c r="C1396" s="2">
        <v>44482</v>
      </c>
      <c r="D1396" t="s">
        <v>29</v>
      </c>
      <c r="E1396">
        <v>1629</v>
      </c>
    </row>
    <row r="1397" spans="1:5" x14ac:dyDescent="0.55000000000000004">
      <c r="A1397" t="s">
        <v>1478</v>
      </c>
      <c r="B1397" t="s">
        <v>63</v>
      </c>
      <c r="C1397" s="2">
        <v>44453</v>
      </c>
      <c r="D1397" t="s">
        <v>26</v>
      </c>
      <c r="E1397">
        <v>221</v>
      </c>
    </row>
    <row r="1398" spans="1:5" x14ac:dyDescent="0.55000000000000004">
      <c r="A1398" t="s">
        <v>1479</v>
      </c>
      <c r="B1398" t="s">
        <v>67</v>
      </c>
      <c r="C1398" s="2">
        <v>45199</v>
      </c>
      <c r="D1398" t="s">
        <v>29</v>
      </c>
      <c r="E1398">
        <v>2214</v>
      </c>
    </row>
    <row r="1399" spans="1:5" x14ac:dyDescent="0.55000000000000004">
      <c r="A1399" t="s">
        <v>1480</v>
      </c>
      <c r="B1399" t="s">
        <v>142</v>
      </c>
      <c r="C1399" s="2">
        <v>43946</v>
      </c>
      <c r="D1399" t="s">
        <v>29</v>
      </c>
      <c r="E1399">
        <v>1612</v>
      </c>
    </row>
    <row r="1400" spans="1:5" x14ac:dyDescent="0.55000000000000004">
      <c r="A1400" t="s">
        <v>1481</v>
      </c>
      <c r="B1400" t="s">
        <v>76</v>
      </c>
      <c r="C1400" s="2">
        <v>44181</v>
      </c>
      <c r="D1400" t="s">
        <v>29</v>
      </c>
      <c r="E1400">
        <v>493</v>
      </c>
    </row>
    <row r="1401" spans="1:5" x14ac:dyDescent="0.55000000000000004">
      <c r="A1401" t="s">
        <v>1482</v>
      </c>
      <c r="B1401" t="s">
        <v>41</v>
      </c>
      <c r="C1401" s="2">
        <v>44892</v>
      </c>
      <c r="D1401" t="s">
        <v>29</v>
      </c>
      <c r="E1401">
        <v>1292</v>
      </c>
    </row>
    <row r="1402" spans="1:5" x14ac:dyDescent="0.55000000000000004">
      <c r="A1402" t="s">
        <v>1483</v>
      </c>
      <c r="B1402" t="s">
        <v>41</v>
      </c>
      <c r="C1402" s="2">
        <v>43848</v>
      </c>
      <c r="D1402" t="s">
        <v>26</v>
      </c>
      <c r="E1402">
        <v>2761</v>
      </c>
    </row>
    <row r="1403" spans="1:5" x14ac:dyDescent="0.55000000000000004">
      <c r="A1403" t="s">
        <v>1484</v>
      </c>
      <c r="B1403" t="s">
        <v>151</v>
      </c>
      <c r="C1403" s="2">
        <v>43694</v>
      </c>
      <c r="D1403" t="s">
        <v>26</v>
      </c>
      <c r="E1403">
        <v>1332</v>
      </c>
    </row>
    <row r="1404" spans="1:5" x14ac:dyDescent="0.55000000000000004">
      <c r="A1404" t="s">
        <v>1485</v>
      </c>
      <c r="B1404" t="s">
        <v>86</v>
      </c>
      <c r="C1404" s="2">
        <v>44171</v>
      </c>
      <c r="D1404" t="s">
        <v>29</v>
      </c>
      <c r="E1404">
        <v>766</v>
      </c>
    </row>
    <row r="1405" spans="1:5" x14ac:dyDescent="0.55000000000000004">
      <c r="A1405" t="s">
        <v>1486</v>
      </c>
      <c r="B1405" t="s">
        <v>99</v>
      </c>
      <c r="C1405" s="2">
        <v>44542</v>
      </c>
      <c r="D1405" t="s">
        <v>26</v>
      </c>
      <c r="E1405">
        <v>1103</v>
      </c>
    </row>
    <row r="1406" spans="1:5" x14ac:dyDescent="0.55000000000000004">
      <c r="A1406" t="s">
        <v>1487</v>
      </c>
      <c r="B1406" t="s">
        <v>96</v>
      </c>
      <c r="C1406" s="2">
        <v>44871</v>
      </c>
      <c r="D1406" t="s">
        <v>29</v>
      </c>
      <c r="E1406">
        <v>753</v>
      </c>
    </row>
    <row r="1407" spans="1:5" x14ac:dyDescent="0.55000000000000004">
      <c r="A1407" t="s">
        <v>1488</v>
      </c>
      <c r="B1407" t="s">
        <v>96</v>
      </c>
      <c r="C1407" s="2">
        <v>45202</v>
      </c>
      <c r="D1407" t="s">
        <v>26</v>
      </c>
      <c r="E1407">
        <v>1716</v>
      </c>
    </row>
    <row r="1408" spans="1:5" x14ac:dyDescent="0.55000000000000004">
      <c r="A1408" t="s">
        <v>1489</v>
      </c>
      <c r="B1408" t="s">
        <v>41</v>
      </c>
      <c r="C1408" s="2">
        <v>44593</v>
      </c>
      <c r="D1408" t="s">
        <v>29</v>
      </c>
      <c r="E1408">
        <v>1640</v>
      </c>
    </row>
    <row r="1409" spans="1:5" x14ac:dyDescent="0.55000000000000004">
      <c r="A1409" t="s">
        <v>1490</v>
      </c>
      <c r="B1409" t="s">
        <v>84</v>
      </c>
      <c r="C1409" s="2">
        <v>43840</v>
      </c>
      <c r="D1409" t="s">
        <v>26</v>
      </c>
      <c r="E1409">
        <v>2340</v>
      </c>
    </row>
    <row r="1410" spans="1:5" x14ac:dyDescent="0.55000000000000004">
      <c r="A1410" t="s">
        <v>1491</v>
      </c>
      <c r="B1410" t="s">
        <v>72</v>
      </c>
      <c r="C1410" s="2">
        <v>44096</v>
      </c>
      <c r="D1410" t="s">
        <v>26</v>
      </c>
      <c r="E1410">
        <v>409</v>
      </c>
    </row>
    <row r="1411" spans="1:5" x14ac:dyDescent="0.55000000000000004">
      <c r="A1411" t="s">
        <v>1492</v>
      </c>
      <c r="B1411" t="s">
        <v>78</v>
      </c>
      <c r="C1411" s="2">
        <v>44571</v>
      </c>
      <c r="D1411" t="s">
        <v>26</v>
      </c>
      <c r="E1411">
        <v>2274</v>
      </c>
    </row>
    <row r="1412" spans="1:5" x14ac:dyDescent="0.55000000000000004">
      <c r="A1412" t="s">
        <v>1493</v>
      </c>
      <c r="B1412" t="s">
        <v>140</v>
      </c>
      <c r="C1412" s="2">
        <v>43697</v>
      </c>
      <c r="D1412" t="s">
        <v>26</v>
      </c>
      <c r="E1412">
        <v>597</v>
      </c>
    </row>
    <row r="1413" spans="1:5" x14ac:dyDescent="0.55000000000000004">
      <c r="A1413" t="s">
        <v>1494</v>
      </c>
      <c r="B1413" t="s">
        <v>137</v>
      </c>
      <c r="C1413" s="2">
        <v>44078</v>
      </c>
      <c r="D1413" t="s">
        <v>29</v>
      </c>
      <c r="E1413">
        <v>39</v>
      </c>
    </row>
    <row r="1414" spans="1:5" x14ac:dyDescent="0.55000000000000004">
      <c r="A1414" t="s">
        <v>1495</v>
      </c>
      <c r="B1414" t="s">
        <v>105</v>
      </c>
      <c r="C1414" s="2">
        <v>43780</v>
      </c>
      <c r="D1414" t="s">
        <v>29</v>
      </c>
      <c r="E1414">
        <v>550</v>
      </c>
    </row>
    <row r="1415" spans="1:5" x14ac:dyDescent="0.55000000000000004">
      <c r="A1415" t="s">
        <v>1496</v>
      </c>
      <c r="B1415" t="s">
        <v>94</v>
      </c>
      <c r="C1415" s="2">
        <v>45583</v>
      </c>
      <c r="D1415" t="s">
        <v>29</v>
      </c>
      <c r="E1415">
        <v>1993</v>
      </c>
    </row>
    <row r="1416" spans="1:5" x14ac:dyDescent="0.55000000000000004">
      <c r="A1416" t="s">
        <v>1497</v>
      </c>
      <c r="B1416" t="s">
        <v>156</v>
      </c>
      <c r="C1416" s="2">
        <v>43430</v>
      </c>
      <c r="D1416" t="s">
        <v>26</v>
      </c>
      <c r="E1416">
        <v>1631</v>
      </c>
    </row>
    <row r="1417" spans="1:5" x14ac:dyDescent="0.55000000000000004">
      <c r="A1417" t="s">
        <v>1498</v>
      </c>
      <c r="B1417" t="s">
        <v>115</v>
      </c>
      <c r="C1417" s="2">
        <v>44331</v>
      </c>
      <c r="D1417" t="s">
        <v>26</v>
      </c>
      <c r="E1417">
        <v>245</v>
      </c>
    </row>
    <row r="1418" spans="1:5" x14ac:dyDescent="0.55000000000000004">
      <c r="A1418" t="s">
        <v>1499</v>
      </c>
      <c r="B1418" t="s">
        <v>151</v>
      </c>
      <c r="C1418" s="2">
        <v>43437</v>
      </c>
      <c r="D1418" t="s">
        <v>29</v>
      </c>
      <c r="E1418">
        <v>2579</v>
      </c>
    </row>
    <row r="1419" spans="1:5" x14ac:dyDescent="0.55000000000000004">
      <c r="A1419" t="s">
        <v>1500</v>
      </c>
      <c r="B1419" t="s">
        <v>115</v>
      </c>
      <c r="C1419" s="2">
        <v>43838</v>
      </c>
      <c r="D1419" t="s">
        <v>29</v>
      </c>
      <c r="E1419">
        <v>1064</v>
      </c>
    </row>
    <row r="1420" spans="1:5" x14ac:dyDescent="0.55000000000000004">
      <c r="A1420" t="s">
        <v>1501</v>
      </c>
      <c r="B1420" t="s">
        <v>86</v>
      </c>
      <c r="C1420" s="2">
        <v>43654</v>
      </c>
      <c r="D1420" t="s">
        <v>29</v>
      </c>
      <c r="E1420">
        <v>1409</v>
      </c>
    </row>
    <row r="1421" spans="1:5" x14ac:dyDescent="0.55000000000000004">
      <c r="A1421" t="s">
        <v>1502</v>
      </c>
      <c r="B1421" t="s">
        <v>14</v>
      </c>
      <c r="C1421" s="2">
        <v>43760</v>
      </c>
      <c r="D1421" t="s">
        <v>26</v>
      </c>
      <c r="E1421">
        <v>1438</v>
      </c>
    </row>
    <row r="1422" spans="1:5" x14ac:dyDescent="0.55000000000000004">
      <c r="A1422" t="s">
        <v>1503</v>
      </c>
      <c r="B1422" t="s">
        <v>76</v>
      </c>
      <c r="C1422" s="2">
        <v>44280</v>
      </c>
      <c r="D1422" t="s">
        <v>26</v>
      </c>
      <c r="E1422">
        <v>1165</v>
      </c>
    </row>
    <row r="1423" spans="1:5" x14ac:dyDescent="0.55000000000000004">
      <c r="A1423" t="s">
        <v>1504</v>
      </c>
      <c r="B1423" t="s">
        <v>86</v>
      </c>
      <c r="C1423" s="2">
        <v>43582</v>
      </c>
      <c r="D1423" t="s">
        <v>29</v>
      </c>
      <c r="E1423">
        <v>1830</v>
      </c>
    </row>
    <row r="1424" spans="1:5" x14ac:dyDescent="0.55000000000000004">
      <c r="A1424" t="s">
        <v>1505</v>
      </c>
      <c r="B1424" t="s">
        <v>94</v>
      </c>
      <c r="C1424" s="2">
        <v>43787</v>
      </c>
      <c r="D1424" t="s">
        <v>29</v>
      </c>
      <c r="E1424">
        <v>2513</v>
      </c>
    </row>
    <row r="1425" spans="1:5" x14ac:dyDescent="0.55000000000000004">
      <c r="A1425" t="s">
        <v>1506</v>
      </c>
      <c r="B1425" t="s">
        <v>156</v>
      </c>
      <c r="C1425" s="2">
        <v>43866</v>
      </c>
      <c r="D1425" t="s">
        <v>26</v>
      </c>
      <c r="E1425">
        <v>686</v>
      </c>
    </row>
    <row r="1426" spans="1:5" x14ac:dyDescent="0.55000000000000004">
      <c r="A1426" t="s">
        <v>1507</v>
      </c>
      <c r="B1426" t="s">
        <v>35</v>
      </c>
      <c r="C1426" s="2">
        <v>44521</v>
      </c>
      <c r="D1426" t="s">
        <v>29</v>
      </c>
      <c r="E1426">
        <v>2585</v>
      </c>
    </row>
    <row r="1427" spans="1:5" x14ac:dyDescent="0.55000000000000004">
      <c r="A1427" t="s">
        <v>1508</v>
      </c>
      <c r="B1427" t="s">
        <v>32</v>
      </c>
      <c r="C1427" s="2">
        <v>44659</v>
      </c>
      <c r="D1427" t="s">
        <v>26</v>
      </c>
      <c r="E1427">
        <v>324</v>
      </c>
    </row>
    <row r="1428" spans="1:5" x14ac:dyDescent="0.55000000000000004">
      <c r="A1428" t="s">
        <v>1509</v>
      </c>
      <c r="B1428" t="s">
        <v>105</v>
      </c>
      <c r="C1428" s="2">
        <v>43620</v>
      </c>
      <c r="D1428" t="s">
        <v>26</v>
      </c>
      <c r="E1428">
        <v>1284</v>
      </c>
    </row>
    <row r="1429" spans="1:5" x14ac:dyDescent="0.55000000000000004">
      <c r="A1429" t="s">
        <v>1510</v>
      </c>
      <c r="B1429" t="s">
        <v>111</v>
      </c>
      <c r="C1429" s="2">
        <v>44254</v>
      </c>
      <c r="D1429" t="s">
        <v>29</v>
      </c>
      <c r="E1429">
        <v>2909</v>
      </c>
    </row>
    <row r="1430" spans="1:5" x14ac:dyDescent="0.55000000000000004">
      <c r="A1430" t="s">
        <v>1511</v>
      </c>
      <c r="B1430" t="s">
        <v>84</v>
      </c>
      <c r="C1430" s="2">
        <v>44156</v>
      </c>
      <c r="D1430" t="s">
        <v>29</v>
      </c>
      <c r="E1430">
        <v>1111</v>
      </c>
    </row>
    <row r="1431" spans="1:5" x14ac:dyDescent="0.55000000000000004">
      <c r="A1431" t="s">
        <v>1512</v>
      </c>
      <c r="B1431" t="s">
        <v>94</v>
      </c>
      <c r="C1431" s="2">
        <v>45288</v>
      </c>
      <c r="D1431" t="s">
        <v>29</v>
      </c>
      <c r="E1431">
        <v>2404</v>
      </c>
    </row>
    <row r="1432" spans="1:5" x14ac:dyDescent="0.55000000000000004">
      <c r="A1432" t="s">
        <v>1513</v>
      </c>
      <c r="B1432" t="s">
        <v>67</v>
      </c>
      <c r="C1432" s="2">
        <v>45310</v>
      </c>
      <c r="D1432" t="s">
        <v>29</v>
      </c>
      <c r="E1432">
        <v>685</v>
      </c>
    </row>
    <row r="1433" spans="1:5" x14ac:dyDescent="0.55000000000000004">
      <c r="A1433" t="s">
        <v>1514</v>
      </c>
      <c r="B1433" t="s">
        <v>105</v>
      </c>
      <c r="C1433" s="2">
        <v>42964</v>
      </c>
      <c r="D1433" t="s">
        <v>26</v>
      </c>
      <c r="E1433">
        <v>2980</v>
      </c>
    </row>
    <row r="1434" spans="1:5" x14ac:dyDescent="0.55000000000000004">
      <c r="A1434" t="s">
        <v>1515</v>
      </c>
      <c r="B1434" t="s">
        <v>63</v>
      </c>
      <c r="C1434" s="2">
        <v>44272</v>
      </c>
      <c r="D1434" t="s">
        <v>29</v>
      </c>
      <c r="E1434">
        <v>2870</v>
      </c>
    </row>
    <row r="1435" spans="1:5" x14ac:dyDescent="0.55000000000000004">
      <c r="A1435" t="s">
        <v>1516</v>
      </c>
      <c r="B1435" t="s">
        <v>78</v>
      </c>
      <c r="C1435" s="2">
        <v>43793</v>
      </c>
      <c r="D1435" t="s">
        <v>26</v>
      </c>
      <c r="E1435">
        <v>683</v>
      </c>
    </row>
    <row r="1436" spans="1:5" x14ac:dyDescent="0.55000000000000004">
      <c r="A1436" t="s">
        <v>1517</v>
      </c>
      <c r="B1436" t="s">
        <v>101</v>
      </c>
      <c r="C1436" s="2">
        <v>43127</v>
      </c>
      <c r="D1436" t="s">
        <v>26</v>
      </c>
      <c r="E1436">
        <v>261</v>
      </c>
    </row>
    <row r="1437" spans="1:5" x14ac:dyDescent="0.55000000000000004">
      <c r="A1437" t="s">
        <v>1518</v>
      </c>
      <c r="B1437" t="s">
        <v>94</v>
      </c>
      <c r="C1437" s="2">
        <v>45404</v>
      </c>
      <c r="D1437" t="s">
        <v>26</v>
      </c>
      <c r="E1437">
        <v>107</v>
      </c>
    </row>
    <row r="1438" spans="1:5" x14ac:dyDescent="0.55000000000000004">
      <c r="A1438" t="s">
        <v>1519</v>
      </c>
      <c r="B1438" t="s">
        <v>118</v>
      </c>
      <c r="C1438" s="2">
        <v>45092</v>
      </c>
      <c r="D1438" t="s">
        <v>26</v>
      </c>
      <c r="E1438">
        <v>425</v>
      </c>
    </row>
    <row r="1439" spans="1:5" x14ac:dyDescent="0.55000000000000004">
      <c r="A1439" t="s">
        <v>1520</v>
      </c>
      <c r="B1439" t="s">
        <v>84</v>
      </c>
      <c r="C1439" s="2">
        <v>44182</v>
      </c>
      <c r="D1439" t="s">
        <v>26</v>
      </c>
      <c r="E1439">
        <v>345</v>
      </c>
    </row>
    <row r="1440" spans="1:5" x14ac:dyDescent="0.55000000000000004">
      <c r="A1440" t="s">
        <v>1521</v>
      </c>
      <c r="B1440" t="s">
        <v>35</v>
      </c>
      <c r="C1440" s="2">
        <v>44629</v>
      </c>
      <c r="D1440" t="s">
        <v>29</v>
      </c>
      <c r="E1440">
        <v>939</v>
      </c>
    </row>
    <row r="1441" spans="1:5" x14ac:dyDescent="0.55000000000000004">
      <c r="A1441" t="s">
        <v>1522</v>
      </c>
      <c r="B1441" t="s">
        <v>63</v>
      </c>
      <c r="C1441" s="2">
        <v>44427</v>
      </c>
      <c r="D1441" t="s">
        <v>29</v>
      </c>
      <c r="E1441">
        <v>1815</v>
      </c>
    </row>
    <row r="1442" spans="1:5" x14ac:dyDescent="0.55000000000000004">
      <c r="A1442" t="s">
        <v>1523</v>
      </c>
      <c r="B1442" t="s">
        <v>35</v>
      </c>
      <c r="C1442" s="2">
        <v>44089</v>
      </c>
      <c r="D1442" t="s">
        <v>26</v>
      </c>
      <c r="E1442">
        <v>2157</v>
      </c>
    </row>
    <row r="1443" spans="1:5" x14ac:dyDescent="0.55000000000000004">
      <c r="A1443" t="s">
        <v>1524</v>
      </c>
      <c r="B1443" t="s">
        <v>175</v>
      </c>
      <c r="C1443" s="2">
        <v>44164</v>
      </c>
      <c r="D1443" t="s">
        <v>26</v>
      </c>
      <c r="E1443">
        <v>143</v>
      </c>
    </row>
    <row r="1444" spans="1:5" x14ac:dyDescent="0.55000000000000004">
      <c r="A1444" t="s">
        <v>1525</v>
      </c>
      <c r="B1444" t="s">
        <v>38</v>
      </c>
      <c r="C1444" s="2">
        <v>44561</v>
      </c>
      <c r="D1444" t="s">
        <v>29</v>
      </c>
      <c r="E1444">
        <v>1950</v>
      </c>
    </row>
    <row r="1445" spans="1:5" x14ac:dyDescent="0.55000000000000004">
      <c r="A1445" t="s">
        <v>1526</v>
      </c>
      <c r="B1445" t="s">
        <v>15</v>
      </c>
      <c r="C1445" s="2">
        <v>44024</v>
      </c>
      <c r="D1445" t="s">
        <v>29</v>
      </c>
      <c r="E1445">
        <v>2246</v>
      </c>
    </row>
    <row r="1446" spans="1:5" x14ac:dyDescent="0.55000000000000004">
      <c r="A1446" t="s">
        <v>1527</v>
      </c>
      <c r="B1446" t="s">
        <v>15</v>
      </c>
      <c r="C1446" s="2">
        <v>43193</v>
      </c>
      <c r="D1446" t="s">
        <v>26</v>
      </c>
      <c r="E1446">
        <v>2420</v>
      </c>
    </row>
    <row r="1447" spans="1:5" x14ac:dyDescent="0.55000000000000004">
      <c r="A1447" t="s">
        <v>1528</v>
      </c>
      <c r="B1447" t="s">
        <v>32</v>
      </c>
      <c r="C1447" s="2">
        <v>44766</v>
      </c>
      <c r="D1447" t="s">
        <v>29</v>
      </c>
      <c r="E1447">
        <v>2144</v>
      </c>
    </row>
    <row r="1448" spans="1:5" x14ac:dyDescent="0.55000000000000004">
      <c r="A1448" t="s">
        <v>1529</v>
      </c>
      <c r="B1448" t="s">
        <v>35</v>
      </c>
      <c r="C1448" s="2">
        <v>44924</v>
      </c>
      <c r="D1448" t="s">
        <v>29</v>
      </c>
      <c r="E1448">
        <v>1422</v>
      </c>
    </row>
    <row r="1449" spans="1:5" x14ac:dyDescent="0.55000000000000004">
      <c r="A1449" t="s">
        <v>1530</v>
      </c>
      <c r="B1449" t="s">
        <v>96</v>
      </c>
      <c r="C1449" s="2">
        <v>45676</v>
      </c>
      <c r="D1449" t="s">
        <v>26</v>
      </c>
      <c r="E1449">
        <v>366</v>
      </c>
    </row>
    <row r="1450" spans="1:5" x14ac:dyDescent="0.55000000000000004">
      <c r="A1450" t="s">
        <v>1531</v>
      </c>
      <c r="B1450" t="s">
        <v>15</v>
      </c>
      <c r="C1450" s="2">
        <v>43547</v>
      </c>
      <c r="D1450" t="s">
        <v>29</v>
      </c>
      <c r="E1450">
        <v>1688</v>
      </c>
    </row>
    <row r="1451" spans="1:5" x14ac:dyDescent="0.55000000000000004">
      <c r="A1451" t="s">
        <v>1532</v>
      </c>
      <c r="B1451" t="s">
        <v>84</v>
      </c>
      <c r="C1451" s="2">
        <v>43235</v>
      </c>
      <c r="D1451" t="s">
        <v>29</v>
      </c>
      <c r="E1451">
        <v>43</v>
      </c>
    </row>
    <row r="1452" spans="1:5" x14ac:dyDescent="0.55000000000000004">
      <c r="A1452" t="s">
        <v>1533</v>
      </c>
      <c r="B1452" t="s">
        <v>14</v>
      </c>
      <c r="C1452" s="2">
        <v>43988</v>
      </c>
      <c r="D1452" t="s">
        <v>26</v>
      </c>
      <c r="E1452">
        <v>1408</v>
      </c>
    </row>
    <row r="1453" spans="1:5" x14ac:dyDescent="0.55000000000000004">
      <c r="A1453" t="s">
        <v>1534</v>
      </c>
      <c r="B1453" t="s">
        <v>156</v>
      </c>
      <c r="C1453" s="2">
        <v>43877</v>
      </c>
      <c r="D1453" t="s">
        <v>26</v>
      </c>
      <c r="E1453">
        <v>2817</v>
      </c>
    </row>
    <row r="1454" spans="1:5" x14ac:dyDescent="0.55000000000000004">
      <c r="A1454" t="s">
        <v>1535</v>
      </c>
      <c r="B1454" t="s">
        <v>96</v>
      </c>
      <c r="C1454" s="2">
        <v>45420</v>
      </c>
      <c r="D1454" t="s">
        <v>29</v>
      </c>
      <c r="E1454">
        <v>37</v>
      </c>
    </row>
    <row r="1455" spans="1:5" x14ac:dyDescent="0.55000000000000004">
      <c r="A1455" t="s">
        <v>1536</v>
      </c>
      <c r="B1455" t="s">
        <v>118</v>
      </c>
      <c r="C1455" s="2">
        <v>45229</v>
      </c>
      <c r="D1455" t="s">
        <v>29</v>
      </c>
      <c r="E1455">
        <v>2445</v>
      </c>
    </row>
    <row r="1456" spans="1:5" x14ac:dyDescent="0.55000000000000004">
      <c r="A1456" t="s">
        <v>1537</v>
      </c>
      <c r="B1456" t="s">
        <v>63</v>
      </c>
      <c r="C1456" s="2">
        <v>44548</v>
      </c>
      <c r="D1456" t="s">
        <v>26</v>
      </c>
      <c r="E1456">
        <v>2245</v>
      </c>
    </row>
    <row r="1457" spans="1:5" x14ac:dyDescent="0.55000000000000004">
      <c r="A1457" t="s">
        <v>1538</v>
      </c>
      <c r="B1457" t="s">
        <v>86</v>
      </c>
      <c r="C1457" s="2">
        <v>43303</v>
      </c>
      <c r="D1457" t="s">
        <v>29</v>
      </c>
      <c r="E1457">
        <v>2296</v>
      </c>
    </row>
    <row r="1458" spans="1:5" x14ac:dyDescent="0.55000000000000004">
      <c r="A1458" t="s">
        <v>1539</v>
      </c>
      <c r="B1458" t="s">
        <v>140</v>
      </c>
      <c r="C1458" s="2">
        <v>43725</v>
      </c>
      <c r="D1458" t="s">
        <v>26</v>
      </c>
      <c r="E1458">
        <v>668</v>
      </c>
    </row>
    <row r="1459" spans="1:5" x14ac:dyDescent="0.55000000000000004">
      <c r="A1459" t="s">
        <v>1540</v>
      </c>
      <c r="B1459" t="s">
        <v>41</v>
      </c>
      <c r="C1459" s="2">
        <v>44629</v>
      </c>
      <c r="D1459" t="s">
        <v>29</v>
      </c>
      <c r="E1459">
        <v>903</v>
      </c>
    </row>
    <row r="1460" spans="1:5" x14ac:dyDescent="0.55000000000000004">
      <c r="A1460" t="s">
        <v>1541</v>
      </c>
      <c r="B1460" t="s">
        <v>84</v>
      </c>
      <c r="C1460" s="2">
        <v>43079</v>
      </c>
      <c r="D1460" t="s">
        <v>29</v>
      </c>
      <c r="E1460">
        <v>2561</v>
      </c>
    </row>
    <row r="1461" spans="1:5" x14ac:dyDescent="0.55000000000000004">
      <c r="A1461" t="s">
        <v>1542</v>
      </c>
      <c r="B1461" t="s">
        <v>63</v>
      </c>
      <c r="C1461" s="2">
        <v>43975</v>
      </c>
      <c r="D1461" t="s">
        <v>29</v>
      </c>
      <c r="E1461">
        <v>1166</v>
      </c>
    </row>
    <row r="1462" spans="1:5" x14ac:dyDescent="0.55000000000000004">
      <c r="A1462" t="s">
        <v>1543</v>
      </c>
      <c r="B1462" t="s">
        <v>35</v>
      </c>
      <c r="C1462" s="2">
        <v>44920</v>
      </c>
      <c r="D1462" t="s">
        <v>29</v>
      </c>
      <c r="E1462">
        <v>1691</v>
      </c>
    </row>
    <row r="1463" spans="1:5" x14ac:dyDescent="0.55000000000000004">
      <c r="A1463" t="s">
        <v>1544</v>
      </c>
      <c r="B1463" t="s">
        <v>151</v>
      </c>
      <c r="C1463" s="2">
        <v>43057</v>
      </c>
      <c r="D1463" t="s">
        <v>26</v>
      </c>
      <c r="E1463">
        <v>559</v>
      </c>
    </row>
    <row r="1464" spans="1:5" x14ac:dyDescent="0.55000000000000004">
      <c r="A1464" t="s">
        <v>1545</v>
      </c>
      <c r="B1464" t="s">
        <v>156</v>
      </c>
      <c r="C1464" s="2">
        <v>43143</v>
      </c>
      <c r="D1464" t="s">
        <v>29</v>
      </c>
      <c r="E1464">
        <v>2530</v>
      </c>
    </row>
    <row r="1465" spans="1:5" x14ac:dyDescent="0.55000000000000004">
      <c r="A1465" t="s">
        <v>1546</v>
      </c>
      <c r="B1465" t="s">
        <v>15</v>
      </c>
      <c r="C1465" s="2">
        <v>43474</v>
      </c>
      <c r="D1465" t="s">
        <v>29</v>
      </c>
      <c r="E1465">
        <v>769</v>
      </c>
    </row>
    <row r="1466" spans="1:5" x14ac:dyDescent="0.55000000000000004">
      <c r="A1466" t="s">
        <v>1547</v>
      </c>
      <c r="B1466" t="s">
        <v>111</v>
      </c>
      <c r="C1466" s="2">
        <v>42956</v>
      </c>
      <c r="D1466" t="s">
        <v>26</v>
      </c>
      <c r="E1466">
        <v>203</v>
      </c>
    </row>
    <row r="1467" spans="1:5" x14ac:dyDescent="0.55000000000000004">
      <c r="A1467" t="s">
        <v>1548</v>
      </c>
      <c r="B1467" t="s">
        <v>99</v>
      </c>
      <c r="C1467" s="2">
        <v>43556</v>
      </c>
      <c r="D1467" t="s">
        <v>26</v>
      </c>
      <c r="E1467">
        <v>418</v>
      </c>
    </row>
    <row r="1468" spans="1:5" x14ac:dyDescent="0.55000000000000004">
      <c r="A1468" t="s">
        <v>1549</v>
      </c>
      <c r="B1468" t="s">
        <v>156</v>
      </c>
      <c r="C1468" s="2">
        <v>43468</v>
      </c>
      <c r="D1468" t="s">
        <v>26</v>
      </c>
      <c r="E1468">
        <v>2929</v>
      </c>
    </row>
    <row r="1469" spans="1:5" x14ac:dyDescent="0.55000000000000004">
      <c r="A1469" t="s">
        <v>1550</v>
      </c>
      <c r="B1469" t="s">
        <v>15</v>
      </c>
      <c r="C1469" s="2">
        <v>44406</v>
      </c>
      <c r="D1469" t="s">
        <v>26</v>
      </c>
      <c r="E1469">
        <v>953</v>
      </c>
    </row>
    <row r="1470" spans="1:5" x14ac:dyDescent="0.55000000000000004">
      <c r="A1470" t="s">
        <v>1551</v>
      </c>
      <c r="B1470" t="s">
        <v>74</v>
      </c>
      <c r="C1470" s="2">
        <v>43225</v>
      </c>
      <c r="D1470" t="s">
        <v>26</v>
      </c>
      <c r="E1470">
        <v>2021</v>
      </c>
    </row>
    <row r="1471" spans="1:5" x14ac:dyDescent="0.55000000000000004">
      <c r="A1471" t="s">
        <v>1552</v>
      </c>
      <c r="B1471" t="s">
        <v>151</v>
      </c>
      <c r="C1471" s="2">
        <v>43617</v>
      </c>
      <c r="D1471" t="s">
        <v>29</v>
      </c>
      <c r="E1471">
        <v>1276</v>
      </c>
    </row>
    <row r="1472" spans="1:5" x14ac:dyDescent="0.55000000000000004">
      <c r="A1472" t="s">
        <v>1553</v>
      </c>
      <c r="B1472" t="s">
        <v>137</v>
      </c>
      <c r="C1472" s="2">
        <v>45507</v>
      </c>
      <c r="D1472" t="s">
        <v>29</v>
      </c>
      <c r="E1472">
        <v>1899</v>
      </c>
    </row>
    <row r="1473" spans="1:5" x14ac:dyDescent="0.55000000000000004">
      <c r="A1473" t="s">
        <v>1554</v>
      </c>
      <c r="B1473" t="s">
        <v>41</v>
      </c>
      <c r="C1473" s="2">
        <v>43895</v>
      </c>
      <c r="D1473" t="s">
        <v>29</v>
      </c>
      <c r="E1473">
        <v>328</v>
      </c>
    </row>
    <row r="1474" spans="1:5" x14ac:dyDescent="0.55000000000000004">
      <c r="A1474" t="s">
        <v>1555</v>
      </c>
      <c r="B1474" t="s">
        <v>175</v>
      </c>
      <c r="C1474" s="2">
        <v>44064</v>
      </c>
      <c r="D1474" t="s">
        <v>26</v>
      </c>
      <c r="E1474">
        <v>1091</v>
      </c>
    </row>
    <row r="1475" spans="1:5" x14ac:dyDescent="0.55000000000000004">
      <c r="A1475" t="s">
        <v>1556</v>
      </c>
      <c r="B1475" t="s">
        <v>118</v>
      </c>
      <c r="C1475" s="2">
        <v>45073</v>
      </c>
      <c r="D1475" t="s">
        <v>26</v>
      </c>
      <c r="E1475">
        <v>2224</v>
      </c>
    </row>
    <row r="1476" spans="1:5" x14ac:dyDescent="0.55000000000000004">
      <c r="A1476" t="s">
        <v>1557</v>
      </c>
      <c r="B1476" t="s">
        <v>96</v>
      </c>
      <c r="C1476" s="2">
        <v>44209</v>
      </c>
      <c r="D1476" t="s">
        <v>26</v>
      </c>
      <c r="E1476">
        <v>1024</v>
      </c>
    </row>
    <row r="1477" spans="1:5" x14ac:dyDescent="0.55000000000000004">
      <c r="A1477" t="s">
        <v>1558</v>
      </c>
      <c r="B1477" t="s">
        <v>175</v>
      </c>
      <c r="C1477" s="2">
        <v>45028</v>
      </c>
      <c r="D1477" t="s">
        <v>26</v>
      </c>
      <c r="E1477">
        <v>499</v>
      </c>
    </row>
    <row r="1478" spans="1:5" x14ac:dyDescent="0.55000000000000004">
      <c r="A1478" t="s">
        <v>1559</v>
      </c>
      <c r="B1478" t="s">
        <v>118</v>
      </c>
      <c r="C1478" s="2">
        <v>44485</v>
      </c>
      <c r="D1478" t="s">
        <v>29</v>
      </c>
      <c r="E1478">
        <v>1814</v>
      </c>
    </row>
    <row r="1479" spans="1:5" x14ac:dyDescent="0.55000000000000004">
      <c r="A1479" t="s">
        <v>1560</v>
      </c>
      <c r="B1479" t="s">
        <v>63</v>
      </c>
      <c r="C1479" s="2">
        <v>44427</v>
      </c>
      <c r="D1479" t="s">
        <v>26</v>
      </c>
      <c r="E1479">
        <v>815</v>
      </c>
    </row>
    <row r="1480" spans="1:5" x14ac:dyDescent="0.55000000000000004">
      <c r="A1480" t="s">
        <v>1561</v>
      </c>
      <c r="B1480" t="s">
        <v>15</v>
      </c>
      <c r="C1480" s="2">
        <v>44422</v>
      </c>
      <c r="D1480" t="s">
        <v>26</v>
      </c>
      <c r="E1480">
        <v>2134</v>
      </c>
    </row>
    <row r="1481" spans="1:5" x14ac:dyDescent="0.55000000000000004">
      <c r="A1481" t="s">
        <v>1562</v>
      </c>
      <c r="B1481" t="s">
        <v>38</v>
      </c>
      <c r="C1481" s="2">
        <v>44257</v>
      </c>
      <c r="D1481" t="s">
        <v>29</v>
      </c>
      <c r="E1481">
        <v>1593</v>
      </c>
    </row>
    <row r="1482" spans="1:5" x14ac:dyDescent="0.55000000000000004">
      <c r="A1482" t="s">
        <v>1563</v>
      </c>
      <c r="B1482" t="s">
        <v>38</v>
      </c>
      <c r="C1482" s="2">
        <v>44470</v>
      </c>
      <c r="D1482" t="s">
        <v>29</v>
      </c>
      <c r="E1482">
        <v>649</v>
      </c>
    </row>
    <row r="1483" spans="1:5" x14ac:dyDescent="0.55000000000000004">
      <c r="A1483" t="s">
        <v>1564</v>
      </c>
      <c r="B1483" t="s">
        <v>35</v>
      </c>
      <c r="C1483" s="2">
        <v>43917</v>
      </c>
      <c r="D1483" t="s">
        <v>26</v>
      </c>
      <c r="E1483">
        <v>1037</v>
      </c>
    </row>
    <row r="1484" spans="1:5" x14ac:dyDescent="0.55000000000000004">
      <c r="A1484" t="s">
        <v>1565</v>
      </c>
      <c r="B1484" t="s">
        <v>96</v>
      </c>
      <c r="C1484" s="2">
        <v>44689</v>
      </c>
      <c r="D1484" t="s">
        <v>26</v>
      </c>
      <c r="E1484">
        <v>1476</v>
      </c>
    </row>
    <row r="1485" spans="1:5" x14ac:dyDescent="0.55000000000000004">
      <c r="A1485" t="s">
        <v>1566</v>
      </c>
      <c r="B1485" t="s">
        <v>94</v>
      </c>
      <c r="C1485" s="2">
        <v>43679</v>
      </c>
      <c r="D1485" t="s">
        <v>26</v>
      </c>
      <c r="E1485">
        <v>462</v>
      </c>
    </row>
    <row r="1486" spans="1:5" x14ac:dyDescent="0.55000000000000004">
      <c r="A1486" t="s">
        <v>1567</v>
      </c>
      <c r="B1486" t="s">
        <v>63</v>
      </c>
      <c r="C1486" s="2">
        <v>44213</v>
      </c>
      <c r="D1486" t="s">
        <v>29</v>
      </c>
      <c r="E1486">
        <v>1329</v>
      </c>
    </row>
    <row r="1487" spans="1:5" x14ac:dyDescent="0.55000000000000004">
      <c r="A1487" t="s">
        <v>1568</v>
      </c>
      <c r="B1487" t="s">
        <v>14</v>
      </c>
      <c r="C1487" s="2">
        <v>43259</v>
      </c>
      <c r="D1487" t="s">
        <v>29</v>
      </c>
      <c r="E1487">
        <v>2394</v>
      </c>
    </row>
    <row r="1488" spans="1:5" x14ac:dyDescent="0.55000000000000004">
      <c r="A1488" t="s">
        <v>1569</v>
      </c>
      <c r="B1488" t="s">
        <v>115</v>
      </c>
      <c r="C1488" s="2">
        <v>43727</v>
      </c>
      <c r="D1488" t="s">
        <v>26</v>
      </c>
      <c r="E1488">
        <v>36</v>
      </c>
    </row>
    <row r="1489" spans="1:5" x14ac:dyDescent="0.55000000000000004">
      <c r="A1489" t="s">
        <v>1570</v>
      </c>
      <c r="B1489" t="s">
        <v>142</v>
      </c>
      <c r="C1489" s="2">
        <v>44107</v>
      </c>
      <c r="D1489" t="s">
        <v>29</v>
      </c>
      <c r="E1489">
        <v>2819</v>
      </c>
    </row>
    <row r="1490" spans="1:5" x14ac:dyDescent="0.55000000000000004">
      <c r="A1490" t="s">
        <v>1571</v>
      </c>
      <c r="B1490" t="s">
        <v>32</v>
      </c>
      <c r="C1490" s="2">
        <v>44148</v>
      </c>
      <c r="D1490" t="s">
        <v>29</v>
      </c>
      <c r="E1490">
        <v>366</v>
      </c>
    </row>
    <row r="1491" spans="1:5" x14ac:dyDescent="0.55000000000000004">
      <c r="A1491" t="s">
        <v>1572</v>
      </c>
      <c r="B1491" t="s">
        <v>63</v>
      </c>
      <c r="C1491" s="2">
        <v>43239</v>
      </c>
      <c r="D1491" t="s">
        <v>29</v>
      </c>
      <c r="E1491">
        <v>374</v>
      </c>
    </row>
    <row r="1492" spans="1:5" x14ac:dyDescent="0.55000000000000004">
      <c r="A1492" t="s">
        <v>1573</v>
      </c>
      <c r="B1492" t="s">
        <v>38</v>
      </c>
      <c r="C1492" s="2">
        <v>44524</v>
      </c>
      <c r="D1492" t="s">
        <v>26</v>
      </c>
      <c r="E1492">
        <v>244</v>
      </c>
    </row>
    <row r="1493" spans="1:5" x14ac:dyDescent="0.55000000000000004">
      <c r="A1493" t="s">
        <v>1574</v>
      </c>
      <c r="B1493" t="s">
        <v>86</v>
      </c>
      <c r="C1493" s="2">
        <v>44237</v>
      </c>
      <c r="D1493" t="s">
        <v>26</v>
      </c>
      <c r="E1493">
        <v>2872</v>
      </c>
    </row>
    <row r="1494" spans="1:5" x14ac:dyDescent="0.55000000000000004">
      <c r="A1494" t="s">
        <v>1575</v>
      </c>
      <c r="B1494" t="s">
        <v>99</v>
      </c>
      <c r="C1494" s="2">
        <v>43905</v>
      </c>
      <c r="D1494" t="s">
        <v>26</v>
      </c>
      <c r="E1494">
        <v>1998</v>
      </c>
    </row>
    <row r="1495" spans="1:5" x14ac:dyDescent="0.55000000000000004">
      <c r="A1495" t="s">
        <v>1576</v>
      </c>
      <c r="B1495" t="s">
        <v>63</v>
      </c>
      <c r="C1495" s="2">
        <v>43565</v>
      </c>
      <c r="D1495" t="s">
        <v>29</v>
      </c>
      <c r="E1495">
        <v>1796</v>
      </c>
    </row>
    <row r="1496" spans="1:5" x14ac:dyDescent="0.55000000000000004">
      <c r="A1496" t="s">
        <v>1577</v>
      </c>
      <c r="B1496" t="s">
        <v>78</v>
      </c>
      <c r="C1496" s="2">
        <v>44256</v>
      </c>
      <c r="D1496" t="s">
        <v>26</v>
      </c>
      <c r="E1496">
        <v>2823</v>
      </c>
    </row>
    <row r="1497" spans="1:5" x14ac:dyDescent="0.55000000000000004">
      <c r="A1497" t="s">
        <v>1578</v>
      </c>
      <c r="B1497" t="s">
        <v>101</v>
      </c>
      <c r="C1497" s="2">
        <v>43650</v>
      </c>
      <c r="D1497" t="s">
        <v>26</v>
      </c>
      <c r="E1497">
        <v>1026</v>
      </c>
    </row>
    <row r="1498" spans="1:5" x14ac:dyDescent="0.55000000000000004">
      <c r="A1498" t="s">
        <v>1579</v>
      </c>
      <c r="B1498" t="s">
        <v>94</v>
      </c>
      <c r="C1498" s="2">
        <v>43627</v>
      </c>
      <c r="D1498" t="s">
        <v>29</v>
      </c>
      <c r="E1498">
        <v>2894</v>
      </c>
    </row>
    <row r="1499" spans="1:5" x14ac:dyDescent="0.55000000000000004">
      <c r="A1499" t="s">
        <v>1580</v>
      </c>
      <c r="B1499" t="s">
        <v>15</v>
      </c>
      <c r="C1499" s="2">
        <v>44061</v>
      </c>
      <c r="D1499" t="s">
        <v>29</v>
      </c>
      <c r="E1499">
        <v>2223</v>
      </c>
    </row>
    <row r="1500" spans="1:5" x14ac:dyDescent="0.55000000000000004">
      <c r="A1500" t="s">
        <v>1581</v>
      </c>
      <c r="B1500" t="s">
        <v>41</v>
      </c>
      <c r="C1500" s="2">
        <v>44834</v>
      </c>
      <c r="D1500" t="s">
        <v>26</v>
      </c>
      <c r="E1500">
        <v>2321</v>
      </c>
    </row>
    <row r="1501" spans="1:5" x14ac:dyDescent="0.55000000000000004">
      <c r="A1501" t="s">
        <v>1582</v>
      </c>
      <c r="B1501" t="s">
        <v>105</v>
      </c>
      <c r="C1501" s="2">
        <v>44030</v>
      </c>
      <c r="D1501" t="s">
        <v>29</v>
      </c>
      <c r="E1501">
        <v>1325</v>
      </c>
    </row>
    <row r="1502" spans="1:5" x14ac:dyDescent="0.55000000000000004">
      <c r="A1502" t="s">
        <v>1583</v>
      </c>
      <c r="B1502" t="s">
        <v>78</v>
      </c>
      <c r="C1502" s="2">
        <v>45384</v>
      </c>
      <c r="D1502" t="s">
        <v>29</v>
      </c>
      <c r="E1502">
        <v>2452</v>
      </c>
    </row>
    <row r="1503" spans="1:5" x14ac:dyDescent="0.55000000000000004">
      <c r="A1503" t="s">
        <v>1584</v>
      </c>
      <c r="B1503" t="s">
        <v>76</v>
      </c>
      <c r="C1503" s="2">
        <v>45737</v>
      </c>
      <c r="D1503" t="s">
        <v>26</v>
      </c>
      <c r="E1503">
        <v>282</v>
      </c>
    </row>
    <row r="1504" spans="1:5" x14ac:dyDescent="0.55000000000000004">
      <c r="A1504" t="s">
        <v>1585</v>
      </c>
      <c r="B1504" t="s">
        <v>67</v>
      </c>
      <c r="C1504" s="2">
        <v>44100</v>
      </c>
      <c r="D1504" t="s">
        <v>29</v>
      </c>
      <c r="E1504">
        <v>1211</v>
      </c>
    </row>
    <row r="1505" spans="1:5" x14ac:dyDescent="0.55000000000000004">
      <c r="A1505" t="s">
        <v>1586</v>
      </c>
      <c r="B1505" t="s">
        <v>175</v>
      </c>
      <c r="C1505" s="2">
        <v>44544</v>
      </c>
      <c r="D1505" t="s">
        <v>29</v>
      </c>
      <c r="E1505">
        <v>1859</v>
      </c>
    </row>
    <row r="1506" spans="1:5" x14ac:dyDescent="0.55000000000000004">
      <c r="A1506" t="s">
        <v>1587</v>
      </c>
      <c r="B1506" t="s">
        <v>14</v>
      </c>
      <c r="C1506" s="2">
        <v>44506</v>
      </c>
      <c r="D1506" t="s">
        <v>29</v>
      </c>
      <c r="E1506">
        <v>759</v>
      </c>
    </row>
    <row r="1507" spans="1:5" x14ac:dyDescent="0.55000000000000004">
      <c r="A1507" t="s">
        <v>1588</v>
      </c>
      <c r="B1507" t="s">
        <v>94</v>
      </c>
      <c r="C1507" s="2">
        <v>43542</v>
      </c>
      <c r="D1507" t="s">
        <v>29</v>
      </c>
      <c r="E1507">
        <v>2540</v>
      </c>
    </row>
    <row r="1508" spans="1:5" x14ac:dyDescent="0.55000000000000004">
      <c r="A1508" t="s">
        <v>1589</v>
      </c>
      <c r="B1508" t="s">
        <v>63</v>
      </c>
      <c r="C1508" s="2">
        <v>43573</v>
      </c>
      <c r="D1508" t="s">
        <v>26</v>
      </c>
      <c r="E1508">
        <v>2696</v>
      </c>
    </row>
    <row r="1509" spans="1:5" x14ac:dyDescent="0.55000000000000004">
      <c r="A1509" t="s">
        <v>1590</v>
      </c>
      <c r="B1509" t="s">
        <v>99</v>
      </c>
      <c r="C1509" s="2">
        <v>45053</v>
      </c>
      <c r="D1509" t="s">
        <v>26</v>
      </c>
      <c r="E1509">
        <v>2146</v>
      </c>
    </row>
    <row r="1510" spans="1:5" x14ac:dyDescent="0.55000000000000004">
      <c r="A1510" t="s">
        <v>1591</v>
      </c>
      <c r="B1510" t="s">
        <v>38</v>
      </c>
      <c r="C1510" s="2">
        <v>44849</v>
      </c>
      <c r="D1510" t="s">
        <v>26</v>
      </c>
      <c r="E1510">
        <v>2511</v>
      </c>
    </row>
    <row r="1511" spans="1:5" x14ac:dyDescent="0.55000000000000004">
      <c r="A1511" t="s">
        <v>1592</v>
      </c>
      <c r="B1511" t="s">
        <v>156</v>
      </c>
      <c r="C1511" s="2">
        <v>43577</v>
      </c>
      <c r="D1511" t="s">
        <v>29</v>
      </c>
      <c r="E1511">
        <v>2625</v>
      </c>
    </row>
    <row r="1512" spans="1:5" x14ac:dyDescent="0.55000000000000004">
      <c r="A1512" t="s">
        <v>1593</v>
      </c>
      <c r="B1512" t="s">
        <v>111</v>
      </c>
      <c r="C1512" s="2">
        <v>43143</v>
      </c>
      <c r="D1512" t="s">
        <v>26</v>
      </c>
      <c r="E1512">
        <v>2143</v>
      </c>
    </row>
    <row r="1513" spans="1:5" x14ac:dyDescent="0.55000000000000004">
      <c r="A1513" t="s">
        <v>1594</v>
      </c>
      <c r="B1513" t="s">
        <v>38</v>
      </c>
      <c r="C1513" s="2">
        <v>43967</v>
      </c>
      <c r="D1513" t="s">
        <v>26</v>
      </c>
      <c r="E1513">
        <v>531</v>
      </c>
    </row>
    <row r="1514" spans="1:5" x14ac:dyDescent="0.55000000000000004">
      <c r="A1514" t="s">
        <v>1595</v>
      </c>
      <c r="B1514" t="s">
        <v>105</v>
      </c>
      <c r="C1514" s="2">
        <v>42981</v>
      </c>
      <c r="D1514" t="s">
        <v>26</v>
      </c>
      <c r="E1514">
        <v>438</v>
      </c>
    </row>
    <row r="1515" spans="1:5" x14ac:dyDescent="0.55000000000000004">
      <c r="A1515" t="s">
        <v>1596</v>
      </c>
      <c r="B1515" t="s">
        <v>96</v>
      </c>
      <c r="C1515" s="2">
        <v>44250</v>
      </c>
      <c r="D1515" t="s">
        <v>26</v>
      </c>
      <c r="E1515">
        <v>130</v>
      </c>
    </row>
    <row r="1516" spans="1:5" x14ac:dyDescent="0.55000000000000004">
      <c r="A1516" t="s">
        <v>1597</v>
      </c>
      <c r="B1516" t="s">
        <v>23</v>
      </c>
      <c r="C1516" s="2">
        <v>44626</v>
      </c>
      <c r="D1516" t="s">
        <v>29</v>
      </c>
      <c r="E1516">
        <v>2153</v>
      </c>
    </row>
    <row r="1517" spans="1:5" x14ac:dyDescent="0.55000000000000004">
      <c r="A1517" t="s">
        <v>1598</v>
      </c>
      <c r="B1517" t="s">
        <v>32</v>
      </c>
      <c r="C1517" s="2">
        <v>44355</v>
      </c>
      <c r="D1517" t="s">
        <v>26</v>
      </c>
      <c r="E1517">
        <v>1500</v>
      </c>
    </row>
    <row r="1518" spans="1:5" x14ac:dyDescent="0.55000000000000004">
      <c r="A1518" t="s">
        <v>1599</v>
      </c>
      <c r="B1518" t="s">
        <v>63</v>
      </c>
      <c r="C1518" s="2">
        <v>44157</v>
      </c>
      <c r="D1518" t="s">
        <v>26</v>
      </c>
      <c r="E1518">
        <v>53</v>
      </c>
    </row>
    <row r="1519" spans="1:5" x14ac:dyDescent="0.55000000000000004">
      <c r="A1519" t="s">
        <v>1600</v>
      </c>
      <c r="B1519" t="s">
        <v>151</v>
      </c>
      <c r="C1519" s="2">
        <v>44259</v>
      </c>
      <c r="D1519" t="s">
        <v>29</v>
      </c>
      <c r="E1519">
        <v>327</v>
      </c>
    </row>
    <row r="1520" spans="1:5" x14ac:dyDescent="0.55000000000000004">
      <c r="A1520" t="s">
        <v>1601</v>
      </c>
      <c r="B1520" t="s">
        <v>15</v>
      </c>
      <c r="C1520" s="2">
        <v>44557</v>
      </c>
      <c r="D1520" t="s">
        <v>26</v>
      </c>
      <c r="E1520">
        <v>1478</v>
      </c>
    </row>
    <row r="1521" spans="1:5" x14ac:dyDescent="0.55000000000000004">
      <c r="A1521" t="s">
        <v>1602</v>
      </c>
      <c r="B1521" t="s">
        <v>99</v>
      </c>
      <c r="C1521" s="2">
        <v>45169</v>
      </c>
      <c r="D1521" t="s">
        <v>29</v>
      </c>
      <c r="E1521">
        <v>2901</v>
      </c>
    </row>
    <row r="1522" spans="1:5" x14ac:dyDescent="0.55000000000000004">
      <c r="A1522" t="s">
        <v>1603</v>
      </c>
      <c r="B1522" t="s">
        <v>142</v>
      </c>
      <c r="C1522" s="2">
        <v>44180</v>
      </c>
      <c r="D1522" t="s">
        <v>29</v>
      </c>
      <c r="E1522">
        <v>2166</v>
      </c>
    </row>
    <row r="1523" spans="1:5" x14ac:dyDescent="0.55000000000000004">
      <c r="A1523" t="s">
        <v>1604</v>
      </c>
      <c r="B1523" t="s">
        <v>142</v>
      </c>
      <c r="C1523" s="2">
        <v>44420</v>
      </c>
      <c r="D1523" t="s">
        <v>26</v>
      </c>
      <c r="E1523">
        <v>1244</v>
      </c>
    </row>
    <row r="1524" spans="1:5" x14ac:dyDescent="0.55000000000000004">
      <c r="A1524" t="s">
        <v>1605</v>
      </c>
      <c r="B1524" t="s">
        <v>74</v>
      </c>
      <c r="C1524" s="2">
        <v>43359</v>
      </c>
      <c r="D1524" t="s">
        <v>26</v>
      </c>
      <c r="E1524">
        <v>414</v>
      </c>
    </row>
    <row r="1525" spans="1:5" x14ac:dyDescent="0.55000000000000004">
      <c r="A1525" t="s">
        <v>1606</v>
      </c>
      <c r="B1525" t="s">
        <v>78</v>
      </c>
      <c r="C1525" s="2">
        <v>44412</v>
      </c>
      <c r="D1525" t="s">
        <v>29</v>
      </c>
      <c r="E1525">
        <v>776</v>
      </c>
    </row>
    <row r="1526" spans="1:5" x14ac:dyDescent="0.55000000000000004">
      <c r="A1526" t="s">
        <v>1607</v>
      </c>
      <c r="B1526" t="s">
        <v>151</v>
      </c>
      <c r="C1526" s="2">
        <v>43994</v>
      </c>
      <c r="D1526" t="s">
        <v>26</v>
      </c>
      <c r="E1526">
        <v>2334</v>
      </c>
    </row>
    <row r="1527" spans="1:5" x14ac:dyDescent="0.55000000000000004">
      <c r="A1527" t="s">
        <v>1608</v>
      </c>
      <c r="B1527" t="s">
        <v>35</v>
      </c>
      <c r="C1527" s="2">
        <v>44197</v>
      </c>
      <c r="D1527" t="s">
        <v>29</v>
      </c>
      <c r="E1527">
        <v>432</v>
      </c>
    </row>
    <row r="1528" spans="1:5" x14ac:dyDescent="0.55000000000000004">
      <c r="A1528" t="s">
        <v>1609</v>
      </c>
      <c r="B1528" t="s">
        <v>118</v>
      </c>
      <c r="C1528" s="2">
        <v>45827</v>
      </c>
      <c r="D1528" t="s">
        <v>29</v>
      </c>
      <c r="E1528">
        <v>2762</v>
      </c>
    </row>
    <row r="1529" spans="1:5" x14ac:dyDescent="0.55000000000000004">
      <c r="A1529" t="s">
        <v>1610</v>
      </c>
      <c r="B1529" t="s">
        <v>15</v>
      </c>
      <c r="C1529" s="2">
        <v>44355</v>
      </c>
      <c r="D1529" t="s">
        <v>29</v>
      </c>
      <c r="E1529">
        <v>426</v>
      </c>
    </row>
    <row r="1530" spans="1:5" x14ac:dyDescent="0.55000000000000004">
      <c r="A1530" t="s">
        <v>1611</v>
      </c>
      <c r="B1530" t="s">
        <v>105</v>
      </c>
      <c r="C1530" s="2">
        <v>44539</v>
      </c>
      <c r="D1530" t="s">
        <v>26</v>
      </c>
      <c r="E1530">
        <v>2252</v>
      </c>
    </row>
    <row r="1531" spans="1:5" x14ac:dyDescent="0.55000000000000004">
      <c r="A1531" t="s">
        <v>1612</v>
      </c>
      <c r="B1531" t="s">
        <v>101</v>
      </c>
      <c r="C1531" s="2">
        <v>43950</v>
      </c>
      <c r="D1531" t="s">
        <v>29</v>
      </c>
      <c r="E1531">
        <v>2693</v>
      </c>
    </row>
    <row r="1532" spans="1:5" x14ac:dyDescent="0.55000000000000004">
      <c r="A1532" t="s">
        <v>1613</v>
      </c>
      <c r="B1532" t="s">
        <v>105</v>
      </c>
      <c r="C1532" s="2">
        <v>44010</v>
      </c>
      <c r="D1532" t="s">
        <v>29</v>
      </c>
      <c r="E1532">
        <v>1443</v>
      </c>
    </row>
    <row r="1533" spans="1:5" x14ac:dyDescent="0.55000000000000004">
      <c r="A1533" t="s">
        <v>1614</v>
      </c>
      <c r="B1533" t="s">
        <v>94</v>
      </c>
      <c r="C1533" s="2">
        <v>44756</v>
      </c>
      <c r="D1533" t="s">
        <v>29</v>
      </c>
      <c r="E1533">
        <v>1522</v>
      </c>
    </row>
    <row r="1534" spans="1:5" x14ac:dyDescent="0.55000000000000004">
      <c r="A1534" t="s">
        <v>1615</v>
      </c>
      <c r="B1534" t="s">
        <v>140</v>
      </c>
      <c r="C1534" s="2">
        <v>44482</v>
      </c>
      <c r="D1534" t="s">
        <v>29</v>
      </c>
      <c r="E1534">
        <v>2973</v>
      </c>
    </row>
    <row r="1535" spans="1:5" x14ac:dyDescent="0.55000000000000004">
      <c r="A1535" t="s">
        <v>1616</v>
      </c>
      <c r="B1535" t="s">
        <v>111</v>
      </c>
      <c r="C1535" s="2">
        <v>44163</v>
      </c>
      <c r="D1535" t="s">
        <v>26</v>
      </c>
      <c r="E1535">
        <v>2306</v>
      </c>
    </row>
    <row r="1536" spans="1:5" x14ac:dyDescent="0.55000000000000004">
      <c r="A1536" t="s">
        <v>1617</v>
      </c>
      <c r="B1536" t="s">
        <v>99</v>
      </c>
      <c r="C1536" s="2">
        <v>44342</v>
      </c>
      <c r="D1536" t="s">
        <v>29</v>
      </c>
      <c r="E1536">
        <v>2253</v>
      </c>
    </row>
    <row r="1537" spans="1:5" x14ac:dyDescent="0.55000000000000004">
      <c r="A1537" t="s">
        <v>1618</v>
      </c>
      <c r="B1537" t="s">
        <v>78</v>
      </c>
      <c r="C1537" s="2">
        <v>44506</v>
      </c>
      <c r="D1537" t="s">
        <v>29</v>
      </c>
      <c r="E1537">
        <v>1853</v>
      </c>
    </row>
    <row r="1538" spans="1:5" x14ac:dyDescent="0.55000000000000004">
      <c r="A1538" t="s">
        <v>1619</v>
      </c>
      <c r="B1538" t="s">
        <v>15</v>
      </c>
      <c r="C1538" s="2">
        <v>43730</v>
      </c>
      <c r="D1538" t="s">
        <v>26</v>
      </c>
      <c r="E1538">
        <v>2974</v>
      </c>
    </row>
    <row r="1539" spans="1:5" x14ac:dyDescent="0.55000000000000004">
      <c r="A1539" t="s">
        <v>1620</v>
      </c>
      <c r="B1539" t="s">
        <v>142</v>
      </c>
      <c r="C1539" s="2">
        <v>43499</v>
      </c>
      <c r="D1539" t="s">
        <v>26</v>
      </c>
      <c r="E1539">
        <v>2120</v>
      </c>
    </row>
    <row r="1540" spans="1:5" x14ac:dyDescent="0.55000000000000004">
      <c r="A1540" t="s">
        <v>1621</v>
      </c>
      <c r="B1540" t="s">
        <v>72</v>
      </c>
      <c r="C1540" s="2">
        <v>43535</v>
      </c>
      <c r="D1540" t="s">
        <v>26</v>
      </c>
      <c r="E1540">
        <v>1230</v>
      </c>
    </row>
    <row r="1541" spans="1:5" x14ac:dyDescent="0.55000000000000004">
      <c r="A1541" t="s">
        <v>1622</v>
      </c>
      <c r="B1541" t="s">
        <v>63</v>
      </c>
      <c r="C1541" s="2">
        <v>43356</v>
      </c>
      <c r="D1541" t="s">
        <v>29</v>
      </c>
      <c r="E1541">
        <v>88</v>
      </c>
    </row>
    <row r="1542" spans="1:5" x14ac:dyDescent="0.55000000000000004">
      <c r="A1542" t="s">
        <v>1623</v>
      </c>
      <c r="B1542" t="s">
        <v>118</v>
      </c>
      <c r="C1542" s="2">
        <v>44596</v>
      </c>
      <c r="D1542" t="s">
        <v>26</v>
      </c>
      <c r="E1542">
        <v>386</v>
      </c>
    </row>
    <row r="1543" spans="1:5" x14ac:dyDescent="0.55000000000000004">
      <c r="A1543" t="s">
        <v>1624</v>
      </c>
      <c r="B1543" t="s">
        <v>142</v>
      </c>
      <c r="C1543" s="2">
        <v>43859</v>
      </c>
      <c r="D1543" t="s">
        <v>29</v>
      </c>
      <c r="E1543">
        <v>639</v>
      </c>
    </row>
    <row r="1544" spans="1:5" x14ac:dyDescent="0.55000000000000004">
      <c r="A1544" t="s">
        <v>1625</v>
      </c>
      <c r="B1544" t="s">
        <v>72</v>
      </c>
      <c r="C1544" s="2">
        <v>43459</v>
      </c>
      <c r="D1544" t="s">
        <v>29</v>
      </c>
      <c r="E1544">
        <v>2384</v>
      </c>
    </row>
    <row r="1545" spans="1:5" x14ac:dyDescent="0.55000000000000004">
      <c r="A1545" t="s">
        <v>1626</v>
      </c>
      <c r="B1545" t="s">
        <v>63</v>
      </c>
      <c r="C1545" s="2">
        <v>43394</v>
      </c>
      <c r="D1545" t="s">
        <v>29</v>
      </c>
      <c r="E1545">
        <v>1230</v>
      </c>
    </row>
    <row r="1546" spans="1:5" x14ac:dyDescent="0.55000000000000004">
      <c r="A1546" t="s">
        <v>1627</v>
      </c>
      <c r="B1546" t="s">
        <v>74</v>
      </c>
      <c r="C1546" s="2">
        <v>44085</v>
      </c>
      <c r="D1546" t="s">
        <v>29</v>
      </c>
      <c r="E1546">
        <v>2330</v>
      </c>
    </row>
    <row r="1547" spans="1:5" x14ac:dyDescent="0.55000000000000004">
      <c r="A1547" t="s">
        <v>1628</v>
      </c>
      <c r="B1547" t="s">
        <v>151</v>
      </c>
      <c r="C1547" s="2">
        <v>44420</v>
      </c>
      <c r="D1547" t="s">
        <v>26</v>
      </c>
      <c r="E1547">
        <v>2963</v>
      </c>
    </row>
    <row r="1548" spans="1:5" x14ac:dyDescent="0.55000000000000004">
      <c r="A1548" t="s">
        <v>1629</v>
      </c>
      <c r="B1548" t="s">
        <v>111</v>
      </c>
      <c r="C1548" s="2">
        <v>44540</v>
      </c>
      <c r="D1548" t="s">
        <v>29</v>
      </c>
      <c r="E1548">
        <v>708</v>
      </c>
    </row>
    <row r="1549" spans="1:5" x14ac:dyDescent="0.55000000000000004">
      <c r="A1549" t="s">
        <v>1630</v>
      </c>
      <c r="B1549" t="s">
        <v>96</v>
      </c>
      <c r="C1549" s="2">
        <v>45826</v>
      </c>
      <c r="D1549" t="s">
        <v>26</v>
      </c>
      <c r="E1549">
        <v>2438</v>
      </c>
    </row>
    <row r="1550" spans="1:5" x14ac:dyDescent="0.55000000000000004">
      <c r="A1550" t="s">
        <v>1631</v>
      </c>
      <c r="B1550" t="s">
        <v>35</v>
      </c>
      <c r="C1550" s="2">
        <v>44446</v>
      </c>
      <c r="D1550" t="s">
        <v>26</v>
      </c>
      <c r="E1550">
        <v>2993</v>
      </c>
    </row>
    <row r="1551" spans="1:5" x14ac:dyDescent="0.55000000000000004">
      <c r="A1551" t="s">
        <v>1632</v>
      </c>
      <c r="B1551" t="s">
        <v>137</v>
      </c>
      <c r="C1551" s="2">
        <v>45826</v>
      </c>
      <c r="D1551" t="s">
        <v>29</v>
      </c>
      <c r="E1551">
        <v>321</v>
      </c>
    </row>
    <row r="1552" spans="1:5" x14ac:dyDescent="0.55000000000000004">
      <c r="A1552" t="s">
        <v>1633</v>
      </c>
      <c r="B1552" t="s">
        <v>118</v>
      </c>
      <c r="C1552" s="2">
        <v>43695</v>
      </c>
      <c r="D1552" t="s">
        <v>29</v>
      </c>
      <c r="E1552">
        <v>1425</v>
      </c>
    </row>
    <row r="1553" spans="1:5" x14ac:dyDescent="0.55000000000000004">
      <c r="A1553" t="s">
        <v>1634</v>
      </c>
      <c r="B1553" t="s">
        <v>94</v>
      </c>
      <c r="C1553" s="2">
        <v>45244</v>
      </c>
      <c r="D1553" t="s">
        <v>29</v>
      </c>
      <c r="E1553">
        <v>493</v>
      </c>
    </row>
    <row r="1554" spans="1:5" x14ac:dyDescent="0.55000000000000004">
      <c r="A1554" t="s">
        <v>1635</v>
      </c>
      <c r="B1554" t="s">
        <v>76</v>
      </c>
      <c r="C1554" s="2">
        <v>44394</v>
      </c>
      <c r="D1554" t="s">
        <v>26</v>
      </c>
      <c r="E1554">
        <v>2596</v>
      </c>
    </row>
    <row r="1555" spans="1:5" x14ac:dyDescent="0.55000000000000004">
      <c r="A1555" t="s">
        <v>1636</v>
      </c>
      <c r="B1555" t="s">
        <v>118</v>
      </c>
      <c r="C1555" s="2">
        <v>45032</v>
      </c>
      <c r="D1555" t="s">
        <v>26</v>
      </c>
      <c r="E1555">
        <v>1248</v>
      </c>
    </row>
    <row r="1556" spans="1:5" x14ac:dyDescent="0.55000000000000004">
      <c r="A1556" t="s">
        <v>1637</v>
      </c>
      <c r="B1556" t="s">
        <v>67</v>
      </c>
      <c r="C1556" s="2">
        <v>43634</v>
      </c>
      <c r="D1556" t="s">
        <v>29</v>
      </c>
      <c r="E1556">
        <v>2211</v>
      </c>
    </row>
    <row r="1557" spans="1:5" x14ac:dyDescent="0.55000000000000004">
      <c r="A1557" t="s">
        <v>1638</v>
      </c>
      <c r="B1557" t="s">
        <v>23</v>
      </c>
      <c r="C1557" s="2">
        <v>44137</v>
      </c>
      <c r="D1557" t="s">
        <v>29</v>
      </c>
      <c r="E1557">
        <v>2057</v>
      </c>
    </row>
    <row r="1558" spans="1:5" x14ac:dyDescent="0.55000000000000004">
      <c r="A1558" t="s">
        <v>1639</v>
      </c>
      <c r="B1558" t="s">
        <v>41</v>
      </c>
      <c r="C1558" s="2">
        <v>44283</v>
      </c>
      <c r="D1558" t="s">
        <v>26</v>
      </c>
      <c r="E1558">
        <v>206</v>
      </c>
    </row>
    <row r="1559" spans="1:5" x14ac:dyDescent="0.55000000000000004">
      <c r="A1559" t="s">
        <v>1640</v>
      </c>
      <c r="B1559" t="s">
        <v>38</v>
      </c>
      <c r="C1559" s="2">
        <v>44635</v>
      </c>
      <c r="D1559" t="s">
        <v>29</v>
      </c>
      <c r="E1559">
        <v>2437</v>
      </c>
    </row>
    <row r="1560" spans="1:5" x14ac:dyDescent="0.55000000000000004">
      <c r="A1560" t="s">
        <v>1641</v>
      </c>
      <c r="B1560" t="s">
        <v>23</v>
      </c>
      <c r="C1560" s="2">
        <v>44864</v>
      </c>
      <c r="D1560" t="s">
        <v>26</v>
      </c>
      <c r="E1560">
        <v>909</v>
      </c>
    </row>
    <row r="1561" spans="1:5" x14ac:dyDescent="0.55000000000000004">
      <c r="A1561" t="s">
        <v>1642</v>
      </c>
      <c r="B1561" t="s">
        <v>140</v>
      </c>
      <c r="C1561" s="2">
        <v>43510</v>
      </c>
      <c r="D1561" t="s">
        <v>29</v>
      </c>
      <c r="E1561">
        <v>606</v>
      </c>
    </row>
    <row r="1562" spans="1:5" x14ac:dyDescent="0.55000000000000004">
      <c r="A1562" t="s">
        <v>1643</v>
      </c>
      <c r="B1562" t="s">
        <v>72</v>
      </c>
      <c r="C1562" s="2">
        <v>43605</v>
      </c>
      <c r="D1562" t="s">
        <v>26</v>
      </c>
      <c r="E1562">
        <v>1949</v>
      </c>
    </row>
    <row r="1563" spans="1:5" x14ac:dyDescent="0.55000000000000004">
      <c r="A1563" t="s">
        <v>1644</v>
      </c>
      <c r="B1563" t="s">
        <v>23</v>
      </c>
      <c r="C1563" s="2">
        <v>43931</v>
      </c>
      <c r="D1563" t="s">
        <v>29</v>
      </c>
      <c r="E1563">
        <v>1075</v>
      </c>
    </row>
    <row r="1564" spans="1:5" x14ac:dyDescent="0.55000000000000004">
      <c r="A1564" t="s">
        <v>1645</v>
      </c>
      <c r="B1564" t="s">
        <v>74</v>
      </c>
      <c r="C1564" s="2">
        <v>43733</v>
      </c>
      <c r="D1564" t="s">
        <v>29</v>
      </c>
      <c r="E1564">
        <v>2858</v>
      </c>
    </row>
    <row r="1565" spans="1:5" x14ac:dyDescent="0.55000000000000004">
      <c r="A1565" t="s">
        <v>1646</v>
      </c>
      <c r="B1565" t="s">
        <v>72</v>
      </c>
      <c r="C1565" s="2">
        <v>44477</v>
      </c>
      <c r="D1565" t="s">
        <v>26</v>
      </c>
      <c r="E1565">
        <v>1969</v>
      </c>
    </row>
    <row r="1566" spans="1:5" x14ac:dyDescent="0.55000000000000004">
      <c r="A1566" t="s">
        <v>1647</v>
      </c>
      <c r="B1566" t="s">
        <v>99</v>
      </c>
      <c r="C1566" s="2">
        <v>44277</v>
      </c>
      <c r="D1566" t="s">
        <v>29</v>
      </c>
      <c r="E1566">
        <v>1619</v>
      </c>
    </row>
    <row r="1567" spans="1:5" x14ac:dyDescent="0.55000000000000004">
      <c r="A1567" t="s">
        <v>1648</v>
      </c>
      <c r="B1567" t="s">
        <v>35</v>
      </c>
      <c r="C1567" s="2">
        <v>44232</v>
      </c>
      <c r="D1567" t="s">
        <v>26</v>
      </c>
      <c r="E1567">
        <v>992</v>
      </c>
    </row>
    <row r="1568" spans="1:5" x14ac:dyDescent="0.55000000000000004">
      <c r="A1568" t="s">
        <v>1649</v>
      </c>
      <c r="B1568" t="s">
        <v>74</v>
      </c>
      <c r="C1568" s="2">
        <v>43462</v>
      </c>
      <c r="D1568" t="s">
        <v>29</v>
      </c>
      <c r="E1568">
        <v>1324</v>
      </c>
    </row>
    <row r="1569" spans="1:5" x14ac:dyDescent="0.55000000000000004">
      <c r="A1569" t="s">
        <v>1650</v>
      </c>
      <c r="B1569" t="s">
        <v>38</v>
      </c>
      <c r="C1569" s="2">
        <v>44014</v>
      </c>
      <c r="D1569" t="s">
        <v>26</v>
      </c>
      <c r="E1569">
        <v>2751</v>
      </c>
    </row>
    <row r="1570" spans="1:5" x14ac:dyDescent="0.55000000000000004">
      <c r="A1570" t="s">
        <v>1651</v>
      </c>
      <c r="B1570" t="s">
        <v>140</v>
      </c>
      <c r="C1570" s="2">
        <v>43784</v>
      </c>
      <c r="D1570" t="s">
        <v>29</v>
      </c>
      <c r="E1570">
        <v>1426</v>
      </c>
    </row>
    <row r="1571" spans="1:5" x14ac:dyDescent="0.55000000000000004">
      <c r="A1571" t="s">
        <v>1652</v>
      </c>
      <c r="B1571" t="s">
        <v>151</v>
      </c>
      <c r="C1571" s="2">
        <v>43573</v>
      </c>
      <c r="D1571" t="s">
        <v>29</v>
      </c>
      <c r="E1571">
        <v>2432</v>
      </c>
    </row>
    <row r="1572" spans="1:5" x14ac:dyDescent="0.55000000000000004">
      <c r="A1572" t="s">
        <v>1653</v>
      </c>
      <c r="B1572" t="s">
        <v>35</v>
      </c>
      <c r="C1572" s="2">
        <v>43880</v>
      </c>
      <c r="D1572" t="s">
        <v>29</v>
      </c>
      <c r="E1572">
        <v>693</v>
      </c>
    </row>
    <row r="1573" spans="1:5" x14ac:dyDescent="0.55000000000000004">
      <c r="A1573" t="s">
        <v>1654</v>
      </c>
      <c r="B1573" t="s">
        <v>86</v>
      </c>
      <c r="C1573" s="2">
        <v>44179</v>
      </c>
      <c r="D1573" t="s">
        <v>29</v>
      </c>
      <c r="E1573">
        <v>2552</v>
      </c>
    </row>
    <row r="1574" spans="1:5" x14ac:dyDescent="0.55000000000000004">
      <c r="A1574" t="s">
        <v>1655</v>
      </c>
      <c r="B1574" t="s">
        <v>72</v>
      </c>
      <c r="C1574" s="2">
        <v>43819</v>
      </c>
      <c r="D1574" t="s">
        <v>26</v>
      </c>
      <c r="E1574">
        <v>956</v>
      </c>
    </row>
    <row r="1575" spans="1:5" x14ac:dyDescent="0.55000000000000004">
      <c r="A1575" t="s">
        <v>1656</v>
      </c>
      <c r="B1575" t="s">
        <v>151</v>
      </c>
      <c r="C1575" s="2">
        <v>44320</v>
      </c>
      <c r="D1575" t="s">
        <v>29</v>
      </c>
      <c r="E1575">
        <v>638</v>
      </c>
    </row>
    <row r="1576" spans="1:5" x14ac:dyDescent="0.55000000000000004">
      <c r="A1576" t="s">
        <v>1657</v>
      </c>
      <c r="B1576" t="s">
        <v>118</v>
      </c>
      <c r="C1576" s="2">
        <v>43817</v>
      </c>
      <c r="D1576" t="s">
        <v>26</v>
      </c>
      <c r="E1576">
        <v>223</v>
      </c>
    </row>
    <row r="1577" spans="1:5" x14ac:dyDescent="0.55000000000000004">
      <c r="A1577" t="s">
        <v>1658</v>
      </c>
      <c r="B1577" t="s">
        <v>63</v>
      </c>
      <c r="C1577" s="2">
        <v>44188</v>
      </c>
      <c r="D1577" t="s">
        <v>26</v>
      </c>
      <c r="E1577">
        <v>1178</v>
      </c>
    </row>
    <row r="1578" spans="1:5" x14ac:dyDescent="0.55000000000000004">
      <c r="A1578" t="s">
        <v>1659</v>
      </c>
      <c r="B1578" t="s">
        <v>14</v>
      </c>
      <c r="C1578" s="2">
        <v>43620</v>
      </c>
      <c r="D1578" t="s">
        <v>26</v>
      </c>
      <c r="E1578">
        <v>1249</v>
      </c>
    </row>
    <row r="1579" spans="1:5" x14ac:dyDescent="0.55000000000000004">
      <c r="A1579" t="s">
        <v>1660</v>
      </c>
      <c r="B1579" t="s">
        <v>15</v>
      </c>
      <c r="C1579" s="2">
        <v>43881</v>
      </c>
      <c r="D1579" t="s">
        <v>26</v>
      </c>
      <c r="E1579">
        <v>1359</v>
      </c>
    </row>
    <row r="1580" spans="1:5" x14ac:dyDescent="0.55000000000000004">
      <c r="A1580" t="s">
        <v>1661</v>
      </c>
      <c r="B1580" t="s">
        <v>151</v>
      </c>
      <c r="C1580" s="2">
        <v>44432</v>
      </c>
      <c r="D1580" t="s">
        <v>26</v>
      </c>
      <c r="E1580">
        <v>834</v>
      </c>
    </row>
    <row r="1581" spans="1:5" x14ac:dyDescent="0.55000000000000004">
      <c r="A1581" t="s">
        <v>1662</v>
      </c>
      <c r="B1581" t="s">
        <v>99</v>
      </c>
      <c r="C1581" s="2">
        <v>45609</v>
      </c>
      <c r="D1581" t="s">
        <v>29</v>
      </c>
      <c r="E1581">
        <v>2247</v>
      </c>
    </row>
    <row r="1582" spans="1:5" x14ac:dyDescent="0.55000000000000004">
      <c r="A1582" t="s">
        <v>1663</v>
      </c>
      <c r="B1582" t="s">
        <v>96</v>
      </c>
      <c r="C1582" s="2">
        <v>44044</v>
      </c>
      <c r="D1582" t="s">
        <v>26</v>
      </c>
      <c r="E1582">
        <v>1542</v>
      </c>
    </row>
    <row r="1583" spans="1:5" x14ac:dyDescent="0.55000000000000004">
      <c r="A1583" t="s">
        <v>1664</v>
      </c>
      <c r="B1583" t="s">
        <v>23</v>
      </c>
      <c r="C1583" s="2">
        <v>44909</v>
      </c>
      <c r="D1583" t="s">
        <v>26</v>
      </c>
      <c r="E1583">
        <v>1046</v>
      </c>
    </row>
    <row r="1584" spans="1:5" x14ac:dyDescent="0.55000000000000004">
      <c r="A1584" t="s">
        <v>1665</v>
      </c>
      <c r="B1584" t="s">
        <v>105</v>
      </c>
      <c r="C1584" s="2">
        <v>43040</v>
      </c>
      <c r="D1584" t="s">
        <v>29</v>
      </c>
      <c r="E1584">
        <v>822</v>
      </c>
    </row>
    <row r="1585" spans="1:5" x14ac:dyDescent="0.55000000000000004">
      <c r="A1585" t="s">
        <v>1666</v>
      </c>
      <c r="B1585" t="s">
        <v>137</v>
      </c>
      <c r="C1585" s="2">
        <v>44577</v>
      </c>
      <c r="D1585" t="s">
        <v>26</v>
      </c>
      <c r="E1585">
        <v>1904</v>
      </c>
    </row>
    <row r="1586" spans="1:5" x14ac:dyDescent="0.55000000000000004">
      <c r="A1586" t="s">
        <v>1667</v>
      </c>
      <c r="B1586" t="s">
        <v>35</v>
      </c>
      <c r="C1586" s="2">
        <v>43848</v>
      </c>
      <c r="D1586" t="s">
        <v>26</v>
      </c>
      <c r="E1586">
        <v>1591</v>
      </c>
    </row>
    <row r="1587" spans="1:5" x14ac:dyDescent="0.55000000000000004">
      <c r="A1587" t="s">
        <v>1668</v>
      </c>
      <c r="B1587" t="s">
        <v>38</v>
      </c>
      <c r="C1587" s="2">
        <v>44386</v>
      </c>
      <c r="D1587" t="s">
        <v>29</v>
      </c>
      <c r="E1587">
        <v>441</v>
      </c>
    </row>
    <row r="1588" spans="1:5" x14ac:dyDescent="0.55000000000000004">
      <c r="A1588" t="s">
        <v>1669</v>
      </c>
      <c r="B1588" t="s">
        <v>14</v>
      </c>
      <c r="C1588" s="2">
        <v>43516</v>
      </c>
      <c r="D1588" t="s">
        <v>29</v>
      </c>
      <c r="E1588">
        <v>946</v>
      </c>
    </row>
    <row r="1589" spans="1:5" x14ac:dyDescent="0.55000000000000004">
      <c r="A1589" t="s">
        <v>1670</v>
      </c>
      <c r="B1589" t="s">
        <v>101</v>
      </c>
      <c r="C1589" s="2">
        <v>43958</v>
      </c>
      <c r="D1589" t="s">
        <v>26</v>
      </c>
      <c r="E1589">
        <v>1292</v>
      </c>
    </row>
    <row r="1590" spans="1:5" x14ac:dyDescent="0.55000000000000004">
      <c r="A1590" t="s">
        <v>1671</v>
      </c>
      <c r="B1590" t="s">
        <v>96</v>
      </c>
      <c r="C1590" s="2">
        <v>45643</v>
      </c>
      <c r="D1590" t="s">
        <v>26</v>
      </c>
      <c r="E1590">
        <v>763</v>
      </c>
    </row>
    <row r="1591" spans="1:5" x14ac:dyDescent="0.55000000000000004">
      <c r="A1591" t="s">
        <v>1672</v>
      </c>
      <c r="B1591" t="s">
        <v>151</v>
      </c>
      <c r="C1591" s="2">
        <v>43942</v>
      </c>
      <c r="D1591" t="s">
        <v>29</v>
      </c>
      <c r="E1591">
        <v>2296</v>
      </c>
    </row>
    <row r="1592" spans="1:5" x14ac:dyDescent="0.55000000000000004">
      <c r="A1592" t="s">
        <v>1673</v>
      </c>
      <c r="B1592" t="s">
        <v>41</v>
      </c>
      <c r="C1592" s="2">
        <v>43875</v>
      </c>
      <c r="D1592" t="s">
        <v>26</v>
      </c>
      <c r="E1592">
        <v>1013</v>
      </c>
    </row>
    <row r="1593" spans="1:5" x14ac:dyDescent="0.55000000000000004">
      <c r="A1593" t="s">
        <v>1674</v>
      </c>
      <c r="B1593" t="s">
        <v>67</v>
      </c>
      <c r="C1593" s="2">
        <v>44714</v>
      </c>
      <c r="D1593" t="s">
        <v>29</v>
      </c>
      <c r="E1593">
        <v>2006</v>
      </c>
    </row>
    <row r="1594" spans="1:5" x14ac:dyDescent="0.55000000000000004">
      <c r="A1594" t="s">
        <v>1675</v>
      </c>
      <c r="B1594" t="s">
        <v>101</v>
      </c>
      <c r="C1594" s="2">
        <v>44441</v>
      </c>
      <c r="D1594" t="s">
        <v>26</v>
      </c>
      <c r="E1594">
        <v>75</v>
      </c>
    </row>
    <row r="1595" spans="1:5" x14ac:dyDescent="0.55000000000000004">
      <c r="A1595" t="s">
        <v>1676</v>
      </c>
      <c r="B1595" t="s">
        <v>86</v>
      </c>
      <c r="C1595" s="2">
        <v>44318</v>
      </c>
      <c r="D1595" t="s">
        <v>29</v>
      </c>
      <c r="E1595">
        <v>1455</v>
      </c>
    </row>
    <row r="1596" spans="1:5" x14ac:dyDescent="0.55000000000000004">
      <c r="A1596" t="s">
        <v>1677</v>
      </c>
      <c r="B1596" t="s">
        <v>35</v>
      </c>
      <c r="C1596" s="2">
        <v>44450</v>
      </c>
      <c r="D1596" t="s">
        <v>26</v>
      </c>
      <c r="E1596">
        <v>2053</v>
      </c>
    </row>
    <row r="1597" spans="1:5" x14ac:dyDescent="0.55000000000000004">
      <c r="A1597" t="s">
        <v>1678</v>
      </c>
      <c r="B1597" t="s">
        <v>84</v>
      </c>
      <c r="C1597" s="2">
        <v>43043</v>
      </c>
      <c r="D1597" t="s">
        <v>29</v>
      </c>
      <c r="E1597">
        <v>1585</v>
      </c>
    </row>
    <row r="1598" spans="1:5" x14ac:dyDescent="0.55000000000000004">
      <c r="A1598" t="s">
        <v>1679</v>
      </c>
      <c r="B1598" t="s">
        <v>94</v>
      </c>
      <c r="C1598" s="2">
        <v>43586</v>
      </c>
      <c r="D1598" t="s">
        <v>29</v>
      </c>
      <c r="E1598">
        <v>923</v>
      </c>
    </row>
    <row r="1599" spans="1:5" x14ac:dyDescent="0.55000000000000004">
      <c r="A1599" t="s">
        <v>1680</v>
      </c>
      <c r="B1599" t="s">
        <v>72</v>
      </c>
      <c r="C1599" s="2">
        <v>43616</v>
      </c>
      <c r="D1599" t="s">
        <v>29</v>
      </c>
      <c r="E1599">
        <v>2690</v>
      </c>
    </row>
    <row r="1600" spans="1:5" x14ac:dyDescent="0.55000000000000004">
      <c r="A1600" t="s">
        <v>1681</v>
      </c>
      <c r="B1600" t="s">
        <v>72</v>
      </c>
      <c r="C1600" s="2">
        <v>43096</v>
      </c>
      <c r="D1600" t="s">
        <v>29</v>
      </c>
      <c r="E1600">
        <v>2132</v>
      </c>
    </row>
    <row r="1601" spans="1:5" x14ac:dyDescent="0.55000000000000004">
      <c r="A1601" t="s">
        <v>1682</v>
      </c>
      <c r="B1601" t="s">
        <v>38</v>
      </c>
      <c r="C1601" s="2">
        <v>44296</v>
      </c>
      <c r="D1601" t="s">
        <v>29</v>
      </c>
      <c r="E1601">
        <v>984</v>
      </c>
    </row>
    <row r="1602" spans="1:5" x14ac:dyDescent="0.55000000000000004">
      <c r="A1602" t="s">
        <v>1683</v>
      </c>
      <c r="B1602" t="s">
        <v>23</v>
      </c>
      <c r="C1602" s="2">
        <v>44143</v>
      </c>
      <c r="D1602" t="s">
        <v>29</v>
      </c>
      <c r="E1602">
        <v>1279</v>
      </c>
    </row>
    <row r="1603" spans="1:5" x14ac:dyDescent="0.55000000000000004">
      <c r="A1603" t="s">
        <v>1684</v>
      </c>
      <c r="B1603" t="s">
        <v>32</v>
      </c>
      <c r="C1603" s="2">
        <v>44505</v>
      </c>
      <c r="D1603" t="s">
        <v>29</v>
      </c>
      <c r="E1603">
        <v>2220</v>
      </c>
    </row>
    <row r="1604" spans="1:5" x14ac:dyDescent="0.55000000000000004">
      <c r="A1604" t="s">
        <v>1685</v>
      </c>
      <c r="B1604" t="s">
        <v>72</v>
      </c>
      <c r="C1604" s="2">
        <v>43340</v>
      </c>
      <c r="D1604" t="s">
        <v>26</v>
      </c>
      <c r="E1604">
        <v>2379</v>
      </c>
    </row>
    <row r="1605" spans="1:5" x14ac:dyDescent="0.55000000000000004">
      <c r="A1605" t="s">
        <v>1686</v>
      </c>
      <c r="B1605" t="s">
        <v>99</v>
      </c>
      <c r="C1605" s="2">
        <v>44294</v>
      </c>
      <c r="D1605" t="s">
        <v>26</v>
      </c>
      <c r="E1605">
        <v>1265</v>
      </c>
    </row>
    <row r="1606" spans="1:5" x14ac:dyDescent="0.55000000000000004">
      <c r="A1606" t="s">
        <v>1687</v>
      </c>
      <c r="B1606" t="s">
        <v>41</v>
      </c>
      <c r="C1606" s="2">
        <v>44903</v>
      </c>
      <c r="D1606" t="s">
        <v>26</v>
      </c>
      <c r="E1606">
        <v>1761</v>
      </c>
    </row>
    <row r="1607" spans="1:5" x14ac:dyDescent="0.55000000000000004">
      <c r="A1607" t="s">
        <v>1688</v>
      </c>
      <c r="B1607" t="s">
        <v>118</v>
      </c>
      <c r="C1607" s="2">
        <v>44060</v>
      </c>
      <c r="D1607" t="s">
        <v>26</v>
      </c>
      <c r="E1607">
        <v>1300</v>
      </c>
    </row>
    <row r="1608" spans="1:5" x14ac:dyDescent="0.55000000000000004">
      <c r="A1608" t="s">
        <v>1689</v>
      </c>
      <c r="B1608" t="s">
        <v>74</v>
      </c>
      <c r="C1608" s="2">
        <v>44058</v>
      </c>
      <c r="D1608" t="s">
        <v>26</v>
      </c>
      <c r="E1608">
        <v>754</v>
      </c>
    </row>
    <row r="1609" spans="1:5" x14ac:dyDescent="0.55000000000000004">
      <c r="A1609" t="s">
        <v>1690</v>
      </c>
      <c r="B1609" t="s">
        <v>111</v>
      </c>
      <c r="C1609" s="2">
        <v>43215</v>
      </c>
      <c r="D1609" t="s">
        <v>26</v>
      </c>
      <c r="E1609">
        <v>1305</v>
      </c>
    </row>
    <row r="1610" spans="1:5" x14ac:dyDescent="0.55000000000000004">
      <c r="A1610" t="s">
        <v>1691</v>
      </c>
      <c r="B1610" t="s">
        <v>94</v>
      </c>
      <c r="C1610" s="2">
        <v>45161</v>
      </c>
      <c r="D1610" t="s">
        <v>29</v>
      </c>
      <c r="E1610">
        <v>1242</v>
      </c>
    </row>
    <row r="1611" spans="1:5" x14ac:dyDescent="0.55000000000000004">
      <c r="A1611" t="s">
        <v>1692</v>
      </c>
      <c r="B1611" t="s">
        <v>15</v>
      </c>
      <c r="C1611" s="2">
        <v>44444</v>
      </c>
      <c r="D1611" t="s">
        <v>29</v>
      </c>
      <c r="E1611">
        <v>622</v>
      </c>
    </row>
    <row r="1612" spans="1:5" x14ac:dyDescent="0.55000000000000004">
      <c r="A1612" t="s">
        <v>1693</v>
      </c>
      <c r="B1612" t="s">
        <v>118</v>
      </c>
      <c r="C1612" s="2">
        <v>44235</v>
      </c>
      <c r="D1612" t="s">
        <v>26</v>
      </c>
      <c r="E1612">
        <v>538</v>
      </c>
    </row>
    <row r="1613" spans="1:5" x14ac:dyDescent="0.55000000000000004">
      <c r="A1613" t="s">
        <v>1694</v>
      </c>
      <c r="B1613" t="s">
        <v>105</v>
      </c>
      <c r="C1613" s="2">
        <v>42970</v>
      </c>
      <c r="D1613" t="s">
        <v>29</v>
      </c>
      <c r="E1613">
        <v>2480</v>
      </c>
    </row>
    <row r="1614" spans="1:5" x14ac:dyDescent="0.55000000000000004">
      <c r="A1614" t="s">
        <v>1695</v>
      </c>
      <c r="B1614" t="s">
        <v>23</v>
      </c>
      <c r="C1614" s="2">
        <v>44303</v>
      </c>
      <c r="D1614" t="s">
        <v>26</v>
      </c>
      <c r="E1614">
        <v>945</v>
      </c>
    </row>
    <row r="1615" spans="1:5" x14ac:dyDescent="0.55000000000000004">
      <c r="A1615" t="s">
        <v>1696</v>
      </c>
      <c r="B1615" t="s">
        <v>38</v>
      </c>
      <c r="C1615" s="2">
        <v>43884</v>
      </c>
      <c r="D1615" t="s">
        <v>29</v>
      </c>
      <c r="E1615">
        <v>325</v>
      </c>
    </row>
    <row r="1616" spans="1:5" x14ac:dyDescent="0.55000000000000004">
      <c r="A1616" t="s">
        <v>1697</v>
      </c>
      <c r="B1616" t="s">
        <v>41</v>
      </c>
      <c r="C1616" s="2">
        <v>44807</v>
      </c>
      <c r="D1616" t="s">
        <v>26</v>
      </c>
      <c r="E1616">
        <v>2057</v>
      </c>
    </row>
    <row r="1617" spans="1:5" x14ac:dyDescent="0.55000000000000004">
      <c r="A1617" t="s">
        <v>1698</v>
      </c>
      <c r="B1617" t="s">
        <v>76</v>
      </c>
      <c r="C1617" s="2">
        <v>45386</v>
      </c>
      <c r="D1617" t="s">
        <v>29</v>
      </c>
      <c r="E1617">
        <v>753</v>
      </c>
    </row>
    <row r="1618" spans="1:5" x14ac:dyDescent="0.55000000000000004">
      <c r="A1618" t="s">
        <v>1699</v>
      </c>
      <c r="B1618" t="s">
        <v>76</v>
      </c>
      <c r="C1618" s="2">
        <v>45053</v>
      </c>
      <c r="D1618" t="s">
        <v>29</v>
      </c>
      <c r="E1618">
        <v>1940</v>
      </c>
    </row>
    <row r="1619" spans="1:5" x14ac:dyDescent="0.55000000000000004">
      <c r="A1619" t="s">
        <v>1700</v>
      </c>
      <c r="B1619" t="s">
        <v>72</v>
      </c>
      <c r="C1619" s="2">
        <v>43252</v>
      </c>
      <c r="D1619" t="s">
        <v>26</v>
      </c>
      <c r="E1619">
        <v>926</v>
      </c>
    </row>
    <row r="1620" spans="1:5" x14ac:dyDescent="0.55000000000000004">
      <c r="A1620" t="s">
        <v>1701</v>
      </c>
      <c r="B1620" t="s">
        <v>142</v>
      </c>
      <c r="C1620" s="2">
        <v>43753</v>
      </c>
      <c r="D1620" t="s">
        <v>26</v>
      </c>
      <c r="E1620">
        <v>1105</v>
      </c>
    </row>
    <row r="1621" spans="1:5" x14ac:dyDescent="0.55000000000000004">
      <c r="A1621" t="s">
        <v>1702</v>
      </c>
      <c r="B1621" t="s">
        <v>140</v>
      </c>
      <c r="C1621" s="2">
        <v>43372</v>
      </c>
      <c r="D1621" t="s">
        <v>26</v>
      </c>
      <c r="E1621">
        <v>837</v>
      </c>
    </row>
    <row r="1622" spans="1:5" x14ac:dyDescent="0.55000000000000004">
      <c r="A1622" t="s">
        <v>1703</v>
      </c>
      <c r="B1622" t="s">
        <v>74</v>
      </c>
      <c r="C1622" s="2">
        <v>43279</v>
      </c>
      <c r="D1622" t="s">
        <v>29</v>
      </c>
      <c r="E1622">
        <v>2527</v>
      </c>
    </row>
    <row r="1623" spans="1:5" x14ac:dyDescent="0.55000000000000004">
      <c r="A1623" t="s">
        <v>1704</v>
      </c>
      <c r="B1623" t="s">
        <v>96</v>
      </c>
      <c r="C1623" s="2">
        <v>44796</v>
      </c>
      <c r="D1623" t="s">
        <v>29</v>
      </c>
      <c r="E1623">
        <v>1010</v>
      </c>
    </row>
    <row r="1624" spans="1:5" x14ac:dyDescent="0.55000000000000004">
      <c r="A1624" t="s">
        <v>1705</v>
      </c>
      <c r="B1624" t="s">
        <v>140</v>
      </c>
      <c r="C1624" s="2">
        <v>43746</v>
      </c>
      <c r="D1624" t="s">
        <v>26</v>
      </c>
      <c r="E1624">
        <v>2490</v>
      </c>
    </row>
    <row r="1625" spans="1:5" x14ac:dyDescent="0.55000000000000004">
      <c r="A1625" t="s">
        <v>1706</v>
      </c>
      <c r="B1625" t="s">
        <v>78</v>
      </c>
      <c r="C1625" s="2">
        <v>45024</v>
      </c>
      <c r="D1625" t="s">
        <v>29</v>
      </c>
      <c r="E1625">
        <v>1614</v>
      </c>
    </row>
    <row r="1626" spans="1:5" x14ac:dyDescent="0.55000000000000004">
      <c r="A1626" t="s">
        <v>1707</v>
      </c>
      <c r="B1626" t="s">
        <v>32</v>
      </c>
      <c r="C1626" s="2">
        <v>44906</v>
      </c>
      <c r="D1626" t="s">
        <v>26</v>
      </c>
      <c r="E1626">
        <v>2132</v>
      </c>
    </row>
    <row r="1627" spans="1:5" x14ac:dyDescent="0.55000000000000004">
      <c r="A1627" t="s">
        <v>1708</v>
      </c>
      <c r="B1627" t="s">
        <v>115</v>
      </c>
      <c r="C1627" s="2">
        <v>43841</v>
      </c>
      <c r="D1627" t="s">
        <v>29</v>
      </c>
      <c r="E1627">
        <v>173</v>
      </c>
    </row>
    <row r="1628" spans="1:5" x14ac:dyDescent="0.55000000000000004">
      <c r="A1628" t="s">
        <v>1709</v>
      </c>
      <c r="B1628" t="s">
        <v>94</v>
      </c>
      <c r="C1628" s="2">
        <v>44472</v>
      </c>
      <c r="D1628" t="s">
        <v>29</v>
      </c>
      <c r="E1628">
        <v>160</v>
      </c>
    </row>
    <row r="1629" spans="1:5" x14ac:dyDescent="0.55000000000000004">
      <c r="A1629" t="s">
        <v>1710</v>
      </c>
      <c r="B1629" t="s">
        <v>99</v>
      </c>
      <c r="C1629" s="2">
        <v>45052</v>
      </c>
      <c r="D1629" t="s">
        <v>26</v>
      </c>
      <c r="E1629">
        <v>777</v>
      </c>
    </row>
    <row r="1630" spans="1:5" x14ac:dyDescent="0.55000000000000004">
      <c r="A1630" t="s">
        <v>1711</v>
      </c>
      <c r="B1630" t="s">
        <v>156</v>
      </c>
      <c r="C1630" s="2">
        <v>43817</v>
      </c>
      <c r="D1630" t="s">
        <v>29</v>
      </c>
      <c r="E1630">
        <v>1247</v>
      </c>
    </row>
    <row r="1631" spans="1:5" x14ac:dyDescent="0.55000000000000004">
      <c r="A1631" t="s">
        <v>1712</v>
      </c>
      <c r="B1631" t="s">
        <v>118</v>
      </c>
      <c r="C1631" s="2">
        <v>44637</v>
      </c>
      <c r="D1631" t="s">
        <v>29</v>
      </c>
      <c r="E1631">
        <v>681</v>
      </c>
    </row>
    <row r="1632" spans="1:5" x14ac:dyDescent="0.55000000000000004">
      <c r="A1632" t="s">
        <v>1713</v>
      </c>
      <c r="B1632" t="s">
        <v>140</v>
      </c>
      <c r="C1632" s="2">
        <v>43519</v>
      </c>
      <c r="D1632" t="s">
        <v>26</v>
      </c>
      <c r="E1632">
        <v>2826</v>
      </c>
    </row>
    <row r="1633" spans="1:5" x14ac:dyDescent="0.55000000000000004">
      <c r="A1633" t="s">
        <v>1714</v>
      </c>
      <c r="B1633" t="s">
        <v>67</v>
      </c>
      <c r="C1633" s="2">
        <v>44048</v>
      </c>
      <c r="D1633" t="s">
        <v>29</v>
      </c>
      <c r="E1633">
        <v>2646</v>
      </c>
    </row>
    <row r="1634" spans="1:5" x14ac:dyDescent="0.55000000000000004">
      <c r="A1634" t="s">
        <v>1715</v>
      </c>
      <c r="B1634" t="s">
        <v>15</v>
      </c>
      <c r="C1634" s="2">
        <v>43102</v>
      </c>
      <c r="D1634" t="s">
        <v>26</v>
      </c>
      <c r="E1634">
        <v>736</v>
      </c>
    </row>
    <row r="1635" spans="1:5" x14ac:dyDescent="0.55000000000000004">
      <c r="A1635" t="s">
        <v>1716</v>
      </c>
      <c r="B1635" t="s">
        <v>118</v>
      </c>
      <c r="C1635" s="2">
        <v>45704</v>
      </c>
      <c r="D1635" t="s">
        <v>26</v>
      </c>
      <c r="E1635">
        <v>1610</v>
      </c>
    </row>
    <row r="1636" spans="1:5" x14ac:dyDescent="0.55000000000000004">
      <c r="A1636" t="s">
        <v>1717</v>
      </c>
      <c r="B1636" t="s">
        <v>140</v>
      </c>
      <c r="C1636" s="2">
        <v>43579</v>
      </c>
      <c r="D1636" t="s">
        <v>29</v>
      </c>
      <c r="E1636">
        <v>102</v>
      </c>
    </row>
    <row r="1637" spans="1:5" x14ac:dyDescent="0.55000000000000004">
      <c r="A1637" t="s">
        <v>1718</v>
      </c>
      <c r="B1637" t="s">
        <v>105</v>
      </c>
      <c r="C1637" s="2">
        <v>43846</v>
      </c>
      <c r="D1637" t="s">
        <v>26</v>
      </c>
      <c r="E1637">
        <v>1862</v>
      </c>
    </row>
    <row r="1638" spans="1:5" x14ac:dyDescent="0.55000000000000004">
      <c r="A1638" t="s">
        <v>1719</v>
      </c>
      <c r="B1638" t="s">
        <v>74</v>
      </c>
      <c r="C1638" s="2">
        <v>43429</v>
      </c>
      <c r="D1638" t="s">
        <v>29</v>
      </c>
      <c r="E1638">
        <v>2833</v>
      </c>
    </row>
    <row r="1639" spans="1:5" x14ac:dyDescent="0.55000000000000004">
      <c r="A1639" t="s">
        <v>1720</v>
      </c>
      <c r="B1639" t="s">
        <v>35</v>
      </c>
      <c r="C1639" s="2">
        <v>44166</v>
      </c>
      <c r="D1639" t="s">
        <v>26</v>
      </c>
      <c r="E1639">
        <v>373</v>
      </c>
    </row>
    <row r="1640" spans="1:5" x14ac:dyDescent="0.55000000000000004">
      <c r="A1640" t="s">
        <v>1721</v>
      </c>
      <c r="B1640" t="s">
        <v>115</v>
      </c>
      <c r="C1640" s="2">
        <v>44363</v>
      </c>
      <c r="D1640" t="s">
        <v>29</v>
      </c>
      <c r="E1640">
        <v>2597</v>
      </c>
    </row>
    <row r="1641" spans="1:5" x14ac:dyDescent="0.55000000000000004">
      <c r="A1641" t="s">
        <v>1722</v>
      </c>
      <c r="B1641" t="s">
        <v>86</v>
      </c>
      <c r="C1641" s="2">
        <v>43091</v>
      </c>
      <c r="D1641" t="s">
        <v>29</v>
      </c>
      <c r="E1641">
        <v>2977</v>
      </c>
    </row>
    <row r="1642" spans="1:5" x14ac:dyDescent="0.55000000000000004">
      <c r="A1642" t="s">
        <v>1723</v>
      </c>
      <c r="B1642" t="s">
        <v>137</v>
      </c>
      <c r="C1642" s="2">
        <v>45561</v>
      </c>
      <c r="D1642" t="s">
        <v>26</v>
      </c>
      <c r="E1642">
        <v>1551</v>
      </c>
    </row>
    <row r="1643" spans="1:5" x14ac:dyDescent="0.55000000000000004">
      <c r="A1643" t="s">
        <v>1724</v>
      </c>
      <c r="B1643" t="s">
        <v>99</v>
      </c>
      <c r="C1643" s="2">
        <v>45024</v>
      </c>
      <c r="D1643" t="s">
        <v>26</v>
      </c>
      <c r="E1643">
        <v>699</v>
      </c>
    </row>
    <row r="1644" spans="1:5" x14ac:dyDescent="0.55000000000000004">
      <c r="A1644" t="s">
        <v>1725</v>
      </c>
      <c r="B1644" t="s">
        <v>111</v>
      </c>
      <c r="C1644" s="2">
        <v>44075</v>
      </c>
      <c r="D1644" t="s">
        <v>26</v>
      </c>
      <c r="E1644">
        <v>664</v>
      </c>
    </row>
    <row r="1645" spans="1:5" x14ac:dyDescent="0.55000000000000004">
      <c r="A1645" t="s">
        <v>1726</v>
      </c>
      <c r="B1645" t="s">
        <v>76</v>
      </c>
      <c r="C1645" s="2">
        <v>44058</v>
      </c>
      <c r="D1645" t="s">
        <v>26</v>
      </c>
      <c r="E1645">
        <v>2916</v>
      </c>
    </row>
    <row r="1646" spans="1:5" x14ac:dyDescent="0.55000000000000004">
      <c r="A1646" t="s">
        <v>1727</v>
      </c>
      <c r="B1646" t="s">
        <v>142</v>
      </c>
      <c r="C1646" s="2">
        <v>43776</v>
      </c>
      <c r="D1646" t="s">
        <v>29</v>
      </c>
      <c r="E1646">
        <v>1267</v>
      </c>
    </row>
    <row r="1647" spans="1:5" x14ac:dyDescent="0.55000000000000004">
      <c r="A1647" t="s">
        <v>1728</v>
      </c>
      <c r="B1647" t="s">
        <v>78</v>
      </c>
      <c r="C1647" s="2">
        <v>45293</v>
      </c>
      <c r="D1647" t="s">
        <v>29</v>
      </c>
      <c r="E1647">
        <v>2565</v>
      </c>
    </row>
    <row r="1648" spans="1:5" x14ac:dyDescent="0.55000000000000004">
      <c r="A1648" t="s">
        <v>1729</v>
      </c>
      <c r="B1648" t="s">
        <v>105</v>
      </c>
      <c r="C1648" s="2">
        <v>43157</v>
      </c>
      <c r="D1648" t="s">
        <v>26</v>
      </c>
      <c r="E1648">
        <v>830</v>
      </c>
    </row>
    <row r="1649" spans="1:5" x14ac:dyDescent="0.55000000000000004">
      <c r="A1649" t="s">
        <v>1730</v>
      </c>
      <c r="B1649" t="s">
        <v>14</v>
      </c>
      <c r="C1649" s="2">
        <v>44192</v>
      </c>
      <c r="D1649" t="s">
        <v>29</v>
      </c>
      <c r="E1649">
        <v>50</v>
      </c>
    </row>
    <row r="1650" spans="1:5" x14ac:dyDescent="0.55000000000000004">
      <c r="A1650" t="s">
        <v>1731</v>
      </c>
      <c r="B1650" t="s">
        <v>15</v>
      </c>
      <c r="C1650" s="2">
        <v>43936</v>
      </c>
      <c r="D1650" t="s">
        <v>29</v>
      </c>
      <c r="E1650">
        <v>2226</v>
      </c>
    </row>
    <row r="1651" spans="1:5" x14ac:dyDescent="0.55000000000000004">
      <c r="A1651" t="s">
        <v>1732</v>
      </c>
      <c r="B1651" t="s">
        <v>137</v>
      </c>
      <c r="C1651" s="2">
        <v>43489</v>
      </c>
      <c r="D1651" t="s">
        <v>29</v>
      </c>
      <c r="E1651">
        <v>974</v>
      </c>
    </row>
    <row r="1652" spans="1:5" x14ac:dyDescent="0.55000000000000004">
      <c r="A1652" t="s">
        <v>1733</v>
      </c>
      <c r="B1652" t="s">
        <v>151</v>
      </c>
      <c r="C1652" s="2">
        <v>44122</v>
      </c>
      <c r="D1652" t="s">
        <v>29</v>
      </c>
      <c r="E1652">
        <v>1858</v>
      </c>
    </row>
    <row r="1653" spans="1:5" x14ac:dyDescent="0.55000000000000004">
      <c r="A1653" t="s">
        <v>1734</v>
      </c>
      <c r="B1653" t="s">
        <v>140</v>
      </c>
      <c r="C1653" s="2">
        <v>43821</v>
      </c>
      <c r="D1653" t="s">
        <v>26</v>
      </c>
      <c r="E1653">
        <v>2462</v>
      </c>
    </row>
    <row r="1654" spans="1:5" x14ac:dyDescent="0.55000000000000004">
      <c r="A1654" t="s">
        <v>1735</v>
      </c>
      <c r="B1654" t="s">
        <v>32</v>
      </c>
      <c r="C1654" s="2">
        <v>43844</v>
      </c>
      <c r="D1654" t="s">
        <v>26</v>
      </c>
      <c r="E1654">
        <v>2241</v>
      </c>
    </row>
    <row r="1655" spans="1:5" x14ac:dyDescent="0.55000000000000004">
      <c r="A1655" t="s">
        <v>1736</v>
      </c>
      <c r="B1655" t="s">
        <v>84</v>
      </c>
      <c r="C1655" s="2">
        <v>44186</v>
      </c>
      <c r="D1655" t="s">
        <v>26</v>
      </c>
      <c r="E1655">
        <v>200</v>
      </c>
    </row>
    <row r="1656" spans="1:5" x14ac:dyDescent="0.55000000000000004">
      <c r="A1656" t="s">
        <v>1737</v>
      </c>
      <c r="B1656" t="s">
        <v>105</v>
      </c>
      <c r="C1656" s="2">
        <v>43220</v>
      </c>
      <c r="D1656" t="s">
        <v>26</v>
      </c>
      <c r="E1656">
        <v>2675</v>
      </c>
    </row>
    <row r="1657" spans="1:5" x14ac:dyDescent="0.55000000000000004">
      <c r="A1657" t="s">
        <v>1738</v>
      </c>
      <c r="B1657" t="s">
        <v>86</v>
      </c>
      <c r="C1657" s="2">
        <v>42992</v>
      </c>
      <c r="D1657" t="s">
        <v>26</v>
      </c>
      <c r="E1657">
        <v>132</v>
      </c>
    </row>
    <row r="1658" spans="1:5" x14ac:dyDescent="0.55000000000000004">
      <c r="A1658" t="s">
        <v>1739</v>
      </c>
      <c r="B1658" t="s">
        <v>38</v>
      </c>
      <c r="C1658" s="2">
        <v>44442</v>
      </c>
      <c r="D1658" t="s">
        <v>29</v>
      </c>
      <c r="E1658">
        <v>359</v>
      </c>
    </row>
    <row r="1659" spans="1:5" x14ac:dyDescent="0.55000000000000004">
      <c r="A1659" t="s">
        <v>1740</v>
      </c>
      <c r="B1659" t="s">
        <v>142</v>
      </c>
      <c r="C1659" s="2">
        <v>43140</v>
      </c>
      <c r="D1659" t="s">
        <v>29</v>
      </c>
      <c r="E1659">
        <v>730</v>
      </c>
    </row>
    <row r="1660" spans="1:5" x14ac:dyDescent="0.55000000000000004">
      <c r="A1660" t="s">
        <v>1741</v>
      </c>
      <c r="B1660" t="s">
        <v>105</v>
      </c>
      <c r="C1660" s="2">
        <v>44293</v>
      </c>
      <c r="D1660" t="s">
        <v>29</v>
      </c>
      <c r="E1660">
        <v>2503</v>
      </c>
    </row>
    <row r="1661" spans="1:5" x14ac:dyDescent="0.55000000000000004">
      <c r="A1661" t="s">
        <v>1742</v>
      </c>
      <c r="B1661" t="s">
        <v>38</v>
      </c>
      <c r="C1661" s="2">
        <v>44194</v>
      </c>
      <c r="D1661" t="s">
        <v>29</v>
      </c>
      <c r="E1661">
        <v>2371</v>
      </c>
    </row>
    <row r="1662" spans="1:5" x14ac:dyDescent="0.55000000000000004">
      <c r="A1662" t="s">
        <v>1743</v>
      </c>
      <c r="B1662" t="s">
        <v>86</v>
      </c>
      <c r="C1662" s="2">
        <v>42990</v>
      </c>
      <c r="D1662" t="s">
        <v>26</v>
      </c>
      <c r="E1662">
        <v>1225</v>
      </c>
    </row>
    <row r="1663" spans="1:5" x14ac:dyDescent="0.55000000000000004">
      <c r="A1663" t="s">
        <v>1744</v>
      </c>
      <c r="B1663" t="s">
        <v>111</v>
      </c>
      <c r="C1663" s="2">
        <v>43671</v>
      </c>
      <c r="D1663" t="s">
        <v>29</v>
      </c>
      <c r="E1663">
        <v>277</v>
      </c>
    </row>
    <row r="1664" spans="1:5" x14ac:dyDescent="0.55000000000000004">
      <c r="A1664" t="s">
        <v>1745</v>
      </c>
      <c r="B1664" t="s">
        <v>118</v>
      </c>
      <c r="C1664" s="2">
        <v>45216</v>
      </c>
      <c r="D1664" t="s">
        <v>26</v>
      </c>
      <c r="E1664">
        <v>1199</v>
      </c>
    </row>
    <row r="1665" spans="1:5" x14ac:dyDescent="0.55000000000000004">
      <c r="A1665" t="s">
        <v>1746</v>
      </c>
      <c r="B1665" t="s">
        <v>96</v>
      </c>
      <c r="C1665" s="2">
        <v>44017</v>
      </c>
      <c r="D1665" t="s">
        <v>26</v>
      </c>
      <c r="E1665">
        <v>2845</v>
      </c>
    </row>
    <row r="1666" spans="1:5" x14ac:dyDescent="0.55000000000000004">
      <c r="A1666" t="s">
        <v>1747</v>
      </c>
      <c r="B1666" t="s">
        <v>76</v>
      </c>
      <c r="C1666" s="2">
        <v>44590</v>
      </c>
      <c r="D1666" t="s">
        <v>29</v>
      </c>
      <c r="E1666">
        <v>2158</v>
      </c>
    </row>
    <row r="1667" spans="1:5" x14ac:dyDescent="0.55000000000000004">
      <c r="A1667" t="s">
        <v>1748</v>
      </c>
      <c r="B1667" t="s">
        <v>140</v>
      </c>
      <c r="C1667" s="2">
        <v>43991</v>
      </c>
      <c r="D1667" t="s">
        <v>26</v>
      </c>
      <c r="E1667">
        <v>2850</v>
      </c>
    </row>
    <row r="1668" spans="1:5" x14ac:dyDescent="0.55000000000000004">
      <c r="A1668" t="s">
        <v>1749</v>
      </c>
      <c r="B1668" t="s">
        <v>151</v>
      </c>
      <c r="C1668" s="2">
        <v>44170</v>
      </c>
      <c r="D1668" t="s">
        <v>26</v>
      </c>
      <c r="E1668">
        <v>447</v>
      </c>
    </row>
    <row r="1669" spans="1:5" x14ac:dyDescent="0.55000000000000004">
      <c r="A1669" t="s">
        <v>1750</v>
      </c>
      <c r="B1669" t="s">
        <v>23</v>
      </c>
      <c r="C1669" s="2">
        <v>44914</v>
      </c>
      <c r="D1669" t="s">
        <v>26</v>
      </c>
      <c r="E1669">
        <v>1981</v>
      </c>
    </row>
    <row r="1670" spans="1:5" x14ac:dyDescent="0.55000000000000004">
      <c r="A1670" t="s">
        <v>1751</v>
      </c>
      <c r="B1670" t="s">
        <v>78</v>
      </c>
      <c r="C1670" s="2">
        <v>44642</v>
      </c>
      <c r="D1670" t="s">
        <v>29</v>
      </c>
      <c r="E1670">
        <v>2493</v>
      </c>
    </row>
    <row r="1671" spans="1:5" x14ac:dyDescent="0.55000000000000004">
      <c r="A1671" t="s">
        <v>1752</v>
      </c>
      <c r="B1671" t="s">
        <v>76</v>
      </c>
      <c r="C1671" s="2">
        <v>44762</v>
      </c>
      <c r="D1671" t="s">
        <v>29</v>
      </c>
      <c r="E1671">
        <v>2152</v>
      </c>
    </row>
    <row r="1672" spans="1:5" x14ac:dyDescent="0.55000000000000004">
      <c r="A1672" t="s">
        <v>1753</v>
      </c>
      <c r="B1672" t="s">
        <v>23</v>
      </c>
      <c r="C1672" s="2">
        <v>44555</v>
      </c>
      <c r="D1672" t="s">
        <v>26</v>
      </c>
      <c r="E1672">
        <v>2516</v>
      </c>
    </row>
    <row r="1673" spans="1:5" x14ac:dyDescent="0.55000000000000004">
      <c r="A1673" t="s">
        <v>1754</v>
      </c>
      <c r="B1673" t="s">
        <v>23</v>
      </c>
      <c r="C1673" s="2">
        <v>44847</v>
      </c>
      <c r="D1673" t="s">
        <v>29</v>
      </c>
      <c r="E1673">
        <v>2017</v>
      </c>
    </row>
    <row r="1674" spans="1:5" x14ac:dyDescent="0.55000000000000004">
      <c r="A1674" t="s">
        <v>1755</v>
      </c>
      <c r="B1674" t="s">
        <v>137</v>
      </c>
      <c r="C1674" s="2">
        <v>44202</v>
      </c>
      <c r="D1674" t="s">
        <v>26</v>
      </c>
      <c r="E1674">
        <v>2902</v>
      </c>
    </row>
    <row r="1675" spans="1:5" x14ac:dyDescent="0.55000000000000004">
      <c r="A1675" t="s">
        <v>1756</v>
      </c>
      <c r="B1675" t="s">
        <v>156</v>
      </c>
      <c r="C1675" s="2">
        <v>43313</v>
      </c>
      <c r="D1675" t="s">
        <v>26</v>
      </c>
      <c r="E1675">
        <v>484</v>
      </c>
    </row>
    <row r="1676" spans="1:5" x14ac:dyDescent="0.55000000000000004">
      <c r="A1676" t="s">
        <v>1757</v>
      </c>
      <c r="B1676" t="s">
        <v>14</v>
      </c>
      <c r="C1676" s="2">
        <v>43869</v>
      </c>
      <c r="D1676" t="s">
        <v>26</v>
      </c>
      <c r="E1676">
        <v>849</v>
      </c>
    </row>
    <row r="1677" spans="1:5" x14ac:dyDescent="0.55000000000000004">
      <c r="A1677" t="s">
        <v>1758</v>
      </c>
      <c r="B1677" t="s">
        <v>137</v>
      </c>
      <c r="C1677" s="2">
        <v>45164</v>
      </c>
      <c r="D1677" t="s">
        <v>29</v>
      </c>
      <c r="E1677">
        <v>186</v>
      </c>
    </row>
    <row r="1678" spans="1:5" x14ac:dyDescent="0.55000000000000004">
      <c r="A1678" t="s">
        <v>1759</v>
      </c>
      <c r="B1678" t="s">
        <v>111</v>
      </c>
      <c r="C1678" s="2">
        <v>43633</v>
      </c>
      <c r="D1678" t="s">
        <v>26</v>
      </c>
      <c r="E1678">
        <v>46</v>
      </c>
    </row>
    <row r="1679" spans="1:5" x14ac:dyDescent="0.55000000000000004">
      <c r="A1679" t="s">
        <v>1760</v>
      </c>
      <c r="B1679" t="s">
        <v>35</v>
      </c>
      <c r="C1679" s="2">
        <v>44243</v>
      </c>
      <c r="D1679" t="s">
        <v>29</v>
      </c>
      <c r="E1679">
        <v>1042</v>
      </c>
    </row>
    <row r="1680" spans="1:5" x14ac:dyDescent="0.55000000000000004">
      <c r="A1680" t="s">
        <v>1761</v>
      </c>
      <c r="B1680" t="s">
        <v>137</v>
      </c>
      <c r="C1680" s="2">
        <v>43743</v>
      </c>
      <c r="D1680" t="s">
        <v>29</v>
      </c>
      <c r="E1680">
        <v>1229</v>
      </c>
    </row>
    <row r="1681" spans="1:5" x14ac:dyDescent="0.55000000000000004">
      <c r="A1681" t="s">
        <v>1762</v>
      </c>
      <c r="B1681" t="s">
        <v>67</v>
      </c>
      <c r="C1681" s="2">
        <v>45718</v>
      </c>
      <c r="D1681" t="s">
        <v>29</v>
      </c>
      <c r="E1681">
        <v>25</v>
      </c>
    </row>
    <row r="1682" spans="1:5" x14ac:dyDescent="0.55000000000000004">
      <c r="A1682" t="s">
        <v>1763</v>
      </c>
      <c r="B1682" t="s">
        <v>115</v>
      </c>
      <c r="C1682" s="2">
        <v>44321</v>
      </c>
      <c r="D1682" t="s">
        <v>29</v>
      </c>
      <c r="E1682">
        <v>1398</v>
      </c>
    </row>
    <row r="1683" spans="1:5" x14ac:dyDescent="0.55000000000000004">
      <c r="A1683" t="s">
        <v>1764</v>
      </c>
      <c r="B1683" t="s">
        <v>101</v>
      </c>
      <c r="C1683" s="2">
        <v>44400</v>
      </c>
      <c r="D1683" t="s">
        <v>26</v>
      </c>
      <c r="E1683">
        <v>719</v>
      </c>
    </row>
    <row r="1684" spans="1:5" x14ac:dyDescent="0.55000000000000004">
      <c r="A1684" t="s">
        <v>1765</v>
      </c>
      <c r="B1684" t="s">
        <v>151</v>
      </c>
      <c r="C1684" s="2">
        <v>43593</v>
      </c>
      <c r="D1684" t="s">
        <v>29</v>
      </c>
      <c r="E1684">
        <v>2754</v>
      </c>
    </row>
    <row r="1685" spans="1:5" x14ac:dyDescent="0.55000000000000004">
      <c r="A1685" t="s">
        <v>1766</v>
      </c>
      <c r="B1685" t="s">
        <v>96</v>
      </c>
      <c r="C1685" s="2">
        <v>45409</v>
      </c>
      <c r="D1685" t="s">
        <v>26</v>
      </c>
      <c r="E1685">
        <v>2644</v>
      </c>
    </row>
    <row r="1686" spans="1:5" x14ac:dyDescent="0.55000000000000004">
      <c r="A1686" t="s">
        <v>1767</v>
      </c>
      <c r="B1686" t="s">
        <v>72</v>
      </c>
      <c r="C1686" s="2">
        <v>43903</v>
      </c>
      <c r="D1686" t="s">
        <v>26</v>
      </c>
      <c r="E1686">
        <v>2569</v>
      </c>
    </row>
    <row r="1687" spans="1:5" x14ac:dyDescent="0.55000000000000004">
      <c r="A1687" t="s">
        <v>1768</v>
      </c>
      <c r="B1687" t="s">
        <v>15</v>
      </c>
      <c r="C1687" s="2">
        <v>44016</v>
      </c>
      <c r="D1687" t="s">
        <v>29</v>
      </c>
      <c r="E1687">
        <v>1894</v>
      </c>
    </row>
    <row r="1688" spans="1:5" x14ac:dyDescent="0.55000000000000004">
      <c r="A1688" t="s">
        <v>1769</v>
      </c>
      <c r="B1688" t="s">
        <v>137</v>
      </c>
      <c r="C1688" s="2">
        <v>45161</v>
      </c>
      <c r="D1688" t="s">
        <v>26</v>
      </c>
      <c r="E1688">
        <v>2134</v>
      </c>
    </row>
    <row r="1689" spans="1:5" x14ac:dyDescent="0.55000000000000004">
      <c r="A1689" t="s">
        <v>1770</v>
      </c>
      <c r="B1689" t="s">
        <v>156</v>
      </c>
      <c r="C1689" s="2">
        <v>44074</v>
      </c>
      <c r="D1689" t="s">
        <v>29</v>
      </c>
      <c r="E1689">
        <v>2274</v>
      </c>
    </row>
    <row r="1690" spans="1:5" x14ac:dyDescent="0.55000000000000004">
      <c r="A1690" t="s">
        <v>1771</v>
      </c>
      <c r="B1690" t="s">
        <v>99</v>
      </c>
      <c r="C1690" s="2">
        <v>43542</v>
      </c>
      <c r="D1690" t="s">
        <v>26</v>
      </c>
      <c r="E1690">
        <v>2365</v>
      </c>
    </row>
    <row r="1691" spans="1:5" x14ac:dyDescent="0.55000000000000004">
      <c r="A1691" t="s">
        <v>1772</v>
      </c>
      <c r="B1691" t="s">
        <v>38</v>
      </c>
      <c r="C1691" s="2">
        <v>44510</v>
      </c>
      <c r="D1691" t="s">
        <v>29</v>
      </c>
      <c r="E1691">
        <v>271</v>
      </c>
    </row>
    <row r="1692" spans="1:5" x14ac:dyDescent="0.55000000000000004">
      <c r="A1692" t="s">
        <v>1773</v>
      </c>
      <c r="B1692" t="s">
        <v>72</v>
      </c>
      <c r="C1692" s="2">
        <v>43491</v>
      </c>
      <c r="D1692" t="s">
        <v>26</v>
      </c>
      <c r="E1692">
        <v>1389</v>
      </c>
    </row>
    <row r="1693" spans="1:5" x14ac:dyDescent="0.55000000000000004">
      <c r="A1693" t="s">
        <v>1774</v>
      </c>
      <c r="B1693" t="s">
        <v>101</v>
      </c>
      <c r="C1693" s="2">
        <v>44200</v>
      </c>
      <c r="D1693" t="s">
        <v>26</v>
      </c>
      <c r="E1693">
        <v>2338</v>
      </c>
    </row>
    <row r="1694" spans="1:5" x14ac:dyDescent="0.55000000000000004">
      <c r="A1694" t="s">
        <v>1775</v>
      </c>
      <c r="B1694" t="s">
        <v>32</v>
      </c>
      <c r="C1694" s="2">
        <v>44628</v>
      </c>
      <c r="D1694" t="s">
        <v>26</v>
      </c>
      <c r="E1694">
        <v>2437</v>
      </c>
    </row>
    <row r="1695" spans="1:5" x14ac:dyDescent="0.55000000000000004">
      <c r="A1695" t="s">
        <v>1776</v>
      </c>
      <c r="B1695" t="s">
        <v>115</v>
      </c>
      <c r="C1695" s="2">
        <v>44519</v>
      </c>
      <c r="D1695" t="s">
        <v>29</v>
      </c>
      <c r="E1695">
        <v>2888</v>
      </c>
    </row>
    <row r="1696" spans="1:5" x14ac:dyDescent="0.55000000000000004">
      <c r="A1696" t="s">
        <v>1777</v>
      </c>
      <c r="B1696" t="s">
        <v>76</v>
      </c>
      <c r="C1696" s="2">
        <v>44754</v>
      </c>
      <c r="D1696" t="s">
        <v>26</v>
      </c>
      <c r="E1696">
        <v>1112</v>
      </c>
    </row>
    <row r="1697" spans="1:5" x14ac:dyDescent="0.55000000000000004">
      <c r="A1697" t="s">
        <v>1778</v>
      </c>
      <c r="B1697" t="s">
        <v>140</v>
      </c>
      <c r="C1697" s="2">
        <v>43094</v>
      </c>
      <c r="D1697" t="s">
        <v>29</v>
      </c>
      <c r="E1697">
        <v>973</v>
      </c>
    </row>
    <row r="1698" spans="1:5" x14ac:dyDescent="0.55000000000000004">
      <c r="A1698" t="s">
        <v>1779</v>
      </c>
      <c r="B1698" t="s">
        <v>86</v>
      </c>
      <c r="C1698" s="2">
        <v>43842</v>
      </c>
      <c r="D1698" t="s">
        <v>29</v>
      </c>
      <c r="E1698">
        <v>885</v>
      </c>
    </row>
    <row r="1699" spans="1:5" x14ac:dyDescent="0.55000000000000004">
      <c r="A1699" t="s">
        <v>1780</v>
      </c>
      <c r="B1699" t="s">
        <v>67</v>
      </c>
      <c r="C1699" s="2">
        <v>44704</v>
      </c>
      <c r="D1699" t="s">
        <v>26</v>
      </c>
      <c r="E1699">
        <v>459</v>
      </c>
    </row>
    <row r="1700" spans="1:5" x14ac:dyDescent="0.55000000000000004">
      <c r="A1700" t="s">
        <v>1781</v>
      </c>
      <c r="B1700" t="s">
        <v>86</v>
      </c>
      <c r="C1700" s="2">
        <v>44524</v>
      </c>
      <c r="D1700" t="s">
        <v>26</v>
      </c>
      <c r="E1700">
        <v>827</v>
      </c>
    </row>
    <row r="1701" spans="1:5" x14ac:dyDescent="0.55000000000000004">
      <c r="A1701" t="s">
        <v>1782</v>
      </c>
      <c r="B1701" t="s">
        <v>74</v>
      </c>
      <c r="C1701" s="2">
        <v>43825</v>
      </c>
      <c r="D1701" t="s">
        <v>26</v>
      </c>
      <c r="E1701">
        <v>1976</v>
      </c>
    </row>
    <row r="1702" spans="1:5" x14ac:dyDescent="0.55000000000000004">
      <c r="A1702" t="s">
        <v>1783</v>
      </c>
      <c r="B1702" t="s">
        <v>94</v>
      </c>
      <c r="C1702" s="2">
        <v>45514</v>
      </c>
      <c r="D1702" t="s">
        <v>26</v>
      </c>
      <c r="E1702">
        <v>779</v>
      </c>
    </row>
    <row r="1703" spans="1:5" x14ac:dyDescent="0.55000000000000004">
      <c r="A1703" t="s">
        <v>1784</v>
      </c>
      <c r="B1703" t="s">
        <v>111</v>
      </c>
      <c r="C1703" s="2">
        <v>43907</v>
      </c>
      <c r="D1703" t="s">
        <v>29</v>
      </c>
      <c r="E1703">
        <v>1340</v>
      </c>
    </row>
    <row r="1704" spans="1:5" x14ac:dyDescent="0.55000000000000004">
      <c r="A1704" t="s">
        <v>1785</v>
      </c>
      <c r="B1704" t="s">
        <v>72</v>
      </c>
      <c r="C1704" s="2">
        <v>44492</v>
      </c>
      <c r="D1704" t="s">
        <v>26</v>
      </c>
      <c r="E1704">
        <v>2114</v>
      </c>
    </row>
    <row r="1705" spans="1:5" x14ac:dyDescent="0.55000000000000004">
      <c r="A1705" t="s">
        <v>1786</v>
      </c>
      <c r="B1705" t="s">
        <v>38</v>
      </c>
      <c r="C1705" s="2">
        <v>44102</v>
      </c>
      <c r="D1705" t="s">
        <v>26</v>
      </c>
      <c r="E1705">
        <v>2967</v>
      </c>
    </row>
    <row r="1706" spans="1:5" x14ac:dyDescent="0.55000000000000004">
      <c r="A1706" t="s">
        <v>1787</v>
      </c>
      <c r="B1706" t="s">
        <v>142</v>
      </c>
      <c r="C1706" s="2">
        <v>43857</v>
      </c>
      <c r="D1706" t="s">
        <v>29</v>
      </c>
      <c r="E1706">
        <v>2923</v>
      </c>
    </row>
    <row r="1707" spans="1:5" x14ac:dyDescent="0.55000000000000004">
      <c r="A1707" t="s">
        <v>1788</v>
      </c>
      <c r="B1707" t="s">
        <v>76</v>
      </c>
      <c r="C1707" s="2">
        <v>45605</v>
      </c>
      <c r="D1707" t="s">
        <v>26</v>
      </c>
      <c r="E1707">
        <v>16</v>
      </c>
    </row>
    <row r="1708" spans="1:5" x14ac:dyDescent="0.55000000000000004">
      <c r="A1708" t="s">
        <v>1789</v>
      </c>
      <c r="B1708" t="s">
        <v>156</v>
      </c>
      <c r="C1708" s="2">
        <v>43007</v>
      </c>
      <c r="D1708" t="s">
        <v>26</v>
      </c>
      <c r="E1708">
        <v>1365</v>
      </c>
    </row>
    <row r="1709" spans="1:5" x14ac:dyDescent="0.55000000000000004">
      <c r="A1709" t="s">
        <v>1790</v>
      </c>
      <c r="B1709" t="s">
        <v>15</v>
      </c>
      <c r="C1709" s="2">
        <v>43011</v>
      </c>
      <c r="D1709" t="s">
        <v>26</v>
      </c>
      <c r="E1709">
        <v>2132</v>
      </c>
    </row>
    <row r="1710" spans="1:5" x14ac:dyDescent="0.55000000000000004">
      <c r="A1710" t="s">
        <v>1791</v>
      </c>
      <c r="B1710" t="s">
        <v>118</v>
      </c>
      <c r="C1710" s="2">
        <v>44745</v>
      </c>
      <c r="D1710" t="s">
        <v>26</v>
      </c>
      <c r="E1710">
        <v>2365</v>
      </c>
    </row>
    <row r="1711" spans="1:5" x14ac:dyDescent="0.55000000000000004">
      <c r="A1711" t="s">
        <v>1792</v>
      </c>
      <c r="B1711" t="s">
        <v>118</v>
      </c>
      <c r="C1711" s="2">
        <v>44744</v>
      </c>
      <c r="D1711" t="s">
        <v>26</v>
      </c>
      <c r="E1711">
        <v>1314</v>
      </c>
    </row>
    <row r="1712" spans="1:5" x14ac:dyDescent="0.55000000000000004">
      <c r="A1712" t="s">
        <v>1793</v>
      </c>
      <c r="B1712" t="s">
        <v>151</v>
      </c>
      <c r="C1712" s="2">
        <v>43311</v>
      </c>
      <c r="D1712" t="s">
        <v>29</v>
      </c>
      <c r="E1712">
        <v>1133</v>
      </c>
    </row>
    <row r="1713" spans="1:5" x14ac:dyDescent="0.55000000000000004">
      <c r="A1713" t="s">
        <v>1794</v>
      </c>
      <c r="B1713" t="s">
        <v>99</v>
      </c>
      <c r="C1713" s="2">
        <v>44773</v>
      </c>
      <c r="D1713" t="s">
        <v>29</v>
      </c>
      <c r="E1713">
        <v>2748</v>
      </c>
    </row>
    <row r="1714" spans="1:5" x14ac:dyDescent="0.55000000000000004">
      <c r="A1714" t="s">
        <v>1795</v>
      </c>
      <c r="B1714" t="s">
        <v>115</v>
      </c>
      <c r="C1714" s="2">
        <v>43475</v>
      </c>
      <c r="D1714" t="s">
        <v>26</v>
      </c>
      <c r="E1714">
        <v>645</v>
      </c>
    </row>
    <row r="1715" spans="1:5" x14ac:dyDescent="0.55000000000000004">
      <c r="A1715" t="s">
        <v>1796</v>
      </c>
      <c r="B1715" t="s">
        <v>84</v>
      </c>
      <c r="C1715" s="2">
        <v>43151</v>
      </c>
      <c r="D1715" t="s">
        <v>26</v>
      </c>
      <c r="E1715">
        <v>2551</v>
      </c>
    </row>
    <row r="1716" spans="1:5" x14ac:dyDescent="0.55000000000000004">
      <c r="A1716" t="s">
        <v>1797</v>
      </c>
      <c r="B1716" t="s">
        <v>99</v>
      </c>
      <c r="C1716" s="2">
        <v>45571</v>
      </c>
      <c r="D1716" t="s">
        <v>26</v>
      </c>
      <c r="E1716">
        <v>846</v>
      </c>
    </row>
    <row r="1717" spans="1:5" x14ac:dyDescent="0.55000000000000004">
      <c r="A1717" t="s">
        <v>1798</v>
      </c>
      <c r="B1717" t="s">
        <v>99</v>
      </c>
      <c r="C1717" s="2">
        <v>44900</v>
      </c>
      <c r="D1717" t="s">
        <v>29</v>
      </c>
      <c r="E1717">
        <v>1110</v>
      </c>
    </row>
    <row r="1718" spans="1:5" x14ac:dyDescent="0.55000000000000004">
      <c r="A1718" t="s">
        <v>1799</v>
      </c>
      <c r="B1718" t="s">
        <v>72</v>
      </c>
      <c r="C1718" s="2">
        <v>44359</v>
      </c>
      <c r="D1718" t="s">
        <v>29</v>
      </c>
      <c r="E1718">
        <v>2351</v>
      </c>
    </row>
    <row r="1719" spans="1:5" x14ac:dyDescent="0.55000000000000004">
      <c r="A1719" t="s">
        <v>1800</v>
      </c>
      <c r="B1719" t="s">
        <v>63</v>
      </c>
      <c r="C1719" s="2">
        <v>43267</v>
      </c>
      <c r="D1719" t="s">
        <v>26</v>
      </c>
      <c r="E1719">
        <v>1275</v>
      </c>
    </row>
    <row r="1720" spans="1:5" x14ac:dyDescent="0.55000000000000004">
      <c r="A1720" t="s">
        <v>1801</v>
      </c>
      <c r="B1720" t="s">
        <v>32</v>
      </c>
      <c r="C1720" s="2">
        <v>44524</v>
      </c>
      <c r="D1720" t="s">
        <v>29</v>
      </c>
      <c r="E1720">
        <v>207</v>
      </c>
    </row>
    <row r="1721" spans="1:5" x14ac:dyDescent="0.55000000000000004">
      <c r="A1721" t="s">
        <v>1802</v>
      </c>
      <c r="B1721" t="s">
        <v>72</v>
      </c>
      <c r="C1721" s="2">
        <v>42976</v>
      </c>
      <c r="D1721" t="s">
        <v>29</v>
      </c>
      <c r="E1721">
        <v>2766</v>
      </c>
    </row>
    <row r="1722" spans="1:5" x14ac:dyDescent="0.55000000000000004">
      <c r="A1722" t="s">
        <v>1803</v>
      </c>
      <c r="B1722" t="s">
        <v>142</v>
      </c>
      <c r="C1722" s="2">
        <v>43133</v>
      </c>
      <c r="D1722" t="s">
        <v>29</v>
      </c>
      <c r="E1722">
        <v>220</v>
      </c>
    </row>
    <row r="1723" spans="1:5" x14ac:dyDescent="0.55000000000000004">
      <c r="A1723" t="s">
        <v>1804</v>
      </c>
      <c r="B1723" t="s">
        <v>74</v>
      </c>
      <c r="C1723" s="2">
        <v>43790</v>
      </c>
      <c r="D1723" t="s">
        <v>29</v>
      </c>
      <c r="E1723">
        <v>733</v>
      </c>
    </row>
    <row r="1724" spans="1:5" x14ac:dyDescent="0.55000000000000004">
      <c r="A1724" t="s">
        <v>1805</v>
      </c>
      <c r="B1724" t="s">
        <v>41</v>
      </c>
      <c r="C1724" s="2">
        <v>44744</v>
      </c>
      <c r="D1724" t="s">
        <v>29</v>
      </c>
      <c r="E1724">
        <v>1279</v>
      </c>
    </row>
    <row r="1725" spans="1:5" x14ac:dyDescent="0.55000000000000004">
      <c r="A1725" t="s">
        <v>1806</v>
      </c>
      <c r="B1725" t="s">
        <v>111</v>
      </c>
      <c r="C1725" s="2">
        <v>43322</v>
      </c>
      <c r="D1725" t="s">
        <v>26</v>
      </c>
      <c r="E1725">
        <v>1907</v>
      </c>
    </row>
    <row r="1726" spans="1:5" x14ac:dyDescent="0.55000000000000004">
      <c r="A1726" t="s">
        <v>1807</v>
      </c>
      <c r="B1726" t="s">
        <v>23</v>
      </c>
      <c r="C1726" s="2">
        <v>44100</v>
      </c>
      <c r="D1726" t="s">
        <v>26</v>
      </c>
      <c r="E1726">
        <v>2861</v>
      </c>
    </row>
    <row r="1727" spans="1:5" x14ac:dyDescent="0.55000000000000004">
      <c r="A1727" t="s">
        <v>1808</v>
      </c>
      <c r="B1727" t="s">
        <v>15</v>
      </c>
      <c r="C1727" s="2">
        <v>43116</v>
      </c>
      <c r="D1727" t="s">
        <v>29</v>
      </c>
      <c r="E1727">
        <v>1271</v>
      </c>
    </row>
    <row r="1728" spans="1:5" x14ac:dyDescent="0.55000000000000004">
      <c r="A1728" t="s">
        <v>1809</v>
      </c>
      <c r="B1728" t="s">
        <v>38</v>
      </c>
      <c r="C1728" s="2">
        <v>44784</v>
      </c>
      <c r="D1728" t="s">
        <v>29</v>
      </c>
      <c r="E1728">
        <v>949</v>
      </c>
    </row>
    <row r="1729" spans="1:5" x14ac:dyDescent="0.55000000000000004">
      <c r="A1729" t="s">
        <v>1810</v>
      </c>
      <c r="B1729" t="s">
        <v>63</v>
      </c>
      <c r="C1729" s="2">
        <v>43211</v>
      </c>
      <c r="D1729" t="s">
        <v>29</v>
      </c>
      <c r="E1729">
        <v>1488</v>
      </c>
    </row>
    <row r="1730" spans="1:5" x14ac:dyDescent="0.55000000000000004">
      <c r="A1730" t="s">
        <v>1811</v>
      </c>
      <c r="B1730" t="s">
        <v>101</v>
      </c>
      <c r="C1730" s="2">
        <v>43292</v>
      </c>
      <c r="D1730" t="s">
        <v>29</v>
      </c>
      <c r="E1730">
        <v>1330</v>
      </c>
    </row>
    <row r="1731" spans="1:5" x14ac:dyDescent="0.55000000000000004">
      <c r="A1731" t="s">
        <v>1812</v>
      </c>
      <c r="B1731" t="s">
        <v>15</v>
      </c>
      <c r="C1731" s="2">
        <v>43915</v>
      </c>
      <c r="D1731" t="s">
        <v>26</v>
      </c>
      <c r="E1731">
        <v>267</v>
      </c>
    </row>
    <row r="1732" spans="1:5" x14ac:dyDescent="0.55000000000000004">
      <c r="A1732" t="s">
        <v>1813</v>
      </c>
      <c r="B1732" t="s">
        <v>96</v>
      </c>
      <c r="C1732" s="2">
        <v>43928</v>
      </c>
      <c r="D1732" t="s">
        <v>29</v>
      </c>
      <c r="E1732">
        <v>1960</v>
      </c>
    </row>
    <row r="1733" spans="1:5" x14ac:dyDescent="0.55000000000000004">
      <c r="A1733" t="s">
        <v>1814</v>
      </c>
      <c r="B1733" t="s">
        <v>15</v>
      </c>
      <c r="C1733" s="2">
        <v>43266</v>
      </c>
      <c r="D1733" t="s">
        <v>29</v>
      </c>
      <c r="E1733">
        <v>1427</v>
      </c>
    </row>
    <row r="1734" spans="1:5" x14ac:dyDescent="0.55000000000000004">
      <c r="A1734" t="s">
        <v>1815</v>
      </c>
      <c r="B1734" t="s">
        <v>32</v>
      </c>
      <c r="C1734" s="2">
        <v>44091</v>
      </c>
      <c r="D1734" t="s">
        <v>26</v>
      </c>
      <c r="E1734">
        <v>1661</v>
      </c>
    </row>
    <row r="1735" spans="1:5" x14ac:dyDescent="0.55000000000000004">
      <c r="A1735" t="s">
        <v>1816</v>
      </c>
      <c r="B1735" t="s">
        <v>175</v>
      </c>
      <c r="C1735" s="2">
        <v>43904</v>
      </c>
      <c r="D1735" t="s">
        <v>29</v>
      </c>
      <c r="E1735">
        <v>2277</v>
      </c>
    </row>
    <row r="1736" spans="1:5" x14ac:dyDescent="0.55000000000000004">
      <c r="A1736" t="s">
        <v>1817</v>
      </c>
      <c r="B1736" t="s">
        <v>35</v>
      </c>
      <c r="C1736" s="2">
        <v>43976</v>
      </c>
      <c r="D1736" t="s">
        <v>29</v>
      </c>
      <c r="E1736">
        <v>2182</v>
      </c>
    </row>
    <row r="1737" spans="1:5" x14ac:dyDescent="0.55000000000000004">
      <c r="A1737" t="s">
        <v>1818</v>
      </c>
      <c r="B1737" t="s">
        <v>15</v>
      </c>
      <c r="C1737" s="2">
        <v>43737</v>
      </c>
      <c r="D1737" t="s">
        <v>29</v>
      </c>
      <c r="E1737">
        <v>977</v>
      </c>
    </row>
    <row r="1738" spans="1:5" x14ac:dyDescent="0.55000000000000004">
      <c r="A1738" t="s">
        <v>1819</v>
      </c>
      <c r="B1738" t="s">
        <v>32</v>
      </c>
      <c r="C1738" s="2">
        <v>44330</v>
      </c>
      <c r="D1738" t="s">
        <v>26</v>
      </c>
      <c r="E1738">
        <v>1975</v>
      </c>
    </row>
    <row r="1739" spans="1:5" x14ac:dyDescent="0.55000000000000004">
      <c r="A1739" t="s">
        <v>1820</v>
      </c>
      <c r="B1739" t="s">
        <v>101</v>
      </c>
      <c r="C1739" s="2">
        <v>43052</v>
      </c>
      <c r="D1739" t="s">
        <v>29</v>
      </c>
      <c r="E1739">
        <v>852</v>
      </c>
    </row>
    <row r="1740" spans="1:5" x14ac:dyDescent="0.55000000000000004">
      <c r="A1740" t="s">
        <v>1821</v>
      </c>
      <c r="B1740" t="s">
        <v>175</v>
      </c>
      <c r="C1740" s="2">
        <v>45231</v>
      </c>
      <c r="D1740" t="s">
        <v>29</v>
      </c>
      <c r="E1740">
        <v>2323</v>
      </c>
    </row>
    <row r="1741" spans="1:5" x14ac:dyDescent="0.55000000000000004">
      <c r="A1741" t="s">
        <v>1822</v>
      </c>
      <c r="B1741" t="s">
        <v>137</v>
      </c>
      <c r="C1741" s="2">
        <v>44867</v>
      </c>
      <c r="D1741" t="s">
        <v>26</v>
      </c>
      <c r="E1741">
        <v>708</v>
      </c>
    </row>
    <row r="1742" spans="1:5" x14ac:dyDescent="0.55000000000000004">
      <c r="A1742" t="s">
        <v>1823</v>
      </c>
      <c r="B1742" t="s">
        <v>38</v>
      </c>
      <c r="C1742" s="2">
        <v>43990</v>
      </c>
      <c r="D1742" t="s">
        <v>29</v>
      </c>
      <c r="E1742">
        <v>468</v>
      </c>
    </row>
    <row r="1743" spans="1:5" x14ac:dyDescent="0.55000000000000004">
      <c r="A1743" t="s">
        <v>1824</v>
      </c>
      <c r="B1743" t="s">
        <v>23</v>
      </c>
      <c r="C1743" s="2">
        <v>44779</v>
      </c>
      <c r="D1743" t="s">
        <v>29</v>
      </c>
      <c r="E1743">
        <v>2273</v>
      </c>
    </row>
    <row r="1744" spans="1:5" x14ac:dyDescent="0.55000000000000004">
      <c r="A1744" t="s">
        <v>1825</v>
      </c>
      <c r="B1744" t="s">
        <v>115</v>
      </c>
      <c r="C1744" s="2">
        <v>43828</v>
      </c>
      <c r="D1744" t="s">
        <v>26</v>
      </c>
      <c r="E1744">
        <v>1261</v>
      </c>
    </row>
    <row r="1745" spans="1:5" x14ac:dyDescent="0.55000000000000004">
      <c r="A1745" t="s">
        <v>1826</v>
      </c>
      <c r="B1745" t="s">
        <v>101</v>
      </c>
      <c r="C1745" s="2">
        <v>43059</v>
      </c>
      <c r="D1745" t="s">
        <v>26</v>
      </c>
      <c r="E1745">
        <v>2807</v>
      </c>
    </row>
    <row r="1746" spans="1:5" x14ac:dyDescent="0.55000000000000004">
      <c r="A1746" t="s">
        <v>1827</v>
      </c>
      <c r="B1746" t="s">
        <v>175</v>
      </c>
      <c r="C1746" s="2">
        <v>45018</v>
      </c>
      <c r="D1746" t="s">
        <v>29</v>
      </c>
      <c r="E1746">
        <v>2024</v>
      </c>
    </row>
    <row r="1747" spans="1:5" x14ac:dyDescent="0.55000000000000004">
      <c r="A1747" t="s">
        <v>1828</v>
      </c>
      <c r="B1747" t="s">
        <v>35</v>
      </c>
      <c r="C1747" s="2">
        <v>43956</v>
      </c>
      <c r="D1747" t="s">
        <v>26</v>
      </c>
      <c r="E1747">
        <v>891</v>
      </c>
    </row>
    <row r="1748" spans="1:5" x14ac:dyDescent="0.55000000000000004">
      <c r="A1748" t="s">
        <v>1829</v>
      </c>
      <c r="B1748" t="s">
        <v>175</v>
      </c>
      <c r="C1748" s="2">
        <v>44035</v>
      </c>
      <c r="D1748" t="s">
        <v>26</v>
      </c>
      <c r="E1748">
        <v>600</v>
      </c>
    </row>
    <row r="1749" spans="1:5" x14ac:dyDescent="0.55000000000000004">
      <c r="A1749" t="s">
        <v>1830</v>
      </c>
      <c r="B1749" t="s">
        <v>38</v>
      </c>
      <c r="C1749" s="2">
        <v>44136</v>
      </c>
      <c r="D1749" t="s">
        <v>29</v>
      </c>
      <c r="E1749">
        <v>2176</v>
      </c>
    </row>
    <row r="1750" spans="1:5" x14ac:dyDescent="0.55000000000000004">
      <c r="A1750" t="s">
        <v>1831</v>
      </c>
      <c r="B1750" t="s">
        <v>156</v>
      </c>
      <c r="C1750" s="2">
        <v>43715</v>
      </c>
      <c r="D1750" t="s">
        <v>29</v>
      </c>
      <c r="E1750">
        <v>801</v>
      </c>
    </row>
    <row r="1751" spans="1:5" x14ac:dyDescent="0.55000000000000004">
      <c r="A1751" t="s">
        <v>1832</v>
      </c>
      <c r="B1751" t="s">
        <v>151</v>
      </c>
      <c r="C1751" s="2">
        <v>44312</v>
      </c>
      <c r="D1751" t="s">
        <v>29</v>
      </c>
      <c r="E1751">
        <v>1227</v>
      </c>
    </row>
    <row r="1752" spans="1:5" x14ac:dyDescent="0.55000000000000004">
      <c r="A1752" t="s">
        <v>1833</v>
      </c>
      <c r="B1752" t="s">
        <v>23</v>
      </c>
      <c r="C1752" s="2">
        <v>44454</v>
      </c>
      <c r="D1752" t="s">
        <v>29</v>
      </c>
      <c r="E1752">
        <v>2940</v>
      </c>
    </row>
    <row r="1753" spans="1:5" x14ac:dyDescent="0.55000000000000004">
      <c r="A1753" t="s">
        <v>1834</v>
      </c>
      <c r="B1753" t="s">
        <v>86</v>
      </c>
      <c r="C1753" s="2">
        <v>43099</v>
      </c>
      <c r="D1753" t="s">
        <v>26</v>
      </c>
      <c r="E1753">
        <v>2504</v>
      </c>
    </row>
    <row r="1754" spans="1:5" x14ac:dyDescent="0.55000000000000004">
      <c r="A1754" t="s">
        <v>1835</v>
      </c>
      <c r="B1754" t="s">
        <v>67</v>
      </c>
      <c r="C1754" s="2">
        <v>45121</v>
      </c>
      <c r="D1754" t="s">
        <v>26</v>
      </c>
      <c r="E1754">
        <v>1204</v>
      </c>
    </row>
    <row r="1755" spans="1:5" x14ac:dyDescent="0.55000000000000004">
      <c r="A1755" t="s">
        <v>1836</v>
      </c>
      <c r="B1755" t="s">
        <v>142</v>
      </c>
      <c r="C1755" s="2">
        <v>43673</v>
      </c>
      <c r="D1755" t="s">
        <v>26</v>
      </c>
      <c r="E1755">
        <v>3</v>
      </c>
    </row>
    <row r="1756" spans="1:5" x14ac:dyDescent="0.55000000000000004">
      <c r="A1756" t="s">
        <v>1837</v>
      </c>
      <c r="B1756" t="s">
        <v>41</v>
      </c>
      <c r="C1756" s="2">
        <v>44566</v>
      </c>
      <c r="D1756" t="s">
        <v>26</v>
      </c>
      <c r="E1756">
        <v>1155</v>
      </c>
    </row>
    <row r="1757" spans="1:5" x14ac:dyDescent="0.55000000000000004">
      <c r="A1757" t="s">
        <v>1838</v>
      </c>
      <c r="B1757" t="s">
        <v>76</v>
      </c>
      <c r="C1757" s="2">
        <v>43593</v>
      </c>
      <c r="D1757" t="s">
        <v>26</v>
      </c>
      <c r="E1757">
        <v>1768</v>
      </c>
    </row>
    <row r="1758" spans="1:5" x14ac:dyDescent="0.55000000000000004">
      <c r="A1758" t="s">
        <v>1839</v>
      </c>
      <c r="B1758" t="s">
        <v>41</v>
      </c>
      <c r="C1758" s="2">
        <v>44638</v>
      </c>
      <c r="D1758" t="s">
        <v>29</v>
      </c>
      <c r="E1758">
        <v>2915</v>
      </c>
    </row>
    <row r="1759" spans="1:5" x14ac:dyDescent="0.55000000000000004">
      <c r="A1759" t="s">
        <v>1840</v>
      </c>
      <c r="B1759" t="s">
        <v>101</v>
      </c>
      <c r="C1759" s="2">
        <v>43748</v>
      </c>
      <c r="D1759" t="s">
        <v>29</v>
      </c>
      <c r="E1759">
        <v>1782</v>
      </c>
    </row>
    <row r="1760" spans="1:5" x14ac:dyDescent="0.55000000000000004">
      <c r="A1760" t="s">
        <v>1841</v>
      </c>
      <c r="B1760" t="s">
        <v>99</v>
      </c>
      <c r="C1760" s="2">
        <v>44331</v>
      </c>
      <c r="D1760" t="s">
        <v>26</v>
      </c>
      <c r="E1760">
        <v>1945</v>
      </c>
    </row>
    <row r="1761" spans="1:5" x14ac:dyDescent="0.55000000000000004">
      <c r="A1761" t="s">
        <v>1842</v>
      </c>
      <c r="B1761" t="s">
        <v>72</v>
      </c>
      <c r="C1761" s="2">
        <v>43302</v>
      </c>
      <c r="D1761" t="s">
        <v>29</v>
      </c>
      <c r="E1761">
        <v>1475</v>
      </c>
    </row>
    <row r="1762" spans="1:5" x14ac:dyDescent="0.55000000000000004">
      <c r="A1762" t="s">
        <v>1843</v>
      </c>
      <c r="B1762" t="s">
        <v>175</v>
      </c>
      <c r="C1762" s="2">
        <v>45174</v>
      </c>
      <c r="D1762" t="s">
        <v>26</v>
      </c>
      <c r="E1762">
        <v>1181</v>
      </c>
    </row>
    <row r="1763" spans="1:5" x14ac:dyDescent="0.55000000000000004">
      <c r="A1763" t="s">
        <v>1844</v>
      </c>
      <c r="B1763" t="s">
        <v>76</v>
      </c>
      <c r="C1763" s="2">
        <v>43980</v>
      </c>
      <c r="D1763" t="s">
        <v>26</v>
      </c>
      <c r="E1763">
        <v>47</v>
      </c>
    </row>
    <row r="1764" spans="1:5" x14ac:dyDescent="0.55000000000000004">
      <c r="A1764" t="s">
        <v>1845</v>
      </c>
      <c r="B1764" t="s">
        <v>74</v>
      </c>
      <c r="C1764" s="2">
        <v>44244</v>
      </c>
      <c r="D1764" t="s">
        <v>26</v>
      </c>
      <c r="E1764">
        <v>589</v>
      </c>
    </row>
    <row r="1765" spans="1:5" x14ac:dyDescent="0.55000000000000004">
      <c r="A1765" t="s">
        <v>1846</v>
      </c>
      <c r="B1765" t="s">
        <v>78</v>
      </c>
      <c r="C1765" s="2">
        <v>45459</v>
      </c>
      <c r="D1765" t="s">
        <v>29</v>
      </c>
      <c r="E1765">
        <v>556</v>
      </c>
    </row>
    <row r="1766" spans="1:5" x14ac:dyDescent="0.55000000000000004">
      <c r="A1766" t="s">
        <v>1847</v>
      </c>
      <c r="B1766" t="s">
        <v>74</v>
      </c>
      <c r="C1766" s="2">
        <v>43198</v>
      </c>
      <c r="D1766" t="s">
        <v>29</v>
      </c>
      <c r="E1766">
        <v>1867</v>
      </c>
    </row>
    <row r="1767" spans="1:5" x14ac:dyDescent="0.55000000000000004">
      <c r="A1767" t="s">
        <v>1848</v>
      </c>
      <c r="B1767" t="s">
        <v>94</v>
      </c>
      <c r="C1767" s="2">
        <v>45209</v>
      </c>
      <c r="D1767" t="s">
        <v>26</v>
      </c>
      <c r="E1767">
        <v>1861</v>
      </c>
    </row>
    <row r="1768" spans="1:5" x14ac:dyDescent="0.55000000000000004">
      <c r="A1768" t="s">
        <v>1849</v>
      </c>
      <c r="B1768" t="s">
        <v>67</v>
      </c>
      <c r="C1768" s="2">
        <v>45203</v>
      </c>
      <c r="D1768" t="s">
        <v>29</v>
      </c>
      <c r="E1768">
        <v>1575</v>
      </c>
    </row>
    <row r="1769" spans="1:5" x14ac:dyDescent="0.55000000000000004">
      <c r="A1769" t="s">
        <v>1850</v>
      </c>
      <c r="B1769" t="s">
        <v>86</v>
      </c>
      <c r="C1769" s="2">
        <v>43379</v>
      </c>
      <c r="D1769" t="s">
        <v>26</v>
      </c>
      <c r="E1769">
        <v>1739</v>
      </c>
    </row>
    <row r="1770" spans="1:5" x14ac:dyDescent="0.55000000000000004">
      <c r="A1770" t="s">
        <v>1851</v>
      </c>
      <c r="B1770" t="s">
        <v>32</v>
      </c>
      <c r="C1770" s="2">
        <v>43846</v>
      </c>
      <c r="D1770" t="s">
        <v>29</v>
      </c>
      <c r="E1770">
        <v>2993</v>
      </c>
    </row>
    <row r="1771" spans="1:5" x14ac:dyDescent="0.55000000000000004">
      <c r="A1771" t="s">
        <v>1852</v>
      </c>
      <c r="B1771" t="s">
        <v>63</v>
      </c>
      <c r="C1771" s="2">
        <v>44375</v>
      </c>
      <c r="D1771" t="s">
        <v>29</v>
      </c>
      <c r="E1771">
        <v>1682</v>
      </c>
    </row>
    <row r="1772" spans="1:5" x14ac:dyDescent="0.55000000000000004">
      <c r="A1772" t="s">
        <v>1853</v>
      </c>
      <c r="B1772" t="s">
        <v>99</v>
      </c>
      <c r="C1772" s="2">
        <v>45826</v>
      </c>
      <c r="D1772" t="s">
        <v>29</v>
      </c>
      <c r="E1772">
        <v>137</v>
      </c>
    </row>
    <row r="1773" spans="1:5" x14ac:dyDescent="0.55000000000000004">
      <c r="A1773" t="s">
        <v>1854</v>
      </c>
      <c r="B1773" t="s">
        <v>142</v>
      </c>
      <c r="C1773" s="2">
        <v>44080</v>
      </c>
      <c r="D1773" t="s">
        <v>29</v>
      </c>
      <c r="E1773">
        <v>2887</v>
      </c>
    </row>
    <row r="1774" spans="1:5" x14ac:dyDescent="0.55000000000000004">
      <c r="A1774" t="s">
        <v>1855</v>
      </c>
      <c r="B1774" t="s">
        <v>86</v>
      </c>
      <c r="C1774" s="2">
        <v>43148</v>
      </c>
      <c r="D1774" t="s">
        <v>29</v>
      </c>
      <c r="E1774">
        <v>2828</v>
      </c>
    </row>
    <row r="1775" spans="1:5" x14ac:dyDescent="0.55000000000000004">
      <c r="A1775" t="s">
        <v>1856</v>
      </c>
      <c r="B1775" t="s">
        <v>74</v>
      </c>
      <c r="C1775" s="2">
        <v>43207</v>
      </c>
      <c r="D1775" t="s">
        <v>29</v>
      </c>
      <c r="E1775">
        <v>1904</v>
      </c>
    </row>
    <row r="1776" spans="1:5" x14ac:dyDescent="0.55000000000000004">
      <c r="A1776" t="s">
        <v>1857</v>
      </c>
      <c r="B1776" t="s">
        <v>67</v>
      </c>
      <c r="C1776" s="2">
        <v>43786</v>
      </c>
      <c r="D1776" t="s">
        <v>26</v>
      </c>
      <c r="E1776">
        <v>1004</v>
      </c>
    </row>
    <row r="1777" spans="1:5" x14ac:dyDescent="0.55000000000000004">
      <c r="A1777" t="s">
        <v>1858</v>
      </c>
      <c r="B1777" t="s">
        <v>96</v>
      </c>
      <c r="C1777" s="2">
        <v>43785</v>
      </c>
      <c r="D1777" t="s">
        <v>29</v>
      </c>
      <c r="E1777">
        <v>2511</v>
      </c>
    </row>
    <row r="1778" spans="1:5" x14ac:dyDescent="0.55000000000000004">
      <c r="A1778" t="s">
        <v>1859</v>
      </c>
      <c r="B1778" t="s">
        <v>142</v>
      </c>
      <c r="C1778" s="2">
        <v>43620</v>
      </c>
      <c r="D1778" t="s">
        <v>26</v>
      </c>
      <c r="E1778">
        <v>1920</v>
      </c>
    </row>
    <row r="1779" spans="1:5" x14ac:dyDescent="0.55000000000000004">
      <c r="A1779" t="s">
        <v>1860</v>
      </c>
      <c r="B1779" t="s">
        <v>15</v>
      </c>
      <c r="C1779" s="2">
        <v>43966</v>
      </c>
      <c r="D1779" t="s">
        <v>29</v>
      </c>
      <c r="E1779">
        <v>2350</v>
      </c>
    </row>
    <row r="1780" spans="1:5" x14ac:dyDescent="0.55000000000000004">
      <c r="A1780" t="s">
        <v>1861</v>
      </c>
      <c r="B1780" t="s">
        <v>78</v>
      </c>
      <c r="C1780" s="2">
        <v>44823</v>
      </c>
      <c r="D1780" t="s">
        <v>29</v>
      </c>
      <c r="E1780">
        <v>1445</v>
      </c>
    </row>
    <row r="1781" spans="1:5" x14ac:dyDescent="0.55000000000000004">
      <c r="A1781" t="s">
        <v>1862</v>
      </c>
      <c r="B1781" t="s">
        <v>137</v>
      </c>
      <c r="C1781" s="2">
        <v>44672</v>
      </c>
      <c r="D1781" t="s">
        <v>29</v>
      </c>
      <c r="E1781">
        <v>686</v>
      </c>
    </row>
    <row r="1782" spans="1:5" x14ac:dyDescent="0.55000000000000004">
      <c r="A1782" t="s">
        <v>1863</v>
      </c>
      <c r="B1782" t="s">
        <v>142</v>
      </c>
      <c r="C1782" s="2">
        <v>44340</v>
      </c>
      <c r="D1782" t="s">
        <v>29</v>
      </c>
      <c r="E1782">
        <v>2977</v>
      </c>
    </row>
    <row r="1783" spans="1:5" x14ac:dyDescent="0.55000000000000004">
      <c r="A1783" t="s">
        <v>1864</v>
      </c>
      <c r="B1783" t="s">
        <v>137</v>
      </c>
      <c r="C1783" s="2">
        <v>45774</v>
      </c>
      <c r="D1783" t="s">
        <v>29</v>
      </c>
      <c r="E1783">
        <v>251</v>
      </c>
    </row>
    <row r="1784" spans="1:5" x14ac:dyDescent="0.55000000000000004">
      <c r="A1784" t="s">
        <v>1865</v>
      </c>
      <c r="B1784" t="s">
        <v>35</v>
      </c>
      <c r="C1784" s="2">
        <v>44800</v>
      </c>
      <c r="D1784" t="s">
        <v>26</v>
      </c>
      <c r="E1784">
        <v>2346</v>
      </c>
    </row>
    <row r="1785" spans="1:5" x14ac:dyDescent="0.55000000000000004">
      <c r="A1785" t="s">
        <v>1866</v>
      </c>
      <c r="B1785" t="s">
        <v>142</v>
      </c>
      <c r="C1785" s="2">
        <v>44261</v>
      </c>
      <c r="D1785" t="s">
        <v>29</v>
      </c>
      <c r="E1785">
        <v>2557</v>
      </c>
    </row>
    <row r="1786" spans="1:5" x14ac:dyDescent="0.55000000000000004">
      <c r="A1786" t="s">
        <v>1867</v>
      </c>
      <c r="B1786" t="s">
        <v>14</v>
      </c>
      <c r="C1786" s="2">
        <v>43504</v>
      </c>
      <c r="D1786" t="s">
        <v>29</v>
      </c>
      <c r="E1786">
        <v>337</v>
      </c>
    </row>
    <row r="1787" spans="1:5" x14ac:dyDescent="0.55000000000000004">
      <c r="A1787" t="s">
        <v>1868</v>
      </c>
      <c r="B1787" t="s">
        <v>72</v>
      </c>
      <c r="C1787" s="2">
        <v>43952</v>
      </c>
      <c r="D1787" t="s">
        <v>26</v>
      </c>
      <c r="E1787">
        <v>1138</v>
      </c>
    </row>
    <row r="1788" spans="1:5" x14ac:dyDescent="0.55000000000000004">
      <c r="A1788" t="s">
        <v>1869</v>
      </c>
      <c r="B1788" t="s">
        <v>84</v>
      </c>
      <c r="C1788" s="2">
        <v>43188</v>
      </c>
      <c r="D1788" t="s">
        <v>29</v>
      </c>
      <c r="E1788">
        <v>1127</v>
      </c>
    </row>
    <row r="1789" spans="1:5" x14ac:dyDescent="0.55000000000000004">
      <c r="A1789" t="s">
        <v>1870</v>
      </c>
      <c r="B1789" t="s">
        <v>76</v>
      </c>
      <c r="C1789" s="2">
        <v>44518</v>
      </c>
      <c r="D1789" t="s">
        <v>26</v>
      </c>
      <c r="E1789">
        <v>456</v>
      </c>
    </row>
    <row r="1790" spans="1:5" x14ac:dyDescent="0.55000000000000004">
      <c r="A1790" t="s">
        <v>1871</v>
      </c>
      <c r="B1790" t="s">
        <v>32</v>
      </c>
      <c r="C1790" s="2">
        <v>44188</v>
      </c>
      <c r="D1790" t="s">
        <v>26</v>
      </c>
      <c r="E1790">
        <v>2699</v>
      </c>
    </row>
    <row r="1791" spans="1:5" x14ac:dyDescent="0.55000000000000004">
      <c r="A1791" t="s">
        <v>1872</v>
      </c>
      <c r="B1791" t="s">
        <v>15</v>
      </c>
      <c r="C1791" s="2">
        <v>43674</v>
      </c>
      <c r="D1791" t="s">
        <v>26</v>
      </c>
      <c r="E1791">
        <v>1070</v>
      </c>
    </row>
    <row r="1792" spans="1:5" x14ac:dyDescent="0.55000000000000004">
      <c r="A1792" t="s">
        <v>1873</v>
      </c>
      <c r="B1792" t="s">
        <v>137</v>
      </c>
      <c r="C1792" s="2">
        <v>44433</v>
      </c>
      <c r="D1792" t="s">
        <v>29</v>
      </c>
      <c r="E1792">
        <v>740</v>
      </c>
    </row>
    <row r="1793" spans="1:5" x14ac:dyDescent="0.55000000000000004">
      <c r="A1793" t="s">
        <v>1874</v>
      </c>
      <c r="B1793" t="s">
        <v>137</v>
      </c>
      <c r="C1793" s="2">
        <v>45626</v>
      </c>
      <c r="D1793" t="s">
        <v>26</v>
      </c>
      <c r="E1793">
        <v>1404</v>
      </c>
    </row>
    <row r="1794" spans="1:5" x14ac:dyDescent="0.55000000000000004">
      <c r="A1794" t="s">
        <v>1875</v>
      </c>
      <c r="B1794" t="s">
        <v>74</v>
      </c>
      <c r="C1794" s="2">
        <v>43214</v>
      </c>
      <c r="D1794" t="s">
        <v>26</v>
      </c>
      <c r="E1794">
        <v>2031</v>
      </c>
    </row>
    <row r="1795" spans="1:5" x14ac:dyDescent="0.55000000000000004">
      <c r="A1795" t="s">
        <v>1876</v>
      </c>
      <c r="B1795" t="s">
        <v>118</v>
      </c>
      <c r="C1795" s="2">
        <v>45157</v>
      </c>
      <c r="D1795" t="s">
        <v>29</v>
      </c>
      <c r="E1795">
        <v>974</v>
      </c>
    </row>
    <row r="1796" spans="1:5" x14ac:dyDescent="0.55000000000000004">
      <c r="A1796" t="s">
        <v>1877</v>
      </c>
      <c r="B1796" t="s">
        <v>38</v>
      </c>
      <c r="C1796" s="2">
        <v>44732</v>
      </c>
      <c r="D1796" t="s">
        <v>26</v>
      </c>
      <c r="E1796">
        <v>863</v>
      </c>
    </row>
    <row r="1797" spans="1:5" x14ac:dyDescent="0.55000000000000004">
      <c r="A1797" t="s">
        <v>1878</v>
      </c>
      <c r="B1797" t="s">
        <v>23</v>
      </c>
      <c r="C1797" s="2">
        <v>44537</v>
      </c>
      <c r="D1797" t="s">
        <v>26</v>
      </c>
      <c r="E1797">
        <v>2630</v>
      </c>
    </row>
    <row r="1798" spans="1:5" x14ac:dyDescent="0.55000000000000004">
      <c r="A1798" t="s">
        <v>1879</v>
      </c>
      <c r="B1798" t="s">
        <v>84</v>
      </c>
      <c r="C1798" s="2">
        <v>44464</v>
      </c>
      <c r="D1798" t="s">
        <v>26</v>
      </c>
      <c r="E1798">
        <v>215</v>
      </c>
    </row>
    <row r="1799" spans="1:5" x14ac:dyDescent="0.55000000000000004">
      <c r="A1799" t="s">
        <v>1880</v>
      </c>
      <c r="B1799" t="s">
        <v>105</v>
      </c>
      <c r="C1799" s="2">
        <v>43867</v>
      </c>
      <c r="D1799" t="s">
        <v>29</v>
      </c>
      <c r="E1799">
        <v>1950</v>
      </c>
    </row>
    <row r="1800" spans="1:5" x14ac:dyDescent="0.55000000000000004">
      <c r="A1800" t="s">
        <v>1881</v>
      </c>
      <c r="B1800" t="s">
        <v>156</v>
      </c>
      <c r="C1800" s="2">
        <v>43892</v>
      </c>
      <c r="D1800" t="s">
        <v>26</v>
      </c>
      <c r="E1800">
        <v>1555</v>
      </c>
    </row>
    <row r="1801" spans="1:5" x14ac:dyDescent="0.55000000000000004">
      <c r="A1801" t="s">
        <v>1882</v>
      </c>
      <c r="B1801" t="s">
        <v>38</v>
      </c>
      <c r="C1801" s="2">
        <v>44629</v>
      </c>
      <c r="D1801" t="s">
        <v>29</v>
      </c>
      <c r="E1801">
        <v>1075</v>
      </c>
    </row>
    <row r="1802" spans="1:5" x14ac:dyDescent="0.55000000000000004">
      <c r="A1802" t="s">
        <v>1883</v>
      </c>
      <c r="B1802" t="s">
        <v>72</v>
      </c>
      <c r="C1802" s="2">
        <v>44003</v>
      </c>
      <c r="D1802" t="s">
        <v>29</v>
      </c>
      <c r="E1802">
        <v>48</v>
      </c>
    </row>
    <row r="1803" spans="1:5" x14ac:dyDescent="0.55000000000000004">
      <c r="A1803" t="s">
        <v>1884</v>
      </c>
      <c r="B1803" t="s">
        <v>156</v>
      </c>
      <c r="C1803" s="2">
        <v>44549</v>
      </c>
      <c r="D1803" t="s">
        <v>29</v>
      </c>
      <c r="E1803">
        <v>1564</v>
      </c>
    </row>
    <row r="1804" spans="1:5" x14ac:dyDescent="0.55000000000000004">
      <c r="A1804" t="s">
        <v>1885</v>
      </c>
      <c r="B1804" t="s">
        <v>38</v>
      </c>
      <c r="C1804" s="2">
        <v>44477</v>
      </c>
      <c r="D1804" t="s">
        <v>26</v>
      </c>
      <c r="E1804">
        <v>398</v>
      </c>
    </row>
    <row r="1805" spans="1:5" x14ac:dyDescent="0.55000000000000004">
      <c r="A1805" t="s">
        <v>1886</v>
      </c>
      <c r="B1805" t="s">
        <v>99</v>
      </c>
      <c r="C1805" s="2">
        <v>44915</v>
      </c>
      <c r="D1805" t="s">
        <v>29</v>
      </c>
      <c r="E1805">
        <v>2500</v>
      </c>
    </row>
    <row r="1806" spans="1:5" x14ac:dyDescent="0.55000000000000004">
      <c r="A1806" t="s">
        <v>1887</v>
      </c>
      <c r="B1806" t="s">
        <v>35</v>
      </c>
      <c r="C1806" s="2">
        <v>44389</v>
      </c>
      <c r="D1806" t="s">
        <v>29</v>
      </c>
      <c r="E1806">
        <v>1107</v>
      </c>
    </row>
    <row r="1807" spans="1:5" x14ac:dyDescent="0.55000000000000004">
      <c r="A1807" t="s">
        <v>1888</v>
      </c>
      <c r="B1807" t="s">
        <v>84</v>
      </c>
      <c r="C1807" s="2">
        <v>44560</v>
      </c>
      <c r="D1807" t="s">
        <v>26</v>
      </c>
      <c r="E1807">
        <v>1045</v>
      </c>
    </row>
    <row r="1808" spans="1:5" x14ac:dyDescent="0.55000000000000004">
      <c r="A1808" t="s">
        <v>1889</v>
      </c>
      <c r="B1808" t="s">
        <v>35</v>
      </c>
      <c r="C1808" s="2">
        <v>44632</v>
      </c>
      <c r="D1808" t="s">
        <v>29</v>
      </c>
      <c r="E1808">
        <v>2765</v>
      </c>
    </row>
    <row r="1809" spans="1:5" x14ac:dyDescent="0.55000000000000004">
      <c r="A1809" t="s">
        <v>1890</v>
      </c>
      <c r="B1809" t="s">
        <v>78</v>
      </c>
      <c r="C1809" s="2">
        <v>44456</v>
      </c>
      <c r="D1809" t="s">
        <v>26</v>
      </c>
      <c r="E1809">
        <v>2129</v>
      </c>
    </row>
    <row r="1810" spans="1:5" x14ac:dyDescent="0.55000000000000004">
      <c r="A1810" t="s">
        <v>1891</v>
      </c>
      <c r="B1810" t="s">
        <v>111</v>
      </c>
      <c r="C1810" s="2">
        <v>44304</v>
      </c>
      <c r="D1810" t="s">
        <v>26</v>
      </c>
      <c r="E1810">
        <v>1283</v>
      </c>
    </row>
    <row r="1811" spans="1:5" x14ac:dyDescent="0.55000000000000004">
      <c r="A1811" t="s">
        <v>1892</v>
      </c>
      <c r="B1811" t="s">
        <v>99</v>
      </c>
      <c r="C1811" s="2">
        <v>43509</v>
      </c>
      <c r="D1811" t="s">
        <v>26</v>
      </c>
      <c r="E1811">
        <v>278</v>
      </c>
    </row>
    <row r="1812" spans="1:5" x14ac:dyDescent="0.55000000000000004">
      <c r="A1812" t="s">
        <v>1893</v>
      </c>
      <c r="B1812" t="s">
        <v>14</v>
      </c>
      <c r="C1812" s="2">
        <v>43759</v>
      </c>
      <c r="D1812" t="s">
        <v>26</v>
      </c>
      <c r="E1812">
        <v>2151</v>
      </c>
    </row>
    <row r="1813" spans="1:5" x14ac:dyDescent="0.55000000000000004">
      <c r="A1813" t="s">
        <v>1894</v>
      </c>
      <c r="B1813" t="s">
        <v>115</v>
      </c>
      <c r="C1813" s="2">
        <v>44320</v>
      </c>
      <c r="D1813" t="s">
        <v>29</v>
      </c>
      <c r="E1813">
        <v>1439</v>
      </c>
    </row>
    <row r="1814" spans="1:5" x14ac:dyDescent="0.55000000000000004">
      <c r="A1814" t="s">
        <v>1895</v>
      </c>
      <c r="B1814" t="s">
        <v>63</v>
      </c>
      <c r="C1814" s="2">
        <v>44402</v>
      </c>
      <c r="D1814" t="s">
        <v>29</v>
      </c>
      <c r="E1814">
        <v>1031</v>
      </c>
    </row>
    <row r="1815" spans="1:5" x14ac:dyDescent="0.55000000000000004">
      <c r="A1815" t="s">
        <v>1896</v>
      </c>
      <c r="B1815" t="s">
        <v>151</v>
      </c>
      <c r="C1815" s="2">
        <v>42986</v>
      </c>
      <c r="D1815" t="s">
        <v>26</v>
      </c>
      <c r="E1815">
        <v>2537</v>
      </c>
    </row>
    <row r="1816" spans="1:5" x14ac:dyDescent="0.55000000000000004">
      <c r="A1816" t="s">
        <v>1897</v>
      </c>
      <c r="B1816" t="s">
        <v>74</v>
      </c>
      <c r="C1816" s="2">
        <v>43033</v>
      </c>
      <c r="D1816" t="s">
        <v>26</v>
      </c>
      <c r="E1816">
        <v>2455</v>
      </c>
    </row>
    <row r="1817" spans="1:5" x14ac:dyDescent="0.55000000000000004">
      <c r="A1817" t="s">
        <v>1898</v>
      </c>
      <c r="B1817" t="s">
        <v>35</v>
      </c>
      <c r="C1817" s="2">
        <v>44080</v>
      </c>
      <c r="D1817" t="s">
        <v>26</v>
      </c>
      <c r="E1817">
        <v>353</v>
      </c>
    </row>
    <row r="1818" spans="1:5" x14ac:dyDescent="0.55000000000000004">
      <c r="A1818" t="s">
        <v>1899</v>
      </c>
      <c r="B1818" t="s">
        <v>76</v>
      </c>
      <c r="C1818" s="2">
        <v>43998</v>
      </c>
      <c r="D1818" t="s">
        <v>29</v>
      </c>
      <c r="E1818">
        <v>2688</v>
      </c>
    </row>
    <row r="1819" spans="1:5" x14ac:dyDescent="0.55000000000000004">
      <c r="A1819" t="s">
        <v>1900</v>
      </c>
      <c r="B1819" t="s">
        <v>118</v>
      </c>
      <c r="C1819" s="2">
        <v>45784</v>
      </c>
      <c r="D1819" t="s">
        <v>26</v>
      </c>
      <c r="E1819">
        <v>454</v>
      </c>
    </row>
    <row r="1820" spans="1:5" x14ac:dyDescent="0.55000000000000004">
      <c r="A1820" t="s">
        <v>1901</v>
      </c>
      <c r="B1820" t="s">
        <v>41</v>
      </c>
      <c r="C1820" s="2">
        <v>44208</v>
      </c>
      <c r="D1820" t="s">
        <v>29</v>
      </c>
      <c r="E1820">
        <v>1206</v>
      </c>
    </row>
    <row r="1821" spans="1:5" x14ac:dyDescent="0.55000000000000004">
      <c r="A1821" t="s">
        <v>1902</v>
      </c>
      <c r="B1821" t="s">
        <v>15</v>
      </c>
      <c r="C1821" s="2">
        <v>44269</v>
      </c>
      <c r="D1821" t="s">
        <v>26</v>
      </c>
      <c r="E1821">
        <v>2616</v>
      </c>
    </row>
    <row r="1822" spans="1:5" x14ac:dyDescent="0.55000000000000004">
      <c r="A1822" t="s">
        <v>1903</v>
      </c>
      <c r="B1822" t="s">
        <v>15</v>
      </c>
      <c r="C1822" s="2">
        <v>43483</v>
      </c>
      <c r="D1822" t="s">
        <v>29</v>
      </c>
      <c r="E1822">
        <v>2835</v>
      </c>
    </row>
    <row r="1823" spans="1:5" x14ac:dyDescent="0.55000000000000004">
      <c r="A1823" t="s">
        <v>1904</v>
      </c>
      <c r="B1823" t="s">
        <v>94</v>
      </c>
      <c r="C1823" s="2">
        <v>44790</v>
      </c>
      <c r="D1823" t="s">
        <v>29</v>
      </c>
      <c r="E1823">
        <v>663</v>
      </c>
    </row>
    <row r="1824" spans="1:5" x14ac:dyDescent="0.55000000000000004">
      <c r="A1824" t="s">
        <v>1905</v>
      </c>
      <c r="B1824" t="s">
        <v>118</v>
      </c>
      <c r="C1824" s="2">
        <v>43769</v>
      </c>
      <c r="D1824" t="s">
        <v>29</v>
      </c>
      <c r="E1824">
        <v>255</v>
      </c>
    </row>
    <row r="1825" spans="1:5" x14ac:dyDescent="0.55000000000000004">
      <c r="A1825" t="s">
        <v>1906</v>
      </c>
      <c r="B1825" t="s">
        <v>101</v>
      </c>
      <c r="C1825" s="2">
        <v>43712</v>
      </c>
      <c r="D1825" t="s">
        <v>29</v>
      </c>
      <c r="E1825">
        <v>246</v>
      </c>
    </row>
    <row r="1826" spans="1:5" x14ac:dyDescent="0.55000000000000004">
      <c r="A1826" t="s">
        <v>1907</v>
      </c>
      <c r="B1826" t="s">
        <v>84</v>
      </c>
      <c r="C1826" s="2">
        <v>43459</v>
      </c>
      <c r="D1826" t="s">
        <v>26</v>
      </c>
      <c r="E1826">
        <v>1804</v>
      </c>
    </row>
    <row r="1827" spans="1:5" x14ac:dyDescent="0.55000000000000004">
      <c r="A1827" t="s">
        <v>1908</v>
      </c>
      <c r="B1827" t="s">
        <v>74</v>
      </c>
      <c r="C1827" s="2">
        <v>43924</v>
      </c>
      <c r="D1827" t="s">
        <v>26</v>
      </c>
      <c r="E1827">
        <v>2499</v>
      </c>
    </row>
    <row r="1828" spans="1:5" x14ac:dyDescent="0.55000000000000004">
      <c r="A1828" t="s">
        <v>1909</v>
      </c>
      <c r="B1828" t="s">
        <v>101</v>
      </c>
      <c r="C1828" s="2">
        <v>43282</v>
      </c>
      <c r="D1828" t="s">
        <v>29</v>
      </c>
      <c r="E1828">
        <v>444</v>
      </c>
    </row>
    <row r="1829" spans="1:5" x14ac:dyDescent="0.55000000000000004">
      <c r="A1829" t="s">
        <v>1910</v>
      </c>
      <c r="B1829" t="s">
        <v>72</v>
      </c>
      <c r="C1829" s="2">
        <v>44024</v>
      </c>
      <c r="D1829" t="s">
        <v>29</v>
      </c>
      <c r="E1829">
        <v>894</v>
      </c>
    </row>
    <row r="1830" spans="1:5" x14ac:dyDescent="0.55000000000000004">
      <c r="A1830" t="s">
        <v>1911</v>
      </c>
      <c r="B1830" t="s">
        <v>32</v>
      </c>
      <c r="C1830" s="2">
        <v>44048</v>
      </c>
      <c r="D1830" t="s">
        <v>29</v>
      </c>
      <c r="E1830">
        <v>2930</v>
      </c>
    </row>
    <row r="1831" spans="1:5" x14ac:dyDescent="0.55000000000000004">
      <c r="A1831" t="s">
        <v>1912</v>
      </c>
      <c r="B1831" t="s">
        <v>84</v>
      </c>
      <c r="C1831" s="2">
        <v>43128</v>
      </c>
      <c r="D1831" t="s">
        <v>26</v>
      </c>
      <c r="E1831">
        <v>298</v>
      </c>
    </row>
    <row r="1832" spans="1:5" x14ac:dyDescent="0.55000000000000004">
      <c r="A1832" t="s">
        <v>1913</v>
      </c>
      <c r="B1832" t="s">
        <v>74</v>
      </c>
      <c r="C1832" s="2">
        <v>44087</v>
      </c>
      <c r="D1832" t="s">
        <v>29</v>
      </c>
      <c r="E1832">
        <v>1826</v>
      </c>
    </row>
    <row r="1833" spans="1:5" x14ac:dyDescent="0.55000000000000004">
      <c r="A1833" t="s">
        <v>1914</v>
      </c>
      <c r="B1833" t="s">
        <v>14</v>
      </c>
      <c r="C1833" s="2">
        <v>43936</v>
      </c>
      <c r="D1833" t="s">
        <v>26</v>
      </c>
      <c r="E1833">
        <v>2674</v>
      </c>
    </row>
    <row r="1834" spans="1:5" x14ac:dyDescent="0.55000000000000004">
      <c r="A1834" t="s">
        <v>1915</v>
      </c>
      <c r="B1834" t="s">
        <v>35</v>
      </c>
      <c r="C1834" s="2">
        <v>43832</v>
      </c>
      <c r="D1834" t="s">
        <v>26</v>
      </c>
      <c r="E1834">
        <v>2722</v>
      </c>
    </row>
    <row r="1835" spans="1:5" x14ac:dyDescent="0.55000000000000004">
      <c r="A1835" t="s">
        <v>1916</v>
      </c>
      <c r="B1835" t="s">
        <v>101</v>
      </c>
      <c r="C1835" s="2">
        <v>43462</v>
      </c>
      <c r="D1835" t="s">
        <v>26</v>
      </c>
      <c r="E1835">
        <v>2867</v>
      </c>
    </row>
    <row r="1836" spans="1:5" x14ac:dyDescent="0.55000000000000004">
      <c r="A1836" t="s">
        <v>1917</v>
      </c>
      <c r="B1836" t="s">
        <v>111</v>
      </c>
      <c r="C1836" s="2">
        <v>43718</v>
      </c>
      <c r="D1836" t="s">
        <v>26</v>
      </c>
      <c r="E1836">
        <v>2111</v>
      </c>
    </row>
    <row r="1837" spans="1:5" x14ac:dyDescent="0.55000000000000004">
      <c r="A1837" t="s">
        <v>1918</v>
      </c>
      <c r="B1837" t="s">
        <v>41</v>
      </c>
      <c r="C1837" s="2">
        <v>44835</v>
      </c>
      <c r="D1837" t="s">
        <v>29</v>
      </c>
      <c r="E1837">
        <v>1786</v>
      </c>
    </row>
    <row r="1838" spans="1:5" x14ac:dyDescent="0.55000000000000004">
      <c r="A1838" t="s">
        <v>1919</v>
      </c>
      <c r="B1838" t="s">
        <v>101</v>
      </c>
      <c r="C1838" s="2">
        <v>44407</v>
      </c>
      <c r="D1838" t="s">
        <v>26</v>
      </c>
      <c r="E1838">
        <v>2212</v>
      </c>
    </row>
    <row r="1839" spans="1:5" x14ac:dyDescent="0.55000000000000004">
      <c r="A1839" t="s">
        <v>1920</v>
      </c>
      <c r="B1839" t="s">
        <v>63</v>
      </c>
      <c r="C1839" s="2">
        <v>42923</v>
      </c>
      <c r="D1839" t="s">
        <v>29</v>
      </c>
      <c r="E1839">
        <v>2823</v>
      </c>
    </row>
    <row r="1840" spans="1:5" x14ac:dyDescent="0.55000000000000004">
      <c r="A1840" t="s">
        <v>1921</v>
      </c>
      <c r="B1840" t="s">
        <v>175</v>
      </c>
      <c r="C1840" s="2">
        <v>45440</v>
      </c>
      <c r="D1840" t="s">
        <v>26</v>
      </c>
      <c r="E1840">
        <v>2323</v>
      </c>
    </row>
    <row r="1841" spans="1:5" x14ac:dyDescent="0.55000000000000004">
      <c r="A1841" t="s">
        <v>1922</v>
      </c>
      <c r="B1841" t="s">
        <v>99</v>
      </c>
      <c r="C1841" s="2">
        <v>44936</v>
      </c>
      <c r="D1841" t="s">
        <v>29</v>
      </c>
      <c r="E1841">
        <v>2792</v>
      </c>
    </row>
    <row r="1842" spans="1:5" x14ac:dyDescent="0.55000000000000004">
      <c r="A1842" t="s">
        <v>1923</v>
      </c>
      <c r="B1842" t="s">
        <v>156</v>
      </c>
      <c r="C1842" s="2">
        <v>43737</v>
      </c>
      <c r="D1842" t="s">
        <v>26</v>
      </c>
      <c r="E1842">
        <v>2589</v>
      </c>
    </row>
    <row r="1843" spans="1:5" x14ac:dyDescent="0.55000000000000004">
      <c r="A1843" t="s">
        <v>1924</v>
      </c>
      <c r="B1843" t="s">
        <v>35</v>
      </c>
      <c r="C1843" s="2">
        <v>44016</v>
      </c>
      <c r="D1843" t="s">
        <v>29</v>
      </c>
      <c r="E1843">
        <v>2189</v>
      </c>
    </row>
    <row r="1844" spans="1:5" x14ac:dyDescent="0.55000000000000004">
      <c r="A1844" t="s">
        <v>1925</v>
      </c>
      <c r="B1844" t="s">
        <v>76</v>
      </c>
      <c r="C1844" s="2">
        <v>44858</v>
      </c>
      <c r="D1844" t="s">
        <v>26</v>
      </c>
      <c r="E1844">
        <v>1882</v>
      </c>
    </row>
    <row r="1845" spans="1:5" x14ac:dyDescent="0.55000000000000004">
      <c r="A1845" t="s">
        <v>1926</v>
      </c>
      <c r="B1845" t="s">
        <v>118</v>
      </c>
      <c r="C1845" s="2">
        <v>44653</v>
      </c>
      <c r="D1845" t="s">
        <v>26</v>
      </c>
      <c r="E1845">
        <v>723</v>
      </c>
    </row>
    <row r="1846" spans="1:5" x14ac:dyDescent="0.55000000000000004">
      <c r="A1846" t="s">
        <v>1927</v>
      </c>
      <c r="B1846" t="s">
        <v>99</v>
      </c>
      <c r="C1846" s="2">
        <v>43627</v>
      </c>
      <c r="D1846" t="s">
        <v>29</v>
      </c>
      <c r="E1846">
        <v>2706</v>
      </c>
    </row>
    <row r="1847" spans="1:5" x14ac:dyDescent="0.55000000000000004">
      <c r="A1847" t="s">
        <v>1928</v>
      </c>
      <c r="B1847" t="s">
        <v>151</v>
      </c>
      <c r="C1847" s="2">
        <v>43529</v>
      </c>
      <c r="D1847" t="s">
        <v>29</v>
      </c>
      <c r="E1847">
        <v>437</v>
      </c>
    </row>
    <row r="1848" spans="1:5" x14ac:dyDescent="0.55000000000000004">
      <c r="A1848" t="s">
        <v>1929</v>
      </c>
      <c r="B1848" t="s">
        <v>35</v>
      </c>
      <c r="C1848" s="2">
        <v>44566</v>
      </c>
      <c r="D1848" t="s">
        <v>29</v>
      </c>
      <c r="E1848">
        <v>347</v>
      </c>
    </row>
    <row r="1849" spans="1:5" x14ac:dyDescent="0.55000000000000004">
      <c r="A1849" t="s">
        <v>1930</v>
      </c>
      <c r="B1849" t="s">
        <v>94</v>
      </c>
      <c r="C1849" s="2">
        <v>45259</v>
      </c>
      <c r="D1849" t="s">
        <v>26</v>
      </c>
      <c r="E1849">
        <v>573</v>
      </c>
    </row>
    <row r="1850" spans="1:5" x14ac:dyDescent="0.55000000000000004">
      <c r="A1850" t="s">
        <v>1931</v>
      </c>
      <c r="B1850" t="s">
        <v>142</v>
      </c>
      <c r="C1850" s="2">
        <v>43312</v>
      </c>
      <c r="D1850" t="s">
        <v>26</v>
      </c>
      <c r="E1850">
        <v>2948</v>
      </c>
    </row>
    <row r="1851" spans="1:5" x14ac:dyDescent="0.55000000000000004">
      <c r="A1851" t="s">
        <v>1932</v>
      </c>
      <c r="B1851" t="s">
        <v>23</v>
      </c>
      <c r="C1851" s="2">
        <v>44319</v>
      </c>
      <c r="D1851" t="s">
        <v>29</v>
      </c>
      <c r="E1851">
        <v>1592</v>
      </c>
    </row>
    <row r="1852" spans="1:5" x14ac:dyDescent="0.55000000000000004">
      <c r="A1852" t="s">
        <v>1933</v>
      </c>
      <c r="B1852" t="s">
        <v>74</v>
      </c>
      <c r="C1852" s="2">
        <v>44540</v>
      </c>
      <c r="D1852" t="s">
        <v>29</v>
      </c>
      <c r="E1852">
        <v>2046</v>
      </c>
    </row>
    <row r="1853" spans="1:5" x14ac:dyDescent="0.55000000000000004">
      <c r="A1853" t="s">
        <v>1934</v>
      </c>
      <c r="B1853" t="s">
        <v>99</v>
      </c>
      <c r="C1853" s="2">
        <v>45306</v>
      </c>
      <c r="D1853" t="s">
        <v>26</v>
      </c>
      <c r="E1853">
        <v>151</v>
      </c>
    </row>
    <row r="1854" spans="1:5" x14ac:dyDescent="0.55000000000000004">
      <c r="A1854" t="s">
        <v>1935</v>
      </c>
      <c r="B1854" t="s">
        <v>111</v>
      </c>
      <c r="C1854" s="2">
        <v>43031</v>
      </c>
      <c r="D1854" t="s">
        <v>29</v>
      </c>
      <c r="E1854">
        <v>2953</v>
      </c>
    </row>
    <row r="1855" spans="1:5" x14ac:dyDescent="0.55000000000000004">
      <c r="A1855" t="s">
        <v>1936</v>
      </c>
      <c r="B1855" t="s">
        <v>142</v>
      </c>
      <c r="C1855" s="2">
        <v>43747</v>
      </c>
      <c r="D1855" t="s">
        <v>26</v>
      </c>
      <c r="E1855">
        <v>867</v>
      </c>
    </row>
    <row r="1856" spans="1:5" x14ac:dyDescent="0.55000000000000004">
      <c r="A1856" t="s">
        <v>1937</v>
      </c>
      <c r="B1856" t="s">
        <v>137</v>
      </c>
      <c r="C1856" s="2">
        <v>45608</v>
      </c>
      <c r="D1856" t="s">
        <v>29</v>
      </c>
      <c r="E1856">
        <v>2777</v>
      </c>
    </row>
    <row r="1857" spans="1:5" x14ac:dyDescent="0.55000000000000004">
      <c r="A1857" t="s">
        <v>1938</v>
      </c>
      <c r="B1857" t="s">
        <v>76</v>
      </c>
      <c r="C1857" s="2">
        <v>45663</v>
      </c>
      <c r="D1857" t="s">
        <v>26</v>
      </c>
      <c r="E1857">
        <v>2373</v>
      </c>
    </row>
    <row r="1858" spans="1:5" x14ac:dyDescent="0.55000000000000004">
      <c r="A1858" t="s">
        <v>1939</v>
      </c>
      <c r="B1858" t="s">
        <v>63</v>
      </c>
      <c r="C1858" s="2">
        <v>43064</v>
      </c>
      <c r="D1858" t="s">
        <v>26</v>
      </c>
      <c r="E1858">
        <v>579</v>
      </c>
    </row>
    <row r="1859" spans="1:5" x14ac:dyDescent="0.55000000000000004">
      <c r="A1859" t="s">
        <v>1940</v>
      </c>
      <c r="B1859" t="s">
        <v>96</v>
      </c>
      <c r="C1859" s="2">
        <v>43544</v>
      </c>
      <c r="D1859" t="s">
        <v>29</v>
      </c>
      <c r="E1859">
        <v>2532</v>
      </c>
    </row>
    <row r="1860" spans="1:5" x14ac:dyDescent="0.55000000000000004">
      <c r="A1860" t="s">
        <v>1941</v>
      </c>
      <c r="B1860" t="s">
        <v>142</v>
      </c>
      <c r="C1860" s="2">
        <v>43414</v>
      </c>
      <c r="D1860" t="s">
        <v>26</v>
      </c>
      <c r="E1860">
        <v>58</v>
      </c>
    </row>
    <row r="1861" spans="1:5" x14ac:dyDescent="0.55000000000000004">
      <c r="A1861" t="s">
        <v>1942</v>
      </c>
      <c r="B1861" t="s">
        <v>105</v>
      </c>
      <c r="C1861" s="2">
        <v>44212</v>
      </c>
      <c r="D1861" t="s">
        <v>26</v>
      </c>
      <c r="E1861">
        <v>1258</v>
      </c>
    </row>
    <row r="1862" spans="1:5" x14ac:dyDescent="0.55000000000000004">
      <c r="A1862" t="s">
        <v>1943</v>
      </c>
      <c r="B1862" t="s">
        <v>175</v>
      </c>
      <c r="C1862" s="2">
        <v>43864</v>
      </c>
      <c r="D1862" t="s">
        <v>29</v>
      </c>
      <c r="E1862">
        <v>2503</v>
      </c>
    </row>
    <row r="1863" spans="1:5" x14ac:dyDescent="0.55000000000000004">
      <c r="A1863" t="s">
        <v>1944</v>
      </c>
      <c r="B1863" t="s">
        <v>105</v>
      </c>
      <c r="C1863" s="2">
        <v>44127</v>
      </c>
      <c r="D1863" t="s">
        <v>26</v>
      </c>
      <c r="E1863">
        <v>435</v>
      </c>
    </row>
    <row r="1864" spans="1:5" x14ac:dyDescent="0.55000000000000004">
      <c r="A1864" t="s">
        <v>1945</v>
      </c>
      <c r="B1864" t="s">
        <v>115</v>
      </c>
      <c r="C1864" s="2">
        <v>43935</v>
      </c>
      <c r="D1864" t="s">
        <v>26</v>
      </c>
      <c r="E1864">
        <v>258</v>
      </c>
    </row>
    <row r="1865" spans="1:5" x14ac:dyDescent="0.55000000000000004">
      <c r="A1865" t="s">
        <v>1946</v>
      </c>
      <c r="B1865" t="s">
        <v>137</v>
      </c>
      <c r="C1865" s="2">
        <v>44296</v>
      </c>
      <c r="D1865" t="s">
        <v>29</v>
      </c>
      <c r="E1865">
        <v>1381</v>
      </c>
    </row>
    <row r="1866" spans="1:5" x14ac:dyDescent="0.55000000000000004">
      <c r="A1866" t="s">
        <v>1947</v>
      </c>
      <c r="B1866" t="s">
        <v>137</v>
      </c>
      <c r="C1866" s="2">
        <v>45112</v>
      </c>
      <c r="D1866" t="s">
        <v>29</v>
      </c>
      <c r="E1866">
        <v>494</v>
      </c>
    </row>
    <row r="1867" spans="1:5" x14ac:dyDescent="0.55000000000000004">
      <c r="A1867" t="s">
        <v>1948</v>
      </c>
      <c r="B1867" t="s">
        <v>38</v>
      </c>
      <c r="C1867" s="2">
        <v>44112</v>
      </c>
      <c r="D1867" t="s">
        <v>29</v>
      </c>
      <c r="E1867">
        <v>873</v>
      </c>
    </row>
    <row r="1868" spans="1:5" x14ac:dyDescent="0.55000000000000004">
      <c r="A1868" t="s">
        <v>1949</v>
      </c>
      <c r="B1868" t="s">
        <v>118</v>
      </c>
      <c r="C1868" s="2">
        <v>43652</v>
      </c>
      <c r="D1868" t="s">
        <v>26</v>
      </c>
      <c r="E1868">
        <v>1374</v>
      </c>
    </row>
    <row r="1869" spans="1:5" x14ac:dyDescent="0.55000000000000004">
      <c r="A1869" t="s">
        <v>1950</v>
      </c>
      <c r="B1869" t="s">
        <v>74</v>
      </c>
      <c r="C1869" s="2">
        <v>43164</v>
      </c>
      <c r="D1869" t="s">
        <v>29</v>
      </c>
      <c r="E1869">
        <v>578</v>
      </c>
    </row>
    <row r="1870" spans="1:5" x14ac:dyDescent="0.55000000000000004">
      <c r="A1870" t="s">
        <v>1951</v>
      </c>
      <c r="B1870" t="s">
        <v>118</v>
      </c>
      <c r="C1870" s="2">
        <v>45166</v>
      </c>
      <c r="D1870" t="s">
        <v>26</v>
      </c>
      <c r="E1870">
        <v>2852</v>
      </c>
    </row>
    <row r="1871" spans="1:5" x14ac:dyDescent="0.55000000000000004">
      <c r="A1871" t="s">
        <v>1952</v>
      </c>
      <c r="B1871" t="s">
        <v>86</v>
      </c>
      <c r="C1871" s="2">
        <v>44050</v>
      </c>
      <c r="D1871" t="s">
        <v>26</v>
      </c>
      <c r="E1871">
        <v>1796</v>
      </c>
    </row>
    <row r="1872" spans="1:5" x14ac:dyDescent="0.55000000000000004">
      <c r="A1872" t="s">
        <v>1953</v>
      </c>
      <c r="B1872" t="s">
        <v>63</v>
      </c>
      <c r="C1872" s="2">
        <v>44108</v>
      </c>
      <c r="D1872" t="s">
        <v>26</v>
      </c>
      <c r="E1872">
        <v>546</v>
      </c>
    </row>
    <row r="1873" spans="1:5" x14ac:dyDescent="0.55000000000000004">
      <c r="A1873" t="s">
        <v>1954</v>
      </c>
      <c r="B1873" t="s">
        <v>115</v>
      </c>
      <c r="C1873" s="2">
        <v>44537</v>
      </c>
      <c r="D1873" t="s">
        <v>29</v>
      </c>
      <c r="E1873">
        <v>646</v>
      </c>
    </row>
    <row r="1874" spans="1:5" x14ac:dyDescent="0.55000000000000004">
      <c r="A1874" t="s">
        <v>1955</v>
      </c>
      <c r="B1874" t="s">
        <v>14</v>
      </c>
      <c r="C1874" s="2">
        <v>43914</v>
      </c>
      <c r="D1874" t="s">
        <v>26</v>
      </c>
      <c r="E1874">
        <v>26</v>
      </c>
    </row>
    <row r="1875" spans="1:5" x14ac:dyDescent="0.55000000000000004">
      <c r="A1875" t="s">
        <v>1956</v>
      </c>
      <c r="B1875" t="s">
        <v>14</v>
      </c>
      <c r="C1875" s="2">
        <v>43284</v>
      </c>
      <c r="D1875" t="s">
        <v>26</v>
      </c>
      <c r="E1875">
        <v>2894</v>
      </c>
    </row>
    <row r="1876" spans="1:5" x14ac:dyDescent="0.55000000000000004">
      <c r="A1876" t="s">
        <v>1957</v>
      </c>
      <c r="B1876" t="s">
        <v>35</v>
      </c>
      <c r="C1876" s="2">
        <v>44412</v>
      </c>
      <c r="D1876" t="s">
        <v>29</v>
      </c>
      <c r="E1876">
        <v>2840</v>
      </c>
    </row>
    <row r="1877" spans="1:5" x14ac:dyDescent="0.55000000000000004">
      <c r="A1877" t="s">
        <v>1958</v>
      </c>
      <c r="B1877" t="s">
        <v>137</v>
      </c>
      <c r="C1877" s="2">
        <v>45415</v>
      </c>
      <c r="D1877" t="s">
        <v>26</v>
      </c>
      <c r="E1877">
        <v>844</v>
      </c>
    </row>
    <row r="1878" spans="1:5" x14ac:dyDescent="0.55000000000000004">
      <c r="A1878" t="s">
        <v>1959</v>
      </c>
      <c r="B1878" t="s">
        <v>72</v>
      </c>
      <c r="C1878" s="2">
        <v>44227</v>
      </c>
      <c r="D1878" t="s">
        <v>29</v>
      </c>
      <c r="E1878">
        <v>2142</v>
      </c>
    </row>
    <row r="1879" spans="1:5" x14ac:dyDescent="0.55000000000000004">
      <c r="A1879" t="s">
        <v>1960</v>
      </c>
      <c r="B1879" t="s">
        <v>15</v>
      </c>
      <c r="C1879" s="2">
        <v>43760</v>
      </c>
      <c r="D1879" t="s">
        <v>26</v>
      </c>
      <c r="E1879">
        <v>714</v>
      </c>
    </row>
    <row r="1880" spans="1:5" x14ac:dyDescent="0.55000000000000004">
      <c r="A1880" t="s">
        <v>1961</v>
      </c>
      <c r="B1880" t="s">
        <v>32</v>
      </c>
      <c r="C1880" s="2">
        <v>43908</v>
      </c>
      <c r="D1880" t="s">
        <v>26</v>
      </c>
      <c r="E1880">
        <v>2937</v>
      </c>
    </row>
    <row r="1881" spans="1:5" x14ac:dyDescent="0.55000000000000004">
      <c r="A1881" t="s">
        <v>1962</v>
      </c>
      <c r="B1881" t="s">
        <v>96</v>
      </c>
      <c r="C1881" s="2">
        <v>43826</v>
      </c>
      <c r="D1881" t="s">
        <v>29</v>
      </c>
      <c r="E1881">
        <v>1424</v>
      </c>
    </row>
    <row r="1882" spans="1:5" x14ac:dyDescent="0.55000000000000004">
      <c r="A1882" t="s">
        <v>1963</v>
      </c>
      <c r="B1882" t="s">
        <v>140</v>
      </c>
      <c r="C1882" s="2">
        <v>42926</v>
      </c>
      <c r="D1882" t="s">
        <v>26</v>
      </c>
      <c r="E1882">
        <v>786</v>
      </c>
    </row>
    <row r="1883" spans="1:5" x14ac:dyDescent="0.55000000000000004">
      <c r="A1883" t="s">
        <v>1964</v>
      </c>
      <c r="B1883" t="s">
        <v>115</v>
      </c>
      <c r="C1883" s="2">
        <v>44002</v>
      </c>
      <c r="D1883" t="s">
        <v>26</v>
      </c>
      <c r="E1883">
        <v>2535</v>
      </c>
    </row>
    <row r="1884" spans="1:5" x14ac:dyDescent="0.55000000000000004">
      <c r="A1884" t="s">
        <v>1965</v>
      </c>
      <c r="B1884" t="s">
        <v>86</v>
      </c>
      <c r="C1884" s="2">
        <v>44475</v>
      </c>
      <c r="D1884" t="s">
        <v>26</v>
      </c>
      <c r="E1884">
        <v>1901</v>
      </c>
    </row>
    <row r="1885" spans="1:5" x14ac:dyDescent="0.55000000000000004">
      <c r="A1885" t="s">
        <v>1966</v>
      </c>
      <c r="B1885" t="s">
        <v>118</v>
      </c>
      <c r="C1885" s="2">
        <v>44318</v>
      </c>
      <c r="D1885" t="s">
        <v>29</v>
      </c>
      <c r="E1885">
        <v>217</v>
      </c>
    </row>
    <row r="1886" spans="1:5" x14ac:dyDescent="0.55000000000000004">
      <c r="A1886" t="s">
        <v>1967</v>
      </c>
      <c r="B1886" t="s">
        <v>151</v>
      </c>
      <c r="C1886" s="2">
        <v>43147</v>
      </c>
      <c r="D1886" t="s">
        <v>26</v>
      </c>
      <c r="E1886">
        <v>2806</v>
      </c>
    </row>
    <row r="1887" spans="1:5" x14ac:dyDescent="0.55000000000000004">
      <c r="A1887" t="s">
        <v>1968</v>
      </c>
      <c r="B1887" t="s">
        <v>76</v>
      </c>
      <c r="C1887" s="2">
        <v>45409</v>
      </c>
      <c r="D1887" t="s">
        <v>29</v>
      </c>
      <c r="E1887">
        <v>722</v>
      </c>
    </row>
    <row r="1888" spans="1:5" x14ac:dyDescent="0.55000000000000004">
      <c r="A1888" t="s">
        <v>1969</v>
      </c>
      <c r="B1888" t="s">
        <v>105</v>
      </c>
      <c r="C1888" s="2">
        <v>44289</v>
      </c>
      <c r="D1888" t="s">
        <v>26</v>
      </c>
      <c r="E1888">
        <v>221</v>
      </c>
    </row>
    <row r="1889" spans="1:5" x14ac:dyDescent="0.55000000000000004">
      <c r="A1889" t="s">
        <v>1970</v>
      </c>
      <c r="B1889" t="s">
        <v>35</v>
      </c>
      <c r="C1889" s="2">
        <v>44576</v>
      </c>
      <c r="D1889" t="s">
        <v>29</v>
      </c>
      <c r="E1889">
        <v>858</v>
      </c>
    </row>
    <row r="1890" spans="1:5" x14ac:dyDescent="0.55000000000000004">
      <c r="A1890" t="s">
        <v>1971</v>
      </c>
      <c r="B1890" t="s">
        <v>140</v>
      </c>
      <c r="C1890" s="2">
        <v>43431</v>
      </c>
      <c r="D1890" t="s">
        <v>29</v>
      </c>
      <c r="E1890">
        <v>2526</v>
      </c>
    </row>
    <row r="1891" spans="1:5" x14ac:dyDescent="0.55000000000000004">
      <c r="A1891" t="s">
        <v>1972</v>
      </c>
      <c r="B1891" t="s">
        <v>137</v>
      </c>
      <c r="C1891" s="2">
        <v>45322</v>
      </c>
      <c r="D1891" t="s">
        <v>26</v>
      </c>
      <c r="E1891">
        <v>427</v>
      </c>
    </row>
    <row r="1892" spans="1:5" x14ac:dyDescent="0.55000000000000004">
      <c r="A1892" t="s">
        <v>1973</v>
      </c>
      <c r="B1892" t="s">
        <v>78</v>
      </c>
      <c r="C1892" s="2">
        <v>43680</v>
      </c>
      <c r="D1892" t="s">
        <v>26</v>
      </c>
      <c r="E1892">
        <v>647</v>
      </c>
    </row>
    <row r="1893" spans="1:5" x14ac:dyDescent="0.55000000000000004">
      <c r="A1893" t="s">
        <v>1974</v>
      </c>
      <c r="B1893" t="s">
        <v>137</v>
      </c>
      <c r="C1893" s="2">
        <v>43585</v>
      </c>
      <c r="D1893" t="s">
        <v>29</v>
      </c>
      <c r="E1893">
        <v>2109</v>
      </c>
    </row>
    <row r="1894" spans="1:5" x14ac:dyDescent="0.55000000000000004">
      <c r="A1894" t="s">
        <v>1975</v>
      </c>
      <c r="B1894" t="s">
        <v>115</v>
      </c>
      <c r="C1894" s="2">
        <v>43062</v>
      </c>
      <c r="D1894" t="s">
        <v>26</v>
      </c>
      <c r="E1894">
        <v>2954</v>
      </c>
    </row>
    <row r="1895" spans="1:5" x14ac:dyDescent="0.55000000000000004">
      <c r="A1895" t="s">
        <v>1976</v>
      </c>
      <c r="B1895" t="s">
        <v>15</v>
      </c>
      <c r="C1895" s="2">
        <v>44130</v>
      </c>
      <c r="D1895" t="s">
        <v>29</v>
      </c>
      <c r="E1895">
        <v>1716</v>
      </c>
    </row>
    <row r="1896" spans="1:5" x14ac:dyDescent="0.55000000000000004">
      <c r="A1896" t="s">
        <v>1977</v>
      </c>
      <c r="B1896" t="s">
        <v>151</v>
      </c>
      <c r="C1896" s="2">
        <v>44447</v>
      </c>
      <c r="D1896" t="s">
        <v>29</v>
      </c>
      <c r="E1896">
        <v>942</v>
      </c>
    </row>
    <row r="1897" spans="1:5" x14ac:dyDescent="0.55000000000000004">
      <c r="A1897" t="s">
        <v>1978</v>
      </c>
      <c r="B1897" t="s">
        <v>118</v>
      </c>
      <c r="C1897" s="2">
        <v>43917</v>
      </c>
      <c r="D1897" t="s">
        <v>29</v>
      </c>
      <c r="E1897">
        <v>932</v>
      </c>
    </row>
    <row r="1898" spans="1:5" x14ac:dyDescent="0.55000000000000004">
      <c r="A1898" t="s">
        <v>1979</v>
      </c>
      <c r="B1898" t="s">
        <v>115</v>
      </c>
      <c r="C1898" s="2">
        <v>43402</v>
      </c>
      <c r="D1898" t="s">
        <v>29</v>
      </c>
      <c r="E1898">
        <v>819</v>
      </c>
    </row>
    <row r="1899" spans="1:5" x14ac:dyDescent="0.55000000000000004">
      <c r="A1899" t="s">
        <v>1980</v>
      </c>
      <c r="B1899" t="s">
        <v>101</v>
      </c>
      <c r="C1899" s="2">
        <v>43368</v>
      </c>
      <c r="D1899" t="s">
        <v>26</v>
      </c>
      <c r="E1899">
        <v>1929</v>
      </c>
    </row>
    <row r="1900" spans="1:5" x14ac:dyDescent="0.55000000000000004">
      <c r="A1900" t="s">
        <v>1981</v>
      </c>
      <c r="B1900" t="s">
        <v>23</v>
      </c>
      <c r="C1900" s="2">
        <v>44823</v>
      </c>
      <c r="D1900" t="s">
        <v>26</v>
      </c>
      <c r="E1900">
        <v>1785</v>
      </c>
    </row>
    <row r="1901" spans="1:5" x14ac:dyDescent="0.55000000000000004">
      <c r="A1901" t="s">
        <v>1982</v>
      </c>
      <c r="B1901" t="s">
        <v>72</v>
      </c>
      <c r="C1901" s="2">
        <v>43359</v>
      </c>
      <c r="D1901" t="s">
        <v>29</v>
      </c>
      <c r="E1901">
        <v>729</v>
      </c>
    </row>
    <row r="1902" spans="1:5" x14ac:dyDescent="0.55000000000000004">
      <c r="A1902" t="s">
        <v>1983</v>
      </c>
      <c r="B1902" t="s">
        <v>101</v>
      </c>
      <c r="C1902" s="2">
        <v>43681</v>
      </c>
      <c r="D1902" t="s">
        <v>26</v>
      </c>
      <c r="E1902">
        <v>1874</v>
      </c>
    </row>
    <row r="1903" spans="1:5" x14ac:dyDescent="0.55000000000000004">
      <c r="A1903" t="s">
        <v>1984</v>
      </c>
      <c r="B1903" t="s">
        <v>78</v>
      </c>
      <c r="C1903" s="2">
        <v>44261</v>
      </c>
      <c r="D1903" t="s">
        <v>29</v>
      </c>
      <c r="E1903">
        <v>1104</v>
      </c>
    </row>
    <row r="1904" spans="1:5" x14ac:dyDescent="0.55000000000000004">
      <c r="A1904" t="s">
        <v>1985</v>
      </c>
      <c r="B1904" t="s">
        <v>151</v>
      </c>
      <c r="C1904" s="2">
        <v>43604</v>
      </c>
      <c r="D1904" t="s">
        <v>26</v>
      </c>
      <c r="E1904">
        <v>131</v>
      </c>
    </row>
    <row r="1905" spans="1:5" x14ac:dyDescent="0.55000000000000004">
      <c r="A1905" t="s">
        <v>1986</v>
      </c>
      <c r="B1905" t="s">
        <v>41</v>
      </c>
      <c r="C1905" s="2">
        <v>43953</v>
      </c>
      <c r="D1905" t="s">
        <v>29</v>
      </c>
      <c r="E1905">
        <v>559</v>
      </c>
    </row>
    <row r="1906" spans="1:5" x14ac:dyDescent="0.55000000000000004">
      <c r="A1906" t="s">
        <v>1987</v>
      </c>
      <c r="B1906" t="s">
        <v>115</v>
      </c>
      <c r="C1906" s="2">
        <v>43870</v>
      </c>
      <c r="D1906" t="s">
        <v>29</v>
      </c>
      <c r="E1906">
        <v>1713</v>
      </c>
    </row>
    <row r="1907" spans="1:5" x14ac:dyDescent="0.55000000000000004">
      <c r="A1907" t="s">
        <v>1988</v>
      </c>
      <c r="B1907" t="s">
        <v>105</v>
      </c>
      <c r="C1907" s="2">
        <v>44474</v>
      </c>
      <c r="D1907" t="s">
        <v>29</v>
      </c>
      <c r="E1907">
        <v>900</v>
      </c>
    </row>
    <row r="1908" spans="1:5" x14ac:dyDescent="0.55000000000000004">
      <c r="A1908" t="s">
        <v>1989</v>
      </c>
      <c r="B1908" t="s">
        <v>94</v>
      </c>
      <c r="C1908" s="2">
        <v>44674</v>
      </c>
      <c r="D1908" t="s">
        <v>26</v>
      </c>
      <c r="E1908">
        <v>2613</v>
      </c>
    </row>
    <row r="1909" spans="1:5" x14ac:dyDescent="0.55000000000000004">
      <c r="A1909" t="s">
        <v>1990</v>
      </c>
      <c r="B1909" t="s">
        <v>32</v>
      </c>
      <c r="C1909" s="2">
        <v>44179</v>
      </c>
      <c r="D1909" t="s">
        <v>26</v>
      </c>
      <c r="E1909">
        <v>354</v>
      </c>
    </row>
    <row r="1910" spans="1:5" x14ac:dyDescent="0.55000000000000004">
      <c r="A1910" t="s">
        <v>1991</v>
      </c>
      <c r="B1910" t="s">
        <v>140</v>
      </c>
      <c r="C1910" s="2">
        <v>43985</v>
      </c>
      <c r="D1910" t="s">
        <v>29</v>
      </c>
      <c r="E1910">
        <v>886</v>
      </c>
    </row>
    <row r="1911" spans="1:5" x14ac:dyDescent="0.55000000000000004">
      <c r="A1911" t="s">
        <v>1992</v>
      </c>
      <c r="B1911" t="s">
        <v>23</v>
      </c>
      <c r="C1911" s="2">
        <v>44800</v>
      </c>
      <c r="D1911" t="s">
        <v>29</v>
      </c>
      <c r="E1911">
        <v>1143</v>
      </c>
    </row>
    <row r="1912" spans="1:5" x14ac:dyDescent="0.55000000000000004">
      <c r="A1912" t="s">
        <v>1993</v>
      </c>
      <c r="B1912" t="s">
        <v>14</v>
      </c>
      <c r="C1912" s="2">
        <v>44412</v>
      </c>
      <c r="D1912" t="s">
        <v>29</v>
      </c>
      <c r="E1912">
        <v>1010</v>
      </c>
    </row>
    <row r="1913" spans="1:5" x14ac:dyDescent="0.55000000000000004">
      <c r="A1913" t="s">
        <v>1994</v>
      </c>
      <c r="B1913" t="s">
        <v>63</v>
      </c>
      <c r="C1913" s="2">
        <v>43587</v>
      </c>
      <c r="D1913" t="s">
        <v>29</v>
      </c>
      <c r="E1913">
        <v>2373</v>
      </c>
    </row>
    <row r="1914" spans="1:5" x14ac:dyDescent="0.55000000000000004">
      <c r="A1914" t="s">
        <v>1995</v>
      </c>
      <c r="B1914" t="s">
        <v>63</v>
      </c>
      <c r="C1914" s="2">
        <v>44128</v>
      </c>
      <c r="D1914" t="s">
        <v>26</v>
      </c>
      <c r="E1914">
        <v>2349</v>
      </c>
    </row>
    <row r="1915" spans="1:5" x14ac:dyDescent="0.55000000000000004">
      <c r="A1915" t="s">
        <v>1996</v>
      </c>
      <c r="B1915" t="s">
        <v>94</v>
      </c>
      <c r="C1915" s="2">
        <v>43486</v>
      </c>
      <c r="D1915" t="s">
        <v>29</v>
      </c>
      <c r="E1915">
        <v>181</v>
      </c>
    </row>
    <row r="1916" spans="1:5" x14ac:dyDescent="0.55000000000000004">
      <c r="A1916" t="s">
        <v>1997</v>
      </c>
      <c r="B1916" t="s">
        <v>142</v>
      </c>
      <c r="C1916" s="2">
        <v>43880</v>
      </c>
      <c r="D1916" t="s">
        <v>26</v>
      </c>
      <c r="E1916">
        <v>1743</v>
      </c>
    </row>
    <row r="1917" spans="1:5" x14ac:dyDescent="0.55000000000000004">
      <c r="A1917" t="s">
        <v>1998</v>
      </c>
      <c r="B1917" t="s">
        <v>67</v>
      </c>
      <c r="C1917" s="2">
        <v>45081</v>
      </c>
      <c r="D1917" t="s">
        <v>29</v>
      </c>
      <c r="E1917">
        <v>2853</v>
      </c>
    </row>
    <row r="1918" spans="1:5" x14ac:dyDescent="0.55000000000000004">
      <c r="A1918" t="s">
        <v>1999</v>
      </c>
      <c r="B1918" t="s">
        <v>175</v>
      </c>
      <c r="C1918" s="2">
        <v>43867</v>
      </c>
      <c r="D1918" t="s">
        <v>29</v>
      </c>
      <c r="E1918">
        <v>2028</v>
      </c>
    </row>
    <row r="1919" spans="1:5" x14ac:dyDescent="0.55000000000000004">
      <c r="A1919" t="s">
        <v>2000</v>
      </c>
      <c r="B1919" t="s">
        <v>63</v>
      </c>
      <c r="C1919" s="2">
        <v>43087</v>
      </c>
      <c r="D1919" t="s">
        <v>26</v>
      </c>
      <c r="E1919">
        <v>2839</v>
      </c>
    </row>
    <row r="1920" spans="1:5" x14ac:dyDescent="0.55000000000000004">
      <c r="A1920" t="s">
        <v>2001</v>
      </c>
      <c r="B1920" t="s">
        <v>78</v>
      </c>
      <c r="C1920" s="2">
        <v>45131</v>
      </c>
      <c r="D1920" t="s">
        <v>26</v>
      </c>
      <c r="E1920">
        <v>543</v>
      </c>
    </row>
    <row r="1921" spans="1:5" x14ac:dyDescent="0.55000000000000004">
      <c r="A1921" t="s">
        <v>2002</v>
      </c>
      <c r="B1921" t="s">
        <v>86</v>
      </c>
      <c r="C1921" s="2">
        <v>43522</v>
      </c>
      <c r="D1921" t="s">
        <v>26</v>
      </c>
      <c r="E1921">
        <v>2652</v>
      </c>
    </row>
    <row r="1922" spans="1:5" x14ac:dyDescent="0.55000000000000004">
      <c r="A1922" t="s">
        <v>2003</v>
      </c>
      <c r="B1922" t="s">
        <v>74</v>
      </c>
      <c r="C1922" s="2">
        <v>42949</v>
      </c>
      <c r="D1922" t="s">
        <v>29</v>
      </c>
      <c r="E1922">
        <v>2740</v>
      </c>
    </row>
    <row r="1923" spans="1:5" x14ac:dyDescent="0.55000000000000004">
      <c r="A1923" t="s">
        <v>2004</v>
      </c>
      <c r="B1923" t="s">
        <v>156</v>
      </c>
      <c r="C1923" s="2">
        <v>43248</v>
      </c>
      <c r="D1923" t="s">
        <v>29</v>
      </c>
      <c r="E1923">
        <v>2336</v>
      </c>
    </row>
    <row r="1924" spans="1:5" x14ac:dyDescent="0.55000000000000004">
      <c r="A1924" t="s">
        <v>2005</v>
      </c>
      <c r="B1924" t="s">
        <v>78</v>
      </c>
      <c r="C1924" s="2">
        <v>43565</v>
      </c>
      <c r="D1924" t="s">
        <v>29</v>
      </c>
      <c r="E1924">
        <v>1899</v>
      </c>
    </row>
    <row r="1925" spans="1:5" x14ac:dyDescent="0.55000000000000004">
      <c r="A1925" t="s">
        <v>2006</v>
      </c>
      <c r="B1925" t="s">
        <v>118</v>
      </c>
      <c r="C1925" s="2">
        <v>44033</v>
      </c>
      <c r="D1925" t="s">
        <v>29</v>
      </c>
      <c r="E1925">
        <v>757</v>
      </c>
    </row>
    <row r="1926" spans="1:5" x14ac:dyDescent="0.55000000000000004">
      <c r="A1926" t="s">
        <v>2007</v>
      </c>
      <c r="B1926" t="s">
        <v>137</v>
      </c>
      <c r="C1926" s="2">
        <v>44983</v>
      </c>
      <c r="D1926" t="s">
        <v>29</v>
      </c>
      <c r="E1926">
        <v>2883</v>
      </c>
    </row>
    <row r="1927" spans="1:5" x14ac:dyDescent="0.55000000000000004">
      <c r="A1927" t="s">
        <v>2008</v>
      </c>
      <c r="B1927" t="s">
        <v>35</v>
      </c>
      <c r="C1927" s="2">
        <v>43833</v>
      </c>
      <c r="D1927" t="s">
        <v>26</v>
      </c>
      <c r="E1927">
        <v>1576</v>
      </c>
    </row>
    <row r="1928" spans="1:5" x14ac:dyDescent="0.55000000000000004">
      <c r="A1928" t="s">
        <v>2009</v>
      </c>
      <c r="B1928" t="s">
        <v>94</v>
      </c>
      <c r="C1928" s="2">
        <v>44829</v>
      </c>
      <c r="D1928" t="s">
        <v>26</v>
      </c>
      <c r="E1928">
        <v>1214</v>
      </c>
    </row>
    <row r="1929" spans="1:5" x14ac:dyDescent="0.55000000000000004">
      <c r="A1929" t="s">
        <v>2010</v>
      </c>
      <c r="B1929" t="s">
        <v>140</v>
      </c>
      <c r="C1929" s="2">
        <v>44458</v>
      </c>
      <c r="D1929" t="s">
        <v>29</v>
      </c>
      <c r="E1929">
        <v>2859</v>
      </c>
    </row>
    <row r="1930" spans="1:5" x14ac:dyDescent="0.55000000000000004">
      <c r="A1930" t="s">
        <v>2011</v>
      </c>
      <c r="B1930" t="s">
        <v>32</v>
      </c>
      <c r="C1930" s="2">
        <v>44255</v>
      </c>
      <c r="D1930" t="s">
        <v>26</v>
      </c>
      <c r="E1930">
        <v>2541</v>
      </c>
    </row>
    <row r="1931" spans="1:5" x14ac:dyDescent="0.55000000000000004">
      <c r="A1931" t="s">
        <v>2012</v>
      </c>
      <c r="B1931" t="s">
        <v>94</v>
      </c>
      <c r="C1931" s="2">
        <v>44841</v>
      </c>
      <c r="D1931" t="s">
        <v>26</v>
      </c>
      <c r="E1931">
        <v>2108</v>
      </c>
    </row>
    <row r="1932" spans="1:5" x14ac:dyDescent="0.55000000000000004">
      <c r="A1932" t="s">
        <v>2013</v>
      </c>
      <c r="B1932" t="s">
        <v>38</v>
      </c>
      <c r="C1932" s="2">
        <v>44576</v>
      </c>
      <c r="D1932" t="s">
        <v>26</v>
      </c>
      <c r="E1932">
        <v>454</v>
      </c>
    </row>
    <row r="1933" spans="1:5" x14ac:dyDescent="0.55000000000000004">
      <c r="A1933" t="s">
        <v>2014</v>
      </c>
      <c r="B1933" t="s">
        <v>101</v>
      </c>
      <c r="C1933" s="2">
        <v>43665</v>
      </c>
      <c r="D1933" t="s">
        <v>29</v>
      </c>
      <c r="E1933">
        <v>2535</v>
      </c>
    </row>
    <row r="1934" spans="1:5" x14ac:dyDescent="0.55000000000000004">
      <c r="A1934" t="s">
        <v>2015</v>
      </c>
      <c r="B1934" t="s">
        <v>142</v>
      </c>
      <c r="C1934" s="2">
        <v>43665</v>
      </c>
      <c r="D1934" t="s">
        <v>29</v>
      </c>
      <c r="E1934">
        <v>717</v>
      </c>
    </row>
    <row r="1935" spans="1:5" x14ac:dyDescent="0.55000000000000004">
      <c r="A1935" t="s">
        <v>2016</v>
      </c>
      <c r="B1935" t="s">
        <v>35</v>
      </c>
      <c r="C1935" s="2">
        <v>43968</v>
      </c>
      <c r="D1935" t="s">
        <v>26</v>
      </c>
      <c r="E1935">
        <v>566</v>
      </c>
    </row>
    <row r="1936" spans="1:5" x14ac:dyDescent="0.55000000000000004">
      <c r="A1936" t="s">
        <v>2017</v>
      </c>
      <c r="B1936" t="s">
        <v>111</v>
      </c>
      <c r="C1936" s="2">
        <v>43405</v>
      </c>
      <c r="D1936" t="s">
        <v>26</v>
      </c>
      <c r="E1936">
        <v>2658</v>
      </c>
    </row>
    <row r="1937" spans="1:5" x14ac:dyDescent="0.55000000000000004">
      <c r="A1937" t="s">
        <v>2018</v>
      </c>
      <c r="B1937" t="s">
        <v>96</v>
      </c>
      <c r="C1937" s="2">
        <v>44325</v>
      </c>
      <c r="D1937" t="s">
        <v>26</v>
      </c>
      <c r="E1937">
        <v>1312</v>
      </c>
    </row>
    <row r="1938" spans="1:5" x14ac:dyDescent="0.55000000000000004">
      <c r="A1938" t="s">
        <v>2019</v>
      </c>
      <c r="B1938" t="s">
        <v>86</v>
      </c>
      <c r="C1938" s="2">
        <v>43464</v>
      </c>
      <c r="D1938" t="s">
        <v>29</v>
      </c>
      <c r="E1938">
        <v>1135</v>
      </c>
    </row>
    <row r="1939" spans="1:5" x14ac:dyDescent="0.55000000000000004">
      <c r="A1939" t="s">
        <v>2020</v>
      </c>
      <c r="B1939" t="s">
        <v>142</v>
      </c>
      <c r="C1939" s="2">
        <v>43046</v>
      </c>
      <c r="D1939" t="s">
        <v>29</v>
      </c>
      <c r="E1939">
        <v>1414</v>
      </c>
    </row>
    <row r="1940" spans="1:5" x14ac:dyDescent="0.55000000000000004">
      <c r="A1940" t="s">
        <v>2021</v>
      </c>
      <c r="B1940" t="s">
        <v>15</v>
      </c>
      <c r="C1940" s="2">
        <v>43912</v>
      </c>
      <c r="D1940" t="s">
        <v>26</v>
      </c>
      <c r="E1940">
        <v>1925</v>
      </c>
    </row>
    <row r="1941" spans="1:5" x14ac:dyDescent="0.55000000000000004">
      <c r="A1941" t="s">
        <v>2022</v>
      </c>
      <c r="B1941" t="s">
        <v>41</v>
      </c>
      <c r="C1941" s="2">
        <v>44920</v>
      </c>
      <c r="D1941" t="s">
        <v>29</v>
      </c>
      <c r="E1941">
        <v>1851</v>
      </c>
    </row>
    <row r="1942" spans="1:5" x14ac:dyDescent="0.55000000000000004">
      <c r="A1942" t="s">
        <v>2023</v>
      </c>
      <c r="B1942" t="s">
        <v>32</v>
      </c>
      <c r="C1942" s="2">
        <v>44584</v>
      </c>
      <c r="D1942" t="s">
        <v>26</v>
      </c>
      <c r="E1942">
        <v>771</v>
      </c>
    </row>
    <row r="1943" spans="1:5" x14ac:dyDescent="0.55000000000000004">
      <c r="A1943" t="s">
        <v>2024</v>
      </c>
      <c r="B1943" t="s">
        <v>94</v>
      </c>
      <c r="C1943" s="2">
        <v>45341</v>
      </c>
      <c r="D1943" t="s">
        <v>26</v>
      </c>
      <c r="E1943">
        <v>328</v>
      </c>
    </row>
    <row r="1944" spans="1:5" x14ac:dyDescent="0.55000000000000004">
      <c r="A1944" t="s">
        <v>2025</v>
      </c>
      <c r="B1944" t="s">
        <v>101</v>
      </c>
      <c r="C1944" s="2">
        <v>43283</v>
      </c>
      <c r="D1944" t="s">
        <v>29</v>
      </c>
      <c r="E1944">
        <v>315</v>
      </c>
    </row>
    <row r="1945" spans="1:5" x14ac:dyDescent="0.55000000000000004">
      <c r="A1945" t="s">
        <v>2026</v>
      </c>
      <c r="B1945" t="s">
        <v>115</v>
      </c>
      <c r="C1945" s="2">
        <v>43254</v>
      </c>
      <c r="D1945" t="s">
        <v>29</v>
      </c>
      <c r="E1945">
        <v>458</v>
      </c>
    </row>
    <row r="1946" spans="1:5" x14ac:dyDescent="0.55000000000000004">
      <c r="A1946" t="s">
        <v>2027</v>
      </c>
      <c r="B1946" t="s">
        <v>41</v>
      </c>
      <c r="C1946" s="2">
        <v>44134</v>
      </c>
      <c r="D1946" t="s">
        <v>29</v>
      </c>
      <c r="E1946">
        <v>616</v>
      </c>
    </row>
    <row r="1947" spans="1:5" x14ac:dyDescent="0.55000000000000004">
      <c r="A1947" t="s">
        <v>2028</v>
      </c>
      <c r="B1947" t="s">
        <v>76</v>
      </c>
      <c r="C1947" s="2">
        <v>44302</v>
      </c>
      <c r="D1947" t="s">
        <v>26</v>
      </c>
      <c r="E1947">
        <v>1200</v>
      </c>
    </row>
    <row r="1948" spans="1:5" x14ac:dyDescent="0.55000000000000004">
      <c r="A1948" t="s">
        <v>2029</v>
      </c>
      <c r="B1948" t="s">
        <v>140</v>
      </c>
      <c r="C1948" s="2">
        <v>44314</v>
      </c>
      <c r="D1948" t="s">
        <v>26</v>
      </c>
      <c r="E1948">
        <v>1941</v>
      </c>
    </row>
    <row r="1949" spans="1:5" x14ac:dyDescent="0.55000000000000004">
      <c r="A1949" t="s">
        <v>2030</v>
      </c>
      <c r="B1949" t="s">
        <v>86</v>
      </c>
      <c r="C1949" s="2">
        <v>43777</v>
      </c>
      <c r="D1949" t="s">
        <v>29</v>
      </c>
      <c r="E1949">
        <v>2640</v>
      </c>
    </row>
    <row r="1950" spans="1:5" x14ac:dyDescent="0.55000000000000004">
      <c r="A1950" t="s">
        <v>2031</v>
      </c>
      <c r="B1950" t="s">
        <v>14</v>
      </c>
      <c r="C1950" s="2">
        <v>43514</v>
      </c>
      <c r="D1950" t="s">
        <v>26</v>
      </c>
      <c r="E1950">
        <v>257</v>
      </c>
    </row>
    <row r="1951" spans="1:5" x14ac:dyDescent="0.55000000000000004">
      <c r="A1951" t="s">
        <v>2032</v>
      </c>
      <c r="B1951" t="s">
        <v>14</v>
      </c>
      <c r="C1951" s="2">
        <v>44559</v>
      </c>
      <c r="D1951" t="s">
        <v>26</v>
      </c>
      <c r="E1951">
        <v>2128</v>
      </c>
    </row>
    <row r="1952" spans="1:5" x14ac:dyDescent="0.55000000000000004">
      <c r="A1952" t="s">
        <v>2033</v>
      </c>
      <c r="B1952" t="s">
        <v>35</v>
      </c>
      <c r="C1952" s="2">
        <v>44518</v>
      </c>
      <c r="D1952" t="s">
        <v>29</v>
      </c>
      <c r="E1952">
        <v>2370</v>
      </c>
    </row>
    <row r="1953" spans="1:5" x14ac:dyDescent="0.55000000000000004">
      <c r="A1953" t="s">
        <v>2034</v>
      </c>
      <c r="B1953" t="s">
        <v>111</v>
      </c>
      <c r="C1953" s="2">
        <v>44259</v>
      </c>
      <c r="D1953" t="s">
        <v>29</v>
      </c>
      <c r="E1953">
        <v>1991</v>
      </c>
    </row>
    <row r="1954" spans="1:5" x14ac:dyDescent="0.55000000000000004">
      <c r="A1954" t="s">
        <v>2035</v>
      </c>
      <c r="B1954" t="s">
        <v>23</v>
      </c>
      <c r="C1954" s="2">
        <v>44916</v>
      </c>
      <c r="D1954" t="s">
        <v>29</v>
      </c>
      <c r="E1954">
        <v>1875</v>
      </c>
    </row>
    <row r="1955" spans="1:5" x14ac:dyDescent="0.55000000000000004">
      <c r="A1955" t="s">
        <v>2036</v>
      </c>
      <c r="B1955" t="s">
        <v>156</v>
      </c>
      <c r="C1955" s="2">
        <v>44078</v>
      </c>
      <c r="D1955" t="s">
        <v>26</v>
      </c>
      <c r="E1955">
        <v>1255</v>
      </c>
    </row>
    <row r="1956" spans="1:5" x14ac:dyDescent="0.55000000000000004">
      <c r="A1956" t="s">
        <v>2037</v>
      </c>
      <c r="B1956" t="s">
        <v>105</v>
      </c>
      <c r="C1956" s="2">
        <v>44533</v>
      </c>
      <c r="D1956" t="s">
        <v>29</v>
      </c>
      <c r="E1956">
        <v>928</v>
      </c>
    </row>
    <row r="1957" spans="1:5" x14ac:dyDescent="0.55000000000000004">
      <c r="A1957" t="s">
        <v>2038</v>
      </c>
      <c r="B1957" t="s">
        <v>96</v>
      </c>
      <c r="C1957" s="2">
        <v>44989</v>
      </c>
      <c r="D1957" t="s">
        <v>29</v>
      </c>
      <c r="E1957">
        <v>193</v>
      </c>
    </row>
    <row r="1958" spans="1:5" x14ac:dyDescent="0.55000000000000004">
      <c r="A1958" t="s">
        <v>2039</v>
      </c>
      <c r="B1958" t="s">
        <v>72</v>
      </c>
      <c r="C1958" s="2">
        <v>43640</v>
      </c>
      <c r="D1958" t="s">
        <v>29</v>
      </c>
      <c r="E1958">
        <v>1867</v>
      </c>
    </row>
    <row r="1959" spans="1:5" x14ac:dyDescent="0.55000000000000004">
      <c r="A1959" t="s">
        <v>2040</v>
      </c>
      <c r="B1959" t="s">
        <v>105</v>
      </c>
      <c r="C1959" s="2">
        <v>44183</v>
      </c>
      <c r="D1959" t="s">
        <v>26</v>
      </c>
      <c r="E1959">
        <v>2915</v>
      </c>
    </row>
    <row r="1960" spans="1:5" x14ac:dyDescent="0.55000000000000004">
      <c r="A1960" t="s">
        <v>2041</v>
      </c>
      <c r="B1960" t="s">
        <v>99</v>
      </c>
      <c r="C1960" s="2">
        <v>44634</v>
      </c>
      <c r="D1960" t="s">
        <v>26</v>
      </c>
      <c r="E1960">
        <v>718</v>
      </c>
    </row>
    <row r="1961" spans="1:5" x14ac:dyDescent="0.55000000000000004">
      <c r="A1961" t="s">
        <v>2042</v>
      </c>
      <c r="B1961" t="s">
        <v>175</v>
      </c>
      <c r="C1961" s="2">
        <v>44094</v>
      </c>
      <c r="D1961" t="s">
        <v>26</v>
      </c>
      <c r="E1961">
        <v>974</v>
      </c>
    </row>
    <row r="1962" spans="1:5" x14ac:dyDescent="0.55000000000000004">
      <c r="A1962" t="s">
        <v>2043</v>
      </c>
      <c r="B1962" t="s">
        <v>115</v>
      </c>
      <c r="C1962" s="2">
        <v>43001</v>
      </c>
      <c r="D1962" t="s">
        <v>29</v>
      </c>
      <c r="E1962">
        <v>2353</v>
      </c>
    </row>
    <row r="1963" spans="1:5" x14ac:dyDescent="0.55000000000000004">
      <c r="A1963" t="s">
        <v>2044</v>
      </c>
      <c r="B1963" t="s">
        <v>72</v>
      </c>
      <c r="C1963" s="2">
        <v>43819</v>
      </c>
      <c r="D1963" t="s">
        <v>29</v>
      </c>
      <c r="E1963">
        <v>1514</v>
      </c>
    </row>
    <row r="1964" spans="1:5" x14ac:dyDescent="0.55000000000000004">
      <c r="A1964" t="s">
        <v>2045</v>
      </c>
      <c r="B1964" t="s">
        <v>105</v>
      </c>
      <c r="C1964" s="2">
        <v>43337</v>
      </c>
      <c r="D1964" t="s">
        <v>26</v>
      </c>
      <c r="E1964">
        <v>2726</v>
      </c>
    </row>
    <row r="1965" spans="1:5" x14ac:dyDescent="0.55000000000000004">
      <c r="A1965" t="s">
        <v>2046</v>
      </c>
      <c r="B1965" t="s">
        <v>111</v>
      </c>
      <c r="C1965" s="2">
        <v>43621</v>
      </c>
      <c r="D1965" t="s">
        <v>26</v>
      </c>
      <c r="E1965">
        <v>1527</v>
      </c>
    </row>
    <row r="1966" spans="1:5" x14ac:dyDescent="0.55000000000000004">
      <c r="A1966" t="s">
        <v>2047</v>
      </c>
      <c r="B1966" t="s">
        <v>15</v>
      </c>
      <c r="C1966" s="2">
        <v>44022</v>
      </c>
      <c r="D1966" t="s">
        <v>26</v>
      </c>
      <c r="E1966">
        <v>2185</v>
      </c>
    </row>
    <row r="1967" spans="1:5" x14ac:dyDescent="0.55000000000000004">
      <c r="A1967" t="s">
        <v>2048</v>
      </c>
      <c r="B1967" t="s">
        <v>156</v>
      </c>
      <c r="C1967" s="2">
        <v>43165</v>
      </c>
      <c r="D1967" t="s">
        <v>26</v>
      </c>
      <c r="E1967">
        <v>1657</v>
      </c>
    </row>
    <row r="1968" spans="1:5" x14ac:dyDescent="0.55000000000000004">
      <c r="A1968" t="s">
        <v>2049</v>
      </c>
      <c r="B1968" t="s">
        <v>96</v>
      </c>
      <c r="C1968" s="2">
        <v>44061</v>
      </c>
      <c r="D1968" t="s">
        <v>29</v>
      </c>
      <c r="E1968">
        <v>1311</v>
      </c>
    </row>
    <row r="1969" spans="1:5" x14ac:dyDescent="0.55000000000000004">
      <c r="A1969" t="s">
        <v>2050</v>
      </c>
      <c r="B1969" t="s">
        <v>72</v>
      </c>
      <c r="C1969" s="2">
        <v>42925</v>
      </c>
      <c r="D1969" t="s">
        <v>29</v>
      </c>
      <c r="E1969">
        <v>2651</v>
      </c>
    </row>
    <row r="1970" spans="1:5" x14ac:dyDescent="0.55000000000000004">
      <c r="A1970" t="s">
        <v>2051</v>
      </c>
      <c r="B1970" t="s">
        <v>41</v>
      </c>
      <c r="C1970" s="2">
        <v>44436</v>
      </c>
      <c r="D1970" t="s">
        <v>29</v>
      </c>
      <c r="E1970">
        <v>1187</v>
      </c>
    </row>
    <row r="1971" spans="1:5" x14ac:dyDescent="0.55000000000000004">
      <c r="A1971" t="s">
        <v>2052</v>
      </c>
      <c r="B1971" t="s">
        <v>118</v>
      </c>
      <c r="C1971" s="2">
        <v>45815</v>
      </c>
      <c r="D1971" t="s">
        <v>26</v>
      </c>
      <c r="E1971">
        <v>2315</v>
      </c>
    </row>
    <row r="1972" spans="1:5" x14ac:dyDescent="0.55000000000000004">
      <c r="A1972" t="s">
        <v>2053</v>
      </c>
      <c r="B1972" t="s">
        <v>78</v>
      </c>
      <c r="C1972" s="2">
        <v>45276</v>
      </c>
      <c r="D1972" t="s">
        <v>29</v>
      </c>
      <c r="E1972">
        <v>2822</v>
      </c>
    </row>
    <row r="1973" spans="1:5" x14ac:dyDescent="0.55000000000000004">
      <c r="A1973" t="s">
        <v>2054</v>
      </c>
      <c r="B1973" t="s">
        <v>115</v>
      </c>
      <c r="C1973" s="2">
        <v>44415</v>
      </c>
      <c r="D1973" t="s">
        <v>29</v>
      </c>
      <c r="E1973">
        <v>164</v>
      </c>
    </row>
    <row r="1974" spans="1:5" x14ac:dyDescent="0.55000000000000004">
      <c r="A1974" t="s">
        <v>2055</v>
      </c>
      <c r="B1974" t="s">
        <v>72</v>
      </c>
      <c r="C1974" s="2">
        <v>44305</v>
      </c>
      <c r="D1974" t="s">
        <v>26</v>
      </c>
      <c r="E1974">
        <v>1261</v>
      </c>
    </row>
    <row r="1975" spans="1:5" x14ac:dyDescent="0.55000000000000004">
      <c r="A1975" t="s">
        <v>2056</v>
      </c>
      <c r="B1975" t="s">
        <v>14</v>
      </c>
      <c r="C1975" s="2">
        <v>43739</v>
      </c>
      <c r="D1975" t="s">
        <v>26</v>
      </c>
      <c r="E1975">
        <v>1826</v>
      </c>
    </row>
    <row r="1976" spans="1:5" x14ac:dyDescent="0.55000000000000004">
      <c r="A1976" t="s">
        <v>2057</v>
      </c>
      <c r="B1976" t="s">
        <v>86</v>
      </c>
      <c r="C1976" s="2">
        <v>43106</v>
      </c>
      <c r="D1976" t="s">
        <v>29</v>
      </c>
      <c r="E1976">
        <v>225</v>
      </c>
    </row>
    <row r="1977" spans="1:5" x14ac:dyDescent="0.55000000000000004">
      <c r="A1977" t="s">
        <v>2058</v>
      </c>
      <c r="B1977" t="s">
        <v>32</v>
      </c>
      <c r="C1977" s="2">
        <v>44230</v>
      </c>
      <c r="D1977" t="s">
        <v>26</v>
      </c>
      <c r="E1977">
        <v>1138</v>
      </c>
    </row>
    <row r="1978" spans="1:5" x14ac:dyDescent="0.55000000000000004">
      <c r="A1978" t="s">
        <v>2059</v>
      </c>
      <c r="B1978" t="s">
        <v>151</v>
      </c>
      <c r="C1978" s="2">
        <v>42963</v>
      </c>
      <c r="D1978" t="s">
        <v>26</v>
      </c>
      <c r="E1978">
        <v>2205</v>
      </c>
    </row>
    <row r="1979" spans="1:5" x14ac:dyDescent="0.55000000000000004">
      <c r="A1979" t="s">
        <v>2060</v>
      </c>
      <c r="B1979" t="s">
        <v>76</v>
      </c>
      <c r="C1979" s="2">
        <v>45290</v>
      </c>
      <c r="D1979" t="s">
        <v>26</v>
      </c>
      <c r="E1979">
        <v>2096</v>
      </c>
    </row>
    <row r="1980" spans="1:5" x14ac:dyDescent="0.55000000000000004">
      <c r="A1980" t="s">
        <v>2061</v>
      </c>
      <c r="B1980" t="s">
        <v>101</v>
      </c>
      <c r="C1980" s="2">
        <v>43315</v>
      </c>
      <c r="D1980" t="s">
        <v>29</v>
      </c>
      <c r="E1980">
        <v>1301</v>
      </c>
    </row>
    <row r="1981" spans="1:5" x14ac:dyDescent="0.55000000000000004">
      <c r="A1981" t="s">
        <v>2062</v>
      </c>
      <c r="B1981" t="s">
        <v>32</v>
      </c>
      <c r="C1981" s="2">
        <v>44878</v>
      </c>
      <c r="D1981" t="s">
        <v>26</v>
      </c>
      <c r="E1981">
        <v>2731</v>
      </c>
    </row>
    <row r="1982" spans="1:5" x14ac:dyDescent="0.55000000000000004">
      <c r="A1982" t="s">
        <v>2063</v>
      </c>
      <c r="B1982" t="s">
        <v>86</v>
      </c>
      <c r="C1982" s="2">
        <v>43731</v>
      </c>
      <c r="D1982" t="s">
        <v>26</v>
      </c>
      <c r="E1982">
        <v>2932</v>
      </c>
    </row>
    <row r="1983" spans="1:5" x14ac:dyDescent="0.55000000000000004">
      <c r="A1983" t="s">
        <v>2064</v>
      </c>
      <c r="B1983" t="s">
        <v>76</v>
      </c>
      <c r="C1983" s="2">
        <v>45217</v>
      </c>
      <c r="D1983" t="s">
        <v>29</v>
      </c>
      <c r="E1983">
        <v>1581</v>
      </c>
    </row>
    <row r="1984" spans="1:5" x14ac:dyDescent="0.55000000000000004">
      <c r="A1984" t="s">
        <v>2065</v>
      </c>
      <c r="B1984" t="s">
        <v>86</v>
      </c>
      <c r="C1984" s="2">
        <v>42941</v>
      </c>
      <c r="D1984" t="s">
        <v>29</v>
      </c>
      <c r="E1984">
        <v>1412</v>
      </c>
    </row>
    <row r="1985" spans="1:5" x14ac:dyDescent="0.55000000000000004">
      <c r="A1985" t="s">
        <v>2066</v>
      </c>
      <c r="B1985" t="s">
        <v>86</v>
      </c>
      <c r="C1985" s="2">
        <v>43547</v>
      </c>
      <c r="D1985" t="s">
        <v>29</v>
      </c>
      <c r="E1985">
        <v>2297</v>
      </c>
    </row>
    <row r="1986" spans="1:5" x14ac:dyDescent="0.55000000000000004">
      <c r="A1986" t="s">
        <v>2067</v>
      </c>
      <c r="B1986" t="s">
        <v>74</v>
      </c>
      <c r="C1986" s="2">
        <v>43358</v>
      </c>
      <c r="D1986" t="s">
        <v>29</v>
      </c>
      <c r="E1986">
        <v>1702</v>
      </c>
    </row>
    <row r="1987" spans="1:5" x14ac:dyDescent="0.55000000000000004">
      <c r="A1987" t="s">
        <v>2068</v>
      </c>
      <c r="B1987" t="s">
        <v>137</v>
      </c>
      <c r="C1987" s="2">
        <v>45278</v>
      </c>
      <c r="D1987" t="s">
        <v>29</v>
      </c>
      <c r="E1987">
        <v>670</v>
      </c>
    </row>
    <row r="1988" spans="1:5" x14ac:dyDescent="0.55000000000000004">
      <c r="A1988" t="s">
        <v>2069</v>
      </c>
      <c r="B1988" t="s">
        <v>137</v>
      </c>
      <c r="C1988" s="2">
        <v>45202</v>
      </c>
      <c r="D1988" t="s">
        <v>29</v>
      </c>
      <c r="E1988">
        <v>571</v>
      </c>
    </row>
    <row r="1989" spans="1:5" x14ac:dyDescent="0.55000000000000004">
      <c r="A1989" t="s">
        <v>2070</v>
      </c>
      <c r="B1989" t="s">
        <v>175</v>
      </c>
      <c r="C1989" s="2">
        <v>43818</v>
      </c>
      <c r="D1989" t="s">
        <v>26</v>
      </c>
      <c r="E1989">
        <v>851</v>
      </c>
    </row>
    <row r="1990" spans="1:5" x14ac:dyDescent="0.55000000000000004">
      <c r="A1990" t="s">
        <v>2071</v>
      </c>
      <c r="B1990" t="s">
        <v>156</v>
      </c>
      <c r="C1990" s="2">
        <v>43889</v>
      </c>
      <c r="D1990" t="s">
        <v>29</v>
      </c>
      <c r="E1990">
        <v>270</v>
      </c>
    </row>
    <row r="1991" spans="1:5" x14ac:dyDescent="0.55000000000000004">
      <c r="A1991" t="s">
        <v>2072</v>
      </c>
      <c r="B1991" t="s">
        <v>23</v>
      </c>
      <c r="C1991" s="2">
        <v>44600</v>
      </c>
      <c r="D1991" t="s">
        <v>26</v>
      </c>
      <c r="E1991">
        <v>27</v>
      </c>
    </row>
    <row r="1992" spans="1:5" x14ac:dyDescent="0.55000000000000004">
      <c r="A1992" t="s">
        <v>2073</v>
      </c>
      <c r="B1992" t="s">
        <v>140</v>
      </c>
      <c r="C1992" s="2">
        <v>44225</v>
      </c>
      <c r="D1992" t="s">
        <v>29</v>
      </c>
      <c r="E1992">
        <v>1697</v>
      </c>
    </row>
    <row r="1993" spans="1:5" x14ac:dyDescent="0.55000000000000004">
      <c r="A1993" t="s">
        <v>2074</v>
      </c>
      <c r="B1993" t="s">
        <v>105</v>
      </c>
      <c r="C1993" s="2">
        <v>44055</v>
      </c>
      <c r="D1993" t="s">
        <v>29</v>
      </c>
      <c r="E1993">
        <v>2909</v>
      </c>
    </row>
    <row r="1994" spans="1:5" x14ac:dyDescent="0.55000000000000004">
      <c r="A1994" t="s">
        <v>2075</v>
      </c>
      <c r="B1994" t="s">
        <v>23</v>
      </c>
      <c r="C1994" s="2">
        <v>44111</v>
      </c>
      <c r="D1994" t="s">
        <v>26</v>
      </c>
      <c r="E1994">
        <v>761</v>
      </c>
    </row>
    <row r="1995" spans="1:5" x14ac:dyDescent="0.55000000000000004">
      <c r="A1995" t="s">
        <v>2076</v>
      </c>
      <c r="B1995" t="s">
        <v>175</v>
      </c>
      <c r="C1995" s="2">
        <v>45029</v>
      </c>
      <c r="D1995" t="s">
        <v>29</v>
      </c>
      <c r="E1995">
        <v>2268</v>
      </c>
    </row>
    <row r="1996" spans="1:5" x14ac:dyDescent="0.55000000000000004">
      <c r="A1996" t="s">
        <v>2077</v>
      </c>
      <c r="B1996" t="s">
        <v>96</v>
      </c>
      <c r="C1996" s="2">
        <v>43638</v>
      </c>
      <c r="D1996" t="s">
        <v>29</v>
      </c>
      <c r="E1996">
        <v>2397</v>
      </c>
    </row>
    <row r="1997" spans="1:5" x14ac:dyDescent="0.55000000000000004">
      <c r="A1997" t="s">
        <v>2078</v>
      </c>
      <c r="B1997" t="s">
        <v>156</v>
      </c>
      <c r="C1997" s="2">
        <v>43928</v>
      </c>
      <c r="D1997" t="s">
        <v>29</v>
      </c>
      <c r="E1997">
        <v>919</v>
      </c>
    </row>
    <row r="1998" spans="1:5" x14ac:dyDescent="0.55000000000000004">
      <c r="A1998" t="s">
        <v>2079</v>
      </c>
      <c r="B1998" t="s">
        <v>14</v>
      </c>
      <c r="C1998" s="2">
        <v>44537</v>
      </c>
      <c r="D1998" t="s">
        <v>26</v>
      </c>
      <c r="E1998">
        <v>630</v>
      </c>
    </row>
    <row r="1999" spans="1:5" x14ac:dyDescent="0.55000000000000004">
      <c r="A1999" t="s">
        <v>2080</v>
      </c>
      <c r="B1999" t="s">
        <v>84</v>
      </c>
      <c r="C1999" s="2">
        <v>43531</v>
      </c>
      <c r="D1999" t="s">
        <v>29</v>
      </c>
      <c r="E1999">
        <v>508</v>
      </c>
    </row>
    <row r="2000" spans="1:5" x14ac:dyDescent="0.55000000000000004">
      <c r="A2000" t="s">
        <v>2081</v>
      </c>
      <c r="B2000" t="s">
        <v>35</v>
      </c>
      <c r="C2000" s="2">
        <v>44420</v>
      </c>
      <c r="D2000" t="s">
        <v>29</v>
      </c>
      <c r="E2000">
        <v>734</v>
      </c>
    </row>
    <row r="2001" spans="1:5" x14ac:dyDescent="0.55000000000000004">
      <c r="A2001" t="s">
        <v>2082</v>
      </c>
      <c r="B2001" t="s">
        <v>96</v>
      </c>
      <c r="C2001" s="2">
        <v>44468</v>
      </c>
      <c r="D2001" t="s">
        <v>26</v>
      </c>
      <c r="E2001">
        <v>488</v>
      </c>
    </row>
    <row r="2002" spans="1:5" x14ac:dyDescent="0.55000000000000004">
      <c r="A2002" t="s">
        <v>2083</v>
      </c>
      <c r="B2002" t="s">
        <v>118</v>
      </c>
      <c r="C2002" s="2">
        <v>44601</v>
      </c>
      <c r="D2002" t="s">
        <v>29</v>
      </c>
      <c r="E2002">
        <v>273</v>
      </c>
    </row>
    <row r="2003" spans="1:5" x14ac:dyDescent="0.55000000000000004">
      <c r="A2003" t="s">
        <v>2084</v>
      </c>
      <c r="B2003" t="s">
        <v>32</v>
      </c>
      <c r="C2003" s="2">
        <v>44571</v>
      </c>
      <c r="D2003" t="s">
        <v>29</v>
      </c>
      <c r="E2003">
        <v>2316</v>
      </c>
    </row>
    <row r="2004" spans="1:5" x14ac:dyDescent="0.55000000000000004">
      <c r="A2004" t="s">
        <v>2085</v>
      </c>
      <c r="B2004" t="s">
        <v>140</v>
      </c>
      <c r="C2004" s="2">
        <v>43445</v>
      </c>
      <c r="D2004" t="s">
        <v>29</v>
      </c>
      <c r="E2004">
        <v>2843</v>
      </c>
    </row>
    <row r="2005" spans="1:5" x14ac:dyDescent="0.55000000000000004">
      <c r="A2005" t="s">
        <v>2086</v>
      </c>
      <c r="B2005" t="s">
        <v>175</v>
      </c>
      <c r="C2005" s="2">
        <v>43955</v>
      </c>
      <c r="D2005" t="s">
        <v>29</v>
      </c>
      <c r="E2005">
        <v>2099</v>
      </c>
    </row>
    <row r="2006" spans="1:5" x14ac:dyDescent="0.55000000000000004">
      <c r="A2006" t="s">
        <v>2087</v>
      </c>
      <c r="B2006" t="s">
        <v>78</v>
      </c>
      <c r="C2006" s="2">
        <v>45822</v>
      </c>
      <c r="D2006" t="s">
        <v>26</v>
      </c>
      <c r="E2006">
        <v>1063</v>
      </c>
    </row>
    <row r="2007" spans="1:5" x14ac:dyDescent="0.55000000000000004">
      <c r="A2007" t="s">
        <v>2088</v>
      </c>
      <c r="B2007" t="s">
        <v>105</v>
      </c>
      <c r="C2007" s="2">
        <v>44108</v>
      </c>
      <c r="D2007" t="s">
        <v>26</v>
      </c>
      <c r="E2007">
        <v>598</v>
      </c>
    </row>
    <row r="2008" spans="1:5" x14ac:dyDescent="0.55000000000000004">
      <c r="A2008" t="s">
        <v>2089</v>
      </c>
      <c r="B2008" t="s">
        <v>111</v>
      </c>
      <c r="C2008" s="2">
        <v>43861</v>
      </c>
      <c r="D2008" t="s">
        <v>26</v>
      </c>
      <c r="E2008">
        <v>1463</v>
      </c>
    </row>
    <row r="2009" spans="1:5" x14ac:dyDescent="0.55000000000000004">
      <c r="A2009" t="s">
        <v>2090</v>
      </c>
      <c r="B2009" t="s">
        <v>105</v>
      </c>
      <c r="C2009" s="2">
        <v>43025</v>
      </c>
      <c r="D2009" t="s">
        <v>29</v>
      </c>
      <c r="E2009">
        <v>1479</v>
      </c>
    </row>
    <row r="2010" spans="1:5" x14ac:dyDescent="0.55000000000000004">
      <c r="A2010" t="s">
        <v>2091</v>
      </c>
      <c r="B2010" t="s">
        <v>140</v>
      </c>
      <c r="C2010" s="2">
        <v>44220</v>
      </c>
      <c r="D2010" t="s">
        <v>29</v>
      </c>
      <c r="E2010">
        <v>199</v>
      </c>
    </row>
    <row r="2011" spans="1:5" x14ac:dyDescent="0.55000000000000004">
      <c r="A2011" t="s">
        <v>2092</v>
      </c>
      <c r="B2011" t="s">
        <v>156</v>
      </c>
      <c r="C2011" s="2">
        <v>43514</v>
      </c>
      <c r="D2011" t="s">
        <v>26</v>
      </c>
      <c r="E2011">
        <v>2104</v>
      </c>
    </row>
    <row r="2012" spans="1:5" x14ac:dyDescent="0.55000000000000004">
      <c r="A2012" t="s">
        <v>2093</v>
      </c>
      <c r="B2012" t="s">
        <v>151</v>
      </c>
      <c r="C2012" s="2">
        <v>44486</v>
      </c>
      <c r="D2012" t="s">
        <v>26</v>
      </c>
      <c r="E2012">
        <v>387</v>
      </c>
    </row>
    <row r="2013" spans="1:5" x14ac:dyDescent="0.55000000000000004">
      <c r="A2013" t="s">
        <v>2094</v>
      </c>
      <c r="B2013" t="s">
        <v>32</v>
      </c>
      <c r="C2013" s="2">
        <v>44173</v>
      </c>
      <c r="D2013" t="s">
        <v>29</v>
      </c>
      <c r="E2013">
        <v>1295</v>
      </c>
    </row>
    <row r="2014" spans="1:5" x14ac:dyDescent="0.55000000000000004">
      <c r="A2014" t="s">
        <v>2095</v>
      </c>
      <c r="B2014" t="s">
        <v>175</v>
      </c>
      <c r="C2014" s="2">
        <v>44699</v>
      </c>
      <c r="D2014" t="s">
        <v>29</v>
      </c>
      <c r="E2014">
        <v>2807</v>
      </c>
    </row>
    <row r="2015" spans="1:5" x14ac:dyDescent="0.55000000000000004">
      <c r="A2015" t="s">
        <v>2096</v>
      </c>
      <c r="B2015" t="s">
        <v>41</v>
      </c>
      <c r="C2015" s="2">
        <v>44573</v>
      </c>
      <c r="D2015" t="s">
        <v>26</v>
      </c>
      <c r="E2015">
        <v>2188</v>
      </c>
    </row>
    <row r="2016" spans="1:5" x14ac:dyDescent="0.55000000000000004">
      <c r="A2016" t="s">
        <v>2097</v>
      </c>
      <c r="B2016" t="s">
        <v>23</v>
      </c>
      <c r="C2016" s="2">
        <v>44551</v>
      </c>
      <c r="D2016" t="s">
        <v>26</v>
      </c>
      <c r="E2016">
        <v>52</v>
      </c>
    </row>
    <row r="2017" spans="1:5" x14ac:dyDescent="0.55000000000000004">
      <c r="A2017" t="s">
        <v>2098</v>
      </c>
      <c r="B2017" t="s">
        <v>72</v>
      </c>
      <c r="C2017" s="2">
        <v>43978</v>
      </c>
      <c r="D2017" t="s">
        <v>29</v>
      </c>
      <c r="E2017">
        <v>1527</v>
      </c>
    </row>
    <row r="2018" spans="1:5" x14ac:dyDescent="0.55000000000000004">
      <c r="A2018" t="s">
        <v>2099</v>
      </c>
      <c r="B2018" t="s">
        <v>118</v>
      </c>
      <c r="C2018" s="2">
        <v>45452</v>
      </c>
      <c r="D2018" t="s">
        <v>29</v>
      </c>
      <c r="E2018">
        <v>1393</v>
      </c>
    </row>
    <row r="2019" spans="1:5" x14ac:dyDescent="0.55000000000000004">
      <c r="A2019" t="s">
        <v>2100</v>
      </c>
      <c r="B2019" t="s">
        <v>105</v>
      </c>
      <c r="C2019" s="2">
        <v>43126</v>
      </c>
      <c r="D2019" t="s">
        <v>26</v>
      </c>
      <c r="E2019">
        <v>633</v>
      </c>
    </row>
    <row r="2020" spans="1:5" x14ac:dyDescent="0.55000000000000004">
      <c r="A2020" t="s">
        <v>2101</v>
      </c>
      <c r="B2020" t="s">
        <v>67</v>
      </c>
      <c r="C2020" s="2">
        <v>44371</v>
      </c>
      <c r="D2020" t="s">
        <v>26</v>
      </c>
      <c r="E2020">
        <v>2288</v>
      </c>
    </row>
    <row r="2021" spans="1:5" x14ac:dyDescent="0.55000000000000004">
      <c r="A2021" t="s">
        <v>2102</v>
      </c>
      <c r="B2021" t="s">
        <v>32</v>
      </c>
      <c r="C2021" s="2">
        <v>44907</v>
      </c>
      <c r="D2021" t="s">
        <v>26</v>
      </c>
      <c r="E2021">
        <v>1709</v>
      </c>
    </row>
    <row r="2022" spans="1:5" x14ac:dyDescent="0.55000000000000004">
      <c r="A2022" t="s">
        <v>2103</v>
      </c>
      <c r="B2022" t="s">
        <v>15</v>
      </c>
      <c r="C2022" s="2">
        <v>43073</v>
      </c>
      <c r="D2022" t="s">
        <v>26</v>
      </c>
      <c r="E2022">
        <v>537</v>
      </c>
    </row>
    <row r="2023" spans="1:5" x14ac:dyDescent="0.55000000000000004">
      <c r="A2023" t="s">
        <v>2104</v>
      </c>
      <c r="B2023" t="s">
        <v>14</v>
      </c>
      <c r="C2023" s="2">
        <v>43899</v>
      </c>
      <c r="D2023" t="s">
        <v>29</v>
      </c>
      <c r="E2023">
        <v>1276</v>
      </c>
    </row>
    <row r="2024" spans="1:5" x14ac:dyDescent="0.55000000000000004">
      <c r="A2024" t="s">
        <v>2105</v>
      </c>
      <c r="B2024" t="s">
        <v>41</v>
      </c>
      <c r="C2024" s="2">
        <v>44573</v>
      </c>
      <c r="D2024" t="s">
        <v>26</v>
      </c>
      <c r="E2024">
        <v>1810</v>
      </c>
    </row>
    <row r="2025" spans="1:5" x14ac:dyDescent="0.55000000000000004">
      <c r="A2025" t="s">
        <v>2106</v>
      </c>
      <c r="B2025" t="s">
        <v>94</v>
      </c>
      <c r="C2025" s="2">
        <v>45608</v>
      </c>
      <c r="D2025" t="s">
        <v>29</v>
      </c>
      <c r="E2025">
        <v>705</v>
      </c>
    </row>
    <row r="2026" spans="1:5" x14ac:dyDescent="0.55000000000000004">
      <c r="A2026" t="s">
        <v>2107</v>
      </c>
      <c r="B2026" t="s">
        <v>41</v>
      </c>
      <c r="C2026" s="2">
        <v>44454</v>
      </c>
      <c r="D2026" t="s">
        <v>26</v>
      </c>
      <c r="E2026">
        <v>485</v>
      </c>
    </row>
    <row r="2027" spans="1:5" x14ac:dyDescent="0.55000000000000004">
      <c r="A2027" t="s">
        <v>2108</v>
      </c>
      <c r="B2027" t="s">
        <v>63</v>
      </c>
      <c r="C2027" s="2">
        <v>43180</v>
      </c>
      <c r="D2027" t="s">
        <v>26</v>
      </c>
      <c r="E2027">
        <v>2818</v>
      </c>
    </row>
    <row r="2028" spans="1:5" x14ac:dyDescent="0.55000000000000004">
      <c r="A2028" t="s">
        <v>2109</v>
      </c>
      <c r="B2028" t="s">
        <v>63</v>
      </c>
      <c r="C2028" s="2">
        <v>43546</v>
      </c>
      <c r="D2028" t="s">
        <v>26</v>
      </c>
      <c r="E2028">
        <v>859</v>
      </c>
    </row>
    <row r="2029" spans="1:5" x14ac:dyDescent="0.55000000000000004">
      <c r="A2029" t="s">
        <v>2110</v>
      </c>
      <c r="B2029" t="s">
        <v>72</v>
      </c>
      <c r="C2029" s="2">
        <v>43077</v>
      </c>
      <c r="D2029" t="s">
        <v>29</v>
      </c>
      <c r="E2029">
        <v>2829</v>
      </c>
    </row>
    <row r="2030" spans="1:5" x14ac:dyDescent="0.55000000000000004">
      <c r="A2030" t="s">
        <v>2111</v>
      </c>
      <c r="B2030" t="s">
        <v>118</v>
      </c>
      <c r="C2030" s="2">
        <v>43923</v>
      </c>
      <c r="D2030" t="s">
        <v>26</v>
      </c>
      <c r="E2030">
        <v>77</v>
      </c>
    </row>
    <row r="2031" spans="1:5" x14ac:dyDescent="0.55000000000000004">
      <c r="A2031" t="s">
        <v>2112</v>
      </c>
      <c r="B2031" t="s">
        <v>118</v>
      </c>
      <c r="C2031" s="2">
        <v>45449</v>
      </c>
      <c r="D2031" t="s">
        <v>29</v>
      </c>
      <c r="E2031">
        <v>174</v>
      </c>
    </row>
    <row r="2032" spans="1:5" x14ac:dyDescent="0.55000000000000004">
      <c r="A2032" t="s">
        <v>2113</v>
      </c>
      <c r="B2032" t="s">
        <v>151</v>
      </c>
      <c r="C2032" s="2">
        <v>43137</v>
      </c>
      <c r="D2032" t="s">
        <v>26</v>
      </c>
      <c r="E2032">
        <v>2702</v>
      </c>
    </row>
    <row r="2033" spans="1:5" x14ac:dyDescent="0.55000000000000004">
      <c r="A2033" t="s">
        <v>2114</v>
      </c>
      <c r="B2033" t="s">
        <v>67</v>
      </c>
      <c r="C2033" s="2">
        <v>43708</v>
      </c>
      <c r="D2033" t="s">
        <v>29</v>
      </c>
      <c r="E2033">
        <v>487</v>
      </c>
    </row>
    <row r="2034" spans="1:5" x14ac:dyDescent="0.55000000000000004">
      <c r="A2034" t="s">
        <v>2115</v>
      </c>
      <c r="B2034" t="s">
        <v>84</v>
      </c>
      <c r="C2034" s="2">
        <v>43005</v>
      </c>
      <c r="D2034" t="s">
        <v>26</v>
      </c>
      <c r="E2034">
        <v>1235</v>
      </c>
    </row>
    <row r="2035" spans="1:5" x14ac:dyDescent="0.55000000000000004">
      <c r="A2035" t="s">
        <v>2116</v>
      </c>
      <c r="B2035" t="s">
        <v>38</v>
      </c>
      <c r="C2035" s="2">
        <v>43852</v>
      </c>
      <c r="D2035" t="s">
        <v>26</v>
      </c>
      <c r="E2035">
        <v>507</v>
      </c>
    </row>
    <row r="2036" spans="1:5" x14ac:dyDescent="0.55000000000000004">
      <c r="A2036" t="s">
        <v>2117</v>
      </c>
      <c r="B2036" t="s">
        <v>32</v>
      </c>
      <c r="C2036" s="2">
        <v>44251</v>
      </c>
      <c r="D2036" t="s">
        <v>26</v>
      </c>
      <c r="E2036">
        <v>756</v>
      </c>
    </row>
    <row r="2037" spans="1:5" x14ac:dyDescent="0.55000000000000004">
      <c r="A2037" t="s">
        <v>2118</v>
      </c>
      <c r="B2037" t="s">
        <v>38</v>
      </c>
      <c r="C2037" s="2">
        <v>44550</v>
      </c>
      <c r="D2037" t="s">
        <v>26</v>
      </c>
      <c r="E2037">
        <v>371</v>
      </c>
    </row>
    <row r="2038" spans="1:5" x14ac:dyDescent="0.55000000000000004">
      <c r="A2038" t="s">
        <v>2119</v>
      </c>
      <c r="B2038" t="s">
        <v>72</v>
      </c>
      <c r="C2038" s="2">
        <v>44445</v>
      </c>
      <c r="D2038" t="s">
        <v>29</v>
      </c>
      <c r="E2038">
        <v>2374</v>
      </c>
    </row>
    <row r="2039" spans="1:5" x14ac:dyDescent="0.55000000000000004">
      <c r="A2039" t="s">
        <v>2120</v>
      </c>
      <c r="B2039" t="s">
        <v>86</v>
      </c>
      <c r="C2039" s="2">
        <v>43638</v>
      </c>
      <c r="D2039" t="s">
        <v>26</v>
      </c>
      <c r="E2039">
        <v>2050</v>
      </c>
    </row>
    <row r="2040" spans="1:5" x14ac:dyDescent="0.55000000000000004">
      <c r="A2040" t="s">
        <v>2121</v>
      </c>
      <c r="B2040" t="s">
        <v>118</v>
      </c>
      <c r="C2040" s="2">
        <v>44456</v>
      </c>
      <c r="D2040" t="s">
        <v>26</v>
      </c>
      <c r="E2040">
        <v>405</v>
      </c>
    </row>
    <row r="2041" spans="1:5" x14ac:dyDescent="0.55000000000000004">
      <c r="A2041" t="s">
        <v>2122</v>
      </c>
      <c r="B2041" t="s">
        <v>175</v>
      </c>
      <c r="C2041" s="2">
        <v>45834</v>
      </c>
      <c r="D2041" t="s">
        <v>26</v>
      </c>
      <c r="E2041">
        <v>2166</v>
      </c>
    </row>
    <row r="2042" spans="1:5" x14ac:dyDescent="0.55000000000000004">
      <c r="A2042" t="s">
        <v>2123</v>
      </c>
      <c r="B2042" t="s">
        <v>151</v>
      </c>
      <c r="C2042" s="2">
        <v>44382</v>
      </c>
      <c r="D2042" t="s">
        <v>26</v>
      </c>
      <c r="E2042">
        <v>1154</v>
      </c>
    </row>
    <row r="2043" spans="1:5" x14ac:dyDescent="0.55000000000000004">
      <c r="A2043" t="s">
        <v>2124</v>
      </c>
      <c r="B2043" t="s">
        <v>105</v>
      </c>
      <c r="C2043" s="2">
        <v>44461</v>
      </c>
      <c r="D2043" t="s">
        <v>26</v>
      </c>
      <c r="E2043">
        <v>2971</v>
      </c>
    </row>
    <row r="2044" spans="1:5" x14ac:dyDescent="0.55000000000000004">
      <c r="A2044" t="s">
        <v>2125</v>
      </c>
      <c r="B2044" t="s">
        <v>115</v>
      </c>
      <c r="C2044" s="2">
        <v>43355</v>
      </c>
      <c r="D2044" t="s">
        <v>29</v>
      </c>
      <c r="E2044">
        <v>1501</v>
      </c>
    </row>
    <row r="2045" spans="1:5" x14ac:dyDescent="0.55000000000000004">
      <c r="A2045" t="s">
        <v>2126</v>
      </c>
      <c r="B2045" t="s">
        <v>41</v>
      </c>
      <c r="C2045" s="2">
        <v>44210</v>
      </c>
      <c r="D2045" t="s">
        <v>29</v>
      </c>
      <c r="E2045">
        <v>2758</v>
      </c>
    </row>
    <row r="2046" spans="1:5" x14ac:dyDescent="0.55000000000000004">
      <c r="A2046" t="s">
        <v>2127</v>
      </c>
      <c r="B2046" t="s">
        <v>115</v>
      </c>
      <c r="C2046" s="2">
        <v>43287</v>
      </c>
      <c r="D2046" t="s">
        <v>29</v>
      </c>
      <c r="E2046">
        <v>1554</v>
      </c>
    </row>
    <row r="2047" spans="1:5" x14ac:dyDescent="0.55000000000000004">
      <c r="A2047" t="s">
        <v>2128</v>
      </c>
      <c r="B2047" t="s">
        <v>140</v>
      </c>
      <c r="C2047" s="2">
        <v>43355</v>
      </c>
      <c r="D2047" t="s">
        <v>26</v>
      </c>
      <c r="E2047">
        <v>1669</v>
      </c>
    </row>
    <row r="2048" spans="1:5" x14ac:dyDescent="0.55000000000000004">
      <c r="A2048" t="s">
        <v>2129</v>
      </c>
      <c r="B2048" t="s">
        <v>115</v>
      </c>
      <c r="C2048" s="2">
        <v>44476</v>
      </c>
      <c r="D2048" t="s">
        <v>29</v>
      </c>
      <c r="E2048">
        <v>506</v>
      </c>
    </row>
    <row r="2049" spans="1:5" x14ac:dyDescent="0.55000000000000004">
      <c r="A2049" t="s">
        <v>2130</v>
      </c>
      <c r="B2049" t="s">
        <v>15</v>
      </c>
      <c r="C2049" s="2">
        <v>43142</v>
      </c>
      <c r="D2049" t="s">
        <v>26</v>
      </c>
      <c r="E2049">
        <v>2030</v>
      </c>
    </row>
    <row r="2050" spans="1:5" x14ac:dyDescent="0.55000000000000004">
      <c r="A2050" t="s">
        <v>2131</v>
      </c>
      <c r="B2050" t="s">
        <v>118</v>
      </c>
      <c r="C2050" s="2">
        <v>44945</v>
      </c>
      <c r="D2050" t="s">
        <v>29</v>
      </c>
      <c r="E2050">
        <v>2282</v>
      </c>
    </row>
    <row r="2051" spans="1:5" x14ac:dyDescent="0.55000000000000004">
      <c r="A2051" t="s">
        <v>2132</v>
      </c>
      <c r="B2051" t="s">
        <v>78</v>
      </c>
      <c r="C2051" s="2">
        <v>43632</v>
      </c>
      <c r="D2051" t="s">
        <v>26</v>
      </c>
      <c r="E2051">
        <v>1343</v>
      </c>
    </row>
    <row r="2052" spans="1:5" x14ac:dyDescent="0.55000000000000004">
      <c r="A2052" t="s">
        <v>2133</v>
      </c>
      <c r="B2052" t="s">
        <v>96</v>
      </c>
      <c r="C2052" s="2">
        <v>43939</v>
      </c>
      <c r="D2052" t="s">
        <v>29</v>
      </c>
      <c r="E2052">
        <v>1161</v>
      </c>
    </row>
    <row r="2053" spans="1:5" x14ac:dyDescent="0.55000000000000004">
      <c r="A2053" t="s">
        <v>2134</v>
      </c>
      <c r="B2053" t="s">
        <v>15</v>
      </c>
      <c r="C2053" s="2">
        <v>44146</v>
      </c>
      <c r="D2053" t="s">
        <v>29</v>
      </c>
      <c r="E2053">
        <v>2814</v>
      </c>
    </row>
    <row r="2054" spans="1:5" x14ac:dyDescent="0.55000000000000004">
      <c r="A2054" t="s">
        <v>2135</v>
      </c>
      <c r="B2054" t="s">
        <v>175</v>
      </c>
      <c r="C2054" s="2">
        <v>45284</v>
      </c>
      <c r="D2054" t="s">
        <v>26</v>
      </c>
      <c r="E2054">
        <v>2268</v>
      </c>
    </row>
    <row r="2055" spans="1:5" x14ac:dyDescent="0.55000000000000004">
      <c r="A2055" t="s">
        <v>2136</v>
      </c>
      <c r="B2055" t="s">
        <v>140</v>
      </c>
      <c r="C2055" s="2">
        <v>43512</v>
      </c>
      <c r="D2055" t="s">
        <v>29</v>
      </c>
      <c r="E2055">
        <v>773</v>
      </c>
    </row>
    <row r="2056" spans="1:5" x14ac:dyDescent="0.55000000000000004">
      <c r="A2056" t="s">
        <v>2137</v>
      </c>
      <c r="B2056" t="s">
        <v>76</v>
      </c>
      <c r="C2056" s="2">
        <v>43751</v>
      </c>
      <c r="D2056" t="s">
        <v>29</v>
      </c>
      <c r="E2056">
        <v>2781</v>
      </c>
    </row>
    <row r="2057" spans="1:5" x14ac:dyDescent="0.55000000000000004">
      <c r="A2057" t="s">
        <v>2138</v>
      </c>
      <c r="B2057" t="s">
        <v>86</v>
      </c>
      <c r="C2057" s="2">
        <v>43284</v>
      </c>
      <c r="D2057" t="s">
        <v>26</v>
      </c>
      <c r="E2057">
        <v>2761</v>
      </c>
    </row>
    <row r="2058" spans="1:5" x14ac:dyDescent="0.55000000000000004">
      <c r="A2058" t="s">
        <v>2139</v>
      </c>
      <c r="B2058" t="s">
        <v>96</v>
      </c>
      <c r="C2058" s="2">
        <v>43896</v>
      </c>
      <c r="D2058" t="s">
        <v>29</v>
      </c>
      <c r="E2058">
        <v>1794</v>
      </c>
    </row>
    <row r="2059" spans="1:5" x14ac:dyDescent="0.55000000000000004">
      <c r="A2059" t="s">
        <v>2140</v>
      </c>
      <c r="B2059" t="s">
        <v>67</v>
      </c>
      <c r="C2059" s="2">
        <v>43814</v>
      </c>
      <c r="D2059" t="s">
        <v>26</v>
      </c>
      <c r="E2059">
        <v>587</v>
      </c>
    </row>
    <row r="2060" spans="1:5" x14ac:dyDescent="0.55000000000000004">
      <c r="A2060" t="s">
        <v>2141</v>
      </c>
      <c r="B2060" t="s">
        <v>101</v>
      </c>
      <c r="C2060" s="2">
        <v>43737</v>
      </c>
      <c r="D2060" t="s">
        <v>26</v>
      </c>
      <c r="E2060">
        <v>691</v>
      </c>
    </row>
    <row r="2061" spans="1:5" x14ac:dyDescent="0.55000000000000004">
      <c r="A2061" t="s">
        <v>2142</v>
      </c>
      <c r="B2061" t="s">
        <v>74</v>
      </c>
      <c r="C2061" s="2">
        <v>43661</v>
      </c>
      <c r="D2061" t="s">
        <v>26</v>
      </c>
      <c r="E2061">
        <v>1387</v>
      </c>
    </row>
    <row r="2062" spans="1:5" x14ac:dyDescent="0.55000000000000004">
      <c r="A2062" t="s">
        <v>2143</v>
      </c>
      <c r="B2062" t="s">
        <v>151</v>
      </c>
      <c r="C2062" s="2">
        <v>44135</v>
      </c>
      <c r="D2062" t="s">
        <v>29</v>
      </c>
      <c r="E2062">
        <v>502</v>
      </c>
    </row>
    <row r="2063" spans="1:5" x14ac:dyDescent="0.55000000000000004">
      <c r="A2063" t="s">
        <v>2144</v>
      </c>
      <c r="B2063" t="s">
        <v>63</v>
      </c>
      <c r="C2063" s="2">
        <v>43786</v>
      </c>
      <c r="D2063" t="s">
        <v>29</v>
      </c>
      <c r="E2063">
        <v>1140</v>
      </c>
    </row>
    <row r="2064" spans="1:5" x14ac:dyDescent="0.55000000000000004">
      <c r="A2064" t="s">
        <v>2145</v>
      </c>
      <c r="B2064" t="s">
        <v>118</v>
      </c>
      <c r="C2064" s="2">
        <v>44584</v>
      </c>
      <c r="D2064" t="s">
        <v>29</v>
      </c>
      <c r="E2064">
        <v>1458</v>
      </c>
    </row>
    <row r="2065" spans="1:5" x14ac:dyDescent="0.55000000000000004">
      <c r="A2065" t="s">
        <v>2146</v>
      </c>
      <c r="B2065" t="s">
        <v>96</v>
      </c>
      <c r="C2065" s="2">
        <v>45122</v>
      </c>
      <c r="D2065" t="s">
        <v>29</v>
      </c>
      <c r="E2065">
        <v>2094</v>
      </c>
    </row>
    <row r="2066" spans="1:5" x14ac:dyDescent="0.55000000000000004">
      <c r="A2066" t="s">
        <v>2147</v>
      </c>
      <c r="B2066" t="s">
        <v>84</v>
      </c>
      <c r="C2066" s="2">
        <v>43218</v>
      </c>
      <c r="D2066" t="s">
        <v>29</v>
      </c>
      <c r="E2066">
        <v>442</v>
      </c>
    </row>
    <row r="2067" spans="1:5" x14ac:dyDescent="0.55000000000000004">
      <c r="A2067" t="s">
        <v>2148</v>
      </c>
      <c r="B2067" t="s">
        <v>115</v>
      </c>
      <c r="C2067" s="2">
        <v>43430</v>
      </c>
      <c r="D2067" t="s">
        <v>29</v>
      </c>
      <c r="E2067">
        <v>2036</v>
      </c>
    </row>
    <row r="2068" spans="1:5" x14ac:dyDescent="0.55000000000000004">
      <c r="A2068" t="s">
        <v>2149</v>
      </c>
      <c r="B2068" t="s">
        <v>63</v>
      </c>
      <c r="C2068" s="2">
        <v>44203</v>
      </c>
      <c r="D2068" t="s">
        <v>26</v>
      </c>
      <c r="E2068">
        <v>121</v>
      </c>
    </row>
    <row r="2069" spans="1:5" x14ac:dyDescent="0.55000000000000004">
      <c r="A2069" t="s">
        <v>2150</v>
      </c>
      <c r="B2069" t="s">
        <v>115</v>
      </c>
      <c r="C2069" s="2">
        <v>44428</v>
      </c>
      <c r="D2069" t="s">
        <v>26</v>
      </c>
      <c r="E2069">
        <v>279</v>
      </c>
    </row>
    <row r="2070" spans="1:5" x14ac:dyDescent="0.55000000000000004">
      <c r="A2070" t="s">
        <v>2151</v>
      </c>
      <c r="B2070" t="s">
        <v>96</v>
      </c>
      <c r="C2070" s="2">
        <v>43575</v>
      </c>
      <c r="D2070" t="s">
        <v>26</v>
      </c>
      <c r="E2070">
        <v>1567</v>
      </c>
    </row>
    <row r="2071" spans="1:5" x14ac:dyDescent="0.55000000000000004">
      <c r="A2071" t="s">
        <v>2152</v>
      </c>
      <c r="B2071" t="s">
        <v>32</v>
      </c>
      <c r="C2071" s="2">
        <v>44500</v>
      </c>
      <c r="D2071" t="s">
        <v>26</v>
      </c>
      <c r="E2071">
        <v>1240</v>
      </c>
    </row>
    <row r="2072" spans="1:5" x14ac:dyDescent="0.55000000000000004">
      <c r="A2072" t="s">
        <v>2153</v>
      </c>
      <c r="B2072" t="s">
        <v>32</v>
      </c>
      <c r="C2072" s="2">
        <v>44028</v>
      </c>
      <c r="D2072" t="s">
        <v>26</v>
      </c>
      <c r="E2072">
        <v>2707</v>
      </c>
    </row>
    <row r="2073" spans="1:5" x14ac:dyDescent="0.55000000000000004">
      <c r="A2073" t="s">
        <v>2154</v>
      </c>
      <c r="B2073" t="s">
        <v>118</v>
      </c>
      <c r="C2073" s="2">
        <v>45595</v>
      </c>
      <c r="D2073" t="s">
        <v>29</v>
      </c>
      <c r="E2073">
        <v>1908</v>
      </c>
    </row>
    <row r="2074" spans="1:5" x14ac:dyDescent="0.55000000000000004">
      <c r="A2074" t="s">
        <v>2155</v>
      </c>
      <c r="B2074" t="s">
        <v>151</v>
      </c>
      <c r="C2074" s="2">
        <v>43518</v>
      </c>
      <c r="D2074" t="s">
        <v>29</v>
      </c>
      <c r="E2074">
        <v>2008</v>
      </c>
    </row>
    <row r="2075" spans="1:5" x14ac:dyDescent="0.55000000000000004">
      <c r="A2075" t="s">
        <v>2156</v>
      </c>
      <c r="B2075" t="s">
        <v>67</v>
      </c>
      <c r="C2075" s="2">
        <v>44537</v>
      </c>
      <c r="D2075" t="s">
        <v>29</v>
      </c>
      <c r="E2075">
        <v>2214</v>
      </c>
    </row>
    <row r="2076" spans="1:5" x14ac:dyDescent="0.55000000000000004">
      <c r="A2076" t="s">
        <v>2157</v>
      </c>
      <c r="B2076" t="s">
        <v>99</v>
      </c>
      <c r="C2076" s="2">
        <v>43538</v>
      </c>
      <c r="D2076" t="s">
        <v>26</v>
      </c>
      <c r="E2076">
        <v>1762</v>
      </c>
    </row>
    <row r="2077" spans="1:5" x14ac:dyDescent="0.55000000000000004">
      <c r="A2077" t="s">
        <v>2158</v>
      </c>
      <c r="B2077" t="s">
        <v>94</v>
      </c>
      <c r="C2077" s="2">
        <v>43953</v>
      </c>
      <c r="D2077" t="s">
        <v>29</v>
      </c>
      <c r="E2077">
        <v>1843</v>
      </c>
    </row>
    <row r="2078" spans="1:5" x14ac:dyDescent="0.55000000000000004">
      <c r="A2078" t="s">
        <v>2159</v>
      </c>
      <c r="B2078" t="s">
        <v>111</v>
      </c>
      <c r="C2078" s="2">
        <v>43687</v>
      </c>
      <c r="D2078" t="s">
        <v>29</v>
      </c>
      <c r="E2078">
        <v>1882</v>
      </c>
    </row>
    <row r="2079" spans="1:5" x14ac:dyDescent="0.55000000000000004">
      <c r="A2079" t="s">
        <v>2160</v>
      </c>
      <c r="B2079" t="s">
        <v>142</v>
      </c>
      <c r="C2079" s="2">
        <v>42984</v>
      </c>
      <c r="D2079" t="s">
        <v>26</v>
      </c>
      <c r="E2079">
        <v>2280</v>
      </c>
    </row>
    <row r="2080" spans="1:5" x14ac:dyDescent="0.55000000000000004">
      <c r="A2080" t="s">
        <v>2161</v>
      </c>
      <c r="B2080" t="s">
        <v>38</v>
      </c>
      <c r="C2080" s="2">
        <v>44451</v>
      </c>
      <c r="D2080" t="s">
        <v>26</v>
      </c>
      <c r="E2080">
        <v>2013</v>
      </c>
    </row>
    <row r="2081" spans="1:5" x14ac:dyDescent="0.55000000000000004">
      <c r="A2081" t="s">
        <v>2162</v>
      </c>
      <c r="B2081" t="s">
        <v>140</v>
      </c>
      <c r="C2081" s="2">
        <v>43192</v>
      </c>
      <c r="D2081" t="s">
        <v>29</v>
      </c>
      <c r="E2081">
        <v>2931</v>
      </c>
    </row>
    <row r="2082" spans="1:5" x14ac:dyDescent="0.55000000000000004">
      <c r="A2082" t="s">
        <v>2163</v>
      </c>
      <c r="B2082" t="s">
        <v>101</v>
      </c>
      <c r="C2082" s="2">
        <v>43915</v>
      </c>
      <c r="D2082" t="s">
        <v>26</v>
      </c>
      <c r="E2082">
        <v>2330</v>
      </c>
    </row>
    <row r="2083" spans="1:5" x14ac:dyDescent="0.55000000000000004">
      <c r="A2083" t="s">
        <v>2164</v>
      </c>
      <c r="B2083" t="s">
        <v>38</v>
      </c>
      <c r="C2083" s="2">
        <v>44835</v>
      </c>
      <c r="D2083" t="s">
        <v>29</v>
      </c>
      <c r="E2083">
        <v>1949</v>
      </c>
    </row>
    <row r="2084" spans="1:5" x14ac:dyDescent="0.55000000000000004">
      <c r="A2084" t="s">
        <v>2165</v>
      </c>
      <c r="B2084" t="s">
        <v>99</v>
      </c>
      <c r="C2084" s="2">
        <v>44106</v>
      </c>
      <c r="D2084" t="s">
        <v>26</v>
      </c>
      <c r="E2084">
        <v>1603</v>
      </c>
    </row>
    <row r="2085" spans="1:5" x14ac:dyDescent="0.55000000000000004">
      <c r="A2085" t="s">
        <v>2166</v>
      </c>
      <c r="B2085" t="s">
        <v>84</v>
      </c>
      <c r="C2085" s="2">
        <v>43930</v>
      </c>
      <c r="D2085" t="s">
        <v>29</v>
      </c>
      <c r="E2085">
        <v>2526</v>
      </c>
    </row>
    <row r="2086" spans="1:5" x14ac:dyDescent="0.55000000000000004">
      <c r="A2086" t="s">
        <v>2167</v>
      </c>
      <c r="B2086" t="s">
        <v>38</v>
      </c>
      <c r="C2086" s="2">
        <v>44553</v>
      </c>
      <c r="D2086" t="s">
        <v>29</v>
      </c>
      <c r="E2086">
        <v>1312</v>
      </c>
    </row>
    <row r="2087" spans="1:5" x14ac:dyDescent="0.55000000000000004">
      <c r="A2087" t="s">
        <v>2168</v>
      </c>
      <c r="B2087" t="s">
        <v>142</v>
      </c>
      <c r="C2087" s="2">
        <v>42974</v>
      </c>
      <c r="D2087" t="s">
        <v>26</v>
      </c>
      <c r="E2087">
        <v>525</v>
      </c>
    </row>
    <row r="2088" spans="1:5" x14ac:dyDescent="0.55000000000000004">
      <c r="A2088" t="s">
        <v>2169</v>
      </c>
      <c r="B2088" t="s">
        <v>175</v>
      </c>
      <c r="C2088" s="2">
        <v>44966</v>
      </c>
      <c r="D2088" t="s">
        <v>29</v>
      </c>
      <c r="E2088">
        <v>2391</v>
      </c>
    </row>
    <row r="2089" spans="1:5" x14ac:dyDescent="0.55000000000000004">
      <c r="A2089" t="s">
        <v>2170</v>
      </c>
      <c r="B2089" t="s">
        <v>14</v>
      </c>
      <c r="C2089" s="2">
        <v>44484</v>
      </c>
      <c r="D2089" t="s">
        <v>29</v>
      </c>
      <c r="E2089">
        <v>1558</v>
      </c>
    </row>
    <row r="2090" spans="1:5" x14ac:dyDescent="0.55000000000000004">
      <c r="A2090" t="s">
        <v>2171</v>
      </c>
      <c r="B2090" t="s">
        <v>115</v>
      </c>
      <c r="C2090" s="2">
        <v>43793</v>
      </c>
      <c r="D2090" t="s">
        <v>29</v>
      </c>
      <c r="E2090">
        <v>1463</v>
      </c>
    </row>
    <row r="2091" spans="1:5" x14ac:dyDescent="0.55000000000000004">
      <c r="A2091" t="s">
        <v>2172</v>
      </c>
      <c r="B2091" t="s">
        <v>140</v>
      </c>
      <c r="C2091" s="2">
        <v>43636</v>
      </c>
      <c r="D2091" t="s">
        <v>26</v>
      </c>
      <c r="E2091">
        <v>2708</v>
      </c>
    </row>
    <row r="2092" spans="1:5" x14ac:dyDescent="0.55000000000000004">
      <c r="A2092" t="s">
        <v>2173</v>
      </c>
      <c r="B2092" t="s">
        <v>63</v>
      </c>
      <c r="C2092" s="2">
        <v>43424</v>
      </c>
      <c r="D2092" t="s">
        <v>26</v>
      </c>
      <c r="E2092">
        <v>2654</v>
      </c>
    </row>
    <row r="2093" spans="1:5" x14ac:dyDescent="0.55000000000000004">
      <c r="A2093" t="s">
        <v>2174</v>
      </c>
      <c r="B2093" t="s">
        <v>156</v>
      </c>
      <c r="C2093" s="2">
        <v>44130</v>
      </c>
      <c r="D2093" t="s">
        <v>26</v>
      </c>
      <c r="E2093">
        <v>2818</v>
      </c>
    </row>
    <row r="2094" spans="1:5" x14ac:dyDescent="0.55000000000000004">
      <c r="A2094" t="s">
        <v>2175</v>
      </c>
      <c r="B2094" t="s">
        <v>74</v>
      </c>
      <c r="C2094" s="2">
        <v>43541</v>
      </c>
      <c r="D2094" t="s">
        <v>26</v>
      </c>
      <c r="E2094">
        <v>1382</v>
      </c>
    </row>
    <row r="2095" spans="1:5" x14ac:dyDescent="0.55000000000000004">
      <c r="A2095" t="s">
        <v>2176</v>
      </c>
      <c r="B2095" t="s">
        <v>105</v>
      </c>
      <c r="C2095" s="2">
        <v>42957</v>
      </c>
      <c r="D2095" t="s">
        <v>29</v>
      </c>
      <c r="E2095">
        <v>153</v>
      </c>
    </row>
    <row r="2096" spans="1:5" x14ac:dyDescent="0.55000000000000004">
      <c r="A2096" t="s">
        <v>2177</v>
      </c>
      <c r="B2096" t="s">
        <v>15</v>
      </c>
      <c r="C2096" s="2">
        <v>44264</v>
      </c>
      <c r="D2096" t="s">
        <v>29</v>
      </c>
      <c r="E2096">
        <v>2326</v>
      </c>
    </row>
    <row r="2097" spans="1:5" x14ac:dyDescent="0.55000000000000004">
      <c r="A2097" t="s">
        <v>2178</v>
      </c>
      <c r="B2097" t="s">
        <v>67</v>
      </c>
      <c r="C2097" s="2">
        <v>45191</v>
      </c>
      <c r="D2097" t="s">
        <v>29</v>
      </c>
      <c r="E2097">
        <v>83</v>
      </c>
    </row>
    <row r="2098" spans="1:5" x14ac:dyDescent="0.55000000000000004">
      <c r="A2098" t="s">
        <v>2179</v>
      </c>
      <c r="B2098" t="s">
        <v>41</v>
      </c>
      <c r="C2098" s="2">
        <v>44792</v>
      </c>
      <c r="D2098" t="s">
        <v>26</v>
      </c>
      <c r="E2098">
        <v>1296</v>
      </c>
    </row>
    <row r="2099" spans="1:5" x14ac:dyDescent="0.55000000000000004">
      <c r="A2099" t="s">
        <v>2180</v>
      </c>
      <c r="B2099" t="s">
        <v>101</v>
      </c>
      <c r="C2099" s="2">
        <v>44085</v>
      </c>
      <c r="D2099" t="s">
        <v>29</v>
      </c>
      <c r="E2099">
        <v>1320</v>
      </c>
    </row>
    <row r="2100" spans="1:5" x14ac:dyDescent="0.55000000000000004">
      <c r="A2100" t="s">
        <v>2181</v>
      </c>
      <c r="B2100" t="s">
        <v>23</v>
      </c>
      <c r="C2100" s="2">
        <v>44031</v>
      </c>
      <c r="D2100" t="s">
        <v>29</v>
      </c>
      <c r="E2100">
        <v>409</v>
      </c>
    </row>
    <row r="2101" spans="1:5" x14ac:dyDescent="0.55000000000000004">
      <c r="A2101" t="s">
        <v>2182</v>
      </c>
      <c r="B2101" t="s">
        <v>41</v>
      </c>
      <c r="C2101" s="2">
        <v>44252</v>
      </c>
      <c r="D2101" t="s">
        <v>29</v>
      </c>
      <c r="E2101">
        <v>2034</v>
      </c>
    </row>
    <row r="2102" spans="1:5" x14ac:dyDescent="0.55000000000000004">
      <c r="A2102" t="s">
        <v>2183</v>
      </c>
      <c r="B2102" t="s">
        <v>67</v>
      </c>
      <c r="C2102" s="2">
        <v>44856</v>
      </c>
      <c r="D2102" t="s">
        <v>26</v>
      </c>
      <c r="E2102">
        <v>2518</v>
      </c>
    </row>
    <row r="2103" spans="1:5" x14ac:dyDescent="0.55000000000000004">
      <c r="A2103" t="s">
        <v>2184</v>
      </c>
      <c r="B2103" t="s">
        <v>156</v>
      </c>
      <c r="C2103" s="2">
        <v>43661</v>
      </c>
      <c r="D2103" t="s">
        <v>29</v>
      </c>
      <c r="E2103">
        <v>826</v>
      </c>
    </row>
    <row r="2104" spans="1:5" x14ac:dyDescent="0.55000000000000004">
      <c r="A2104" t="s">
        <v>2185</v>
      </c>
      <c r="B2104" t="s">
        <v>96</v>
      </c>
      <c r="C2104" s="2">
        <v>43774</v>
      </c>
      <c r="D2104" t="s">
        <v>26</v>
      </c>
      <c r="E2104">
        <v>1177</v>
      </c>
    </row>
    <row r="2105" spans="1:5" x14ac:dyDescent="0.55000000000000004">
      <c r="A2105" t="s">
        <v>2186</v>
      </c>
      <c r="B2105" t="s">
        <v>84</v>
      </c>
      <c r="C2105" s="2">
        <v>43014</v>
      </c>
      <c r="D2105" t="s">
        <v>29</v>
      </c>
      <c r="E2105">
        <v>2349</v>
      </c>
    </row>
    <row r="2106" spans="1:5" x14ac:dyDescent="0.55000000000000004">
      <c r="A2106" t="s">
        <v>2187</v>
      </c>
      <c r="B2106" t="s">
        <v>101</v>
      </c>
      <c r="C2106" s="2">
        <v>43379</v>
      </c>
      <c r="D2106" t="s">
        <v>26</v>
      </c>
      <c r="E2106">
        <v>2939</v>
      </c>
    </row>
    <row r="2107" spans="1:5" x14ac:dyDescent="0.55000000000000004">
      <c r="A2107" t="s">
        <v>2188</v>
      </c>
      <c r="B2107" t="s">
        <v>76</v>
      </c>
      <c r="C2107" s="2">
        <v>45834</v>
      </c>
      <c r="D2107" t="s">
        <v>26</v>
      </c>
      <c r="E2107">
        <v>2424</v>
      </c>
    </row>
    <row r="2108" spans="1:5" x14ac:dyDescent="0.55000000000000004">
      <c r="A2108" t="s">
        <v>2189</v>
      </c>
      <c r="B2108" t="s">
        <v>111</v>
      </c>
      <c r="C2108" s="2">
        <v>43476</v>
      </c>
      <c r="D2108" t="s">
        <v>26</v>
      </c>
      <c r="E2108">
        <v>2320</v>
      </c>
    </row>
    <row r="2109" spans="1:5" x14ac:dyDescent="0.55000000000000004">
      <c r="A2109" t="s">
        <v>2190</v>
      </c>
      <c r="B2109" t="s">
        <v>137</v>
      </c>
      <c r="C2109" s="2">
        <v>45641</v>
      </c>
      <c r="D2109" t="s">
        <v>29</v>
      </c>
      <c r="E2109">
        <v>1749</v>
      </c>
    </row>
    <row r="2110" spans="1:5" x14ac:dyDescent="0.55000000000000004">
      <c r="A2110" t="s">
        <v>2191</v>
      </c>
      <c r="B2110" t="s">
        <v>151</v>
      </c>
      <c r="C2110" s="2">
        <v>43628</v>
      </c>
      <c r="D2110" t="s">
        <v>26</v>
      </c>
      <c r="E2110">
        <v>2668</v>
      </c>
    </row>
    <row r="2111" spans="1:5" x14ac:dyDescent="0.55000000000000004">
      <c r="A2111" t="s">
        <v>2192</v>
      </c>
      <c r="B2111" t="s">
        <v>175</v>
      </c>
      <c r="C2111" s="2">
        <v>44702</v>
      </c>
      <c r="D2111" t="s">
        <v>29</v>
      </c>
      <c r="E2111">
        <v>1773</v>
      </c>
    </row>
    <row r="2112" spans="1:5" x14ac:dyDescent="0.55000000000000004">
      <c r="A2112" t="s">
        <v>2193</v>
      </c>
      <c r="B2112" t="s">
        <v>38</v>
      </c>
      <c r="C2112" s="2">
        <v>44472</v>
      </c>
      <c r="D2112" t="s">
        <v>26</v>
      </c>
      <c r="E2112">
        <v>1697</v>
      </c>
    </row>
    <row r="2113" spans="1:5" x14ac:dyDescent="0.55000000000000004">
      <c r="A2113" t="s">
        <v>2194</v>
      </c>
      <c r="B2113" t="s">
        <v>101</v>
      </c>
      <c r="C2113" s="2">
        <v>43431</v>
      </c>
      <c r="D2113" t="s">
        <v>29</v>
      </c>
      <c r="E2113">
        <v>2750</v>
      </c>
    </row>
    <row r="2114" spans="1:5" x14ac:dyDescent="0.55000000000000004">
      <c r="A2114" t="s">
        <v>2195</v>
      </c>
      <c r="B2114" t="s">
        <v>118</v>
      </c>
      <c r="C2114" s="2">
        <v>45708</v>
      </c>
      <c r="D2114" t="s">
        <v>26</v>
      </c>
      <c r="E2114">
        <v>76</v>
      </c>
    </row>
    <row r="2115" spans="1:5" x14ac:dyDescent="0.55000000000000004">
      <c r="A2115" t="s">
        <v>2196</v>
      </c>
      <c r="B2115" t="s">
        <v>35</v>
      </c>
      <c r="C2115" s="2">
        <v>44888</v>
      </c>
      <c r="D2115" t="s">
        <v>26</v>
      </c>
      <c r="E2115">
        <v>2362</v>
      </c>
    </row>
    <row r="2116" spans="1:5" x14ac:dyDescent="0.55000000000000004">
      <c r="A2116" t="s">
        <v>2197</v>
      </c>
      <c r="B2116" t="s">
        <v>96</v>
      </c>
      <c r="C2116" s="2">
        <v>44338</v>
      </c>
      <c r="D2116" t="s">
        <v>29</v>
      </c>
      <c r="E2116">
        <v>1097</v>
      </c>
    </row>
    <row r="2117" spans="1:5" x14ac:dyDescent="0.55000000000000004">
      <c r="A2117" t="s">
        <v>2198</v>
      </c>
      <c r="B2117" t="s">
        <v>35</v>
      </c>
      <c r="C2117" s="2">
        <v>44922</v>
      </c>
      <c r="D2117" t="s">
        <v>29</v>
      </c>
      <c r="E2117">
        <v>2318</v>
      </c>
    </row>
    <row r="2118" spans="1:5" x14ac:dyDescent="0.55000000000000004">
      <c r="A2118" t="s">
        <v>2199</v>
      </c>
      <c r="B2118" t="s">
        <v>78</v>
      </c>
      <c r="C2118" s="2">
        <v>43711</v>
      </c>
      <c r="D2118" t="s">
        <v>26</v>
      </c>
      <c r="E2118">
        <v>1492</v>
      </c>
    </row>
    <row r="2119" spans="1:5" x14ac:dyDescent="0.55000000000000004">
      <c r="A2119" t="s">
        <v>2200</v>
      </c>
      <c r="B2119" t="s">
        <v>15</v>
      </c>
      <c r="C2119" s="2">
        <v>43219</v>
      </c>
      <c r="D2119" t="s">
        <v>26</v>
      </c>
      <c r="E2119">
        <v>616</v>
      </c>
    </row>
    <row r="2120" spans="1:5" x14ac:dyDescent="0.55000000000000004">
      <c r="A2120" t="s">
        <v>2201</v>
      </c>
      <c r="B2120" t="s">
        <v>78</v>
      </c>
      <c r="C2120" s="2">
        <v>44695</v>
      </c>
      <c r="D2120" t="s">
        <v>29</v>
      </c>
      <c r="E2120">
        <v>1680</v>
      </c>
    </row>
    <row r="2121" spans="1:5" x14ac:dyDescent="0.55000000000000004">
      <c r="A2121" t="s">
        <v>2202</v>
      </c>
      <c r="B2121" t="s">
        <v>111</v>
      </c>
      <c r="C2121" s="2">
        <v>43048</v>
      </c>
      <c r="D2121" t="s">
        <v>26</v>
      </c>
      <c r="E2121">
        <v>1689</v>
      </c>
    </row>
    <row r="2122" spans="1:5" x14ac:dyDescent="0.55000000000000004">
      <c r="A2122" t="s">
        <v>2203</v>
      </c>
      <c r="B2122" t="s">
        <v>84</v>
      </c>
      <c r="C2122" s="2">
        <v>43504</v>
      </c>
      <c r="D2122" t="s">
        <v>26</v>
      </c>
      <c r="E2122">
        <v>1050</v>
      </c>
    </row>
    <row r="2123" spans="1:5" x14ac:dyDescent="0.55000000000000004">
      <c r="A2123" t="s">
        <v>2204</v>
      </c>
      <c r="B2123" t="s">
        <v>38</v>
      </c>
      <c r="C2123" s="2">
        <v>44314</v>
      </c>
      <c r="D2123" t="s">
        <v>29</v>
      </c>
      <c r="E2123">
        <v>976</v>
      </c>
    </row>
    <row r="2124" spans="1:5" x14ac:dyDescent="0.55000000000000004">
      <c r="A2124" t="s">
        <v>2205</v>
      </c>
      <c r="B2124" t="s">
        <v>115</v>
      </c>
      <c r="C2124" s="2">
        <v>43224</v>
      </c>
      <c r="D2124" t="s">
        <v>26</v>
      </c>
      <c r="E2124">
        <v>113</v>
      </c>
    </row>
    <row r="2125" spans="1:5" x14ac:dyDescent="0.55000000000000004">
      <c r="A2125" t="s">
        <v>2206</v>
      </c>
      <c r="B2125" t="s">
        <v>63</v>
      </c>
      <c r="C2125" s="2">
        <v>44549</v>
      </c>
      <c r="D2125" t="s">
        <v>29</v>
      </c>
      <c r="E2125">
        <v>1901</v>
      </c>
    </row>
    <row r="2126" spans="1:5" x14ac:dyDescent="0.55000000000000004">
      <c r="A2126" t="s">
        <v>2207</v>
      </c>
      <c r="B2126" t="s">
        <v>96</v>
      </c>
      <c r="C2126" s="2">
        <v>45759</v>
      </c>
      <c r="D2126" t="s">
        <v>29</v>
      </c>
      <c r="E2126">
        <v>1728</v>
      </c>
    </row>
    <row r="2127" spans="1:5" x14ac:dyDescent="0.55000000000000004">
      <c r="A2127" t="s">
        <v>2208</v>
      </c>
      <c r="B2127" t="s">
        <v>35</v>
      </c>
      <c r="C2127" s="2">
        <v>43906</v>
      </c>
      <c r="D2127" t="s">
        <v>26</v>
      </c>
      <c r="E2127">
        <v>652</v>
      </c>
    </row>
    <row r="2128" spans="1:5" x14ac:dyDescent="0.55000000000000004">
      <c r="A2128" t="s">
        <v>2209</v>
      </c>
      <c r="B2128" t="s">
        <v>84</v>
      </c>
      <c r="C2128" s="2">
        <v>43196</v>
      </c>
      <c r="D2128" t="s">
        <v>26</v>
      </c>
      <c r="E2128">
        <v>1058</v>
      </c>
    </row>
    <row r="2129" spans="1:5" x14ac:dyDescent="0.55000000000000004">
      <c r="A2129" t="s">
        <v>2210</v>
      </c>
      <c r="B2129" t="s">
        <v>137</v>
      </c>
      <c r="C2129" s="2">
        <v>44603</v>
      </c>
      <c r="D2129" t="s">
        <v>26</v>
      </c>
      <c r="E2129">
        <v>2639</v>
      </c>
    </row>
    <row r="2130" spans="1:5" x14ac:dyDescent="0.55000000000000004">
      <c r="A2130" t="s">
        <v>2211</v>
      </c>
      <c r="B2130" t="s">
        <v>76</v>
      </c>
      <c r="C2130" s="2">
        <v>43638</v>
      </c>
      <c r="D2130" t="s">
        <v>29</v>
      </c>
      <c r="E2130">
        <v>81</v>
      </c>
    </row>
    <row r="2131" spans="1:5" x14ac:dyDescent="0.55000000000000004">
      <c r="A2131" t="s">
        <v>2212</v>
      </c>
      <c r="B2131" t="s">
        <v>142</v>
      </c>
      <c r="C2131" s="2">
        <v>43088</v>
      </c>
      <c r="D2131" t="s">
        <v>29</v>
      </c>
      <c r="E2131">
        <v>2464</v>
      </c>
    </row>
    <row r="2132" spans="1:5" x14ac:dyDescent="0.55000000000000004">
      <c r="A2132" t="s">
        <v>2213</v>
      </c>
      <c r="B2132" t="s">
        <v>156</v>
      </c>
      <c r="C2132" s="2">
        <v>43047</v>
      </c>
      <c r="D2132" t="s">
        <v>29</v>
      </c>
      <c r="E2132">
        <v>1488</v>
      </c>
    </row>
    <row r="2133" spans="1:5" x14ac:dyDescent="0.55000000000000004">
      <c r="A2133" t="s">
        <v>2214</v>
      </c>
      <c r="B2133" t="s">
        <v>38</v>
      </c>
      <c r="C2133" s="2">
        <v>44015</v>
      </c>
      <c r="D2133" t="s">
        <v>29</v>
      </c>
      <c r="E2133">
        <v>2966</v>
      </c>
    </row>
    <row r="2134" spans="1:5" x14ac:dyDescent="0.55000000000000004">
      <c r="A2134" t="s">
        <v>2215</v>
      </c>
      <c r="B2134" t="s">
        <v>175</v>
      </c>
      <c r="C2134" s="2">
        <v>44041</v>
      </c>
      <c r="D2134" t="s">
        <v>26</v>
      </c>
      <c r="E2134">
        <v>458</v>
      </c>
    </row>
    <row r="2135" spans="1:5" x14ac:dyDescent="0.55000000000000004">
      <c r="A2135" t="s">
        <v>2216</v>
      </c>
      <c r="B2135" t="s">
        <v>23</v>
      </c>
      <c r="C2135" s="2">
        <v>44855</v>
      </c>
      <c r="D2135" t="s">
        <v>26</v>
      </c>
      <c r="E2135">
        <v>2137</v>
      </c>
    </row>
    <row r="2136" spans="1:5" x14ac:dyDescent="0.55000000000000004">
      <c r="A2136" t="s">
        <v>2217</v>
      </c>
      <c r="B2136" t="s">
        <v>38</v>
      </c>
      <c r="C2136" s="2">
        <v>44906</v>
      </c>
      <c r="D2136" t="s">
        <v>29</v>
      </c>
      <c r="E2136">
        <v>2033</v>
      </c>
    </row>
    <row r="2137" spans="1:5" x14ac:dyDescent="0.55000000000000004">
      <c r="A2137" t="s">
        <v>2218</v>
      </c>
      <c r="B2137" t="s">
        <v>94</v>
      </c>
      <c r="C2137" s="2">
        <v>43835</v>
      </c>
      <c r="D2137" t="s">
        <v>26</v>
      </c>
      <c r="E2137">
        <v>2456</v>
      </c>
    </row>
    <row r="2138" spans="1:5" x14ac:dyDescent="0.55000000000000004">
      <c r="A2138" t="s">
        <v>2219</v>
      </c>
      <c r="B2138" t="s">
        <v>115</v>
      </c>
      <c r="C2138" s="2">
        <v>44500</v>
      </c>
      <c r="D2138" t="s">
        <v>29</v>
      </c>
      <c r="E2138">
        <v>1348</v>
      </c>
    </row>
    <row r="2139" spans="1:5" x14ac:dyDescent="0.55000000000000004">
      <c r="A2139" t="s">
        <v>2220</v>
      </c>
      <c r="B2139" t="s">
        <v>175</v>
      </c>
      <c r="C2139" s="2">
        <v>45063</v>
      </c>
      <c r="D2139" t="s">
        <v>26</v>
      </c>
      <c r="E2139">
        <v>1732</v>
      </c>
    </row>
    <row r="2140" spans="1:5" x14ac:dyDescent="0.55000000000000004">
      <c r="A2140" t="s">
        <v>2221</v>
      </c>
      <c r="B2140" t="s">
        <v>151</v>
      </c>
      <c r="C2140" s="2">
        <v>43212</v>
      </c>
      <c r="D2140" t="s">
        <v>26</v>
      </c>
      <c r="E2140">
        <v>717</v>
      </c>
    </row>
    <row r="2141" spans="1:5" x14ac:dyDescent="0.55000000000000004">
      <c r="A2141" t="s">
        <v>2222</v>
      </c>
      <c r="B2141" t="s">
        <v>151</v>
      </c>
      <c r="C2141" s="2">
        <v>43479</v>
      </c>
      <c r="D2141" t="s">
        <v>29</v>
      </c>
      <c r="E2141">
        <v>1672</v>
      </c>
    </row>
    <row r="2142" spans="1:5" x14ac:dyDescent="0.55000000000000004">
      <c r="A2142" t="s">
        <v>2223</v>
      </c>
      <c r="B2142" t="s">
        <v>84</v>
      </c>
      <c r="C2142" s="2">
        <v>44124</v>
      </c>
      <c r="D2142" t="s">
        <v>26</v>
      </c>
      <c r="E2142">
        <v>2008</v>
      </c>
    </row>
    <row r="2143" spans="1:5" x14ac:dyDescent="0.55000000000000004">
      <c r="A2143" t="s">
        <v>2224</v>
      </c>
      <c r="B2143" t="s">
        <v>99</v>
      </c>
      <c r="C2143" s="2">
        <v>45000</v>
      </c>
      <c r="D2143" t="s">
        <v>26</v>
      </c>
      <c r="E2143">
        <v>1296</v>
      </c>
    </row>
    <row r="2144" spans="1:5" x14ac:dyDescent="0.55000000000000004">
      <c r="A2144" t="s">
        <v>2225</v>
      </c>
      <c r="B2144" t="s">
        <v>99</v>
      </c>
      <c r="C2144" s="2">
        <v>45201</v>
      </c>
      <c r="D2144" t="s">
        <v>29</v>
      </c>
      <c r="E2144">
        <v>2796</v>
      </c>
    </row>
    <row r="2145" spans="1:5" x14ac:dyDescent="0.55000000000000004">
      <c r="A2145" t="s">
        <v>2226</v>
      </c>
      <c r="B2145" t="s">
        <v>63</v>
      </c>
      <c r="C2145" s="2">
        <v>43485</v>
      </c>
      <c r="D2145" t="s">
        <v>26</v>
      </c>
      <c r="E2145">
        <v>1486</v>
      </c>
    </row>
    <row r="2146" spans="1:5" x14ac:dyDescent="0.55000000000000004">
      <c r="A2146" t="s">
        <v>2227</v>
      </c>
      <c r="B2146" t="s">
        <v>96</v>
      </c>
      <c r="C2146" s="2">
        <v>44972</v>
      </c>
      <c r="D2146" t="s">
        <v>29</v>
      </c>
      <c r="E2146">
        <v>86</v>
      </c>
    </row>
    <row r="2147" spans="1:5" x14ac:dyDescent="0.55000000000000004">
      <c r="A2147" t="s">
        <v>2228</v>
      </c>
      <c r="B2147" t="s">
        <v>35</v>
      </c>
      <c r="C2147" s="2">
        <v>43902</v>
      </c>
      <c r="D2147" t="s">
        <v>26</v>
      </c>
      <c r="E2147">
        <v>2829</v>
      </c>
    </row>
    <row r="2148" spans="1:5" x14ac:dyDescent="0.55000000000000004">
      <c r="A2148" t="s">
        <v>2229</v>
      </c>
      <c r="B2148" t="s">
        <v>137</v>
      </c>
      <c r="C2148" s="2">
        <v>44447</v>
      </c>
      <c r="D2148" t="s">
        <v>29</v>
      </c>
      <c r="E2148">
        <v>2263</v>
      </c>
    </row>
    <row r="2149" spans="1:5" x14ac:dyDescent="0.55000000000000004">
      <c r="A2149" t="s">
        <v>2230</v>
      </c>
      <c r="B2149" t="s">
        <v>101</v>
      </c>
      <c r="C2149" s="2">
        <v>43550</v>
      </c>
      <c r="D2149" t="s">
        <v>29</v>
      </c>
      <c r="E2149">
        <v>2806</v>
      </c>
    </row>
    <row r="2150" spans="1:5" x14ac:dyDescent="0.55000000000000004">
      <c r="A2150" t="s">
        <v>2231</v>
      </c>
      <c r="B2150" t="s">
        <v>115</v>
      </c>
      <c r="C2150" s="2">
        <v>44012</v>
      </c>
      <c r="D2150" t="s">
        <v>26</v>
      </c>
      <c r="E2150">
        <v>1812</v>
      </c>
    </row>
    <row r="2151" spans="1:5" x14ac:dyDescent="0.55000000000000004">
      <c r="A2151" t="s">
        <v>2232</v>
      </c>
      <c r="B2151" t="s">
        <v>101</v>
      </c>
      <c r="C2151" s="2">
        <v>42933</v>
      </c>
      <c r="D2151" t="s">
        <v>29</v>
      </c>
      <c r="E2151">
        <v>1046</v>
      </c>
    </row>
    <row r="2152" spans="1:5" x14ac:dyDescent="0.55000000000000004">
      <c r="A2152" t="s">
        <v>2233</v>
      </c>
      <c r="B2152" t="s">
        <v>156</v>
      </c>
      <c r="C2152" s="2">
        <v>43101</v>
      </c>
      <c r="D2152" t="s">
        <v>26</v>
      </c>
      <c r="E2152">
        <v>1218</v>
      </c>
    </row>
    <row r="2153" spans="1:5" x14ac:dyDescent="0.55000000000000004">
      <c r="A2153" t="s">
        <v>2234</v>
      </c>
      <c r="B2153" t="s">
        <v>151</v>
      </c>
      <c r="C2153" s="2">
        <v>43245</v>
      </c>
      <c r="D2153" t="s">
        <v>29</v>
      </c>
      <c r="E2153">
        <v>2586</v>
      </c>
    </row>
    <row r="2154" spans="1:5" x14ac:dyDescent="0.55000000000000004">
      <c r="A2154" t="s">
        <v>2235</v>
      </c>
      <c r="B2154" t="s">
        <v>111</v>
      </c>
      <c r="C2154" s="2">
        <v>44487</v>
      </c>
      <c r="D2154" t="s">
        <v>29</v>
      </c>
      <c r="E2154">
        <v>138</v>
      </c>
    </row>
    <row r="2155" spans="1:5" x14ac:dyDescent="0.55000000000000004">
      <c r="A2155" t="s">
        <v>2236</v>
      </c>
      <c r="B2155" t="s">
        <v>84</v>
      </c>
      <c r="C2155" s="2">
        <v>43081</v>
      </c>
      <c r="D2155" t="s">
        <v>29</v>
      </c>
      <c r="E2155">
        <v>1929</v>
      </c>
    </row>
    <row r="2156" spans="1:5" x14ac:dyDescent="0.55000000000000004">
      <c r="A2156" t="s">
        <v>2237</v>
      </c>
      <c r="B2156" t="s">
        <v>78</v>
      </c>
      <c r="C2156" s="2">
        <v>45157</v>
      </c>
      <c r="D2156" t="s">
        <v>29</v>
      </c>
      <c r="E2156">
        <v>2938</v>
      </c>
    </row>
    <row r="2157" spans="1:5" x14ac:dyDescent="0.55000000000000004">
      <c r="A2157" t="s">
        <v>2238</v>
      </c>
      <c r="B2157" t="s">
        <v>140</v>
      </c>
      <c r="C2157" s="2">
        <v>43122</v>
      </c>
      <c r="D2157" t="s">
        <v>26</v>
      </c>
      <c r="E2157">
        <v>2860</v>
      </c>
    </row>
    <row r="2158" spans="1:5" x14ac:dyDescent="0.55000000000000004">
      <c r="A2158" t="s">
        <v>2239</v>
      </c>
      <c r="B2158" t="s">
        <v>84</v>
      </c>
      <c r="C2158" s="2">
        <v>43953</v>
      </c>
      <c r="D2158" t="s">
        <v>26</v>
      </c>
      <c r="E2158">
        <v>1441</v>
      </c>
    </row>
    <row r="2159" spans="1:5" x14ac:dyDescent="0.55000000000000004">
      <c r="A2159" t="s">
        <v>2240</v>
      </c>
      <c r="B2159" t="s">
        <v>140</v>
      </c>
      <c r="C2159" s="2">
        <v>44150</v>
      </c>
      <c r="D2159" t="s">
        <v>29</v>
      </c>
      <c r="E2159">
        <v>1856</v>
      </c>
    </row>
    <row r="2160" spans="1:5" x14ac:dyDescent="0.55000000000000004">
      <c r="A2160" t="s">
        <v>2241</v>
      </c>
      <c r="B2160" t="s">
        <v>41</v>
      </c>
      <c r="C2160" s="2">
        <v>43887</v>
      </c>
      <c r="D2160" t="s">
        <v>26</v>
      </c>
      <c r="E2160">
        <v>2627</v>
      </c>
    </row>
    <row r="2161" spans="1:5" x14ac:dyDescent="0.55000000000000004">
      <c r="A2161" t="s">
        <v>2242</v>
      </c>
      <c r="B2161" t="s">
        <v>35</v>
      </c>
      <c r="C2161" s="2">
        <v>44207</v>
      </c>
      <c r="D2161" t="s">
        <v>29</v>
      </c>
      <c r="E2161">
        <v>2625</v>
      </c>
    </row>
    <row r="2162" spans="1:5" x14ac:dyDescent="0.55000000000000004">
      <c r="A2162" t="s">
        <v>2243</v>
      </c>
      <c r="B2162" t="s">
        <v>72</v>
      </c>
      <c r="C2162" s="2">
        <v>42923</v>
      </c>
      <c r="D2162" t="s">
        <v>29</v>
      </c>
      <c r="E2162">
        <v>819</v>
      </c>
    </row>
    <row r="2163" spans="1:5" x14ac:dyDescent="0.55000000000000004">
      <c r="A2163" t="s">
        <v>2244</v>
      </c>
      <c r="B2163" t="s">
        <v>35</v>
      </c>
      <c r="C2163" s="2">
        <v>44456</v>
      </c>
      <c r="D2163" t="s">
        <v>29</v>
      </c>
      <c r="E2163">
        <v>2358</v>
      </c>
    </row>
    <row r="2164" spans="1:5" x14ac:dyDescent="0.55000000000000004">
      <c r="A2164" t="s">
        <v>2245</v>
      </c>
      <c r="B2164" t="s">
        <v>74</v>
      </c>
      <c r="C2164" s="2">
        <v>43143</v>
      </c>
      <c r="D2164" t="s">
        <v>26</v>
      </c>
      <c r="E2164">
        <v>1022</v>
      </c>
    </row>
    <row r="2165" spans="1:5" x14ac:dyDescent="0.55000000000000004">
      <c r="A2165" t="s">
        <v>2246</v>
      </c>
      <c r="B2165" t="s">
        <v>67</v>
      </c>
      <c r="C2165" s="2">
        <v>43998</v>
      </c>
      <c r="D2165" t="s">
        <v>29</v>
      </c>
      <c r="E2165">
        <v>1308</v>
      </c>
    </row>
    <row r="2166" spans="1:5" x14ac:dyDescent="0.55000000000000004">
      <c r="A2166" t="s">
        <v>2247</v>
      </c>
      <c r="B2166" t="s">
        <v>15</v>
      </c>
      <c r="C2166" s="2">
        <v>43896</v>
      </c>
      <c r="D2166" t="s">
        <v>26</v>
      </c>
      <c r="E2166">
        <v>1067</v>
      </c>
    </row>
    <row r="2167" spans="1:5" x14ac:dyDescent="0.55000000000000004">
      <c r="A2167" t="s">
        <v>2248</v>
      </c>
      <c r="B2167" t="s">
        <v>105</v>
      </c>
      <c r="C2167" s="2">
        <v>44324</v>
      </c>
      <c r="D2167" t="s">
        <v>29</v>
      </c>
      <c r="E2167">
        <v>1154</v>
      </c>
    </row>
    <row r="2168" spans="1:5" x14ac:dyDescent="0.55000000000000004">
      <c r="A2168" t="s">
        <v>2249</v>
      </c>
      <c r="B2168" t="s">
        <v>151</v>
      </c>
      <c r="C2168" s="2">
        <v>43089</v>
      </c>
      <c r="D2168" t="s">
        <v>29</v>
      </c>
      <c r="E2168">
        <v>1505</v>
      </c>
    </row>
    <row r="2169" spans="1:5" x14ac:dyDescent="0.55000000000000004">
      <c r="A2169" t="s">
        <v>2250</v>
      </c>
      <c r="B2169" t="s">
        <v>105</v>
      </c>
      <c r="C2169" s="2">
        <v>43722</v>
      </c>
      <c r="D2169" t="s">
        <v>29</v>
      </c>
      <c r="E2169">
        <v>2336</v>
      </c>
    </row>
    <row r="2170" spans="1:5" x14ac:dyDescent="0.55000000000000004">
      <c r="A2170" t="s">
        <v>2251</v>
      </c>
      <c r="B2170" t="s">
        <v>63</v>
      </c>
      <c r="C2170" s="2">
        <v>42959</v>
      </c>
      <c r="D2170" t="s">
        <v>26</v>
      </c>
      <c r="E2170">
        <v>2287</v>
      </c>
    </row>
    <row r="2171" spans="1:5" x14ac:dyDescent="0.55000000000000004">
      <c r="A2171" t="s">
        <v>2252</v>
      </c>
      <c r="B2171" t="s">
        <v>35</v>
      </c>
      <c r="C2171" s="2">
        <v>44299</v>
      </c>
      <c r="D2171" t="s">
        <v>26</v>
      </c>
      <c r="E2171">
        <v>1894</v>
      </c>
    </row>
    <row r="2172" spans="1:5" x14ac:dyDescent="0.55000000000000004">
      <c r="A2172" t="s">
        <v>2253</v>
      </c>
      <c r="B2172" t="s">
        <v>151</v>
      </c>
      <c r="C2172" s="2">
        <v>43453</v>
      </c>
      <c r="D2172" t="s">
        <v>26</v>
      </c>
      <c r="E2172">
        <v>203</v>
      </c>
    </row>
    <row r="2173" spans="1:5" x14ac:dyDescent="0.55000000000000004">
      <c r="A2173" t="s">
        <v>2254</v>
      </c>
      <c r="B2173" t="s">
        <v>101</v>
      </c>
      <c r="C2173" s="2">
        <v>44182</v>
      </c>
      <c r="D2173" t="s">
        <v>29</v>
      </c>
      <c r="E2173">
        <v>2459</v>
      </c>
    </row>
    <row r="2174" spans="1:5" x14ac:dyDescent="0.55000000000000004">
      <c r="A2174" t="s">
        <v>2255</v>
      </c>
      <c r="B2174" t="s">
        <v>84</v>
      </c>
      <c r="C2174" s="2">
        <v>43222</v>
      </c>
      <c r="D2174" t="s">
        <v>26</v>
      </c>
      <c r="E2174">
        <v>1507</v>
      </c>
    </row>
    <row r="2175" spans="1:5" x14ac:dyDescent="0.55000000000000004">
      <c r="A2175" t="s">
        <v>2256</v>
      </c>
      <c r="B2175" t="s">
        <v>105</v>
      </c>
      <c r="C2175" s="2">
        <v>44078</v>
      </c>
      <c r="D2175" t="s">
        <v>26</v>
      </c>
      <c r="E2175">
        <v>57</v>
      </c>
    </row>
    <row r="2176" spans="1:5" x14ac:dyDescent="0.55000000000000004">
      <c r="A2176" t="s">
        <v>2257</v>
      </c>
      <c r="B2176" t="s">
        <v>41</v>
      </c>
      <c r="C2176" s="2">
        <v>44907</v>
      </c>
      <c r="D2176" t="s">
        <v>29</v>
      </c>
      <c r="E2176">
        <v>1858</v>
      </c>
    </row>
    <row r="2177" spans="1:5" x14ac:dyDescent="0.55000000000000004">
      <c r="A2177" t="s">
        <v>2258</v>
      </c>
      <c r="B2177" t="s">
        <v>175</v>
      </c>
      <c r="C2177" s="2">
        <v>45490</v>
      </c>
      <c r="D2177" t="s">
        <v>26</v>
      </c>
      <c r="E2177">
        <v>919</v>
      </c>
    </row>
    <row r="2178" spans="1:5" x14ac:dyDescent="0.55000000000000004">
      <c r="A2178" t="s">
        <v>2259</v>
      </c>
      <c r="B2178" t="s">
        <v>41</v>
      </c>
      <c r="C2178" s="2">
        <v>44247</v>
      </c>
      <c r="D2178" t="s">
        <v>26</v>
      </c>
      <c r="E2178">
        <v>1090</v>
      </c>
    </row>
    <row r="2179" spans="1:5" x14ac:dyDescent="0.55000000000000004">
      <c r="A2179" t="s">
        <v>2260</v>
      </c>
      <c r="B2179" t="s">
        <v>156</v>
      </c>
      <c r="C2179" s="2">
        <v>44445</v>
      </c>
      <c r="D2179" t="s">
        <v>29</v>
      </c>
      <c r="E2179">
        <v>1564</v>
      </c>
    </row>
    <row r="2180" spans="1:5" x14ac:dyDescent="0.55000000000000004">
      <c r="A2180" t="s">
        <v>2261</v>
      </c>
      <c r="B2180" t="s">
        <v>72</v>
      </c>
      <c r="C2180" s="2">
        <v>43800</v>
      </c>
      <c r="D2180" t="s">
        <v>26</v>
      </c>
      <c r="E2180">
        <v>2457</v>
      </c>
    </row>
    <row r="2181" spans="1:5" x14ac:dyDescent="0.55000000000000004">
      <c r="A2181" t="s">
        <v>2262</v>
      </c>
      <c r="B2181" t="s">
        <v>151</v>
      </c>
      <c r="C2181" s="2">
        <v>43496</v>
      </c>
      <c r="D2181" t="s">
        <v>26</v>
      </c>
      <c r="E2181">
        <v>1713</v>
      </c>
    </row>
    <row r="2182" spans="1:5" x14ac:dyDescent="0.55000000000000004">
      <c r="A2182" t="s">
        <v>2263</v>
      </c>
      <c r="B2182" t="s">
        <v>105</v>
      </c>
      <c r="C2182" s="2">
        <v>43753</v>
      </c>
      <c r="D2182" t="s">
        <v>26</v>
      </c>
      <c r="E2182">
        <v>117</v>
      </c>
    </row>
    <row r="2183" spans="1:5" x14ac:dyDescent="0.55000000000000004">
      <c r="A2183" t="s">
        <v>2264</v>
      </c>
      <c r="B2183" t="s">
        <v>156</v>
      </c>
      <c r="C2183" s="2">
        <v>43453</v>
      </c>
      <c r="D2183" t="s">
        <v>26</v>
      </c>
      <c r="E2183">
        <v>2530</v>
      </c>
    </row>
    <row r="2184" spans="1:5" x14ac:dyDescent="0.55000000000000004">
      <c r="A2184" t="s">
        <v>2265</v>
      </c>
      <c r="B2184" t="s">
        <v>15</v>
      </c>
      <c r="C2184" s="2">
        <v>43425</v>
      </c>
      <c r="D2184" t="s">
        <v>29</v>
      </c>
      <c r="E2184">
        <v>2387</v>
      </c>
    </row>
    <row r="2185" spans="1:5" x14ac:dyDescent="0.55000000000000004">
      <c r="A2185" t="s">
        <v>2266</v>
      </c>
      <c r="B2185" t="s">
        <v>38</v>
      </c>
      <c r="C2185" s="2">
        <v>44769</v>
      </c>
      <c r="D2185" t="s">
        <v>26</v>
      </c>
      <c r="E2185">
        <v>42</v>
      </c>
    </row>
    <row r="2186" spans="1:5" x14ac:dyDescent="0.55000000000000004">
      <c r="A2186" t="s">
        <v>2267</v>
      </c>
      <c r="B2186" t="s">
        <v>96</v>
      </c>
      <c r="C2186" s="2">
        <v>44011</v>
      </c>
      <c r="D2186" t="s">
        <v>29</v>
      </c>
      <c r="E2186">
        <v>2838</v>
      </c>
    </row>
    <row r="2187" spans="1:5" x14ac:dyDescent="0.55000000000000004">
      <c r="A2187" t="s">
        <v>2268</v>
      </c>
      <c r="B2187" t="s">
        <v>101</v>
      </c>
      <c r="C2187" s="2">
        <v>44323</v>
      </c>
      <c r="D2187" t="s">
        <v>26</v>
      </c>
      <c r="E2187">
        <v>2921</v>
      </c>
    </row>
    <row r="2188" spans="1:5" x14ac:dyDescent="0.55000000000000004">
      <c r="A2188" t="s">
        <v>2269</v>
      </c>
      <c r="B2188" t="s">
        <v>101</v>
      </c>
      <c r="C2188" s="2">
        <v>44367</v>
      </c>
      <c r="D2188" t="s">
        <v>29</v>
      </c>
      <c r="E2188">
        <v>2446</v>
      </c>
    </row>
    <row r="2189" spans="1:5" x14ac:dyDescent="0.55000000000000004">
      <c r="A2189" t="s">
        <v>2270</v>
      </c>
      <c r="B2189" t="s">
        <v>84</v>
      </c>
      <c r="C2189" s="2">
        <v>43066</v>
      </c>
      <c r="D2189" t="s">
        <v>26</v>
      </c>
      <c r="E2189">
        <v>2281</v>
      </c>
    </row>
    <row r="2190" spans="1:5" x14ac:dyDescent="0.55000000000000004">
      <c r="A2190" t="s">
        <v>2271</v>
      </c>
      <c r="B2190" t="s">
        <v>142</v>
      </c>
      <c r="C2190" s="2">
        <v>43023</v>
      </c>
      <c r="D2190" t="s">
        <v>29</v>
      </c>
      <c r="E2190">
        <v>961</v>
      </c>
    </row>
    <row r="2191" spans="1:5" x14ac:dyDescent="0.55000000000000004">
      <c r="A2191" t="s">
        <v>2272</v>
      </c>
      <c r="B2191" t="s">
        <v>96</v>
      </c>
      <c r="C2191" s="2">
        <v>44917</v>
      </c>
      <c r="D2191" t="s">
        <v>26</v>
      </c>
      <c r="E2191">
        <v>21</v>
      </c>
    </row>
    <row r="2192" spans="1:5" x14ac:dyDescent="0.55000000000000004">
      <c r="A2192" t="s">
        <v>2273</v>
      </c>
      <c r="B2192" t="s">
        <v>84</v>
      </c>
      <c r="C2192" s="2">
        <v>43950</v>
      </c>
      <c r="D2192" t="s">
        <v>29</v>
      </c>
      <c r="E2192">
        <v>1239</v>
      </c>
    </row>
    <row r="2193" spans="1:5" x14ac:dyDescent="0.55000000000000004">
      <c r="A2193" t="s">
        <v>2274</v>
      </c>
      <c r="B2193" t="s">
        <v>101</v>
      </c>
      <c r="C2193" s="2">
        <v>44291</v>
      </c>
      <c r="D2193" t="s">
        <v>29</v>
      </c>
      <c r="E2193">
        <v>541</v>
      </c>
    </row>
    <row r="2194" spans="1:5" x14ac:dyDescent="0.55000000000000004">
      <c r="A2194" t="s">
        <v>2275</v>
      </c>
      <c r="B2194" t="s">
        <v>94</v>
      </c>
      <c r="C2194" s="2">
        <v>45757</v>
      </c>
      <c r="D2194" t="s">
        <v>26</v>
      </c>
      <c r="E2194">
        <v>2377</v>
      </c>
    </row>
    <row r="2195" spans="1:5" x14ac:dyDescent="0.55000000000000004">
      <c r="A2195" t="s">
        <v>2276</v>
      </c>
      <c r="B2195" t="s">
        <v>105</v>
      </c>
      <c r="C2195" s="2">
        <v>43450</v>
      </c>
      <c r="D2195" t="s">
        <v>26</v>
      </c>
      <c r="E2195">
        <v>2063</v>
      </c>
    </row>
    <row r="2196" spans="1:5" x14ac:dyDescent="0.55000000000000004">
      <c r="A2196" t="s">
        <v>2277</v>
      </c>
      <c r="B2196" t="s">
        <v>96</v>
      </c>
      <c r="C2196" s="2">
        <v>44855</v>
      </c>
      <c r="D2196" t="s">
        <v>29</v>
      </c>
      <c r="E2196">
        <v>540</v>
      </c>
    </row>
    <row r="2197" spans="1:5" x14ac:dyDescent="0.55000000000000004">
      <c r="A2197" t="s">
        <v>2278</v>
      </c>
      <c r="B2197" t="s">
        <v>74</v>
      </c>
      <c r="C2197" s="2">
        <v>43566</v>
      </c>
      <c r="D2197" t="s">
        <v>29</v>
      </c>
      <c r="E2197">
        <v>580</v>
      </c>
    </row>
    <row r="2198" spans="1:5" x14ac:dyDescent="0.55000000000000004">
      <c r="A2198" t="s">
        <v>2279</v>
      </c>
      <c r="B2198" t="s">
        <v>84</v>
      </c>
      <c r="C2198" s="2">
        <v>43156</v>
      </c>
      <c r="D2198" t="s">
        <v>29</v>
      </c>
      <c r="E2198">
        <v>180</v>
      </c>
    </row>
    <row r="2199" spans="1:5" x14ac:dyDescent="0.55000000000000004">
      <c r="A2199" t="s">
        <v>2280</v>
      </c>
      <c r="B2199" t="s">
        <v>72</v>
      </c>
      <c r="C2199" s="2">
        <v>43939</v>
      </c>
      <c r="D2199" t="s">
        <v>29</v>
      </c>
      <c r="E2199">
        <v>1476</v>
      </c>
    </row>
    <row r="2200" spans="1:5" x14ac:dyDescent="0.55000000000000004">
      <c r="A2200" t="s">
        <v>2281</v>
      </c>
      <c r="B2200" t="s">
        <v>140</v>
      </c>
      <c r="C2200" s="2">
        <v>43496</v>
      </c>
      <c r="D2200" t="s">
        <v>29</v>
      </c>
      <c r="E2200">
        <v>2510</v>
      </c>
    </row>
    <row r="2201" spans="1:5" x14ac:dyDescent="0.55000000000000004">
      <c r="A2201" t="s">
        <v>2282</v>
      </c>
      <c r="B2201" t="s">
        <v>175</v>
      </c>
      <c r="C2201" s="2">
        <v>44546</v>
      </c>
      <c r="D2201" t="s">
        <v>29</v>
      </c>
      <c r="E2201">
        <v>1784</v>
      </c>
    </row>
    <row r="2202" spans="1:5" x14ac:dyDescent="0.55000000000000004">
      <c r="A2202" t="s">
        <v>2283</v>
      </c>
      <c r="B2202" t="s">
        <v>94</v>
      </c>
      <c r="C2202" s="2">
        <v>44141</v>
      </c>
      <c r="D2202" t="s">
        <v>29</v>
      </c>
      <c r="E2202">
        <v>2012</v>
      </c>
    </row>
    <row r="2203" spans="1:5" x14ac:dyDescent="0.55000000000000004">
      <c r="A2203" t="s">
        <v>2284</v>
      </c>
      <c r="B2203" t="s">
        <v>118</v>
      </c>
      <c r="C2203" s="2">
        <v>44085</v>
      </c>
      <c r="D2203" t="s">
        <v>29</v>
      </c>
      <c r="E2203">
        <v>217</v>
      </c>
    </row>
    <row r="2204" spans="1:5" x14ac:dyDescent="0.55000000000000004">
      <c r="A2204" t="s">
        <v>2285</v>
      </c>
      <c r="B2204" t="s">
        <v>151</v>
      </c>
      <c r="C2204" s="2">
        <v>43221</v>
      </c>
      <c r="D2204" t="s">
        <v>26</v>
      </c>
      <c r="E2204">
        <v>941</v>
      </c>
    </row>
    <row r="2205" spans="1:5" x14ac:dyDescent="0.55000000000000004">
      <c r="A2205" t="s">
        <v>2286</v>
      </c>
      <c r="B2205" t="s">
        <v>105</v>
      </c>
      <c r="C2205" s="2">
        <v>42990</v>
      </c>
      <c r="D2205" t="s">
        <v>29</v>
      </c>
      <c r="E2205">
        <v>1065</v>
      </c>
    </row>
    <row r="2206" spans="1:5" x14ac:dyDescent="0.55000000000000004">
      <c r="A2206" t="s">
        <v>2287</v>
      </c>
      <c r="B2206" t="s">
        <v>105</v>
      </c>
      <c r="C2206" s="2">
        <v>44362</v>
      </c>
      <c r="D2206" t="s">
        <v>29</v>
      </c>
      <c r="E2206">
        <v>1787</v>
      </c>
    </row>
    <row r="2207" spans="1:5" x14ac:dyDescent="0.55000000000000004">
      <c r="A2207" t="s">
        <v>2288</v>
      </c>
      <c r="B2207" t="s">
        <v>115</v>
      </c>
      <c r="C2207" s="2">
        <v>43930</v>
      </c>
      <c r="D2207" t="s">
        <v>26</v>
      </c>
      <c r="E2207">
        <v>1808</v>
      </c>
    </row>
    <row r="2208" spans="1:5" x14ac:dyDescent="0.55000000000000004">
      <c r="A2208" t="s">
        <v>2289</v>
      </c>
      <c r="B2208" t="s">
        <v>86</v>
      </c>
      <c r="C2208" s="2">
        <v>44369</v>
      </c>
      <c r="D2208" t="s">
        <v>29</v>
      </c>
      <c r="E2208">
        <v>1874</v>
      </c>
    </row>
    <row r="2209" spans="1:5" x14ac:dyDescent="0.55000000000000004">
      <c r="A2209" t="s">
        <v>2290</v>
      </c>
      <c r="B2209" t="s">
        <v>96</v>
      </c>
      <c r="C2209" s="2">
        <v>43926</v>
      </c>
      <c r="D2209" t="s">
        <v>26</v>
      </c>
      <c r="E2209">
        <v>506</v>
      </c>
    </row>
    <row r="2210" spans="1:5" x14ac:dyDescent="0.55000000000000004">
      <c r="A2210" t="s">
        <v>2291</v>
      </c>
      <c r="B2210" t="s">
        <v>86</v>
      </c>
      <c r="C2210" s="2">
        <v>43108</v>
      </c>
      <c r="D2210" t="s">
        <v>26</v>
      </c>
      <c r="E2210">
        <v>1163</v>
      </c>
    </row>
    <row r="2211" spans="1:5" x14ac:dyDescent="0.55000000000000004">
      <c r="A2211" t="s">
        <v>2292</v>
      </c>
      <c r="B2211" t="s">
        <v>105</v>
      </c>
      <c r="C2211" s="2">
        <v>43261</v>
      </c>
      <c r="D2211" t="s">
        <v>29</v>
      </c>
      <c r="E2211">
        <v>2307</v>
      </c>
    </row>
    <row r="2212" spans="1:5" x14ac:dyDescent="0.55000000000000004">
      <c r="A2212" t="s">
        <v>2293</v>
      </c>
      <c r="B2212" t="s">
        <v>94</v>
      </c>
      <c r="C2212" s="2">
        <v>44335</v>
      </c>
      <c r="D2212" t="s">
        <v>26</v>
      </c>
      <c r="E2212">
        <v>2154</v>
      </c>
    </row>
    <row r="2213" spans="1:5" x14ac:dyDescent="0.55000000000000004">
      <c r="A2213" t="s">
        <v>2294</v>
      </c>
      <c r="B2213" t="s">
        <v>118</v>
      </c>
      <c r="C2213" s="2">
        <v>45803</v>
      </c>
      <c r="D2213" t="s">
        <v>26</v>
      </c>
      <c r="E2213">
        <v>1705</v>
      </c>
    </row>
    <row r="2214" spans="1:5" x14ac:dyDescent="0.55000000000000004">
      <c r="A2214" t="s">
        <v>2295</v>
      </c>
      <c r="B2214" t="s">
        <v>74</v>
      </c>
      <c r="C2214" s="2">
        <v>43421</v>
      </c>
      <c r="D2214" t="s">
        <v>29</v>
      </c>
      <c r="E2214">
        <v>2772</v>
      </c>
    </row>
    <row r="2215" spans="1:5" x14ac:dyDescent="0.55000000000000004">
      <c r="A2215" t="s">
        <v>2296</v>
      </c>
      <c r="B2215" t="s">
        <v>115</v>
      </c>
      <c r="C2215" s="2">
        <v>43590</v>
      </c>
      <c r="D2215" t="s">
        <v>26</v>
      </c>
      <c r="E2215">
        <v>1164</v>
      </c>
    </row>
    <row r="2216" spans="1:5" x14ac:dyDescent="0.55000000000000004">
      <c r="A2216" t="s">
        <v>2297</v>
      </c>
      <c r="B2216" t="s">
        <v>38</v>
      </c>
      <c r="C2216" s="2">
        <v>44080</v>
      </c>
      <c r="D2216" t="s">
        <v>29</v>
      </c>
      <c r="E2216">
        <v>1530</v>
      </c>
    </row>
    <row r="2217" spans="1:5" x14ac:dyDescent="0.55000000000000004">
      <c r="A2217" t="s">
        <v>2298</v>
      </c>
      <c r="B2217" t="s">
        <v>23</v>
      </c>
      <c r="C2217" s="2">
        <v>44048</v>
      </c>
      <c r="D2217" t="s">
        <v>29</v>
      </c>
      <c r="E2217">
        <v>629</v>
      </c>
    </row>
    <row r="2218" spans="1:5" x14ac:dyDescent="0.55000000000000004">
      <c r="A2218" t="s">
        <v>2299</v>
      </c>
      <c r="B2218" t="s">
        <v>14</v>
      </c>
      <c r="C2218" s="2">
        <v>43083</v>
      </c>
      <c r="D2218" t="s">
        <v>29</v>
      </c>
      <c r="E2218">
        <v>2898</v>
      </c>
    </row>
    <row r="2219" spans="1:5" x14ac:dyDescent="0.55000000000000004">
      <c r="A2219" t="s">
        <v>2300</v>
      </c>
      <c r="B2219" t="s">
        <v>38</v>
      </c>
      <c r="C2219" s="2">
        <v>44813</v>
      </c>
      <c r="D2219" t="s">
        <v>29</v>
      </c>
      <c r="E2219">
        <v>2573</v>
      </c>
    </row>
    <row r="2220" spans="1:5" x14ac:dyDescent="0.55000000000000004">
      <c r="A2220" t="s">
        <v>2301</v>
      </c>
      <c r="B2220" t="s">
        <v>84</v>
      </c>
      <c r="C2220" s="2">
        <v>44133</v>
      </c>
      <c r="D2220" t="s">
        <v>26</v>
      </c>
      <c r="E2220">
        <v>1349</v>
      </c>
    </row>
    <row r="2221" spans="1:5" x14ac:dyDescent="0.55000000000000004">
      <c r="A2221" t="s">
        <v>2302</v>
      </c>
      <c r="B2221" t="s">
        <v>142</v>
      </c>
      <c r="C2221" s="2">
        <v>44260</v>
      </c>
      <c r="D2221" t="s">
        <v>29</v>
      </c>
      <c r="E2221">
        <v>1330</v>
      </c>
    </row>
    <row r="2222" spans="1:5" x14ac:dyDescent="0.55000000000000004">
      <c r="A2222" t="s">
        <v>2303</v>
      </c>
      <c r="B2222" t="s">
        <v>78</v>
      </c>
      <c r="C2222" s="2">
        <v>45797</v>
      </c>
      <c r="D2222" t="s">
        <v>26</v>
      </c>
      <c r="E2222">
        <v>865</v>
      </c>
    </row>
    <row r="2223" spans="1:5" x14ac:dyDescent="0.55000000000000004">
      <c r="A2223" t="s">
        <v>2304</v>
      </c>
      <c r="B2223" t="s">
        <v>76</v>
      </c>
      <c r="C2223" s="2">
        <v>43665</v>
      </c>
      <c r="D2223" t="s">
        <v>29</v>
      </c>
      <c r="E2223">
        <v>1323</v>
      </c>
    </row>
    <row r="2224" spans="1:5" x14ac:dyDescent="0.55000000000000004">
      <c r="A2224" t="s">
        <v>2305</v>
      </c>
      <c r="B2224" t="s">
        <v>137</v>
      </c>
      <c r="C2224" s="2">
        <v>43693</v>
      </c>
      <c r="D2224" t="s">
        <v>26</v>
      </c>
      <c r="E2224">
        <v>2241</v>
      </c>
    </row>
    <row r="2225" spans="1:5" x14ac:dyDescent="0.55000000000000004">
      <c r="A2225" t="s">
        <v>2306</v>
      </c>
      <c r="B2225" t="s">
        <v>32</v>
      </c>
      <c r="C2225" s="2">
        <v>44612</v>
      </c>
      <c r="D2225" t="s">
        <v>26</v>
      </c>
      <c r="E2225">
        <v>1633</v>
      </c>
    </row>
    <row r="2226" spans="1:5" x14ac:dyDescent="0.55000000000000004">
      <c r="A2226" t="s">
        <v>2307</v>
      </c>
      <c r="B2226" t="s">
        <v>84</v>
      </c>
      <c r="C2226" s="2">
        <v>43281</v>
      </c>
      <c r="D2226" t="s">
        <v>26</v>
      </c>
      <c r="E2226">
        <v>1633</v>
      </c>
    </row>
    <row r="2227" spans="1:5" x14ac:dyDescent="0.55000000000000004">
      <c r="A2227" t="s">
        <v>2308</v>
      </c>
      <c r="B2227" t="s">
        <v>74</v>
      </c>
      <c r="C2227" s="2">
        <v>42959</v>
      </c>
      <c r="D2227" t="s">
        <v>26</v>
      </c>
      <c r="E2227">
        <v>667</v>
      </c>
    </row>
    <row r="2228" spans="1:5" x14ac:dyDescent="0.55000000000000004">
      <c r="A2228" t="s">
        <v>2309</v>
      </c>
      <c r="B2228" t="s">
        <v>101</v>
      </c>
      <c r="C2228" s="2">
        <v>44513</v>
      </c>
      <c r="D2228" t="s">
        <v>29</v>
      </c>
      <c r="E2228">
        <v>1167</v>
      </c>
    </row>
    <row r="2229" spans="1:5" x14ac:dyDescent="0.55000000000000004">
      <c r="A2229" t="s">
        <v>2310</v>
      </c>
      <c r="B2229" t="s">
        <v>35</v>
      </c>
      <c r="C2229" s="2">
        <v>44146</v>
      </c>
      <c r="D2229" t="s">
        <v>26</v>
      </c>
      <c r="E2229">
        <v>1222</v>
      </c>
    </row>
    <row r="2230" spans="1:5" x14ac:dyDescent="0.55000000000000004">
      <c r="A2230" t="s">
        <v>2311</v>
      </c>
      <c r="B2230" t="s">
        <v>96</v>
      </c>
      <c r="C2230" s="2">
        <v>45236</v>
      </c>
      <c r="D2230" t="s">
        <v>29</v>
      </c>
      <c r="E2230">
        <v>2805</v>
      </c>
    </row>
    <row r="2231" spans="1:5" x14ac:dyDescent="0.55000000000000004">
      <c r="A2231" t="s">
        <v>2312</v>
      </c>
      <c r="B2231" t="s">
        <v>32</v>
      </c>
      <c r="C2231" s="2">
        <v>44099</v>
      </c>
      <c r="D2231" t="s">
        <v>29</v>
      </c>
      <c r="E2231">
        <v>2725</v>
      </c>
    </row>
    <row r="2232" spans="1:5" x14ac:dyDescent="0.55000000000000004">
      <c r="A2232" t="s">
        <v>2313</v>
      </c>
      <c r="B2232" t="s">
        <v>115</v>
      </c>
      <c r="C2232" s="2">
        <v>43669</v>
      </c>
      <c r="D2232" t="s">
        <v>26</v>
      </c>
      <c r="E2232">
        <v>2005</v>
      </c>
    </row>
    <row r="2233" spans="1:5" x14ac:dyDescent="0.55000000000000004">
      <c r="A2233" t="s">
        <v>2314</v>
      </c>
      <c r="B2233" t="s">
        <v>15</v>
      </c>
      <c r="C2233" s="2">
        <v>43711</v>
      </c>
      <c r="D2233" t="s">
        <v>29</v>
      </c>
      <c r="E2233">
        <v>1099</v>
      </c>
    </row>
    <row r="2234" spans="1:5" x14ac:dyDescent="0.55000000000000004">
      <c r="A2234" t="s">
        <v>2315</v>
      </c>
      <c r="B2234" t="s">
        <v>23</v>
      </c>
      <c r="C2234" s="2">
        <v>44697</v>
      </c>
      <c r="D2234" t="s">
        <v>26</v>
      </c>
      <c r="E2234">
        <v>1730</v>
      </c>
    </row>
    <row r="2235" spans="1:5" x14ac:dyDescent="0.55000000000000004">
      <c r="A2235" t="s">
        <v>2316</v>
      </c>
      <c r="B2235" t="s">
        <v>137</v>
      </c>
      <c r="C2235" s="2">
        <v>44974</v>
      </c>
      <c r="D2235" t="s">
        <v>26</v>
      </c>
      <c r="E2235">
        <v>1778</v>
      </c>
    </row>
    <row r="2236" spans="1:5" x14ac:dyDescent="0.55000000000000004">
      <c r="A2236" t="s">
        <v>2317</v>
      </c>
      <c r="B2236" t="s">
        <v>35</v>
      </c>
      <c r="C2236" s="2">
        <v>44703</v>
      </c>
      <c r="D2236" t="s">
        <v>26</v>
      </c>
      <c r="E2236">
        <v>165</v>
      </c>
    </row>
    <row r="2237" spans="1:5" x14ac:dyDescent="0.55000000000000004">
      <c r="A2237" t="s">
        <v>2318</v>
      </c>
      <c r="B2237" t="s">
        <v>67</v>
      </c>
      <c r="C2237" s="2">
        <v>44865</v>
      </c>
      <c r="D2237" t="s">
        <v>29</v>
      </c>
      <c r="E2237">
        <v>2770</v>
      </c>
    </row>
    <row r="2238" spans="1:5" x14ac:dyDescent="0.55000000000000004">
      <c r="A2238" t="s">
        <v>2319</v>
      </c>
      <c r="B2238" t="s">
        <v>63</v>
      </c>
      <c r="C2238" s="2">
        <v>44243</v>
      </c>
      <c r="D2238" t="s">
        <v>26</v>
      </c>
      <c r="E2238">
        <v>2028</v>
      </c>
    </row>
    <row r="2239" spans="1:5" x14ac:dyDescent="0.55000000000000004">
      <c r="A2239" t="s">
        <v>2320</v>
      </c>
      <c r="B2239" t="s">
        <v>67</v>
      </c>
      <c r="C2239" s="2">
        <v>45615</v>
      </c>
      <c r="D2239" t="s">
        <v>26</v>
      </c>
      <c r="E2239">
        <v>1190</v>
      </c>
    </row>
    <row r="2240" spans="1:5" x14ac:dyDescent="0.55000000000000004">
      <c r="A2240" t="s">
        <v>2321</v>
      </c>
      <c r="B2240" t="s">
        <v>15</v>
      </c>
      <c r="C2240" s="2">
        <v>43812</v>
      </c>
      <c r="D2240" t="s">
        <v>26</v>
      </c>
      <c r="E2240">
        <v>1956</v>
      </c>
    </row>
    <row r="2241" spans="1:5" x14ac:dyDescent="0.55000000000000004">
      <c r="A2241" t="s">
        <v>2322</v>
      </c>
      <c r="B2241" t="s">
        <v>156</v>
      </c>
      <c r="C2241" s="2">
        <v>43221</v>
      </c>
      <c r="D2241" t="s">
        <v>26</v>
      </c>
      <c r="E2241">
        <v>2802</v>
      </c>
    </row>
    <row r="2242" spans="1:5" x14ac:dyDescent="0.55000000000000004">
      <c r="A2242" t="s">
        <v>2323</v>
      </c>
      <c r="B2242" t="s">
        <v>94</v>
      </c>
      <c r="C2242" s="2">
        <v>44696</v>
      </c>
      <c r="D2242" t="s">
        <v>26</v>
      </c>
      <c r="E2242">
        <v>2142</v>
      </c>
    </row>
    <row r="2243" spans="1:5" x14ac:dyDescent="0.55000000000000004">
      <c r="A2243" t="s">
        <v>2324</v>
      </c>
      <c r="B2243" t="s">
        <v>140</v>
      </c>
      <c r="C2243" s="2">
        <v>43522</v>
      </c>
      <c r="D2243" t="s">
        <v>26</v>
      </c>
      <c r="E2243">
        <v>2256</v>
      </c>
    </row>
    <row r="2244" spans="1:5" x14ac:dyDescent="0.55000000000000004">
      <c r="A2244" t="s">
        <v>2325</v>
      </c>
      <c r="B2244" t="s">
        <v>74</v>
      </c>
      <c r="C2244" s="2">
        <v>43009</v>
      </c>
      <c r="D2244" t="s">
        <v>26</v>
      </c>
      <c r="E2244">
        <v>2091</v>
      </c>
    </row>
    <row r="2245" spans="1:5" x14ac:dyDescent="0.55000000000000004">
      <c r="A2245" t="s">
        <v>2326</v>
      </c>
      <c r="B2245" t="s">
        <v>140</v>
      </c>
      <c r="C2245" s="2">
        <v>43762</v>
      </c>
      <c r="D2245" t="s">
        <v>26</v>
      </c>
      <c r="E2245">
        <v>1903</v>
      </c>
    </row>
    <row r="2246" spans="1:5" x14ac:dyDescent="0.55000000000000004">
      <c r="A2246" t="s">
        <v>2327</v>
      </c>
      <c r="B2246" t="s">
        <v>38</v>
      </c>
      <c r="C2246" s="2">
        <v>44349</v>
      </c>
      <c r="D2246" t="s">
        <v>29</v>
      </c>
      <c r="E2246">
        <v>1043</v>
      </c>
    </row>
    <row r="2247" spans="1:5" x14ac:dyDescent="0.55000000000000004">
      <c r="A2247" t="s">
        <v>2328</v>
      </c>
      <c r="B2247" t="s">
        <v>23</v>
      </c>
      <c r="C2247" s="2">
        <v>43998</v>
      </c>
      <c r="D2247" t="s">
        <v>26</v>
      </c>
      <c r="E2247">
        <v>466</v>
      </c>
    </row>
    <row r="2248" spans="1:5" x14ac:dyDescent="0.55000000000000004">
      <c r="A2248" t="s">
        <v>2329</v>
      </c>
      <c r="B2248" t="s">
        <v>78</v>
      </c>
      <c r="C2248" s="2">
        <v>45361</v>
      </c>
      <c r="D2248" t="s">
        <v>26</v>
      </c>
      <c r="E2248">
        <v>746</v>
      </c>
    </row>
    <row r="2249" spans="1:5" x14ac:dyDescent="0.55000000000000004">
      <c r="A2249" t="s">
        <v>2330</v>
      </c>
      <c r="B2249" t="s">
        <v>175</v>
      </c>
      <c r="C2249" s="2">
        <v>45075</v>
      </c>
      <c r="D2249" t="s">
        <v>26</v>
      </c>
      <c r="E2249">
        <v>341</v>
      </c>
    </row>
    <row r="2250" spans="1:5" x14ac:dyDescent="0.55000000000000004">
      <c r="A2250" t="s">
        <v>2331</v>
      </c>
      <c r="B2250" t="s">
        <v>140</v>
      </c>
      <c r="C2250" s="2">
        <v>44359</v>
      </c>
      <c r="D2250" t="s">
        <v>29</v>
      </c>
      <c r="E2250">
        <v>1285</v>
      </c>
    </row>
    <row r="2251" spans="1:5" x14ac:dyDescent="0.55000000000000004">
      <c r="A2251" t="s">
        <v>2332</v>
      </c>
      <c r="B2251" t="s">
        <v>23</v>
      </c>
      <c r="C2251" s="2">
        <v>44762</v>
      </c>
      <c r="D2251" t="s">
        <v>29</v>
      </c>
      <c r="E2251">
        <v>2555</v>
      </c>
    </row>
    <row r="2252" spans="1:5" x14ac:dyDescent="0.55000000000000004">
      <c r="A2252" t="s">
        <v>2333</v>
      </c>
      <c r="B2252" t="s">
        <v>137</v>
      </c>
      <c r="C2252" s="2">
        <v>44551</v>
      </c>
      <c r="D2252" t="s">
        <v>29</v>
      </c>
      <c r="E2252">
        <v>766</v>
      </c>
    </row>
    <row r="2253" spans="1:5" x14ac:dyDescent="0.55000000000000004">
      <c r="A2253" t="s">
        <v>2334</v>
      </c>
      <c r="B2253" t="s">
        <v>151</v>
      </c>
      <c r="C2253" s="2">
        <v>43296</v>
      </c>
      <c r="D2253" t="s">
        <v>26</v>
      </c>
      <c r="E2253">
        <v>2474</v>
      </c>
    </row>
    <row r="2254" spans="1:5" x14ac:dyDescent="0.55000000000000004">
      <c r="A2254" t="s">
        <v>2335</v>
      </c>
      <c r="B2254" t="s">
        <v>84</v>
      </c>
      <c r="C2254" s="2">
        <v>44296</v>
      </c>
      <c r="D2254" t="s">
        <v>26</v>
      </c>
      <c r="E2254">
        <v>1776</v>
      </c>
    </row>
    <row r="2255" spans="1:5" x14ac:dyDescent="0.55000000000000004">
      <c r="A2255" t="s">
        <v>2336</v>
      </c>
      <c r="B2255" t="s">
        <v>99</v>
      </c>
      <c r="C2255" s="2">
        <v>43539</v>
      </c>
      <c r="D2255" t="s">
        <v>26</v>
      </c>
      <c r="E2255">
        <v>1617</v>
      </c>
    </row>
    <row r="2256" spans="1:5" x14ac:dyDescent="0.55000000000000004">
      <c r="A2256" t="s">
        <v>2337</v>
      </c>
      <c r="B2256" t="s">
        <v>115</v>
      </c>
      <c r="C2256" s="2">
        <v>42944</v>
      </c>
      <c r="D2256" t="s">
        <v>26</v>
      </c>
      <c r="E2256">
        <v>2686</v>
      </c>
    </row>
    <row r="2257" spans="1:5" x14ac:dyDescent="0.55000000000000004">
      <c r="A2257" t="s">
        <v>2338</v>
      </c>
      <c r="B2257" t="s">
        <v>96</v>
      </c>
      <c r="C2257" s="2">
        <v>45350</v>
      </c>
      <c r="D2257" t="s">
        <v>29</v>
      </c>
      <c r="E2257">
        <v>2694</v>
      </c>
    </row>
    <row r="2258" spans="1:5" x14ac:dyDescent="0.55000000000000004">
      <c r="A2258" t="s">
        <v>2339</v>
      </c>
      <c r="B2258" t="s">
        <v>78</v>
      </c>
      <c r="C2258" s="2">
        <v>45459</v>
      </c>
      <c r="D2258" t="s">
        <v>29</v>
      </c>
      <c r="E2258">
        <v>2533</v>
      </c>
    </row>
    <row r="2259" spans="1:5" x14ac:dyDescent="0.55000000000000004">
      <c r="A2259" t="s">
        <v>2340</v>
      </c>
      <c r="B2259" t="s">
        <v>175</v>
      </c>
      <c r="C2259" s="2">
        <v>44943</v>
      </c>
      <c r="D2259" t="s">
        <v>29</v>
      </c>
      <c r="E2259">
        <v>1239</v>
      </c>
    </row>
    <row r="2260" spans="1:5" x14ac:dyDescent="0.55000000000000004">
      <c r="A2260" t="s">
        <v>2341</v>
      </c>
      <c r="B2260" t="s">
        <v>74</v>
      </c>
      <c r="C2260" s="2">
        <v>43173</v>
      </c>
      <c r="D2260" t="s">
        <v>26</v>
      </c>
      <c r="E2260">
        <v>56</v>
      </c>
    </row>
    <row r="2261" spans="1:5" x14ac:dyDescent="0.55000000000000004">
      <c r="A2261" t="s">
        <v>2342</v>
      </c>
      <c r="B2261" t="s">
        <v>151</v>
      </c>
      <c r="C2261" s="2">
        <v>43146</v>
      </c>
      <c r="D2261" t="s">
        <v>26</v>
      </c>
      <c r="E2261">
        <v>2850</v>
      </c>
    </row>
    <row r="2262" spans="1:5" x14ac:dyDescent="0.55000000000000004">
      <c r="A2262" t="s">
        <v>2343</v>
      </c>
      <c r="B2262" t="s">
        <v>151</v>
      </c>
      <c r="C2262" s="2">
        <v>42971</v>
      </c>
      <c r="D2262" t="s">
        <v>26</v>
      </c>
      <c r="E2262">
        <v>1970</v>
      </c>
    </row>
    <row r="2263" spans="1:5" x14ac:dyDescent="0.55000000000000004">
      <c r="A2263" t="s">
        <v>2344</v>
      </c>
      <c r="B2263" t="s">
        <v>35</v>
      </c>
      <c r="C2263" s="2">
        <v>44128</v>
      </c>
      <c r="D2263" t="s">
        <v>26</v>
      </c>
      <c r="E2263">
        <v>1784</v>
      </c>
    </row>
    <row r="2264" spans="1:5" x14ac:dyDescent="0.55000000000000004">
      <c r="A2264" t="s">
        <v>2345</v>
      </c>
      <c r="B2264" t="s">
        <v>175</v>
      </c>
      <c r="C2264" s="2">
        <v>45672</v>
      </c>
      <c r="D2264" t="s">
        <v>26</v>
      </c>
      <c r="E2264">
        <v>352</v>
      </c>
    </row>
    <row r="2265" spans="1:5" x14ac:dyDescent="0.55000000000000004">
      <c r="A2265" t="s">
        <v>2346</v>
      </c>
      <c r="B2265" t="s">
        <v>156</v>
      </c>
      <c r="C2265" s="2">
        <v>44493</v>
      </c>
      <c r="D2265" t="s">
        <v>29</v>
      </c>
      <c r="E2265">
        <v>606</v>
      </c>
    </row>
    <row r="2266" spans="1:5" x14ac:dyDescent="0.55000000000000004">
      <c r="A2266" t="s">
        <v>2347</v>
      </c>
      <c r="B2266" t="s">
        <v>96</v>
      </c>
      <c r="C2266" s="2">
        <v>45194</v>
      </c>
      <c r="D2266" t="s">
        <v>26</v>
      </c>
      <c r="E2266">
        <v>477</v>
      </c>
    </row>
    <row r="2267" spans="1:5" x14ac:dyDescent="0.55000000000000004">
      <c r="A2267" t="s">
        <v>2348</v>
      </c>
      <c r="B2267" t="s">
        <v>105</v>
      </c>
      <c r="C2267" s="2">
        <v>43229</v>
      </c>
      <c r="D2267" t="s">
        <v>29</v>
      </c>
      <c r="E2267">
        <v>1986</v>
      </c>
    </row>
    <row r="2268" spans="1:5" x14ac:dyDescent="0.55000000000000004">
      <c r="A2268" t="s">
        <v>2349</v>
      </c>
      <c r="B2268" t="s">
        <v>96</v>
      </c>
      <c r="C2268" s="2">
        <v>43546</v>
      </c>
      <c r="D2268" t="s">
        <v>29</v>
      </c>
      <c r="E2268">
        <v>2397</v>
      </c>
    </row>
    <row r="2269" spans="1:5" x14ac:dyDescent="0.55000000000000004">
      <c r="A2269" t="s">
        <v>2350</v>
      </c>
      <c r="B2269" t="s">
        <v>63</v>
      </c>
      <c r="C2269" s="2">
        <v>43329</v>
      </c>
      <c r="D2269" t="s">
        <v>29</v>
      </c>
      <c r="E2269">
        <v>2332</v>
      </c>
    </row>
    <row r="2270" spans="1:5" x14ac:dyDescent="0.55000000000000004">
      <c r="A2270" t="s">
        <v>2351</v>
      </c>
      <c r="B2270" t="s">
        <v>175</v>
      </c>
      <c r="C2270" s="2">
        <v>45070</v>
      </c>
      <c r="D2270" t="s">
        <v>26</v>
      </c>
      <c r="E2270">
        <v>1367</v>
      </c>
    </row>
    <row r="2271" spans="1:5" x14ac:dyDescent="0.55000000000000004">
      <c r="A2271" t="s">
        <v>2352</v>
      </c>
      <c r="B2271" t="s">
        <v>14</v>
      </c>
      <c r="C2271" s="2">
        <v>43127</v>
      </c>
      <c r="D2271" t="s">
        <v>29</v>
      </c>
      <c r="E2271">
        <v>1702</v>
      </c>
    </row>
    <row r="2272" spans="1:5" x14ac:dyDescent="0.55000000000000004">
      <c r="A2272" t="s">
        <v>2353</v>
      </c>
      <c r="B2272" t="s">
        <v>76</v>
      </c>
      <c r="C2272" s="2">
        <v>45496</v>
      </c>
      <c r="D2272" t="s">
        <v>29</v>
      </c>
      <c r="E2272">
        <v>151</v>
      </c>
    </row>
    <row r="2273" spans="1:5" x14ac:dyDescent="0.55000000000000004">
      <c r="A2273" t="s">
        <v>2354</v>
      </c>
      <c r="B2273" t="s">
        <v>96</v>
      </c>
      <c r="C2273" s="2">
        <v>45103</v>
      </c>
      <c r="D2273" t="s">
        <v>29</v>
      </c>
      <c r="E2273">
        <v>2102</v>
      </c>
    </row>
    <row r="2274" spans="1:5" x14ac:dyDescent="0.55000000000000004">
      <c r="A2274" t="s">
        <v>2355</v>
      </c>
      <c r="B2274" t="s">
        <v>23</v>
      </c>
      <c r="C2274" s="2">
        <v>44830</v>
      </c>
      <c r="D2274" t="s">
        <v>26</v>
      </c>
      <c r="E2274">
        <v>2925</v>
      </c>
    </row>
    <row r="2275" spans="1:5" x14ac:dyDescent="0.55000000000000004">
      <c r="A2275" t="s">
        <v>2356</v>
      </c>
      <c r="B2275" t="s">
        <v>142</v>
      </c>
      <c r="C2275" s="2">
        <v>43998</v>
      </c>
      <c r="D2275" t="s">
        <v>26</v>
      </c>
      <c r="E2275">
        <v>1728</v>
      </c>
    </row>
    <row r="2276" spans="1:5" x14ac:dyDescent="0.55000000000000004">
      <c r="A2276" t="s">
        <v>2357</v>
      </c>
      <c r="B2276" t="s">
        <v>23</v>
      </c>
      <c r="C2276" s="2">
        <v>44477</v>
      </c>
      <c r="D2276" t="s">
        <v>26</v>
      </c>
      <c r="E2276">
        <v>1097</v>
      </c>
    </row>
    <row r="2277" spans="1:5" x14ac:dyDescent="0.55000000000000004">
      <c r="A2277" t="s">
        <v>2358</v>
      </c>
      <c r="B2277" t="s">
        <v>94</v>
      </c>
      <c r="C2277" s="2">
        <v>45174</v>
      </c>
      <c r="D2277" t="s">
        <v>29</v>
      </c>
      <c r="E2277">
        <v>478</v>
      </c>
    </row>
    <row r="2278" spans="1:5" x14ac:dyDescent="0.55000000000000004">
      <c r="A2278" t="s">
        <v>2359</v>
      </c>
      <c r="B2278" t="s">
        <v>96</v>
      </c>
      <c r="C2278" s="2">
        <v>44886</v>
      </c>
      <c r="D2278" t="s">
        <v>29</v>
      </c>
      <c r="E2278">
        <v>2857</v>
      </c>
    </row>
    <row r="2279" spans="1:5" x14ac:dyDescent="0.55000000000000004">
      <c r="A2279" t="s">
        <v>2360</v>
      </c>
      <c r="B2279" t="s">
        <v>140</v>
      </c>
      <c r="C2279" s="2">
        <v>42959</v>
      </c>
      <c r="D2279" t="s">
        <v>26</v>
      </c>
      <c r="E2279">
        <v>1179</v>
      </c>
    </row>
    <row r="2280" spans="1:5" x14ac:dyDescent="0.55000000000000004">
      <c r="A2280" t="s">
        <v>2361</v>
      </c>
      <c r="B2280" t="s">
        <v>78</v>
      </c>
      <c r="C2280" s="2">
        <v>44253</v>
      </c>
      <c r="D2280" t="s">
        <v>29</v>
      </c>
      <c r="E2280">
        <v>1408</v>
      </c>
    </row>
    <row r="2281" spans="1:5" x14ac:dyDescent="0.55000000000000004">
      <c r="A2281" t="s">
        <v>2362</v>
      </c>
      <c r="B2281" t="s">
        <v>15</v>
      </c>
      <c r="C2281" s="2">
        <v>43392</v>
      </c>
      <c r="D2281" t="s">
        <v>26</v>
      </c>
      <c r="E2281">
        <v>2407</v>
      </c>
    </row>
    <row r="2282" spans="1:5" x14ac:dyDescent="0.55000000000000004">
      <c r="A2282" t="s">
        <v>2363</v>
      </c>
      <c r="B2282" t="s">
        <v>38</v>
      </c>
      <c r="C2282" s="2">
        <v>44525</v>
      </c>
      <c r="D2282" t="s">
        <v>29</v>
      </c>
      <c r="E2282">
        <v>537</v>
      </c>
    </row>
    <row r="2283" spans="1:5" x14ac:dyDescent="0.55000000000000004">
      <c r="A2283" t="s">
        <v>2364</v>
      </c>
      <c r="B2283" t="s">
        <v>94</v>
      </c>
      <c r="C2283" s="2">
        <v>44667</v>
      </c>
      <c r="D2283" t="s">
        <v>29</v>
      </c>
      <c r="E2283">
        <v>1707</v>
      </c>
    </row>
    <row r="2284" spans="1:5" x14ac:dyDescent="0.55000000000000004">
      <c r="A2284" t="s">
        <v>2365</v>
      </c>
      <c r="B2284" t="s">
        <v>175</v>
      </c>
      <c r="C2284" s="2">
        <v>44941</v>
      </c>
      <c r="D2284" t="s">
        <v>29</v>
      </c>
      <c r="E2284">
        <v>663</v>
      </c>
    </row>
    <row r="2285" spans="1:5" x14ac:dyDescent="0.55000000000000004">
      <c r="A2285" t="s">
        <v>2366</v>
      </c>
      <c r="B2285" t="s">
        <v>32</v>
      </c>
      <c r="C2285" s="2">
        <v>44255</v>
      </c>
      <c r="D2285" t="s">
        <v>29</v>
      </c>
      <c r="E2285">
        <v>2829</v>
      </c>
    </row>
    <row r="2286" spans="1:5" x14ac:dyDescent="0.55000000000000004">
      <c r="A2286" t="s">
        <v>2367</v>
      </c>
      <c r="B2286" t="s">
        <v>78</v>
      </c>
      <c r="C2286" s="2">
        <v>43819</v>
      </c>
      <c r="D2286" t="s">
        <v>29</v>
      </c>
      <c r="E2286">
        <v>528</v>
      </c>
    </row>
    <row r="2287" spans="1:5" x14ac:dyDescent="0.55000000000000004">
      <c r="A2287" t="s">
        <v>2368</v>
      </c>
      <c r="B2287" t="s">
        <v>105</v>
      </c>
      <c r="C2287" s="2">
        <v>43325</v>
      </c>
      <c r="D2287" t="s">
        <v>26</v>
      </c>
      <c r="E2287">
        <v>2481</v>
      </c>
    </row>
    <row r="2288" spans="1:5" x14ac:dyDescent="0.55000000000000004">
      <c r="A2288" t="s">
        <v>2369</v>
      </c>
      <c r="B2288" t="s">
        <v>96</v>
      </c>
      <c r="C2288" s="2">
        <v>43879</v>
      </c>
      <c r="D2288" t="s">
        <v>29</v>
      </c>
      <c r="E2288">
        <v>2022</v>
      </c>
    </row>
    <row r="2289" spans="1:5" x14ac:dyDescent="0.55000000000000004">
      <c r="A2289" t="s">
        <v>2370</v>
      </c>
      <c r="B2289" t="s">
        <v>156</v>
      </c>
      <c r="C2289" s="2">
        <v>43397</v>
      </c>
      <c r="D2289" t="s">
        <v>26</v>
      </c>
      <c r="E2289">
        <v>2280</v>
      </c>
    </row>
    <row r="2290" spans="1:5" x14ac:dyDescent="0.55000000000000004">
      <c r="A2290" t="s">
        <v>2371</v>
      </c>
      <c r="B2290" t="s">
        <v>142</v>
      </c>
      <c r="C2290" s="2">
        <v>42954</v>
      </c>
      <c r="D2290" t="s">
        <v>29</v>
      </c>
      <c r="E2290">
        <v>1068</v>
      </c>
    </row>
    <row r="2291" spans="1:5" x14ac:dyDescent="0.55000000000000004">
      <c r="A2291" t="s">
        <v>2372</v>
      </c>
      <c r="B2291" t="s">
        <v>86</v>
      </c>
      <c r="C2291" s="2">
        <v>44303</v>
      </c>
      <c r="D2291" t="s">
        <v>26</v>
      </c>
      <c r="E2291">
        <v>715</v>
      </c>
    </row>
    <row r="2292" spans="1:5" x14ac:dyDescent="0.55000000000000004">
      <c r="A2292" t="s">
        <v>2373</v>
      </c>
      <c r="B2292" t="s">
        <v>175</v>
      </c>
      <c r="C2292" s="2">
        <v>45528</v>
      </c>
      <c r="D2292" t="s">
        <v>26</v>
      </c>
      <c r="E2292">
        <v>260</v>
      </c>
    </row>
    <row r="2293" spans="1:5" x14ac:dyDescent="0.55000000000000004">
      <c r="A2293" t="s">
        <v>2374</v>
      </c>
      <c r="B2293" t="s">
        <v>111</v>
      </c>
      <c r="C2293" s="2">
        <v>43798</v>
      </c>
      <c r="D2293" t="s">
        <v>26</v>
      </c>
      <c r="E2293">
        <v>2529</v>
      </c>
    </row>
    <row r="2294" spans="1:5" x14ac:dyDescent="0.55000000000000004">
      <c r="A2294" t="s">
        <v>2375</v>
      </c>
      <c r="B2294" t="s">
        <v>63</v>
      </c>
      <c r="C2294" s="2">
        <v>43164</v>
      </c>
      <c r="D2294" t="s">
        <v>26</v>
      </c>
      <c r="E2294">
        <v>1992</v>
      </c>
    </row>
    <row r="2295" spans="1:5" x14ac:dyDescent="0.55000000000000004">
      <c r="A2295" t="s">
        <v>2376</v>
      </c>
      <c r="B2295" t="s">
        <v>84</v>
      </c>
      <c r="C2295" s="2">
        <v>43613</v>
      </c>
      <c r="D2295" t="s">
        <v>29</v>
      </c>
      <c r="E2295">
        <v>191</v>
      </c>
    </row>
    <row r="2296" spans="1:5" x14ac:dyDescent="0.55000000000000004">
      <c r="A2296" t="s">
        <v>2377</v>
      </c>
      <c r="B2296" t="s">
        <v>118</v>
      </c>
      <c r="C2296" s="2">
        <v>45747</v>
      </c>
      <c r="D2296" t="s">
        <v>29</v>
      </c>
      <c r="E2296">
        <v>619</v>
      </c>
    </row>
    <row r="2297" spans="1:5" x14ac:dyDescent="0.55000000000000004">
      <c r="A2297" t="s">
        <v>2378</v>
      </c>
      <c r="B2297" t="s">
        <v>76</v>
      </c>
      <c r="C2297" s="2">
        <v>45577</v>
      </c>
      <c r="D2297" t="s">
        <v>26</v>
      </c>
      <c r="E2297">
        <v>2893</v>
      </c>
    </row>
    <row r="2298" spans="1:5" x14ac:dyDescent="0.55000000000000004">
      <c r="A2298" t="s">
        <v>2379</v>
      </c>
      <c r="B2298" t="s">
        <v>142</v>
      </c>
      <c r="C2298" s="2">
        <v>43813</v>
      </c>
      <c r="D2298" t="s">
        <v>29</v>
      </c>
      <c r="E2298">
        <v>454</v>
      </c>
    </row>
    <row r="2299" spans="1:5" x14ac:dyDescent="0.55000000000000004">
      <c r="A2299" t="s">
        <v>2380</v>
      </c>
      <c r="B2299" t="s">
        <v>115</v>
      </c>
      <c r="C2299" s="2">
        <v>44517</v>
      </c>
      <c r="D2299" t="s">
        <v>26</v>
      </c>
      <c r="E2299">
        <v>2303</v>
      </c>
    </row>
    <row r="2300" spans="1:5" x14ac:dyDescent="0.55000000000000004">
      <c r="A2300" t="s">
        <v>2381</v>
      </c>
      <c r="B2300" t="s">
        <v>142</v>
      </c>
      <c r="C2300" s="2">
        <v>43955</v>
      </c>
      <c r="D2300" t="s">
        <v>26</v>
      </c>
      <c r="E2300">
        <v>684</v>
      </c>
    </row>
    <row r="2301" spans="1:5" x14ac:dyDescent="0.55000000000000004">
      <c r="A2301" t="s">
        <v>2382</v>
      </c>
      <c r="B2301" t="s">
        <v>35</v>
      </c>
      <c r="C2301" s="2">
        <v>44072</v>
      </c>
      <c r="D2301" t="s">
        <v>26</v>
      </c>
      <c r="E2301">
        <v>1481</v>
      </c>
    </row>
    <row r="2302" spans="1:5" x14ac:dyDescent="0.55000000000000004">
      <c r="A2302" t="s">
        <v>2383</v>
      </c>
      <c r="B2302" t="s">
        <v>105</v>
      </c>
      <c r="C2302" s="2">
        <v>44408</v>
      </c>
      <c r="D2302" t="s">
        <v>29</v>
      </c>
      <c r="E2302">
        <v>2900</v>
      </c>
    </row>
    <row r="2303" spans="1:5" x14ac:dyDescent="0.55000000000000004">
      <c r="A2303" t="s">
        <v>2384</v>
      </c>
      <c r="B2303" t="s">
        <v>15</v>
      </c>
      <c r="C2303" s="2">
        <v>44477</v>
      </c>
      <c r="D2303" t="s">
        <v>29</v>
      </c>
      <c r="E2303">
        <v>3000</v>
      </c>
    </row>
    <row r="2304" spans="1:5" x14ac:dyDescent="0.55000000000000004">
      <c r="A2304" t="s">
        <v>2385</v>
      </c>
      <c r="B2304" t="s">
        <v>76</v>
      </c>
      <c r="C2304" s="2">
        <v>43872</v>
      </c>
      <c r="D2304" t="s">
        <v>26</v>
      </c>
      <c r="E2304">
        <v>2650</v>
      </c>
    </row>
    <row r="2305" spans="1:5" x14ac:dyDescent="0.55000000000000004">
      <c r="A2305" t="s">
        <v>2386</v>
      </c>
      <c r="B2305" t="s">
        <v>86</v>
      </c>
      <c r="C2305" s="2">
        <v>43602</v>
      </c>
      <c r="D2305" t="s">
        <v>26</v>
      </c>
      <c r="E2305">
        <v>503</v>
      </c>
    </row>
    <row r="2306" spans="1:5" x14ac:dyDescent="0.55000000000000004">
      <c r="A2306" t="s">
        <v>2387</v>
      </c>
      <c r="B2306" t="s">
        <v>76</v>
      </c>
      <c r="C2306" s="2">
        <v>44292</v>
      </c>
      <c r="D2306" t="s">
        <v>29</v>
      </c>
      <c r="E2306">
        <v>1702</v>
      </c>
    </row>
    <row r="2307" spans="1:5" x14ac:dyDescent="0.55000000000000004">
      <c r="A2307" t="s">
        <v>2388</v>
      </c>
      <c r="B2307" t="s">
        <v>118</v>
      </c>
      <c r="C2307" s="2">
        <v>43492</v>
      </c>
      <c r="D2307" t="s">
        <v>26</v>
      </c>
      <c r="E2307">
        <v>1940</v>
      </c>
    </row>
    <row r="2308" spans="1:5" x14ac:dyDescent="0.55000000000000004">
      <c r="A2308" t="s">
        <v>2389</v>
      </c>
      <c r="B2308" t="s">
        <v>111</v>
      </c>
      <c r="C2308" s="2">
        <v>43504</v>
      </c>
      <c r="D2308" t="s">
        <v>26</v>
      </c>
      <c r="E2308">
        <v>349</v>
      </c>
    </row>
    <row r="2309" spans="1:5" x14ac:dyDescent="0.55000000000000004">
      <c r="A2309" t="s">
        <v>2390</v>
      </c>
      <c r="B2309" t="s">
        <v>84</v>
      </c>
      <c r="C2309" s="2">
        <v>43679</v>
      </c>
      <c r="D2309" t="s">
        <v>29</v>
      </c>
      <c r="E2309">
        <v>1477</v>
      </c>
    </row>
    <row r="2310" spans="1:5" x14ac:dyDescent="0.55000000000000004">
      <c r="A2310" t="s">
        <v>2391</v>
      </c>
      <c r="B2310" t="s">
        <v>35</v>
      </c>
      <c r="C2310" s="2">
        <v>44333</v>
      </c>
      <c r="D2310" t="s">
        <v>26</v>
      </c>
      <c r="E2310">
        <v>2169</v>
      </c>
    </row>
    <row r="2311" spans="1:5" x14ac:dyDescent="0.55000000000000004">
      <c r="A2311" t="s">
        <v>2392</v>
      </c>
      <c r="B2311" t="s">
        <v>140</v>
      </c>
      <c r="C2311" s="2">
        <v>44529</v>
      </c>
      <c r="D2311" t="s">
        <v>26</v>
      </c>
      <c r="E2311">
        <v>565</v>
      </c>
    </row>
    <row r="2312" spans="1:5" x14ac:dyDescent="0.55000000000000004">
      <c r="A2312" t="s">
        <v>2393</v>
      </c>
      <c r="B2312" t="s">
        <v>137</v>
      </c>
      <c r="C2312" s="2">
        <v>45222</v>
      </c>
      <c r="D2312" t="s">
        <v>29</v>
      </c>
      <c r="E2312">
        <v>1676</v>
      </c>
    </row>
    <row r="2313" spans="1:5" x14ac:dyDescent="0.55000000000000004">
      <c r="A2313" t="s">
        <v>2394</v>
      </c>
      <c r="B2313" t="s">
        <v>94</v>
      </c>
      <c r="C2313" s="2">
        <v>45345</v>
      </c>
      <c r="D2313" t="s">
        <v>29</v>
      </c>
      <c r="E2313">
        <v>121</v>
      </c>
    </row>
    <row r="2314" spans="1:5" x14ac:dyDescent="0.55000000000000004">
      <c r="A2314" t="s">
        <v>2395</v>
      </c>
      <c r="B2314" t="s">
        <v>15</v>
      </c>
      <c r="C2314" s="2">
        <v>43215</v>
      </c>
      <c r="D2314" t="s">
        <v>26</v>
      </c>
      <c r="E2314">
        <v>2939</v>
      </c>
    </row>
    <row r="2315" spans="1:5" x14ac:dyDescent="0.55000000000000004">
      <c r="A2315" t="s">
        <v>2396</v>
      </c>
      <c r="B2315" t="s">
        <v>137</v>
      </c>
      <c r="C2315" s="2">
        <v>45585</v>
      </c>
      <c r="D2315" t="s">
        <v>26</v>
      </c>
      <c r="E2315">
        <v>347</v>
      </c>
    </row>
    <row r="2316" spans="1:5" x14ac:dyDescent="0.55000000000000004">
      <c r="A2316" t="s">
        <v>2397</v>
      </c>
      <c r="B2316" t="s">
        <v>111</v>
      </c>
      <c r="C2316" s="2">
        <v>43561</v>
      </c>
      <c r="D2316" t="s">
        <v>29</v>
      </c>
      <c r="E2316">
        <v>673</v>
      </c>
    </row>
    <row r="2317" spans="1:5" x14ac:dyDescent="0.55000000000000004">
      <c r="A2317" t="s">
        <v>2398</v>
      </c>
      <c r="B2317" t="s">
        <v>140</v>
      </c>
      <c r="C2317" s="2">
        <v>43042</v>
      </c>
      <c r="D2317" t="s">
        <v>29</v>
      </c>
      <c r="E2317">
        <v>151</v>
      </c>
    </row>
    <row r="2318" spans="1:5" x14ac:dyDescent="0.55000000000000004">
      <c r="A2318" t="s">
        <v>2399</v>
      </c>
      <c r="B2318" t="s">
        <v>38</v>
      </c>
      <c r="C2318" s="2">
        <v>44140</v>
      </c>
      <c r="D2318" t="s">
        <v>26</v>
      </c>
      <c r="E2318">
        <v>2587</v>
      </c>
    </row>
    <row r="2319" spans="1:5" x14ac:dyDescent="0.55000000000000004">
      <c r="A2319" t="s">
        <v>2400</v>
      </c>
      <c r="B2319" t="s">
        <v>41</v>
      </c>
      <c r="C2319" s="2">
        <v>44895</v>
      </c>
      <c r="D2319" t="s">
        <v>29</v>
      </c>
      <c r="E2319">
        <v>1717</v>
      </c>
    </row>
    <row r="2320" spans="1:5" x14ac:dyDescent="0.55000000000000004">
      <c r="A2320" t="s">
        <v>2401</v>
      </c>
      <c r="B2320" t="s">
        <v>101</v>
      </c>
      <c r="C2320" s="2">
        <v>44311</v>
      </c>
      <c r="D2320" t="s">
        <v>29</v>
      </c>
      <c r="E2320">
        <v>2955</v>
      </c>
    </row>
    <row r="2321" spans="1:5" x14ac:dyDescent="0.55000000000000004">
      <c r="A2321" t="s">
        <v>2402</v>
      </c>
      <c r="B2321" t="s">
        <v>78</v>
      </c>
      <c r="C2321" s="2">
        <v>44750</v>
      </c>
      <c r="D2321" t="s">
        <v>29</v>
      </c>
      <c r="E2321">
        <v>32</v>
      </c>
    </row>
    <row r="2322" spans="1:5" x14ac:dyDescent="0.55000000000000004">
      <c r="A2322" t="s">
        <v>2403</v>
      </c>
      <c r="B2322" t="s">
        <v>175</v>
      </c>
      <c r="C2322" s="2">
        <v>44611</v>
      </c>
      <c r="D2322" t="s">
        <v>26</v>
      </c>
      <c r="E2322">
        <v>2868</v>
      </c>
    </row>
    <row r="2323" spans="1:5" x14ac:dyDescent="0.55000000000000004">
      <c r="A2323" t="s">
        <v>2404</v>
      </c>
      <c r="B2323" t="s">
        <v>101</v>
      </c>
      <c r="C2323" s="2">
        <v>43830</v>
      </c>
      <c r="D2323" t="s">
        <v>26</v>
      </c>
      <c r="E2323">
        <v>2229</v>
      </c>
    </row>
    <row r="2324" spans="1:5" x14ac:dyDescent="0.55000000000000004">
      <c r="A2324" t="s">
        <v>2405</v>
      </c>
      <c r="B2324" t="s">
        <v>32</v>
      </c>
      <c r="C2324" s="2">
        <v>44736</v>
      </c>
      <c r="D2324" t="s">
        <v>29</v>
      </c>
      <c r="E2324">
        <v>2657</v>
      </c>
    </row>
    <row r="2325" spans="1:5" x14ac:dyDescent="0.55000000000000004">
      <c r="A2325" t="s">
        <v>2406</v>
      </c>
      <c r="B2325" t="s">
        <v>101</v>
      </c>
      <c r="C2325" s="2">
        <v>44505</v>
      </c>
      <c r="D2325" t="s">
        <v>26</v>
      </c>
      <c r="E2325">
        <v>1235</v>
      </c>
    </row>
    <row r="2326" spans="1:5" x14ac:dyDescent="0.55000000000000004">
      <c r="A2326" t="s">
        <v>2407</v>
      </c>
      <c r="B2326" t="s">
        <v>74</v>
      </c>
      <c r="C2326" s="2">
        <v>42992</v>
      </c>
      <c r="D2326" t="s">
        <v>29</v>
      </c>
      <c r="E2326">
        <v>1597</v>
      </c>
    </row>
    <row r="2327" spans="1:5" x14ac:dyDescent="0.55000000000000004">
      <c r="A2327" t="s">
        <v>2408</v>
      </c>
      <c r="B2327" t="s">
        <v>78</v>
      </c>
      <c r="C2327" s="2">
        <v>43982</v>
      </c>
      <c r="D2327" t="s">
        <v>29</v>
      </c>
      <c r="E2327">
        <v>875</v>
      </c>
    </row>
    <row r="2328" spans="1:5" x14ac:dyDescent="0.55000000000000004">
      <c r="A2328" t="s">
        <v>2409</v>
      </c>
      <c r="B2328" t="s">
        <v>74</v>
      </c>
      <c r="C2328" s="2">
        <v>43964</v>
      </c>
      <c r="D2328" t="s">
        <v>29</v>
      </c>
      <c r="E2328">
        <v>2135</v>
      </c>
    </row>
    <row r="2329" spans="1:5" x14ac:dyDescent="0.55000000000000004">
      <c r="A2329" t="s">
        <v>2410</v>
      </c>
      <c r="B2329" t="s">
        <v>111</v>
      </c>
      <c r="C2329" s="2">
        <v>44467</v>
      </c>
      <c r="D2329" t="s">
        <v>26</v>
      </c>
      <c r="E2329">
        <v>95</v>
      </c>
    </row>
    <row r="2330" spans="1:5" x14ac:dyDescent="0.55000000000000004">
      <c r="A2330" t="s">
        <v>2411</v>
      </c>
      <c r="B2330" t="s">
        <v>14</v>
      </c>
      <c r="C2330" s="2">
        <v>44548</v>
      </c>
      <c r="D2330" t="s">
        <v>29</v>
      </c>
      <c r="E2330">
        <v>988</v>
      </c>
    </row>
    <row r="2331" spans="1:5" x14ac:dyDescent="0.55000000000000004">
      <c r="A2331" t="s">
        <v>2412</v>
      </c>
      <c r="B2331" t="s">
        <v>175</v>
      </c>
      <c r="C2331" s="2">
        <v>44710</v>
      </c>
      <c r="D2331" t="s">
        <v>29</v>
      </c>
      <c r="E2331">
        <v>2069</v>
      </c>
    </row>
    <row r="2332" spans="1:5" x14ac:dyDescent="0.55000000000000004">
      <c r="A2332" t="s">
        <v>2413</v>
      </c>
      <c r="B2332" t="s">
        <v>115</v>
      </c>
      <c r="C2332" s="2">
        <v>44416</v>
      </c>
      <c r="D2332" t="s">
        <v>26</v>
      </c>
      <c r="E2332">
        <v>1527</v>
      </c>
    </row>
    <row r="2333" spans="1:5" x14ac:dyDescent="0.55000000000000004">
      <c r="A2333" t="s">
        <v>2414</v>
      </c>
      <c r="B2333" t="s">
        <v>84</v>
      </c>
      <c r="C2333" s="2">
        <v>44201</v>
      </c>
      <c r="D2333" t="s">
        <v>29</v>
      </c>
      <c r="E2333">
        <v>507</v>
      </c>
    </row>
    <row r="2334" spans="1:5" x14ac:dyDescent="0.55000000000000004">
      <c r="A2334" t="s">
        <v>2415</v>
      </c>
      <c r="B2334" t="s">
        <v>142</v>
      </c>
      <c r="C2334" s="2">
        <v>44466</v>
      </c>
      <c r="D2334" t="s">
        <v>26</v>
      </c>
      <c r="E2334">
        <v>1838</v>
      </c>
    </row>
    <row r="2335" spans="1:5" x14ac:dyDescent="0.55000000000000004">
      <c r="A2335" t="s">
        <v>2416</v>
      </c>
      <c r="B2335" t="s">
        <v>156</v>
      </c>
      <c r="C2335" s="2">
        <v>44089</v>
      </c>
      <c r="D2335" t="s">
        <v>26</v>
      </c>
      <c r="E2335">
        <v>1856</v>
      </c>
    </row>
    <row r="2336" spans="1:5" x14ac:dyDescent="0.55000000000000004">
      <c r="A2336" t="s">
        <v>2417</v>
      </c>
      <c r="B2336" t="s">
        <v>111</v>
      </c>
      <c r="C2336" s="2">
        <v>43400</v>
      </c>
      <c r="D2336" t="s">
        <v>26</v>
      </c>
      <c r="E2336">
        <v>1434</v>
      </c>
    </row>
    <row r="2337" spans="1:5" x14ac:dyDescent="0.55000000000000004">
      <c r="A2337" t="s">
        <v>2418</v>
      </c>
      <c r="B2337" t="s">
        <v>156</v>
      </c>
      <c r="C2337" s="2">
        <v>43499</v>
      </c>
      <c r="D2337" t="s">
        <v>26</v>
      </c>
      <c r="E2337">
        <v>2925</v>
      </c>
    </row>
    <row r="2338" spans="1:5" x14ac:dyDescent="0.55000000000000004">
      <c r="A2338" t="s">
        <v>2419</v>
      </c>
      <c r="B2338" t="s">
        <v>101</v>
      </c>
      <c r="C2338" s="2">
        <v>43981</v>
      </c>
      <c r="D2338" t="s">
        <v>26</v>
      </c>
      <c r="E2338">
        <v>431</v>
      </c>
    </row>
    <row r="2339" spans="1:5" x14ac:dyDescent="0.55000000000000004">
      <c r="A2339" t="s">
        <v>2420</v>
      </c>
      <c r="B2339" t="s">
        <v>111</v>
      </c>
      <c r="C2339" s="2">
        <v>43974</v>
      </c>
      <c r="D2339" t="s">
        <v>26</v>
      </c>
      <c r="E2339">
        <v>1479</v>
      </c>
    </row>
    <row r="2340" spans="1:5" x14ac:dyDescent="0.55000000000000004">
      <c r="A2340" t="s">
        <v>2421</v>
      </c>
      <c r="B2340" t="s">
        <v>15</v>
      </c>
      <c r="C2340" s="2">
        <v>43117</v>
      </c>
      <c r="D2340" t="s">
        <v>26</v>
      </c>
      <c r="E2340">
        <v>2914</v>
      </c>
    </row>
    <row r="2341" spans="1:5" x14ac:dyDescent="0.55000000000000004">
      <c r="A2341" t="s">
        <v>2422</v>
      </c>
      <c r="B2341" t="s">
        <v>140</v>
      </c>
      <c r="C2341" s="2">
        <v>43760</v>
      </c>
      <c r="D2341" t="s">
        <v>26</v>
      </c>
      <c r="E2341">
        <v>377</v>
      </c>
    </row>
    <row r="2342" spans="1:5" x14ac:dyDescent="0.55000000000000004">
      <c r="A2342" t="s">
        <v>2423</v>
      </c>
      <c r="B2342" t="s">
        <v>142</v>
      </c>
      <c r="C2342" s="2">
        <v>43787</v>
      </c>
      <c r="D2342" t="s">
        <v>26</v>
      </c>
      <c r="E2342">
        <v>1950</v>
      </c>
    </row>
    <row r="2343" spans="1:5" x14ac:dyDescent="0.55000000000000004">
      <c r="A2343" t="s">
        <v>2424</v>
      </c>
      <c r="B2343" t="s">
        <v>151</v>
      </c>
      <c r="C2343" s="2">
        <v>43830</v>
      </c>
      <c r="D2343" t="s">
        <v>26</v>
      </c>
      <c r="E2343">
        <v>1512</v>
      </c>
    </row>
    <row r="2344" spans="1:5" x14ac:dyDescent="0.55000000000000004">
      <c r="A2344" t="s">
        <v>2425</v>
      </c>
      <c r="B2344" t="s">
        <v>38</v>
      </c>
      <c r="C2344" s="2">
        <v>44908</v>
      </c>
      <c r="D2344" t="s">
        <v>29</v>
      </c>
      <c r="E2344">
        <v>2409</v>
      </c>
    </row>
    <row r="2345" spans="1:5" x14ac:dyDescent="0.55000000000000004">
      <c r="A2345" t="s">
        <v>2426</v>
      </c>
      <c r="B2345" t="s">
        <v>99</v>
      </c>
      <c r="C2345" s="2">
        <v>45591</v>
      </c>
      <c r="D2345" t="s">
        <v>29</v>
      </c>
      <c r="E2345">
        <v>1080</v>
      </c>
    </row>
    <row r="2346" spans="1:5" x14ac:dyDescent="0.55000000000000004">
      <c r="A2346" t="s">
        <v>2427</v>
      </c>
      <c r="B2346" t="s">
        <v>23</v>
      </c>
      <c r="C2346" s="2">
        <v>44852</v>
      </c>
      <c r="D2346" t="s">
        <v>29</v>
      </c>
      <c r="E2346">
        <v>1802</v>
      </c>
    </row>
    <row r="2347" spans="1:5" x14ac:dyDescent="0.55000000000000004">
      <c r="A2347" t="s">
        <v>2428</v>
      </c>
      <c r="B2347" t="s">
        <v>41</v>
      </c>
      <c r="C2347" s="2">
        <v>44833</v>
      </c>
      <c r="D2347" t="s">
        <v>29</v>
      </c>
      <c r="E2347">
        <v>667</v>
      </c>
    </row>
    <row r="2348" spans="1:5" x14ac:dyDescent="0.55000000000000004">
      <c r="A2348" t="s">
        <v>2429</v>
      </c>
      <c r="B2348" t="s">
        <v>72</v>
      </c>
      <c r="C2348" s="2">
        <v>43952</v>
      </c>
      <c r="D2348" t="s">
        <v>26</v>
      </c>
      <c r="E2348">
        <v>1985</v>
      </c>
    </row>
    <row r="2349" spans="1:5" x14ac:dyDescent="0.55000000000000004">
      <c r="A2349" t="s">
        <v>2430</v>
      </c>
      <c r="B2349" t="s">
        <v>41</v>
      </c>
      <c r="C2349" s="2">
        <v>44768</v>
      </c>
      <c r="D2349" t="s">
        <v>26</v>
      </c>
      <c r="E2349">
        <v>2885</v>
      </c>
    </row>
    <row r="2350" spans="1:5" x14ac:dyDescent="0.55000000000000004">
      <c r="A2350" t="s">
        <v>2431</v>
      </c>
      <c r="B2350" t="s">
        <v>67</v>
      </c>
      <c r="C2350" s="2">
        <v>45633</v>
      </c>
      <c r="D2350" t="s">
        <v>26</v>
      </c>
      <c r="E2350">
        <v>2844</v>
      </c>
    </row>
    <row r="2351" spans="1:5" x14ac:dyDescent="0.55000000000000004">
      <c r="A2351" t="s">
        <v>2432</v>
      </c>
      <c r="B2351" t="s">
        <v>151</v>
      </c>
      <c r="C2351" s="2">
        <v>43849</v>
      </c>
      <c r="D2351" t="s">
        <v>29</v>
      </c>
      <c r="E2351">
        <v>133</v>
      </c>
    </row>
    <row r="2352" spans="1:5" x14ac:dyDescent="0.55000000000000004">
      <c r="A2352" t="s">
        <v>2433</v>
      </c>
      <c r="B2352" t="s">
        <v>78</v>
      </c>
      <c r="C2352" s="2">
        <v>44108</v>
      </c>
      <c r="D2352" t="s">
        <v>29</v>
      </c>
      <c r="E2352">
        <v>486</v>
      </c>
    </row>
    <row r="2353" spans="1:5" x14ac:dyDescent="0.55000000000000004">
      <c r="A2353" t="s">
        <v>2434</v>
      </c>
      <c r="B2353" t="s">
        <v>32</v>
      </c>
      <c r="C2353" s="2">
        <v>44667</v>
      </c>
      <c r="D2353" t="s">
        <v>26</v>
      </c>
      <c r="E2353">
        <v>495</v>
      </c>
    </row>
    <row r="2354" spans="1:5" x14ac:dyDescent="0.55000000000000004">
      <c r="A2354" t="s">
        <v>2435</v>
      </c>
      <c r="B2354" t="s">
        <v>86</v>
      </c>
      <c r="C2354" s="2">
        <v>44087</v>
      </c>
      <c r="D2354" t="s">
        <v>29</v>
      </c>
      <c r="E2354">
        <v>164</v>
      </c>
    </row>
    <row r="2355" spans="1:5" x14ac:dyDescent="0.55000000000000004">
      <c r="A2355" t="s">
        <v>2436</v>
      </c>
      <c r="B2355" t="s">
        <v>67</v>
      </c>
      <c r="C2355" s="2">
        <v>44093</v>
      </c>
      <c r="D2355" t="s">
        <v>26</v>
      </c>
      <c r="E2355">
        <v>1521</v>
      </c>
    </row>
    <row r="2356" spans="1:5" x14ac:dyDescent="0.55000000000000004">
      <c r="A2356" t="s">
        <v>2437</v>
      </c>
      <c r="B2356" t="s">
        <v>156</v>
      </c>
      <c r="C2356" s="2">
        <v>43683</v>
      </c>
      <c r="D2356" t="s">
        <v>29</v>
      </c>
      <c r="E2356">
        <v>1204</v>
      </c>
    </row>
    <row r="2357" spans="1:5" x14ac:dyDescent="0.55000000000000004">
      <c r="A2357" t="s">
        <v>2438</v>
      </c>
      <c r="B2357" t="s">
        <v>96</v>
      </c>
      <c r="C2357" s="2">
        <v>43580</v>
      </c>
      <c r="D2357" t="s">
        <v>26</v>
      </c>
      <c r="E2357">
        <v>582</v>
      </c>
    </row>
    <row r="2358" spans="1:5" x14ac:dyDescent="0.55000000000000004">
      <c r="A2358" t="s">
        <v>2439</v>
      </c>
      <c r="B2358" t="s">
        <v>137</v>
      </c>
      <c r="C2358" s="2">
        <v>45193</v>
      </c>
      <c r="D2358" t="s">
        <v>26</v>
      </c>
      <c r="E2358">
        <v>1249</v>
      </c>
    </row>
    <row r="2359" spans="1:5" x14ac:dyDescent="0.55000000000000004">
      <c r="A2359" t="s">
        <v>2440</v>
      </c>
      <c r="B2359" t="s">
        <v>94</v>
      </c>
      <c r="C2359" s="2">
        <v>44627</v>
      </c>
      <c r="D2359" t="s">
        <v>26</v>
      </c>
      <c r="E2359">
        <v>749</v>
      </c>
    </row>
    <row r="2360" spans="1:5" x14ac:dyDescent="0.55000000000000004">
      <c r="A2360" t="s">
        <v>2441</v>
      </c>
      <c r="B2360" t="s">
        <v>175</v>
      </c>
      <c r="C2360" s="2">
        <v>45468</v>
      </c>
      <c r="D2360" t="s">
        <v>26</v>
      </c>
      <c r="E2360">
        <v>501</v>
      </c>
    </row>
    <row r="2361" spans="1:5" x14ac:dyDescent="0.55000000000000004">
      <c r="A2361" t="s">
        <v>2442</v>
      </c>
      <c r="B2361" t="s">
        <v>99</v>
      </c>
      <c r="C2361" s="2">
        <v>44894</v>
      </c>
      <c r="D2361" t="s">
        <v>26</v>
      </c>
      <c r="E2361">
        <v>183</v>
      </c>
    </row>
    <row r="2362" spans="1:5" x14ac:dyDescent="0.55000000000000004">
      <c r="A2362" t="s">
        <v>2443</v>
      </c>
      <c r="B2362" t="s">
        <v>140</v>
      </c>
      <c r="C2362" s="2">
        <v>43902</v>
      </c>
      <c r="D2362" t="s">
        <v>29</v>
      </c>
      <c r="E2362">
        <v>2317</v>
      </c>
    </row>
    <row r="2363" spans="1:5" x14ac:dyDescent="0.55000000000000004">
      <c r="A2363" t="s">
        <v>2444</v>
      </c>
      <c r="B2363" t="s">
        <v>15</v>
      </c>
      <c r="C2363" s="2">
        <v>43608</v>
      </c>
      <c r="D2363" t="s">
        <v>29</v>
      </c>
      <c r="E2363">
        <v>1946</v>
      </c>
    </row>
    <row r="2364" spans="1:5" x14ac:dyDescent="0.55000000000000004">
      <c r="A2364" t="s">
        <v>2445</v>
      </c>
      <c r="B2364" t="s">
        <v>175</v>
      </c>
      <c r="C2364" s="2">
        <v>44009</v>
      </c>
      <c r="D2364" t="s">
        <v>26</v>
      </c>
      <c r="E2364">
        <v>2067</v>
      </c>
    </row>
    <row r="2365" spans="1:5" x14ac:dyDescent="0.55000000000000004">
      <c r="A2365" t="s">
        <v>2446</v>
      </c>
      <c r="B2365" t="s">
        <v>35</v>
      </c>
      <c r="C2365" s="2">
        <v>44774</v>
      </c>
      <c r="D2365" t="s">
        <v>29</v>
      </c>
      <c r="E2365">
        <v>2732</v>
      </c>
    </row>
    <row r="2366" spans="1:5" x14ac:dyDescent="0.55000000000000004">
      <c r="A2366" t="s">
        <v>2447</v>
      </c>
      <c r="B2366" t="s">
        <v>15</v>
      </c>
      <c r="C2366" s="2">
        <v>43222</v>
      </c>
      <c r="D2366" t="s">
        <v>29</v>
      </c>
      <c r="E2366">
        <v>365</v>
      </c>
    </row>
    <row r="2367" spans="1:5" x14ac:dyDescent="0.55000000000000004">
      <c r="A2367" t="s">
        <v>2448</v>
      </c>
      <c r="B2367" t="s">
        <v>137</v>
      </c>
      <c r="C2367" s="2">
        <v>45143</v>
      </c>
      <c r="D2367" t="s">
        <v>29</v>
      </c>
      <c r="E2367">
        <v>953</v>
      </c>
    </row>
    <row r="2368" spans="1:5" x14ac:dyDescent="0.55000000000000004">
      <c r="A2368" t="s">
        <v>2449</v>
      </c>
      <c r="B2368" t="s">
        <v>94</v>
      </c>
      <c r="C2368" s="2">
        <v>45085</v>
      </c>
      <c r="D2368" t="s">
        <v>29</v>
      </c>
      <c r="E2368">
        <v>2215</v>
      </c>
    </row>
    <row r="2369" spans="1:5" x14ac:dyDescent="0.55000000000000004">
      <c r="A2369" t="s">
        <v>2450</v>
      </c>
      <c r="B2369" t="s">
        <v>142</v>
      </c>
      <c r="C2369" s="2">
        <v>44290</v>
      </c>
      <c r="D2369" t="s">
        <v>29</v>
      </c>
      <c r="E2369">
        <v>1136</v>
      </c>
    </row>
    <row r="2370" spans="1:5" x14ac:dyDescent="0.55000000000000004">
      <c r="A2370" t="s">
        <v>2451</v>
      </c>
      <c r="B2370" t="s">
        <v>35</v>
      </c>
      <c r="C2370" s="2">
        <v>44012</v>
      </c>
      <c r="D2370" t="s">
        <v>26</v>
      </c>
      <c r="E2370">
        <v>2896</v>
      </c>
    </row>
    <row r="2371" spans="1:5" x14ac:dyDescent="0.55000000000000004">
      <c r="A2371" t="s">
        <v>2452</v>
      </c>
      <c r="B2371" t="s">
        <v>14</v>
      </c>
      <c r="C2371" s="2">
        <v>44088</v>
      </c>
      <c r="D2371" t="s">
        <v>29</v>
      </c>
      <c r="E2371">
        <v>2298</v>
      </c>
    </row>
    <row r="2372" spans="1:5" x14ac:dyDescent="0.55000000000000004">
      <c r="A2372" t="s">
        <v>2453</v>
      </c>
      <c r="B2372" t="s">
        <v>35</v>
      </c>
      <c r="C2372" s="2">
        <v>44084</v>
      </c>
      <c r="D2372" t="s">
        <v>26</v>
      </c>
      <c r="E2372">
        <v>788</v>
      </c>
    </row>
    <row r="2373" spans="1:5" x14ac:dyDescent="0.55000000000000004">
      <c r="A2373" t="s">
        <v>2454</v>
      </c>
      <c r="B2373" t="s">
        <v>32</v>
      </c>
      <c r="C2373" s="2">
        <v>43939</v>
      </c>
      <c r="D2373" t="s">
        <v>26</v>
      </c>
      <c r="E2373">
        <v>1949</v>
      </c>
    </row>
    <row r="2374" spans="1:5" x14ac:dyDescent="0.55000000000000004">
      <c r="A2374" t="s">
        <v>2455</v>
      </c>
      <c r="B2374" t="s">
        <v>67</v>
      </c>
      <c r="C2374" s="2">
        <v>43542</v>
      </c>
      <c r="D2374" t="s">
        <v>26</v>
      </c>
      <c r="E2374">
        <v>2696</v>
      </c>
    </row>
    <row r="2375" spans="1:5" x14ac:dyDescent="0.55000000000000004">
      <c r="A2375" t="s">
        <v>2456</v>
      </c>
      <c r="B2375" t="s">
        <v>99</v>
      </c>
      <c r="C2375" s="2">
        <v>44202</v>
      </c>
      <c r="D2375" t="s">
        <v>26</v>
      </c>
      <c r="E2375">
        <v>1126</v>
      </c>
    </row>
    <row r="2376" spans="1:5" x14ac:dyDescent="0.55000000000000004">
      <c r="A2376" t="s">
        <v>2457</v>
      </c>
      <c r="B2376" t="s">
        <v>137</v>
      </c>
      <c r="C2376" s="2">
        <v>44308</v>
      </c>
      <c r="D2376" t="s">
        <v>26</v>
      </c>
      <c r="E2376">
        <v>2890</v>
      </c>
    </row>
    <row r="2377" spans="1:5" x14ac:dyDescent="0.55000000000000004">
      <c r="A2377" t="s">
        <v>2458</v>
      </c>
      <c r="B2377" t="s">
        <v>175</v>
      </c>
      <c r="C2377" s="2">
        <v>45285</v>
      </c>
      <c r="D2377" t="s">
        <v>26</v>
      </c>
      <c r="E2377">
        <v>2185</v>
      </c>
    </row>
    <row r="2378" spans="1:5" x14ac:dyDescent="0.55000000000000004">
      <c r="A2378" t="s">
        <v>2459</v>
      </c>
      <c r="B2378" t="s">
        <v>32</v>
      </c>
      <c r="C2378" s="2">
        <v>44487</v>
      </c>
      <c r="D2378" t="s">
        <v>29</v>
      </c>
      <c r="E2378">
        <v>2412</v>
      </c>
    </row>
    <row r="2379" spans="1:5" x14ac:dyDescent="0.55000000000000004">
      <c r="A2379" t="s">
        <v>2460</v>
      </c>
      <c r="B2379" t="s">
        <v>142</v>
      </c>
      <c r="C2379" s="2">
        <v>43923</v>
      </c>
      <c r="D2379" t="s">
        <v>26</v>
      </c>
      <c r="E2379">
        <v>1392</v>
      </c>
    </row>
    <row r="2380" spans="1:5" x14ac:dyDescent="0.55000000000000004">
      <c r="A2380" t="s">
        <v>2461</v>
      </c>
      <c r="B2380" t="s">
        <v>140</v>
      </c>
      <c r="C2380" s="2">
        <v>43286</v>
      </c>
      <c r="D2380" t="s">
        <v>29</v>
      </c>
      <c r="E2380">
        <v>98</v>
      </c>
    </row>
    <row r="2381" spans="1:5" x14ac:dyDescent="0.55000000000000004">
      <c r="A2381" t="s">
        <v>2462</v>
      </c>
      <c r="B2381" t="s">
        <v>76</v>
      </c>
      <c r="C2381" s="2">
        <v>45628</v>
      </c>
      <c r="D2381" t="s">
        <v>29</v>
      </c>
      <c r="E2381">
        <v>1564</v>
      </c>
    </row>
    <row r="2382" spans="1:5" x14ac:dyDescent="0.55000000000000004">
      <c r="A2382" t="s">
        <v>2463</v>
      </c>
      <c r="B2382" t="s">
        <v>84</v>
      </c>
      <c r="C2382" s="2">
        <v>43103</v>
      </c>
      <c r="D2382" t="s">
        <v>26</v>
      </c>
      <c r="E2382">
        <v>406</v>
      </c>
    </row>
    <row r="2383" spans="1:5" x14ac:dyDescent="0.55000000000000004">
      <c r="A2383" t="s">
        <v>2464</v>
      </c>
      <c r="B2383" t="s">
        <v>99</v>
      </c>
      <c r="C2383" s="2">
        <v>44154</v>
      </c>
      <c r="D2383" t="s">
        <v>29</v>
      </c>
      <c r="E2383">
        <v>589</v>
      </c>
    </row>
    <row r="2384" spans="1:5" x14ac:dyDescent="0.55000000000000004">
      <c r="A2384" t="s">
        <v>2465</v>
      </c>
      <c r="B2384" t="s">
        <v>105</v>
      </c>
      <c r="C2384" s="2">
        <v>43440</v>
      </c>
      <c r="D2384" t="s">
        <v>26</v>
      </c>
      <c r="E2384">
        <v>631</v>
      </c>
    </row>
    <row r="2385" spans="1:5" x14ac:dyDescent="0.55000000000000004">
      <c r="A2385" t="s">
        <v>2466</v>
      </c>
      <c r="B2385" t="s">
        <v>156</v>
      </c>
      <c r="C2385" s="2">
        <v>43751</v>
      </c>
      <c r="D2385" t="s">
        <v>26</v>
      </c>
      <c r="E2385">
        <v>241</v>
      </c>
    </row>
    <row r="2386" spans="1:5" x14ac:dyDescent="0.55000000000000004">
      <c r="A2386" t="s">
        <v>2467</v>
      </c>
      <c r="B2386" t="s">
        <v>32</v>
      </c>
      <c r="C2386" s="2">
        <v>44497</v>
      </c>
      <c r="D2386" t="s">
        <v>26</v>
      </c>
      <c r="E2386">
        <v>111</v>
      </c>
    </row>
    <row r="2387" spans="1:5" x14ac:dyDescent="0.55000000000000004">
      <c r="A2387" t="s">
        <v>2468</v>
      </c>
      <c r="B2387" t="s">
        <v>41</v>
      </c>
      <c r="C2387" s="2">
        <v>43950</v>
      </c>
      <c r="D2387" t="s">
        <v>29</v>
      </c>
      <c r="E2387">
        <v>1597</v>
      </c>
    </row>
    <row r="2388" spans="1:5" x14ac:dyDescent="0.55000000000000004">
      <c r="A2388" t="s">
        <v>2469</v>
      </c>
      <c r="B2388" t="s">
        <v>115</v>
      </c>
      <c r="C2388" s="2">
        <v>43572</v>
      </c>
      <c r="D2388" t="s">
        <v>26</v>
      </c>
      <c r="E2388">
        <v>1690</v>
      </c>
    </row>
    <row r="2389" spans="1:5" x14ac:dyDescent="0.55000000000000004">
      <c r="A2389" t="s">
        <v>2470</v>
      </c>
      <c r="B2389" t="s">
        <v>94</v>
      </c>
      <c r="C2389" s="2">
        <v>44793</v>
      </c>
      <c r="D2389" t="s">
        <v>29</v>
      </c>
      <c r="E2389">
        <v>1538</v>
      </c>
    </row>
    <row r="2390" spans="1:5" x14ac:dyDescent="0.55000000000000004">
      <c r="A2390" t="s">
        <v>2471</v>
      </c>
      <c r="B2390" t="s">
        <v>175</v>
      </c>
      <c r="C2390" s="2">
        <v>43961</v>
      </c>
      <c r="D2390" t="s">
        <v>26</v>
      </c>
      <c r="E2390">
        <v>829</v>
      </c>
    </row>
    <row r="2391" spans="1:5" x14ac:dyDescent="0.55000000000000004">
      <c r="A2391" t="s">
        <v>2472</v>
      </c>
      <c r="B2391" t="s">
        <v>63</v>
      </c>
      <c r="C2391" s="2">
        <v>44457</v>
      </c>
      <c r="D2391" t="s">
        <v>26</v>
      </c>
      <c r="E2391">
        <v>2019</v>
      </c>
    </row>
    <row r="2392" spans="1:5" x14ac:dyDescent="0.55000000000000004">
      <c r="A2392" t="s">
        <v>2473</v>
      </c>
      <c r="B2392" t="s">
        <v>67</v>
      </c>
      <c r="C2392" s="2">
        <v>45532</v>
      </c>
      <c r="D2392" t="s">
        <v>29</v>
      </c>
      <c r="E2392">
        <v>471</v>
      </c>
    </row>
    <row r="2393" spans="1:5" x14ac:dyDescent="0.55000000000000004">
      <c r="A2393" t="s">
        <v>2474</v>
      </c>
      <c r="B2393" t="s">
        <v>84</v>
      </c>
      <c r="C2393" s="2">
        <v>43041</v>
      </c>
      <c r="D2393" t="s">
        <v>29</v>
      </c>
      <c r="E2393">
        <v>1903</v>
      </c>
    </row>
    <row r="2394" spans="1:5" x14ac:dyDescent="0.55000000000000004">
      <c r="A2394" t="s">
        <v>2475</v>
      </c>
      <c r="B2394" t="s">
        <v>99</v>
      </c>
      <c r="C2394" s="2">
        <v>45133</v>
      </c>
      <c r="D2394" t="s">
        <v>26</v>
      </c>
      <c r="E2394">
        <v>1983</v>
      </c>
    </row>
    <row r="2395" spans="1:5" x14ac:dyDescent="0.55000000000000004">
      <c r="A2395" t="s">
        <v>2476</v>
      </c>
      <c r="B2395" t="s">
        <v>14</v>
      </c>
      <c r="C2395" s="2">
        <v>43751</v>
      </c>
      <c r="D2395" t="s">
        <v>26</v>
      </c>
      <c r="E2395">
        <v>76</v>
      </c>
    </row>
    <row r="2396" spans="1:5" x14ac:dyDescent="0.55000000000000004">
      <c r="A2396" t="s">
        <v>2477</v>
      </c>
      <c r="B2396" t="s">
        <v>84</v>
      </c>
      <c r="C2396" s="2">
        <v>44051</v>
      </c>
      <c r="D2396" t="s">
        <v>26</v>
      </c>
      <c r="E2396">
        <v>1008</v>
      </c>
    </row>
    <row r="2397" spans="1:5" x14ac:dyDescent="0.55000000000000004">
      <c r="A2397" t="s">
        <v>2478</v>
      </c>
      <c r="B2397" t="s">
        <v>118</v>
      </c>
      <c r="C2397" s="2">
        <v>45738</v>
      </c>
      <c r="D2397" t="s">
        <v>26</v>
      </c>
      <c r="E2397">
        <v>1247</v>
      </c>
    </row>
    <row r="2398" spans="1:5" x14ac:dyDescent="0.55000000000000004">
      <c r="A2398" t="s">
        <v>2479</v>
      </c>
      <c r="B2398" t="s">
        <v>23</v>
      </c>
      <c r="C2398" s="2">
        <v>44664</v>
      </c>
      <c r="D2398" t="s">
        <v>29</v>
      </c>
      <c r="E2398">
        <v>343</v>
      </c>
    </row>
    <row r="2399" spans="1:5" x14ac:dyDescent="0.55000000000000004">
      <c r="A2399" t="s">
        <v>2480</v>
      </c>
      <c r="B2399" t="s">
        <v>76</v>
      </c>
      <c r="C2399" s="2">
        <v>45515</v>
      </c>
      <c r="D2399" t="s">
        <v>26</v>
      </c>
      <c r="E2399">
        <v>583</v>
      </c>
    </row>
    <row r="2400" spans="1:5" x14ac:dyDescent="0.55000000000000004">
      <c r="A2400" t="s">
        <v>2481</v>
      </c>
      <c r="B2400" t="s">
        <v>86</v>
      </c>
      <c r="C2400" s="2">
        <v>44023</v>
      </c>
      <c r="D2400" t="s">
        <v>26</v>
      </c>
      <c r="E2400">
        <v>1004</v>
      </c>
    </row>
    <row r="2401" spans="1:5" x14ac:dyDescent="0.55000000000000004">
      <c r="A2401" t="s">
        <v>2482</v>
      </c>
      <c r="B2401" t="s">
        <v>99</v>
      </c>
      <c r="C2401" s="2">
        <v>45201</v>
      </c>
      <c r="D2401" t="s">
        <v>29</v>
      </c>
      <c r="E2401">
        <v>171</v>
      </c>
    </row>
    <row r="2402" spans="1:5" x14ac:dyDescent="0.55000000000000004">
      <c r="A2402" t="s">
        <v>2483</v>
      </c>
      <c r="B2402" t="s">
        <v>14</v>
      </c>
      <c r="C2402" s="2">
        <v>43868</v>
      </c>
      <c r="D2402" t="s">
        <v>29</v>
      </c>
      <c r="E2402">
        <v>2674</v>
      </c>
    </row>
    <row r="2403" spans="1:5" x14ac:dyDescent="0.55000000000000004">
      <c r="A2403" t="s">
        <v>2484</v>
      </c>
      <c r="B2403" t="s">
        <v>105</v>
      </c>
      <c r="C2403" s="2">
        <v>42918</v>
      </c>
      <c r="D2403" t="s">
        <v>26</v>
      </c>
      <c r="E2403">
        <v>1975</v>
      </c>
    </row>
    <row r="2404" spans="1:5" x14ac:dyDescent="0.55000000000000004">
      <c r="A2404" t="s">
        <v>2485</v>
      </c>
      <c r="B2404" t="s">
        <v>84</v>
      </c>
      <c r="C2404" s="2">
        <v>44141</v>
      </c>
      <c r="D2404" t="s">
        <v>29</v>
      </c>
      <c r="E2404">
        <v>2785</v>
      </c>
    </row>
    <row r="2405" spans="1:5" x14ac:dyDescent="0.55000000000000004">
      <c r="A2405" t="s">
        <v>2486</v>
      </c>
      <c r="B2405" t="s">
        <v>101</v>
      </c>
      <c r="C2405" s="2">
        <v>43636</v>
      </c>
      <c r="D2405" t="s">
        <v>26</v>
      </c>
      <c r="E2405">
        <v>2396</v>
      </c>
    </row>
    <row r="2406" spans="1:5" x14ac:dyDescent="0.55000000000000004">
      <c r="A2406" t="s">
        <v>2487</v>
      </c>
      <c r="B2406" t="s">
        <v>175</v>
      </c>
      <c r="C2406" s="2">
        <v>45556</v>
      </c>
      <c r="D2406" t="s">
        <v>29</v>
      </c>
      <c r="E2406">
        <v>186</v>
      </c>
    </row>
    <row r="2407" spans="1:5" x14ac:dyDescent="0.55000000000000004">
      <c r="A2407" t="s">
        <v>2488</v>
      </c>
      <c r="B2407" t="s">
        <v>105</v>
      </c>
      <c r="C2407" s="2">
        <v>44430</v>
      </c>
      <c r="D2407" t="s">
        <v>26</v>
      </c>
      <c r="E2407">
        <v>1231</v>
      </c>
    </row>
    <row r="2408" spans="1:5" x14ac:dyDescent="0.55000000000000004">
      <c r="A2408" t="s">
        <v>2489</v>
      </c>
      <c r="B2408" t="s">
        <v>74</v>
      </c>
      <c r="C2408" s="2">
        <v>43726</v>
      </c>
      <c r="D2408" t="s">
        <v>26</v>
      </c>
      <c r="E2408">
        <v>572</v>
      </c>
    </row>
    <row r="2409" spans="1:5" x14ac:dyDescent="0.55000000000000004">
      <c r="A2409" t="s">
        <v>2490</v>
      </c>
      <c r="B2409" t="s">
        <v>78</v>
      </c>
      <c r="C2409" s="2">
        <v>45745</v>
      </c>
      <c r="D2409" t="s">
        <v>29</v>
      </c>
      <c r="E2409">
        <v>1769</v>
      </c>
    </row>
    <row r="2410" spans="1:5" x14ac:dyDescent="0.55000000000000004">
      <c r="A2410" t="s">
        <v>2491</v>
      </c>
      <c r="B2410" t="s">
        <v>151</v>
      </c>
      <c r="C2410" s="2">
        <v>44167</v>
      </c>
      <c r="D2410" t="s">
        <v>29</v>
      </c>
      <c r="E2410">
        <v>2793</v>
      </c>
    </row>
    <row r="2411" spans="1:5" x14ac:dyDescent="0.55000000000000004">
      <c r="A2411" t="s">
        <v>2492</v>
      </c>
      <c r="B2411" t="s">
        <v>111</v>
      </c>
      <c r="C2411" s="2">
        <v>44217</v>
      </c>
      <c r="D2411" t="s">
        <v>29</v>
      </c>
      <c r="E2411">
        <v>2898</v>
      </c>
    </row>
    <row r="2412" spans="1:5" x14ac:dyDescent="0.55000000000000004">
      <c r="A2412" t="s">
        <v>2493</v>
      </c>
      <c r="B2412" t="s">
        <v>15</v>
      </c>
      <c r="C2412" s="2">
        <v>43476</v>
      </c>
      <c r="D2412" t="s">
        <v>26</v>
      </c>
      <c r="E2412">
        <v>2712</v>
      </c>
    </row>
    <row r="2413" spans="1:5" x14ac:dyDescent="0.55000000000000004">
      <c r="A2413" t="s">
        <v>2494</v>
      </c>
      <c r="B2413" t="s">
        <v>111</v>
      </c>
      <c r="C2413" s="2">
        <v>43616</v>
      </c>
      <c r="D2413" t="s">
        <v>26</v>
      </c>
      <c r="E2413">
        <v>1883</v>
      </c>
    </row>
    <row r="2414" spans="1:5" x14ac:dyDescent="0.55000000000000004">
      <c r="A2414" t="s">
        <v>2495</v>
      </c>
      <c r="B2414" t="s">
        <v>32</v>
      </c>
      <c r="C2414" s="2">
        <v>44503</v>
      </c>
      <c r="D2414" t="s">
        <v>26</v>
      </c>
      <c r="E2414">
        <v>2833</v>
      </c>
    </row>
    <row r="2415" spans="1:5" x14ac:dyDescent="0.55000000000000004">
      <c r="A2415" t="s">
        <v>2496</v>
      </c>
      <c r="B2415" t="s">
        <v>72</v>
      </c>
      <c r="C2415" s="2">
        <v>44240</v>
      </c>
      <c r="D2415" t="s">
        <v>26</v>
      </c>
      <c r="E2415">
        <v>2493</v>
      </c>
    </row>
    <row r="2416" spans="1:5" x14ac:dyDescent="0.55000000000000004">
      <c r="A2416" t="s">
        <v>2497</v>
      </c>
      <c r="B2416" t="s">
        <v>96</v>
      </c>
      <c r="C2416" s="2">
        <v>43483</v>
      </c>
      <c r="D2416" t="s">
        <v>26</v>
      </c>
      <c r="E2416">
        <v>2755</v>
      </c>
    </row>
    <row r="2417" spans="1:5" x14ac:dyDescent="0.55000000000000004">
      <c r="A2417" t="s">
        <v>2498</v>
      </c>
      <c r="B2417" t="s">
        <v>105</v>
      </c>
      <c r="C2417" s="2">
        <v>43763</v>
      </c>
      <c r="D2417" t="s">
        <v>29</v>
      </c>
      <c r="E2417">
        <v>1608</v>
      </c>
    </row>
    <row r="2418" spans="1:5" x14ac:dyDescent="0.55000000000000004">
      <c r="A2418" t="s">
        <v>2499</v>
      </c>
      <c r="B2418" t="s">
        <v>99</v>
      </c>
      <c r="C2418" s="2">
        <v>43798</v>
      </c>
      <c r="D2418" t="s">
        <v>26</v>
      </c>
      <c r="E2418">
        <v>2206</v>
      </c>
    </row>
    <row r="2419" spans="1:5" x14ac:dyDescent="0.55000000000000004">
      <c r="A2419" t="s">
        <v>2500</v>
      </c>
      <c r="B2419" t="s">
        <v>14</v>
      </c>
      <c r="C2419" s="2">
        <v>44292</v>
      </c>
      <c r="D2419" t="s">
        <v>29</v>
      </c>
      <c r="E2419">
        <v>2753</v>
      </c>
    </row>
    <row r="2420" spans="1:5" x14ac:dyDescent="0.55000000000000004">
      <c r="A2420" t="s">
        <v>2501</v>
      </c>
      <c r="B2420" t="s">
        <v>115</v>
      </c>
      <c r="C2420" s="2">
        <v>43639</v>
      </c>
      <c r="D2420" t="s">
        <v>29</v>
      </c>
      <c r="E2420">
        <v>2462</v>
      </c>
    </row>
    <row r="2421" spans="1:5" x14ac:dyDescent="0.55000000000000004">
      <c r="A2421" t="s">
        <v>2502</v>
      </c>
      <c r="B2421" t="s">
        <v>86</v>
      </c>
      <c r="C2421" s="2">
        <v>43709</v>
      </c>
      <c r="D2421" t="s">
        <v>26</v>
      </c>
      <c r="E2421">
        <v>2855</v>
      </c>
    </row>
    <row r="2422" spans="1:5" x14ac:dyDescent="0.55000000000000004">
      <c r="A2422" t="s">
        <v>2503</v>
      </c>
      <c r="B2422" t="s">
        <v>14</v>
      </c>
      <c r="C2422" s="2">
        <v>43172</v>
      </c>
      <c r="D2422" t="s">
        <v>29</v>
      </c>
      <c r="E2422">
        <v>1517</v>
      </c>
    </row>
    <row r="2423" spans="1:5" x14ac:dyDescent="0.55000000000000004">
      <c r="A2423" t="s">
        <v>2504</v>
      </c>
      <c r="B2423" t="s">
        <v>151</v>
      </c>
      <c r="C2423" s="2">
        <v>43827</v>
      </c>
      <c r="D2423" t="s">
        <v>26</v>
      </c>
      <c r="E2423">
        <v>907</v>
      </c>
    </row>
    <row r="2424" spans="1:5" x14ac:dyDescent="0.55000000000000004">
      <c r="A2424" t="s">
        <v>2505</v>
      </c>
      <c r="B2424" t="s">
        <v>78</v>
      </c>
      <c r="C2424" s="2">
        <v>43547</v>
      </c>
      <c r="D2424" t="s">
        <v>29</v>
      </c>
      <c r="E2424">
        <v>2787</v>
      </c>
    </row>
    <row r="2425" spans="1:5" x14ac:dyDescent="0.55000000000000004">
      <c r="A2425" t="s">
        <v>2506</v>
      </c>
      <c r="B2425" t="s">
        <v>41</v>
      </c>
      <c r="C2425" s="2">
        <v>44563</v>
      </c>
      <c r="D2425" t="s">
        <v>26</v>
      </c>
      <c r="E2425">
        <v>368</v>
      </c>
    </row>
    <row r="2426" spans="1:5" x14ac:dyDescent="0.55000000000000004">
      <c r="A2426" t="s">
        <v>2507</v>
      </c>
      <c r="B2426" t="s">
        <v>175</v>
      </c>
      <c r="C2426" s="2">
        <v>44707</v>
      </c>
      <c r="D2426" t="s">
        <v>26</v>
      </c>
      <c r="E2426">
        <v>959</v>
      </c>
    </row>
    <row r="2427" spans="1:5" x14ac:dyDescent="0.55000000000000004">
      <c r="A2427" t="s">
        <v>2508</v>
      </c>
      <c r="B2427" t="s">
        <v>96</v>
      </c>
      <c r="C2427" s="2">
        <v>44952</v>
      </c>
      <c r="D2427" t="s">
        <v>26</v>
      </c>
      <c r="E2427">
        <v>1149</v>
      </c>
    </row>
    <row r="2428" spans="1:5" x14ac:dyDescent="0.55000000000000004">
      <c r="A2428" t="s">
        <v>2509</v>
      </c>
      <c r="B2428" t="s">
        <v>96</v>
      </c>
      <c r="C2428" s="2">
        <v>44322</v>
      </c>
      <c r="D2428" t="s">
        <v>26</v>
      </c>
      <c r="E2428">
        <v>803</v>
      </c>
    </row>
    <row r="2429" spans="1:5" x14ac:dyDescent="0.55000000000000004">
      <c r="A2429" t="s">
        <v>2510</v>
      </c>
      <c r="B2429" t="s">
        <v>175</v>
      </c>
      <c r="C2429" s="2">
        <v>45088</v>
      </c>
      <c r="D2429" t="s">
        <v>26</v>
      </c>
      <c r="E2429">
        <v>1136</v>
      </c>
    </row>
    <row r="2430" spans="1:5" x14ac:dyDescent="0.55000000000000004">
      <c r="A2430" t="s">
        <v>2511</v>
      </c>
      <c r="B2430" t="s">
        <v>23</v>
      </c>
      <c r="C2430" s="2">
        <v>44855</v>
      </c>
      <c r="D2430" t="s">
        <v>29</v>
      </c>
      <c r="E2430">
        <v>698</v>
      </c>
    </row>
    <row r="2431" spans="1:5" x14ac:dyDescent="0.55000000000000004">
      <c r="A2431" t="s">
        <v>2512</v>
      </c>
      <c r="B2431" t="s">
        <v>99</v>
      </c>
      <c r="C2431" s="2">
        <v>44259</v>
      </c>
      <c r="D2431" t="s">
        <v>26</v>
      </c>
      <c r="E2431">
        <v>267</v>
      </c>
    </row>
    <row r="2432" spans="1:5" x14ac:dyDescent="0.55000000000000004">
      <c r="A2432" t="s">
        <v>2513</v>
      </c>
      <c r="B2432" t="s">
        <v>23</v>
      </c>
      <c r="C2432" s="2">
        <v>44093</v>
      </c>
      <c r="D2432" t="s">
        <v>26</v>
      </c>
      <c r="E2432">
        <v>521</v>
      </c>
    </row>
    <row r="2433" spans="1:5" x14ac:dyDescent="0.55000000000000004">
      <c r="A2433" t="s">
        <v>2514</v>
      </c>
      <c r="B2433" t="s">
        <v>84</v>
      </c>
      <c r="C2433" s="2">
        <v>44084</v>
      </c>
      <c r="D2433" t="s">
        <v>26</v>
      </c>
      <c r="E2433">
        <v>2142</v>
      </c>
    </row>
    <row r="2434" spans="1:5" x14ac:dyDescent="0.55000000000000004">
      <c r="A2434" t="s">
        <v>2515</v>
      </c>
      <c r="B2434" t="s">
        <v>78</v>
      </c>
      <c r="C2434" s="2">
        <v>44589</v>
      </c>
      <c r="D2434" t="s">
        <v>26</v>
      </c>
      <c r="E2434">
        <v>2777</v>
      </c>
    </row>
    <row r="2435" spans="1:5" x14ac:dyDescent="0.55000000000000004">
      <c r="A2435" t="s">
        <v>2516</v>
      </c>
      <c r="B2435" t="s">
        <v>14</v>
      </c>
      <c r="C2435" s="2">
        <v>44336</v>
      </c>
      <c r="D2435" t="s">
        <v>29</v>
      </c>
      <c r="E2435">
        <v>2788</v>
      </c>
    </row>
    <row r="2436" spans="1:5" x14ac:dyDescent="0.55000000000000004">
      <c r="A2436" t="s">
        <v>2517</v>
      </c>
      <c r="B2436" t="s">
        <v>99</v>
      </c>
      <c r="C2436" s="2">
        <v>45325</v>
      </c>
      <c r="D2436" t="s">
        <v>26</v>
      </c>
      <c r="E2436">
        <v>1749</v>
      </c>
    </row>
    <row r="2437" spans="1:5" x14ac:dyDescent="0.55000000000000004">
      <c r="A2437" t="s">
        <v>2518</v>
      </c>
      <c r="B2437" t="s">
        <v>35</v>
      </c>
      <c r="C2437" s="2">
        <v>43937</v>
      </c>
      <c r="D2437" t="s">
        <v>29</v>
      </c>
      <c r="E2437">
        <v>1771</v>
      </c>
    </row>
    <row r="2438" spans="1:5" x14ac:dyDescent="0.55000000000000004">
      <c r="A2438" t="s">
        <v>2519</v>
      </c>
      <c r="B2438" t="s">
        <v>76</v>
      </c>
      <c r="C2438" s="2">
        <v>45132</v>
      </c>
      <c r="D2438" t="s">
        <v>29</v>
      </c>
      <c r="E2438">
        <v>498</v>
      </c>
    </row>
    <row r="2439" spans="1:5" x14ac:dyDescent="0.55000000000000004">
      <c r="A2439" t="s">
        <v>2520</v>
      </c>
      <c r="B2439" t="s">
        <v>38</v>
      </c>
      <c r="C2439" s="2">
        <v>44892</v>
      </c>
      <c r="D2439" t="s">
        <v>29</v>
      </c>
      <c r="E2439">
        <v>2029</v>
      </c>
    </row>
    <row r="2440" spans="1:5" x14ac:dyDescent="0.55000000000000004">
      <c r="A2440" t="s">
        <v>2521</v>
      </c>
      <c r="B2440" t="s">
        <v>86</v>
      </c>
      <c r="C2440" s="2">
        <v>43976</v>
      </c>
      <c r="D2440" t="s">
        <v>26</v>
      </c>
      <c r="E2440">
        <v>2954</v>
      </c>
    </row>
    <row r="2441" spans="1:5" x14ac:dyDescent="0.55000000000000004">
      <c r="A2441" t="s">
        <v>2522</v>
      </c>
      <c r="B2441" t="s">
        <v>63</v>
      </c>
      <c r="C2441" s="2">
        <v>43013</v>
      </c>
      <c r="D2441" t="s">
        <v>29</v>
      </c>
      <c r="E2441">
        <v>1720</v>
      </c>
    </row>
    <row r="2442" spans="1:5" x14ac:dyDescent="0.55000000000000004">
      <c r="A2442" t="s">
        <v>2523</v>
      </c>
      <c r="B2442" t="s">
        <v>99</v>
      </c>
      <c r="C2442" s="2">
        <v>45304</v>
      </c>
      <c r="D2442" t="s">
        <v>29</v>
      </c>
      <c r="E2442">
        <v>21</v>
      </c>
    </row>
    <row r="2443" spans="1:5" x14ac:dyDescent="0.55000000000000004">
      <c r="A2443" t="s">
        <v>2524</v>
      </c>
      <c r="B2443" t="s">
        <v>101</v>
      </c>
      <c r="C2443" s="2">
        <v>43315</v>
      </c>
      <c r="D2443" t="s">
        <v>29</v>
      </c>
      <c r="E2443">
        <v>335</v>
      </c>
    </row>
    <row r="2444" spans="1:5" x14ac:dyDescent="0.55000000000000004">
      <c r="A2444" t="s">
        <v>2525</v>
      </c>
      <c r="B2444" t="s">
        <v>94</v>
      </c>
      <c r="C2444" s="2">
        <v>45808</v>
      </c>
      <c r="D2444" t="s">
        <v>26</v>
      </c>
      <c r="E2444">
        <v>924</v>
      </c>
    </row>
    <row r="2445" spans="1:5" x14ac:dyDescent="0.55000000000000004">
      <c r="A2445" t="s">
        <v>2526</v>
      </c>
      <c r="B2445" t="s">
        <v>41</v>
      </c>
      <c r="C2445" s="2">
        <v>44698</v>
      </c>
      <c r="D2445" t="s">
        <v>26</v>
      </c>
      <c r="E2445">
        <v>1023</v>
      </c>
    </row>
    <row r="2446" spans="1:5" x14ac:dyDescent="0.55000000000000004">
      <c r="A2446" t="s">
        <v>2527</v>
      </c>
      <c r="B2446" t="s">
        <v>151</v>
      </c>
      <c r="C2446" s="2">
        <v>43253</v>
      </c>
      <c r="D2446" t="s">
        <v>29</v>
      </c>
      <c r="E2446">
        <v>1273</v>
      </c>
    </row>
    <row r="2447" spans="1:5" x14ac:dyDescent="0.55000000000000004">
      <c r="A2447" t="s">
        <v>2528</v>
      </c>
      <c r="B2447" t="s">
        <v>74</v>
      </c>
      <c r="C2447" s="2">
        <v>44199</v>
      </c>
      <c r="D2447" t="s">
        <v>26</v>
      </c>
      <c r="E2447">
        <v>114</v>
      </c>
    </row>
    <row r="2448" spans="1:5" x14ac:dyDescent="0.55000000000000004">
      <c r="A2448" t="s">
        <v>2529</v>
      </c>
      <c r="B2448" t="s">
        <v>96</v>
      </c>
      <c r="C2448" s="2">
        <v>45235</v>
      </c>
      <c r="D2448" t="s">
        <v>26</v>
      </c>
      <c r="E2448">
        <v>2427</v>
      </c>
    </row>
    <row r="2449" spans="1:5" x14ac:dyDescent="0.55000000000000004">
      <c r="A2449" t="s">
        <v>2530</v>
      </c>
      <c r="B2449" t="s">
        <v>137</v>
      </c>
      <c r="C2449" s="2">
        <v>44835</v>
      </c>
      <c r="D2449" t="s">
        <v>29</v>
      </c>
      <c r="E2449">
        <v>1012</v>
      </c>
    </row>
    <row r="2450" spans="1:5" x14ac:dyDescent="0.55000000000000004">
      <c r="A2450" t="s">
        <v>2531</v>
      </c>
      <c r="B2450" t="s">
        <v>115</v>
      </c>
      <c r="C2450" s="2">
        <v>43886</v>
      </c>
      <c r="D2450" t="s">
        <v>26</v>
      </c>
      <c r="E2450">
        <v>1395</v>
      </c>
    </row>
    <row r="2451" spans="1:5" x14ac:dyDescent="0.55000000000000004">
      <c r="A2451" t="s">
        <v>2532</v>
      </c>
      <c r="B2451" t="s">
        <v>175</v>
      </c>
      <c r="C2451" s="2">
        <v>43688</v>
      </c>
      <c r="D2451" t="s">
        <v>29</v>
      </c>
      <c r="E2451">
        <v>2128</v>
      </c>
    </row>
    <row r="2452" spans="1:5" x14ac:dyDescent="0.55000000000000004">
      <c r="A2452" t="s">
        <v>2533</v>
      </c>
      <c r="B2452" t="s">
        <v>137</v>
      </c>
      <c r="C2452" s="2">
        <v>44435</v>
      </c>
      <c r="D2452" t="s">
        <v>26</v>
      </c>
      <c r="E2452">
        <v>2457</v>
      </c>
    </row>
    <row r="2453" spans="1:5" x14ac:dyDescent="0.55000000000000004">
      <c r="A2453" t="s">
        <v>2534</v>
      </c>
      <c r="B2453" t="s">
        <v>32</v>
      </c>
      <c r="C2453" s="2">
        <v>44729</v>
      </c>
      <c r="D2453" t="s">
        <v>26</v>
      </c>
      <c r="E2453">
        <v>2561</v>
      </c>
    </row>
    <row r="2454" spans="1:5" x14ac:dyDescent="0.55000000000000004">
      <c r="A2454" t="s">
        <v>2535</v>
      </c>
      <c r="B2454" t="s">
        <v>15</v>
      </c>
      <c r="C2454" s="2">
        <v>44102</v>
      </c>
      <c r="D2454" t="s">
        <v>26</v>
      </c>
      <c r="E2454">
        <v>350</v>
      </c>
    </row>
    <row r="2455" spans="1:5" x14ac:dyDescent="0.55000000000000004">
      <c r="A2455" t="s">
        <v>2536</v>
      </c>
      <c r="B2455" t="s">
        <v>142</v>
      </c>
      <c r="C2455" s="2">
        <v>42985</v>
      </c>
      <c r="D2455" t="s">
        <v>29</v>
      </c>
      <c r="E2455">
        <v>1283</v>
      </c>
    </row>
    <row r="2456" spans="1:5" x14ac:dyDescent="0.55000000000000004">
      <c r="A2456" t="s">
        <v>2537</v>
      </c>
      <c r="B2456" t="s">
        <v>94</v>
      </c>
      <c r="C2456" s="2">
        <v>43732</v>
      </c>
      <c r="D2456" t="s">
        <v>26</v>
      </c>
      <c r="E2456">
        <v>253</v>
      </c>
    </row>
    <row r="2457" spans="1:5" x14ac:dyDescent="0.55000000000000004">
      <c r="A2457" t="s">
        <v>2538</v>
      </c>
      <c r="B2457" t="s">
        <v>137</v>
      </c>
      <c r="C2457" s="2">
        <v>45276</v>
      </c>
      <c r="D2457" t="s">
        <v>26</v>
      </c>
      <c r="E2457">
        <v>1234</v>
      </c>
    </row>
    <row r="2458" spans="1:5" x14ac:dyDescent="0.55000000000000004">
      <c r="A2458" t="s">
        <v>2539</v>
      </c>
      <c r="B2458" t="s">
        <v>32</v>
      </c>
      <c r="C2458" s="2">
        <v>44715</v>
      </c>
      <c r="D2458" t="s">
        <v>26</v>
      </c>
      <c r="E2458">
        <v>417</v>
      </c>
    </row>
    <row r="2459" spans="1:5" x14ac:dyDescent="0.55000000000000004">
      <c r="A2459" t="s">
        <v>2540</v>
      </c>
      <c r="B2459" t="s">
        <v>38</v>
      </c>
      <c r="C2459" s="2">
        <v>43945</v>
      </c>
      <c r="D2459" t="s">
        <v>26</v>
      </c>
      <c r="E2459">
        <v>1207</v>
      </c>
    </row>
    <row r="2460" spans="1:5" x14ac:dyDescent="0.55000000000000004">
      <c r="A2460" t="s">
        <v>2541</v>
      </c>
      <c r="B2460" t="s">
        <v>76</v>
      </c>
      <c r="C2460" s="2">
        <v>45028</v>
      </c>
      <c r="D2460" t="s">
        <v>29</v>
      </c>
      <c r="E2460">
        <v>392</v>
      </c>
    </row>
    <row r="2461" spans="1:5" x14ac:dyDescent="0.55000000000000004">
      <c r="A2461" t="s">
        <v>2542</v>
      </c>
      <c r="B2461" t="s">
        <v>32</v>
      </c>
      <c r="C2461" s="2">
        <v>44672</v>
      </c>
      <c r="D2461" t="s">
        <v>26</v>
      </c>
      <c r="E2461">
        <v>2455</v>
      </c>
    </row>
    <row r="2462" spans="1:5" x14ac:dyDescent="0.55000000000000004">
      <c r="A2462" t="s">
        <v>2543</v>
      </c>
      <c r="B2462" t="s">
        <v>137</v>
      </c>
      <c r="C2462" s="2">
        <v>43509</v>
      </c>
      <c r="D2462" t="s">
        <v>29</v>
      </c>
      <c r="E2462">
        <v>1572</v>
      </c>
    </row>
    <row r="2463" spans="1:5" x14ac:dyDescent="0.55000000000000004">
      <c r="A2463" t="s">
        <v>2544</v>
      </c>
      <c r="B2463" t="s">
        <v>15</v>
      </c>
      <c r="C2463" s="2">
        <v>44545</v>
      </c>
      <c r="D2463" t="s">
        <v>29</v>
      </c>
      <c r="E2463">
        <v>2540</v>
      </c>
    </row>
    <row r="2464" spans="1:5" x14ac:dyDescent="0.55000000000000004">
      <c r="A2464" t="s">
        <v>2545</v>
      </c>
      <c r="B2464" t="s">
        <v>32</v>
      </c>
      <c r="C2464" s="2">
        <v>44038</v>
      </c>
      <c r="D2464" t="s">
        <v>29</v>
      </c>
      <c r="E2464">
        <v>2666</v>
      </c>
    </row>
    <row r="2465" spans="1:5" x14ac:dyDescent="0.55000000000000004">
      <c r="A2465" t="s">
        <v>2546</v>
      </c>
      <c r="B2465" t="s">
        <v>38</v>
      </c>
      <c r="C2465" s="2">
        <v>43884</v>
      </c>
      <c r="D2465" t="s">
        <v>29</v>
      </c>
      <c r="E2465">
        <v>2118</v>
      </c>
    </row>
    <row r="2466" spans="1:5" x14ac:dyDescent="0.55000000000000004">
      <c r="A2466" t="s">
        <v>2547</v>
      </c>
      <c r="B2466" t="s">
        <v>111</v>
      </c>
      <c r="C2466" s="2">
        <v>44120</v>
      </c>
      <c r="D2466" t="s">
        <v>26</v>
      </c>
      <c r="E2466">
        <v>442</v>
      </c>
    </row>
    <row r="2467" spans="1:5" x14ac:dyDescent="0.55000000000000004">
      <c r="A2467" t="s">
        <v>2548</v>
      </c>
      <c r="B2467" t="s">
        <v>115</v>
      </c>
      <c r="C2467" s="2">
        <v>42942</v>
      </c>
      <c r="D2467" t="s">
        <v>26</v>
      </c>
      <c r="E2467">
        <v>2428</v>
      </c>
    </row>
    <row r="2468" spans="1:5" x14ac:dyDescent="0.55000000000000004">
      <c r="A2468" t="s">
        <v>2549</v>
      </c>
      <c r="B2468" t="s">
        <v>137</v>
      </c>
      <c r="C2468" s="2">
        <v>44259</v>
      </c>
      <c r="D2468" t="s">
        <v>26</v>
      </c>
      <c r="E2468">
        <v>2610</v>
      </c>
    </row>
    <row r="2469" spans="1:5" x14ac:dyDescent="0.55000000000000004">
      <c r="A2469" t="s">
        <v>2550</v>
      </c>
      <c r="B2469" t="s">
        <v>67</v>
      </c>
      <c r="C2469" s="2">
        <v>44515</v>
      </c>
      <c r="D2469" t="s">
        <v>29</v>
      </c>
      <c r="E2469">
        <v>1724</v>
      </c>
    </row>
    <row r="2470" spans="1:5" x14ac:dyDescent="0.55000000000000004">
      <c r="A2470" t="s">
        <v>2551</v>
      </c>
      <c r="B2470" t="s">
        <v>96</v>
      </c>
      <c r="C2470" s="2">
        <v>45287</v>
      </c>
      <c r="D2470" t="s">
        <v>26</v>
      </c>
      <c r="E2470">
        <v>995</v>
      </c>
    </row>
    <row r="2471" spans="1:5" x14ac:dyDescent="0.55000000000000004">
      <c r="A2471" t="s">
        <v>2552</v>
      </c>
      <c r="B2471" t="s">
        <v>72</v>
      </c>
      <c r="C2471" s="2">
        <v>44549</v>
      </c>
      <c r="D2471" t="s">
        <v>26</v>
      </c>
      <c r="E2471">
        <v>247</v>
      </c>
    </row>
    <row r="2472" spans="1:5" x14ac:dyDescent="0.55000000000000004">
      <c r="A2472" t="s">
        <v>2553</v>
      </c>
      <c r="B2472" t="s">
        <v>72</v>
      </c>
      <c r="C2472" s="2">
        <v>43555</v>
      </c>
      <c r="D2472" t="s">
        <v>29</v>
      </c>
      <c r="E2472">
        <v>2101</v>
      </c>
    </row>
    <row r="2473" spans="1:5" x14ac:dyDescent="0.55000000000000004">
      <c r="A2473" t="s">
        <v>2554</v>
      </c>
      <c r="B2473" t="s">
        <v>35</v>
      </c>
      <c r="C2473" s="2">
        <v>44563</v>
      </c>
      <c r="D2473" t="s">
        <v>29</v>
      </c>
      <c r="E2473">
        <v>2390</v>
      </c>
    </row>
    <row r="2474" spans="1:5" x14ac:dyDescent="0.55000000000000004">
      <c r="A2474" t="s">
        <v>2555</v>
      </c>
      <c r="B2474" t="s">
        <v>94</v>
      </c>
      <c r="C2474" s="2">
        <v>45682</v>
      </c>
      <c r="D2474" t="s">
        <v>26</v>
      </c>
      <c r="E2474">
        <v>603</v>
      </c>
    </row>
    <row r="2475" spans="1:5" x14ac:dyDescent="0.55000000000000004">
      <c r="A2475" t="s">
        <v>2556</v>
      </c>
      <c r="B2475" t="s">
        <v>96</v>
      </c>
      <c r="C2475" s="2">
        <v>44730</v>
      </c>
      <c r="D2475" t="s">
        <v>29</v>
      </c>
      <c r="E2475">
        <v>1192</v>
      </c>
    </row>
    <row r="2476" spans="1:5" x14ac:dyDescent="0.55000000000000004">
      <c r="A2476" t="s">
        <v>2557</v>
      </c>
      <c r="B2476" t="s">
        <v>86</v>
      </c>
      <c r="C2476" s="2">
        <v>42933</v>
      </c>
      <c r="D2476" t="s">
        <v>26</v>
      </c>
      <c r="E2476">
        <v>234</v>
      </c>
    </row>
    <row r="2477" spans="1:5" x14ac:dyDescent="0.55000000000000004">
      <c r="A2477" t="s">
        <v>2558</v>
      </c>
      <c r="B2477" t="s">
        <v>63</v>
      </c>
      <c r="C2477" s="2">
        <v>43955</v>
      </c>
      <c r="D2477" t="s">
        <v>26</v>
      </c>
      <c r="E2477">
        <v>1728</v>
      </c>
    </row>
    <row r="2478" spans="1:5" x14ac:dyDescent="0.55000000000000004">
      <c r="A2478" t="s">
        <v>2559</v>
      </c>
      <c r="B2478" t="s">
        <v>86</v>
      </c>
      <c r="C2478" s="2">
        <v>43317</v>
      </c>
      <c r="D2478" t="s">
        <v>26</v>
      </c>
      <c r="E2478">
        <v>2623</v>
      </c>
    </row>
    <row r="2479" spans="1:5" x14ac:dyDescent="0.55000000000000004">
      <c r="A2479" t="s">
        <v>2560</v>
      </c>
      <c r="B2479" t="s">
        <v>151</v>
      </c>
      <c r="C2479" s="2">
        <v>44525</v>
      </c>
      <c r="D2479" t="s">
        <v>26</v>
      </c>
      <c r="E2479">
        <v>1398</v>
      </c>
    </row>
    <row r="2480" spans="1:5" x14ac:dyDescent="0.55000000000000004">
      <c r="A2480" t="s">
        <v>2561</v>
      </c>
      <c r="B2480" t="s">
        <v>151</v>
      </c>
      <c r="C2480" s="2">
        <v>44284</v>
      </c>
      <c r="D2480" t="s">
        <v>29</v>
      </c>
      <c r="E2480">
        <v>2845</v>
      </c>
    </row>
    <row r="2481" spans="1:5" x14ac:dyDescent="0.55000000000000004">
      <c r="A2481" t="s">
        <v>2562</v>
      </c>
      <c r="B2481" t="s">
        <v>41</v>
      </c>
      <c r="C2481" s="2">
        <v>44788</v>
      </c>
      <c r="D2481" t="s">
        <v>29</v>
      </c>
      <c r="E2481">
        <v>2369</v>
      </c>
    </row>
    <row r="2482" spans="1:5" x14ac:dyDescent="0.55000000000000004">
      <c r="A2482" t="s">
        <v>2563</v>
      </c>
      <c r="B2482" t="s">
        <v>23</v>
      </c>
      <c r="C2482" s="2">
        <v>44518</v>
      </c>
      <c r="D2482" t="s">
        <v>29</v>
      </c>
      <c r="E2482">
        <v>1714</v>
      </c>
    </row>
    <row r="2483" spans="1:5" x14ac:dyDescent="0.55000000000000004">
      <c r="A2483" t="s">
        <v>2564</v>
      </c>
      <c r="B2483" t="s">
        <v>111</v>
      </c>
      <c r="C2483" s="2">
        <v>43249</v>
      </c>
      <c r="D2483" t="s">
        <v>26</v>
      </c>
      <c r="E2483">
        <v>1860</v>
      </c>
    </row>
    <row r="2484" spans="1:5" x14ac:dyDescent="0.55000000000000004">
      <c r="A2484" t="s">
        <v>2565</v>
      </c>
      <c r="B2484" t="s">
        <v>94</v>
      </c>
      <c r="C2484" s="2">
        <v>43638</v>
      </c>
      <c r="D2484" t="s">
        <v>29</v>
      </c>
      <c r="E2484">
        <v>898</v>
      </c>
    </row>
    <row r="2485" spans="1:5" x14ac:dyDescent="0.55000000000000004">
      <c r="A2485" t="s">
        <v>2566</v>
      </c>
      <c r="B2485" t="s">
        <v>14</v>
      </c>
      <c r="C2485" s="2">
        <v>44225</v>
      </c>
      <c r="D2485" t="s">
        <v>26</v>
      </c>
      <c r="E2485">
        <v>2839</v>
      </c>
    </row>
    <row r="2486" spans="1:5" x14ac:dyDescent="0.55000000000000004">
      <c r="A2486" t="s">
        <v>2567</v>
      </c>
      <c r="B2486" t="s">
        <v>63</v>
      </c>
      <c r="C2486" s="2">
        <v>43872</v>
      </c>
      <c r="D2486" t="s">
        <v>26</v>
      </c>
      <c r="E2486">
        <v>979</v>
      </c>
    </row>
    <row r="2487" spans="1:5" x14ac:dyDescent="0.55000000000000004">
      <c r="A2487" t="s">
        <v>2568</v>
      </c>
      <c r="B2487" t="s">
        <v>96</v>
      </c>
      <c r="C2487" s="2">
        <v>44823</v>
      </c>
      <c r="D2487" t="s">
        <v>29</v>
      </c>
      <c r="E2487">
        <v>840</v>
      </c>
    </row>
    <row r="2488" spans="1:5" x14ac:dyDescent="0.55000000000000004">
      <c r="A2488" t="s">
        <v>2569</v>
      </c>
      <c r="B2488" t="s">
        <v>101</v>
      </c>
      <c r="C2488" s="2">
        <v>43294</v>
      </c>
      <c r="D2488" t="s">
        <v>26</v>
      </c>
      <c r="E2488">
        <v>1486</v>
      </c>
    </row>
    <row r="2489" spans="1:5" x14ac:dyDescent="0.55000000000000004">
      <c r="A2489" t="s">
        <v>2570</v>
      </c>
      <c r="B2489" t="s">
        <v>14</v>
      </c>
      <c r="C2489" s="2">
        <v>43068</v>
      </c>
      <c r="D2489" t="s">
        <v>29</v>
      </c>
      <c r="E2489">
        <v>122</v>
      </c>
    </row>
    <row r="2490" spans="1:5" x14ac:dyDescent="0.55000000000000004">
      <c r="A2490" t="s">
        <v>2571</v>
      </c>
      <c r="B2490" t="s">
        <v>99</v>
      </c>
      <c r="C2490" s="2">
        <v>43937</v>
      </c>
      <c r="D2490" t="s">
        <v>26</v>
      </c>
      <c r="E2490">
        <v>1190</v>
      </c>
    </row>
    <row r="2491" spans="1:5" x14ac:dyDescent="0.55000000000000004">
      <c r="A2491" t="s">
        <v>2572</v>
      </c>
      <c r="B2491" t="s">
        <v>15</v>
      </c>
      <c r="C2491" s="2">
        <v>43315</v>
      </c>
      <c r="D2491" t="s">
        <v>29</v>
      </c>
      <c r="E2491">
        <v>179</v>
      </c>
    </row>
    <row r="2492" spans="1:5" x14ac:dyDescent="0.55000000000000004">
      <c r="A2492" t="s">
        <v>2573</v>
      </c>
      <c r="B2492" t="s">
        <v>14</v>
      </c>
      <c r="C2492" s="2">
        <v>43324</v>
      </c>
      <c r="D2492" t="s">
        <v>26</v>
      </c>
      <c r="E2492">
        <v>1163</v>
      </c>
    </row>
    <row r="2493" spans="1:5" x14ac:dyDescent="0.55000000000000004">
      <c r="A2493" t="s">
        <v>2574</v>
      </c>
      <c r="B2493" t="s">
        <v>105</v>
      </c>
      <c r="C2493" s="2">
        <v>43365</v>
      </c>
      <c r="D2493" t="s">
        <v>29</v>
      </c>
      <c r="E2493">
        <v>2944</v>
      </c>
    </row>
    <row r="2494" spans="1:5" x14ac:dyDescent="0.55000000000000004">
      <c r="A2494" t="s">
        <v>2575</v>
      </c>
      <c r="B2494" t="s">
        <v>105</v>
      </c>
      <c r="C2494" s="2">
        <v>43612</v>
      </c>
      <c r="D2494" t="s">
        <v>26</v>
      </c>
      <c r="E2494">
        <v>731</v>
      </c>
    </row>
    <row r="2495" spans="1:5" x14ac:dyDescent="0.55000000000000004">
      <c r="A2495" t="s">
        <v>2576</v>
      </c>
      <c r="B2495" t="s">
        <v>151</v>
      </c>
      <c r="C2495" s="2">
        <v>42961</v>
      </c>
      <c r="D2495" t="s">
        <v>26</v>
      </c>
      <c r="E2495">
        <v>1072</v>
      </c>
    </row>
    <row r="2496" spans="1:5" x14ac:dyDescent="0.55000000000000004">
      <c r="A2496" t="s">
        <v>2577</v>
      </c>
      <c r="B2496" t="s">
        <v>115</v>
      </c>
      <c r="C2496" s="2">
        <v>42959</v>
      </c>
      <c r="D2496" t="s">
        <v>26</v>
      </c>
      <c r="E2496">
        <v>1552</v>
      </c>
    </row>
    <row r="2497" spans="1:5" x14ac:dyDescent="0.55000000000000004">
      <c r="A2497" t="s">
        <v>2578</v>
      </c>
      <c r="B2497" t="s">
        <v>35</v>
      </c>
      <c r="C2497" s="2">
        <v>44058</v>
      </c>
      <c r="D2497" t="s">
        <v>29</v>
      </c>
      <c r="E2497">
        <v>861</v>
      </c>
    </row>
    <row r="2498" spans="1:5" x14ac:dyDescent="0.55000000000000004">
      <c r="A2498" t="s">
        <v>2579</v>
      </c>
      <c r="B2498" t="s">
        <v>156</v>
      </c>
      <c r="C2498" s="2">
        <v>43851</v>
      </c>
      <c r="D2498" t="s">
        <v>26</v>
      </c>
      <c r="E2498">
        <v>1514</v>
      </c>
    </row>
    <row r="2499" spans="1:5" x14ac:dyDescent="0.55000000000000004">
      <c r="A2499" t="s">
        <v>2580</v>
      </c>
      <c r="B2499" t="s">
        <v>137</v>
      </c>
      <c r="C2499" s="2">
        <v>44991</v>
      </c>
      <c r="D2499" t="s">
        <v>26</v>
      </c>
      <c r="E2499">
        <v>2158</v>
      </c>
    </row>
    <row r="2500" spans="1:5" x14ac:dyDescent="0.55000000000000004">
      <c r="A2500" t="s">
        <v>2581</v>
      </c>
      <c r="B2500" t="s">
        <v>137</v>
      </c>
      <c r="C2500" s="2">
        <v>45242</v>
      </c>
      <c r="D2500" t="s">
        <v>26</v>
      </c>
      <c r="E2500">
        <v>485</v>
      </c>
    </row>
    <row r="2501" spans="1:5" x14ac:dyDescent="0.55000000000000004">
      <c r="A2501" t="s">
        <v>2582</v>
      </c>
      <c r="B2501" t="s">
        <v>72</v>
      </c>
      <c r="C2501" s="2">
        <v>43184</v>
      </c>
      <c r="D2501" t="s">
        <v>26</v>
      </c>
      <c r="E2501">
        <v>785</v>
      </c>
    </row>
    <row r="2502" spans="1:5" x14ac:dyDescent="0.55000000000000004">
      <c r="A2502" t="s">
        <v>2583</v>
      </c>
      <c r="B2502" t="s">
        <v>99</v>
      </c>
      <c r="C2502" s="2">
        <v>45015</v>
      </c>
      <c r="D2502" t="s">
        <v>29</v>
      </c>
      <c r="E2502">
        <v>1302</v>
      </c>
    </row>
    <row r="2503" spans="1:5" x14ac:dyDescent="0.55000000000000004">
      <c r="A2503" t="s">
        <v>2584</v>
      </c>
      <c r="B2503" t="s">
        <v>32</v>
      </c>
      <c r="C2503" s="2">
        <v>44710</v>
      </c>
      <c r="D2503" t="s">
        <v>26</v>
      </c>
      <c r="E2503">
        <v>189</v>
      </c>
    </row>
    <row r="2504" spans="1:5" x14ac:dyDescent="0.55000000000000004">
      <c r="A2504" t="s">
        <v>2585</v>
      </c>
      <c r="B2504" t="s">
        <v>118</v>
      </c>
      <c r="C2504" s="2">
        <v>44240</v>
      </c>
      <c r="D2504" t="s">
        <v>29</v>
      </c>
      <c r="E2504">
        <v>608</v>
      </c>
    </row>
    <row r="2505" spans="1:5" x14ac:dyDescent="0.55000000000000004">
      <c r="A2505" t="s">
        <v>2586</v>
      </c>
      <c r="B2505" t="s">
        <v>111</v>
      </c>
      <c r="C2505" s="2">
        <v>43423</v>
      </c>
      <c r="D2505" t="s">
        <v>26</v>
      </c>
      <c r="E2505">
        <v>2578</v>
      </c>
    </row>
    <row r="2506" spans="1:5" x14ac:dyDescent="0.55000000000000004">
      <c r="A2506" t="s">
        <v>2587</v>
      </c>
      <c r="B2506" t="s">
        <v>137</v>
      </c>
      <c r="C2506" s="2">
        <v>44613</v>
      </c>
      <c r="D2506" t="s">
        <v>26</v>
      </c>
      <c r="E2506">
        <v>2081</v>
      </c>
    </row>
    <row r="2507" spans="1:5" x14ac:dyDescent="0.55000000000000004">
      <c r="A2507" t="s">
        <v>2588</v>
      </c>
      <c r="B2507" t="s">
        <v>23</v>
      </c>
      <c r="C2507" s="2">
        <v>44832</v>
      </c>
      <c r="D2507" t="s">
        <v>26</v>
      </c>
      <c r="E2507">
        <v>2979</v>
      </c>
    </row>
    <row r="2508" spans="1:5" x14ac:dyDescent="0.55000000000000004">
      <c r="A2508" t="s">
        <v>2589</v>
      </c>
      <c r="B2508" t="s">
        <v>74</v>
      </c>
      <c r="C2508" s="2">
        <v>44523</v>
      </c>
      <c r="D2508" t="s">
        <v>29</v>
      </c>
      <c r="E2508">
        <v>2717</v>
      </c>
    </row>
    <row r="2509" spans="1:5" x14ac:dyDescent="0.55000000000000004">
      <c r="A2509" t="s">
        <v>2590</v>
      </c>
      <c r="B2509" t="s">
        <v>32</v>
      </c>
      <c r="C2509" s="2">
        <v>43963</v>
      </c>
      <c r="D2509" t="s">
        <v>26</v>
      </c>
      <c r="E2509">
        <v>2083</v>
      </c>
    </row>
    <row r="2510" spans="1:5" x14ac:dyDescent="0.55000000000000004">
      <c r="A2510" t="s">
        <v>2591</v>
      </c>
      <c r="B2510" t="s">
        <v>101</v>
      </c>
      <c r="C2510" s="2">
        <v>44455</v>
      </c>
      <c r="D2510" t="s">
        <v>29</v>
      </c>
      <c r="E2510">
        <v>2042</v>
      </c>
    </row>
    <row r="2511" spans="1:5" x14ac:dyDescent="0.55000000000000004">
      <c r="A2511" t="s">
        <v>2592</v>
      </c>
      <c r="B2511" t="s">
        <v>67</v>
      </c>
      <c r="C2511" s="2">
        <v>45367</v>
      </c>
      <c r="D2511" t="s">
        <v>26</v>
      </c>
      <c r="E2511">
        <v>1318</v>
      </c>
    </row>
    <row r="2512" spans="1:5" x14ac:dyDescent="0.55000000000000004">
      <c r="A2512" t="s">
        <v>2593</v>
      </c>
      <c r="B2512" t="s">
        <v>41</v>
      </c>
      <c r="C2512" s="2">
        <v>44596</v>
      </c>
      <c r="D2512" t="s">
        <v>29</v>
      </c>
      <c r="E2512">
        <v>2931</v>
      </c>
    </row>
    <row r="2513" spans="1:5" x14ac:dyDescent="0.55000000000000004">
      <c r="A2513" t="s">
        <v>2594</v>
      </c>
      <c r="B2513" t="s">
        <v>96</v>
      </c>
      <c r="C2513" s="2">
        <v>45406</v>
      </c>
      <c r="D2513" t="s">
        <v>29</v>
      </c>
      <c r="E2513">
        <v>2380</v>
      </c>
    </row>
    <row r="2514" spans="1:5" x14ac:dyDescent="0.55000000000000004">
      <c r="A2514" t="s">
        <v>2595</v>
      </c>
      <c r="B2514" t="s">
        <v>101</v>
      </c>
      <c r="C2514" s="2">
        <v>44223</v>
      </c>
      <c r="D2514" t="s">
        <v>26</v>
      </c>
      <c r="E2514">
        <v>848</v>
      </c>
    </row>
    <row r="2515" spans="1:5" x14ac:dyDescent="0.55000000000000004">
      <c r="A2515" t="s">
        <v>2596</v>
      </c>
      <c r="B2515" t="s">
        <v>63</v>
      </c>
      <c r="C2515" s="2">
        <v>43332</v>
      </c>
      <c r="D2515" t="s">
        <v>29</v>
      </c>
      <c r="E2515">
        <v>960</v>
      </c>
    </row>
    <row r="2516" spans="1:5" x14ac:dyDescent="0.55000000000000004">
      <c r="A2516" t="s">
        <v>2597</v>
      </c>
      <c r="B2516" t="s">
        <v>101</v>
      </c>
      <c r="C2516" s="2">
        <v>43364</v>
      </c>
      <c r="D2516" t="s">
        <v>29</v>
      </c>
      <c r="E2516">
        <v>1740</v>
      </c>
    </row>
    <row r="2517" spans="1:5" x14ac:dyDescent="0.55000000000000004">
      <c r="A2517" t="s">
        <v>2598</v>
      </c>
      <c r="B2517" t="s">
        <v>94</v>
      </c>
      <c r="C2517" s="2">
        <v>45010</v>
      </c>
      <c r="D2517" t="s">
        <v>26</v>
      </c>
      <c r="E2517">
        <v>1532</v>
      </c>
    </row>
    <row r="2518" spans="1:5" x14ac:dyDescent="0.55000000000000004">
      <c r="A2518" t="s">
        <v>2599</v>
      </c>
      <c r="B2518" t="s">
        <v>84</v>
      </c>
      <c r="C2518" s="2">
        <v>44044</v>
      </c>
      <c r="D2518" t="s">
        <v>26</v>
      </c>
      <c r="E2518">
        <v>550</v>
      </c>
    </row>
    <row r="2519" spans="1:5" x14ac:dyDescent="0.55000000000000004">
      <c r="A2519" t="s">
        <v>2600</v>
      </c>
      <c r="B2519" t="s">
        <v>118</v>
      </c>
      <c r="C2519" s="2">
        <v>43810</v>
      </c>
      <c r="D2519" t="s">
        <v>29</v>
      </c>
      <c r="E2519">
        <v>1820</v>
      </c>
    </row>
    <row r="2520" spans="1:5" x14ac:dyDescent="0.55000000000000004">
      <c r="A2520" t="s">
        <v>2601</v>
      </c>
      <c r="B2520" t="s">
        <v>67</v>
      </c>
      <c r="C2520" s="2">
        <v>44906</v>
      </c>
      <c r="D2520" t="s">
        <v>26</v>
      </c>
      <c r="E2520">
        <v>2391</v>
      </c>
    </row>
    <row r="2521" spans="1:5" x14ac:dyDescent="0.55000000000000004">
      <c r="A2521" t="s">
        <v>2602</v>
      </c>
      <c r="B2521" t="s">
        <v>142</v>
      </c>
      <c r="C2521" s="2">
        <v>43869</v>
      </c>
      <c r="D2521" t="s">
        <v>29</v>
      </c>
      <c r="E2521">
        <v>1745</v>
      </c>
    </row>
    <row r="2522" spans="1:5" x14ac:dyDescent="0.55000000000000004">
      <c r="A2522" t="s">
        <v>2603</v>
      </c>
      <c r="B2522" t="s">
        <v>15</v>
      </c>
      <c r="C2522" s="2">
        <v>43874</v>
      </c>
      <c r="D2522" t="s">
        <v>29</v>
      </c>
      <c r="E2522">
        <v>1675</v>
      </c>
    </row>
    <row r="2523" spans="1:5" x14ac:dyDescent="0.55000000000000004">
      <c r="A2523" t="s">
        <v>2604</v>
      </c>
      <c r="B2523" t="s">
        <v>86</v>
      </c>
      <c r="C2523" s="2">
        <v>43935</v>
      </c>
      <c r="D2523" t="s">
        <v>29</v>
      </c>
      <c r="E2523">
        <v>1118</v>
      </c>
    </row>
    <row r="2524" spans="1:5" x14ac:dyDescent="0.55000000000000004">
      <c r="A2524" t="s">
        <v>2605</v>
      </c>
      <c r="B2524" t="s">
        <v>101</v>
      </c>
      <c r="C2524" s="2">
        <v>42967</v>
      </c>
      <c r="D2524" t="s">
        <v>26</v>
      </c>
      <c r="E2524">
        <v>1809</v>
      </c>
    </row>
    <row r="2525" spans="1:5" x14ac:dyDescent="0.55000000000000004">
      <c r="A2525" t="s">
        <v>2606</v>
      </c>
      <c r="B2525" t="s">
        <v>63</v>
      </c>
      <c r="C2525" s="2">
        <v>43460</v>
      </c>
      <c r="D2525" t="s">
        <v>26</v>
      </c>
      <c r="E2525">
        <v>1470</v>
      </c>
    </row>
    <row r="2526" spans="1:5" x14ac:dyDescent="0.55000000000000004">
      <c r="A2526" t="s">
        <v>2607</v>
      </c>
      <c r="B2526" t="s">
        <v>94</v>
      </c>
      <c r="C2526" s="2">
        <v>43803</v>
      </c>
      <c r="D2526" t="s">
        <v>29</v>
      </c>
      <c r="E2526">
        <v>2055</v>
      </c>
    </row>
    <row r="2527" spans="1:5" x14ac:dyDescent="0.55000000000000004">
      <c r="A2527" t="s">
        <v>2608</v>
      </c>
      <c r="B2527" t="s">
        <v>67</v>
      </c>
      <c r="C2527" s="2">
        <v>45705</v>
      </c>
      <c r="D2527" t="s">
        <v>26</v>
      </c>
      <c r="E2527">
        <v>1132</v>
      </c>
    </row>
    <row r="2528" spans="1:5" x14ac:dyDescent="0.55000000000000004">
      <c r="A2528" t="s">
        <v>2609</v>
      </c>
      <c r="B2528" t="s">
        <v>63</v>
      </c>
      <c r="C2528" s="2">
        <v>43118</v>
      </c>
      <c r="D2528" t="s">
        <v>26</v>
      </c>
      <c r="E2528">
        <v>292</v>
      </c>
    </row>
    <row r="2529" spans="1:5" x14ac:dyDescent="0.55000000000000004">
      <c r="A2529" t="s">
        <v>2610</v>
      </c>
      <c r="B2529" t="s">
        <v>86</v>
      </c>
      <c r="C2529" s="2">
        <v>42995</v>
      </c>
      <c r="D2529" t="s">
        <v>26</v>
      </c>
      <c r="E2529">
        <v>1367</v>
      </c>
    </row>
    <row r="2530" spans="1:5" x14ac:dyDescent="0.55000000000000004">
      <c r="A2530" t="s">
        <v>2611</v>
      </c>
      <c r="B2530" t="s">
        <v>151</v>
      </c>
      <c r="C2530" s="2">
        <v>44299</v>
      </c>
      <c r="D2530" t="s">
        <v>29</v>
      </c>
      <c r="E2530">
        <v>1024</v>
      </c>
    </row>
    <row r="2531" spans="1:5" x14ac:dyDescent="0.55000000000000004">
      <c r="A2531" t="s">
        <v>2612</v>
      </c>
      <c r="B2531" t="s">
        <v>156</v>
      </c>
      <c r="C2531" s="2">
        <v>44443</v>
      </c>
      <c r="D2531" t="s">
        <v>29</v>
      </c>
      <c r="E2531">
        <v>780</v>
      </c>
    </row>
    <row r="2532" spans="1:5" x14ac:dyDescent="0.55000000000000004">
      <c r="A2532" t="s">
        <v>2613</v>
      </c>
      <c r="B2532" t="s">
        <v>41</v>
      </c>
      <c r="C2532" s="2">
        <v>44113</v>
      </c>
      <c r="D2532" t="s">
        <v>29</v>
      </c>
      <c r="E2532">
        <v>34</v>
      </c>
    </row>
    <row r="2533" spans="1:5" x14ac:dyDescent="0.55000000000000004">
      <c r="A2533" t="s">
        <v>2614</v>
      </c>
      <c r="B2533" t="s">
        <v>118</v>
      </c>
      <c r="C2533" s="2">
        <v>44692</v>
      </c>
      <c r="D2533" t="s">
        <v>29</v>
      </c>
      <c r="E2533">
        <v>1419</v>
      </c>
    </row>
    <row r="2534" spans="1:5" x14ac:dyDescent="0.55000000000000004">
      <c r="A2534" t="s">
        <v>2615</v>
      </c>
      <c r="B2534" t="s">
        <v>137</v>
      </c>
      <c r="C2534" s="2">
        <v>45120</v>
      </c>
      <c r="D2534" t="s">
        <v>29</v>
      </c>
      <c r="E2534">
        <v>2375</v>
      </c>
    </row>
    <row r="2535" spans="1:5" x14ac:dyDescent="0.55000000000000004">
      <c r="A2535" t="s">
        <v>2616</v>
      </c>
      <c r="B2535" t="s">
        <v>118</v>
      </c>
      <c r="C2535" s="2">
        <v>43514</v>
      </c>
      <c r="D2535" t="s">
        <v>29</v>
      </c>
      <c r="E2535">
        <v>2679</v>
      </c>
    </row>
    <row r="2536" spans="1:5" x14ac:dyDescent="0.55000000000000004">
      <c r="A2536" t="s">
        <v>2617</v>
      </c>
      <c r="B2536" t="s">
        <v>67</v>
      </c>
      <c r="C2536" s="2">
        <v>44077</v>
      </c>
      <c r="D2536" t="s">
        <v>29</v>
      </c>
      <c r="E2536">
        <v>932</v>
      </c>
    </row>
    <row r="2537" spans="1:5" x14ac:dyDescent="0.55000000000000004">
      <c r="A2537" t="s">
        <v>2618</v>
      </c>
      <c r="B2537" t="s">
        <v>63</v>
      </c>
      <c r="C2537" s="2">
        <v>44398</v>
      </c>
      <c r="D2537" t="s">
        <v>26</v>
      </c>
      <c r="E2537">
        <v>1943</v>
      </c>
    </row>
    <row r="2538" spans="1:5" x14ac:dyDescent="0.55000000000000004">
      <c r="A2538" t="s">
        <v>2619</v>
      </c>
      <c r="B2538" t="s">
        <v>63</v>
      </c>
      <c r="C2538" s="2">
        <v>43973</v>
      </c>
      <c r="D2538" t="s">
        <v>29</v>
      </c>
      <c r="E2538">
        <v>2959</v>
      </c>
    </row>
    <row r="2539" spans="1:5" x14ac:dyDescent="0.55000000000000004">
      <c r="A2539" t="s">
        <v>2620</v>
      </c>
      <c r="B2539" t="s">
        <v>175</v>
      </c>
      <c r="C2539" s="2">
        <v>45355</v>
      </c>
      <c r="D2539" t="s">
        <v>29</v>
      </c>
      <c r="E2539">
        <v>351</v>
      </c>
    </row>
    <row r="2540" spans="1:5" x14ac:dyDescent="0.55000000000000004">
      <c r="A2540" t="s">
        <v>2621</v>
      </c>
      <c r="B2540" t="s">
        <v>111</v>
      </c>
      <c r="C2540" s="2">
        <v>43301</v>
      </c>
      <c r="D2540" t="s">
        <v>29</v>
      </c>
      <c r="E2540">
        <v>2858</v>
      </c>
    </row>
    <row r="2541" spans="1:5" x14ac:dyDescent="0.55000000000000004">
      <c r="A2541" t="s">
        <v>2622</v>
      </c>
      <c r="B2541" t="s">
        <v>140</v>
      </c>
      <c r="C2541" s="2">
        <v>43346</v>
      </c>
      <c r="D2541" t="s">
        <v>29</v>
      </c>
      <c r="E2541">
        <v>1843</v>
      </c>
    </row>
    <row r="2542" spans="1:5" x14ac:dyDescent="0.55000000000000004">
      <c r="A2542" t="s">
        <v>2623</v>
      </c>
      <c r="B2542" t="s">
        <v>76</v>
      </c>
      <c r="C2542" s="2">
        <v>45753</v>
      </c>
      <c r="D2542" t="s">
        <v>26</v>
      </c>
      <c r="E2542">
        <v>1534</v>
      </c>
    </row>
    <row r="2543" spans="1:5" x14ac:dyDescent="0.55000000000000004">
      <c r="A2543" t="s">
        <v>2624</v>
      </c>
      <c r="B2543" t="s">
        <v>72</v>
      </c>
      <c r="C2543" s="2">
        <v>44099</v>
      </c>
      <c r="D2543" t="s">
        <v>26</v>
      </c>
      <c r="E2543">
        <v>1251</v>
      </c>
    </row>
    <row r="2544" spans="1:5" x14ac:dyDescent="0.55000000000000004">
      <c r="A2544" t="s">
        <v>2625</v>
      </c>
      <c r="B2544" t="s">
        <v>78</v>
      </c>
      <c r="C2544" s="2">
        <v>43505</v>
      </c>
      <c r="D2544" t="s">
        <v>29</v>
      </c>
      <c r="E2544">
        <v>2698</v>
      </c>
    </row>
    <row r="2545" spans="1:5" x14ac:dyDescent="0.55000000000000004">
      <c r="A2545" t="s">
        <v>2626</v>
      </c>
      <c r="B2545" t="s">
        <v>175</v>
      </c>
      <c r="C2545" s="2">
        <v>44918</v>
      </c>
      <c r="D2545" t="s">
        <v>29</v>
      </c>
      <c r="E2545">
        <v>923</v>
      </c>
    </row>
    <row r="2546" spans="1:5" x14ac:dyDescent="0.55000000000000004">
      <c r="A2546" t="s">
        <v>2627</v>
      </c>
      <c r="B2546" t="s">
        <v>140</v>
      </c>
      <c r="C2546" s="2">
        <v>43788</v>
      </c>
      <c r="D2546" t="s">
        <v>29</v>
      </c>
      <c r="E2546">
        <v>2828</v>
      </c>
    </row>
    <row r="2547" spans="1:5" x14ac:dyDescent="0.55000000000000004">
      <c r="A2547" t="s">
        <v>2628</v>
      </c>
      <c r="B2547" t="s">
        <v>99</v>
      </c>
      <c r="C2547" s="2">
        <v>44693</v>
      </c>
      <c r="D2547" t="s">
        <v>29</v>
      </c>
      <c r="E2547">
        <v>2404</v>
      </c>
    </row>
    <row r="2548" spans="1:5" x14ac:dyDescent="0.55000000000000004">
      <c r="A2548" t="s">
        <v>2629</v>
      </c>
      <c r="B2548" t="s">
        <v>14</v>
      </c>
      <c r="C2548" s="2">
        <v>44079</v>
      </c>
      <c r="D2548" t="s">
        <v>26</v>
      </c>
      <c r="E2548">
        <v>569</v>
      </c>
    </row>
    <row r="2549" spans="1:5" x14ac:dyDescent="0.55000000000000004">
      <c r="A2549" t="s">
        <v>2630</v>
      </c>
      <c r="B2549" t="s">
        <v>72</v>
      </c>
      <c r="C2549" s="2">
        <v>43593</v>
      </c>
      <c r="D2549" t="s">
        <v>29</v>
      </c>
      <c r="E2549">
        <v>1561</v>
      </c>
    </row>
    <row r="2550" spans="1:5" x14ac:dyDescent="0.55000000000000004">
      <c r="A2550" t="s">
        <v>2631</v>
      </c>
      <c r="B2550" t="s">
        <v>151</v>
      </c>
      <c r="C2550" s="2">
        <v>43717</v>
      </c>
      <c r="D2550" t="s">
        <v>26</v>
      </c>
      <c r="E2550">
        <v>2189</v>
      </c>
    </row>
    <row r="2551" spans="1:5" x14ac:dyDescent="0.55000000000000004">
      <c r="A2551" t="s">
        <v>2632</v>
      </c>
      <c r="B2551" t="s">
        <v>101</v>
      </c>
      <c r="C2551" s="2">
        <v>43302</v>
      </c>
      <c r="D2551" t="s">
        <v>29</v>
      </c>
      <c r="E2551">
        <v>444</v>
      </c>
    </row>
    <row r="2552" spans="1:5" x14ac:dyDescent="0.55000000000000004">
      <c r="A2552" t="s">
        <v>2633</v>
      </c>
      <c r="B2552" t="s">
        <v>111</v>
      </c>
      <c r="C2552" s="2">
        <v>44083</v>
      </c>
      <c r="D2552" t="s">
        <v>29</v>
      </c>
      <c r="E2552">
        <v>2617</v>
      </c>
    </row>
    <row r="2553" spans="1:5" x14ac:dyDescent="0.55000000000000004">
      <c r="A2553" t="s">
        <v>2634</v>
      </c>
      <c r="B2553" t="s">
        <v>94</v>
      </c>
      <c r="C2553" s="2">
        <v>44713</v>
      </c>
      <c r="D2553" t="s">
        <v>26</v>
      </c>
      <c r="E2553">
        <v>702</v>
      </c>
    </row>
    <row r="2554" spans="1:5" x14ac:dyDescent="0.55000000000000004">
      <c r="A2554" t="s">
        <v>2635</v>
      </c>
      <c r="B2554" t="s">
        <v>115</v>
      </c>
      <c r="C2554" s="2">
        <v>44299</v>
      </c>
      <c r="D2554" t="s">
        <v>26</v>
      </c>
      <c r="E2554">
        <v>131</v>
      </c>
    </row>
    <row r="2555" spans="1:5" x14ac:dyDescent="0.55000000000000004">
      <c r="A2555" t="s">
        <v>2636</v>
      </c>
      <c r="B2555" t="s">
        <v>175</v>
      </c>
      <c r="C2555" s="2">
        <v>45467</v>
      </c>
      <c r="D2555" t="s">
        <v>26</v>
      </c>
      <c r="E2555">
        <v>764</v>
      </c>
    </row>
    <row r="2556" spans="1:5" x14ac:dyDescent="0.55000000000000004">
      <c r="A2556" t="s">
        <v>2637</v>
      </c>
      <c r="B2556" t="s">
        <v>151</v>
      </c>
      <c r="C2556" s="2">
        <v>43059</v>
      </c>
      <c r="D2556" t="s">
        <v>29</v>
      </c>
      <c r="E2556">
        <v>1162</v>
      </c>
    </row>
    <row r="2557" spans="1:5" x14ac:dyDescent="0.55000000000000004">
      <c r="A2557" t="s">
        <v>2638</v>
      </c>
      <c r="B2557" t="s">
        <v>151</v>
      </c>
      <c r="C2557" s="2">
        <v>43394</v>
      </c>
      <c r="D2557" t="s">
        <v>29</v>
      </c>
      <c r="E2557">
        <v>2701</v>
      </c>
    </row>
    <row r="2558" spans="1:5" x14ac:dyDescent="0.55000000000000004">
      <c r="A2558" t="s">
        <v>2639</v>
      </c>
      <c r="B2558" t="s">
        <v>67</v>
      </c>
      <c r="C2558" s="2">
        <v>43752</v>
      </c>
      <c r="D2558" t="s">
        <v>29</v>
      </c>
      <c r="E2558">
        <v>235</v>
      </c>
    </row>
    <row r="2559" spans="1:5" x14ac:dyDescent="0.55000000000000004">
      <c r="A2559" t="s">
        <v>2640</v>
      </c>
      <c r="B2559" t="s">
        <v>86</v>
      </c>
      <c r="C2559" s="2">
        <v>43978</v>
      </c>
      <c r="D2559" t="s">
        <v>26</v>
      </c>
      <c r="E2559">
        <v>703</v>
      </c>
    </row>
    <row r="2560" spans="1:5" x14ac:dyDescent="0.55000000000000004">
      <c r="A2560" t="s">
        <v>2641</v>
      </c>
      <c r="B2560" t="s">
        <v>111</v>
      </c>
      <c r="C2560" s="2">
        <v>43758</v>
      </c>
      <c r="D2560" t="s">
        <v>29</v>
      </c>
      <c r="E2560">
        <v>643</v>
      </c>
    </row>
    <row r="2561" spans="1:5" x14ac:dyDescent="0.55000000000000004">
      <c r="A2561" t="s">
        <v>2642</v>
      </c>
      <c r="B2561" t="s">
        <v>115</v>
      </c>
      <c r="C2561" s="2">
        <v>43181</v>
      </c>
      <c r="D2561" t="s">
        <v>29</v>
      </c>
      <c r="E2561">
        <v>1958</v>
      </c>
    </row>
    <row r="2562" spans="1:5" x14ac:dyDescent="0.55000000000000004">
      <c r="A2562" t="s">
        <v>2643</v>
      </c>
      <c r="B2562" t="s">
        <v>78</v>
      </c>
      <c r="C2562" s="2">
        <v>43747</v>
      </c>
      <c r="D2562" t="s">
        <v>29</v>
      </c>
      <c r="E2562">
        <v>845</v>
      </c>
    </row>
    <row r="2563" spans="1:5" x14ac:dyDescent="0.55000000000000004">
      <c r="A2563" t="s">
        <v>2644</v>
      </c>
      <c r="B2563" t="s">
        <v>72</v>
      </c>
      <c r="C2563" s="2">
        <v>43338</v>
      </c>
      <c r="D2563" t="s">
        <v>29</v>
      </c>
      <c r="E2563">
        <v>1770</v>
      </c>
    </row>
    <row r="2564" spans="1:5" x14ac:dyDescent="0.55000000000000004">
      <c r="A2564" t="s">
        <v>2645</v>
      </c>
      <c r="B2564" t="s">
        <v>175</v>
      </c>
      <c r="C2564" s="2">
        <v>45410</v>
      </c>
      <c r="D2564" t="s">
        <v>26</v>
      </c>
      <c r="E2564">
        <v>2472</v>
      </c>
    </row>
    <row r="2565" spans="1:5" x14ac:dyDescent="0.55000000000000004">
      <c r="A2565" t="s">
        <v>2646</v>
      </c>
      <c r="B2565" t="s">
        <v>23</v>
      </c>
      <c r="C2565" s="2">
        <v>44466</v>
      </c>
      <c r="D2565" t="s">
        <v>26</v>
      </c>
      <c r="E2565">
        <v>2058</v>
      </c>
    </row>
    <row r="2566" spans="1:5" x14ac:dyDescent="0.55000000000000004">
      <c r="A2566" t="s">
        <v>2647</v>
      </c>
      <c r="B2566" t="s">
        <v>41</v>
      </c>
      <c r="C2566" s="2">
        <v>44770</v>
      </c>
      <c r="D2566" t="s">
        <v>29</v>
      </c>
      <c r="E2566">
        <v>826</v>
      </c>
    </row>
    <row r="2567" spans="1:5" x14ac:dyDescent="0.55000000000000004">
      <c r="A2567" t="s">
        <v>2648</v>
      </c>
      <c r="B2567" t="s">
        <v>14</v>
      </c>
      <c r="C2567" s="2">
        <v>43209</v>
      </c>
      <c r="D2567" t="s">
        <v>29</v>
      </c>
      <c r="E2567">
        <v>262</v>
      </c>
    </row>
    <row r="2568" spans="1:5" x14ac:dyDescent="0.55000000000000004">
      <c r="A2568" t="s">
        <v>2649</v>
      </c>
      <c r="B2568" t="s">
        <v>175</v>
      </c>
      <c r="C2568" s="2">
        <v>45101</v>
      </c>
      <c r="D2568" t="s">
        <v>26</v>
      </c>
      <c r="E2568">
        <v>2153</v>
      </c>
    </row>
    <row r="2569" spans="1:5" x14ac:dyDescent="0.55000000000000004">
      <c r="A2569" t="s">
        <v>2650</v>
      </c>
      <c r="B2569" t="s">
        <v>111</v>
      </c>
      <c r="C2569" s="2">
        <v>44082</v>
      </c>
      <c r="D2569" t="s">
        <v>29</v>
      </c>
      <c r="E2569">
        <v>1884</v>
      </c>
    </row>
    <row r="2570" spans="1:5" x14ac:dyDescent="0.55000000000000004">
      <c r="A2570" t="s">
        <v>2651</v>
      </c>
      <c r="B2570" t="s">
        <v>15</v>
      </c>
      <c r="C2570" s="2">
        <v>44096</v>
      </c>
      <c r="D2570" t="s">
        <v>26</v>
      </c>
      <c r="E2570">
        <v>373</v>
      </c>
    </row>
    <row r="2571" spans="1:5" x14ac:dyDescent="0.55000000000000004">
      <c r="A2571" t="s">
        <v>2652</v>
      </c>
      <c r="B2571" t="s">
        <v>156</v>
      </c>
      <c r="C2571" s="2">
        <v>44240</v>
      </c>
      <c r="D2571" t="s">
        <v>29</v>
      </c>
      <c r="E2571">
        <v>1420</v>
      </c>
    </row>
    <row r="2572" spans="1:5" x14ac:dyDescent="0.55000000000000004">
      <c r="A2572" t="s">
        <v>2653</v>
      </c>
      <c r="B2572" t="s">
        <v>41</v>
      </c>
      <c r="C2572" s="2">
        <v>44440</v>
      </c>
      <c r="D2572" t="s">
        <v>29</v>
      </c>
      <c r="E2572">
        <v>2510</v>
      </c>
    </row>
    <row r="2573" spans="1:5" x14ac:dyDescent="0.55000000000000004">
      <c r="A2573" t="s">
        <v>2654</v>
      </c>
      <c r="B2573" t="s">
        <v>175</v>
      </c>
      <c r="C2573" s="2">
        <v>44183</v>
      </c>
      <c r="D2573" t="s">
        <v>29</v>
      </c>
      <c r="E2573">
        <v>1020</v>
      </c>
    </row>
    <row r="2574" spans="1:5" x14ac:dyDescent="0.55000000000000004">
      <c r="A2574" t="s">
        <v>2655</v>
      </c>
      <c r="B2574" t="s">
        <v>105</v>
      </c>
      <c r="C2574" s="2">
        <v>44182</v>
      </c>
      <c r="D2574" t="s">
        <v>29</v>
      </c>
      <c r="E2574">
        <v>1875</v>
      </c>
    </row>
    <row r="2575" spans="1:5" x14ac:dyDescent="0.55000000000000004">
      <c r="A2575" t="s">
        <v>2656</v>
      </c>
      <c r="B2575" t="s">
        <v>101</v>
      </c>
      <c r="C2575" s="2">
        <v>44266</v>
      </c>
      <c r="D2575" t="s">
        <v>26</v>
      </c>
      <c r="E2575">
        <v>2861</v>
      </c>
    </row>
    <row r="2576" spans="1:5" x14ac:dyDescent="0.55000000000000004">
      <c r="A2576" t="s">
        <v>2657</v>
      </c>
      <c r="B2576" t="s">
        <v>23</v>
      </c>
      <c r="C2576" s="2">
        <v>44026</v>
      </c>
      <c r="D2576" t="s">
        <v>29</v>
      </c>
      <c r="E2576">
        <v>2861</v>
      </c>
    </row>
    <row r="2577" spans="1:5" x14ac:dyDescent="0.55000000000000004">
      <c r="A2577" t="s">
        <v>2658</v>
      </c>
      <c r="B2577" t="s">
        <v>142</v>
      </c>
      <c r="C2577" s="2">
        <v>43407</v>
      </c>
      <c r="D2577" t="s">
        <v>26</v>
      </c>
      <c r="E2577">
        <v>1121</v>
      </c>
    </row>
    <row r="2578" spans="1:5" x14ac:dyDescent="0.55000000000000004">
      <c r="A2578" t="s">
        <v>2659</v>
      </c>
      <c r="B2578" t="s">
        <v>94</v>
      </c>
      <c r="C2578" s="2">
        <v>45668</v>
      </c>
      <c r="D2578" t="s">
        <v>29</v>
      </c>
      <c r="E2578">
        <v>2730</v>
      </c>
    </row>
    <row r="2579" spans="1:5" x14ac:dyDescent="0.55000000000000004">
      <c r="A2579" t="s">
        <v>2660</v>
      </c>
      <c r="B2579" t="s">
        <v>74</v>
      </c>
      <c r="C2579" s="2">
        <v>44346</v>
      </c>
      <c r="D2579" t="s">
        <v>26</v>
      </c>
      <c r="E2579">
        <v>2021</v>
      </c>
    </row>
    <row r="2580" spans="1:5" x14ac:dyDescent="0.55000000000000004">
      <c r="A2580" t="s">
        <v>2661</v>
      </c>
      <c r="B2580" t="s">
        <v>140</v>
      </c>
      <c r="C2580" s="2">
        <v>44477</v>
      </c>
      <c r="D2580" t="s">
        <v>26</v>
      </c>
      <c r="E2580">
        <v>1510</v>
      </c>
    </row>
    <row r="2581" spans="1:5" x14ac:dyDescent="0.55000000000000004">
      <c r="A2581" t="s">
        <v>2662</v>
      </c>
      <c r="B2581" t="s">
        <v>74</v>
      </c>
      <c r="C2581" s="2">
        <v>44464</v>
      </c>
      <c r="D2581" t="s">
        <v>26</v>
      </c>
      <c r="E2581">
        <v>2066</v>
      </c>
    </row>
    <row r="2582" spans="1:5" x14ac:dyDescent="0.55000000000000004">
      <c r="A2582" t="s">
        <v>2663</v>
      </c>
      <c r="B2582" t="s">
        <v>118</v>
      </c>
      <c r="C2582" s="2">
        <v>44801</v>
      </c>
      <c r="D2582" t="s">
        <v>29</v>
      </c>
      <c r="E2582">
        <v>1847</v>
      </c>
    </row>
    <row r="2583" spans="1:5" x14ac:dyDescent="0.55000000000000004">
      <c r="A2583" t="s">
        <v>2664</v>
      </c>
      <c r="B2583" t="s">
        <v>105</v>
      </c>
      <c r="C2583" s="2">
        <v>43434</v>
      </c>
      <c r="D2583" t="s">
        <v>26</v>
      </c>
      <c r="E2583">
        <v>2072</v>
      </c>
    </row>
    <row r="2584" spans="1:5" x14ac:dyDescent="0.55000000000000004">
      <c r="A2584" t="s">
        <v>2665</v>
      </c>
      <c r="B2584" t="s">
        <v>142</v>
      </c>
      <c r="C2584" s="2">
        <v>43863</v>
      </c>
      <c r="D2584" t="s">
        <v>26</v>
      </c>
      <c r="E2584">
        <v>299</v>
      </c>
    </row>
    <row r="2585" spans="1:5" x14ac:dyDescent="0.55000000000000004">
      <c r="A2585" t="s">
        <v>2666</v>
      </c>
      <c r="B2585" t="s">
        <v>35</v>
      </c>
      <c r="C2585" s="2">
        <v>44776</v>
      </c>
      <c r="D2585" t="s">
        <v>29</v>
      </c>
      <c r="E2585">
        <v>1407</v>
      </c>
    </row>
    <row r="2586" spans="1:5" x14ac:dyDescent="0.55000000000000004">
      <c r="A2586" t="s">
        <v>2667</v>
      </c>
      <c r="B2586" t="s">
        <v>78</v>
      </c>
      <c r="C2586" s="2">
        <v>45101</v>
      </c>
      <c r="D2586" t="s">
        <v>26</v>
      </c>
      <c r="E2586">
        <v>1624</v>
      </c>
    </row>
    <row r="2587" spans="1:5" x14ac:dyDescent="0.55000000000000004">
      <c r="A2587" t="s">
        <v>2668</v>
      </c>
      <c r="B2587" t="s">
        <v>142</v>
      </c>
      <c r="C2587" s="2">
        <v>42938</v>
      </c>
      <c r="D2587" t="s">
        <v>29</v>
      </c>
      <c r="E2587">
        <v>469</v>
      </c>
    </row>
    <row r="2588" spans="1:5" x14ac:dyDescent="0.55000000000000004">
      <c r="A2588" t="s">
        <v>2669</v>
      </c>
      <c r="B2588" t="s">
        <v>41</v>
      </c>
      <c r="C2588" s="2">
        <v>44110</v>
      </c>
      <c r="D2588" t="s">
        <v>29</v>
      </c>
      <c r="E2588">
        <v>2745</v>
      </c>
    </row>
    <row r="2589" spans="1:5" x14ac:dyDescent="0.55000000000000004">
      <c r="A2589" t="s">
        <v>2670</v>
      </c>
      <c r="B2589" t="s">
        <v>78</v>
      </c>
      <c r="C2589" s="2">
        <v>45367</v>
      </c>
      <c r="D2589" t="s">
        <v>29</v>
      </c>
      <c r="E2589">
        <v>1889</v>
      </c>
    </row>
    <row r="2590" spans="1:5" x14ac:dyDescent="0.55000000000000004">
      <c r="A2590" t="s">
        <v>2671</v>
      </c>
      <c r="B2590" t="s">
        <v>74</v>
      </c>
      <c r="C2590" s="2">
        <v>43086</v>
      </c>
      <c r="D2590" t="s">
        <v>26</v>
      </c>
      <c r="E2590">
        <v>2922</v>
      </c>
    </row>
    <row r="2591" spans="1:5" x14ac:dyDescent="0.55000000000000004">
      <c r="A2591" t="s">
        <v>2672</v>
      </c>
      <c r="B2591" t="s">
        <v>15</v>
      </c>
      <c r="C2591" s="2">
        <v>43204</v>
      </c>
      <c r="D2591" t="s">
        <v>29</v>
      </c>
      <c r="E2591">
        <v>1143</v>
      </c>
    </row>
    <row r="2592" spans="1:5" x14ac:dyDescent="0.55000000000000004">
      <c r="A2592" t="s">
        <v>2673</v>
      </c>
      <c r="B2592" t="s">
        <v>175</v>
      </c>
      <c r="C2592" s="2">
        <v>44126</v>
      </c>
      <c r="D2592" t="s">
        <v>26</v>
      </c>
      <c r="E2592">
        <v>73</v>
      </c>
    </row>
    <row r="2593" spans="1:5" x14ac:dyDescent="0.55000000000000004">
      <c r="A2593" t="s">
        <v>2674</v>
      </c>
      <c r="B2593" t="s">
        <v>32</v>
      </c>
      <c r="C2593" s="2">
        <v>44036</v>
      </c>
      <c r="D2593" t="s">
        <v>26</v>
      </c>
      <c r="E2593">
        <v>1204</v>
      </c>
    </row>
    <row r="2594" spans="1:5" x14ac:dyDescent="0.55000000000000004">
      <c r="A2594" t="s">
        <v>2675</v>
      </c>
      <c r="B2594" t="s">
        <v>115</v>
      </c>
      <c r="C2594" s="2">
        <v>44011</v>
      </c>
      <c r="D2594" t="s">
        <v>29</v>
      </c>
      <c r="E2594">
        <v>689</v>
      </c>
    </row>
    <row r="2595" spans="1:5" x14ac:dyDescent="0.55000000000000004">
      <c r="A2595" t="s">
        <v>2676</v>
      </c>
      <c r="B2595" t="s">
        <v>74</v>
      </c>
      <c r="C2595" s="2">
        <v>44292</v>
      </c>
      <c r="D2595" t="s">
        <v>26</v>
      </c>
      <c r="E2595">
        <v>2774</v>
      </c>
    </row>
    <row r="2596" spans="1:5" x14ac:dyDescent="0.55000000000000004">
      <c r="A2596" t="s">
        <v>2677</v>
      </c>
      <c r="B2596" t="s">
        <v>84</v>
      </c>
      <c r="C2596" s="2">
        <v>43231</v>
      </c>
      <c r="D2596" t="s">
        <v>29</v>
      </c>
      <c r="E2596">
        <v>1466</v>
      </c>
    </row>
    <row r="2597" spans="1:5" x14ac:dyDescent="0.55000000000000004">
      <c r="A2597" t="s">
        <v>2678</v>
      </c>
      <c r="B2597" t="s">
        <v>105</v>
      </c>
      <c r="C2597" s="2">
        <v>43360</v>
      </c>
      <c r="D2597" t="s">
        <v>26</v>
      </c>
      <c r="E2597">
        <v>2764</v>
      </c>
    </row>
    <row r="2598" spans="1:5" x14ac:dyDescent="0.55000000000000004">
      <c r="A2598" t="s">
        <v>2679</v>
      </c>
      <c r="B2598" t="s">
        <v>99</v>
      </c>
      <c r="C2598" s="2">
        <v>44351</v>
      </c>
      <c r="D2598" t="s">
        <v>29</v>
      </c>
      <c r="E2598">
        <v>2853</v>
      </c>
    </row>
    <row r="2599" spans="1:5" x14ac:dyDescent="0.55000000000000004">
      <c r="A2599" t="s">
        <v>2680</v>
      </c>
      <c r="B2599" t="s">
        <v>142</v>
      </c>
      <c r="C2599" s="2">
        <v>44217</v>
      </c>
      <c r="D2599" t="s">
        <v>26</v>
      </c>
      <c r="E2599">
        <v>1599</v>
      </c>
    </row>
    <row r="2600" spans="1:5" x14ac:dyDescent="0.55000000000000004">
      <c r="A2600" t="s">
        <v>2681</v>
      </c>
      <c r="B2600" t="s">
        <v>41</v>
      </c>
      <c r="C2600" s="2">
        <v>44462</v>
      </c>
      <c r="D2600" t="s">
        <v>29</v>
      </c>
      <c r="E2600">
        <v>214</v>
      </c>
    </row>
    <row r="2601" spans="1:5" x14ac:dyDescent="0.55000000000000004">
      <c r="A2601" t="s">
        <v>2682</v>
      </c>
      <c r="B2601" t="s">
        <v>32</v>
      </c>
      <c r="C2601" s="2">
        <v>43840</v>
      </c>
      <c r="D2601" t="s">
        <v>26</v>
      </c>
      <c r="E2601">
        <v>1545</v>
      </c>
    </row>
    <row r="2602" spans="1:5" x14ac:dyDescent="0.55000000000000004">
      <c r="A2602" t="s">
        <v>2683</v>
      </c>
      <c r="B2602" t="s">
        <v>118</v>
      </c>
      <c r="C2602" s="2">
        <v>44292</v>
      </c>
      <c r="D2602" t="s">
        <v>26</v>
      </c>
      <c r="E2602">
        <v>1534</v>
      </c>
    </row>
    <row r="2603" spans="1:5" x14ac:dyDescent="0.55000000000000004">
      <c r="A2603" t="s">
        <v>2684</v>
      </c>
      <c r="B2603" t="s">
        <v>63</v>
      </c>
      <c r="C2603" s="2">
        <v>43326</v>
      </c>
      <c r="D2603" t="s">
        <v>26</v>
      </c>
      <c r="E2603">
        <v>65</v>
      </c>
    </row>
    <row r="2604" spans="1:5" x14ac:dyDescent="0.55000000000000004">
      <c r="A2604" t="s">
        <v>2685</v>
      </c>
      <c r="B2604" t="s">
        <v>140</v>
      </c>
      <c r="C2604" s="2">
        <v>42974</v>
      </c>
      <c r="D2604" t="s">
        <v>26</v>
      </c>
      <c r="E2604">
        <v>1380</v>
      </c>
    </row>
    <row r="2605" spans="1:5" x14ac:dyDescent="0.55000000000000004">
      <c r="A2605" t="s">
        <v>2686</v>
      </c>
      <c r="B2605" t="s">
        <v>175</v>
      </c>
      <c r="C2605" s="2">
        <v>44253</v>
      </c>
      <c r="D2605" t="s">
        <v>26</v>
      </c>
      <c r="E2605">
        <v>903</v>
      </c>
    </row>
    <row r="2606" spans="1:5" x14ac:dyDescent="0.55000000000000004">
      <c r="A2606" t="s">
        <v>2687</v>
      </c>
      <c r="B2606" t="s">
        <v>94</v>
      </c>
      <c r="C2606" s="2">
        <v>43861</v>
      </c>
      <c r="D2606" t="s">
        <v>26</v>
      </c>
      <c r="E2606">
        <v>2965</v>
      </c>
    </row>
    <row r="2607" spans="1:5" x14ac:dyDescent="0.55000000000000004">
      <c r="A2607" t="s">
        <v>2688</v>
      </c>
      <c r="B2607" t="s">
        <v>105</v>
      </c>
      <c r="C2607" s="2">
        <v>43007</v>
      </c>
      <c r="D2607" t="s">
        <v>29</v>
      </c>
      <c r="E2607">
        <v>2099</v>
      </c>
    </row>
    <row r="2608" spans="1:5" x14ac:dyDescent="0.55000000000000004">
      <c r="A2608" t="s">
        <v>2689</v>
      </c>
      <c r="B2608" t="s">
        <v>115</v>
      </c>
      <c r="C2608" s="2">
        <v>43586</v>
      </c>
      <c r="D2608" t="s">
        <v>29</v>
      </c>
      <c r="E2608">
        <v>2302</v>
      </c>
    </row>
    <row r="2609" spans="1:5" x14ac:dyDescent="0.55000000000000004">
      <c r="A2609" t="s">
        <v>2690</v>
      </c>
      <c r="B2609" t="s">
        <v>35</v>
      </c>
      <c r="C2609" s="2">
        <v>44219</v>
      </c>
      <c r="D2609" t="s">
        <v>26</v>
      </c>
      <c r="E2609">
        <v>2218</v>
      </c>
    </row>
    <row r="2610" spans="1:5" x14ac:dyDescent="0.55000000000000004">
      <c r="A2610" t="s">
        <v>2691</v>
      </c>
      <c r="B2610" t="s">
        <v>101</v>
      </c>
      <c r="C2610" s="2">
        <v>43793</v>
      </c>
      <c r="D2610" t="s">
        <v>26</v>
      </c>
      <c r="E2610">
        <v>951</v>
      </c>
    </row>
    <row r="2611" spans="1:5" x14ac:dyDescent="0.55000000000000004">
      <c r="A2611" t="s">
        <v>2692</v>
      </c>
      <c r="B2611" t="s">
        <v>151</v>
      </c>
      <c r="C2611" s="2">
        <v>43133</v>
      </c>
      <c r="D2611" t="s">
        <v>29</v>
      </c>
      <c r="E2611">
        <v>1324</v>
      </c>
    </row>
    <row r="2612" spans="1:5" x14ac:dyDescent="0.55000000000000004">
      <c r="A2612" t="s">
        <v>2693</v>
      </c>
      <c r="B2612" t="s">
        <v>105</v>
      </c>
      <c r="C2612" s="2">
        <v>42947</v>
      </c>
      <c r="D2612" t="s">
        <v>29</v>
      </c>
      <c r="E2612">
        <v>2678</v>
      </c>
    </row>
    <row r="2613" spans="1:5" x14ac:dyDescent="0.55000000000000004">
      <c r="A2613" t="s">
        <v>2694</v>
      </c>
      <c r="B2613" t="s">
        <v>111</v>
      </c>
      <c r="C2613" s="2">
        <v>42941</v>
      </c>
      <c r="D2613" t="s">
        <v>29</v>
      </c>
      <c r="E2613">
        <v>871</v>
      </c>
    </row>
    <row r="2614" spans="1:5" x14ac:dyDescent="0.55000000000000004">
      <c r="A2614" t="s">
        <v>2695</v>
      </c>
      <c r="B2614" t="s">
        <v>15</v>
      </c>
      <c r="C2614" s="2">
        <v>43367</v>
      </c>
      <c r="D2614" t="s">
        <v>26</v>
      </c>
      <c r="E2614">
        <v>2695</v>
      </c>
    </row>
    <row r="2615" spans="1:5" x14ac:dyDescent="0.55000000000000004">
      <c r="A2615" t="s">
        <v>2696</v>
      </c>
      <c r="B2615" t="s">
        <v>175</v>
      </c>
      <c r="C2615" s="2">
        <v>44606</v>
      </c>
      <c r="D2615" t="s">
        <v>29</v>
      </c>
      <c r="E2615">
        <v>179</v>
      </c>
    </row>
    <row r="2616" spans="1:5" x14ac:dyDescent="0.55000000000000004">
      <c r="A2616" t="s">
        <v>2697</v>
      </c>
      <c r="B2616" t="s">
        <v>74</v>
      </c>
      <c r="C2616" s="2">
        <v>43364</v>
      </c>
      <c r="D2616" t="s">
        <v>29</v>
      </c>
      <c r="E2616">
        <v>1235</v>
      </c>
    </row>
    <row r="2617" spans="1:5" x14ac:dyDescent="0.55000000000000004">
      <c r="A2617" t="s">
        <v>2698</v>
      </c>
      <c r="B2617" t="s">
        <v>118</v>
      </c>
      <c r="C2617" s="2">
        <v>45512</v>
      </c>
      <c r="D2617" t="s">
        <v>26</v>
      </c>
      <c r="E2617">
        <v>2918</v>
      </c>
    </row>
    <row r="2618" spans="1:5" x14ac:dyDescent="0.55000000000000004">
      <c r="A2618" t="s">
        <v>2699</v>
      </c>
      <c r="B2618" t="s">
        <v>99</v>
      </c>
      <c r="C2618" s="2">
        <v>45797</v>
      </c>
      <c r="D2618" t="s">
        <v>26</v>
      </c>
      <c r="E2618">
        <v>1031</v>
      </c>
    </row>
    <row r="2619" spans="1:5" x14ac:dyDescent="0.55000000000000004">
      <c r="A2619" t="s">
        <v>2700</v>
      </c>
      <c r="B2619" t="s">
        <v>115</v>
      </c>
      <c r="C2619" s="2">
        <v>44145</v>
      </c>
      <c r="D2619" t="s">
        <v>29</v>
      </c>
      <c r="E2619">
        <v>2584</v>
      </c>
    </row>
    <row r="2620" spans="1:5" x14ac:dyDescent="0.55000000000000004">
      <c r="A2620" t="s">
        <v>2701</v>
      </c>
      <c r="B2620" t="s">
        <v>41</v>
      </c>
      <c r="C2620" s="2">
        <v>44626</v>
      </c>
      <c r="D2620" t="s">
        <v>26</v>
      </c>
      <c r="E2620">
        <v>1360</v>
      </c>
    </row>
    <row r="2621" spans="1:5" x14ac:dyDescent="0.55000000000000004">
      <c r="A2621" t="s">
        <v>2702</v>
      </c>
      <c r="B2621" t="s">
        <v>105</v>
      </c>
      <c r="C2621" s="2">
        <v>44218</v>
      </c>
      <c r="D2621" t="s">
        <v>29</v>
      </c>
      <c r="E2621">
        <v>2729</v>
      </c>
    </row>
    <row r="2622" spans="1:5" x14ac:dyDescent="0.55000000000000004">
      <c r="A2622" t="s">
        <v>2703</v>
      </c>
      <c r="B2622" t="s">
        <v>96</v>
      </c>
      <c r="C2622" s="2">
        <v>43742</v>
      </c>
      <c r="D2622" t="s">
        <v>29</v>
      </c>
      <c r="E2622">
        <v>72</v>
      </c>
    </row>
    <row r="2623" spans="1:5" x14ac:dyDescent="0.55000000000000004">
      <c r="A2623" t="s">
        <v>2704</v>
      </c>
      <c r="B2623" t="s">
        <v>32</v>
      </c>
      <c r="C2623" s="2">
        <v>44750</v>
      </c>
      <c r="D2623" t="s">
        <v>29</v>
      </c>
      <c r="E2623">
        <v>2093</v>
      </c>
    </row>
    <row r="2624" spans="1:5" x14ac:dyDescent="0.55000000000000004">
      <c r="A2624" t="s">
        <v>2705</v>
      </c>
      <c r="B2624" t="s">
        <v>35</v>
      </c>
      <c r="C2624" s="2">
        <v>44307</v>
      </c>
      <c r="D2624" t="s">
        <v>26</v>
      </c>
      <c r="E2624">
        <v>952</v>
      </c>
    </row>
    <row r="2625" spans="1:5" x14ac:dyDescent="0.55000000000000004">
      <c r="A2625" t="s">
        <v>2706</v>
      </c>
      <c r="B2625" t="s">
        <v>14</v>
      </c>
      <c r="C2625" s="2">
        <v>44179</v>
      </c>
      <c r="D2625" t="s">
        <v>26</v>
      </c>
      <c r="E2625">
        <v>1265</v>
      </c>
    </row>
    <row r="2626" spans="1:5" x14ac:dyDescent="0.55000000000000004">
      <c r="A2626" t="s">
        <v>2707</v>
      </c>
      <c r="B2626" t="s">
        <v>63</v>
      </c>
      <c r="C2626" s="2">
        <v>44428</v>
      </c>
      <c r="D2626" t="s">
        <v>29</v>
      </c>
      <c r="E2626">
        <v>997</v>
      </c>
    </row>
    <row r="2627" spans="1:5" x14ac:dyDescent="0.55000000000000004">
      <c r="A2627" t="s">
        <v>2708</v>
      </c>
      <c r="B2627" t="s">
        <v>32</v>
      </c>
      <c r="C2627" s="2">
        <v>43993</v>
      </c>
      <c r="D2627" t="s">
        <v>26</v>
      </c>
      <c r="E2627">
        <v>563</v>
      </c>
    </row>
    <row r="2628" spans="1:5" x14ac:dyDescent="0.55000000000000004">
      <c r="A2628" t="s">
        <v>2709</v>
      </c>
      <c r="B2628" t="s">
        <v>86</v>
      </c>
      <c r="C2628" s="2">
        <v>43938</v>
      </c>
      <c r="D2628" t="s">
        <v>29</v>
      </c>
      <c r="E2628">
        <v>827</v>
      </c>
    </row>
    <row r="2629" spans="1:5" x14ac:dyDescent="0.55000000000000004">
      <c r="A2629" t="s">
        <v>2710</v>
      </c>
      <c r="B2629" t="s">
        <v>72</v>
      </c>
      <c r="C2629" s="2">
        <v>43686</v>
      </c>
      <c r="D2629" t="s">
        <v>26</v>
      </c>
      <c r="E2629">
        <v>2629</v>
      </c>
    </row>
    <row r="2630" spans="1:5" x14ac:dyDescent="0.55000000000000004">
      <c r="A2630" t="s">
        <v>2711</v>
      </c>
      <c r="B2630" t="s">
        <v>142</v>
      </c>
      <c r="C2630" s="2">
        <v>43404</v>
      </c>
      <c r="D2630" t="s">
        <v>29</v>
      </c>
      <c r="E2630">
        <v>1346</v>
      </c>
    </row>
    <row r="2631" spans="1:5" x14ac:dyDescent="0.55000000000000004">
      <c r="A2631" t="s">
        <v>2712</v>
      </c>
      <c r="B2631" t="s">
        <v>72</v>
      </c>
      <c r="C2631" s="2">
        <v>43486</v>
      </c>
      <c r="D2631" t="s">
        <v>29</v>
      </c>
      <c r="E2631">
        <v>2636</v>
      </c>
    </row>
    <row r="2632" spans="1:5" x14ac:dyDescent="0.55000000000000004">
      <c r="A2632" t="s">
        <v>2713</v>
      </c>
      <c r="B2632" t="s">
        <v>137</v>
      </c>
      <c r="C2632" s="2">
        <v>43628</v>
      </c>
      <c r="D2632" t="s">
        <v>29</v>
      </c>
      <c r="E2632">
        <v>2654</v>
      </c>
    </row>
    <row r="2633" spans="1:5" x14ac:dyDescent="0.55000000000000004">
      <c r="A2633" t="s">
        <v>2714</v>
      </c>
      <c r="B2633" t="s">
        <v>175</v>
      </c>
      <c r="C2633" s="2">
        <v>44647</v>
      </c>
      <c r="D2633" t="s">
        <v>26</v>
      </c>
      <c r="E2633">
        <v>938</v>
      </c>
    </row>
    <row r="2634" spans="1:5" x14ac:dyDescent="0.55000000000000004">
      <c r="A2634" t="s">
        <v>2715</v>
      </c>
      <c r="B2634" t="s">
        <v>76</v>
      </c>
      <c r="C2634" s="2">
        <v>44822</v>
      </c>
      <c r="D2634" t="s">
        <v>29</v>
      </c>
      <c r="E2634">
        <v>992</v>
      </c>
    </row>
    <row r="2635" spans="1:5" x14ac:dyDescent="0.55000000000000004">
      <c r="A2635" t="s">
        <v>2716</v>
      </c>
      <c r="B2635" t="s">
        <v>151</v>
      </c>
      <c r="C2635" s="2">
        <v>44021</v>
      </c>
      <c r="D2635" t="s">
        <v>26</v>
      </c>
      <c r="E2635">
        <v>2723</v>
      </c>
    </row>
    <row r="2636" spans="1:5" x14ac:dyDescent="0.55000000000000004">
      <c r="A2636" t="s">
        <v>2717</v>
      </c>
      <c r="B2636" t="s">
        <v>63</v>
      </c>
      <c r="C2636" s="2">
        <v>44558</v>
      </c>
      <c r="D2636" t="s">
        <v>26</v>
      </c>
      <c r="E2636">
        <v>2490</v>
      </c>
    </row>
    <row r="2637" spans="1:5" x14ac:dyDescent="0.55000000000000004">
      <c r="A2637" t="s">
        <v>2718</v>
      </c>
      <c r="B2637" t="s">
        <v>76</v>
      </c>
      <c r="C2637" s="2">
        <v>45028</v>
      </c>
      <c r="D2637" t="s">
        <v>29</v>
      </c>
      <c r="E2637">
        <v>751</v>
      </c>
    </row>
    <row r="2638" spans="1:5" x14ac:dyDescent="0.55000000000000004">
      <c r="A2638" t="s">
        <v>2719</v>
      </c>
      <c r="B2638" t="s">
        <v>15</v>
      </c>
      <c r="C2638" s="2">
        <v>44206</v>
      </c>
      <c r="D2638" t="s">
        <v>26</v>
      </c>
      <c r="E2638">
        <v>264</v>
      </c>
    </row>
    <row r="2639" spans="1:5" x14ac:dyDescent="0.55000000000000004">
      <c r="A2639" t="s">
        <v>2720</v>
      </c>
      <c r="B2639" t="s">
        <v>76</v>
      </c>
      <c r="C2639" s="2">
        <v>45479</v>
      </c>
      <c r="D2639" t="s">
        <v>26</v>
      </c>
      <c r="E2639">
        <v>788</v>
      </c>
    </row>
    <row r="2640" spans="1:5" x14ac:dyDescent="0.55000000000000004">
      <c r="A2640" t="s">
        <v>2721</v>
      </c>
      <c r="B2640" t="s">
        <v>142</v>
      </c>
      <c r="C2640" s="2">
        <v>44216</v>
      </c>
      <c r="D2640" t="s">
        <v>26</v>
      </c>
      <c r="E2640">
        <v>836</v>
      </c>
    </row>
    <row r="2641" spans="1:5" x14ac:dyDescent="0.55000000000000004">
      <c r="A2641" t="s">
        <v>2722</v>
      </c>
      <c r="B2641" t="s">
        <v>72</v>
      </c>
      <c r="C2641" s="2">
        <v>43104</v>
      </c>
      <c r="D2641" t="s">
        <v>26</v>
      </c>
      <c r="E2641">
        <v>2427</v>
      </c>
    </row>
    <row r="2642" spans="1:5" x14ac:dyDescent="0.55000000000000004">
      <c r="A2642" t="s">
        <v>2723</v>
      </c>
      <c r="B2642" t="s">
        <v>99</v>
      </c>
      <c r="C2642" s="2">
        <v>44303</v>
      </c>
      <c r="D2642" t="s">
        <v>26</v>
      </c>
      <c r="E2642">
        <v>2078</v>
      </c>
    </row>
    <row r="2643" spans="1:5" x14ac:dyDescent="0.55000000000000004">
      <c r="A2643" t="s">
        <v>2724</v>
      </c>
      <c r="B2643" t="s">
        <v>74</v>
      </c>
      <c r="C2643" s="2">
        <v>43789</v>
      </c>
      <c r="D2643" t="s">
        <v>29</v>
      </c>
      <c r="E2643">
        <v>1275</v>
      </c>
    </row>
    <row r="2644" spans="1:5" x14ac:dyDescent="0.55000000000000004">
      <c r="A2644" t="s">
        <v>2725</v>
      </c>
      <c r="B2644" t="s">
        <v>105</v>
      </c>
      <c r="C2644" s="2">
        <v>44394</v>
      </c>
      <c r="D2644" t="s">
        <v>26</v>
      </c>
      <c r="E2644">
        <v>1003</v>
      </c>
    </row>
    <row r="2645" spans="1:5" x14ac:dyDescent="0.55000000000000004">
      <c r="A2645" t="s">
        <v>2726</v>
      </c>
      <c r="B2645" t="s">
        <v>140</v>
      </c>
      <c r="C2645" s="2">
        <v>43278</v>
      </c>
      <c r="D2645" t="s">
        <v>26</v>
      </c>
      <c r="E2645">
        <v>1241</v>
      </c>
    </row>
    <row r="2646" spans="1:5" x14ac:dyDescent="0.55000000000000004">
      <c r="A2646" t="s">
        <v>2727</v>
      </c>
      <c r="B2646" t="s">
        <v>156</v>
      </c>
      <c r="C2646" s="2">
        <v>44097</v>
      </c>
      <c r="D2646" t="s">
        <v>29</v>
      </c>
      <c r="E2646">
        <v>2603</v>
      </c>
    </row>
    <row r="2647" spans="1:5" x14ac:dyDescent="0.55000000000000004">
      <c r="A2647" t="s">
        <v>2728</v>
      </c>
      <c r="B2647" t="s">
        <v>151</v>
      </c>
      <c r="C2647" s="2">
        <v>43473</v>
      </c>
      <c r="D2647" t="s">
        <v>29</v>
      </c>
      <c r="E2647">
        <v>327</v>
      </c>
    </row>
    <row r="2648" spans="1:5" x14ac:dyDescent="0.55000000000000004">
      <c r="A2648" t="s">
        <v>2729</v>
      </c>
      <c r="B2648" t="s">
        <v>86</v>
      </c>
      <c r="C2648" s="2">
        <v>43732</v>
      </c>
      <c r="D2648" t="s">
        <v>29</v>
      </c>
      <c r="E2648">
        <v>687</v>
      </c>
    </row>
    <row r="2649" spans="1:5" x14ac:dyDescent="0.55000000000000004">
      <c r="A2649" t="s">
        <v>2730</v>
      </c>
      <c r="B2649" t="s">
        <v>96</v>
      </c>
      <c r="C2649" s="2">
        <v>45273</v>
      </c>
      <c r="D2649" t="s">
        <v>29</v>
      </c>
      <c r="E2649">
        <v>2069</v>
      </c>
    </row>
    <row r="2650" spans="1:5" x14ac:dyDescent="0.55000000000000004">
      <c r="A2650" t="s">
        <v>2731</v>
      </c>
      <c r="B2650" t="s">
        <v>32</v>
      </c>
      <c r="C2650" s="2">
        <v>44718</v>
      </c>
      <c r="D2650" t="s">
        <v>26</v>
      </c>
      <c r="E2650">
        <v>1974</v>
      </c>
    </row>
    <row r="2651" spans="1:5" x14ac:dyDescent="0.55000000000000004">
      <c r="A2651" t="s">
        <v>2732</v>
      </c>
      <c r="B2651" t="s">
        <v>14</v>
      </c>
      <c r="C2651" s="2">
        <v>44477</v>
      </c>
      <c r="D2651" t="s">
        <v>29</v>
      </c>
      <c r="E2651">
        <v>1750</v>
      </c>
    </row>
    <row r="2652" spans="1:5" x14ac:dyDescent="0.55000000000000004">
      <c r="A2652" t="s">
        <v>2733</v>
      </c>
      <c r="B2652" t="s">
        <v>76</v>
      </c>
      <c r="C2652" s="2">
        <v>43806</v>
      </c>
      <c r="D2652" t="s">
        <v>29</v>
      </c>
      <c r="E2652">
        <v>2437</v>
      </c>
    </row>
    <row r="2653" spans="1:5" x14ac:dyDescent="0.55000000000000004">
      <c r="A2653" t="s">
        <v>2734</v>
      </c>
      <c r="B2653" t="s">
        <v>99</v>
      </c>
      <c r="C2653" s="2">
        <v>44091</v>
      </c>
      <c r="D2653" t="s">
        <v>26</v>
      </c>
      <c r="E2653">
        <v>1053</v>
      </c>
    </row>
    <row r="2654" spans="1:5" x14ac:dyDescent="0.55000000000000004">
      <c r="A2654" t="s">
        <v>2735</v>
      </c>
      <c r="B2654" t="s">
        <v>101</v>
      </c>
      <c r="C2654" s="2">
        <v>43866</v>
      </c>
      <c r="D2654" t="s">
        <v>29</v>
      </c>
      <c r="E2654">
        <v>1857</v>
      </c>
    </row>
    <row r="2655" spans="1:5" x14ac:dyDescent="0.55000000000000004">
      <c r="A2655" t="s">
        <v>2736</v>
      </c>
      <c r="B2655" t="s">
        <v>156</v>
      </c>
      <c r="C2655" s="2">
        <v>43685</v>
      </c>
      <c r="D2655" t="s">
        <v>29</v>
      </c>
      <c r="E2655">
        <v>294</v>
      </c>
    </row>
    <row r="2656" spans="1:5" x14ac:dyDescent="0.55000000000000004">
      <c r="A2656" t="s">
        <v>2737</v>
      </c>
      <c r="B2656" t="s">
        <v>111</v>
      </c>
      <c r="C2656" s="2">
        <v>43196</v>
      </c>
      <c r="D2656" t="s">
        <v>29</v>
      </c>
      <c r="E2656">
        <v>801</v>
      </c>
    </row>
    <row r="2657" spans="1:5" x14ac:dyDescent="0.55000000000000004">
      <c r="A2657" t="s">
        <v>2738</v>
      </c>
      <c r="B2657" t="s">
        <v>72</v>
      </c>
      <c r="C2657" s="2">
        <v>43305</v>
      </c>
      <c r="D2657" t="s">
        <v>26</v>
      </c>
      <c r="E2657">
        <v>52</v>
      </c>
    </row>
    <row r="2658" spans="1:5" x14ac:dyDescent="0.55000000000000004">
      <c r="A2658" t="s">
        <v>2739</v>
      </c>
      <c r="B2658" t="s">
        <v>76</v>
      </c>
      <c r="C2658" s="2">
        <v>45516</v>
      </c>
      <c r="D2658" t="s">
        <v>29</v>
      </c>
      <c r="E2658">
        <v>2012</v>
      </c>
    </row>
    <row r="2659" spans="1:5" x14ac:dyDescent="0.55000000000000004">
      <c r="A2659" t="s">
        <v>2740</v>
      </c>
      <c r="B2659" t="s">
        <v>101</v>
      </c>
      <c r="C2659" s="2">
        <v>43768</v>
      </c>
      <c r="D2659" t="s">
        <v>29</v>
      </c>
      <c r="E2659">
        <v>1528</v>
      </c>
    </row>
    <row r="2660" spans="1:5" x14ac:dyDescent="0.55000000000000004">
      <c r="A2660" t="s">
        <v>2741</v>
      </c>
      <c r="B2660" t="s">
        <v>101</v>
      </c>
      <c r="C2660" s="2">
        <v>43919</v>
      </c>
      <c r="D2660" t="s">
        <v>29</v>
      </c>
      <c r="E2660">
        <v>2625</v>
      </c>
    </row>
    <row r="2661" spans="1:5" x14ac:dyDescent="0.55000000000000004">
      <c r="A2661" t="s">
        <v>2742</v>
      </c>
      <c r="B2661" t="s">
        <v>23</v>
      </c>
      <c r="C2661" s="2">
        <v>43976</v>
      </c>
      <c r="D2661" t="s">
        <v>29</v>
      </c>
      <c r="E2661">
        <v>159</v>
      </c>
    </row>
    <row r="2662" spans="1:5" x14ac:dyDescent="0.55000000000000004">
      <c r="A2662" t="s">
        <v>2743</v>
      </c>
      <c r="B2662" t="s">
        <v>115</v>
      </c>
      <c r="C2662" s="2">
        <v>43705</v>
      </c>
      <c r="D2662" t="s">
        <v>26</v>
      </c>
      <c r="E2662">
        <v>795</v>
      </c>
    </row>
    <row r="2663" spans="1:5" x14ac:dyDescent="0.55000000000000004">
      <c r="A2663" t="s">
        <v>2744</v>
      </c>
      <c r="B2663" t="s">
        <v>118</v>
      </c>
      <c r="C2663" s="2">
        <v>45253</v>
      </c>
      <c r="D2663" t="s">
        <v>29</v>
      </c>
      <c r="E2663">
        <v>2958</v>
      </c>
    </row>
    <row r="2664" spans="1:5" x14ac:dyDescent="0.55000000000000004">
      <c r="A2664" t="s">
        <v>2745</v>
      </c>
      <c r="B2664" t="s">
        <v>86</v>
      </c>
      <c r="C2664" s="2">
        <v>43960</v>
      </c>
      <c r="D2664" t="s">
        <v>29</v>
      </c>
      <c r="E2664">
        <v>2600</v>
      </c>
    </row>
    <row r="2665" spans="1:5" x14ac:dyDescent="0.55000000000000004">
      <c r="A2665" t="s">
        <v>2746</v>
      </c>
      <c r="B2665" t="s">
        <v>41</v>
      </c>
      <c r="C2665" s="2">
        <v>44585</v>
      </c>
      <c r="D2665" t="s">
        <v>26</v>
      </c>
      <c r="E2665">
        <v>2666</v>
      </c>
    </row>
    <row r="2666" spans="1:5" x14ac:dyDescent="0.55000000000000004">
      <c r="A2666" t="s">
        <v>2747</v>
      </c>
      <c r="B2666" t="s">
        <v>101</v>
      </c>
      <c r="C2666" s="2">
        <v>43785</v>
      </c>
      <c r="D2666" t="s">
        <v>26</v>
      </c>
      <c r="E2666">
        <v>992</v>
      </c>
    </row>
    <row r="2667" spans="1:5" x14ac:dyDescent="0.55000000000000004">
      <c r="A2667" t="s">
        <v>2748</v>
      </c>
      <c r="B2667" t="s">
        <v>96</v>
      </c>
      <c r="C2667" s="2">
        <v>43607</v>
      </c>
      <c r="D2667" t="s">
        <v>29</v>
      </c>
      <c r="E2667">
        <v>2584</v>
      </c>
    </row>
    <row r="2668" spans="1:5" x14ac:dyDescent="0.55000000000000004">
      <c r="A2668" t="s">
        <v>2749</v>
      </c>
      <c r="B2668" t="s">
        <v>41</v>
      </c>
      <c r="C2668" s="2">
        <v>43888</v>
      </c>
      <c r="D2668" t="s">
        <v>26</v>
      </c>
      <c r="E2668">
        <v>1070</v>
      </c>
    </row>
    <row r="2669" spans="1:5" x14ac:dyDescent="0.55000000000000004">
      <c r="A2669" t="s">
        <v>2750</v>
      </c>
      <c r="B2669" t="s">
        <v>32</v>
      </c>
      <c r="C2669" s="2">
        <v>44763</v>
      </c>
      <c r="D2669" t="s">
        <v>26</v>
      </c>
      <c r="E2669">
        <v>1041</v>
      </c>
    </row>
    <row r="2670" spans="1:5" x14ac:dyDescent="0.55000000000000004">
      <c r="A2670" t="s">
        <v>2751</v>
      </c>
      <c r="B2670" t="s">
        <v>63</v>
      </c>
      <c r="C2670" s="2">
        <v>44150</v>
      </c>
      <c r="D2670" t="s">
        <v>26</v>
      </c>
      <c r="E2670">
        <v>50</v>
      </c>
    </row>
    <row r="2671" spans="1:5" x14ac:dyDescent="0.55000000000000004">
      <c r="A2671" t="s">
        <v>2752</v>
      </c>
      <c r="B2671" t="s">
        <v>115</v>
      </c>
      <c r="C2671" s="2">
        <v>44495</v>
      </c>
      <c r="D2671" t="s">
        <v>26</v>
      </c>
      <c r="E2671">
        <v>2639</v>
      </c>
    </row>
    <row r="2672" spans="1:5" x14ac:dyDescent="0.55000000000000004">
      <c r="A2672" t="s">
        <v>2753</v>
      </c>
      <c r="B2672" t="s">
        <v>41</v>
      </c>
      <c r="C2672" s="2">
        <v>44618</v>
      </c>
      <c r="D2672" t="s">
        <v>29</v>
      </c>
      <c r="E2672">
        <v>2892</v>
      </c>
    </row>
    <row r="2673" spans="1:5" x14ac:dyDescent="0.55000000000000004">
      <c r="A2673" t="s">
        <v>2754</v>
      </c>
      <c r="B2673" t="s">
        <v>23</v>
      </c>
      <c r="C2673" s="2">
        <v>43995</v>
      </c>
      <c r="D2673" t="s">
        <v>26</v>
      </c>
      <c r="E2673">
        <v>1732</v>
      </c>
    </row>
    <row r="2674" spans="1:5" x14ac:dyDescent="0.55000000000000004">
      <c r="A2674" t="s">
        <v>2755</v>
      </c>
      <c r="B2674" t="s">
        <v>105</v>
      </c>
      <c r="C2674" s="2">
        <v>43791</v>
      </c>
      <c r="D2674" t="s">
        <v>29</v>
      </c>
      <c r="E2674">
        <v>2833</v>
      </c>
    </row>
    <row r="2675" spans="1:5" x14ac:dyDescent="0.55000000000000004">
      <c r="A2675" t="s">
        <v>2756</v>
      </c>
      <c r="B2675" t="s">
        <v>156</v>
      </c>
      <c r="C2675" s="2">
        <v>43942</v>
      </c>
      <c r="D2675" t="s">
        <v>29</v>
      </c>
      <c r="E2675">
        <v>2400</v>
      </c>
    </row>
    <row r="2676" spans="1:5" x14ac:dyDescent="0.55000000000000004">
      <c r="A2676" t="s">
        <v>2757</v>
      </c>
      <c r="B2676" t="s">
        <v>156</v>
      </c>
      <c r="C2676" s="2">
        <v>44420</v>
      </c>
      <c r="D2676" t="s">
        <v>29</v>
      </c>
      <c r="E2676">
        <v>2980</v>
      </c>
    </row>
    <row r="2677" spans="1:5" x14ac:dyDescent="0.55000000000000004">
      <c r="A2677" t="s">
        <v>2758</v>
      </c>
      <c r="B2677" t="s">
        <v>76</v>
      </c>
      <c r="C2677" s="2">
        <v>43830</v>
      </c>
      <c r="D2677" t="s">
        <v>26</v>
      </c>
      <c r="E2677">
        <v>2605</v>
      </c>
    </row>
    <row r="2678" spans="1:5" x14ac:dyDescent="0.55000000000000004">
      <c r="A2678" t="s">
        <v>2759</v>
      </c>
      <c r="B2678" t="s">
        <v>23</v>
      </c>
      <c r="C2678" s="2">
        <v>44536</v>
      </c>
      <c r="D2678" t="s">
        <v>26</v>
      </c>
      <c r="E2678">
        <v>1101</v>
      </c>
    </row>
    <row r="2679" spans="1:5" x14ac:dyDescent="0.55000000000000004">
      <c r="A2679" t="s">
        <v>2760</v>
      </c>
      <c r="B2679" t="s">
        <v>78</v>
      </c>
      <c r="C2679" s="2">
        <v>44324</v>
      </c>
      <c r="D2679" t="s">
        <v>29</v>
      </c>
      <c r="E2679">
        <v>2863</v>
      </c>
    </row>
    <row r="2680" spans="1:5" x14ac:dyDescent="0.55000000000000004">
      <c r="A2680" t="s">
        <v>2761</v>
      </c>
      <c r="B2680" t="s">
        <v>156</v>
      </c>
      <c r="C2680" s="2">
        <v>42930</v>
      </c>
      <c r="D2680" t="s">
        <v>26</v>
      </c>
      <c r="E2680">
        <v>2014</v>
      </c>
    </row>
    <row r="2681" spans="1:5" x14ac:dyDescent="0.55000000000000004">
      <c r="A2681" t="s">
        <v>2762</v>
      </c>
      <c r="B2681" t="s">
        <v>14</v>
      </c>
      <c r="C2681" s="2">
        <v>43115</v>
      </c>
      <c r="D2681" t="s">
        <v>26</v>
      </c>
      <c r="E2681">
        <v>2852</v>
      </c>
    </row>
    <row r="2682" spans="1:5" x14ac:dyDescent="0.55000000000000004">
      <c r="A2682" t="s">
        <v>2763</v>
      </c>
      <c r="B2682" t="s">
        <v>140</v>
      </c>
      <c r="C2682" s="2">
        <v>43992</v>
      </c>
      <c r="D2682" t="s">
        <v>29</v>
      </c>
      <c r="E2682">
        <v>2680</v>
      </c>
    </row>
    <row r="2683" spans="1:5" x14ac:dyDescent="0.55000000000000004">
      <c r="A2683" t="s">
        <v>2764</v>
      </c>
      <c r="B2683" t="s">
        <v>156</v>
      </c>
      <c r="C2683" s="2">
        <v>44418</v>
      </c>
      <c r="D2683" t="s">
        <v>29</v>
      </c>
      <c r="E2683">
        <v>698</v>
      </c>
    </row>
    <row r="2684" spans="1:5" x14ac:dyDescent="0.55000000000000004">
      <c r="A2684" t="s">
        <v>2765</v>
      </c>
      <c r="B2684" t="s">
        <v>105</v>
      </c>
      <c r="C2684" s="2">
        <v>43684</v>
      </c>
      <c r="D2684" t="s">
        <v>26</v>
      </c>
      <c r="E2684">
        <v>2883</v>
      </c>
    </row>
    <row r="2685" spans="1:5" x14ac:dyDescent="0.55000000000000004">
      <c r="A2685" t="s">
        <v>2766</v>
      </c>
      <c r="B2685" t="s">
        <v>72</v>
      </c>
      <c r="C2685" s="2">
        <v>43322</v>
      </c>
      <c r="D2685" t="s">
        <v>29</v>
      </c>
      <c r="E2685">
        <v>745</v>
      </c>
    </row>
    <row r="2686" spans="1:5" x14ac:dyDescent="0.55000000000000004">
      <c r="A2686" t="s">
        <v>2767</v>
      </c>
      <c r="B2686" t="s">
        <v>67</v>
      </c>
      <c r="C2686" s="2">
        <v>43917</v>
      </c>
      <c r="D2686" t="s">
        <v>29</v>
      </c>
      <c r="E2686">
        <v>2322</v>
      </c>
    </row>
    <row r="2687" spans="1:5" x14ac:dyDescent="0.55000000000000004">
      <c r="A2687" t="s">
        <v>2768</v>
      </c>
      <c r="B2687" t="s">
        <v>175</v>
      </c>
      <c r="C2687" s="2">
        <v>44336</v>
      </c>
      <c r="D2687" t="s">
        <v>26</v>
      </c>
      <c r="E2687">
        <v>823</v>
      </c>
    </row>
    <row r="2688" spans="1:5" x14ac:dyDescent="0.55000000000000004">
      <c r="A2688" t="s">
        <v>2769</v>
      </c>
      <c r="B2688" t="s">
        <v>142</v>
      </c>
      <c r="C2688" s="2">
        <v>44452</v>
      </c>
      <c r="D2688" t="s">
        <v>26</v>
      </c>
      <c r="E2688">
        <v>785</v>
      </c>
    </row>
    <row r="2689" spans="1:5" x14ac:dyDescent="0.55000000000000004">
      <c r="A2689" t="s">
        <v>2770</v>
      </c>
      <c r="B2689" t="s">
        <v>84</v>
      </c>
      <c r="C2689" s="2">
        <v>43754</v>
      </c>
      <c r="D2689" t="s">
        <v>29</v>
      </c>
      <c r="E2689">
        <v>2567</v>
      </c>
    </row>
    <row r="2690" spans="1:5" x14ac:dyDescent="0.55000000000000004">
      <c r="A2690" t="s">
        <v>2771</v>
      </c>
      <c r="B2690" t="s">
        <v>32</v>
      </c>
      <c r="C2690" s="2">
        <v>44054</v>
      </c>
      <c r="D2690" t="s">
        <v>26</v>
      </c>
      <c r="E2690">
        <v>326</v>
      </c>
    </row>
    <row r="2691" spans="1:5" x14ac:dyDescent="0.55000000000000004">
      <c r="A2691" t="s">
        <v>2772</v>
      </c>
      <c r="B2691" t="s">
        <v>156</v>
      </c>
      <c r="C2691" s="2">
        <v>43092</v>
      </c>
      <c r="D2691" t="s">
        <v>29</v>
      </c>
      <c r="E2691">
        <v>510</v>
      </c>
    </row>
    <row r="2692" spans="1:5" x14ac:dyDescent="0.55000000000000004">
      <c r="A2692" t="s">
        <v>2773</v>
      </c>
      <c r="B2692" t="s">
        <v>84</v>
      </c>
      <c r="C2692" s="2">
        <v>43048</v>
      </c>
      <c r="D2692" t="s">
        <v>29</v>
      </c>
      <c r="E2692">
        <v>121</v>
      </c>
    </row>
    <row r="2693" spans="1:5" x14ac:dyDescent="0.55000000000000004">
      <c r="A2693" t="s">
        <v>2774</v>
      </c>
      <c r="B2693" t="s">
        <v>23</v>
      </c>
      <c r="C2693" s="2">
        <v>44311</v>
      </c>
      <c r="D2693" t="s">
        <v>29</v>
      </c>
      <c r="E2693">
        <v>1987</v>
      </c>
    </row>
    <row r="2694" spans="1:5" x14ac:dyDescent="0.55000000000000004">
      <c r="A2694" t="s">
        <v>2775</v>
      </c>
      <c r="B2694" t="s">
        <v>38</v>
      </c>
      <c r="C2694" s="2">
        <v>44037</v>
      </c>
      <c r="D2694" t="s">
        <v>26</v>
      </c>
      <c r="E2694">
        <v>250</v>
      </c>
    </row>
    <row r="2695" spans="1:5" x14ac:dyDescent="0.55000000000000004">
      <c r="A2695" t="s">
        <v>2776</v>
      </c>
      <c r="B2695" t="s">
        <v>84</v>
      </c>
      <c r="C2695" s="2">
        <v>44456</v>
      </c>
      <c r="D2695" t="s">
        <v>26</v>
      </c>
      <c r="E2695">
        <v>2725</v>
      </c>
    </row>
    <row r="2696" spans="1:5" x14ac:dyDescent="0.55000000000000004">
      <c r="A2696" t="s">
        <v>2777</v>
      </c>
      <c r="B2696" t="s">
        <v>23</v>
      </c>
      <c r="C2696" s="2">
        <v>43916</v>
      </c>
      <c r="D2696" t="s">
        <v>26</v>
      </c>
      <c r="E2696">
        <v>864</v>
      </c>
    </row>
    <row r="2697" spans="1:5" x14ac:dyDescent="0.55000000000000004">
      <c r="A2697" t="s">
        <v>2778</v>
      </c>
      <c r="B2697" t="s">
        <v>67</v>
      </c>
      <c r="C2697" s="2">
        <v>43495</v>
      </c>
      <c r="D2697" t="s">
        <v>29</v>
      </c>
      <c r="E2697">
        <v>2469</v>
      </c>
    </row>
    <row r="2698" spans="1:5" x14ac:dyDescent="0.55000000000000004">
      <c r="A2698" t="s">
        <v>2779</v>
      </c>
      <c r="B2698" t="s">
        <v>67</v>
      </c>
      <c r="C2698" s="2">
        <v>44554</v>
      </c>
      <c r="D2698" t="s">
        <v>29</v>
      </c>
      <c r="E2698">
        <v>1938</v>
      </c>
    </row>
    <row r="2699" spans="1:5" x14ac:dyDescent="0.55000000000000004">
      <c r="A2699" t="s">
        <v>2780</v>
      </c>
      <c r="B2699" t="s">
        <v>118</v>
      </c>
      <c r="C2699" s="2">
        <v>44846</v>
      </c>
      <c r="D2699" t="s">
        <v>29</v>
      </c>
      <c r="E2699">
        <v>1378</v>
      </c>
    </row>
    <row r="2700" spans="1:5" x14ac:dyDescent="0.55000000000000004">
      <c r="A2700" t="s">
        <v>2781</v>
      </c>
      <c r="B2700" t="s">
        <v>86</v>
      </c>
      <c r="C2700" s="2">
        <v>44313</v>
      </c>
      <c r="D2700" t="s">
        <v>29</v>
      </c>
      <c r="E2700">
        <v>1291</v>
      </c>
    </row>
    <row r="2701" spans="1:5" x14ac:dyDescent="0.55000000000000004">
      <c r="A2701" t="s">
        <v>2782</v>
      </c>
      <c r="B2701" t="s">
        <v>175</v>
      </c>
      <c r="C2701" s="2">
        <v>44447</v>
      </c>
      <c r="D2701" t="s">
        <v>29</v>
      </c>
      <c r="E2701">
        <v>2724</v>
      </c>
    </row>
    <row r="2702" spans="1:5" x14ac:dyDescent="0.55000000000000004">
      <c r="A2702" t="s">
        <v>2783</v>
      </c>
      <c r="B2702" t="s">
        <v>101</v>
      </c>
      <c r="C2702" s="2">
        <v>43692</v>
      </c>
      <c r="D2702" t="s">
        <v>26</v>
      </c>
      <c r="E2702">
        <v>1458</v>
      </c>
    </row>
    <row r="2703" spans="1:5" x14ac:dyDescent="0.55000000000000004">
      <c r="A2703" t="s">
        <v>2784</v>
      </c>
      <c r="B2703" t="s">
        <v>76</v>
      </c>
      <c r="C2703" s="2">
        <v>44818</v>
      </c>
      <c r="D2703" t="s">
        <v>26</v>
      </c>
      <c r="E2703">
        <v>12</v>
      </c>
    </row>
    <row r="2704" spans="1:5" x14ac:dyDescent="0.55000000000000004">
      <c r="A2704" t="s">
        <v>2785</v>
      </c>
      <c r="B2704" t="s">
        <v>15</v>
      </c>
      <c r="C2704" s="2">
        <v>44347</v>
      </c>
      <c r="D2704" t="s">
        <v>29</v>
      </c>
      <c r="E2704">
        <v>2970</v>
      </c>
    </row>
    <row r="2705" spans="1:5" x14ac:dyDescent="0.55000000000000004">
      <c r="A2705" t="s">
        <v>2786</v>
      </c>
      <c r="B2705" t="s">
        <v>175</v>
      </c>
      <c r="C2705" s="2">
        <v>44034</v>
      </c>
      <c r="D2705" t="s">
        <v>26</v>
      </c>
      <c r="E2705">
        <v>2465</v>
      </c>
    </row>
    <row r="2706" spans="1:5" x14ac:dyDescent="0.55000000000000004">
      <c r="A2706" t="s">
        <v>2787</v>
      </c>
      <c r="B2706" t="s">
        <v>115</v>
      </c>
      <c r="C2706" s="2">
        <v>44003</v>
      </c>
      <c r="D2706" t="s">
        <v>29</v>
      </c>
      <c r="E2706">
        <v>2864</v>
      </c>
    </row>
    <row r="2707" spans="1:5" x14ac:dyDescent="0.55000000000000004">
      <c r="A2707" t="s">
        <v>2788</v>
      </c>
      <c r="B2707" t="s">
        <v>118</v>
      </c>
      <c r="C2707" s="2">
        <v>44484</v>
      </c>
      <c r="D2707" t="s">
        <v>29</v>
      </c>
      <c r="E2707">
        <v>1851</v>
      </c>
    </row>
    <row r="2708" spans="1:5" x14ac:dyDescent="0.55000000000000004">
      <c r="A2708" t="s">
        <v>2789</v>
      </c>
      <c r="B2708" t="s">
        <v>32</v>
      </c>
      <c r="C2708" s="2">
        <v>44804</v>
      </c>
      <c r="D2708" t="s">
        <v>29</v>
      </c>
      <c r="E2708">
        <v>2704</v>
      </c>
    </row>
    <row r="2709" spans="1:5" x14ac:dyDescent="0.55000000000000004">
      <c r="A2709" t="s">
        <v>2790</v>
      </c>
      <c r="B2709" t="s">
        <v>151</v>
      </c>
      <c r="C2709" s="2">
        <v>42923</v>
      </c>
      <c r="D2709" t="s">
        <v>29</v>
      </c>
      <c r="E2709">
        <v>68</v>
      </c>
    </row>
    <row r="2710" spans="1:5" x14ac:dyDescent="0.55000000000000004">
      <c r="A2710" t="s">
        <v>2791</v>
      </c>
      <c r="B2710" t="s">
        <v>35</v>
      </c>
      <c r="C2710" s="2">
        <v>44568</v>
      </c>
      <c r="D2710" t="s">
        <v>26</v>
      </c>
      <c r="E2710">
        <v>1333</v>
      </c>
    </row>
    <row r="2711" spans="1:5" x14ac:dyDescent="0.55000000000000004">
      <c r="A2711" t="s">
        <v>2792</v>
      </c>
      <c r="B2711" t="s">
        <v>38</v>
      </c>
      <c r="C2711" s="2">
        <v>44740</v>
      </c>
      <c r="D2711" t="s">
        <v>26</v>
      </c>
      <c r="E2711">
        <v>2485</v>
      </c>
    </row>
    <row r="2712" spans="1:5" x14ac:dyDescent="0.55000000000000004">
      <c r="A2712" t="s">
        <v>2793</v>
      </c>
      <c r="B2712" t="s">
        <v>96</v>
      </c>
      <c r="C2712" s="2">
        <v>45105</v>
      </c>
      <c r="D2712" t="s">
        <v>26</v>
      </c>
      <c r="E2712">
        <v>1426</v>
      </c>
    </row>
    <row r="2713" spans="1:5" x14ac:dyDescent="0.55000000000000004">
      <c r="A2713" t="s">
        <v>2794</v>
      </c>
      <c r="B2713" t="s">
        <v>140</v>
      </c>
      <c r="C2713" s="2">
        <v>43892</v>
      </c>
      <c r="D2713" t="s">
        <v>26</v>
      </c>
      <c r="E2713">
        <v>1576</v>
      </c>
    </row>
    <row r="2714" spans="1:5" x14ac:dyDescent="0.55000000000000004">
      <c r="A2714" t="s">
        <v>2795</v>
      </c>
      <c r="B2714" t="s">
        <v>156</v>
      </c>
      <c r="C2714" s="2">
        <v>44160</v>
      </c>
      <c r="D2714" t="s">
        <v>26</v>
      </c>
      <c r="E2714">
        <v>2916</v>
      </c>
    </row>
    <row r="2715" spans="1:5" x14ac:dyDescent="0.55000000000000004">
      <c r="A2715" t="s">
        <v>2796</v>
      </c>
      <c r="B2715" t="s">
        <v>72</v>
      </c>
      <c r="C2715" s="2">
        <v>43982</v>
      </c>
      <c r="D2715" t="s">
        <v>26</v>
      </c>
      <c r="E2715">
        <v>523</v>
      </c>
    </row>
    <row r="2716" spans="1:5" x14ac:dyDescent="0.55000000000000004">
      <c r="A2716" t="s">
        <v>2797</v>
      </c>
      <c r="B2716" t="s">
        <v>96</v>
      </c>
      <c r="C2716" s="2">
        <v>43822</v>
      </c>
      <c r="D2716" t="s">
        <v>29</v>
      </c>
      <c r="E2716">
        <v>2756</v>
      </c>
    </row>
    <row r="2717" spans="1:5" x14ac:dyDescent="0.55000000000000004">
      <c r="A2717" t="s">
        <v>2798</v>
      </c>
      <c r="B2717" t="s">
        <v>99</v>
      </c>
      <c r="C2717" s="2">
        <v>45378</v>
      </c>
      <c r="D2717" t="s">
        <v>26</v>
      </c>
      <c r="E2717">
        <v>1827</v>
      </c>
    </row>
    <row r="2718" spans="1:5" x14ac:dyDescent="0.55000000000000004">
      <c r="A2718" t="s">
        <v>2799</v>
      </c>
      <c r="B2718" t="s">
        <v>115</v>
      </c>
      <c r="C2718" s="2">
        <v>43904</v>
      </c>
      <c r="D2718" t="s">
        <v>26</v>
      </c>
      <c r="E2718">
        <v>996</v>
      </c>
    </row>
    <row r="2719" spans="1:5" x14ac:dyDescent="0.55000000000000004">
      <c r="A2719" t="s">
        <v>2800</v>
      </c>
      <c r="B2719" t="s">
        <v>151</v>
      </c>
      <c r="C2719" s="2">
        <v>43266</v>
      </c>
      <c r="D2719" t="s">
        <v>26</v>
      </c>
      <c r="E2719">
        <v>432</v>
      </c>
    </row>
    <row r="2720" spans="1:5" x14ac:dyDescent="0.55000000000000004">
      <c r="A2720" t="s">
        <v>2801</v>
      </c>
      <c r="B2720" t="s">
        <v>140</v>
      </c>
      <c r="C2720" s="2">
        <v>44382</v>
      </c>
      <c r="D2720" t="s">
        <v>26</v>
      </c>
      <c r="E2720">
        <v>656</v>
      </c>
    </row>
    <row r="2721" spans="1:5" x14ac:dyDescent="0.55000000000000004">
      <c r="A2721" t="s">
        <v>2802</v>
      </c>
      <c r="B2721" t="s">
        <v>111</v>
      </c>
      <c r="C2721" s="2">
        <v>43702</v>
      </c>
      <c r="D2721" t="s">
        <v>29</v>
      </c>
      <c r="E2721">
        <v>902</v>
      </c>
    </row>
    <row r="2722" spans="1:5" x14ac:dyDescent="0.55000000000000004">
      <c r="A2722" t="s">
        <v>2803</v>
      </c>
      <c r="B2722" t="s">
        <v>78</v>
      </c>
      <c r="C2722" s="2">
        <v>44521</v>
      </c>
      <c r="D2722" t="s">
        <v>29</v>
      </c>
      <c r="E2722">
        <v>2746</v>
      </c>
    </row>
    <row r="2723" spans="1:5" x14ac:dyDescent="0.55000000000000004">
      <c r="A2723" t="s">
        <v>2804</v>
      </c>
      <c r="B2723" t="s">
        <v>115</v>
      </c>
      <c r="C2723" s="2">
        <v>44279</v>
      </c>
      <c r="D2723" t="s">
        <v>26</v>
      </c>
      <c r="E2723">
        <v>2189</v>
      </c>
    </row>
    <row r="2724" spans="1:5" x14ac:dyDescent="0.55000000000000004">
      <c r="A2724" t="s">
        <v>2805</v>
      </c>
      <c r="B2724" t="s">
        <v>35</v>
      </c>
      <c r="C2724" s="2">
        <v>44838</v>
      </c>
      <c r="D2724" t="s">
        <v>26</v>
      </c>
      <c r="E2724">
        <v>2833</v>
      </c>
    </row>
    <row r="2725" spans="1:5" x14ac:dyDescent="0.55000000000000004">
      <c r="A2725" t="s">
        <v>2806</v>
      </c>
      <c r="B2725" t="s">
        <v>111</v>
      </c>
      <c r="C2725" s="2">
        <v>43375</v>
      </c>
      <c r="D2725" t="s">
        <v>26</v>
      </c>
      <c r="E2725">
        <v>2637</v>
      </c>
    </row>
    <row r="2726" spans="1:5" x14ac:dyDescent="0.55000000000000004">
      <c r="A2726" t="s">
        <v>2807</v>
      </c>
      <c r="B2726" t="s">
        <v>111</v>
      </c>
      <c r="C2726" s="2">
        <v>43689</v>
      </c>
      <c r="D2726" t="s">
        <v>29</v>
      </c>
      <c r="E2726">
        <v>2678</v>
      </c>
    </row>
    <row r="2727" spans="1:5" x14ac:dyDescent="0.55000000000000004">
      <c r="A2727" t="s">
        <v>2808</v>
      </c>
      <c r="B2727" t="s">
        <v>35</v>
      </c>
      <c r="C2727" s="2">
        <v>44725</v>
      </c>
      <c r="D2727" t="s">
        <v>26</v>
      </c>
      <c r="E2727">
        <v>915</v>
      </c>
    </row>
    <row r="2728" spans="1:5" x14ac:dyDescent="0.55000000000000004">
      <c r="A2728" t="s">
        <v>2809</v>
      </c>
      <c r="B2728" t="s">
        <v>84</v>
      </c>
      <c r="C2728" s="2">
        <v>43153</v>
      </c>
      <c r="D2728" t="s">
        <v>29</v>
      </c>
      <c r="E2728">
        <v>359</v>
      </c>
    </row>
    <row r="2729" spans="1:5" x14ac:dyDescent="0.55000000000000004">
      <c r="A2729" t="s">
        <v>2810</v>
      </c>
      <c r="B2729" t="s">
        <v>115</v>
      </c>
      <c r="C2729" s="2">
        <v>43099</v>
      </c>
      <c r="D2729" t="s">
        <v>29</v>
      </c>
      <c r="E2729">
        <v>2425</v>
      </c>
    </row>
    <row r="2730" spans="1:5" x14ac:dyDescent="0.55000000000000004">
      <c r="A2730" t="s">
        <v>2811</v>
      </c>
      <c r="B2730" t="s">
        <v>151</v>
      </c>
      <c r="C2730" s="2">
        <v>44441</v>
      </c>
      <c r="D2730" t="s">
        <v>26</v>
      </c>
      <c r="E2730">
        <v>2346</v>
      </c>
    </row>
    <row r="2731" spans="1:5" x14ac:dyDescent="0.55000000000000004">
      <c r="A2731" t="s">
        <v>2812</v>
      </c>
      <c r="B2731" t="s">
        <v>86</v>
      </c>
      <c r="C2731" s="2">
        <v>43177</v>
      </c>
      <c r="D2731" t="s">
        <v>29</v>
      </c>
      <c r="E2731">
        <v>1557</v>
      </c>
    </row>
    <row r="2732" spans="1:5" x14ac:dyDescent="0.55000000000000004">
      <c r="A2732" t="s">
        <v>2813</v>
      </c>
      <c r="B2732" t="s">
        <v>23</v>
      </c>
      <c r="C2732" s="2">
        <v>43834</v>
      </c>
      <c r="D2732" t="s">
        <v>29</v>
      </c>
      <c r="E2732">
        <v>253</v>
      </c>
    </row>
    <row r="2733" spans="1:5" x14ac:dyDescent="0.55000000000000004">
      <c r="A2733" t="s">
        <v>2814</v>
      </c>
      <c r="B2733" t="s">
        <v>23</v>
      </c>
      <c r="C2733" s="2">
        <v>44219</v>
      </c>
      <c r="D2733" t="s">
        <v>29</v>
      </c>
      <c r="E2733">
        <v>1735</v>
      </c>
    </row>
    <row r="2734" spans="1:5" x14ac:dyDescent="0.55000000000000004">
      <c r="A2734" t="s">
        <v>2815</v>
      </c>
      <c r="B2734" t="s">
        <v>111</v>
      </c>
      <c r="C2734" s="2">
        <v>44496</v>
      </c>
      <c r="D2734" t="s">
        <v>29</v>
      </c>
      <c r="E2734">
        <v>2782</v>
      </c>
    </row>
    <row r="2735" spans="1:5" x14ac:dyDescent="0.55000000000000004">
      <c r="A2735" t="s">
        <v>2816</v>
      </c>
      <c r="B2735" t="s">
        <v>137</v>
      </c>
      <c r="C2735" s="2">
        <v>43983</v>
      </c>
      <c r="D2735" t="s">
        <v>26</v>
      </c>
      <c r="E2735">
        <v>436</v>
      </c>
    </row>
    <row r="2736" spans="1:5" x14ac:dyDescent="0.55000000000000004">
      <c r="A2736" t="s">
        <v>2817</v>
      </c>
      <c r="B2736" t="s">
        <v>101</v>
      </c>
      <c r="C2736" s="2">
        <v>42935</v>
      </c>
      <c r="D2736" t="s">
        <v>29</v>
      </c>
      <c r="E2736">
        <v>1294</v>
      </c>
    </row>
    <row r="2737" spans="1:5" x14ac:dyDescent="0.55000000000000004">
      <c r="A2737" t="s">
        <v>2818</v>
      </c>
      <c r="B2737" t="s">
        <v>72</v>
      </c>
      <c r="C2737" s="2">
        <v>43524</v>
      </c>
      <c r="D2737" t="s">
        <v>26</v>
      </c>
      <c r="E2737">
        <v>2047</v>
      </c>
    </row>
    <row r="2738" spans="1:5" x14ac:dyDescent="0.55000000000000004">
      <c r="A2738" t="s">
        <v>2819</v>
      </c>
      <c r="B2738" t="s">
        <v>38</v>
      </c>
      <c r="C2738" s="2">
        <v>44764</v>
      </c>
      <c r="D2738" t="s">
        <v>26</v>
      </c>
      <c r="E2738">
        <v>2463</v>
      </c>
    </row>
    <row r="2739" spans="1:5" x14ac:dyDescent="0.55000000000000004">
      <c r="A2739" t="s">
        <v>2820</v>
      </c>
      <c r="B2739" t="s">
        <v>156</v>
      </c>
      <c r="C2739" s="2">
        <v>43215</v>
      </c>
      <c r="D2739" t="s">
        <v>26</v>
      </c>
      <c r="E2739">
        <v>2453</v>
      </c>
    </row>
    <row r="2740" spans="1:5" x14ac:dyDescent="0.55000000000000004">
      <c r="A2740" t="s">
        <v>2821</v>
      </c>
      <c r="B2740" t="s">
        <v>111</v>
      </c>
      <c r="C2740" s="2">
        <v>43549</v>
      </c>
      <c r="D2740" t="s">
        <v>26</v>
      </c>
      <c r="E2740">
        <v>1120</v>
      </c>
    </row>
    <row r="2741" spans="1:5" x14ac:dyDescent="0.55000000000000004">
      <c r="A2741" t="s">
        <v>2822</v>
      </c>
      <c r="B2741" t="s">
        <v>76</v>
      </c>
      <c r="C2741" s="2">
        <v>45816</v>
      </c>
      <c r="D2741" t="s">
        <v>29</v>
      </c>
      <c r="E2741">
        <v>2584</v>
      </c>
    </row>
    <row r="2742" spans="1:5" x14ac:dyDescent="0.55000000000000004">
      <c r="A2742" t="s">
        <v>2823</v>
      </c>
      <c r="B2742" t="s">
        <v>175</v>
      </c>
      <c r="C2742" s="2">
        <v>44349</v>
      </c>
      <c r="D2742" t="s">
        <v>29</v>
      </c>
      <c r="E2742">
        <v>1193</v>
      </c>
    </row>
    <row r="2743" spans="1:5" x14ac:dyDescent="0.55000000000000004">
      <c r="A2743" t="s">
        <v>2824</v>
      </c>
      <c r="B2743" t="s">
        <v>41</v>
      </c>
      <c r="C2743" s="2">
        <v>44602</v>
      </c>
      <c r="D2743" t="s">
        <v>26</v>
      </c>
      <c r="E2743">
        <v>1364</v>
      </c>
    </row>
    <row r="2744" spans="1:5" x14ac:dyDescent="0.55000000000000004">
      <c r="A2744" t="s">
        <v>2825</v>
      </c>
      <c r="B2744" t="s">
        <v>72</v>
      </c>
      <c r="C2744" s="2">
        <v>44384</v>
      </c>
      <c r="D2744" t="s">
        <v>26</v>
      </c>
      <c r="E2744">
        <v>3000</v>
      </c>
    </row>
    <row r="2745" spans="1:5" x14ac:dyDescent="0.55000000000000004">
      <c r="A2745" t="s">
        <v>2826</v>
      </c>
      <c r="B2745" t="s">
        <v>137</v>
      </c>
      <c r="C2745" s="2">
        <v>44387</v>
      </c>
      <c r="D2745" t="s">
        <v>26</v>
      </c>
      <c r="E2745">
        <v>733</v>
      </c>
    </row>
    <row r="2746" spans="1:5" x14ac:dyDescent="0.55000000000000004">
      <c r="A2746" t="s">
        <v>2827</v>
      </c>
      <c r="B2746" t="s">
        <v>76</v>
      </c>
      <c r="C2746" s="2">
        <v>45462</v>
      </c>
      <c r="D2746" t="s">
        <v>29</v>
      </c>
      <c r="E2746">
        <v>1225</v>
      </c>
    </row>
    <row r="2747" spans="1:5" x14ac:dyDescent="0.55000000000000004">
      <c r="A2747" t="s">
        <v>2828</v>
      </c>
      <c r="B2747" t="s">
        <v>175</v>
      </c>
      <c r="C2747" s="2">
        <v>44118</v>
      </c>
      <c r="D2747" t="s">
        <v>26</v>
      </c>
      <c r="E2747">
        <v>2244</v>
      </c>
    </row>
    <row r="2748" spans="1:5" x14ac:dyDescent="0.55000000000000004">
      <c r="A2748" t="s">
        <v>2829</v>
      </c>
      <c r="B2748" t="s">
        <v>101</v>
      </c>
      <c r="C2748" s="2">
        <v>43608</v>
      </c>
      <c r="D2748" t="s">
        <v>29</v>
      </c>
      <c r="E2748">
        <v>2776</v>
      </c>
    </row>
    <row r="2749" spans="1:5" x14ac:dyDescent="0.55000000000000004">
      <c r="A2749" t="s">
        <v>2830</v>
      </c>
      <c r="B2749" t="s">
        <v>96</v>
      </c>
      <c r="C2749" s="2">
        <v>44892</v>
      </c>
      <c r="D2749" t="s">
        <v>29</v>
      </c>
      <c r="E2749">
        <v>1601</v>
      </c>
    </row>
    <row r="2750" spans="1:5" x14ac:dyDescent="0.55000000000000004">
      <c r="A2750" t="s">
        <v>2831</v>
      </c>
      <c r="B2750" t="s">
        <v>74</v>
      </c>
      <c r="C2750" s="2">
        <v>43998</v>
      </c>
      <c r="D2750" t="s">
        <v>29</v>
      </c>
      <c r="E2750">
        <v>1156</v>
      </c>
    </row>
    <row r="2751" spans="1:5" x14ac:dyDescent="0.55000000000000004">
      <c r="A2751" t="s">
        <v>2832</v>
      </c>
      <c r="B2751" t="s">
        <v>41</v>
      </c>
      <c r="C2751" s="2">
        <v>44230</v>
      </c>
      <c r="D2751" t="s">
        <v>29</v>
      </c>
      <c r="E2751">
        <v>398</v>
      </c>
    </row>
    <row r="2752" spans="1:5" x14ac:dyDescent="0.55000000000000004">
      <c r="A2752" t="s">
        <v>2833</v>
      </c>
      <c r="B2752" t="s">
        <v>72</v>
      </c>
      <c r="C2752" s="2">
        <v>43579</v>
      </c>
      <c r="D2752" t="s">
        <v>26</v>
      </c>
      <c r="E2752">
        <v>2906</v>
      </c>
    </row>
    <row r="2753" spans="1:5" x14ac:dyDescent="0.55000000000000004">
      <c r="A2753" t="s">
        <v>2834</v>
      </c>
      <c r="B2753" t="s">
        <v>156</v>
      </c>
      <c r="C2753" s="2">
        <v>43854</v>
      </c>
      <c r="D2753" t="s">
        <v>26</v>
      </c>
      <c r="E2753">
        <v>2364</v>
      </c>
    </row>
    <row r="2754" spans="1:5" x14ac:dyDescent="0.55000000000000004">
      <c r="A2754" t="s">
        <v>2835</v>
      </c>
      <c r="B2754" t="s">
        <v>72</v>
      </c>
      <c r="C2754" s="2">
        <v>43821</v>
      </c>
      <c r="D2754" t="s">
        <v>29</v>
      </c>
      <c r="E2754">
        <v>1192</v>
      </c>
    </row>
    <row r="2755" spans="1:5" x14ac:dyDescent="0.55000000000000004">
      <c r="A2755" t="s">
        <v>2836</v>
      </c>
      <c r="B2755" t="s">
        <v>94</v>
      </c>
      <c r="C2755" s="2">
        <v>44059</v>
      </c>
      <c r="D2755" t="s">
        <v>26</v>
      </c>
      <c r="E2755">
        <v>893</v>
      </c>
    </row>
    <row r="2756" spans="1:5" x14ac:dyDescent="0.55000000000000004">
      <c r="A2756" t="s">
        <v>2837</v>
      </c>
      <c r="B2756" t="s">
        <v>137</v>
      </c>
      <c r="C2756" s="2">
        <v>44267</v>
      </c>
      <c r="D2756" t="s">
        <v>26</v>
      </c>
      <c r="E2756">
        <v>1483</v>
      </c>
    </row>
    <row r="2757" spans="1:5" x14ac:dyDescent="0.55000000000000004">
      <c r="A2757" t="s">
        <v>2838</v>
      </c>
      <c r="B2757" t="s">
        <v>78</v>
      </c>
      <c r="C2757" s="2">
        <v>45823</v>
      </c>
      <c r="D2757" t="s">
        <v>26</v>
      </c>
      <c r="E2757">
        <v>2778</v>
      </c>
    </row>
    <row r="2758" spans="1:5" x14ac:dyDescent="0.55000000000000004">
      <c r="A2758" t="s">
        <v>2839</v>
      </c>
      <c r="B2758" t="s">
        <v>137</v>
      </c>
      <c r="C2758" s="2">
        <v>44070</v>
      </c>
      <c r="D2758" t="s">
        <v>29</v>
      </c>
      <c r="E2758">
        <v>1749</v>
      </c>
    </row>
    <row r="2759" spans="1:5" x14ac:dyDescent="0.55000000000000004">
      <c r="A2759" t="s">
        <v>2840</v>
      </c>
      <c r="B2759" t="s">
        <v>38</v>
      </c>
      <c r="C2759" s="2">
        <v>44175</v>
      </c>
      <c r="D2759" t="s">
        <v>26</v>
      </c>
      <c r="E2759">
        <v>393</v>
      </c>
    </row>
    <row r="2760" spans="1:5" x14ac:dyDescent="0.55000000000000004">
      <c r="A2760" t="s">
        <v>2841</v>
      </c>
      <c r="B2760" t="s">
        <v>86</v>
      </c>
      <c r="C2760" s="2">
        <v>43887</v>
      </c>
      <c r="D2760" t="s">
        <v>26</v>
      </c>
      <c r="E2760">
        <v>214</v>
      </c>
    </row>
    <row r="2761" spans="1:5" x14ac:dyDescent="0.55000000000000004">
      <c r="A2761" t="s">
        <v>2842</v>
      </c>
      <c r="B2761" t="s">
        <v>115</v>
      </c>
      <c r="C2761" s="2">
        <v>43972</v>
      </c>
      <c r="D2761" t="s">
        <v>29</v>
      </c>
      <c r="E2761">
        <v>2430</v>
      </c>
    </row>
    <row r="2762" spans="1:5" x14ac:dyDescent="0.55000000000000004">
      <c r="A2762" t="s">
        <v>2843</v>
      </c>
      <c r="B2762" t="s">
        <v>140</v>
      </c>
      <c r="C2762" s="2">
        <v>43221</v>
      </c>
      <c r="D2762" t="s">
        <v>29</v>
      </c>
      <c r="E2762">
        <v>1003</v>
      </c>
    </row>
    <row r="2763" spans="1:5" x14ac:dyDescent="0.55000000000000004">
      <c r="A2763" t="s">
        <v>2844</v>
      </c>
      <c r="B2763" t="s">
        <v>142</v>
      </c>
      <c r="C2763" s="2">
        <v>43160</v>
      </c>
      <c r="D2763" t="s">
        <v>26</v>
      </c>
      <c r="E2763">
        <v>1624</v>
      </c>
    </row>
    <row r="2764" spans="1:5" x14ac:dyDescent="0.55000000000000004">
      <c r="A2764" t="s">
        <v>2845</v>
      </c>
      <c r="B2764" t="s">
        <v>96</v>
      </c>
      <c r="C2764" s="2">
        <v>44705</v>
      </c>
      <c r="D2764" t="s">
        <v>26</v>
      </c>
      <c r="E2764">
        <v>2673</v>
      </c>
    </row>
    <row r="2765" spans="1:5" x14ac:dyDescent="0.55000000000000004">
      <c r="A2765" t="s">
        <v>2846</v>
      </c>
      <c r="B2765" t="s">
        <v>78</v>
      </c>
      <c r="C2765" s="2">
        <v>45003</v>
      </c>
      <c r="D2765" t="s">
        <v>26</v>
      </c>
      <c r="E2765">
        <v>1899</v>
      </c>
    </row>
    <row r="2766" spans="1:5" x14ac:dyDescent="0.55000000000000004">
      <c r="A2766" t="s">
        <v>2847</v>
      </c>
      <c r="B2766" t="s">
        <v>76</v>
      </c>
      <c r="C2766" s="2">
        <v>45031</v>
      </c>
      <c r="D2766" t="s">
        <v>29</v>
      </c>
      <c r="E2766">
        <v>2590</v>
      </c>
    </row>
    <row r="2767" spans="1:5" x14ac:dyDescent="0.55000000000000004">
      <c r="A2767" t="s">
        <v>2848</v>
      </c>
      <c r="B2767" t="s">
        <v>35</v>
      </c>
      <c r="C2767" s="2">
        <v>44742</v>
      </c>
      <c r="D2767" t="s">
        <v>29</v>
      </c>
      <c r="E2767">
        <v>47</v>
      </c>
    </row>
    <row r="2768" spans="1:5" x14ac:dyDescent="0.55000000000000004">
      <c r="A2768" t="s">
        <v>2849</v>
      </c>
      <c r="B2768" t="s">
        <v>115</v>
      </c>
      <c r="C2768" s="2">
        <v>43155</v>
      </c>
      <c r="D2768" t="s">
        <v>26</v>
      </c>
      <c r="E2768">
        <v>499</v>
      </c>
    </row>
    <row r="2769" spans="1:5" x14ac:dyDescent="0.55000000000000004">
      <c r="A2769" t="s">
        <v>2850</v>
      </c>
      <c r="B2769" t="s">
        <v>96</v>
      </c>
      <c r="C2769" s="2">
        <v>45553</v>
      </c>
      <c r="D2769" t="s">
        <v>26</v>
      </c>
      <c r="E2769">
        <v>94</v>
      </c>
    </row>
    <row r="2770" spans="1:5" x14ac:dyDescent="0.55000000000000004">
      <c r="A2770" t="s">
        <v>2851</v>
      </c>
      <c r="B2770" t="s">
        <v>23</v>
      </c>
      <c r="C2770" s="2">
        <v>44813</v>
      </c>
      <c r="D2770" t="s">
        <v>29</v>
      </c>
      <c r="E2770">
        <v>2841</v>
      </c>
    </row>
    <row r="2771" spans="1:5" x14ac:dyDescent="0.55000000000000004">
      <c r="A2771" t="s">
        <v>2852</v>
      </c>
      <c r="B2771" t="s">
        <v>78</v>
      </c>
      <c r="C2771" s="2">
        <v>43853</v>
      </c>
      <c r="D2771" t="s">
        <v>26</v>
      </c>
      <c r="E2771">
        <v>1572</v>
      </c>
    </row>
    <row r="2772" spans="1:5" x14ac:dyDescent="0.55000000000000004">
      <c r="A2772" t="s">
        <v>2853</v>
      </c>
      <c r="B2772" t="s">
        <v>96</v>
      </c>
      <c r="C2772" s="2">
        <v>45242</v>
      </c>
      <c r="D2772" t="s">
        <v>29</v>
      </c>
      <c r="E2772">
        <v>2340</v>
      </c>
    </row>
    <row r="2773" spans="1:5" x14ac:dyDescent="0.55000000000000004">
      <c r="A2773" t="s">
        <v>2854</v>
      </c>
      <c r="B2773" t="s">
        <v>72</v>
      </c>
      <c r="C2773" s="2">
        <v>43120</v>
      </c>
      <c r="D2773" t="s">
        <v>29</v>
      </c>
      <c r="E2773">
        <v>260</v>
      </c>
    </row>
    <row r="2774" spans="1:5" x14ac:dyDescent="0.55000000000000004">
      <c r="A2774" t="s">
        <v>2855</v>
      </c>
      <c r="B2774" t="s">
        <v>41</v>
      </c>
      <c r="C2774" s="2">
        <v>44209</v>
      </c>
      <c r="D2774" t="s">
        <v>29</v>
      </c>
      <c r="E2774">
        <v>2870</v>
      </c>
    </row>
    <row r="2775" spans="1:5" x14ac:dyDescent="0.55000000000000004">
      <c r="A2775" t="s">
        <v>2856</v>
      </c>
      <c r="B2775" t="s">
        <v>14</v>
      </c>
      <c r="C2775" s="2">
        <v>43723</v>
      </c>
      <c r="D2775" t="s">
        <v>29</v>
      </c>
      <c r="E2775">
        <v>261</v>
      </c>
    </row>
    <row r="2776" spans="1:5" x14ac:dyDescent="0.55000000000000004">
      <c r="A2776" t="s">
        <v>2857</v>
      </c>
      <c r="B2776" t="s">
        <v>67</v>
      </c>
      <c r="C2776" s="2">
        <v>45673</v>
      </c>
      <c r="D2776" t="s">
        <v>26</v>
      </c>
      <c r="E2776">
        <v>849</v>
      </c>
    </row>
    <row r="2777" spans="1:5" x14ac:dyDescent="0.55000000000000004">
      <c r="A2777" t="s">
        <v>2858</v>
      </c>
      <c r="B2777" t="s">
        <v>38</v>
      </c>
      <c r="C2777" s="2">
        <v>44071</v>
      </c>
      <c r="D2777" t="s">
        <v>26</v>
      </c>
      <c r="E2777">
        <v>2453</v>
      </c>
    </row>
    <row r="2778" spans="1:5" x14ac:dyDescent="0.55000000000000004">
      <c r="A2778" t="s">
        <v>2859</v>
      </c>
      <c r="B2778" t="s">
        <v>41</v>
      </c>
      <c r="C2778" s="2">
        <v>44199</v>
      </c>
      <c r="D2778" t="s">
        <v>26</v>
      </c>
      <c r="E2778">
        <v>2272</v>
      </c>
    </row>
    <row r="2779" spans="1:5" x14ac:dyDescent="0.55000000000000004">
      <c r="A2779" t="s">
        <v>2860</v>
      </c>
      <c r="B2779" t="s">
        <v>15</v>
      </c>
      <c r="C2779" s="2">
        <v>44556</v>
      </c>
      <c r="D2779" t="s">
        <v>29</v>
      </c>
      <c r="E2779">
        <v>503</v>
      </c>
    </row>
    <row r="2780" spans="1:5" x14ac:dyDescent="0.55000000000000004">
      <c r="A2780" t="s">
        <v>2861</v>
      </c>
      <c r="B2780" t="s">
        <v>142</v>
      </c>
      <c r="C2780" s="2">
        <v>43180</v>
      </c>
      <c r="D2780" t="s">
        <v>26</v>
      </c>
      <c r="E2780">
        <v>2673</v>
      </c>
    </row>
    <row r="2781" spans="1:5" x14ac:dyDescent="0.55000000000000004">
      <c r="A2781" t="s">
        <v>2862</v>
      </c>
      <c r="B2781" t="s">
        <v>105</v>
      </c>
      <c r="C2781" s="2">
        <v>43096</v>
      </c>
      <c r="D2781" t="s">
        <v>29</v>
      </c>
      <c r="E2781">
        <v>143</v>
      </c>
    </row>
    <row r="2782" spans="1:5" x14ac:dyDescent="0.55000000000000004">
      <c r="A2782" t="s">
        <v>2863</v>
      </c>
      <c r="B2782" t="s">
        <v>74</v>
      </c>
      <c r="C2782" s="2">
        <v>43172</v>
      </c>
      <c r="D2782" t="s">
        <v>29</v>
      </c>
      <c r="E2782">
        <v>1489</v>
      </c>
    </row>
    <row r="2783" spans="1:5" x14ac:dyDescent="0.55000000000000004">
      <c r="A2783" t="s">
        <v>2864</v>
      </c>
      <c r="B2783" t="s">
        <v>99</v>
      </c>
      <c r="C2783" s="2">
        <v>44168</v>
      </c>
      <c r="D2783" t="s">
        <v>29</v>
      </c>
      <c r="E2783">
        <v>2695</v>
      </c>
    </row>
    <row r="2784" spans="1:5" x14ac:dyDescent="0.55000000000000004">
      <c r="A2784" t="s">
        <v>2865</v>
      </c>
      <c r="B2784" t="s">
        <v>14</v>
      </c>
      <c r="C2784" s="2">
        <v>43425</v>
      </c>
      <c r="D2784" t="s">
        <v>29</v>
      </c>
      <c r="E2784">
        <v>189</v>
      </c>
    </row>
    <row r="2785" spans="1:5" x14ac:dyDescent="0.55000000000000004">
      <c r="A2785" t="s">
        <v>2866</v>
      </c>
      <c r="B2785" t="s">
        <v>67</v>
      </c>
      <c r="C2785" s="2">
        <v>44667</v>
      </c>
      <c r="D2785" t="s">
        <v>29</v>
      </c>
      <c r="E2785">
        <v>572</v>
      </c>
    </row>
    <row r="2786" spans="1:5" x14ac:dyDescent="0.55000000000000004">
      <c r="A2786" t="s">
        <v>2867</v>
      </c>
      <c r="B2786" t="s">
        <v>23</v>
      </c>
      <c r="C2786" s="2">
        <v>44835</v>
      </c>
      <c r="D2786" t="s">
        <v>29</v>
      </c>
      <c r="E2786">
        <v>2140</v>
      </c>
    </row>
    <row r="2787" spans="1:5" x14ac:dyDescent="0.55000000000000004">
      <c r="A2787" t="s">
        <v>2868</v>
      </c>
      <c r="B2787" t="s">
        <v>86</v>
      </c>
      <c r="C2787" s="2">
        <v>44158</v>
      </c>
      <c r="D2787" t="s">
        <v>26</v>
      </c>
      <c r="E2787">
        <v>2817</v>
      </c>
    </row>
    <row r="2788" spans="1:5" x14ac:dyDescent="0.55000000000000004">
      <c r="A2788" t="s">
        <v>2869</v>
      </c>
      <c r="B2788" t="s">
        <v>115</v>
      </c>
      <c r="C2788" s="2">
        <v>44274</v>
      </c>
      <c r="D2788" t="s">
        <v>26</v>
      </c>
      <c r="E2788">
        <v>971</v>
      </c>
    </row>
    <row r="2789" spans="1:5" x14ac:dyDescent="0.55000000000000004">
      <c r="A2789" t="s">
        <v>2870</v>
      </c>
      <c r="B2789" t="s">
        <v>142</v>
      </c>
      <c r="C2789" s="2">
        <v>43302</v>
      </c>
      <c r="D2789" t="s">
        <v>26</v>
      </c>
      <c r="E2789">
        <v>1227</v>
      </c>
    </row>
    <row r="2790" spans="1:5" x14ac:dyDescent="0.55000000000000004">
      <c r="A2790" t="s">
        <v>2871</v>
      </c>
      <c r="B2790" t="s">
        <v>76</v>
      </c>
      <c r="C2790" s="2">
        <v>44347</v>
      </c>
      <c r="D2790" t="s">
        <v>26</v>
      </c>
      <c r="E2790">
        <v>2466</v>
      </c>
    </row>
    <row r="2791" spans="1:5" x14ac:dyDescent="0.55000000000000004">
      <c r="A2791" t="s">
        <v>2872</v>
      </c>
      <c r="B2791" t="s">
        <v>99</v>
      </c>
      <c r="C2791" s="2">
        <v>44350</v>
      </c>
      <c r="D2791" t="s">
        <v>29</v>
      </c>
      <c r="E2791">
        <v>1136</v>
      </c>
    </row>
    <row r="2792" spans="1:5" x14ac:dyDescent="0.55000000000000004">
      <c r="A2792" t="s">
        <v>2873</v>
      </c>
      <c r="B2792" t="s">
        <v>72</v>
      </c>
      <c r="C2792" s="2">
        <v>44410</v>
      </c>
      <c r="D2792" t="s">
        <v>29</v>
      </c>
      <c r="E2792">
        <v>304</v>
      </c>
    </row>
    <row r="2793" spans="1:5" x14ac:dyDescent="0.55000000000000004">
      <c r="A2793" t="s">
        <v>2874</v>
      </c>
      <c r="B2793" t="s">
        <v>99</v>
      </c>
      <c r="C2793" s="2">
        <v>44510</v>
      </c>
      <c r="D2793" t="s">
        <v>29</v>
      </c>
      <c r="E2793">
        <v>1563</v>
      </c>
    </row>
    <row r="2794" spans="1:5" x14ac:dyDescent="0.55000000000000004">
      <c r="A2794" t="s">
        <v>2875</v>
      </c>
      <c r="B2794" t="s">
        <v>35</v>
      </c>
      <c r="C2794" s="2">
        <v>44165</v>
      </c>
      <c r="D2794" t="s">
        <v>29</v>
      </c>
      <c r="E2794">
        <v>1868</v>
      </c>
    </row>
    <row r="2795" spans="1:5" x14ac:dyDescent="0.55000000000000004">
      <c r="A2795" t="s">
        <v>2876</v>
      </c>
      <c r="B2795" t="s">
        <v>74</v>
      </c>
      <c r="C2795" s="2">
        <v>43437</v>
      </c>
      <c r="D2795" t="s">
        <v>29</v>
      </c>
      <c r="E2795">
        <v>2844</v>
      </c>
    </row>
    <row r="2796" spans="1:5" x14ac:dyDescent="0.55000000000000004">
      <c r="A2796" t="s">
        <v>2877</v>
      </c>
      <c r="B2796" t="s">
        <v>72</v>
      </c>
      <c r="C2796" s="2">
        <v>44014</v>
      </c>
      <c r="D2796" t="s">
        <v>26</v>
      </c>
      <c r="E2796">
        <v>289</v>
      </c>
    </row>
    <row r="2797" spans="1:5" x14ac:dyDescent="0.55000000000000004">
      <c r="A2797" t="s">
        <v>2878</v>
      </c>
      <c r="B2797" t="s">
        <v>35</v>
      </c>
      <c r="C2797" s="2">
        <v>44382</v>
      </c>
      <c r="D2797" t="s">
        <v>26</v>
      </c>
      <c r="E2797">
        <v>2926</v>
      </c>
    </row>
    <row r="2798" spans="1:5" x14ac:dyDescent="0.55000000000000004">
      <c r="A2798" t="s">
        <v>2879</v>
      </c>
      <c r="B2798" t="s">
        <v>86</v>
      </c>
      <c r="C2798" s="2">
        <v>44071</v>
      </c>
      <c r="D2798" t="s">
        <v>26</v>
      </c>
      <c r="E2798">
        <v>1719</v>
      </c>
    </row>
    <row r="2799" spans="1:5" x14ac:dyDescent="0.55000000000000004">
      <c r="A2799" t="s">
        <v>2880</v>
      </c>
      <c r="B2799" t="s">
        <v>175</v>
      </c>
      <c r="C2799" s="2">
        <v>44094</v>
      </c>
      <c r="D2799" t="s">
        <v>29</v>
      </c>
      <c r="E2799">
        <v>1776</v>
      </c>
    </row>
    <row r="2800" spans="1:5" x14ac:dyDescent="0.55000000000000004">
      <c r="A2800" t="s">
        <v>2881</v>
      </c>
      <c r="B2800" t="s">
        <v>101</v>
      </c>
      <c r="C2800" s="2">
        <v>42970</v>
      </c>
      <c r="D2800" t="s">
        <v>26</v>
      </c>
      <c r="E2800">
        <v>317</v>
      </c>
    </row>
    <row r="2801" spans="1:5" x14ac:dyDescent="0.55000000000000004">
      <c r="A2801" t="s">
        <v>2882</v>
      </c>
      <c r="B2801" t="s">
        <v>84</v>
      </c>
      <c r="C2801" s="2">
        <v>43172</v>
      </c>
      <c r="D2801" t="s">
        <v>26</v>
      </c>
      <c r="E2801">
        <v>2801</v>
      </c>
    </row>
    <row r="2802" spans="1:5" x14ac:dyDescent="0.55000000000000004">
      <c r="A2802" t="s">
        <v>2883</v>
      </c>
      <c r="B2802" t="s">
        <v>99</v>
      </c>
      <c r="C2802" s="2">
        <v>45132</v>
      </c>
      <c r="D2802" t="s">
        <v>26</v>
      </c>
      <c r="E2802">
        <v>1349</v>
      </c>
    </row>
    <row r="2803" spans="1:5" x14ac:dyDescent="0.55000000000000004">
      <c r="A2803" t="s">
        <v>2884</v>
      </c>
      <c r="B2803" t="s">
        <v>35</v>
      </c>
      <c r="C2803" s="2">
        <v>44013</v>
      </c>
      <c r="D2803" t="s">
        <v>29</v>
      </c>
      <c r="E2803">
        <v>1366</v>
      </c>
    </row>
    <row r="2804" spans="1:5" x14ac:dyDescent="0.55000000000000004">
      <c r="A2804" t="s">
        <v>2885</v>
      </c>
      <c r="B2804" t="s">
        <v>118</v>
      </c>
      <c r="C2804" s="2">
        <v>44585</v>
      </c>
      <c r="D2804" t="s">
        <v>26</v>
      </c>
      <c r="E2804">
        <v>924</v>
      </c>
    </row>
    <row r="2805" spans="1:5" x14ac:dyDescent="0.55000000000000004">
      <c r="A2805" t="s">
        <v>2886</v>
      </c>
      <c r="B2805" t="s">
        <v>84</v>
      </c>
      <c r="C2805" s="2">
        <v>42937</v>
      </c>
      <c r="D2805" t="s">
        <v>26</v>
      </c>
      <c r="E2805">
        <v>1544</v>
      </c>
    </row>
    <row r="2806" spans="1:5" x14ac:dyDescent="0.55000000000000004">
      <c r="A2806" t="s">
        <v>2887</v>
      </c>
      <c r="B2806" t="s">
        <v>63</v>
      </c>
      <c r="C2806" s="2">
        <v>43692</v>
      </c>
      <c r="D2806" t="s">
        <v>26</v>
      </c>
      <c r="E2806">
        <v>505</v>
      </c>
    </row>
    <row r="2807" spans="1:5" x14ac:dyDescent="0.55000000000000004">
      <c r="A2807" t="s">
        <v>2888</v>
      </c>
      <c r="B2807" t="s">
        <v>105</v>
      </c>
      <c r="C2807" s="2">
        <v>43995</v>
      </c>
      <c r="D2807" t="s">
        <v>29</v>
      </c>
      <c r="E2807">
        <v>2411</v>
      </c>
    </row>
    <row r="2808" spans="1:5" x14ac:dyDescent="0.55000000000000004">
      <c r="A2808" t="s">
        <v>2889</v>
      </c>
      <c r="B2808" t="s">
        <v>175</v>
      </c>
      <c r="C2808" s="2">
        <v>45471</v>
      </c>
      <c r="D2808" t="s">
        <v>26</v>
      </c>
      <c r="E2808">
        <v>2166</v>
      </c>
    </row>
    <row r="2809" spans="1:5" x14ac:dyDescent="0.55000000000000004">
      <c r="A2809" t="s">
        <v>2890</v>
      </c>
      <c r="B2809" t="s">
        <v>86</v>
      </c>
      <c r="C2809" s="2">
        <v>44351</v>
      </c>
      <c r="D2809" t="s">
        <v>29</v>
      </c>
      <c r="E2809">
        <v>2259</v>
      </c>
    </row>
    <row r="2810" spans="1:5" x14ac:dyDescent="0.55000000000000004">
      <c r="A2810" t="s">
        <v>2891</v>
      </c>
      <c r="B2810" t="s">
        <v>84</v>
      </c>
      <c r="C2810" s="2">
        <v>44161</v>
      </c>
      <c r="D2810" t="s">
        <v>26</v>
      </c>
      <c r="E2810">
        <v>196</v>
      </c>
    </row>
    <row r="2811" spans="1:5" x14ac:dyDescent="0.55000000000000004">
      <c r="A2811" t="s">
        <v>2892</v>
      </c>
      <c r="B2811" t="s">
        <v>105</v>
      </c>
      <c r="C2811" s="2">
        <v>43568</v>
      </c>
      <c r="D2811" t="s">
        <v>29</v>
      </c>
      <c r="E2811">
        <v>740</v>
      </c>
    </row>
    <row r="2812" spans="1:5" x14ac:dyDescent="0.55000000000000004">
      <c r="A2812" t="s">
        <v>2893</v>
      </c>
      <c r="B2812" t="s">
        <v>86</v>
      </c>
      <c r="C2812" s="2">
        <v>44435</v>
      </c>
      <c r="D2812" t="s">
        <v>29</v>
      </c>
      <c r="E2812">
        <v>1953</v>
      </c>
    </row>
    <row r="2813" spans="1:5" x14ac:dyDescent="0.55000000000000004">
      <c r="A2813" t="s">
        <v>2894</v>
      </c>
      <c r="B2813" t="s">
        <v>23</v>
      </c>
      <c r="C2813" s="2">
        <v>44092</v>
      </c>
      <c r="D2813" t="s">
        <v>29</v>
      </c>
      <c r="E2813">
        <v>38</v>
      </c>
    </row>
    <row r="2814" spans="1:5" x14ac:dyDescent="0.55000000000000004">
      <c r="A2814" t="s">
        <v>2895</v>
      </c>
      <c r="B2814" t="s">
        <v>38</v>
      </c>
      <c r="C2814" s="2">
        <v>44882</v>
      </c>
      <c r="D2814" t="s">
        <v>26</v>
      </c>
      <c r="E2814">
        <v>2693</v>
      </c>
    </row>
    <row r="2815" spans="1:5" x14ac:dyDescent="0.55000000000000004">
      <c r="A2815" t="s">
        <v>2896</v>
      </c>
      <c r="B2815" t="s">
        <v>72</v>
      </c>
      <c r="C2815" s="2">
        <v>43209</v>
      </c>
      <c r="D2815" t="s">
        <v>29</v>
      </c>
      <c r="E2815">
        <v>2324</v>
      </c>
    </row>
    <row r="2816" spans="1:5" x14ac:dyDescent="0.55000000000000004">
      <c r="A2816" t="s">
        <v>2897</v>
      </c>
      <c r="B2816" t="s">
        <v>78</v>
      </c>
      <c r="C2816" s="2">
        <v>44561</v>
      </c>
      <c r="D2816" t="s">
        <v>26</v>
      </c>
      <c r="E2816">
        <v>2971</v>
      </c>
    </row>
    <row r="2817" spans="1:5" x14ac:dyDescent="0.55000000000000004">
      <c r="A2817" t="s">
        <v>2898</v>
      </c>
      <c r="B2817" t="s">
        <v>35</v>
      </c>
      <c r="C2817" s="2">
        <v>44589</v>
      </c>
      <c r="D2817" t="s">
        <v>26</v>
      </c>
      <c r="E2817">
        <v>2777</v>
      </c>
    </row>
    <row r="2818" spans="1:5" x14ac:dyDescent="0.55000000000000004">
      <c r="A2818" t="s">
        <v>2899</v>
      </c>
      <c r="B2818" t="s">
        <v>32</v>
      </c>
      <c r="C2818" s="2">
        <v>44687</v>
      </c>
      <c r="D2818" t="s">
        <v>29</v>
      </c>
      <c r="E2818">
        <v>749</v>
      </c>
    </row>
    <row r="2819" spans="1:5" x14ac:dyDescent="0.55000000000000004">
      <c r="A2819" t="s">
        <v>2900</v>
      </c>
      <c r="B2819" t="s">
        <v>15</v>
      </c>
      <c r="C2819" s="2">
        <v>43641</v>
      </c>
      <c r="D2819" t="s">
        <v>29</v>
      </c>
      <c r="E2819">
        <v>2057</v>
      </c>
    </row>
    <row r="2820" spans="1:5" x14ac:dyDescent="0.55000000000000004">
      <c r="A2820" t="s">
        <v>2901</v>
      </c>
      <c r="B2820" t="s">
        <v>156</v>
      </c>
      <c r="C2820" s="2">
        <v>43481</v>
      </c>
      <c r="D2820" t="s">
        <v>29</v>
      </c>
      <c r="E2820">
        <v>2132</v>
      </c>
    </row>
    <row r="2821" spans="1:5" x14ac:dyDescent="0.55000000000000004">
      <c r="A2821" t="s">
        <v>2902</v>
      </c>
      <c r="B2821" t="s">
        <v>41</v>
      </c>
      <c r="C2821" s="2">
        <v>44299</v>
      </c>
      <c r="D2821" t="s">
        <v>29</v>
      </c>
      <c r="E2821">
        <v>2603</v>
      </c>
    </row>
    <row r="2822" spans="1:5" x14ac:dyDescent="0.55000000000000004">
      <c r="A2822" t="s">
        <v>2903</v>
      </c>
      <c r="B2822" t="s">
        <v>76</v>
      </c>
      <c r="C2822" s="2">
        <v>43822</v>
      </c>
      <c r="D2822" t="s">
        <v>29</v>
      </c>
      <c r="E2822">
        <v>1665</v>
      </c>
    </row>
    <row r="2823" spans="1:5" x14ac:dyDescent="0.55000000000000004">
      <c r="A2823" t="s">
        <v>2904</v>
      </c>
      <c r="B2823" t="s">
        <v>118</v>
      </c>
      <c r="C2823" s="2">
        <v>44746</v>
      </c>
      <c r="D2823" t="s">
        <v>26</v>
      </c>
      <c r="E2823">
        <v>2599</v>
      </c>
    </row>
    <row r="2824" spans="1:5" x14ac:dyDescent="0.55000000000000004">
      <c r="A2824" t="s">
        <v>2905</v>
      </c>
      <c r="B2824" t="s">
        <v>74</v>
      </c>
      <c r="C2824" s="2">
        <v>43074</v>
      </c>
      <c r="D2824" t="s">
        <v>26</v>
      </c>
      <c r="E2824">
        <v>383</v>
      </c>
    </row>
    <row r="2825" spans="1:5" x14ac:dyDescent="0.55000000000000004">
      <c r="A2825" t="s">
        <v>2906</v>
      </c>
      <c r="B2825" t="s">
        <v>105</v>
      </c>
      <c r="C2825" s="2">
        <v>44095</v>
      </c>
      <c r="D2825" t="s">
        <v>26</v>
      </c>
      <c r="E2825">
        <v>346</v>
      </c>
    </row>
    <row r="2826" spans="1:5" x14ac:dyDescent="0.55000000000000004">
      <c r="A2826" t="s">
        <v>2907</v>
      </c>
      <c r="B2826" t="s">
        <v>78</v>
      </c>
      <c r="C2826" s="2">
        <v>44636</v>
      </c>
      <c r="D2826" t="s">
        <v>29</v>
      </c>
      <c r="E2826">
        <v>43</v>
      </c>
    </row>
    <row r="2827" spans="1:5" x14ac:dyDescent="0.55000000000000004">
      <c r="A2827" t="s">
        <v>2908</v>
      </c>
      <c r="B2827" t="s">
        <v>140</v>
      </c>
      <c r="C2827" s="2">
        <v>44303</v>
      </c>
      <c r="D2827" t="s">
        <v>26</v>
      </c>
      <c r="E2827">
        <v>1964</v>
      </c>
    </row>
    <row r="2828" spans="1:5" x14ac:dyDescent="0.55000000000000004">
      <c r="A2828" t="s">
        <v>2909</v>
      </c>
      <c r="B2828" t="s">
        <v>96</v>
      </c>
      <c r="C2828" s="2">
        <v>45575</v>
      </c>
      <c r="D2828" t="s">
        <v>26</v>
      </c>
      <c r="E2828">
        <v>1660</v>
      </c>
    </row>
    <row r="2829" spans="1:5" x14ac:dyDescent="0.55000000000000004">
      <c r="A2829" t="s">
        <v>2910</v>
      </c>
      <c r="B2829" t="s">
        <v>14</v>
      </c>
      <c r="C2829" s="2">
        <v>44179</v>
      </c>
      <c r="D2829" t="s">
        <v>26</v>
      </c>
      <c r="E2829">
        <v>29</v>
      </c>
    </row>
    <row r="2830" spans="1:5" x14ac:dyDescent="0.55000000000000004">
      <c r="A2830" t="s">
        <v>2911</v>
      </c>
      <c r="B2830" t="s">
        <v>41</v>
      </c>
      <c r="C2830" s="2">
        <v>44701</v>
      </c>
      <c r="D2830" t="s">
        <v>29</v>
      </c>
      <c r="E2830">
        <v>1000</v>
      </c>
    </row>
    <row r="2831" spans="1:5" x14ac:dyDescent="0.55000000000000004">
      <c r="A2831" t="s">
        <v>2912</v>
      </c>
      <c r="B2831" t="s">
        <v>78</v>
      </c>
      <c r="C2831" s="2">
        <v>45629</v>
      </c>
      <c r="D2831" t="s">
        <v>26</v>
      </c>
      <c r="E2831">
        <v>2487</v>
      </c>
    </row>
    <row r="2832" spans="1:5" x14ac:dyDescent="0.55000000000000004">
      <c r="A2832" t="s">
        <v>2913</v>
      </c>
      <c r="B2832" t="s">
        <v>15</v>
      </c>
      <c r="C2832" s="2">
        <v>43262</v>
      </c>
      <c r="D2832" t="s">
        <v>26</v>
      </c>
      <c r="E2832">
        <v>716</v>
      </c>
    </row>
    <row r="2833" spans="1:5" x14ac:dyDescent="0.55000000000000004">
      <c r="A2833" t="s">
        <v>2914</v>
      </c>
      <c r="B2833" t="s">
        <v>74</v>
      </c>
      <c r="C2833" s="2">
        <v>43668</v>
      </c>
      <c r="D2833" t="s">
        <v>26</v>
      </c>
      <c r="E2833">
        <v>2104</v>
      </c>
    </row>
    <row r="2834" spans="1:5" x14ac:dyDescent="0.55000000000000004">
      <c r="A2834" t="s">
        <v>2915</v>
      </c>
      <c r="B2834" t="s">
        <v>86</v>
      </c>
      <c r="C2834" s="2">
        <v>43021</v>
      </c>
      <c r="D2834" t="s">
        <v>29</v>
      </c>
      <c r="E2834">
        <v>2029</v>
      </c>
    </row>
    <row r="2835" spans="1:5" x14ac:dyDescent="0.55000000000000004">
      <c r="A2835" t="s">
        <v>2916</v>
      </c>
      <c r="B2835" t="s">
        <v>101</v>
      </c>
      <c r="C2835" s="2">
        <v>43266</v>
      </c>
      <c r="D2835" t="s">
        <v>29</v>
      </c>
      <c r="E2835">
        <v>463</v>
      </c>
    </row>
    <row r="2836" spans="1:5" x14ac:dyDescent="0.55000000000000004">
      <c r="A2836" t="s">
        <v>2917</v>
      </c>
      <c r="B2836" t="s">
        <v>111</v>
      </c>
      <c r="C2836" s="2">
        <v>44307</v>
      </c>
      <c r="D2836" t="s">
        <v>26</v>
      </c>
      <c r="E2836">
        <v>2208</v>
      </c>
    </row>
    <row r="2837" spans="1:5" x14ac:dyDescent="0.55000000000000004">
      <c r="A2837" t="s">
        <v>2918</v>
      </c>
      <c r="B2837" t="s">
        <v>76</v>
      </c>
      <c r="C2837" s="2">
        <v>43948</v>
      </c>
      <c r="D2837" t="s">
        <v>29</v>
      </c>
      <c r="E2837">
        <v>1225</v>
      </c>
    </row>
    <row r="2838" spans="1:5" x14ac:dyDescent="0.55000000000000004">
      <c r="A2838" t="s">
        <v>2919</v>
      </c>
      <c r="B2838" t="s">
        <v>96</v>
      </c>
      <c r="C2838" s="2">
        <v>44668</v>
      </c>
      <c r="D2838" t="s">
        <v>29</v>
      </c>
      <c r="E2838">
        <v>872</v>
      </c>
    </row>
    <row r="2839" spans="1:5" x14ac:dyDescent="0.55000000000000004">
      <c r="A2839" t="s">
        <v>2920</v>
      </c>
      <c r="B2839" t="s">
        <v>14</v>
      </c>
      <c r="C2839" s="2">
        <v>44428</v>
      </c>
      <c r="D2839" t="s">
        <v>29</v>
      </c>
      <c r="E2839">
        <v>890</v>
      </c>
    </row>
    <row r="2840" spans="1:5" x14ac:dyDescent="0.55000000000000004">
      <c r="A2840" t="s">
        <v>2921</v>
      </c>
      <c r="B2840" t="s">
        <v>156</v>
      </c>
      <c r="C2840" s="2">
        <v>44233</v>
      </c>
      <c r="D2840" t="s">
        <v>26</v>
      </c>
      <c r="E2840">
        <v>1896</v>
      </c>
    </row>
    <row r="2841" spans="1:5" x14ac:dyDescent="0.55000000000000004">
      <c r="A2841" t="s">
        <v>2922</v>
      </c>
      <c r="B2841" t="s">
        <v>94</v>
      </c>
      <c r="C2841" s="2">
        <v>45465</v>
      </c>
      <c r="D2841" t="s">
        <v>26</v>
      </c>
      <c r="E2841">
        <v>1457</v>
      </c>
    </row>
    <row r="2842" spans="1:5" x14ac:dyDescent="0.55000000000000004">
      <c r="A2842" t="s">
        <v>2923</v>
      </c>
      <c r="B2842" t="s">
        <v>14</v>
      </c>
      <c r="C2842" s="2">
        <v>44177</v>
      </c>
      <c r="D2842" t="s">
        <v>29</v>
      </c>
      <c r="E2842">
        <v>1345</v>
      </c>
    </row>
    <row r="2843" spans="1:5" x14ac:dyDescent="0.55000000000000004">
      <c r="A2843" t="s">
        <v>2924</v>
      </c>
      <c r="B2843" t="s">
        <v>156</v>
      </c>
      <c r="C2843" s="2">
        <v>43641</v>
      </c>
      <c r="D2843" t="s">
        <v>26</v>
      </c>
      <c r="E2843">
        <v>21</v>
      </c>
    </row>
    <row r="2844" spans="1:5" x14ac:dyDescent="0.55000000000000004">
      <c r="A2844" t="s">
        <v>2925</v>
      </c>
      <c r="B2844" t="s">
        <v>86</v>
      </c>
      <c r="C2844" s="2">
        <v>44396</v>
      </c>
      <c r="D2844" t="s">
        <v>26</v>
      </c>
      <c r="E2844">
        <v>1646</v>
      </c>
    </row>
    <row r="2845" spans="1:5" x14ac:dyDescent="0.55000000000000004">
      <c r="A2845" t="s">
        <v>2926</v>
      </c>
      <c r="B2845" t="s">
        <v>86</v>
      </c>
      <c r="C2845" s="2">
        <v>42935</v>
      </c>
      <c r="D2845" t="s">
        <v>26</v>
      </c>
      <c r="E2845">
        <v>1764</v>
      </c>
    </row>
    <row r="2846" spans="1:5" x14ac:dyDescent="0.55000000000000004">
      <c r="A2846" t="s">
        <v>2927</v>
      </c>
      <c r="B2846" t="s">
        <v>96</v>
      </c>
      <c r="C2846" s="2">
        <v>44275</v>
      </c>
      <c r="D2846" t="s">
        <v>26</v>
      </c>
      <c r="E2846">
        <v>2167</v>
      </c>
    </row>
    <row r="2847" spans="1:5" x14ac:dyDescent="0.55000000000000004">
      <c r="A2847" t="s">
        <v>2928</v>
      </c>
      <c r="B2847" t="s">
        <v>67</v>
      </c>
      <c r="C2847" s="2">
        <v>44095</v>
      </c>
      <c r="D2847" t="s">
        <v>29</v>
      </c>
      <c r="E2847">
        <v>507</v>
      </c>
    </row>
    <row r="2848" spans="1:5" x14ac:dyDescent="0.55000000000000004">
      <c r="A2848" t="s">
        <v>2929</v>
      </c>
      <c r="B2848" t="s">
        <v>96</v>
      </c>
      <c r="C2848" s="2">
        <v>43494</v>
      </c>
      <c r="D2848" t="s">
        <v>26</v>
      </c>
      <c r="E2848">
        <v>2689</v>
      </c>
    </row>
    <row r="2849" spans="1:5" x14ac:dyDescent="0.55000000000000004">
      <c r="A2849" t="s">
        <v>2930</v>
      </c>
      <c r="B2849" t="s">
        <v>84</v>
      </c>
      <c r="C2849" s="2">
        <v>43380</v>
      </c>
      <c r="D2849" t="s">
        <v>29</v>
      </c>
      <c r="E2849">
        <v>1619</v>
      </c>
    </row>
    <row r="2850" spans="1:5" x14ac:dyDescent="0.55000000000000004">
      <c r="A2850" t="s">
        <v>2931</v>
      </c>
      <c r="B2850" t="s">
        <v>86</v>
      </c>
      <c r="C2850" s="2">
        <v>43529</v>
      </c>
      <c r="D2850" t="s">
        <v>29</v>
      </c>
      <c r="E2850">
        <v>1754</v>
      </c>
    </row>
    <row r="2851" spans="1:5" x14ac:dyDescent="0.55000000000000004">
      <c r="A2851" t="s">
        <v>2932</v>
      </c>
      <c r="B2851" t="s">
        <v>94</v>
      </c>
      <c r="C2851" s="2">
        <v>44212</v>
      </c>
      <c r="D2851" t="s">
        <v>29</v>
      </c>
      <c r="E2851">
        <v>445</v>
      </c>
    </row>
    <row r="2852" spans="1:5" x14ac:dyDescent="0.55000000000000004">
      <c r="A2852" t="s">
        <v>2933</v>
      </c>
      <c r="B2852" t="s">
        <v>15</v>
      </c>
      <c r="C2852" s="2">
        <v>44261</v>
      </c>
      <c r="D2852" t="s">
        <v>29</v>
      </c>
      <c r="E2852">
        <v>662</v>
      </c>
    </row>
    <row r="2853" spans="1:5" x14ac:dyDescent="0.55000000000000004">
      <c r="A2853" t="s">
        <v>2934</v>
      </c>
      <c r="B2853" t="s">
        <v>72</v>
      </c>
      <c r="C2853" s="2">
        <v>43641</v>
      </c>
      <c r="D2853" t="s">
        <v>29</v>
      </c>
      <c r="E2853">
        <v>23</v>
      </c>
    </row>
    <row r="2854" spans="1:5" x14ac:dyDescent="0.55000000000000004">
      <c r="A2854" t="s">
        <v>2935</v>
      </c>
      <c r="B2854" t="s">
        <v>86</v>
      </c>
      <c r="C2854" s="2">
        <v>44369</v>
      </c>
      <c r="D2854" t="s">
        <v>26</v>
      </c>
      <c r="E2854">
        <v>453</v>
      </c>
    </row>
    <row r="2855" spans="1:5" x14ac:dyDescent="0.55000000000000004">
      <c r="A2855" t="s">
        <v>2936</v>
      </c>
      <c r="B2855" t="s">
        <v>151</v>
      </c>
      <c r="C2855" s="2">
        <v>43500</v>
      </c>
      <c r="D2855" t="s">
        <v>26</v>
      </c>
      <c r="E2855">
        <v>547</v>
      </c>
    </row>
    <row r="2856" spans="1:5" x14ac:dyDescent="0.55000000000000004">
      <c r="A2856" t="s">
        <v>2937</v>
      </c>
      <c r="B2856" t="s">
        <v>101</v>
      </c>
      <c r="C2856" s="2">
        <v>43779</v>
      </c>
      <c r="D2856" t="s">
        <v>29</v>
      </c>
      <c r="E2856">
        <v>129</v>
      </c>
    </row>
    <row r="2857" spans="1:5" x14ac:dyDescent="0.55000000000000004">
      <c r="A2857" t="s">
        <v>2938</v>
      </c>
      <c r="B2857" t="s">
        <v>105</v>
      </c>
      <c r="C2857" s="2">
        <v>44281</v>
      </c>
      <c r="D2857" t="s">
        <v>26</v>
      </c>
      <c r="E2857">
        <v>1963</v>
      </c>
    </row>
    <row r="2858" spans="1:5" x14ac:dyDescent="0.55000000000000004">
      <c r="A2858" t="s">
        <v>2939</v>
      </c>
      <c r="B2858" t="s">
        <v>38</v>
      </c>
      <c r="C2858" s="2">
        <v>44375</v>
      </c>
      <c r="D2858" t="s">
        <v>26</v>
      </c>
      <c r="E2858">
        <v>1724</v>
      </c>
    </row>
    <row r="2859" spans="1:5" x14ac:dyDescent="0.55000000000000004">
      <c r="A2859" t="s">
        <v>2940</v>
      </c>
      <c r="B2859" t="s">
        <v>96</v>
      </c>
      <c r="C2859" s="2">
        <v>45719</v>
      </c>
      <c r="D2859" t="s">
        <v>29</v>
      </c>
      <c r="E2859">
        <v>2792</v>
      </c>
    </row>
    <row r="2860" spans="1:5" x14ac:dyDescent="0.55000000000000004">
      <c r="A2860" t="s">
        <v>2941</v>
      </c>
      <c r="B2860" t="s">
        <v>41</v>
      </c>
      <c r="C2860" s="2">
        <v>44091</v>
      </c>
      <c r="D2860" t="s">
        <v>29</v>
      </c>
      <c r="E2860">
        <v>1637</v>
      </c>
    </row>
    <row r="2861" spans="1:5" x14ac:dyDescent="0.55000000000000004">
      <c r="A2861" t="s">
        <v>2942</v>
      </c>
      <c r="B2861" t="s">
        <v>67</v>
      </c>
      <c r="C2861" s="2">
        <v>45058</v>
      </c>
      <c r="D2861" t="s">
        <v>26</v>
      </c>
      <c r="E2861">
        <v>449</v>
      </c>
    </row>
    <row r="2862" spans="1:5" x14ac:dyDescent="0.55000000000000004">
      <c r="A2862" t="s">
        <v>2943</v>
      </c>
      <c r="B2862" t="s">
        <v>115</v>
      </c>
      <c r="C2862" s="2">
        <v>44540</v>
      </c>
      <c r="D2862" t="s">
        <v>26</v>
      </c>
      <c r="E2862">
        <v>516</v>
      </c>
    </row>
    <row r="2863" spans="1:5" x14ac:dyDescent="0.55000000000000004">
      <c r="A2863" t="s">
        <v>2944</v>
      </c>
      <c r="B2863" t="s">
        <v>72</v>
      </c>
      <c r="C2863" s="2">
        <v>43621</v>
      </c>
      <c r="D2863" t="s">
        <v>26</v>
      </c>
      <c r="E2863">
        <v>2803</v>
      </c>
    </row>
    <row r="2864" spans="1:5" x14ac:dyDescent="0.55000000000000004">
      <c r="A2864" t="s">
        <v>2945</v>
      </c>
      <c r="B2864" t="s">
        <v>63</v>
      </c>
      <c r="C2864" s="2">
        <v>43023</v>
      </c>
      <c r="D2864" t="s">
        <v>29</v>
      </c>
      <c r="E2864">
        <v>1759</v>
      </c>
    </row>
    <row r="2865" spans="1:5" x14ac:dyDescent="0.55000000000000004">
      <c r="A2865" t="s">
        <v>2946</v>
      </c>
      <c r="B2865" t="s">
        <v>32</v>
      </c>
      <c r="C2865" s="2">
        <v>43847</v>
      </c>
      <c r="D2865" t="s">
        <v>29</v>
      </c>
      <c r="E2865">
        <v>1966</v>
      </c>
    </row>
    <row r="2866" spans="1:5" x14ac:dyDescent="0.55000000000000004">
      <c r="A2866" t="s">
        <v>2947</v>
      </c>
      <c r="B2866" t="s">
        <v>156</v>
      </c>
      <c r="C2866" s="2">
        <v>43494</v>
      </c>
      <c r="D2866" t="s">
        <v>29</v>
      </c>
      <c r="E2866">
        <v>338</v>
      </c>
    </row>
    <row r="2867" spans="1:5" x14ac:dyDescent="0.55000000000000004">
      <c r="A2867" t="s">
        <v>2948</v>
      </c>
      <c r="B2867" t="s">
        <v>118</v>
      </c>
      <c r="C2867" s="2">
        <v>45222</v>
      </c>
      <c r="D2867" t="s">
        <v>26</v>
      </c>
      <c r="E2867">
        <v>2529</v>
      </c>
    </row>
    <row r="2868" spans="1:5" x14ac:dyDescent="0.55000000000000004">
      <c r="A2868" t="s">
        <v>2949</v>
      </c>
      <c r="B2868" t="s">
        <v>72</v>
      </c>
      <c r="C2868" s="2">
        <v>44410</v>
      </c>
      <c r="D2868" t="s">
        <v>26</v>
      </c>
      <c r="E2868">
        <v>1021</v>
      </c>
    </row>
    <row r="2869" spans="1:5" x14ac:dyDescent="0.55000000000000004">
      <c r="A2869" t="s">
        <v>2950</v>
      </c>
      <c r="B2869" t="s">
        <v>84</v>
      </c>
      <c r="C2869" s="2">
        <v>44487</v>
      </c>
      <c r="D2869" t="s">
        <v>26</v>
      </c>
      <c r="E2869">
        <v>1079</v>
      </c>
    </row>
    <row r="2870" spans="1:5" x14ac:dyDescent="0.55000000000000004">
      <c r="A2870" t="s">
        <v>2951</v>
      </c>
      <c r="B2870" t="s">
        <v>41</v>
      </c>
      <c r="C2870" s="2">
        <v>44337</v>
      </c>
      <c r="D2870" t="s">
        <v>29</v>
      </c>
      <c r="E2870">
        <v>812</v>
      </c>
    </row>
    <row r="2871" spans="1:5" x14ac:dyDescent="0.55000000000000004">
      <c r="A2871" t="s">
        <v>2952</v>
      </c>
      <c r="B2871" t="s">
        <v>96</v>
      </c>
      <c r="C2871" s="2">
        <v>43888</v>
      </c>
      <c r="D2871" t="s">
        <v>26</v>
      </c>
      <c r="E2871">
        <v>772</v>
      </c>
    </row>
    <row r="2872" spans="1:5" x14ac:dyDescent="0.55000000000000004">
      <c r="A2872" t="s">
        <v>2953</v>
      </c>
      <c r="B2872" t="s">
        <v>76</v>
      </c>
      <c r="C2872" s="2">
        <v>44075</v>
      </c>
      <c r="D2872" t="s">
        <v>26</v>
      </c>
      <c r="E2872">
        <v>493</v>
      </c>
    </row>
    <row r="2873" spans="1:5" x14ac:dyDescent="0.55000000000000004">
      <c r="A2873" t="s">
        <v>2954</v>
      </c>
      <c r="B2873" t="s">
        <v>72</v>
      </c>
      <c r="C2873" s="2">
        <v>43738</v>
      </c>
      <c r="D2873" t="s">
        <v>26</v>
      </c>
      <c r="E2873">
        <v>1121</v>
      </c>
    </row>
    <row r="2874" spans="1:5" x14ac:dyDescent="0.55000000000000004">
      <c r="A2874" t="s">
        <v>2955</v>
      </c>
      <c r="B2874" t="s">
        <v>151</v>
      </c>
      <c r="C2874" s="2">
        <v>43216</v>
      </c>
      <c r="D2874" t="s">
        <v>29</v>
      </c>
      <c r="E2874">
        <v>72</v>
      </c>
    </row>
    <row r="2875" spans="1:5" x14ac:dyDescent="0.55000000000000004">
      <c r="A2875" t="s">
        <v>2956</v>
      </c>
      <c r="B2875" t="s">
        <v>32</v>
      </c>
      <c r="C2875" s="2">
        <v>44239</v>
      </c>
      <c r="D2875" t="s">
        <v>26</v>
      </c>
      <c r="E2875">
        <v>208</v>
      </c>
    </row>
    <row r="2876" spans="1:5" x14ac:dyDescent="0.55000000000000004">
      <c r="A2876" t="s">
        <v>2957</v>
      </c>
      <c r="B2876" t="s">
        <v>101</v>
      </c>
      <c r="C2876" s="2">
        <v>43751</v>
      </c>
      <c r="D2876" t="s">
        <v>29</v>
      </c>
      <c r="E2876">
        <v>2867</v>
      </c>
    </row>
    <row r="2877" spans="1:5" x14ac:dyDescent="0.55000000000000004">
      <c r="A2877" t="s">
        <v>2958</v>
      </c>
      <c r="B2877" t="s">
        <v>35</v>
      </c>
      <c r="C2877" s="2">
        <v>44304</v>
      </c>
      <c r="D2877" t="s">
        <v>26</v>
      </c>
      <c r="E2877">
        <v>1376</v>
      </c>
    </row>
    <row r="2878" spans="1:5" x14ac:dyDescent="0.55000000000000004">
      <c r="A2878" t="s">
        <v>2959</v>
      </c>
      <c r="B2878" t="s">
        <v>140</v>
      </c>
      <c r="C2878" s="2">
        <v>43898</v>
      </c>
      <c r="D2878" t="s">
        <v>26</v>
      </c>
      <c r="E2878">
        <v>2088</v>
      </c>
    </row>
    <row r="2879" spans="1:5" x14ac:dyDescent="0.55000000000000004">
      <c r="A2879" t="s">
        <v>2960</v>
      </c>
      <c r="B2879" t="s">
        <v>140</v>
      </c>
      <c r="C2879" s="2">
        <v>44235</v>
      </c>
      <c r="D2879" t="s">
        <v>26</v>
      </c>
      <c r="E2879">
        <v>1246</v>
      </c>
    </row>
    <row r="2880" spans="1:5" x14ac:dyDescent="0.55000000000000004">
      <c r="A2880" t="s">
        <v>2961</v>
      </c>
      <c r="B2880" t="s">
        <v>115</v>
      </c>
      <c r="C2880" s="2">
        <v>43468</v>
      </c>
      <c r="D2880" t="s">
        <v>29</v>
      </c>
      <c r="E2880">
        <v>1149</v>
      </c>
    </row>
    <row r="2881" spans="1:5" x14ac:dyDescent="0.55000000000000004">
      <c r="A2881" t="s">
        <v>2962</v>
      </c>
      <c r="B2881" t="s">
        <v>86</v>
      </c>
      <c r="C2881" s="2">
        <v>44374</v>
      </c>
      <c r="D2881" t="s">
        <v>29</v>
      </c>
      <c r="E2881">
        <v>1011</v>
      </c>
    </row>
    <row r="2882" spans="1:5" x14ac:dyDescent="0.55000000000000004">
      <c r="A2882" t="s">
        <v>2963</v>
      </c>
      <c r="B2882" t="s">
        <v>111</v>
      </c>
      <c r="C2882" s="2">
        <v>43014</v>
      </c>
      <c r="D2882" t="s">
        <v>26</v>
      </c>
      <c r="E2882">
        <v>167</v>
      </c>
    </row>
    <row r="2883" spans="1:5" x14ac:dyDescent="0.55000000000000004">
      <c r="A2883" t="s">
        <v>2964</v>
      </c>
      <c r="B2883" t="s">
        <v>14</v>
      </c>
      <c r="C2883" s="2">
        <v>43023</v>
      </c>
      <c r="D2883" t="s">
        <v>29</v>
      </c>
      <c r="E2883">
        <v>868</v>
      </c>
    </row>
    <row r="2884" spans="1:5" x14ac:dyDescent="0.55000000000000004">
      <c r="A2884" t="s">
        <v>2965</v>
      </c>
      <c r="B2884" t="s">
        <v>156</v>
      </c>
      <c r="C2884" s="2">
        <v>43883</v>
      </c>
      <c r="D2884" t="s">
        <v>29</v>
      </c>
      <c r="E2884">
        <v>2484</v>
      </c>
    </row>
    <row r="2885" spans="1:5" x14ac:dyDescent="0.55000000000000004">
      <c r="A2885" t="s">
        <v>2966</v>
      </c>
      <c r="B2885" t="s">
        <v>115</v>
      </c>
      <c r="C2885" s="2">
        <v>43799</v>
      </c>
      <c r="D2885" t="s">
        <v>26</v>
      </c>
      <c r="E2885">
        <v>1033</v>
      </c>
    </row>
    <row r="2886" spans="1:5" x14ac:dyDescent="0.55000000000000004">
      <c r="A2886" t="s">
        <v>2967</v>
      </c>
      <c r="B2886" t="s">
        <v>96</v>
      </c>
      <c r="C2886" s="2">
        <v>44955</v>
      </c>
      <c r="D2886" t="s">
        <v>29</v>
      </c>
      <c r="E2886">
        <v>1246</v>
      </c>
    </row>
    <row r="2887" spans="1:5" x14ac:dyDescent="0.55000000000000004">
      <c r="A2887" t="s">
        <v>2968</v>
      </c>
      <c r="B2887" t="s">
        <v>115</v>
      </c>
      <c r="C2887" s="2">
        <v>43115</v>
      </c>
      <c r="D2887" t="s">
        <v>26</v>
      </c>
      <c r="E2887">
        <v>2797</v>
      </c>
    </row>
    <row r="2888" spans="1:5" x14ac:dyDescent="0.55000000000000004">
      <c r="A2888" t="s">
        <v>2969</v>
      </c>
      <c r="B2888" t="s">
        <v>99</v>
      </c>
      <c r="C2888" s="2">
        <v>43999</v>
      </c>
      <c r="D2888" t="s">
        <v>29</v>
      </c>
      <c r="E2888">
        <v>1476</v>
      </c>
    </row>
    <row r="2889" spans="1:5" x14ac:dyDescent="0.55000000000000004">
      <c r="A2889" t="s">
        <v>2970</v>
      </c>
      <c r="B2889" t="s">
        <v>78</v>
      </c>
      <c r="C2889" s="2">
        <v>44946</v>
      </c>
      <c r="D2889" t="s">
        <v>29</v>
      </c>
      <c r="E2889">
        <v>975</v>
      </c>
    </row>
    <row r="2890" spans="1:5" x14ac:dyDescent="0.55000000000000004">
      <c r="A2890" t="s">
        <v>2971</v>
      </c>
      <c r="B2890" t="s">
        <v>35</v>
      </c>
      <c r="C2890" s="2">
        <v>44396</v>
      </c>
      <c r="D2890" t="s">
        <v>26</v>
      </c>
      <c r="E2890">
        <v>2393</v>
      </c>
    </row>
    <row r="2891" spans="1:5" x14ac:dyDescent="0.55000000000000004">
      <c r="A2891" t="s">
        <v>2972</v>
      </c>
      <c r="B2891" t="s">
        <v>101</v>
      </c>
      <c r="C2891" s="2">
        <v>43095</v>
      </c>
      <c r="D2891" t="s">
        <v>26</v>
      </c>
      <c r="E2891">
        <v>534</v>
      </c>
    </row>
    <row r="2892" spans="1:5" x14ac:dyDescent="0.55000000000000004">
      <c r="A2892" t="s">
        <v>2973</v>
      </c>
      <c r="B2892" t="s">
        <v>35</v>
      </c>
      <c r="C2892" s="2">
        <v>44077</v>
      </c>
      <c r="D2892" t="s">
        <v>26</v>
      </c>
      <c r="E2892">
        <v>2402</v>
      </c>
    </row>
    <row r="2893" spans="1:5" x14ac:dyDescent="0.55000000000000004">
      <c r="A2893" t="s">
        <v>2974</v>
      </c>
      <c r="B2893" t="s">
        <v>94</v>
      </c>
      <c r="C2893" s="2">
        <v>44246</v>
      </c>
      <c r="D2893" t="s">
        <v>26</v>
      </c>
      <c r="E2893">
        <v>2886</v>
      </c>
    </row>
    <row r="2894" spans="1:5" x14ac:dyDescent="0.55000000000000004">
      <c r="A2894" t="s">
        <v>2975</v>
      </c>
      <c r="B2894" t="s">
        <v>15</v>
      </c>
      <c r="C2894" s="2">
        <v>43119</v>
      </c>
      <c r="D2894" t="s">
        <v>26</v>
      </c>
      <c r="E2894">
        <v>2238</v>
      </c>
    </row>
    <row r="2895" spans="1:5" x14ac:dyDescent="0.55000000000000004">
      <c r="A2895" t="s">
        <v>2976</v>
      </c>
      <c r="B2895" t="s">
        <v>32</v>
      </c>
      <c r="C2895" s="2">
        <v>44533</v>
      </c>
      <c r="D2895" t="s">
        <v>29</v>
      </c>
      <c r="E2895">
        <v>2971</v>
      </c>
    </row>
    <row r="2896" spans="1:5" x14ac:dyDescent="0.55000000000000004">
      <c r="A2896" t="s">
        <v>2977</v>
      </c>
      <c r="B2896" t="s">
        <v>96</v>
      </c>
      <c r="C2896" s="2">
        <v>44293</v>
      </c>
      <c r="D2896" t="s">
        <v>26</v>
      </c>
      <c r="E2896">
        <v>179</v>
      </c>
    </row>
    <row r="2897" spans="1:5" x14ac:dyDescent="0.55000000000000004">
      <c r="A2897" t="s">
        <v>2978</v>
      </c>
      <c r="B2897" t="s">
        <v>72</v>
      </c>
      <c r="C2897" s="2">
        <v>43309</v>
      </c>
      <c r="D2897" t="s">
        <v>29</v>
      </c>
      <c r="E2897">
        <v>2254</v>
      </c>
    </row>
    <row r="2898" spans="1:5" x14ac:dyDescent="0.55000000000000004">
      <c r="A2898" t="s">
        <v>2979</v>
      </c>
      <c r="B2898" t="s">
        <v>41</v>
      </c>
      <c r="C2898" s="2">
        <v>44348</v>
      </c>
      <c r="D2898" t="s">
        <v>29</v>
      </c>
      <c r="E2898">
        <v>1499</v>
      </c>
    </row>
    <row r="2899" spans="1:5" x14ac:dyDescent="0.55000000000000004">
      <c r="A2899" t="s">
        <v>2980</v>
      </c>
      <c r="B2899" t="s">
        <v>15</v>
      </c>
      <c r="C2899" s="2">
        <v>44206</v>
      </c>
      <c r="D2899" t="s">
        <v>26</v>
      </c>
      <c r="E2899">
        <v>1786</v>
      </c>
    </row>
    <row r="2900" spans="1:5" x14ac:dyDescent="0.55000000000000004">
      <c r="A2900" t="s">
        <v>2981</v>
      </c>
      <c r="B2900" t="s">
        <v>74</v>
      </c>
      <c r="C2900" s="2">
        <v>43905</v>
      </c>
      <c r="D2900" t="s">
        <v>29</v>
      </c>
      <c r="E2900">
        <v>2145</v>
      </c>
    </row>
    <row r="2901" spans="1:5" x14ac:dyDescent="0.55000000000000004">
      <c r="A2901" t="s">
        <v>2982</v>
      </c>
      <c r="B2901" t="s">
        <v>67</v>
      </c>
      <c r="C2901" s="2">
        <v>43555</v>
      </c>
      <c r="D2901" t="s">
        <v>26</v>
      </c>
      <c r="E2901">
        <v>2454</v>
      </c>
    </row>
    <row r="2902" spans="1:5" x14ac:dyDescent="0.55000000000000004">
      <c r="A2902" t="s">
        <v>2983</v>
      </c>
      <c r="B2902" t="s">
        <v>84</v>
      </c>
      <c r="C2902" s="2">
        <v>44343</v>
      </c>
      <c r="D2902" t="s">
        <v>26</v>
      </c>
      <c r="E2902">
        <v>1186</v>
      </c>
    </row>
    <row r="2903" spans="1:5" x14ac:dyDescent="0.55000000000000004">
      <c r="A2903" t="s">
        <v>2984</v>
      </c>
      <c r="B2903" t="s">
        <v>142</v>
      </c>
      <c r="C2903" s="2">
        <v>44076</v>
      </c>
      <c r="D2903" t="s">
        <v>26</v>
      </c>
      <c r="E2903">
        <v>2841</v>
      </c>
    </row>
    <row r="2904" spans="1:5" x14ac:dyDescent="0.55000000000000004">
      <c r="A2904" t="s">
        <v>2985</v>
      </c>
      <c r="B2904" t="s">
        <v>151</v>
      </c>
      <c r="C2904" s="2">
        <v>44433</v>
      </c>
      <c r="D2904" t="s">
        <v>29</v>
      </c>
      <c r="E2904">
        <v>2027</v>
      </c>
    </row>
    <row r="2905" spans="1:5" x14ac:dyDescent="0.55000000000000004">
      <c r="A2905" t="s">
        <v>2986</v>
      </c>
      <c r="B2905" t="s">
        <v>38</v>
      </c>
      <c r="C2905" s="2">
        <v>44921</v>
      </c>
      <c r="D2905" t="s">
        <v>26</v>
      </c>
      <c r="E2905">
        <v>677</v>
      </c>
    </row>
    <row r="2906" spans="1:5" x14ac:dyDescent="0.55000000000000004">
      <c r="A2906" t="s">
        <v>2987</v>
      </c>
      <c r="B2906" t="s">
        <v>15</v>
      </c>
      <c r="C2906" s="2">
        <v>44454</v>
      </c>
      <c r="D2906" t="s">
        <v>29</v>
      </c>
      <c r="E2906">
        <v>2303</v>
      </c>
    </row>
    <row r="2907" spans="1:5" x14ac:dyDescent="0.55000000000000004">
      <c r="A2907" t="s">
        <v>2988</v>
      </c>
      <c r="B2907" t="s">
        <v>118</v>
      </c>
      <c r="C2907" s="2">
        <v>45064</v>
      </c>
      <c r="D2907" t="s">
        <v>29</v>
      </c>
      <c r="E2907">
        <v>2487</v>
      </c>
    </row>
    <row r="2908" spans="1:5" x14ac:dyDescent="0.55000000000000004">
      <c r="A2908" t="s">
        <v>2989</v>
      </c>
      <c r="B2908" t="s">
        <v>84</v>
      </c>
      <c r="C2908" s="2">
        <v>43340</v>
      </c>
      <c r="D2908" t="s">
        <v>26</v>
      </c>
      <c r="E2908">
        <v>14</v>
      </c>
    </row>
    <row r="2909" spans="1:5" x14ac:dyDescent="0.55000000000000004">
      <c r="A2909" t="s">
        <v>2990</v>
      </c>
      <c r="B2909" t="s">
        <v>105</v>
      </c>
      <c r="C2909" s="2">
        <v>44088</v>
      </c>
      <c r="D2909" t="s">
        <v>26</v>
      </c>
      <c r="E2909">
        <v>2425</v>
      </c>
    </row>
    <row r="2910" spans="1:5" x14ac:dyDescent="0.55000000000000004">
      <c r="A2910" t="s">
        <v>2991</v>
      </c>
      <c r="B2910" t="s">
        <v>41</v>
      </c>
      <c r="C2910" s="2">
        <v>43849</v>
      </c>
      <c r="D2910" t="s">
        <v>29</v>
      </c>
      <c r="E2910">
        <v>2063</v>
      </c>
    </row>
    <row r="2911" spans="1:5" x14ac:dyDescent="0.55000000000000004">
      <c r="A2911" t="s">
        <v>2992</v>
      </c>
      <c r="B2911" t="s">
        <v>41</v>
      </c>
      <c r="C2911" s="2">
        <v>44906</v>
      </c>
      <c r="D2911" t="s">
        <v>29</v>
      </c>
      <c r="E2911">
        <v>1242</v>
      </c>
    </row>
    <row r="2912" spans="1:5" x14ac:dyDescent="0.55000000000000004">
      <c r="A2912" t="s">
        <v>2993</v>
      </c>
      <c r="B2912" t="s">
        <v>76</v>
      </c>
      <c r="C2912" s="2">
        <v>44368</v>
      </c>
      <c r="D2912" t="s">
        <v>29</v>
      </c>
      <c r="E2912">
        <v>2901</v>
      </c>
    </row>
    <row r="2913" spans="1:5" x14ac:dyDescent="0.55000000000000004">
      <c r="A2913" t="s">
        <v>2994</v>
      </c>
      <c r="B2913" t="s">
        <v>84</v>
      </c>
      <c r="C2913" s="2">
        <v>44047</v>
      </c>
      <c r="D2913" t="s">
        <v>26</v>
      </c>
      <c r="E2913">
        <v>700</v>
      </c>
    </row>
    <row r="2914" spans="1:5" x14ac:dyDescent="0.55000000000000004">
      <c r="A2914" t="s">
        <v>2995</v>
      </c>
      <c r="B2914" t="s">
        <v>63</v>
      </c>
      <c r="C2914" s="2">
        <v>43010</v>
      </c>
      <c r="D2914" t="s">
        <v>26</v>
      </c>
      <c r="E2914">
        <v>1195</v>
      </c>
    </row>
    <row r="2915" spans="1:5" x14ac:dyDescent="0.55000000000000004">
      <c r="A2915" t="s">
        <v>2996</v>
      </c>
      <c r="B2915" t="s">
        <v>142</v>
      </c>
      <c r="C2915" s="2">
        <v>44226</v>
      </c>
      <c r="D2915" t="s">
        <v>26</v>
      </c>
      <c r="E2915">
        <v>1137</v>
      </c>
    </row>
    <row r="2916" spans="1:5" x14ac:dyDescent="0.55000000000000004">
      <c r="A2916" t="s">
        <v>2997</v>
      </c>
      <c r="B2916" t="s">
        <v>72</v>
      </c>
      <c r="C2916" s="2">
        <v>43470</v>
      </c>
      <c r="D2916" t="s">
        <v>26</v>
      </c>
      <c r="E2916">
        <v>2631</v>
      </c>
    </row>
    <row r="2917" spans="1:5" x14ac:dyDescent="0.55000000000000004">
      <c r="A2917" t="s">
        <v>2998</v>
      </c>
      <c r="B2917" t="s">
        <v>63</v>
      </c>
      <c r="C2917" s="2">
        <v>43347</v>
      </c>
      <c r="D2917" t="s">
        <v>26</v>
      </c>
      <c r="E2917">
        <v>5</v>
      </c>
    </row>
    <row r="2918" spans="1:5" x14ac:dyDescent="0.55000000000000004">
      <c r="A2918" t="s">
        <v>2999</v>
      </c>
      <c r="B2918" t="s">
        <v>35</v>
      </c>
      <c r="C2918" s="2">
        <v>44542</v>
      </c>
      <c r="D2918" t="s">
        <v>29</v>
      </c>
      <c r="E2918">
        <v>1329</v>
      </c>
    </row>
    <row r="2919" spans="1:5" x14ac:dyDescent="0.55000000000000004">
      <c r="A2919" t="s">
        <v>3000</v>
      </c>
      <c r="B2919" t="s">
        <v>74</v>
      </c>
      <c r="C2919" s="2">
        <v>44361</v>
      </c>
      <c r="D2919" t="s">
        <v>29</v>
      </c>
      <c r="E2919">
        <v>2957</v>
      </c>
    </row>
    <row r="2920" spans="1:5" x14ac:dyDescent="0.55000000000000004">
      <c r="A2920" t="s">
        <v>3001</v>
      </c>
      <c r="B2920" t="s">
        <v>72</v>
      </c>
      <c r="C2920" s="2">
        <v>43753</v>
      </c>
      <c r="D2920" t="s">
        <v>29</v>
      </c>
      <c r="E2920">
        <v>1329</v>
      </c>
    </row>
    <row r="2921" spans="1:5" x14ac:dyDescent="0.55000000000000004">
      <c r="A2921" t="s">
        <v>3002</v>
      </c>
      <c r="B2921" t="s">
        <v>142</v>
      </c>
      <c r="C2921" s="2">
        <v>44198</v>
      </c>
      <c r="D2921" t="s">
        <v>26</v>
      </c>
      <c r="E2921">
        <v>1456</v>
      </c>
    </row>
    <row r="2922" spans="1:5" x14ac:dyDescent="0.55000000000000004">
      <c r="A2922" t="s">
        <v>3003</v>
      </c>
      <c r="B2922" t="s">
        <v>63</v>
      </c>
      <c r="C2922" s="2">
        <v>44413</v>
      </c>
      <c r="D2922" t="s">
        <v>29</v>
      </c>
      <c r="E2922">
        <v>723</v>
      </c>
    </row>
    <row r="2923" spans="1:5" x14ac:dyDescent="0.55000000000000004">
      <c r="A2923" t="s">
        <v>3004</v>
      </c>
      <c r="B2923" t="s">
        <v>84</v>
      </c>
      <c r="C2923" s="2">
        <v>42949</v>
      </c>
      <c r="D2923" t="s">
        <v>26</v>
      </c>
      <c r="E2923">
        <v>2959</v>
      </c>
    </row>
    <row r="2924" spans="1:5" x14ac:dyDescent="0.55000000000000004">
      <c r="A2924" t="s">
        <v>3005</v>
      </c>
      <c r="B2924" t="s">
        <v>78</v>
      </c>
      <c r="C2924" s="2">
        <v>45030</v>
      </c>
      <c r="D2924" t="s">
        <v>29</v>
      </c>
      <c r="E2924">
        <v>2565</v>
      </c>
    </row>
    <row r="2925" spans="1:5" x14ac:dyDescent="0.55000000000000004">
      <c r="A2925" t="s">
        <v>3006</v>
      </c>
      <c r="B2925" t="s">
        <v>35</v>
      </c>
      <c r="C2925" s="2">
        <v>44253</v>
      </c>
      <c r="D2925" t="s">
        <v>29</v>
      </c>
      <c r="E2925">
        <v>903</v>
      </c>
    </row>
    <row r="2926" spans="1:5" x14ac:dyDescent="0.55000000000000004">
      <c r="A2926" t="s">
        <v>3007</v>
      </c>
      <c r="B2926" t="s">
        <v>111</v>
      </c>
      <c r="C2926" s="2">
        <v>43467</v>
      </c>
      <c r="D2926" t="s">
        <v>26</v>
      </c>
      <c r="E2926">
        <v>2382</v>
      </c>
    </row>
    <row r="2927" spans="1:5" x14ac:dyDescent="0.55000000000000004">
      <c r="A2927" t="s">
        <v>3008</v>
      </c>
      <c r="B2927" t="s">
        <v>35</v>
      </c>
      <c r="C2927" s="2">
        <v>44640</v>
      </c>
      <c r="D2927" t="s">
        <v>26</v>
      </c>
      <c r="E2927">
        <v>1827</v>
      </c>
    </row>
    <row r="2928" spans="1:5" x14ac:dyDescent="0.55000000000000004">
      <c r="A2928" t="s">
        <v>3009</v>
      </c>
      <c r="B2928" t="s">
        <v>63</v>
      </c>
      <c r="C2928" s="2">
        <v>44411</v>
      </c>
      <c r="D2928" t="s">
        <v>29</v>
      </c>
      <c r="E2928">
        <v>1509</v>
      </c>
    </row>
    <row r="2929" spans="1:5" x14ac:dyDescent="0.55000000000000004">
      <c r="A2929" t="s">
        <v>3010</v>
      </c>
      <c r="B2929" t="s">
        <v>72</v>
      </c>
      <c r="C2929" s="2">
        <v>43898</v>
      </c>
      <c r="D2929" t="s">
        <v>26</v>
      </c>
      <c r="E2929">
        <v>2031</v>
      </c>
    </row>
    <row r="2930" spans="1:5" x14ac:dyDescent="0.55000000000000004">
      <c r="A2930" t="s">
        <v>3011</v>
      </c>
      <c r="B2930" t="s">
        <v>105</v>
      </c>
      <c r="C2930" s="2">
        <v>43857</v>
      </c>
      <c r="D2930" t="s">
        <v>26</v>
      </c>
      <c r="E2930">
        <v>721</v>
      </c>
    </row>
    <row r="2931" spans="1:5" x14ac:dyDescent="0.55000000000000004">
      <c r="A2931" t="s">
        <v>3012</v>
      </c>
      <c r="B2931" t="s">
        <v>151</v>
      </c>
      <c r="C2931" s="2">
        <v>44083</v>
      </c>
      <c r="D2931" t="s">
        <v>29</v>
      </c>
      <c r="E2931">
        <v>2987</v>
      </c>
    </row>
    <row r="2932" spans="1:5" x14ac:dyDescent="0.55000000000000004">
      <c r="A2932" t="s">
        <v>3013</v>
      </c>
      <c r="B2932" t="s">
        <v>105</v>
      </c>
      <c r="C2932" s="2">
        <v>44243</v>
      </c>
      <c r="D2932" t="s">
        <v>29</v>
      </c>
      <c r="E2932">
        <v>86</v>
      </c>
    </row>
    <row r="2933" spans="1:5" x14ac:dyDescent="0.55000000000000004">
      <c r="A2933" t="s">
        <v>3014</v>
      </c>
      <c r="B2933" t="s">
        <v>156</v>
      </c>
      <c r="C2933" s="2">
        <v>43250</v>
      </c>
      <c r="D2933" t="s">
        <v>26</v>
      </c>
      <c r="E2933">
        <v>1614</v>
      </c>
    </row>
    <row r="2934" spans="1:5" x14ac:dyDescent="0.55000000000000004">
      <c r="A2934" t="s">
        <v>3015</v>
      </c>
      <c r="B2934" t="s">
        <v>38</v>
      </c>
      <c r="C2934" s="2">
        <v>44215</v>
      </c>
      <c r="D2934" t="s">
        <v>26</v>
      </c>
      <c r="E2934">
        <v>587</v>
      </c>
    </row>
    <row r="2935" spans="1:5" x14ac:dyDescent="0.55000000000000004">
      <c r="A2935" t="s">
        <v>3016</v>
      </c>
      <c r="B2935" t="s">
        <v>74</v>
      </c>
      <c r="C2935" s="2">
        <v>43790</v>
      </c>
      <c r="D2935" t="s">
        <v>26</v>
      </c>
      <c r="E2935">
        <v>1863</v>
      </c>
    </row>
    <row r="2936" spans="1:5" x14ac:dyDescent="0.55000000000000004">
      <c r="A2936" t="s">
        <v>3017</v>
      </c>
      <c r="B2936" t="s">
        <v>35</v>
      </c>
      <c r="C2936" s="2">
        <v>44655</v>
      </c>
      <c r="D2936" t="s">
        <v>26</v>
      </c>
      <c r="E2936">
        <v>2966</v>
      </c>
    </row>
    <row r="2937" spans="1:5" x14ac:dyDescent="0.55000000000000004">
      <c r="A2937" t="s">
        <v>3018</v>
      </c>
      <c r="B2937" t="s">
        <v>67</v>
      </c>
      <c r="C2937" s="2">
        <v>44028</v>
      </c>
      <c r="D2937" t="s">
        <v>26</v>
      </c>
      <c r="E2937">
        <v>2471</v>
      </c>
    </row>
    <row r="2938" spans="1:5" x14ac:dyDescent="0.55000000000000004">
      <c r="A2938" t="s">
        <v>3019</v>
      </c>
      <c r="B2938" t="s">
        <v>115</v>
      </c>
      <c r="C2938" s="2">
        <v>43690</v>
      </c>
      <c r="D2938" t="s">
        <v>29</v>
      </c>
      <c r="E2938">
        <v>84</v>
      </c>
    </row>
    <row r="2939" spans="1:5" x14ac:dyDescent="0.55000000000000004">
      <c r="A2939" t="s">
        <v>3020</v>
      </c>
      <c r="B2939" t="s">
        <v>115</v>
      </c>
      <c r="C2939" s="2">
        <v>42944</v>
      </c>
      <c r="D2939" t="s">
        <v>26</v>
      </c>
      <c r="E2939">
        <v>541</v>
      </c>
    </row>
    <row r="2940" spans="1:5" x14ac:dyDescent="0.55000000000000004">
      <c r="A2940" t="s">
        <v>3021</v>
      </c>
      <c r="B2940" t="s">
        <v>63</v>
      </c>
      <c r="C2940" s="2">
        <v>44494</v>
      </c>
      <c r="D2940" t="s">
        <v>26</v>
      </c>
      <c r="E2940">
        <v>1096</v>
      </c>
    </row>
    <row r="2941" spans="1:5" x14ac:dyDescent="0.55000000000000004">
      <c r="A2941" t="s">
        <v>3022</v>
      </c>
      <c r="B2941" t="s">
        <v>72</v>
      </c>
      <c r="C2941" s="2">
        <v>44201</v>
      </c>
      <c r="D2941" t="s">
        <v>26</v>
      </c>
      <c r="E2941">
        <v>38</v>
      </c>
    </row>
    <row r="2942" spans="1:5" x14ac:dyDescent="0.55000000000000004">
      <c r="A2942" t="s">
        <v>3023</v>
      </c>
      <c r="B2942" t="s">
        <v>137</v>
      </c>
      <c r="C2942" s="2">
        <v>43901</v>
      </c>
      <c r="D2942" t="s">
        <v>29</v>
      </c>
      <c r="E2942">
        <v>2897</v>
      </c>
    </row>
    <row r="2943" spans="1:5" x14ac:dyDescent="0.55000000000000004">
      <c r="A2943" t="s">
        <v>3024</v>
      </c>
      <c r="B2943" t="s">
        <v>74</v>
      </c>
      <c r="C2943" s="2">
        <v>43331</v>
      </c>
      <c r="D2943" t="s">
        <v>26</v>
      </c>
      <c r="E2943">
        <v>1967</v>
      </c>
    </row>
    <row r="2944" spans="1:5" x14ac:dyDescent="0.55000000000000004">
      <c r="A2944" t="s">
        <v>3025</v>
      </c>
      <c r="B2944" t="s">
        <v>118</v>
      </c>
      <c r="C2944" s="2">
        <v>45771</v>
      </c>
      <c r="D2944" t="s">
        <v>29</v>
      </c>
      <c r="E2944">
        <v>668</v>
      </c>
    </row>
    <row r="2945" spans="1:5" x14ac:dyDescent="0.55000000000000004">
      <c r="A2945" t="s">
        <v>3026</v>
      </c>
      <c r="B2945" t="s">
        <v>156</v>
      </c>
      <c r="C2945" s="2">
        <v>43596</v>
      </c>
      <c r="D2945" t="s">
        <v>29</v>
      </c>
      <c r="E2945">
        <v>632</v>
      </c>
    </row>
    <row r="2946" spans="1:5" x14ac:dyDescent="0.55000000000000004">
      <c r="A2946" t="s">
        <v>3027</v>
      </c>
      <c r="B2946" t="s">
        <v>63</v>
      </c>
      <c r="C2946" s="2">
        <v>43031</v>
      </c>
      <c r="D2946" t="s">
        <v>29</v>
      </c>
      <c r="E2946">
        <v>2570</v>
      </c>
    </row>
    <row r="2947" spans="1:5" x14ac:dyDescent="0.55000000000000004">
      <c r="A2947" t="s">
        <v>3028</v>
      </c>
      <c r="B2947" t="s">
        <v>99</v>
      </c>
      <c r="C2947" s="2">
        <v>43970</v>
      </c>
      <c r="D2947" t="s">
        <v>26</v>
      </c>
      <c r="E2947">
        <v>182</v>
      </c>
    </row>
    <row r="2948" spans="1:5" x14ac:dyDescent="0.55000000000000004">
      <c r="A2948" t="s">
        <v>3029</v>
      </c>
      <c r="B2948" t="s">
        <v>115</v>
      </c>
      <c r="C2948" s="2">
        <v>44032</v>
      </c>
      <c r="D2948" t="s">
        <v>29</v>
      </c>
      <c r="E2948">
        <v>420</v>
      </c>
    </row>
    <row r="2949" spans="1:5" x14ac:dyDescent="0.55000000000000004">
      <c r="A2949" t="s">
        <v>3030</v>
      </c>
      <c r="B2949" t="s">
        <v>67</v>
      </c>
      <c r="C2949" s="2">
        <v>45167</v>
      </c>
      <c r="D2949" t="s">
        <v>26</v>
      </c>
      <c r="E2949">
        <v>4</v>
      </c>
    </row>
    <row r="2950" spans="1:5" x14ac:dyDescent="0.55000000000000004">
      <c r="A2950" t="s">
        <v>3031</v>
      </c>
      <c r="B2950" t="s">
        <v>63</v>
      </c>
      <c r="C2950" s="2">
        <v>42966</v>
      </c>
      <c r="D2950" t="s">
        <v>26</v>
      </c>
      <c r="E2950">
        <v>1749</v>
      </c>
    </row>
    <row r="2951" spans="1:5" x14ac:dyDescent="0.55000000000000004">
      <c r="A2951" t="s">
        <v>3032</v>
      </c>
      <c r="B2951" t="s">
        <v>101</v>
      </c>
      <c r="C2951" s="2">
        <v>43218</v>
      </c>
      <c r="D2951" t="s">
        <v>29</v>
      </c>
      <c r="E2951">
        <v>2684</v>
      </c>
    </row>
    <row r="2952" spans="1:5" x14ac:dyDescent="0.55000000000000004">
      <c r="A2952" t="s">
        <v>3033</v>
      </c>
      <c r="B2952" t="s">
        <v>156</v>
      </c>
      <c r="C2952" s="2">
        <v>43379</v>
      </c>
      <c r="D2952" t="s">
        <v>29</v>
      </c>
      <c r="E2952">
        <v>2812</v>
      </c>
    </row>
    <row r="2953" spans="1:5" x14ac:dyDescent="0.55000000000000004">
      <c r="A2953" t="s">
        <v>3034</v>
      </c>
      <c r="B2953" t="s">
        <v>94</v>
      </c>
      <c r="C2953" s="2">
        <v>43926</v>
      </c>
      <c r="D2953" t="s">
        <v>29</v>
      </c>
      <c r="E2953">
        <v>694</v>
      </c>
    </row>
    <row r="2954" spans="1:5" x14ac:dyDescent="0.55000000000000004">
      <c r="A2954" t="s">
        <v>3035</v>
      </c>
      <c r="B2954" t="s">
        <v>115</v>
      </c>
      <c r="C2954" s="2">
        <v>43376</v>
      </c>
      <c r="D2954" t="s">
        <v>26</v>
      </c>
      <c r="E2954">
        <v>1154</v>
      </c>
    </row>
    <row r="2955" spans="1:5" x14ac:dyDescent="0.55000000000000004">
      <c r="A2955" t="s">
        <v>3036</v>
      </c>
      <c r="B2955" t="s">
        <v>86</v>
      </c>
      <c r="C2955" s="2">
        <v>43073</v>
      </c>
      <c r="D2955" t="s">
        <v>29</v>
      </c>
      <c r="E2955">
        <v>484</v>
      </c>
    </row>
    <row r="2956" spans="1:5" x14ac:dyDescent="0.55000000000000004">
      <c r="A2956" t="s">
        <v>3037</v>
      </c>
      <c r="B2956" t="s">
        <v>86</v>
      </c>
      <c r="C2956" s="2">
        <v>43090</v>
      </c>
      <c r="D2956" t="s">
        <v>26</v>
      </c>
      <c r="E2956">
        <v>2476</v>
      </c>
    </row>
    <row r="2957" spans="1:5" x14ac:dyDescent="0.55000000000000004">
      <c r="A2957" t="s">
        <v>3038</v>
      </c>
      <c r="B2957" t="s">
        <v>72</v>
      </c>
      <c r="C2957" s="2">
        <v>43281</v>
      </c>
      <c r="D2957" t="s">
        <v>29</v>
      </c>
      <c r="E2957">
        <v>2172</v>
      </c>
    </row>
    <row r="2958" spans="1:5" x14ac:dyDescent="0.55000000000000004">
      <c r="A2958" t="s">
        <v>3039</v>
      </c>
      <c r="B2958" t="s">
        <v>111</v>
      </c>
      <c r="C2958" s="2">
        <v>44145</v>
      </c>
      <c r="D2958" t="s">
        <v>26</v>
      </c>
      <c r="E2958">
        <v>2782</v>
      </c>
    </row>
    <row r="2959" spans="1:5" x14ac:dyDescent="0.55000000000000004">
      <c r="A2959" t="s">
        <v>3040</v>
      </c>
      <c r="B2959" t="s">
        <v>140</v>
      </c>
      <c r="C2959" s="2">
        <v>43224</v>
      </c>
      <c r="D2959" t="s">
        <v>29</v>
      </c>
      <c r="E2959">
        <v>2559</v>
      </c>
    </row>
    <row r="2960" spans="1:5" x14ac:dyDescent="0.55000000000000004">
      <c r="A2960" t="s">
        <v>3041</v>
      </c>
      <c r="B2960" t="s">
        <v>175</v>
      </c>
      <c r="C2960" s="2">
        <v>44641</v>
      </c>
      <c r="D2960" t="s">
        <v>29</v>
      </c>
      <c r="E2960">
        <v>425</v>
      </c>
    </row>
    <row r="2961" spans="1:5" x14ac:dyDescent="0.55000000000000004">
      <c r="A2961" t="s">
        <v>3042</v>
      </c>
      <c r="B2961" t="s">
        <v>84</v>
      </c>
      <c r="C2961" s="2">
        <v>43939</v>
      </c>
      <c r="D2961" t="s">
        <v>29</v>
      </c>
      <c r="E2961">
        <v>1087</v>
      </c>
    </row>
    <row r="2962" spans="1:5" x14ac:dyDescent="0.55000000000000004">
      <c r="A2962" t="s">
        <v>3043</v>
      </c>
      <c r="B2962" t="s">
        <v>137</v>
      </c>
      <c r="C2962" s="2">
        <v>43778</v>
      </c>
      <c r="D2962" t="s">
        <v>26</v>
      </c>
      <c r="E2962">
        <v>608</v>
      </c>
    </row>
    <row r="2963" spans="1:5" x14ac:dyDescent="0.55000000000000004">
      <c r="A2963" t="s">
        <v>3044</v>
      </c>
      <c r="B2963" t="s">
        <v>118</v>
      </c>
      <c r="C2963" s="2">
        <v>44066</v>
      </c>
      <c r="D2963" t="s">
        <v>29</v>
      </c>
      <c r="E2963">
        <v>605</v>
      </c>
    </row>
    <row r="2964" spans="1:5" x14ac:dyDescent="0.55000000000000004">
      <c r="A2964" t="s">
        <v>3045</v>
      </c>
      <c r="B2964" t="s">
        <v>101</v>
      </c>
      <c r="C2964" s="2">
        <v>43831</v>
      </c>
      <c r="D2964" t="s">
        <v>29</v>
      </c>
      <c r="E2964">
        <v>275</v>
      </c>
    </row>
    <row r="2965" spans="1:5" x14ac:dyDescent="0.55000000000000004">
      <c r="A2965" t="s">
        <v>3046</v>
      </c>
      <c r="B2965" t="s">
        <v>115</v>
      </c>
      <c r="C2965" s="2">
        <v>44100</v>
      </c>
      <c r="D2965" t="s">
        <v>29</v>
      </c>
      <c r="E2965">
        <v>2976</v>
      </c>
    </row>
    <row r="2966" spans="1:5" x14ac:dyDescent="0.55000000000000004">
      <c r="A2966" t="s">
        <v>3047</v>
      </c>
      <c r="B2966" t="s">
        <v>84</v>
      </c>
      <c r="C2966" s="2">
        <v>43213</v>
      </c>
      <c r="D2966" t="s">
        <v>26</v>
      </c>
      <c r="E2966">
        <v>1323</v>
      </c>
    </row>
    <row r="2967" spans="1:5" x14ac:dyDescent="0.55000000000000004">
      <c r="A2967" t="s">
        <v>3048</v>
      </c>
      <c r="B2967" t="s">
        <v>72</v>
      </c>
      <c r="C2967" s="2">
        <v>43289</v>
      </c>
      <c r="D2967" t="s">
        <v>29</v>
      </c>
      <c r="E2967">
        <v>1444</v>
      </c>
    </row>
    <row r="2968" spans="1:5" x14ac:dyDescent="0.55000000000000004">
      <c r="A2968" t="s">
        <v>3049</v>
      </c>
      <c r="B2968" t="s">
        <v>111</v>
      </c>
      <c r="C2968" s="2">
        <v>43929</v>
      </c>
      <c r="D2968" t="s">
        <v>29</v>
      </c>
      <c r="E2968">
        <v>1971</v>
      </c>
    </row>
    <row r="2969" spans="1:5" x14ac:dyDescent="0.55000000000000004">
      <c r="A2969" t="s">
        <v>3050</v>
      </c>
      <c r="B2969" t="s">
        <v>41</v>
      </c>
      <c r="C2969" s="2">
        <v>44678</v>
      </c>
      <c r="D2969" t="s">
        <v>29</v>
      </c>
      <c r="E2969">
        <v>566</v>
      </c>
    </row>
    <row r="2970" spans="1:5" x14ac:dyDescent="0.55000000000000004">
      <c r="A2970" t="s">
        <v>3051</v>
      </c>
      <c r="B2970" t="s">
        <v>137</v>
      </c>
      <c r="C2970" s="2">
        <v>44473</v>
      </c>
      <c r="D2970" t="s">
        <v>29</v>
      </c>
      <c r="E2970">
        <v>1714</v>
      </c>
    </row>
    <row r="2971" spans="1:5" x14ac:dyDescent="0.55000000000000004">
      <c r="A2971" t="s">
        <v>3052</v>
      </c>
      <c r="B2971" t="s">
        <v>99</v>
      </c>
      <c r="C2971" s="2">
        <v>45502</v>
      </c>
      <c r="D2971" t="s">
        <v>29</v>
      </c>
      <c r="E2971">
        <v>2181</v>
      </c>
    </row>
    <row r="2972" spans="1:5" x14ac:dyDescent="0.55000000000000004">
      <c r="A2972" t="s">
        <v>3053</v>
      </c>
      <c r="B2972" t="s">
        <v>99</v>
      </c>
      <c r="C2972" s="2">
        <v>44408</v>
      </c>
      <c r="D2972" t="s">
        <v>29</v>
      </c>
      <c r="E2972">
        <v>342</v>
      </c>
    </row>
    <row r="2973" spans="1:5" x14ac:dyDescent="0.55000000000000004">
      <c r="A2973" t="s">
        <v>3054</v>
      </c>
      <c r="B2973" t="s">
        <v>23</v>
      </c>
      <c r="C2973" s="2">
        <v>44694</v>
      </c>
      <c r="D2973" t="s">
        <v>26</v>
      </c>
      <c r="E2973">
        <v>2879</v>
      </c>
    </row>
    <row r="2974" spans="1:5" x14ac:dyDescent="0.55000000000000004">
      <c r="A2974" t="s">
        <v>3055</v>
      </c>
      <c r="B2974" t="s">
        <v>74</v>
      </c>
      <c r="C2974" s="2">
        <v>43398</v>
      </c>
      <c r="D2974" t="s">
        <v>29</v>
      </c>
      <c r="E2974">
        <v>11</v>
      </c>
    </row>
    <row r="2975" spans="1:5" x14ac:dyDescent="0.55000000000000004">
      <c r="A2975" t="s">
        <v>3056</v>
      </c>
      <c r="B2975" t="s">
        <v>151</v>
      </c>
      <c r="C2975" s="2">
        <v>42952</v>
      </c>
      <c r="D2975" t="s">
        <v>29</v>
      </c>
      <c r="E2975">
        <v>2287</v>
      </c>
    </row>
    <row r="2976" spans="1:5" x14ac:dyDescent="0.55000000000000004">
      <c r="A2976" t="s">
        <v>3057</v>
      </c>
      <c r="B2976" t="s">
        <v>96</v>
      </c>
      <c r="C2976" s="2">
        <v>44013</v>
      </c>
      <c r="D2976" t="s">
        <v>26</v>
      </c>
      <c r="E2976">
        <v>244</v>
      </c>
    </row>
    <row r="2977" spans="1:5" x14ac:dyDescent="0.55000000000000004">
      <c r="A2977" t="s">
        <v>3058</v>
      </c>
      <c r="B2977" t="s">
        <v>86</v>
      </c>
      <c r="C2977" s="2">
        <v>43656</v>
      </c>
      <c r="D2977" t="s">
        <v>26</v>
      </c>
      <c r="E2977">
        <v>1207</v>
      </c>
    </row>
    <row r="2978" spans="1:5" x14ac:dyDescent="0.55000000000000004">
      <c r="A2978" t="s">
        <v>3059</v>
      </c>
      <c r="B2978" t="s">
        <v>15</v>
      </c>
      <c r="C2978" s="2">
        <v>43212</v>
      </c>
      <c r="D2978" t="s">
        <v>29</v>
      </c>
      <c r="E2978">
        <v>993</v>
      </c>
    </row>
    <row r="2979" spans="1:5" x14ac:dyDescent="0.55000000000000004">
      <c r="A2979" t="s">
        <v>3060</v>
      </c>
      <c r="B2979" t="s">
        <v>151</v>
      </c>
      <c r="C2979" s="2">
        <v>43376</v>
      </c>
      <c r="D2979" t="s">
        <v>26</v>
      </c>
      <c r="E2979">
        <v>564</v>
      </c>
    </row>
    <row r="2980" spans="1:5" x14ac:dyDescent="0.55000000000000004">
      <c r="A2980" t="s">
        <v>3061</v>
      </c>
      <c r="B2980" t="s">
        <v>115</v>
      </c>
      <c r="C2980" s="2">
        <v>44341</v>
      </c>
      <c r="D2980" t="s">
        <v>26</v>
      </c>
      <c r="E2980">
        <v>1546</v>
      </c>
    </row>
    <row r="2981" spans="1:5" x14ac:dyDescent="0.55000000000000004">
      <c r="A2981" t="s">
        <v>3062</v>
      </c>
      <c r="B2981" t="s">
        <v>78</v>
      </c>
      <c r="C2981" s="2">
        <v>43573</v>
      </c>
      <c r="D2981" t="s">
        <v>29</v>
      </c>
      <c r="E2981">
        <v>1522</v>
      </c>
    </row>
    <row r="2982" spans="1:5" x14ac:dyDescent="0.55000000000000004">
      <c r="A2982" t="s">
        <v>3063</v>
      </c>
      <c r="B2982" t="s">
        <v>142</v>
      </c>
      <c r="C2982" s="2">
        <v>44353</v>
      </c>
      <c r="D2982" t="s">
        <v>26</v>
      </c>
      <c r="E2982">
        <v>2714</v>
      </c>
    </row>
    <row r="2983" spans="1:5" x14ac:dyDescent="0.55000000000000004">
      <c r="A2983" t="s">
        <v>3064</v>
      </c>
      <c r="B2983" t="s">
        <v>23</v>
      </c>
      <c r="C2983" s="2">
        <v>43982</v>
      </c>
      <c r="D2983" t="s">
        <v>29</v>
      </c>
      <c r="E2983">
        <v>2432</v>
      </c>
    </row>
    <row r="2984" spans="1:5" x14ac:dyDescent="0.55000000000000004">
      <c r="A2984" t="s">
        <v>3065</v>
      </c>
      <c r="B2984" t="s">
        <v>76</v>
      </c>
      <c r="C2984" s="2">
        <v>44113</v>
      </c>
      <c r="D2984" t="s">
        <v>26</v>
      </c>
      <c r="E2984">
        <v>601</v>
      </c>
    </row>
    <row r="2985" spans="1:5" x14ac:dyDescent="0.55000000000000004">
      <c r="A2985" t="s">
        <v>3066</v>
      </c>
      <c r="B2985" t="s">
        <v>86</v>
      </c>
      <c r="C2985" s="2">
        <v>43206</v>
      </c>
      <c r="D2985" t="s">
        <v>26</v>
      </c>
      <c r="E2985">
        <v>1003</v>
      </c>
    </row>
    <row r="2986" spans="1:5" x14ac:dyDescent="0.55000000000000004">
      <c r="A2986" t="s">
        <v>3067</v>
      </c>
      <c r="B2986" t="s">
        <v>74</v>
      </c>
      <c r="C2986" s="2">
        <v>42942</v>
      </c>
      <c r="D2986" t="s">
        <v>29</v>
      </c>
      <c r="E2986">
        <v>613</v>
      </c>
    </row>
    <row r="2987" spans="1:5" x14ac:dyDescent="0.55000000000000004">
      <c r="A2987" t="s">
        <v>3068</v>
      </c>
      <c r="B2987" t="s">
        <v>118</v>
      </c>
      <c r="C2987" s="2">
        <v>44213</v>
      </c>
      <c r="D2987" t="s">
        <v>29</v>
      </c>
      <c r="E2987">
        <v>573</v>
      </c>
    </row>
    <row r="2988" spans="1:5" x14ac:dyDescent="0.55000000000000004">
      <c r="A2988" t="s">
        <v>3069</v>
      </c>
      <c r="B2988" t="s">
        <v>78</v>
      </c>
      <c r="C2988" s="2">
        <v>45626</v>
      </c>
      <c r="D2988" t="s">
        <v>29</v>
      </c>
      <c r="E2988">
        <v>1925</v>
      </c>
    </row>
    <row r="2989" spans="1:5" x14ac:dyDescent="0.55000000000000004">
      <c r="A2989" t="s">
        <v>3070</v>
      </c>
      <c r="B2989" t="s">
        <v>140</v>
      </c>
      <c r="C2989" s="2">
        <v>44396</v>
      </c>
      <c r="D2989" t="s">
        <v>29</v>
      </c>
      <c r="E2989">
        <v>1818</v>
      </c>
    </row>
    <row r="2990" spans="1:5" x14ac:dyDescent="0.55000000000000004">
      <c r="A2990" t="s">
        <v>3071</v>
      </c>
      <c r="B2990" t="s">
        <v>137</v>
      </c>
      <c r="C2990" s="2">
        <v>43520</v>
      </c>
      <c r="D2990" t="s">
        <v>29</v>
      </c>
      <c r="E2990">
        <v>455</v>
      </c>
    </row>
    <row r="2991" spans="1:5" x14ac:dyDescent="0.55000000000000004">
      <c r="A2991" t="s">
        <v>3072</v>
      </c>
      <c r="B2991" t="s">
        <v>72</v>
      </c>
      <c r="C2991" s="2">
        <v>43039</v>
      </c>
      <c r="D2991" t="s">
        <v>26</v>
      </c>
      <c r="E2991">
        <v>2474</v>
      </c>
    </row>
    <row r="2992" spans="1:5" x14ac:dyDescent="0.55000000000000004">
      <c r="A2992" t="s">
        <v>3073</v>
      </c>
      <c r="B2992" t="s">
        <v>118</v>
      </c>
      <c r="C2992" s="2">
        <v>44176</v>
      </c>
      <c r="D2992" t="s">
        <v>26</v>
      </c>
      <c r="E2992">
        <v>44</v>
      </c>
    </row>
    <row r="2993" spans="1:5" x14ac:dyDescent="0.55000000000000004">
      <c r="A2993" t="s">
        <v>3074</v>
      </c>
      <c r="B2993" t="s">
        <v>101</v>
      </c>
      <c r="C2993" s="2">
        <v>43784</v>
      </c>
      <c r="D2993" t="s">
        <v>29</v>
      </c>
      <c r="E2993">
        <v>2269</v>
      </c>
    </row>
    <row r="2994" spans="1:5" x14ac:dyDescent="0.55000000000000004">
      <c r="A2994" t="s">
        <v>3075</v>
      </c>
      <c r="B2994" t="s">
        <v>41</v>
      </c>
      <c r="C2994" s="2">
        <v>44359</v>
      </c>
      <c r="D2994" t="s">
        <v>29</v>
      </c>
      <c r="E2994">
        <v>2905</v>
      </c>
    </row>
    <row r="2995" spans="1:5" x14ac:dyDescent="0.55000000000000004">
      <c r="A2995" t="s">
        <v>3076</v>
      </c>
      <c r="B2995" t="s">
        <v>63</v>
      </c>
      <c r="C2995" s="2">
        <v>43784</v>
      </c>
      <c r="D2995" t="s">
        <v>26</v>
      </c>
      <c r="E2995">
        <v>1113</v>
      </c>
    </row>
    <row r="2996" spans="1:5" x14ac:dyDescent="0.55000000000000004">
      <c r="A2996" t="s">
        <v>3077</v>
      </c>
      <c r="B2996" t="s">
        <v>74</v>
      </c>
      <c r="C2996" s="2">
        <v>43985</v>
      </c>
      <c r="D2996" t="s">
        <v>29</v>
      </c>
      <c r="E2996">
        <v>512</v>
      </c>
    </row>
    <row r="2997" spans="1:5" x14ac:dyDescent="0.55000000000000004">
      <c r="A2997" t="s">
        <v>3078</v>
      </c>
      <c r="B2997" t="s">
        <v>78</v>
      </c>
      <c r="C2997" s="2">
        <v>44333</v>
      </c>
      <c r="D2997" t="s">
        <v>29</v>
      </c>
      <c r="E2997">
        <v>2535</v>
      </c>
    </row>
    <row r="2998" spans="1:5" x14ac:dyDescent="0.55000000000000004">
      <c r="A2998" t="s">
        <v>3079</v>
      </c>
      <c r="B2998" t="s">
        <v>142</v>
      </c>
      <c r="C2998" s="2">
        <v>43365</v>
      </c>
      <c r="D2998" t="s">
        <v>29</v>
      </c>
      <c r="E2998">
        <v>752</v>
      </c>
    </row>
    <row r="2999" spans="1:5" x14ac:dyDescent="0.55000000000000004">
      <c r="A2999" t="s">
        <v>3080</v>
      </c>
      <c r="B2999" t="s">
        <v>175</v>
      </c>
      <c r="C2999" s="2">
        <v>45756</v>
      </c>
      <c r="D2999" t="s">
        <v>26</v>
      </c>
      <c r="E2999">
        <v>2836</v>
      </c>
    </row>
    <row r="3000" spans="1:5" x14ac:dyDescent="0.55000000000000004">
      <c r="A3000" t="s">
        <v>3081</v>
      </c>
      <c r="B3000" t="s">
        <v>15</v>
      </c>
      <c r="C3000" s="2">
        <v>43894</v>
      </c>
      <c r="D3000" t="s">
        <v>29</v>
      </c>
      <c r="E3000">
        <v>2673</v>
      </c>
    </row>
    <row r="3001" spans="1:5" x14ac:dyDescent="0.55000000000000004">
      <c r="A3001" t="s">
        <v>3082</v>
      </c>
      <c r="B3001" t="s">
        <v>35</v>
      </c>
      <c r="C3001" s="2">
        <v>44660</v>
      </c>
      <c r="D3001" t="s">
        <v>29</v>
      </c>
      <c r="E3001">
        <v>675</v>
      </c>
    </row>
    <row r="3002" spans="1:5" x14ac:dyDescent="0.55000000000000004">
      <c r="A3002" t="s">
        <v>3083</v>
      </c>
      <c r="B3002" t="s">
        <v>142</v>
      </c>
      <c r="C3002" s="2">
        <v>43677</v>
      </c>
      <c r="D3002" t="s">
        <v>29</v>
      </c>
      <c r="E3002">
        <v>797</v>
      </c>
    </row>
    <row r="3003" spans="1:5" x14ac:dyDescent="0.55000000000000004">
      <c r="A3003" t="s">
        <v>3084</v>
      </c>
      <c r="B3003" t="s">
        <v>84</v>
      </c>
      <c r="C3003" s="2">
        <v>43139</v>
      </c>
      <c r="D3003" t="s">
        <v>26</v>
      </c>
      <c r="E3003">
        <v>318</v>
      </c>
    </row>
    <row r="3004" spans="1:5" x14ac:dyDescent="0.55000000000000004">
      <c r="A3004" t="s">
        <v>3085</v>
      </c>
      <c r="B3004" t="s">
        <v>86</v>
      </c>
      <c r="C3004" s="2">
        <v>44152</v>
      </c>
      <c r="D3004" t="s">
        <v>29</v>
      </c>
      <c r="E3004">
        <v>114</v>
      </c>
    </row>
    <row r="3005" spans="1:5" x14ac:dyDescent="0.55000000000000004">
      <c r="A3005" t="s">
        <v>3086</v>
      </c>
      <c r="B3005" t="s">
        <v>63</v>
      </c>
      <c r="C3005" s="2">
        <v>43494</v>
      </c>
      <c r="D3005" t="s">
        <v>26</v>
      </c>
      <c r="E3005">
        <v>2218</v>
      </c>
    </row>
    <row r="3006" spans="1:5" x14ac:dyDescent="0.55000000000000004">
      <c r="A3006" t="s">
        <v>3087</v>
      </c>
      <c r="B3006" t="s">
        <v>115</v>
      </c>
      <c r="C3006" s="2">
        <v>43050</v>
      </c>
      <c r="D3006" t="s">
        <v>26</v>
      </c>
      <c r="E3006">
        <v>2445</v>
      </c>
    </row>
    <row r="3007" spans="1:5" x14ac:dyDescent="0.55000000000000004">
      <c r="A3007" t="s">
        <v>3088</v>
      </c>
      <c r="B3007" t="s">
        <v>14</v>
      </c>
      <c r="C3007" s="2">
        <v>44466</v>
      </c>
      <c r="D3007" t="s">
        <v>29</v>
      </c>
      <c r="E3007">
        <v>768</v>
      </c>
    </row>
    <row r="3008" spans="1:5" x14ac:dyDescent="0.55000000000000004">
      <c r="A3008" t="s">
        <v>3089</v>
      </c>
      <c r="B3008" t="s">
        <v>99</v>
      </c>
      <c r="C3008" s="2">
        <v>44292</v>
      </c>
      <c r="D3008" t="s">
        <v>26</v>
      </c>
      <c r="E3008">
        <v>984</v>
      </c>
    </row>
    <row r="3009" spans="1:5" x14ac:dyDescent="0.55000000000000004">
      <c r="A3009" t="s">
        <v>3090</v>
      </c>
      <c r="B3009" t="s">
        <v>84</v>
      </c>
      <c r="C3009" s="2">
        <v>43091</v>
      </c>
      <c r="D3009" t="s">
        <v>26</v>
      </c>
      <c r="E3009">
        <v>2309</v>
      </c>
    </row>
    <row r="3010" spans="1:5" x14ac:dyDescent="0.55000000000000004">
      <c r="A3010" t="s">
        <v>3091</v>
      </c>
      <c r="B3010" t="s">
        <v>137</v>
      </c>
      <c r="C3010" s="2">
        <v>45447</v>
      </c>
      <c r="D3010" t="s">
        <v>26</v>
      </c>
      <c r="E3010">
        <v>196</v>
      </c>
    </row>
    <row r="3011" spans="1:5" x14ac:dyDescent="0.55000000000000004">
      <c r="A3011" t="s">
        <v>3092</v>
      </c>
      <c r="B3011" t="s">
        <v>111</v>
      </c>
      <c r="C3011" s="2">
        <v>43107</v>
      </c>
      <c r="D3011" t="s">
        <v>29</v>
      </c>
      <c r="E3011">
        <v>34</v>
      </c>
    </row>
    <row r="3012" spans="1:5" x14ac:dyDescent="0.55000000000000004">
      <c r="A3012" t="s">
        <v>3093</v>
      </c>
      <c r="B3012" t="s">
        <v>86</v>
      </c>
      <c r="C3012" s="2">
        <v>44456</v>
      </c>
      <c r="D3012" t="s">
        <v>29</v>
      </c>
      <c r="E3012">
        <v>1630</v>
      </c>
    </row>
    <row r="3013" spans="1:5" x14ac:dyDescent="0.55000000000000004">
      <c r="A3013" t="s">
        <v>3094</v>
      </c>
      <c r="B3013" t="s">
        <v>67</v>
      </c>
      <c r="C3013" s="2">
        <v>44264</v>
      </c>
      <c r="D3013" t="s">
        <v>29</v>
      </c>
      <c r="E3013">
        <v>1600</v>
      </c>
    </row>
    <row r="3014" spans="1:5" x14ac:dyDescent="0.55000000000000004">
      <c r="A3014" t="s">
        <v>3095</v>
      </c>
      <c r="B3014" t="s">
        <v>78</v>
      </c>
      <c r="C3014" s="2">
        <v>44923</v>
      </c>
      <c r="D3014" t="s">
        <v>26</v>
      </c>
      <c r="E3014">
        <v>2878</v>
      </c>
    </row>
    <row r="3015" spans="1:5" x14ac:dyDescent="0.55000000000000004">
      <c r="A3015" t="s">
        <v>3096</v>
      </c>
      <c r="B3015" t="s">
        <v>38</v>
      </c>
      <c r="C3015" s="2">
        <v>44030</v>
      </c>
      <c r="D3015" t="s">
        <v>29</v>
      </c>
      <c r="E3015">
        <v>1668</v>
      </c>
    </row>
    <row r="3016" spans="1:5" x14ac:dyDescent="0.55000000000000004">
      <c r="A3016" t="s">
        <v>3097</v>
      </c>
      <c r="B3016" t="s">
        <v>94</v>
      </c>
      <c r="C3016" s="2">
        <v>45528</v>
      </c>
      <c r="D3016" t="s">
        <v>26</v>
      </c>
      <c r="E3016">
        <v>2056</v>
      </c>
    </row>
    <row r="3017" spans="1:5" x14ac:dyDescent="0.55000000000000004">
      <c r="A3017" t="s">
        <v>3098</v>
      </c>
      <c r="B3017" t="s">
        <v>137</v>
      </c>
      <c r="C3017" s="2">
        <v>44081</v>
      </c>
      <c r="D3017" t="s">
        <v>26</v>
      </c>
      <c r="E3017">
        <v>2405</v>
      </c>
    </row>
    <row r="3018" spans="1:5" x14ac:dyDescent="0.55000000000000004">
      <c r="A3018" t="s">
        <v>3099</v>
      </c>
      <c r="B3018" t="s">
        <v>137</v>
      </c>
      <c r="C3018" s="2">
        <v>45031</v>
      </c>
      <c r="D3018" t="s">
        <v>29</v>
      </c>
      <c r="E3018">
        <v>2401</v>
      </c>
    </row>
    <row r="3019" spans="1:5" x14ac:dyDescent="0.55000000000000004">
      <c r="A3019" t="s">
        <v>3100</v>
      </c>
      <c r="B3019" t="s">
        <v>76</v>
      </c>
      <c r="C3019" s="2">
        <v>43619</v>
      </c>
      <c r="D3019" t="s">
        <v>29</v>
      </c>
      <c r="E3019">
        <v>660</v>
      </c>
    </row>
    <row r="3020" spans="1:5" x14ac:dyDescent="0.55000000000000004">
      <c r="A3020" t="s">
        <v>3101</v>
      </c>
      <c r="B3020" t="s">
        <v>72</v>
      </c>
      <c r="C3020" s="2">
        <v>44314</v>
      </c>
      <c r="D3020" t="s">
        <v>29</v>
      </c>
      <c r="E3020">
        <v>322</v>
      </c>
    </row>
    <row r="3021" spans="1:5" x14ac:dyDescent="0.55000000000000004">
      <c r="A3021" t="s">
        <v>3102</v>
      </c>
      <c r="B3021" t="s">
        <v>94</v>
      </c>
      <c r="C3021" s="2">
        <v>43848</v>
      </c>
      <c r="D3021" t="s">
        <v>26</v>
      </c>
      <c r="E3021">
        <v>883</v>
      </c>
    </row>
    <row r="3022" spans="1:5" x14ac:dyDescent="0.55000000000000004">
      <c r="A3022" t="s">
        <v>3103</v>
      </c>
      <c r="B3022" t="s">
        <v>137</v>
      </c>
      <c r="C3022" s="2">
        <v>44042</v>
      </c>
      <c r="D3022" t="s">
        <v>26</v>
      </c>
      <c r="E3022">
        <v>2054</v>
      </c>
    </row>
    <row r="3023" spans="1:5" x14ac:dyDescent="0.55000000000000004">
      <c r="A3023" t="s">
        <v>3104</v>
      </c>
      <c r="B3023" t="s">
        <v>67</v>
      </c>
      <c r="C3023" s="2">
        <v>45609</v>
      </c>
      <c r="D3023" t="s">
        <v>29</v>
      </c>
      <c r="E3023">
        <v>1832</v>
      </c>
    </row>
    <row r="3024" spans="1:5" x14ac:dyDescent="0.55000000000000004">
      <c r="A3024" t="s">
        <v>3105</v>
      </c>
      <c r="B3024" t="s">
        <v>137</v>
      </c>
      <c r="C3024" s="2">
        <v>44003</v>
      </c>
      <c r="D3024" t="s">
        <v>29</v>
      </c>
      <c r="E3024">
        <v>1191</v>
      </c>
    </row>
    <row r="3025" spans="1:5" x14ac:dyDescent="0.55000000000000004">
      <c r="A3025" t="s">
        <v>3106</v>
      </c>
      <c r="B3025" t="s">
        <v>86</v>
      </c>
      <c r="C3025" s="2">
        <v>44193</v>
      </c>
      <c r="D3025" t="s">
        <v>29</v>
      </c>
      <c r="E3025">
        <v>163</v>
      </c>
    </row>
    <row r="3026" spans="1:5" x14ac:dyDescent="0.55000000000000004">
      <c r="A3026" t="s">
        <v>3107</v>
      </c>
      <c r="B3026" t="s">
        <v>94</v>
      </c>
      <c r="C3026" s="2">
        <v>45053</v>
      </c>
      <c r="D3026" t="s">
        <v>26</v>
      </c>
      <c r="E3026">
        <v>855</v>
      </c>
    </row>
    <row r="3027" spans="1:5" x14ac:dyDescent="0.55000000000000004">
      <c r="A3027" t="s">
        <v>3108</v>
      </c>
      <c r="B3027" t="s">
        <v>32</v>
      </c>
      <c r="C3027" s="2">
        <v>43984</v>
      </c>
      <c r="D3027" t="s">
        <v>26</v>
      </c>
      <c r="E3027">
        <v>2322</v>
      </c>
    </row>
    <row r="3028" spans="1:5" x14ac:dyDescent="0.55000000000000004">
      <c r="A3028" t="s">
        <v>3109</v>
      </c>
      <c r="B3028" t="s">
        <v>35</v>
      </c>
      <c r="C3028" s="2">
        <v>44849</v>
      </c>
      <c r="D3028" t="s">
        <v>26</v>
      </c>
      <c r="E3028">
        <v>61</v>
      </c>
    </row>
    <row r="3029" spans="1:5" x14ac:dyDescent="0.55000000000000004">
      <c r="A3029" t="s">
        <v>3110</v>
      </c>
      <c r="B3029" t="s">
        <v>72</v>
      </c>
      <c r="C3029" s="2">
        <v>44486</v>
      </c>
      <c r="D3029" t="s">
        <v>29</v>
      </c>
      <c r="E3029">
        <v>2241</v>
      </c>
    </row>
    <row r="3030" spans="1:5" x14ac:dyDescent="0.55000000000000004">
      <c r="A3030" t="s">
        <v>3111</v>
      </c>
      <c r="B3030" t="s">
        <v>76</v>
      </c>
      <c r="C3030" s="2">
        <v>43823</v>
      </c>
      <c r="D3030" t="s">
        <v>29</v>
      </c>
      <c r="E3030">
        <v>385</v>
      </c>
    </row>
    <row r="3031" spans="1:5" x14ac:dyDescent="0.55000000000000004">
      <c r="A3031" t="s">
        <v>3112</v>
      </c>
      <c r="B3031" t="s">
        <v>15</v>
      </c>
      <c r="C3031" s="2">
        <v>43559</v>
      </c>
      <c r="D3031" t="s">
        <v>26</v>
      </c>
      <c r="E3031">
        <v>1210</v>
      </c>
    </row>
    <row r="3032" spans="1:5" x14ac:dyDescent="0.55000000000000004">
      <c r="A3032" t="s">
        <v>3113</v>
      </c>
      <c r="B3032" t="s">
        <v>105</v>
      </c>
      <c r="C3032" s="2">
        <v>43056</v>
      </c>
      <c r="D3032" t="s">
        <v>29</v>
      </c>
      <c r="E3032">
        <v>2361</v>
      </c>
    </row>
    <row r="3033" spans="1:5" x14ac:dyDescent="0.55000000000000004">
      <c r="A3033" t="s">
        <v>3114</v>
      </c>
      <c r="B3033" t="s">
        <v>86</v>
      </c>
      <c r="C3033" s="2">
        <v>43640</v>
      </c>
      <c r="D3033" t="s">
        <v>26</v>
      </c>
      <c r="E3033">
        <v>291</v>
      </c>
    </row>
    <row r="3034" spans="1:5" x14ac:dyDescent="0.55000000000000004">
      <c r="A3034" t="s">
        <v>3115</v>
      </c>
      <c r="B3034" t="s">
        <v>105</v>
      </c>
      <c r="C3034" s="2">
        <v>44372</v>
      </c>
      <c r="D3034" t="s">
        <v>29</v>
      </c>
      <c r="E3034">
        <v>1056</v>
      </c>
    </row>
    <row r="3035" spans="1:5" x14ac:dyDescent="0.55000000000000004">
      <c r="A3035" t="s">
        <v>3116</v>
      </c>
      <c r="B3035" t="s">
        <v>96</v>
      </c>
      <c r="C3035" s="2">
        <v>44514</v>
      </c>
      <c r="D3035" t="s">
        <v>29</v>
      </c>
      <c r="E3035">
        <v>2663</v>
      </c>
    </row>
    <row r="3036" spans="1:5" x14ac:dyDescent="0.55000000000000004">
      <c r="A3036" t="s">
        <v>3117</v>
      </c>
      <c r="B3036" t="s">
        <v>72</v>
      </c>
      <c r="C3036" s="2">
        <v>43170</v>
      </c>
      <c r="D3036" t="s">
        <v>29</v>
      </c>
      <c r="E3036">
        <v>162</v>
      </c>
    </row>
    <row r="3037" spans="1:5" x14ac:dyDescent="0.55000000000000004">
      <c r="A3037" t="s">
        <v>3118</v>
      </c>
      <c r="B3037" t="s">
        <v>86</v>
      </c>
      <c r="C3037" s="2">
        <v>43504</v>
      </c>
      <c r="D3037" t="s">
        <v>29</v>
      </c>
      <c r="E3037">
        <v>1675</v>
      </c>
    </row>
    <row r="3038" spans="1:5" x14ac:dyDescent="0.55000000000000004">
      <c r="A3038" t="s">
        <v>3119</v>
      </c>
      <c r="B3038" t="s">
        <v>76</v>
      </c>
      <c r="C3038" s="2">
        <v>43994</v>
      </c>
      <c r="D3038" t="s">
        <v>29</v>
      </c>
      <c r="E3038">
        <v>1502</v>
      </c>
    </row>
    <row r="3039" spans="1:5" x14ac:dyDescent="0.55000000000000004">
      <c r="A3039" t="s">
        <v>3120</v>
      </c>
      <c r="B3039" t="s">
        <v>67</v>
      </c>
      <c r="C3039" s="2">
        <v>44750</v>
      </c>
      <c r="D3039" t="s">
        <v>29</v>
      </c>
      <c r="E3039">
        <v>341</v>
      </c>
    </row>
    <row r="3040" spans="1:5" x14ac:dyDescent="0.55000000000000004">
      <c r="A3040" t="s">
        <v>3121</v>
      </c>
      <c r="B3040" t="s">
        <v>38</v>
      </c>
      <c r="C3040" s="2">
        <v>44677</v>
      </c>
      <c r="D3040" t="s">
        <v>29</v>
      </c>
      <c r="E3040">
        <v>1076</v>
      </c>
    </row>
    <row r="3041" spans="1:5" x14ac:dyDescent="0.55000000000000004">
      <c r="A3041" t="s">
        <v>3122</v>
      </c>
      <c r="B3041" t="s">
        <v>94</v>
      </c>
      <c r="C3041" s="2">
        <v>43640</v>
      </c>
      <c r="D3041" t="s">
        <v>26</v>
      </c>
      <c r="E3041">
        <v>1002</v>
      </c>
    </row>
    <row r="3042" spans="1:5" x14ac:dyDescent="0.55000000000000004">
      <c r="A3042" t="s">
        <v>3123</v>
      </c>
      <c r="B3042" t="s">
        <v>41</v>
      </c>
      <c r="C3042" s="2">
        <v>43847</v>
      </c>
      <c r="D3042" t="s">
        <v>26</v>
      </c>
      <c r="E3042">
        <v>431</v>
      </c>
    </row>
    <row r="3043" spans="1:5" x14ac:dyDescent="0.55000000000000004">
      <c r="A3043" t="s">
        <v>3124</v>
      </c>
      <c r="B3043" t="s">
        <v>156</v>
      </c>
      <c r="C3043" s="2">
        <v>43686</v>
      </c>
      <c r="D3043" t="s">
        <v>26</v>
      </c>
      <c r="E3043">
        <v>2335</v>
      </c>
    </row>
    <row r="3044" spans="1:5" x14ac:dyDescent="0.55000000000000004">
      <c r="A3044" t="s">
        <v>3125</v>
      </c>
      <c r="B3044" t="s">
        <v>101</v>
      </c>
      <c r="C3044" s="2">
        <v>43066</v>
      </c>
      <c r="D3044" t="s">
        <v>26</v>
      </c>
      <c r="E3044">
        <v>1590</v>
      </c>
    </row>
    <row r="3045" spans="1:5" x14ac:dyDescent="0.55000000000000004">
      <c r="A3045" t="s">
        <v>3126</v>
      </c>
      <c r="B3045" t="s">
        <v>76</v>
      </c>
      <c r="C3045" s="2">
        <v>45359</v>
      </c>
      <c r="D3045" t="s">
        <v>26</v>
      </c>
      <c r="E3045">
        <v>1429</v>
      </c>
    </row>
    <row r="3046" spans="1:5" x14ac:dyDescent="0.55000000000000004">
      <c r="A3046" t="s">
        <v>3127</v>
      </c>
      <c r="B3046" t="s">
        <v>15</v>
      </c>
      <c r="C3046" s="2">
        <v>43876</v>
      </c>
      <c r="D3046" t="s">
        <v>29</v>
      </c>
      <c r="E3046">
        <v>446</v>
      </c>
    </row>
    <row r="3047" spans="1:5" x14ac:dyDescent="0.55000000000000004">
      <c r="A3047" t="s">
        <v>3128</v>
      </c>
      <c r="B3047" t="s">
        <v>74</v>
      </c>
      <c r="C3047" s="2">
        <v>43286</v>
      </c>
      <c r="D3047" t="s">
        <v>26</v>
      </c>
      <c r="E3047">
        <v>1625</v>
      </c>
    </row>
    <row r="3048" spans="1:5" x14ac:dyDescent="0.55000000000000004">
      <c r="A3048" t="s">
        <v>3129</v>
      </c>
      <c r="B3048" t="s">
        <v>118</v>
      </c>
      <c r="C3048" s="2">
        <v>45240</v>
      </c>
      <c r="D3048" t="s">
        <v>26</v>
      </c>
      <c r="E3048">
        <v>1644</v>
      </c>
    </row>
    <row r="3049" spans="1:5" x14ac:dyDescent="0.55000000000000004">
      <c r="A3049" t="s">
        <v>3130</v>
      </c>
      <c r="B3049" t="s">
        <v>111</v>
      </c>
      <c r="C3049" s="2">
        <v>43049</v>
      </c>
      <c r="D3049" t="s">
        <v>29</v>
      </c>
      <c r="E3049">
        <v>1402</v>
      </c>
    </row>
    <row r="3050" spans="1:5" x14ac:dyDescent="0.55000000000000004">
      <c r="A3050" t="s">
        <v>3131</v>
      </c>
      <c r="B3050" t="s">
        <v>32</v>
      </c>
      <c r="C3050" s="2">
        <v>44826</v>
      </c>
      <c r="D3050" t="s">
        <v>26</v>
      </c>
      <c r="E3050">
        <v>2876</v>
      </c>
    </row>
    <row r="3051" spans="1:5" x14ac:dyDescent="0.55000000000000004">
      <c r="A3051" t="s">
        <v>3132</v>
      </c>
      <c r="B3051" t="s">
        <v>78</v>
      </c>
      <c r="C3051" s="2">
        <v>45416</v>
      </c>
      <c r="D3051" t="s">
        <v>26</v>
      </c>
      <c r="E3051">
        <v>1140</v>
      </c>
    </row>
    <row r="3052" spans="1:5" x14ac:dyDescent="0.55000000000000004">
      <c r="A3052" t="s">
        <v>3133</v>
      </c>
      <c r="B3052" t="s">
        <v>15</v>
      </c>
      <c r="C3052" s="2">
        <v>42995</v>
      </c>
      <c r="D3052" t="s">
        <v>26</v>
      </c>
      <c r="E3052">
        <v>1924</v>
      </c>
    </row>
    <row r="3053" spans="1:5" x14ac:dyDescent="0.55000000000000004">
      <c r="A3053" t="s">
        <v>3134</v>
      </c>
      <c r="B3053" t="s">
        <v>72</v>
      </c>
      <c r="C3053" s="2">
        <v>44228</v>
      </c>
      <c r="D3053" t="s">
        <v>26</v>
      </c>
      <c r="E3053">
        <v>1311</v>
      </c>
    </row>
    <row r="3054" spans="1:5" x14ac:dyDescent="0.55000000000000004">
      <c r="A3054" t="s">
        <v>3135</v>
      </c>
      <c r="B3054" t="s">
        <v>23</v>
      </c>
      <c r="C3054" s="2">
        <v>43895</v>
      </c>
      <c r="D3054" t="s">
        <v>29</v>
      </c>
      <c r="E3054">
        <v>255</v>
      </c>
    </row>
    <row r="3055" spans="1:5" x14ac:dyDescent="0.55000000000000004">
      <c r="A3055" t="s">
        <v>3136</v>
      </c>
      <c r="B3055" t="s">
        <v>137</v>
      </c>
      <c r="C3055" s="2">
        <v>44946</v>
      </c>
      <c r="D3055" t="s">
        <v>29</v>
      </c>
      <c r="E3055">
        <v>1939</v>
      </c>
    </row>
    <row r="3056" spans="1:5" x14ac:dyDescent="0.55000000000000004">
      <c r="A3056" t="s">
        <v>3137</v>
      </c>
      <c r="B3056" t="s">
        <v>151</v>
      </c>
      <c r="C3056" s="2">
        <v>43027</v>
      </c>
      <c r="D3056" t="s">
        <v>26</v>
      </c>
      <c r="E3056">
        <v>93</v>
      </c>
    </row>
    <row r="3057" spans="1:5" x14ac:dyDescent="0.55000000000000004">
      <c r="A3057" t="s">
        <v>3138</v>
      </c>
      <c r="B3057" t="s">
        <v>118</v>
      </c>
      <c r="C3057" s="2">
        <v>45198</v>
      </c>
      <c r="D3057" t="s">
        <v>29</v>
      </c>
      <c r="E3057">
        <v>1032</v>
      </c>
    </row>
    <row r="3058" spans="1:5" x14ac:dyDescent="0.55000000000000004">
      <c r="A3058" t="s">
        <v>3139</v>
      </c>
      <c r="B3058" t="s">
        <v>35</v>
      </c>
      <c r="C3058" s="2">
        <v>44191</v>
      </c>
      <c r="D3058" t="s">
        <v>26</v>
      </c>
      <c r="E3058">
        <v>580</v>
      </c>
    </row>
    <row r="3059" spans="1:5" x14ac:dyDescent="0.55000000000000004">
      <c r="A3059" t="s">
        <v>3140</v>
      </c>
      <c r="B3059" t="s">
        <v>74</v>
      </c>
      <c r="C3059" s="2">
        <v>43477</v>
      </c>
      <c r="D3059" t="s">
        <v>29</v>
      </c>
      <c r="E3059">
        <v>334</v>
      </c>
    </row>
    <row r="3060" spans="1:5" x14ac:dyDescent="0.55000000000000004">
      <c r="A3060" t="s">
        <v>3141</v>
      </c>
      <c r="B3060" t="s">
        <v>156</v>
      </c>
      <c r="C3060" s="2">
        <v>44375</v>
      </c>
      <c r="D3060" t="s">
        <v>29</v>
      </c>
      <c r="E3060">
        <v>1719</v>
      </c>
    </row>
    <row r="3061" spans="1:5" x14ac:dyDescent="0.55000000000000004">
      <c r="A3061" t="s">
        <v>3142</v>
      </c>
      <c r="B3061" t="s">
        <v>67</v>
      </c>
      <c r="C3061" s="2">
        <v>44342</v>
      </c>
      <c r="D3061" t="s">
        <v>29</v>
      </c>
      <c r="E3061">
        <v>753</v>
      </c>
    </row>
    <row r="3062" spans="1:5" x14ac:dyDescent="0.55000000000000004">
      <c r="A3062" t="s">
        <v>3143</v>
      </c>
      <c r="B3062" t="s">
        <v>175</v>
      </c>
      <c r="C3062" s="2">
        <v>43686</v>
      </c>
      <c r="D3062" t="s">
        <v>26</v>
      </c>
      <c r="E3062">
        <v>1755</v>
      </c>
    </row>
    <row r="3063" spans="1:5" x14ac:dyDescent="0.55000000000000004">
      <c r="A3063" t="s">
        <v>3144</v>
      </c>
      <c r="B3063" t="s">
        <v>111</v>
      </c>
      <c r="C3063" s="2">
        <v>44459</v>
      </c>
      <c r="D3063" t="s">
        <v>29</v>
      </c>
      <c r="E3063">
        <v>673</v>
      </c>
    </row>
    <row r="3064" spans="1:5" x14ac:dyDescent="0.55000000000000004">
      <c r="A3064" t="s">
        <v>3145</v>
      </c>
      <c r="B3064" t="s">
        <v>151</v>
      </c>
      <c r="C3064" s="2">
        <v>43632</v>
      </c>
      <c r="D3064" t="s">
        <v>29</v>
      </c>
      <c r="E3064">
        <v>1972</v>
      </c>
    </row>
    <row r="3065" spans="1:5" x14ac:dyDescent="0.55000000000000004">
      <c r="A3065" t="s">
        <v>3146</v>
      </c>
      <c r="B3065" t="s">
        <v>96</v>
      </c>
      <c r="C3065" s="2">
        <v>45659</v>
      </c>
      <c r="D3065" t="s">
        <v>26</v>
      </c>
      <c r="E3065">
        <v>2853</v>
      </c>
    </row>
    <row r="3066" spans="1:5" x14ac:dyDescent="0.55000000000000004">
      <c r="A3066" t="s">
        <v>3147</v>
      </c>
      <c r="B3066" t="s">
        <v>140</v>
      </c>
      <c r="C3066" s="2">
        <v>43643</v>
      </c>
      <c r="D3066" t="s">
        <v>29</v>
      </c>
      <c r="E3066">
        <v>40</v>
      </c>
    </row>
    <row r="3067" spans="1:5" x14ac:dyDescent="0.55000000000000004">
      <c r="A3067" t="s">
        <v>3148</v>
      </c>
      <c r="B3067" t="s">
        <v>99</v>
      </c>
      <c r="C3067" s="2">
        <v>44279</v>
      </c>
      <c r="D3067" t="s">
        <v>26</v>
      </c>
      <c r="E3067">
        <v>2960</v>
      </c>
    </row>
    <row r="3068" spans="1:5" x14ac:dyDescent="0.55000000000000004">
      <c r="A3068" t="s">
        <v>3149</v>
      </c>
      <c r="B3068" t="s">
        <v>38</v>
      </c>
      <c r="C3068" s="2">
        <v>44127</v>
      </c>
      <c r="D3068" t="s">
        <v>29</v>
      </c>
      <c r="E3068">
        <v>2720</v>
      </c>
    </row>
    <row r="3069" spans="1:5" x14ac:dyDescent="0.55000000000000004">
      <c r="A3069" t="s">
        <v>3150</v>
      </c>
      <c r="B3069" t="s">
        <v>175</v>
      </c>
      <c r="C3069" s="2">
        <v>44762</v>
      </c>
      <c r="D3069" t="s">
        <v>26</v>
      </c>
      <c r="E3069">
        <v>616</v>
      </c>
    </row>
    <row r="3070" spans="1:5" x14ac:dyDescent="0.55000000000000004">
      <c r="A3070" t="s">
        <v>3151</v>
      </c>
      <c r="B3070" t="s">
        <v>94</v>
      </c>
      <c r="C3070" s="2">
        <v>45344</v>
      </c>
      <c r="D3070" t="s">
        <v>26</v>
      </c>
      <c r="E3070">
        <v>2045</v>
      </c>
    </row>
    <row r="3071" spans="1:5" x14ac:dyDescent="0.55000000000000004">
      <c r="A3071" t="s">
        <v>3152</v>
      </c>
      <c r="B3071" t="s">
        <v>76</v>
      </c>
      <c r="C3071" s="2">
        <v>44762</v>
      </c>
      <c r="D3071" t="s">
        <v>26</v>
      </c>
      <c r="E3071">
        <v>2760</v>
      </c>
    </row>
    <row r="3072" spans="1:5" x14ac:dyDescent="0.55000000000000004">
      <c r="A3072" t="s">
        <v>3153</v>
      </c>
      <c r="B3072" t="s">
        <v>140</v>
      </c>
      <c r="C3072" s="2">
        <v>43455</v>
      </c>
      <c r="D3072" t="s">
        <v>26</v>
      </c>
      <c r="E3072">
        <v>1845</v>
      </c>
    </row>
    <row r="3073" spans="1:5" x14ac:dyDescent="0.55000000000000004">
      <c r="A3073" t="s">
        <v>3154</v>
      </c>
      <c r="B3073" t="s">
        <v>175</v>
      </c>
      <c r="C3073" s="2">
        <v>43980</v>
      </c>
      <c r="D3073" t="s">
        <v>29</v>
      </c>
      <c r="E3073">
        <v>2617</v>
      </c>
    </row>
    <row r="3074" spans="1:5" x14ac:dyDescent="0.55000000000000004">
      <c r="A3074" t="s">
        <v>3155</v>
      </c>
      <c r="B3074" t="s">
        <v>23</v>
      </c>
      <c r="C3074" s="2">
        <v>44030</v>
      </c>
      <c r="D3074" t="s">
        <v>26</v>
      </c>
      <c r="E3074">
        <v>895</v>
      </c>
    </row>
    <row r="3075" spans="1:5" x14ac:dyDescent="0.55000000000000004">
      <c r="A3075" t="s">
        <v>3156</v>
      </c>
      <c r="B3075" t="s">
        <v>78</v>
      </c>
      <c r="C3075" s="2">
        <v>44234</v>
      </c>
      <c r="D3075" t="s">
        <v>29</v>
      </c>
      <c r="E3075">
        <v>2852</v>
      </c>
    </row>
    <row r="3076" spans="1:5" x14ac:dyDescent="0.55000000000000004">
      <c r="A3076" t="s">
        <v>3157</v>
      </c>
      <c r="B3076" t="s">
        <v>99</v>
      </c>
      <c r="C3076" s="2">
        <v>44146</v>
      </c>
      <c r="D3076" t="s">
        <v>29</v>
      </c>
      <c r="E3076">
        <v>885</v>
      </c>
    </row>
    <row r="3077" spans="1:5" x14ac:dyDescent="0.55000000000000004">
      <c r="A3077" t="s">
        <v>3158</v>
      </c>
      <c r="B3077" t="s">
        <v>86</v>
      </c>
      <c r="C3077" s="2">
        <v>43346</v>
      </c>
      <c r="D3077" t="s">
        <v>26</v>
      </c>
      <c r="E3077">
        <v>2783</v>
      </c>
    </row>
    <row r="3078" spans="1:5" x14ac:dyDescent="0.55000000000000004">
      <c r="A3078" t="s">
        <v>3159</v>
      </c>
      <c r="B3078" t="s">
        <v>23</v>
      </c>
      <c r="C3078" s="2">
        <v>43860</v>
      </c>
      <c r="D3078" t="s">
        <v>29</v>
      </c>
      <c r="E3078">
        <v>1490</v>
      </c>
    </row>
    <row r="3079" spans="1:5" x14ac:dyDescent="0.55000000000000004">
      <c r="A3079" t="s">
        <v>3160</v>
      </c>
      <c r="B3079" t="s">
        <v>14</v>
      </c>
      <c r="C3079" s="2">
        <v>43535</v>
      </c>
      <c r="D3079" t="s">
        <v>29</v>
      </c>
      <c r="E3079">
        <v>2056</v>
      </c>
    </row>
    <row r="3080" spans="1:5" x14ac:dyDescent="0.55000000000000004">
      <c r="A3080" t="s">
        <v>3161</v>
      </c>
      <c r="B3080" t="s">
        <v>175</v>
      </c>
      <c r="C3080" s="2">
        <v>43976</v>
      </c>
      <c r="D3080" t="s">
        <v>29</v>
      </c>
      <c r="E3080">
        <v>2657</v>
      </c>
    </row>
    <row r="3081" spans="1:5" x14ac:dyDescent="0.55000000000000004">
      <c r="A3081" t="s">
        <v>3162</v>
      </c>
      <c r="B3081" t="s">
        <v>15</v>
      </c>
      <c r="C3081" s="2">
        <v>43764</v>
      </c>
      <c r="D3081" t="s">
        <v>29</v>
      </c>
      <c r="E3081">
        <v>1440</v>
      </c>
    </row>
    <row r="3082" spans="1:5" x14ac:dyDescent="0.55000000000000004">
      <c r="A3082" t="s">
        <v>3163</v>
      </c>
      <c r="B3082" t="s">
        <v>86</v>
      </c>
      <c r="C3082" s="2">
        <v>44027</v>
      </c>
      <c r="D3082" t="s">
        <v>29</v>
      </c>
      <c r="E3082">
        <v>2142</v>
      </c>
    </row>
    <row r="3083" spans="1:5" x14ac:dyDescent="0.55000000000000004">
      <c r="A3083" t="s">
        <v>3164</v>
      </c>
      <c r="B3083" t="s">
        <v>118</v>
      </c>
      <c r="C3083" s="2">
        <v>44841</v>
      </c>
      <c r="D3083" t="s">
        <v>26</v>
      </c>
      <c r="E3083">
        <v>720</v>
      </c>
    </row>
    <row r="3084" spans="1:5" x14ac:dyDescent="0.55000000000000004">
      <c r="A3084" t="s">
        <v>3165</v>
      </c>
      <c r="B3084" t="s">
        <v>15</v>
      </c>
      <c r="C3084" s="2">
        <v>43794</v>
      </c>
      <c r="D3084" t="s">
        <v>29</v>
      </c>
      <c r="E3084">
        <v>724</v>
      </c>
    </row>
    <row r="3085" spans="1:5" x14ac:dyDescent="0.55000000000000004">
      <c r="A3085" t="s">
        <v>3166</v>
      </c>
      <c r="B3085" t="s">
        <v>99</v>
      </c>
      <c r="C3085" s="2">
        <v>44132</v>
      </c>
      <c r="D3085" t="s">
        <v>29</v>
      </c>
      <c r="E3085">
        <v>1562</v>
      </c>
    </row>
    <row r="3086" spans="1:5" x14ac:dyDescent="0.55000000000000004">
      <c r="A3086" t="s">
        <v>3167</v>
      </c>
      <c r="B3086" t="s">
        <v>156</v>
      </c>
      <c r="C3086" s="2">
        <v>44267</v>
      </c>
      <c r="D3086" t="s">
        <v>29</v>
      </c>
      <c r="E3086">
        <v>2597</v>
      </c>
    </row>
    <row r="3087" spans="1:5" x14ac:dyDescent="0.55000000000000004">
      <c r="A3087" t="s">
        <v>3168</v>
      </c>
      <c r="B3087" t="s">
        <v>156</v>
      </c>
      <c r="C3087" s="2">
        <v>44354</v>
      </c>
      <c r="D3087" t="s">
        <v>26</v>
      </c>
      <c r="E3087">
        <v>358</v>
      </c>
    </row>
    <row r="3088" spans="1:5" x14ac:dyDescent="0.55000000000000004">
      <c r="A3088" t="s">
        <v>3169</v>
      </c>
      <c r="B3088" t="s">
        <v>137</v>
      </c>
      <c r="C3088" s="2">
        <v>43891</v>
      </c>
      <c r="D3088" t="s">
        <v>26</v>
      </c>
      <c r="E3088">
        <v>2660</v>
      </c>
    </row>
    <row r="3089" spans="1:5" x14ac:dyDescent="0.55000000000000004">
      <c r="A3089" t="s">
        <v>3170</v>
      </c>
      <c r="B3089" t="s">
        <v>14</v>
      </c>
      <c r="C3089" s="2">
        <v>44179</v>
      </c>
      <c r="D3089" t="s">
        <v>29</v>
      </c>
      <c r="E3089">
        <v>424</v>
      </c>
    </row>
    <row r="3090" spans="1:5" x14ac:dyDescent="0.55000000000000004">
      <c r="A3090" t="s">
        <v>3171</v>
      </c>
      <c r="B3090" t="s">
        <v>96</v>
      </c>
      <c r="C3090" s="2">
        <v>45697</v>
      </c>
      <c r="D3090" t="s">
        <v>26</v>
      </c>
      <c r="E3090">
        <v>2594</v>
      </c>
    </row>
    <row r="3091" spans="1:5" x14ac:dyDescent="0.55000000000000004">
      <c r="A3091" t="s">
        <v>3172</v>
      </c>
      <c r="B3091" t="s">
        <v>15</v>
      </c>
      <c r="C3091" s="2">
        <v>43947</v>
      </c>
      <c r="D3091" t="s">
        <v>26</v>
      </c>
      <c r="E3091">
        <v>2734</v>
      </c>
    </row>
    <row r="3092" spans="1:5" x14ac:dyDescent="0.55000000000000004">
      <c r="A3092" t="s">
        <v>3173</v>
      </c>
      <c r="B3092" t="s">
        <v>156</v>
      </c>
      <c r="C3092" s="2">
        <v>43778</v>
      </c>
      <c r="D3092" t="s">
        <v>26</v>
      </c>
      <c r="E3092">
        <v>912</v>
      </c>
    </row>
    <row r="3093" spans="1:5" x14ac:dyDescent="0.55000000000000004">
      <c r="A3093" t="s">
        <v>3174</v>
      </c>
      <c r="B3093" t="s">
        <v>118</v>
      </c>
      <c r="C3093" s="2">
        <v>45328</v>
      </c>
      <c r="D3093" t="s">
        <v>29</v>
      </c>
      <c r="E3093">
        <v>468</v>
      </c>
    </row>
    <row r="3094" spans="1:5" x14ac:dyDescent="0.55000000000000004">
      <c r="A3094" t="s">
        <v>3175</v>
      </c>
      <c r="B3094" t="s">
        <v>151</v>
      </c>
      <c r="C3094" s="2">
        <v>43878</v>
      </c>
      <c r="D3094" t="s">
        <v>26</v>
      </c>
      <c r="E3094">
        <v>1436</v>
      </c>
    </row>
    <row r="3095" spans="1:5" x14ac:dyDescent="0.55000000000000004">
      <c r="A3095" t="s">
        <v>3176</v>
      </c>
      <c r="B3095" t="s">
        <v>137</v>
      </c>
      <c r="C3095" s="2">
        <v>45366</v>
      </c>
      <c r="D3095" t="s">
        <v>29</v>
      </c>
      <c r="E3095">
        <v>2641</v>
      </c>
    </row>
    <row r="3096" spans="1:5" x14ac:dyDescent="0.55000000000000004">
      <c r="A3096" t="s">
        <v>3177</v>
      </c>
      <c r="B3096" t="s">
        <v>41</v>
      </c>
      <c r="C3096" s="2">
        <v>44641</v>
      </c>
      <c r="D3096" t="s">
        <v>26</v>
      </c>
      <c r="E3096">
        <v>1534</v>
      </c>
    </row>
    <row r="3097" spans="1:5" x14ac:dyDescent="0.55000000000000004">
      <c r="A3097" t="s">
        <v>3178</v>
      </c>
      <c r="B3097" t="s">
        <v>137</v>
      </c>
      <c r="C3097" s="2">
        <v>44383</v>
      </c>
      <c r="D3097" t="s">
        <v>29</v>
      </c>
      <c r="E3097">
        <v>1096</v>
      </c>
    </row>
    <row r="3098" spans="1:5" x14ac:dyDescent="0.55000000000000004">
      <c r="A3098" t="s">
        <v>3179</v>
      </c>
      <c r="B3098" t="s">
        <v>94</v>
      </c>
      <c r="C3098" s="2">
        <v>44549</v>
      </c>
      <c r="D3098" t="s">
        <v>29</v>
      </c>
      <c r="E3098">
        <v>1698</v>
      </c>
    </row>
    <row r="3099" spans="1:5" x14ac:dyDescent="0.55000000000000004">
      <c r="A3099" t="s">
        <v>3180</v>
      </c>
      <c r="B3099" t="s">
        <v>38</v>
      </c>
      <c r="C3099" s="2">
        <v>44325</v>
      </c>
      <c r="D3099" t="s">
        <v>26</v>
      </c>
      <c r="E3099">
        <v>1698</v>
      </c>
    </row>
    <row r="3100" spans="1:5" x14ac:dyDescent="0.55000000000000004">
      <c r="A3100" t="s">
        <v>3181</v>
      </c>
      <c r="B3100" t="s">
        <v>142</v>
      </c>
      <c r="C3100" s="2">
        <v>42948</v>
      </c>
      <c r="D3100" t="s">
        <v>26</v>
      </c>
      <c r="E3100">
        <v>628</v>
      </c>
    </row>
    <row r="3101" spans="1:5" x14ac:dyDescent="0.55000000000000004">
      <c r="A3101" t="s">
        <v>3182</v>
      </c>
      <c r="B3101" t="s">
        <v>137</v>
      </c>
      <c r="C3101" s="2">
        <v>44999</v>
      </c>
      <c r="D3101" t="s">
        <v>29</v>
      </c>
      <c r="E3101">
        <v>1372</v>
      </c>
    </row>
    <row r="3102" spans="1:5" x14ac:dyDescent="0.55000000000000004">
      <c r="A3102" t="s">
        <v>3183</v>
      </c>
      <c r="B3102" t="s">
        <v>105</v>
      </c>
      <c r="C3102" s="2">
        <v>44088</v>
      </c>
      <c r="D3102" t="s">
        <v>29</v>
      </c>
      <c r="E3102">
        <v>990</v>
      </c>
    </row>
    <row r="3103" spans="1:5" x14ac:dyDescent="0.55000000000000004">
      <c r="A3103" t="s">
        <v>3184</v>
      </c>
      <c r="B3103" t="s">
        <v>99</v>
      </c>
      <c r="C3103" s="2">
        <v>45069</v>
      </c>
      <c r="D3103" t="s">
        <v>26</v>
      </c>
      <c r="E3103">
        <v>2524</v>
      </c>
    </row>
    <row r="3104" spans="1:5" x14ac:dyDescent="0.55000000000000004">
      <c r="A3104" t="s">
        <v>3185</v>
      </c>
      <c r="B3104" t="s">
        <v>35</v>
      </c>
      <c r="C3104" s="2">
        <v>44636</v>
      </c>
      <c r="D3104" t="s">
        <v>26</v>
      </c>
      <c r="E3104">
        <v>2366</v>
      </c>
    </row>
    <row r="3105" spans="1:5" x14ac:dyDescent="0.55000000000000004">
      <c r="A3105" t="s">
        <v>3186</v>
      </c>
      <c r="B3105" t="s">
        <v>140</v>
      </c>
      <c r="C3105" s="2">
        <v>43180</v>
      </c>
      <c r="D3105" t="s">
        <v>29</v>
      </c>
      <c r="E3105">
        <v>2982</v>
      </c>
    </row>
    <row r="3106" spans="1:5" x14ac:dyDescent="0.55000000000000004">
      <c r="A3106" t="s">
        <v>3187</v>
      </c>
      <c r="B3106" t="s">
        <v>105</v>
      </c>
      <c r="C3106" s="2">
        <v>43742</v>
      </c>
      <c r="D3106" t="s">
        <v>29</v>
      </c>
      <c r="E3106">
        <v>2118</v>
      </c>
    </row>
    <row r="3107" spans="1:5" x14ac:dyDescent="0.55000000000000004">
      <c r="A3107" t="s">
        <v>3188</v>
      </c>
      <c r="B3107" t="s">
        <v>105</v>
      </c>
      <c r="C3107" s="2">
        <v>43812</v>
      </c>
      <c r="D3107" t="s">
        <v>26</v>
      </c>
      <c r="E3107">
        <v>407</v>
      </c>
    </row>
    <row r="3108" spans="1:5" x14ac:dyDescent="0.55000000000000004">
      <c r="A3108" t="s">
        <v>3189</v>
      </c>
      <c r="B3108" t="s">
        <v>41</v>
      </c>
      <c r="C3108" s="2">
        <v>44089</v>
      </c>
      <c r="D3108" t="s">
        <v>26</v>
      </c>
      <c r="E3108">
        <v>2586</v>
      </c>
    </row>
    <row r="3109" spans="1:5" x14ac:dyDescent="0.55000000000000004">
      <c r="A3109" t="s">
        <v>3190</v>
      </c>
      <c r="B3109" t="s">
        <v>23</v>
      </c>
      <c r="C3109" s="2">
        <v>44633</v>
      </c>
      <c r="D3109" t="s">
        <v>29</v>
      </c>
      <c r="E3109">
        <v>2264</v>
      </c>
    </row>
    <row r="3110" spans="1:5" x14ac:dyDescent="0.55000000000000004">
      <c r="A3110" t="s">
        <v>3191</v>
      </c>
      <c r="B3110" t="s">
        <v>105</v>
      </c>
      <c r="C3110" s="2">
        <v>43577</v>
      </c>
      <c r="D3110" t="s">
        <v>26</v>
      </c>
      <c r="E3110">
        <v>381</v>
      </c>
    </row>
    <row r="3111" spans="1:5" x14ac:dyDescent="0.55000000000000004">
      <c r="A3111" t="s">
        <v>3192</v>
      </c>
      <c r="B3111" t="s">
        <v>74</v>
      </c>
      <c r="C3111" s="2">
        <v>42969</v>
      </c>
      <c r="D3111" t="s">
        <v>29</v>
      </c>
      <c r="E3111">
        <v>47</v>
      </c>
    </row>
    <row r="3112" spans="1:5" x14ac:dyDescent="0.55000000000000004">
      <c r="A3112" t="s">
        <v>3193</v>
      </c>
      <c r="B3112" t="s">
        <v>35</v>
      </c>
      <c r="C3112" s="2">
        <v>44144</v>
      </c>
      <c r="D3112" t="s">
        <v>26</v>
      </c>
      <c r="E3112">
        <v>2531</v>
      </c>
    </row>
    <row r="3113" spans="1:5" x14ac:dyDescent="0.55000000000000004">
      <c r="A3113" t="s">
        <v>3194</v>
      </c>
      <c r="B3113" t="s">
        <v>41</v>
      </c>
      <c r="C3113" s="2">
        <v>43992</v>
      </c>
      <c r="D3113" t="s">
        <v>29</v>
      </c>
      <c r="E3113">
        <v>103</v>
      </c>
    </row>
    <row r="3114" spans="1:5" x14ac:dyDescent="0.55000000000000004">
      <c r="A3114" t="s">
        <v>3195</v>
      </c>
      <c r="B3114" t="s">
        <v>78</v>
      </c>
      <c r="C3114" s="2">
        <v>44000</v>
      </c>
      <c r="D3114" t="s">
        <v>29</v>
      </c>
      <c r="E3114">
        <v>2598</v>
      </c>
    </row>
    <row r="3115" spans="1:5" x14ac:dyDescent="0.55000000000000004">
      <c r="A3115" t="s">
        <v>3196</v>
      </c>
      <c r="B3115" t="s">
        <v>35</v>
      </c>
      <c r="C3115" s="2">
        <v>44564</v>
      </c>
      <c r="D3115" t="s">
        <v>26</v>
      </c>
      <c r="E3115">
        <v>981</v>
      </c>
    </row>
    <row r="3116" spans="1:5" x14ac:dyDescent="0.55000000000000004">
      <c r="A3116" t="s">
        <v>3197</v>
      </c>
      <c r="B3116" t="s">
        <v>35</v>
      </c>
      <c r="C3116" s="2">
        <v>44285</v>
      </c>
      <c r="D3116" t="s">
        <v>29</v>
      </c>
      <c r="E3116">
        <v>793</v>
      </c>
    </row>
    <row r="3117" spans="1:5" x14ac:dyDescent="0.55000000000000004">
      <c r="A3117" t="s">
        <v>3198</v>
      </c>
      <c r="B3117" t="s">
        <v>99</v>
      </c>
      <c r="C3117" s="2">
        <v>44470</v>
      </c>
      <c r="D3117" t="s">
        <v>29</v>
      </c>
      <c r="E3117">
        <v>1066</v>
      </c>
    </row>
    <row r="3118" spans="1:5" x14ac:dyDescent="0.55000000000000004">
      <c r="A3118" t="s">
        <v>3199</v>
      </c>
      <c r="B3118" t="s">
        <v>38</v>
      </c>
      <c r="C3118" s="2">
        <v>43936</v>
      </c>
      <c r="D3118" t="s">
        <v>29</v>
      </c>
      <c r="E3118">
        <v>339</v>
      </c>
    </row>
    <row r="3119" spans="1:5" x14ac:dyDescent="0.55000000000000004">
      <c r="A3119" t="s">
        <v>3200</v>
      </c>
      <c r="B3119" t="s">
        <v>72</v>
      </c>
      <c r="C3119" s="2">
        <v>44201</v>
      </c>
      <c r="D3119" t="s">
        <v>26</v>
      </c>
      <c r="E3119">
        <v>2614</v>
      </c>
    </row>
    <row r="3120" spans="1:5" x14ac:dyDescent="0.55000000000000004">
      <c r="A3120" t="s">
        <v>3201</v>
      </c>
      <c r="B3120" t="s">
        <v>23</v>
      </c>
      <c r="C3120" s="2">
        <v>44042</v>
      </c>
      <c r="D3120" t="s">
        <v>26</v>
      </c>
      <c r="E3120">
        <v>1880</v>
      </c>
    </row>
    <row r="3121" spans="1:5" x14ac:dyDescent="0.55000000000000004">
      <c r="A3121" t="s">
        <v>3202</v>
      </c>
      <c r="B3121" t="s">
        <v>32</v>
      </c>
      <c r="C3121" s="2">
        <v>44082</v>
      </c>
      <c r="D3121" t="s">
        <v>26</v>
      </c>
      <c r="E3121">
        <v>580</v>
      </c>
    </row>
    <row r="3122" spans="1:5" x14ac:dyDescent="0.55000000000000004">
      <c r="A3122" t="s">
        <v>3203</v>
      </c>
      <c r="B3122" t="s">
        <v>156</v>
      </c>
      <c r="C3122" s="2">
        <v>43453</v>
      </c>
      <c r="D3122" t="s">
        <v>26</v>
      </c>
      <c r="E3122">
        <v>380</v>
      </c>
    </row>
    <row r="3123" spans="1:5" x14ac:dyDescent="0.55000000000000004">
      <c r="A3123" t="s">
        <v>3204</v>
      </c>
      <c r="B3123" t="s">
        <v>74</v>
      </c>
      <c r="C3123" s="2">
        <v>43929</v>
      </c>
      <c r="D3123" t="s">
        <v>29</v>
      </c>
      <c r="E3123">
        <v>851</v>
      </c>
    </row>
    <row r="3124" spans="1:5" x14ac:dyDescent="0.55000000000000004">
      <c r="A3124" t="s">
        <v>3205</v>
      </c>
      <c r="B3124" t="s">
        <v>101</v>
      </c>
      <c r="C3124" s="2">
        <v>43123</v>
      </c>
      <c r="D3124" t="s">
        <v>29</v>
      </c>
      <c r="E3124">
        <v>89</v>
      </c>
    </row>
    <row r="3125" spans="1:5" x14ac:dyDescent="0.55000000000000004">
      <c r="A3125" t="s">
        <v>3206</v>
      </c>
      <c r="B3125" t="s">
        <v>140</v>
      </c>
      <c r="C3125" s="2">
        <v>43067</v>
      </c>
      <c r="D3125" t="s">
        <v>29</v>
      </c>
      <c r="E3125">
        <v>2562</v>
      </c>
    </row>
    <row r="3126" spans="1:5" x14ac:dyDescent="0.55000000000000004">
      <c r="A3126" t="s">
        <v>3207</v>
      </c>
      <c r="B3126" t="s">
        <v>74</v>
      </c>
      <c r="C3126" s="2">
        <v>43347</v>
      </c>
      <c r="D3126" t="s">
        <v>29</v>
      </c>
      <c r="E3126">
        <v>1537</v>
      </c>
    </row>
    <row r="3127" spans="1:5" x14ac:dyDescent="0.55000000000000004">
      <c r="A3127" t="s">
        <v>3208</v>
      </c>
      <c r="B3127" t="s">
        <v>94</v>
      </c>
      <c r="C3127" s="2">
        <v>44750</v>
      </c>
      <c r="D3127" t="s">
        <v>29</v>
      </c>
      <c r="E3127">
        <v>659</v>
      </c>
    </row>
    <row r="3128" spans="1:5" x14ac:dyDescent="0.55000000000000004">
      <c r="A3128" t="s">
        <v>3209</v>
      </c>
      <c r="B3128" t="s">
        <v>105</v>
      </c>
      <c r="C3128" s="2">
        <v>43528</v>
      </c>
      <c r="D3128" t="s">
        <v>26</v>
      </c>
      <c r="E3128">
        <v>731</v>
      </c>
    </row>
    <row r="3129" spans="1:5" x14ac:dyDescent="0.55000000000000004">
      <c r="A3129" t="s">
        <v>3210</v>
      </c>
      <c r="B3129" t="s">
        <v>38</v>
      </c>
      <c r="C3129" s="2">
        <v>43895</v>
      </c>
      <c r="D3129" t="s">
        <v>26</v>
      </c>
      <c r="E3129">
        <v>1404</v>
      </c>
    </row>
    <row r="3130" spans="1:5" x14ac:dyDescent="0.55000000000000004">
      <c r="A3130" t="s">
        <v>3211</v>
      </c>
      <c r="B3130" t="s">
        <v>86</v>
      </c>
      <c r="C3130" s="2">
        <v>43908</v>
      </c>
      <c r="D3130" t="s">
        <v>26</v>
      </c>
      <c r="E3130">
        <v>648</v>
      </c>
    </row>
    <row r="3131" spans="1:5" x14ac:dyDescent="0.55000000000000004">
      <c r="A3131" t="s">
        <v>3212</v>
      </c>
      <c r="B3131" t="s">
        <v>67</v>
      </c>
      <c r="C3131" s="2">
        <v>44508</v>
      </c>
      <c r="D3131" t="s">
        <v>26</v>
      </c>
      <c r="E3131">
        <v>789</v>
      </c>
    </row>
    <row r="3132" spans="1:5" x14ac:dyDescent="0.55000000000000004">
      <c r="A3132" t="s">
        <v>3213</v>
      </c>
      <c r="B3132" t="s">
        <v>32</v>
      </c>
      <c r="C3132" s="2">
        <v>43891</v>
      </c>
      <c r="D3132" t="s">
        <v>26</v>
      </c>
      <c r="E3132">
        <v>2121</v>
      </c>
    </row>
    <row r="3133" spans="1:5" x14ac:dyDescent="0.55000000000000004">
      <c r="A3133" t="s">
        <v>3214</v>
      </c>
      <c r="B3133" t="s">
        <v>67</v>
      </c>
      <c r="C3133" s="2">
        <v>44090</v>
      </c>
      <c r="D3133" t="s">
        <v>26</v>
      </c>
      <c r="E3133">
        <v>1494</v>
      </c>
    </row>
    <row r="3134" spans="1:5" x14ac:dyDescent="0.55000000000000004">
      <c r="A3134" t="s">
        <v>3215</v>
      </c>
      <c r="B3134" t="s">
        <v>115</v>
      </c>
      <c r="C3134" s="2">
        <v>43361</v>
      </c>
      <c r="D3134" t="s">
        <v>26</v>
      </c>
      <c r="E3134">
        <v>1341</v>
      </c>
    </row>
    <row r="3135" spans="1:5" x14ac:dyDescent="0.55000000000000004">
      <c r="A3135" t="s">
        <v>3216</v>
      </c>
      <c r="B3135" t="s">
        <v>72</v>
      </c>
      <c r="C3135" s="2">
        <v>43367</v>
      </c>
      <c r="D3135" t="s">
        <v>26</v>
      </c>
      <c r="E3135">
        <v>2980</v>
      </c>
    </row>
    <row r="3136" spans="1:5" x14ac:dyDescent="0.55000000000000004">
      <c r="A3136" t="s">
        <v>3217</v>
      </c>
      <c r="B3136" t="s">
        <v>41</v>
      </c>
      <c r="C3136" s="2">
        <v>44090</v>
      </c>
      <c r="D3136" t="s">
        <v>29</v>
      </c>
      <c r="E3136">
        <v>1120</v>
      </c>
    </row>
    <row r="3137" spans="1:5" x14ac:dyDescent="0.55000000000000004">
      <c r="A3137" t="s">
        <v>3218</v>
      </c>
      <c r="B3137" t="s">
        <v>96</v>
      </c>
      <c r="C3137" s="2">
        <v>44282</v>
      </c>
      <c r="D3137" t="s">
        <v>26</v>
      </c>
      <c r="E3137">
        <v>1427</v>
      </c>
    </row>
    <row r="3138" spans="1:5" x14ac:dyDescent="0.55000000000000004">
      <c r="A3138" t="s">
        <v>3219</v>
      </c>
      <c r="B3138" t="s">
        <v>41</v>
      </c>
      <c r="C3138" s="2">
        <v>44433</v>
      </c>
      <c r="D3138" t="s">
        <v>29</v>
      </c>
      <c r="E3138">
        <v>2030</v>
      </c>
    </row>
    <row r="3139" spans="1:5" x14ac:dyDescent="0.55000000000000004">
      <c r="A3139" t="s">
        <v>3220</v>
      </c>
      <c r="B3139" t="s">
        <v>140</v>
      </c>
      <c r="C3139" s="2">
        <v>43966</v>
      </c>
      <c r="D3139" t="s">
        <v>29</v>
      </c>
      <c r="E3139">
        <v>790</v>
      </c>
    </row>
    <row r="3140" spans="1:5" x14ac:dyDescent="0.55000000000000004">
      <c r="A3140" t="s">
        <v>3221</v>
      </c>
      <c r="B3140" t="s">
        <v>84</v>
      </c>
      <c r="C3140" s="2">
        <v>43271</v>
      </c>
      <c r="D3140" t="s">
        <v>26</v>
      </c>
      <c r="E3140">
        <v>2814</v>
      </c>
    </row>
    <row r="3141" spans="1:5" x14ac:dyDescent="0.55000000000000004">
      <c r="A3141" t="s">
        <v>3222</v>
      </c>
      <c r="B3141" t="s">
        <v>76</v>
      </c>
      <c r="C3141" s="2">
        <v>44617</v>
      </c>
      <c r="D3141" t="s">
        <v>29</v>
      </c>
      <c r="E3141">
        <v>421</v>
      </c>
    </row>
    <row r="3142" spans="1:5" x14ac:dyDescent="0.55000000000000004">
      <c r="A3142" t="s">
        <v>3223</v>
      </c>
      <c r="B3142" t="s">
        <v>23</v>
      </c>
      <c r="C3142" s="2">
        <v>44469</v>
      </c>
      <c r="D3142" t="s">
        <v>26</v>
      </c>
      <c r="E3142">
        <v>843</v>
      </c>
    </row>
    <row r="3143" spans="1:5" x14ac:dyDescent="0.55000000000000004">
      <c r="A3143" t="s">
        <v>3224</v>
      </c>
      <c r="B3143" t="s">
        <v>78</v>
      </c>
      <c r="C3143" s="2">
        <v>45464</v>
      </c>
      <c r="D3143" t="s">
        <v>29</v>
      </c>
      <c r="E3143">
        <v>1827</v>
      </c>
    </row>
    <row r="3144" spans="1:5" x14ac:dyDescent="0.55000000000000004">
      <c r="A3144" t="s">
        <v>3225</v>
      </c>
      <c r="B3144" t="s">
        <v>140</v>
      </c>
      <c r="C3144" s="2">
        <v>44138</v>
      </c>
      <c r="D3144" t="s">
        <v>29</v>
      </c>
      <c r="E3144">
        <v>1305</v>
      </c>
    </row>
    <row r="3145" spans="1:5" x14ac:dyDescent="0.55000000000000004">
      <c r="A3145" t="s">
        <v>3226</v>
      </c>
      <c r="B3145" t="s">
        <v>32</v>
      </c>
      <c r="C3145" s="2">
        <v>44051</v>
      </c>
      <c r="D3145" t="s">
        <v>29</v>
      </c>
      <c r="E3145">
        <v>1758</v>
      </c>
    </row>
    <row r="3146" spans="1:5" x14ac:dyDescent="0.55000000000000004">
      <c r="A3146" t="s">
        <v>3227</v>
      </c>
      <c r="B3146" t="s">
        <v>151</v>
      </c>
      <c r="C3146" s="2">
        <v>44078</v>
      </c>
      <c r="D3146" t="s">
        <v>29</v>
      </c>
      <c r="E3146">
        <v>1531</v>
      </c>
    </row>
    <row r="3147" spans="1:5" x14ac:dyDescent="0.55000000000000004">
      <c r="A3147" t="s">
        <v>3228</v>
      </c>
      <c r="B3147" t="s">
        <v>94</v>
      </c>
      <c r="C3147" s="2">
        <v>43729</v>
      </c>
      <c r="D3147" t="s">
        <v>29</v>
      </c>
      <c r="E3147">
        <v>685</v>
      </c>
    </row>
    <row r="3148" spans="1:5" x14ac:dyDescent="0.55000000000000004">
      <c r="A3148" t="s">
        <v>3229</v>
      </c>
      <c r="B3148" t="s">
        <v>94</v>
      </c>
      <c r="C3148" s="2">
        <v>43604</v>
      </c>
      <c r="D3148" t="s">
        <v>29</v>
      </c>
      <c r="E3148">
        <v>2403</v>
      </c>
    </row>
    <row r="3149" spans="1:5" x14ac:dyDescent="0.55000000000000004">
      <c r="A3149" t="s">
        <v>3230</v>
      </c>
      <c r="B3149" t="s">
        <v>140</v>
      </c>
      <c r="C3149" s="2">
        <v>43518</v>
      </c>
      <c r="D3149" t="s">
        <v>29</v>
      </c>
      <c r="E3149">
        <v>1631</v>
      </c>
    </row>
    <row r="3150" spans="1:5" x14ac:dyDescent="0.55000000000000004">
      <c r="A3150" t="s">
        <v>3231</v>
      </c>
      <c r="B3150" t="s">
        <v>14</v>
      </c>
      <c r="C3150" s="2">
        <v>43151</v>
      </c>
      <c r="D3150" t="s">
        <v>26</v>
      </c>
      <c r="E3150">
        <v>1321</v>
      </c>
    </row>
    <row r="3151" spans="1:5" x14ac:dyDescent="0.55000000000000004">
      <c r="A3151" t="s">
        <v>3232</v>
      </c>
      <c r="B3151" t="s">
        <v>140</v>
      </c>
      <c r="C3151" s="2">
        <v>44536</v>
      </c>
      <c r="D3151" t="s">
        <v>26</v>
      </c>
      <c r="E3151">
        <v>1465</v>
      </c>
    </row>
    <row r="3152" spans="1:5" x14ac:dyDescent="0.55000000000000004">
      <c r="A3152" t="s">
        <v>3233</v>
      </c>
      <c r="B3152" t="s">
        <v>63</v>
      </c>
      <c r="C3152" s="2">
        <v>43065</v>
      </c>
      <c r="D3152" t="s">
        <v>26</v>
      </c>
      <c r="E3152">
        <v>2690</v>
      </c>
    </row>
    <row r="3153" spans="1:5" x14ac:dyDescent="0.55000000000000004">
      <c r="A3153" t="s">
        <v>3234</v>
      </c>
      <c r="B3153" t="s">
        <v>86</v>
      </c>
      <c r="C3153" s="2">
        <v>43678</v>
      </c>
      <c r="D3153" t="s">
        <v>26</v>
      </c>
      <c r="E3153">
        <v>1287</v>
      </c>
    </row>
    <row r="3154" spans="1:5" x14ac:dyDescent="0.55000000000000004">
      <c r="A3154" t="s">
        <v>3235</v>
      </c>
      <c r="B3154" t="s">
        <v>115</v>
      </c>
      <c r="C3154" s="2">
        <v>42936</v>
      </c>
      <c r="D3154" t="s">
        <v>29</v>
      </c>
      <c r="E3154">
        <v>2819</v>
      </c>
    </row>
    <row r="3155" spans="1:5" x14ac:dyDescent="0.55000000000000004">
      <c r="A3155" t="s">
        <v>3236</v>
      </c>
      <c r="B3155" t="s">
        <v>14</v>
      </c>
      <c r="C3155" s="2">
        <v>44385</v>
      </c>
      <c r="D3155" t="s">
        <v>29</v>
      </c>
      <c r="E3155">
        <v>875</v>
      </c>
    </row>
    <row r="3156" spans="1:5" x14ac:dyDescent="0.55000000000000004">
      <c r="A3156" t="s">
        <v>3237</v>
      </c>
      <c r="B3156" t="s">
        <v>15</v>
      </c>
      <c r="C3156" s="2">
        <v>44079</v>
      </c>
      <c r="D3156" t="s">
        <v>29</v>
      </c>
      <c r="E3156">
        <v>952</v>
      </c>
    </row>
    <row r="3157" spans="1:5" x14ac:dyDescent="0.55000000000000004">
      <c r="A3157" t="s">
        <v>3238</v>
      </c>
      <c r="B3157" t="s">
        <v>99</v>
      </c>
      <c r="C3157" s="2">
        <v>43737</v>
      </c>
      <c r="D3157" t="s">
        <v>29</v>
      </c>
      <c r="E3157">
        <v>1161</v>
      </c>
    </row>
    <row r="3158" spans="1:5" x14ac:dyDescent="0.55000000000000004">
      <c r="A3158" t="s">
        <v>3239</v>
      </c>
      <c r="B3158" t="s">
        <v>32</v>
      </c>
      <c r="C3158" s="2">
        <v>44265</v>
      </c>
      <c r="D3158" t="s">
        <v>26</v>
      </c>
      <c r="E3158">
        <v>421</v>
      </c>
    </row>
    <row r="3159" spans="1:5" x14ac:dyDescent="0.55000000000000004">
      <c r="A3159" t="s">
        <v>3240</v>
      </c>
      <c r="B3159" t="s">
        <v>99</v>
      </c>
      <c r="C3159" s="2">
        <v>44604</v>
      </c>
      <c r="D3159" t="s">
        <v>26</v>
      </c>
      <c r="E3159">
        <v>2350</v>
      </c>
    </row>
    <row r="3160" spans="1:5" x14ac:dyDescent="0.55000000000000004">
      <c r="A3160" t="s">
        <v>3241</v>
      </c>
      <c r="B3160" t="s">
        <v>94</v>
      </c>
      <c r="C3160" s="2">
        <v>45193</v>
      </c>
      <c r="D3160" t="s">
        <v>29</v>
      </c>
      <c r="E3160">
        <v>1301</v>
      </c>
    </row>
    <row r="3161" spans="1:5" x14ac:dyDescent="0.55000000000000004">
      <c r="A3161" t="s">
        <v>3242</v>
      </c>
      <c r="B3161" t="s">
        <v>175</v>
      </c>
      <c r="C3161" s="2">
        <v>44777</v>
      </c>
      <c r="D3161" t="s">
        <v>26</v>
      </c>
      <c r="E3161">
        <v>807</v>
      </c>
    </row>
    <row r="3162" spans="1:5" x14ac:dyDescent="0.55000000000000004">
      <c r="A3162" t="s">
        <v>3243</v>
      </c>
      <c r="B3162" t="s">
        <v>142</v>
      </c>
      <c r="C3162" s="2">
        <v>44560</v>
      </c>
      <c r="D3162" t="s">
        <v>29</v>
      </c>
      <c r="E3162">
        <v>2042</v>
      </c>
    </row>
    <row r="3163" spans="1:5" x14ac:dyDescent="0.55000000000000004">
      <c r="A3163" t="s">
        <v>3244</v>
      </c>
      <c r="B3163" t="s">
        <v>142</v>
      </c>
      <c r="C3163" s="2">
        <v>43479</v>
      </c>
      <c r="D3163" t="s">
        <v>29</v>
      </c>
      <c r="E3163">
        <v>488</v>
      </c>
    </row>
    <row r="3164" spans="1:5" x14ac:dyDescent="0.55000000000000004">
      <c r="A3164" t="s">
        <v>3245</v>
      </c>
      <c r="B3164" t="s">
        <v>115</v>
      </c>
      <c r="C3164" s="2">
        <v>43844</v>
      </c>
      <c r="D3164" t="s">
        <v>26</v>
      </c>
      <c r="E3164">
        <v>2463</v>
      </c>
    </row>
    <row r="3165" spans="1:5" x14ac:dyDescent="0.55000000000000004">
      <c r="A3165" t="s">
        <v>3246</v>
      </c>
      <c r="B3165" t="s">
        <v>111</v>
      </c>
      <c r="C3165" s="2">
        <v>44127</v>
      </c>
      <c r="D3165" t="s">
        <v>29</v>
      </c>
      <c r="E3165">
        <v>968</v>
      </c>
    </row>
    <row r="3166" spans="1:5" x14ac:dyDescent="0.55000000000000004">
      <c r="A3166" t="s">
        <v>3247</v>
      </c>
      <c r="B3166" t="s">
        <v>23</v>
      </c>
      <c r="C3166" s="2">
        <v>43874</v>
      </c>
      <c r="D3166" t="s">
        <v>29</v>
      </c>
      <c r="E3166">
        <v>73</v>
      </c>
    </row>
    <row r="3167" spans="1:5" x14ac:dyDescent="0.55000000000000004">
      <c r="A3167" t="s">
        <v>3248</v>
      </c>
      <c r="B3167" t="s">
        <v>35</v>
      </c>
      <c r="C3167" s="2">
        <v>43840</v>
      </c>
      <c r="D3167" t="s">
        <v>29</v>
      </c>
      <c r="E3167">
        <v>1164</v>
      </c>
    </row>
    <row r="3168" spans="1:5" x14ac:dyDescent="0.55000000000000004">
      <c r="A3168" t="s">
        <v>3249</v>
      </c>
      <c r="B3168" t="s">
        <v>72</v>
      </c>
      <c r="C3168" s="2">
        <v>43741</v>
      </c>
      <c r="D3168" t="s">
        <v>26</v>
      </c>
      <c r="E3168">
        <v>2185</v>
      </c>
    </row>
    <row r="3169" spans="1:5" x14ac:dyDescent="0.55000000000000004">
      <c r="A3169" t="s">
        <v>3250</v>
      </c>
      <c r="B3169" t="s">
        <v>67</v>
      </c>
      <c r="C3169" s="2">
        <v>43626</v>
      </c>
      <c r="D3169" t="s">
        <v>29</v>
      </c>
      <c r="E3169">
        <v>2641</v>
      </c>
    </row>
    <row r="3170" spans="1:5" x14ac:dyDescent="0.55000000000000004">
      <c r="A3170" t="s">
        <v>3251</v>
      </c>
      <c r="B3170" t="s">
        <v>14</v>
      </c>
      <c r="C3170" s="2">
        <v>43059</v>
      </c>
      <c r="D3170" t="s">
        <v>29</v>
      </c>
      <c r="E3170">
        <v>389</v>
      </c>
    </row>
    <row r="3171" spans="1:5" x14ac:dyDescent="0.55000000000000004">
      <c r="A3171" t="s">
        <v>3252</v>
      </c>
      <c r="B3171" t="s">
        <v>175</v>
      </c>
      <c r="C3171" s="2">
        <v>45166</v>
      </c>
      <c r="D3171" t="s">
        <v>29</v>
      </c>
      <c r="E3171">
        <v>1125</v>
      </c>
    </row>
    <row r="3172" spans="1:5" x14ac:dyDescent="0.55000000000000004">
      <c r="A3172" t="s">
        <v>3253</v>
      </c>
      <c r="B3172" t="s">
        <v>111</v>
      </c>
      <c r="C3172" s="2">
        <v>44460</v>
      </c>
      <c r="D3172" t="s">
        <v>29</v>
      </c>
      <c r="E3172">
        <v>1639</v>
      </c>
    </row>
    <row r="3173" spans="1:5" x14ac:dyDescent="0.55000000000000004">
      <c r="A3173" t="s">
        <v>3254</v>
      </c>
      <c r="B3173" t="s">
        <v>74</v>
      </c>
      <c r="C3173" s="2">
        <v>44056</v>
      </c>
      <c r="D3173" t="s">
        <v>29</v>
      </c>
      <c r="E3173">
        <v>2022</v>
      </c>
    </row>
    <row r="3174" spans="1:5" x14ac:dyDescent="0.55000000000000004">
      <c r="A3174" t="s">
        <v>3255</v>
      </c>
      <c r="B3174" t="s">
        <v>32</v>
      </c>
      <c r="C3174" s="2">
        <v>43927</v>
      </c>
      <c r="D3174" t="s">
        <v>29</v>
      </c>
      <c r="E3174">
        <v>1222</v>
      </c>
    </row>
    <row r="3175" spans="1:5" x14ac:dyDescent="0.55000000000000004">
      <c r="A3175" t="s">
        <v>3256</v>
      </c>
      <c r="B3175" t="s">
        <v>41</v>
      </c>
      <c r="C3175" s="2">
        <v>44761</v>
      </c>
      <c r="D3175" t="s">
        <v>29</v>
      </c>
      <c r="E3175">
        <v>2625</v>
      </c>
    </row>
    <row r="3176" spans="1:5" x14ac:dyDescent="0.55000000000000004">
      <c r="A3176" t="s">
        <v>3257</v>
      </c>
      <c r="B3176" t="s">
        <v>115</v>
      </c>
      <c r="C3176" s="2">
        <v>43682</v>
      </c>
      <c r="D3176" t="s">
        <v>26</v>
      </c>
      <c r="E3176">
        <v>119</v>
      </c>
    </row>
    <row r="3177" spans="1:5" x14ac:dyDescent="0.55000000000000004">
      <c r="A3177" t="s">
        <v>3258</v>
      </c>
      <c r="B3177" t="s">
        <v>63</v>
      </c>
      <c r="C3177" s="2">
        <v>43014</v>
      </c>
      <c r="D3177" t="s">
        <v>26</v>
      </c>
      <c r="E3177">
        <v>568</v>
      </c>
    </row>
    <row r="3178" spans="1:5" x14ac:dyDescent="0.55000000000000004">
      <c r="A3178" t="s">
        <v>3259</v>
      </c>
      <c r="B3178" t="s">
        <v>115</v>
      </c>
      <c r="C3178" s="2">
        <v>43578</v>
      </c>
      <c r="D3178" t="s">
        <v>29</v>
      </c>
      <c r="E3178">
        <v>927</v>
      </c>
    </row>
    <row r="3179" spans="1:5" x14ac:dyDescent="0.55000000000000004">
      <c r="A3179" t="s">
        <v>3260</v>
      </c>
      <c r="B3179" t="s">
        <v>105</v>
      </c>
      <c r="C3179" s="2">
        <v>43097</v>
      </c>
      <c r="D3179" t="s">
        <v>26</v>
      </c>
      <c r="E3179">
        <v>2965</v>
      </c>
    </row>
    <row r="3180" spans="1:5" x14ac:dyDescent="0.55000000000000004">
      <c r="A3180" t="s">
        <v>3261</v>
      </c>
      <c r="B3180" t="s">
        <v>94</v>
      </c>
      <c r="C3180" s="2">
        <v>44976</v>
      </c>
      <c r="D3180" t="s">
        <v>26</v>
      </c>
      <c r="E3180">
        <v>2819</v>
      </c>
    </row>
    <row r="3181" spans="1:5" x14ac:dyDescent="0.55000000000000004">
      <c r="A3181" t="s">
        <v>3262</v>
      </c>
      <c r="B3181" t="s">
        <v>76</v>
      </c>
      <c r="C3181" s="2">
        <v>43681</v>
      </c>
      <c r="D3181" t="s">
        <v>29</v>
      </c>
      <c r="E3181">
        <v>176</v>
      </c>
    </row>
    <row r="3182" spans="1:5" x14ac:dyDescent="0.55000000000000004">
      <c r="A3182" t="s">
        <v>3263</v>
      </c>
      <c r="B3182" t="s">
        <v>115</v>
      </c>
      <c r="C3182" s="2">
        <v>43015</v>
      </c>
      <c r="D3182" t="s">
        <v>29</v>
      </c>
      <c r="E3182">
        <v>307</v>
      </c>
    </row>
    <row r="3183" spans="1:5" x14ac:dyDescent="0.55000000000000004">
      <c r="A3183" t="s">
        <v>3264</v>
      </c>
      <c r="B3183" t="s">
        <v>84</v>
      </c>
      <c r="C3183" s="2">
        <v>43591</v>
      </c>
      <c r="D3183" t="s">
        <v>29</v>
      </c>
      <c r="E3183">
        <v>1105</v>
      </c>
    </row>
    <row r="3184" spans="1:5" x14ac:dyDescent="0.55000000000000004">
      <c r="A3184" t="s">
        <v>3265</v>
      </c>
      <c r="B3184" t="s">
        <v>41</v>
      </c>
      <c r="C3184" s="2">
        <v>44179</v>
      </c>
      <c r="D3184" t="s">
        <v>26</v>
      </c>
      <c r="E3184">
        <v>2389</v>
      </c>
    </row>
    <row r="3185" spans="1:5" x14ac:dyDescent="0.55000000000000004">
      <c r="A3185" t="s">
        <v>3266</v>
      </c>
      <c r="B3185" t="s">
        <v>15</v>
      </c>
      <c r="C3185" s="2">
        <v>43162</v>
      </c>
      <c r="D3185" t="s">
        <v>26</v>
      </c>
      <c r="E3185">
        <v>1307</v>
      </c>
    </row>
    <row r="3186" spans="1:5" x14ac:dyDescent="0.55000000000000004">
      <c r="A3186" t="s">
        <v>3267</v>
      </c>
      <c r="B3186" t="s">
        <v>76</v>
      </c>
      <c r="C3186" s="2">
        <v>44072</v>
      </c>
      <c r="D3186" t="s">
        <v>29</v>
      </c>
      <c r="E3186">
        <v>2608</v>
      </c>
    </row>
    <row r="3187" spans="1:5" x14ac:dyDescent="0.55000000000000004">
      <c r="A3187" t="s">
        <v>3268</v>
      </c>
      <c r="B3187" t="s">
        <v>15</v>
      </c>
      <c r="C3187" s="2">
        <v>44285</v>
      </c>
      <c r="D3187" t="s">
        <v>26</v>
      </c>
      <c r="E3187">
        <v>2137</v>
      </c>
    </row>
    <row r="3188" spans="1:5" x14ac:dyDescent="0.55000000000000004">
      <c r="A3188" t="s">
        <v>3269</v>
      </c>
      <c r="B3188" t="s">
        <v>67</v>
      </c>
      <c r="C3188" s="2">
        <v>44451</v>
      </c>
      <c r="D3188" t="s">
        <v>29</v>
      </c>
      <c r="E3188">
        <v>2708</v>
      </c>
    </row>
    <row r="3189" spans="1:5" x14ac:dyDescent="0.55000000000000004">
      <c r="A3189" t="s">
        <v>3270</v>
      </c>
      <c r="B3189" t="s">
        <v>96</v>
      </c>
      <c r="C3189" s="2">
        <v>44615</v>
      </c>
      <c r="D3189" t="s">
        <v>29</v>
      </c>
      <c r="E3189">
        <v>2993</v>
      </c>
    </row>
    <row r="3190" spans="1:5" x14ac:dyDescent="0.55000000000000004">
      <c r="A3190" t="s">
        <v>3271</v>
      </c>
      <c r="B3190" t="s">
        <v>96</v>
      </c>
      <c r="C3190" s="2">
        <v>44391</v>
      </c>
      <c r="D3190" t="s">
        <v>26</v>
      </c>
      <c r="E3190">
        <v>1080</v>
      </c>
    </row>
    <row r="3191" spans="1:5" x14ac:dyDescent="0.55000000000000004">
      <c r="A3191" t="s">
        <v>3272</v>
      </c>
      <c r="B3191" t="s">
        <v>118</v>
      </c>
      <c r="C3191" s="2">
        <v>44679</v>
      </c>
      <c r="D3191" t="s">
        <v>26</v>
      </c>
      <c r="E3191">
        <v>1445</v>
      </c>
    </row>
    <row r="3192" spans="1:5" x14ac:dyDescent="0.55000000000000004">
      <c r="A3192" t="s">
        <v>3273</v>
      </c>
      <c r="B3192" t="s">
        <v>99</v>
      </c>
      <c r="C3192" s="2">
        <v>44458</v>
      </c>
      <c r="D3192" t="s">
        <v>26</v>
      </c>
      <c r="E3192">
        <v>2846</v>
      </c>
    </row>
    <row r="3193" spans="1:5" x14ac:dyDescent="0.55000000000000004">
      <c r="A3193" t="s">
        <v>3274</v>
      </c>
      <c r="B3193" t="s">
        <v>74</v>
      </c>
      <c r="C3193" s="2">
        <v>43070</v>
      </c>
      <c r="D3193" t="s">
        <v>29</v>
      </c>
      <c r="E3193">
        <v>246</v>
      </c>
    </row>
    <row r="3194" spans="1:5" x14ac:dyDescent="0.55000000000000004">
      <c r="A3194" t="s">
        <v>3275</v>
      </c>
      <c r="B3194" t="s">
        <v>151</v>
      </c>
      <c r="C3194" s="2">
        <v>42943</v>
      </c>
      <c r="D3194" t="s">
        <v>26</v>
      </c>
      <c r="E3194">
        <v>1917</v>
      </c>
    </row>
    <row r="3195" spans="1:5" x14ac:dyDescent="0.55000000000000004">
      <c r="A3195" t="s">
        <v>3276</v>
      </c>
      <c r="B3195" t="s">
        <v>175</v>
      </c>
      <c r="C3195" s="2">
        <v>45043</v>
      </c>
      <c r="D3195" t="s">
        <v>26</v>
      </c>
      <c r="E3195">
        <v>1997</v>
      </c>
    </row>
    <row r="3196" spans="1:5" x14ac:dyDescent="0.55000000000000004">
      <c r="A3196" t="s">
        <v>3277</v>
      </c>
      <c r="B3196" t="s">
        <v>115</v>
      </c>
      <c r="C3196" s="2">
        <v>43614</v>
      </c>
      <c r="D3196" t="s">
        <v>26</v>
      </c>
      <c r="E3196">
        <v>2418</v>
      </c>
    </row>
    <row r="3197" spans="1:5" x14ac:dyDescent="0.55000000000000004">
      <c r="A3197" t="s">
        <v>3278</v>
      </c>
      <c r="B3197" t="s">
        <v>118</v>
      </c>
      <c r="C3197" s="2">
        <v>45627</v>
      </c>
      <c r="D3197" t="s">
        <v>29</v>
      </c>
      <c r="E3197">
        <v>1277</v>
      </c>
    </row>
    <row r="3198" spans="1:5" x14ac:dyDescent="0.55000000000000004">
      <c r="A3198" t="s">
        <v>3279</v>
      </c>
      <c r="B3198" t="s">
        <v>41</v>
      </c>
      <c r="C3198" s="2">
        <v>44760</v>
      </c>
      <c r="D3198" t="s">
        <v>26</v>
      </c>
      <c r="E3198">
        <v>2066</v>
      </c>
    </row>
    <row r="3199" spans="1:5" x14ac:dyDescent="0.55000000000000004">
      <c r="A3199" t="s">
        <v>3280</v>
      </c>
      <c r="B3199" t="s">
        <v>115</v>
      </c>
      <c r="C3199" s="2">
        <v>43183</v>
      </c>
      <c r="D3199" t="s">
        <v>26</v>
      </c>
      <c r="E3199">
        <v>1489</v>
      </c>
    </row>
    <row r="3200" spans="1:5" x14ac:dyDescent="0.55000000000000004">
      <c r="A3200" t="s">
        <v>3281</v>
      </c>
      <c r="B3200" t="s">
        <v>101</v>
      </c>
      <c r="C3200" s="2">
        <v>43843</v>
      </c>
      <c r="D3200" t="s">
        <v>26</v>
      </c>
      <c r="E3200">
        <v>1639</v>
      </c>
    </row>
    <row r="3201" spans="1:5" x14ac:dyDescent="0.55000000000000004">
      <c r="A3201" t="s">
        <v>3282</v>
      </c>
      <c r="B3201" t="s">
        <v>151</v>
      </c>
      <c r="C3201" s="2">
        <v>43057</v>
      </c>
      <c r="D3201" t="s">
        <v>29</v>
      </c>
      <c r="E3201">
        <v>1732</v>
      </c>
    </row>
    <row r="3202" spans="1:5" x14ac:dyDescent="0.55000000000000004">
      <c r="A3202" t="s">
        <v>3283</v>
      </c>
      <c r="B3202" t="s">
        <v>105</v>
      </c>
      <c r="C3202" s="2">
        <v>44322</v>
      </c>
      <c r="D3202" t="s">
        <v>29</v>
      </c>
      <c r="E3202">
        <v>2364</v>
      </c>
    </row>
    <row r="3203" spans="1:5" x14ac:dyDescent="0.55000000000000004">
      <c r="A3203" t="s">
        <v>3284</v>
      </c>
      <c r="B3203" t="s">
        <v>35</v>
      </c>
      <c r="C3203" s="2">
        <v>44040</v>
      </c>
      <c r="D3203" t="s">
        <v>26</v>
      </c>
      <c r="E3203">
        <v>1888</v>
      </c>
    </row>
    <row r="3204" spans="1:5" x14ac:dyDescent="0.55000000000000004">
      <c r="A3204" t="s">
        <v>3285</v>
      </c>
      <c r="B3204" t="s">
        <v>94</v>
      </c>
      <c r="C3204" s="2">
        <v>43904</v>
      </c>
      <c r="D3204" t="s">
        <v>26</v>
      </c>
      <c r="E3204">
        <v>985</v>
      </c>
    </row>
    <row r="3205" spans="1:5" x14ac:dyDescent="0.55000000000000004">
      <c r="A3205" t="s">
        <v>3286</v>
      </c>
      <c r="B3205" t="s">
        <v>14</v>
      </c>
      <c r="C3205" s="2">
        <v>43860</v>
      </c>
      <c r="D3205" t="s">
        <v>26</v>
      </c>
      <c r="E3205">
        <v>1092</v>
      </c>
    </row>
    <row r="3206" spans="1:5" x14ac:dyDescent="0.55000000000000004">
      <c r="A3206" t="s">
        <v>3287</v>
      </c>
      <c r="B3206" t="s">
        <v>14</v>
      </c>
      <c r="C3206" s="2">
        <v>43892</v>
      </c>
      <c r="D3206" t="s">
        <v>29</v>
      </c>
      <c r="E3206">
        <v>1441</v>
      </c>
    </row>
    <row r="3207" spans="1:5" x14ac:dyDescent="0.55000000000000004">
      <c r="A3207" t="s">
        <v>3288</v>
      </c>
      <c r="B3207" t="s">
        <v>84</v>
      </c>
      <c r="C3207" s="2">
        <v>43159</v>
      </c>
      <c r="D3207" t="s">
        <v>26</v>
      </c>
      <c r="E3207">
        <v>1451</v>
      </c>
    </row>
    <row r="3208" spans="1:5" x14ac:dyDescent="0.55000000000000004">
      <c r="A3208" t="s">
        <v>3289</v>
      </c>
      <c r="B3208" t="s">
        <v>140</v>
      </c>
      <c r="C3208" s="2">
        <v>43351</v>
      </c>
      <c r="D3208" t="s">
        <v>26</v>
      </c>
      <c r="E3208">
        <v>1625</v>
      </c>
    </row>
    <row r="3209" spans="1:5" x14ac:dyDescent="0.55000000000000004">
      <c r="A3209" t="s">
        <v>3290</v>
      </c>
      <c r="B3209" t="s">
        <v>67</v>
      </c>
      <c r="C3209" s="2">
        <v>45230</v>
      </c>
      <c r="D3209" t="s">
        <v>29</v>
      </c>
      <c r="E3209">
        <v>217</v>
      </c>
    </row>
    <row r="3210" spans="1:5" x14ac:dyDescent="0.55000000000000004">
      <c r="A3210" t="s">
        <v>3291</v>
      </c>
      <c r="B3210" t="s">
        <v>15</v>
      </c>
      <c r="C3210" s="2">
        <v>43475</v>
      </c>
      <c r="D3210" t="s">
        <v>29</v>
      </c>
      <c r="E3210">
        <v>400</v>
      </c>
    </row>
    <row r="3211" spans="1:5" x14ac:dyDescent="0.55000000000000004">
      <c r="A3211" t="s">
        <v>3292</v>
      </c>
      <c r="B3211" t="s">
        <v>142</v>
      </c>
      <c r="C3211" s="2">
        <v>44245</v>
      </c>
      <c r="D3211" t="s">
        <v>29</v>
      </c>
      <c r="E3211">
        <v>2998</v>
      </c>
    </row>
    <row r="3212" spans="1:5" x14ac:dyDescent="0.55000000000000004">
      <c r="A3212" t="s">
        <v>3293</v>
      </c>
      <c r="B3212" t="s">
        <v>140</v>
      </c>
      <c r="C3212" s="2">
        <v>43314</v>
      </c>
      <c r="D3212" t="s">
        <v>29</v>
      </c>
      <c r="E3212">
        <v>775</v>
      </c>
    </row>
    <row r="3213" spans="1:5" x14ac:dyDescent="0.55000000000000004">
      <c r="A3213" t="s">
        <v>3294</v>
      </c>
      <c r="B3213" t="s">
        <v>101</v>
      </c>
      <c r="C3213" s="2">
        <v>43278</v>
      </c>
      <c r="D3213" t="s">
        <v>29</v>
      </c>
      <c r="E3213">
        <v>2169</v>
      </c>
    </row>
    <row r="3214" spans="1:5" x14ac:dyDescent="0.55000000000000004">
      <c r="A3214" t="s">
        <v>3295</v>
      </c>
      <c r="B3214" t="s">
        <v>32</v>
      </c>
      <c r="C3214" s="2">
        <v>44841</v>
      </c>
      <c r="D3214" t="s">
        <v>29</v>
      </c>
      <c r="E3214">
        <v>447</v>
      </c>
    </row>
    <row r="3215" spans="1:5" x14ac:dyDescent="0.55000000000000004">
      <c r="A3215" t="s">
        <v>3296</v>
      </c>
      <c r="B3215" t="s">
        <v>38</v>
      </c>
      <c r="C3215" s="2">
        <v>43933</v>
      </c>
      <c r="D3215" t="s">
        <v>26</v>
      </c>
      <c r="E3215">
        <v>454</v>
      </c>
    </row>
    <row r="3216" spans="1:5" x14ac:dyDescent="0.55000000000000004">
      <c r="A3216" t="s">
        <v>3297</v>
      </c>
      <c r="B3216" t="s">
        <v>63</v>
      </c>
      <c r="C3216" s="2">
        <v>43152</v>
      </c>
      <c r="D3216" t="s">
        <v>26</v>
      </c>
      <c r="E3216">
        <v>146</v>
      </c>
    </row>
    <row r="3217" spans="1:5" x14ac:dyDescent="0.55000000000000004">
      <c r="A3217" t="s">
        <v>3298</v>
      </c>
      <c r="B3217" t="s">
        <v>23</v>
      </c>
      <c r="C3217" s="2">
        <v>44376</v>
      </c>
      <c r="D3217" t="s">
        <v>26</v>
      </c>
      <c r="E3217">
        <v>269</v>
      </c>
    </row>
    <row r="3218" spans="1:5" x14ac:dyDescent="0.55000000000000004">
      <c r="A3218" t="s">
        <v>3299</v>
      </c>
      <c r="B3218" t="s">
        <v>99</v>
      </c>
      <c r="C3218" s="2">
        <v>43879</v>
      </c>
      <c r="D3218" t="s">
        <v>29</v>
      </c>
      <c r="E3218">
        <v>927</v>
      </c>
    </row>
    <row r="3219" spans="1:5" x14ac:dyDescent="0.55000000000000004">
      <c r="A3219" t="s">
        <v>3300</v>
      </c>
      <c r="B3219" t="s">
        <v>94</v>
      </c>
      <c r="C3219" s="2">
        <v>45123</v>
      </c>
      <c r="D3219" t="s">
        <v>29</v>
      </c>
      <c r="E3219">
        <v>1609</v>
      </c>
    </row>
    <row r="3220" spans="1:5" x14ac:dyDescent="0.55000000000000004">
      <c r="A3220" t="s">
        <v>3301</v>
      </c>
      <c r="B3220" t="s">
        <v>115</v>
      </c>
      <c r="C3220" s="2">
        <v>43367</v>
      </c>
      <c r="D3220" t="s">
        <v>29</v>
      </c>
      <c r="E3220">
        <v>2028</v>
      </c>
    </row>
    <row r="3221" spans="1:5" x14ac:dyDescent="0.55000000000000004">
      <c r="A3221" t="s">
        <v>3302</v>
      </c>
      <c r="B3221" t="s">
        <v>151</v>
      </c>
      <c r="C3221" s="2">
        <v>43267</v>
      </c>
      <c r="D3221" t="s">
        <v>26</v>
      </c>
      <c r="E3221">
        <v>1423</v>
      </c>
    </row>
    <row r="3222" spans="1:5" x14ac:dyDescent="0.55000000000000004">
      <c r="A3222" t="s">
        <v>3303</v>
      </c>
      <c r="B3222" t="s">
        <v>35</v>
      </c>
      <c r="C3222" s="2">
        <v>44420</v>
      </c>
      <c r="D3222" t="s">
        <v>29</v>
      </c>
      <c r="E3222">
        <v>12</v>
      </c>
    </row>
    <row r="3223" spans="1:5" x14ac:dyDescent="0.55000000000000004">
      <c r="A3223" t="s">
        <v>3304</v>
      </c>
      <c r="B3223" t="s">
        <v>115</v>
      </c>
      <c r="C3223" s="2">
        <v>43296</v>
      </c>
      <c r="D3223" t="s">
        <v>29</v>
      </c>
      <c r="E3223">
        <v>1250</v>
      </c>
    </row>
    <row r="3224" spans="1:5" x14ac:dyDescent="0.55000000000000004">
      <c r="A3224" t="s">
        <v>3305</v>
      </c>
      <c r="B3224" t="s">
        <v>76</v>
      </c>
      <c r="C3224" s="2">
        <v>44443</v>
      </c>
      <c r="D3224" t="s">
        <v>26</v>
      </c>
      <c r="E3224">
        <v>1290</v>
      </c>
    </row>
    <row r="3225" spans="1:5" x14ac:dyDescent="0.55000000000000004">
      <c r="A3225" t="s">
        <v>3306</v>
      </c>
      <c r="B3225" t="s">
        <v>38</v>
      </c>
      <c r="C3225" s="2">
        <v>43973</v>
      </c>
      <c r="D3225" t="s">
        <v>26</v>
      </c>
      <c r="E3225">
        <v>767</v>
      </c>
    </row>
    <row r="3226" spans="1:5" x14ac:dyDescent="0.55000000000000004">
      <c r="A3226" t="s">
        <v>3307</v>
      </c>
      <c r="B3226" t="s">
        <v>111</v>
      </c>
      <c r="C3226" s="2">
        <v>43849</v>
      </c>
      <c r="D3226" t="s">
        <v>26</v>
      </c>
      <c r="E3226">
        <v>52</v>
      </c>
    </row>
    <row r="3227" spans="1:5" x14ac:dyDescent="0.55000000000000004">
      <c r="A3227" t="s">
        <v>3308</v>
      </c>
      <c r="B3227" t="s">
        <v>38</v>
      </c>
      <c r="C3227" s="2">
        <v>44802</v>
      </c>
      <c r="D3227" t="s">
        <v>29</v>
      </c>
      <c r="E3227">
        <v>1368</v>
      </c>
    </row>
    <row r="3228" spans="1:5" x14ac:dyDescent="0.55000000000000004">
      <c r="A3228" t="s">
        <v>3309</v>
      </c>
      <c r="B3228" t="s">
        <v>14</v>
      </c>
      <c r="C3228" s="2">
        <v>43280</v>
      </c>
      <c r="D3228" t="s">
        <v>29</v>
      </c>
      <c r="E3228">
        <v>315</v>
      </c>
    </row>
    <row r="3229" spans="1:5" x14ac:dyDescent="0.55000000000000004">
      <c r="A3229" t="s">
        <v>3310</v>
      </c>
      <c r="B3229" t="s">
        <v>105</v>
      </c>
      <c r="C3229" s="2">
        <v>44308</v>
      </c>
      <c r="D3229" t="s">
        <v>26</v>
      </c>
      <c r="E3229">
        <v>2433</v>
      </c>
    </row>
    <row r="3230" spans="1:5" x14ac:dyDescent="0.55000000000000004">
      <c r="A3230" t="s">
        <v>3311</v>
      </c>
      <c r="B3230" t="s">
        <v>86</v>
      </c>
      <c r="C3230" s="2">
        <v>43887</v>
      </c>
      <c r="D3230" t="s">
        <v>26</v>
      </c>
      <c r="E3230">
        <v>2000</v>
      </c>
    </row>
    <row r="3231" spans="1:5" x14ac:dyDescent="0.55000000000000004">
      <c r="A3231" t="s">
        <v>3312</v>
      </c>
      <c r="B3231" t="s">
        <v>76</v>
      </c>
      <c r="C3231" s="2">
        <v>44479</v>
      </c>
      <c r="D3231" t="s">
        <v>29</v>
      </c>
      <c r="E3231">
        <v>448</v>
      </c>
    </row>
    <row r="3232" spans="1:5" x14ac:dyDescent="0.55000000000000004">
      <c r="A3232" t="s">
        <v>3313</v>
      </c>
      <c r="B3232" t="s">
        <v>142</v>
      </c>
      <c r="C3232" s="2">
        <v>42952</v>
      </c>
      <c r="D3232" t="s">
        <v>29</v>
      </c>
      <c r="E3232">
        <v>935</v>
      </c>
    </row>
    <row r="3233" spans="1:5" x14ac:dyDescent="0.55000000000000004">
      <c r="A3233" t="s">
        <v>3314</v>
      </c>
      <c r="B3233" t="s">
        <v>67</v>
      </c>
      <c r="C3233" s="2">
        <v>45526</v>
      </c>
      <c r="D3233" t="s">
        <v>26</v>
      </c>
      <c r="E3233">
        <v>600</v>
      </c>
    </row>
    <row r="3234" spans="1:5" x14ac:dyDescent="0.55000000000000004">
      <c r="A3234" t="s">
        <v>3315</v>
      </c>
      <c r="B3234" t="s">
        <v>118</v>
      </c>
      <c r="C3234" s="2">
        <v>43850</v>
      </c>
      <c r="D3234" t="s">
        <v>26</v>
      </c>
      <c r="E3234">
        <v>1247</v>
      </c>
    </row>
    <row r="3235" spans="1:5" x14ac:dyDescent="0.55000000000000004">
      <c r="A3235" t="s">
        <v>3316</v>
      </c>
      <c r="B3235" t="s">
        <v>137</v>
      </c>
      <c r="C3235" s="2">
        <v>44840</v>
      </c>
      <c r="D3235" t="s">
        <v>29</v>
      </c>
      <c r="E3235">
        <v>2009</v>
      </c>
    </row>
    <row r="3236" spans="1:5" x14ac:dyDescent="0.55000000000000004">
      <c r="A3236" t="s">
        <v>3317</v>
      </c>
      <c r="B3236" t="s">
        <v>78</v>
      </c>
      <c r="C3236" s="2">
        <v>44902</v>
      </c>
      <c r="D3236" t="s">
        <v>29</v>
      </c>
      <c r="E3236">
        <v>2717</v>
      </c>
    </row>
    <row r="3237" spans="1:5" x14ac:dyDescent="0.55000000000000004">
      <c r="A3237" t="s">
        <v>3318</v>
      </c>
      <c r="B3237" t="s">
        <v>96</v>
      </c>
      <c r="C3237" s="2">
        <v>44504</v>
      </c>
      <c r="D3237" t="s">
        <v>29</v>
      </c>
      <c r="E3237">
        <v>1879</v>
      </c>
    </row>
    <row r="3238" spans="1:5" x14ac:dyDescent="0.55000000000000004">
      <c r="A3238" t="s">
        <v>3319</v>
      </c>
      <c r="B3238" t="s">
        <v>14</v>
      </c>
      <c r="C3238" s="2">
        <v>43639</v>
      </c>
      <c r="D3238" t="s">
        <v>29</v>
      </c>
      <c r="E3238">
        <v>2908</v>
      </c>
    </row>
    <row r="3239" spans="1:5" x14ac:dyDescent="0.55000000000000004">
      <c r="A3239" t="s">
        <v>3320</v>
      </c>
      <c r="B3239" t="s">
        <v>111</v>
      </c>
      <c r="C3239" s="2">
        <v>43977</v>
      </c>
      <c r="D3239" t="s">
        <v>29</v>
      </c>
      <c r="E3239">
        <v>461</v>
      </c>
    </row>
    <row r="3240" spans="1:5" x14ac:dyDescent="0.55000000000000004">
      <c r="A3240" t="s">
        <v>3321</v>
      </c>
      <c r="B3240" t="s">
        <v>84</v>
      </c>
      <c r="C3240" s="2">
        <v>44321</v>
      </c>
      <c r="D3240" t="s">
        <v>26</v>
      </c>
      <c r="E3240">
        <v>605</v>
      </c>
    </row>
    <row r="3241" spans="1:5" x14ac:dyDescent="0.55000000000000004">
      <c r="A3241" t="s">
        <v>3322</v>
      </c>
      <c r="B3241" t="s">
        <v>140</v>
      </c>
      <c r="C3241" s="2">
        <v>43368</v>
      </c>
      <c r="D3241" t="s">
        <v>26</v>
      </c>
      <c r="E3241">
        <v>1463</v>
      </c>
    </row>
    <row r="3242" spans="1:5" x14ac:dyDescent="0.55000000000000004">
      <c r="A3242" t="s">
        <v>3323</v>
      </c>
      <c r="B3242" t="s">
        <v>96</v>
      </c>
      <c r="C3242" s="2">
        <v>43592</v>
      </c>
      <c r="D3242" t="s">
        <v>26</v>
      </c>
      <c r="E3242">
        <v>2365</v>
      </c>
    </row>
    <row r="3243" spans="1:5" x14ac:dyDescent="0.55000000000000004">
      <c r="A3243" t="s">
        <v>3324</v>
      </c>
      <c r="B3243" t="s">
        <v>78</v>
      </c>
      <c r="C3243" s="2">
        <v>45230</v>
      </c>
      <c r="D3243" t="s">
        <v>29</v>
      </c>
      <c r="E3243">
        <v>845</v>
      </c>
    </row>
    <row r="3244" spans="1:5" x14ac:dyDescent="0.55000000000000004">
      <c r="A3244" t="s">
        <v>3325</v>
      </c>
      <c r="B3244" t="s">
        <v>78</v>
      </c>
      <c r="C3244" s="2">
        <v>43831</v>
      </c>
      <c r="D3244" t="s">
        <v>26</v>
      </c>
      <c r="E3244">
        <v>1547</v>
      </c>
    </row>
    <row r="3245" spans="1:5" x14ac:dyDescent="0.55000000000000004">
      <c r="A3245" t="s">
        <v>3326</v>
      </c>
      <c r="B3245" t="s">
        <v>35</v>
      </c>
      <c r="C3245" s="2">
        <v>44052</v>
      </c>
      <c r="D3245" t="s">
        <v>29</v>
      </c>
      <c r="E3245">
        <v>2567</v>
      </c>
    </row>
    <row r="3246" spans="1:5" x14ac:dyDescent="0.55000000000000004">
      <c r="A3246" t="s">
        <v>3327</v>
      </c>
      <c r="B3246" t="s">
        <v>38</v>
      </c>
      <c r="C3246" s="2">
        <v>44751</v>
      </c>
      <c r="D3246" t="s">
        <v>26</v>
      </c>
      <c r="E3246">
        <v>1086</v>
      </c>
    </row>
    <row r="3247" spans="1:5" x14ac:dyDescent="0.55000000000000004">
      <c r="A3247" t="s">
        <v>3328</v>
      </c>
      <c r="B3247" t="s">
        <v>38</v>
      </c>
      <c r="C3247" s="2">
        <v>44545</v>
      </c>
      <c r="D3247" t="s">
        <v>29</v>
      </c>
      <c r="E3247">
        <v>1601</v>
      </c>
    </row>
    <row r="3248" spans="1:5" x14ac:dyDescent="0.55000000000000004">
      <c r="A3248" t="s">
        <v>3329</v>
      </c>
      <c r="B3248" t="s">
        <v>23</v>
      </c>
      <c r="C3248" s="2">
        <v>44685</v>
      </c>
      <c r="D3248" t="s">
        <v>29</v>
      </c>
      <c r="E3248">
        <v>1266</v>
      </c>
    </row>
    <row r="3249" spans="1:5" x14ac:dyDescent="0.55000000000000004">
      <c r="A3249" t="s">
        <v>3330</v>
      </c>
      <c r="B3249" t="s">
        <v>151</v>
      </c>
      <c r="C3249" s="2">
        <v>43001</v>
      </c>
      <c r="D3249" t="s">
        <v>29</v>
      </c>
      <c r="E3249">
        <v>2508</v>
      </c>
    </row>
    <row r="3250" spans="1:5" x14ac:dyDescent="0.55000000000000004">
      <c r="A3250" t="s">
        <v>3331</v>
      </c>
      <c r="B3250" t="s">
        <v>115</v>
      </c>
      <c r="C3250" s="2">
        <v>43804</v>
      </c>
      <c r="D3250" t="s">
        <v>29</v>
      </c>
      <c r="E3250">
        <v>2321</v>
      </c>
    </row>
    <row r="3251" spans="1:5" x14ac:dyDescent="0.55000000000000004">
      <c r="A3251" t="s">
        <v>3332</v>
      </c>
      <c r="B3251" t="s">
        <v>137</v>
      </c>
      <c r="C3251" s="2">
        <v>44887</v>
      </c>
      <c r="D3251" t="s">
        <v>29</v>
      </c>
      <c r="E3251">
        <v>451</v>
      </c>
    </row>
    <row r="3252" spans="1:5" x14ac:dyDescent="0.55000000000000004">
      <c r="A3252" t="s">
        <v>3333</v>
      </c>
      <c r="B3252" t="s">
        <v>14</v>
      </c>
      <c r="C3252" s="2">
        <v>43938</v>
      </c>
      <c r="D3252" t="s">
        <v>26</v>
      </c>
      <c r="E3252">
        <v>1910</v>
      </c>
    </row>
    <row r="3253" spans="1:5" x14ac:dyDescent="0.55000000000000004">
      <c r="A3253" t="s">
        <v>3334</v>
      </c>
      <c r="B3253" t="s">
        <v>38</v>
      </c>
      <c r="C3253" s="2">
        <v>44138</v>
      </c>
      <c r="D3253" t="s">
        <v>29</v>
      </c>
      <c r="E3253">
        <v>2555</v>
      </c>
    </row>
    <row r="3254" spans="1:5" x14ac:dyDescent="0.55000000000000004">
      <c r="A3254" t="s">
        <v>3335</v>
      </c>
      <c r="B3254" t="s">
        <v>99</v>
      </c>
      <c r="C3254" s="2">
        <v>44132</v>
      </c>
      <c r="D3254" t="s">
        <v>29</v>
      </c>
      <c r="E3254">
        <v>1994</v>
      </c>
    </row>
    <row r="3255" spans="1:5" x14ac:dyDescent="0.55000000000000004">
      <c r="A3255" t="s">
        <v>3336</v>
      </c>
      <c r="B3255" t="s">
        <v>156</v>
      </c>
      <c r="C3255" s="2">
        <v>43049</v>
      </c>
      <c r="D3255" t="s">
        <v>29</v>
      </c>
      <c r="E3255">
        <v>63</v>
      </c>
    </row>
    <row r="3256" spans="1:5" x14ac:dyDescent="0.55000000000000004">
      <c r="A3256" t="s">
        <v>3337</v>
      </c>
      <c r="B3256" t="s">
        <v>15</v>
      </c>
      <c r="C3256" s="2">
        <v>43000</v>
      </c>
      <c r="D3256" t="s">
        <v>26</v>
      </c>
      <c r="E3256">
        <v>1159</v>
      </c>
    </row>
    <row r="3257" spans="1:5" x14ac:dyDescent="0.55000000000000004">
      <c r="A3257" t="s">
        <v>3338</v>
      </c>
      <c r="B3257" t="s">
        <v>175</v>
      </c>
      <c r="C3257" s="2">
        <v>43971</v>
      </c>
      <c r="D3257" t="s">
        <v>26</v>
      </c>
      <c r="E3257">
        <v>2000</v>
      </c>
    </row>
    <row r="3258" spans="1:5" x14ac:dyDescent="0.55000000000000004">
      <c r="A3258" t="s">
        <v>3339</v>
      </c>
      <c r="B3258" t="s">
        <v>156</v>
      </c>
      <c r="C3258" s="2">
        <v>42927</v>
      </c>
      <c r="D3258" t="s">
        <v>29</v>
      </c>
      <c r="E3258">
        <v>1442</v>
      </c>
    </row>
    <row r="3259" spans="1:5" x14ac:dyDescent="0.55000000000000004">
      <c r="A3259" t="s">
        <v>3340</v>
      </c>
      <c r="B3259" t="s">
        <v>38</v>
      </c>
      <c r="C3259" s="2">
        <v>43832</v>
      </c>
      <c r="D3259" t="s">
        <v>26</v>
      </c>
      <c r="E3259">
        <v>1029</v>
      </c>
    </row>
    <row r="3260" spans="1:5" x14ac:dyDescent="0.55000000000000004">
      <c r="A3260" t="s">
        <v>3341</v>
      </c>
      <c r="B3260" t="s">
        <v>72</v>
      </c>
      <c r="C3260" s="2">
        <v>43634</v>
      </c>
      <c r="D3260" t="s">
        <v>29</v>
      </c>
      <c r="E3260">
        <v>2056</v>
      </c>
    </row>
    <row r="3261" spans="1:5" x14ac:dyDescent="0.55000000000000004">
      <c r="A3261" t="s">
        <v>3342</v>
      </c>
      <c r="B3261" t="s">
        <v>38</v>
      </c>
      <c r="C3261" s="2">
        <v>44148</v>
      </c>
      <c r="D3261" t="s">
        <v>26</v>
      </c>
      <c r="E3261">
        <v>2921</v>
      </c>
    </row>
    <row r="3262" spans="1:5" x14ac:dyDescent="0.55000000000000004">
      <c r="A3262" t="s">
        <v>3343</v>
      </c>
      <c r="B3262" t="s">
        <v>84</v>
      </c>
      <c r="C3262" s="2">
        <v>43209</v>
      </c>
      <c r="D3262" t="s">
        <v>26</v>
      </c>
      <c r="E3262">
        <v>1769</v>
      </c>
    </row>
    <row r="3263" spans="1:5" x14ac:dyDescent="0.55000000000000004">
      <c r="A3263" t="s">
        <v>3344</v>
      </c>
      <c r="B3263" t="s">
        <v>23</v>
      </c>
      <c r="C3263" s="2">
        <v>43996</v>
      </c>
      <c r="D3263" t="s">
        <v>29</v>
      </c>
      <c r="E3263">
        <v>896</v>
      </c>
    </row>
    <row r="3264" spans="1:5" x14ac:dyDescent="0.55000000000000004">
      <c r="A3264" t="s">
        <v>3345</v>
      </c>
      <c r="B3264" t="s">
        <v>142</v>
      </c>
      <c r="C3264" s="2">
        <v>43886</v>
      </c>
      <c r="D3264" t="s">
        <v>29</v>
      </c>
      <c r="E3264">
        <v>1018</v>
      </c>
    </row>
    <row r="3265" spans="1:5" x14ac:dyDescent="0.55000000000000004">
      <c r="A3265" t="s">
        <v>3346</v>
      </c>
      <c r="B3265" t="s">
        <v>137</v>
      </c>
      <c r="C3265" s="2">
        <v>45048</v>
      </c>
      <c r="D3265" t="s">
        <v>29</v>
      </c>
      <c r="E3265">
        <v>1634</v>
      </c>
    </row>
    <row r="3266" spans="1:5" x14ac:dyDescent="0.55000000000000004">
      <c r="A3266" t="s">
        <v>3347</v>
      </c>
      <c r="B3266" t="s">
        <v>94</v>
      </c>
      <c r="C3266" s="2">
        <v>43867</v>
      </c>
      <c r="D3266" t="s">
        <v>29</v>
      </c>
      <c r="E3266">
        <v>1237</v>
      </c>
    </row>
    <row r="3267" spans="1:5" x14ac:dyDescent="0.55000000000000004">
      <c r="A3267" t="s">
        <v>3348</v>
      </c>
      <c r="B3267" t="s">
        <v>32</v>
      </c>
      <c r="C3267" s="2">
        <v>44467</v>
      </c>
      <c r="D3267" t="s">
        <v>26</v>
      </c>
      <c r="E3267">
        <v>2309</v>
      </c>
    </row>
    <row r="3268" spans="1:5" x14ac:dyDescent="0.55000000000000004">
      <c r="A3268" t="s">
        <v>3349</v>
      </c>
      <c r="B3268" t="s">
        <v>140</v>
      </c>
      <c r="C3268" s="2">
        <v>44307</v>
      </c>
      <c r="D3268" t="s">
        <v>29</v>
      </c>
      <c r="E3268">
        <v>2368</v>
      </c>
    </row>
    <row r="3269" spans="1:5" x14ac:dyDescent="0.55000000000000004">
      <c r="A3269" t="s">
        <v>3350</v>
      </c>
      <c r="B3269" t="s">
        <v>72</v>
      </c>
      <c r="C3269" s="2">
        <v>44316</v>
      </c>
      <c r="D3269" t="s">
        <v>26</v>
      </c>
      <c r="E3269">
        <v>1024</v>
      </c>
    </row>
    <row r="3270" spans="1:5" x14ac:dyDescent="0.55000000000000004">
      <c r="A3270" t="s">
        <v>3351</v>
      </c>
      <c r="B3270" t="s">
        <v>72</v>
      </c>
      <c r="C3270" s="2">
        <v>43769</v>
      </c>
      <c r="D3270" t="s">
        <v>26</v>
      </c>
      <c r="E3270">
        <v>1233</v>
      </c>
    </row>
    <row r="3271" spans="1:5" x14ac:dyDescent="0.55000000000000004">
      <c r="A3271" t="s">
        <v>3352</v>
      </c>
      <c r="B3271" t="s">
        <v>156</v>
      </c>
      <c r="C3271" s="2">
        <v>43092</v>
      </c>
      <c r="D3271" t="s">
        <v>29</v>
      </c>
      <c r="E3271">
        <v>2321</v>
      </c>
    </row>
    <row r="3272" spans="1:5" x14ac:dyDescent="0.55000000000000004">
      <c r="A3272" t="s">
        <v>3353</v>
      </c>
      <c r="B3272" t="s">
        <v>35</v>
      </c>
      <c r="C3272" s="2">
        <v>44775</v>
      </c>
      <c r="D3272" t="s">
        <v>26</v>
      </c>
      <c r="E3272">
        <v>1539</v>
      </c>
    </row>
    <row r="3273" spans="1:5" x14ac:dyDescent="0.55000000000000004">
      <c r="A3273" t="s">
        <v>3354</v>
      </c>
      <c r="B3273" t="s">
        <v>137</v>
      </c>
      <c r="C3273" s="2">
        <v>45255</v>
      </c>
      <c r="D3273" t="s">
        <v>26</v>
      </c>
      <c r="E3273">
        <v>567</v>
      </c>
    </row>
    <row r="3274" spans="1:5" x14ac:dyDescent="0.55000000000000004">
      <c r="A3274" t="s">
        <v>3355</v>
      </c>
      <c r="B3274" t="s">
        <v>67</v>
      </c>
      <c r="C3274" s="2">
        <v>45276</v>
      </c>
      <c r="D3274" t="s">
        <v>29</v>
      </c>
      <c r="E3274">
        <v>2063</v>
      </c>
    </row>
    <row r="3275" spans="1:5" x14ac:dyDescent="0.55000000000000004">
      <c r="A3275" t="s">
        <v>3356</v>
      </c>
      <c r="B3275" t="s">
        <v>38</v>
      </c>
      <c r="C3275" s="2">
        <v>44563</v>
      </c>
      <c r="D3275" t="s">
        <v>29</v>
      </c>
      <c r="E3275">
        <v>1450</v>
      </c>
    </row>
    <row r="3276" spans="1:5" x14ac:dyDescent="0.55000000000000004">
      <c r="A3276" t="s">
        <v>3357</v>
      </c>
      <c r="B3276" t="s">
        <v>140</v>
      </c>
      <c r="C3276" s="2">
        <v>43872</v>
      </c>
      <c r="D3276" t="s">
        <v>29</v>
      </c>
      <c r="E3276">
        <v>1680</v>
      </c>
    </row>
    <row r="3277" spans="1:5" x14ac:dyDescent="0.55000000000000004">
      <c r="A3277" t="s">
        <v>3358</v>
      </c>
      <c r="B3277" t="s">
        <v>15</v>
      </c>
      <c r="C3277" s="2">
        <v>42973</v>
      </c>
      <c r="D3277" t="s">
        <v>26</v>
      </c>
      <c r="E3277">
        <v>1724</v>
      </c>
    </row>
    <row r="3278" spans="1:5" x14ac:dyDescent="0.55000000000000004">
      <c r="A3278" t="s">
        <v>3359</v>
      </c>
      <c r="B3278" t="s">
        <v>74</v>
      </c>
      <c r="C3278" s="2">
        <v>44464</v>
      </c>
      <c r="D3278" t="s">
        <v>26</v>
      </c>
      <c r="E3278">
        <v>2519</v>
      </c>
    </row>
    <row r="3279" spans="1:5" x14ac:dyDescent="0.55000000000000004">
      <c r="A3279" t="s">
        <v>3360</v>
      </c>
      <c r="B3279" t="s">
        <v>156</v>
      </c>
      <c r="C3279" s="2">
        <v>44528</v>
      </c>
      <c r="D3279" t="s">
        <v>26</v>
      </c>
      <c r="E3279">
        <v>2377</v>
      </c>
    </row>
    <row r="3280" spans="1:5" x14ac:dyDescent="0.55000000000000004">
      <c r="A3280" t="s">
        <v>3361</v>
      </c>
      <c r="B3280" t="s">
        <v>67</v>
      </c>
      <c r="C3280" s="2">
        <v>44994</v>
      </c>
      <c r="D3280" t="s">
        <v>26</v>
      </c>
      <c r="E3280">
        <v>2543</v>
      </c>
    </row>
    <row r="3281" spans="1:5" x14ac:dyDescent="0.55000000000000004">
      <c r="A3281" t="s">
        <v>3362</v>
      </c>
      <c r="B3281" t="s">
        <v>99</v>
      </c>
      <c r="C3281" s="2">
        <v>45782</v>
      </c>
      <c r="D3281" t="s">
        <v>29</v>
      </c>
      <c r="E3281">
        <v>219</v>
      </c>
    </row>
    <row r="3282" spans="1:5" x14ac:dyDescent="0.55000000000000004">
      <c r="A3282" t="s">
        <v>3363</v>
      </c>
      <c r="B3282" t="s">
        <v>118</v>
      </c>
      <c r="C3282" s="2">
        <v>45074</v>
      </c>
      <c r="D3282" t="s">
        <v>26</v>
      </c>
      <c r="E3282">
        <v>1650</v>
      </c>
    </row>
    <row r="3283" spans="1:5" x14ac:dyDescent="0.55000000000000004">
      <c r="A3283" t="s">
        <v>3364</v>
      </c>
      <c r="B3283" t="s">
        <v>38</v>
      </c>
      <c r="C3283" s="2">
        <v>43843</v>
      </c>
      <c r="D3283" t="s">
        <v>29</v>
      </c>
      <c r="E3283">
        <v>2121</v>
      </c>
    </row>
    <row r="3284" spans="1:5" x14ac:dyDescent="0.55000000000000004">
      <c r="A3284" t="s">
        <v>3365</v>
      </c>
      <c r="B3284" t="s">
        <v>15</v>
      </c>
      <c r="C3284" s="2">
        <v>43028</v>
      </c>
      <c r="D3284" t="s">
        <v>26</v>
      </c>
      <c r="E3284">
        <v>224</v>
      </c>
    </row>
    <row r="3285" spans="1:5" x14ac:dyDescent="0.55000000000000004">
      <c r="A3285" t="s">
        <v>3366</v>
      </c>
      <c r="B3285" t="s">
        <v>84</v>
      </c>
      <c r="C3285" s="2">
        <v>44247</v>
      </c>
      <c r="D3285" t="s">
        <v>26</v>
      </c>
      <c r="E3285">
        <v>1365</v>
      </c>
    </row>
    <row r="3286" spans="1:5" x14ac:dyDescent="0.55000000000000004">
      <c r="A3286" t="s">
        <v>3367</v>
      </c>
      <c r="B3286" t="s">
        <v>32</v>
      </c>
      <c r="C3286" s="2">
        <v>44030</v>
      </c>
      <c r="D3286" t="s">
        <v>29</v>
      </c>
      <c r="E3286">
        <v>2316</v>
      </c>
    </row>
    <row r="3287" spans="1:5" x14ac:dyDescent="0.55000000000000004">
      <c r="A3287" t="s">
        <v>3368</v>
      </c>
      <c r="B3287" t="s">
        <v>96</v>
      </c>
      <c r="C3287" s="2">
        <v>44823</v>
      </c>
      <c r="D3287" t="s">
        <v>26</v>
      </c>
      <c r="E3287">
        <v>497</v>
      </c>
    </row>
    <row r="3288" spans="1:5" x14ac:dyDescent="0.55000000000000004">
      <c r="A3288" t="s">
        <v>3369</v>
      </c>
      <c r="B3288" t="s">
        <v>78</v>
      </c>
      <c r="C3288" s="2">
        <v>45558</v>
      </c>
      <c r="D3288" t="s">
        <v>26</v>
      </c>
      <c r="E3288">
        <v>2873</v>
      </c>
    </row>
    <row r="3289" spans="1:5" x14ac:dyDescent="0.55000000000000004">
      <c r="A3289" t="s">
        <v>3370</v>
      </c>
      <c r="B3289" t="s">
        <v>151</v>
      </c>
      <c r="C3289" s="2">
        <v>43974</v>
      </c>
      <c r="D3289" t="s">
        <v>26</v>
      </c>
      <c r="E3289">
        <v>2302</v>
      </c>
    </row>
    <row r="3290" spans="1:5" x14ac:dyDescent="0.55000000000000004">
      <c r="A3290" t="s">
        <v>3371</v>
      </c>
      <c r="B3290" t="s">
        <v>78</v>
      </c>
      <c r="C3290" s="2">
        <v>45494</v>
      </c>
      <c r="D3290" t="s">
        <v>26</v>
      </c>
      <c r="E3290">
        <v>915</v>
      </c>
    </row>
    <row r="3291" spans="1:5" x14ac:dyDescent="0.55000000000000004">
      <c r="A3291" t="s">
        <v>3372</v>
      </c>
      <c r="B3291" t="s">
        <v>94</v>
      </c>
      <c r="C3291" s="2">
        <v>44099</v>
      </c>
      <c r="D3291" t="s">
        <v>29</v>
      </c>
      <c r="E3291">
        <v>2573</v>
      </c>
    </row>
    <row r="3292" spans="1:5" x14ac:dyDescent="0.55000000000000004">
      <c r="A3292" t="s">
        <v>3373</v>
      </c>
      <c r="B3292" t="s">
        <v>156</v>
      </c>
      <c r="C3292" s="2">
        <v>44389</v>
      </c>
      <c r="D3292" t="s">
        <v>26</v>
      </c>
      <c r="E3292">
        <v>1986</v>
      </c>
    </row>
    <row r="3293" spans="1:5" x14ac:dyDescent="0.55000000000000004">
      <c r="A3293" t="s">
        <v>3374</v>
      </c>
      <c r="B3293" t="s">
        <v>32</v>
      </c>
      <c r="C3293" s="2">
        <v>44242</v>
      </c>
      <c r="D3293" t="s">
        <v>26</v>
      </c>
      <c r="E3293">
        <v>275</v>
      </c>
    </row>
    <row r="3294" spans="1:5" x14ac:dyDescent="0.55000000000000004">
      <c r="A3294" t="s">
        <v>3375</v>
      </c>
      <c r="B3294" t="s">
        <v>14</v>
      </c>
      <c r="C3294" s="2">
        <v>43230</v>
      </c>
      <c r="D3294" t="s">
        <v>26</v>
      </c>
      <c r="E3294">
        <v>2129</v>
      </c>
    </row>
    <row r="3295" spans="1:5" x14ac:dyDescent="0.55000000000000004">
      <c r="A3295" t="s">
        <v>3376</v>
      </c>
      <c r="B3295" t="s">
        <v>115</v>
      </c>
      <c r="C3295" s="2">
        <v>43423</v>
      </c>
      <c r="D3295" t="s">
        <v>26</v>
      </c>
      <c r="E3295">
        <v>424</v>
      </c>
    </row>
    <row r="3296" spans="1:5" x14ac:dyDescent="0.55000000000000004">
      <c r="A3296" t="s">
        <v>3377</v>
      </c>
      <c r="B3296" t="s">
        <v>96</v>
      </c>
      <c r="C3296" s="2">
        <v>43566</v>
      </c>
      <c r="D3296" t="s">
        <v>29</v>
      </c>
      <c r="E3296">
        <v>1600</v>
      </c>
    </row>
    <row r="3297" spans="1:5" x14ac:dyDescent="0.55000000000000004">
      <c r="A3297" t="s">
        <v>3378</v>
      </c>
      <c r="B3297" t="s">
        <v>142</v>
      </c>
      <c r="C3297" s="2">
        <v>43166</v>
      </c>
      <c r="D3297" t="s">
        <v>29</v>
      </c>
      <c r="E3297">
        <v>1657</v>
      </c>
    </row>
    <row r="3298" spans="1:5" x14ac:dyDescent="0.55000000000000004">
      <c r="A3298" t="s">
        <v>3379</v>
      </c>
      <c r="B3298" t="s">
        <v>96</v>
      </c>
      <c r="C3298" s="2">
        <v>44219</v>
      </c>
      <c r="D3298" t="s">
        <v>26</v>
      </c>
      <c r="E3298">
        <v>2239</v>
      </c>
    </row>
    <row r="3299" spans="1:5" x14ac:dyDescent="0.55000000000000004">
      <c r="A3299" t="s">
        <v>3380</v>
      </c>
      <c r="B3299" t="s">
        <v>84</v>
      </c>
      <c r="C3299" s="2">
        <v>44171</v>
      </c>
      <c r="D3299" t="s">
        <v>29</v>
      </c>
      <c r="E3299">
        <v>2695</v>
      </c>
    </row>
    <row r="3300" spans="1:5" x14ac:dyDescent="0.55000000000000004">
      <c r="A3300" t="s">
        <v>3381</v>
      </c>
      <c r="B3300" t="s">
        <v>32</v>
      </c>
      <c r="C3300" s="2">
        <v>44083</v>
      </c>
      <c r="D3300" t="s">
        <v>29</v>
      </c>
      <c r="E3300">
        <v>599</v>
      </c>
    </row>
    <row r="3301" spans="1:5" x14ac:dyDescent="0.55000000000000004">
      <c r="A3301" t="s">
        <v>3382</v>
      </c>
      <c r="B3301" t="s">
        <v>35</v>
      </c>
      <c r="C3301" s="2">
        <v>43875</v>
      </c>
      <c r="D3301" t="s">
        <v>26</v>
      </c>
      <c r="E3301">
        <v>580</v>
      </c>
    </row>
    <row r="3302" spans="1:5" x14ac:dyDescent="0.55000000000000004">
      <c r="A3302" t="s">
        <v>3383</v>
      </c>
      <c r="B3302" t="s">
        <v>175</v>
      </c>
      <c r="C3302" s="2">
        <v>44451</v>
      </c>
      <c r="D3302" t="s">
        <v>26</v>
      </c>
      <c r="E3302">
        <v>2095</v>
      </c>
    </row>
    <row r="3303" spans="1:5" x14ac:dyDescent="0.55000000000000004">
      <c r="A3303" t="s">
        <v>3384</v>
      </c>
      <c r="B3303" t="s">
        <v>78</v>
      </c>
      <c r="C3303" s="2">
        <v>45705</v>
      </c>
      <c r="D3303" t="s">
        <v>26</v>
      </c>
      <c r="E3303">
        <v>1950</v>
      </c>
    </row>
    <row r="3304" spans="1:5" x14ac:dyDescent="0.55000000000000004">
      <c r="A3304" t="s">
        <v>3385</v>
      </c>
      <c r="B3304" t="s">
        <v>96</v>
      </c>
      <c r="C3304" s="2">
        <v>44653</v>
      </c>
      <c r="D3304" t="s">
        <v>29</v>
      </c>
      <c r="E3304">
        <v>2734</v>
      </c>
    </row>
    <row r="3305" spans="1:5" x14ac:dyDescent="0.55000000000000004">
      <c r="A3305" t="s">
        <v>3386</v>
      </c>
      <c r="B3305" t="s">
        <v>115</v>
      </c>
      <c r="C3305" s="2">
        <v>44122</v>
      </c>
      <c r="D3305" t="s">
        <v>29</v>
      </c>
      <c r="E3305">
        <v>1504</v>
      </c>
    </row>
    <row r="3306" spans="1:5" x14ac:dyDescent="0.55000000000000004">
      <c r="A3306" t="s">
        <v>3387</v>
      </c>
      <c r="B3306" t="s">
        <v>38</v>
      </c>
      <c r="C3306" s="2">
        <v>44394</v>
      </c>
      <c r="D3306" t="s">
        <v>29</v>
      </c>
      <c r="E3306">
        <v>1580</v>
      </c>
    </row>
    <row r="3307" spans="1:5" x14ac:dyDescent="0.55000000000000004">
      <c r="A3307" t="s">
        <v>3388</v>
      </c>
      <c r="B3307" t="s">
        <v>41</v>
      </c>
      <c r="C3307" s="2">
        <v>44050</v>
      </c>
      <c r="D3307" t="s">
        <v>29</v>
      </c>
      <c r="E3307">
        <v>1707</v>
      </c>
    </row>
    <row r="3308" spans="1:5" x14ac:dyDescent="0.55000000000000004">
      <c r="A3308" t="s">
        <v>3389</v>
      </c>
      <c r="B3308" t="s">
        <v>175</v>
      </c>
      <c r="C3308" s="2">
        <v>45206</v>
      </c>
      <c r="D3308" t="s">
        <v>26</v>
      </c>
      <c r="E3308">
        <v>114</v>
      </c>
    </row>
    <row r="3309" spans="1:5" x14ac:dyDescent="0.55000000000000004">
      <c r="A3309" t="s">
        <v>3390</v>
      </c>
      <c r="B3309" t="s">
        <v>156</v>
      </c>
      <c r="C3309" s="2">
        <v>43853</v>
      </c>
      <c r="D3309" t="s">
        <v>26</v>
      </c>
      <c r="E3309">
        <v>2311</v>
      </c>
    </row>
    <row r="3310" spans="1:5" x14ac:dyDescent="0.55000000000000004">
      <c r="A3310" t="s">
        <v>3391</v>
      </c>
      <c r="B3310" t="s">
        <v>101</v>
      </c>
      <c r="C3310" s="2">
        <v>42939</v>
      </c>
      <c r="D3310" t="s">
        <v>29</v>
      </c>
      <c r="E3310">
        <v>139</v>
      </c>
    </row>
    <row r="3311" spans="1:5" x14ac:dyDescent="0.55000000000000004">
      <c r="A3311" t="s">
        <v>3392</v>
      </c>
      <c r="B3311" t="s">
        <v>35</v>
      </c>
      <c r="C3311" s="2">
        <v>44741</v>
      </c>
      <c r="D3311" t="s">
        <v>26</v>
      </c>
      <c r="E3311">
        <v>1452</v>
      </c>
    </row>
    <row r="3312" spans="1:5" x14ac:dyDescent="0.55000000000000004">
      <c r="A3312" t="s">
        <v>3393</v>
      </c>
      <c r="B3312" t="s">
        <v>72</v>
      </c>
      <c r="C3312" s="2">
        <v>43875</v>
      </c>
      <c r="D3312" t="s">
        <v>29</v>
      </c>
      <c r="E3312">
        <v>1134</v>
      </c>
    </row>
    <row r="3313" spans="1:5" x14ac:dyDescent="0.55000000000000004">
      <c r="A3313" t="s">
        <v>3394</v>
      </c>
      <c r="B3313" t="s">
        <v>14</v>
      </c>
      <c r="C3313" s="2">
        <v>43241</v>
      </c>
      <c r="D3313" t="s">
        <v>29</v>
      </c>
      <c r="E3313">
        <v>2050</v>
      </c>
    </row>
    <row r="3314" spans="1:5" x14ac:dyDescent="0.55000000000000004">
      <c r="A3314" t="s">
        <v>3395</v>
      </c>
      <c r="B3314" t="s">
        <v>76</v>
      </c>
      <c r="C3314" s="2">
        <v>45527</v>
      </c>
      <c r="D3314" t="s">
        <v>26</v>
      </c>
      <c r="E3314">
        <v>1428</v>
      </c>
    </row>
    <row r="3315" spans="1:5" x14ac:dyDescent="0.55000000000000004">
      <c r="A3315" t="s">
        <v>3396</v>
      </c>
      <c r="B3315" t="s">
        <v>94</v>
      </c>
      <c r="C3315" s="2">
        <v>45616</v>
      </c>
      <c r="D3315" t="s">
        <v>29</v>
      </c>
      <c r="E3315">
        <v>2101</v>
      </c>
    </row>
    <row r="3316" spans="1:5" x14ac:dyDescent="0.55000000000000004">
      <c r="A3316" t="s">
        <v>3397</v>
      </c>
      <c r="B3316" t="s">
        <v>74</v>
      </c>
      <c r="C3316" s="2">
        <v>43274</v>
      </c>
      <c r="D3316" t="s">
        <v>26</v>
      </c>
      <c r="E3316">
        <v>1441</v>
      </c>
    </row>
    <row r="3317" spans="1:5" x14ac:dyDescent="0.55000000000000004">
      <c r="A3317" t="s">
        <v>3398</v>
      </c>
      <c r="B3317" t="s">
        <v>35</v>
      </c>
      <c r="C3317" s="2">
        <v>44525</v>
      </c>
      <c r="D3317" t="s">
        <v>29</v>
      </c>
      <c r="E3317">
        <v>2929</v>
      </c>
    </row>
    <row r="3318" spans="1:5" x14ac:dyDescent="0.55000000000000004">
      <c r="A3318" t="s">
        <v>3399</v>
      </c>
      <c r="B3318" t="s">
        <v>76</v>
      </c>
      <c r="C3318" s="2">
        <v>44039</v>
      </c>
      <c r="D3318" t="s">
        <v>29</v>
      </c>
      <c r="E3318">
        <v>2696</v>
      </c>
    </row>
    <row r="3319" spans="1:5" x14ac:dyDescent="0.55000000000000004">
      <c r="A3319" t="s">
        <v>3400</v>
      </c>
      <c r="B3319" t="s">
        <v>156</v>
      </c>
      <c r="C3319" s="2">
        <v>43723</v>
      </c>
      <c r="D3319" t="s">
        <v>26</v>
      </c>
      <c r="E3319">
        <v>2642</v>
      </c>
    </row>
    <row r="3320" spans="1:5" x14ac:dyDescent="0.55000000000000004">
      <c r="A3320" t="s">
        <v>3401</v>
      </c>
      <c r="B3320" t="s">
        <v>96</v>
      </c>
      <c r="C3320" s="2">
        <v>45008</v>
      </c>
      <c r="D3320" t="s">
        <v>29</v>
      </c>
      <c r="E3320">
        <v>2481</v>
      </c>
    </row>
    <row r="3321" spans="1:5" x14ac:dyDescent="0.55000000000000004">
      <c r="A3321" t="s">
        <v>3402</v>
      </c>
      <c r="B3321" t="s">
        <v>38</v>
      </c>
      <c r="C3321" s="2">
        <v>44200</v>
      </c>
      <c r="D3321" t="s">
        <v>29</v>
      </c>
      <c r="E3321">
        <v>530</v>
      </c>
    </row>
    <row r="3322" spans="1:5" x14ac:dyDescent="0.55000000000000004">
      <c r="A3322" t="s">
        <v>3403</v>
      </c>
      <c r="B3322" t="s">
        <v>41</v>
      </c>
      <c r="C3322" s="2">
        <v>44494</v>
      </c>
      <c r="D3322" t="s">
        <v>29</v>
      </c>
      <c r="E3322">
        <v>2394</v>
      </c>
    </row>
    <row r="3323" spans="1:5" x14ac:dyDescent="0.55000000000000004">
      <c r="A3323" t="s">
        <v>3404</v>
      </c>
      <c r="B3323" t="s">
        <v>32</v>
      </c>
      <c r="C3323" s="2">
        <v>44657</v>
      </c>
      <c r="D3323" t="s">
        <v>26</v>
      </c>
      <c r="E3323">
        <v>184</v>
      </c>
    </row>
    <row r="3324" spans="1:5" x14ac:dyDescent="0.55000000000000004">
      <c r="A3324" t="s">
        <v>3405</v>
      </c>
      <c r="B3324" t="s">
        <v>14</v>
      </c>
      <c r="C3324" s="2">
        <v>44417</v>
      </c>
      <c r="D3324" t="s">
        <v>26</v>
      </c>
      <c r="E3324">
        <v>949</v>
      </c>
    </row>
    <row r="3325" spans="1:5" x14ac:dyDescent="0.55000000000000004">
      <c r="A3325" t="s">
        <v>3406</v>
      </c>
      <c r="B3325" t="s">
        <v>115</v>
      </c>
      <c r="C3325" s="2">
        <v>44279</v>
      </c>
      <c r="D3325" t="s">
        <v>26</v>
      </c>
      <c r="E3325">
        <v>2045</v>
      </c>
    </row>
    <row r="3326" spans="1:5" x14ac:dyDescent="0.55000000000000004">
      <c r="A3326" t="s">
        <v>3407</v>
      </c>
      <c r="B3326" t="s">
        <v>38</v>
      </c>
      <c r="C3326" s="2">
        <v>44806</v>
      </c>
      <c r="D3326" t="s">
        <v>29</v>
      </c>
      <c r="E3326">
        <v>948</v>
      </c>
    </row>
    <row r="3327" spans="1:5" x14ac:dyDescent="0.55000000000000004">
      <c r="A3327" t="s">
        <v>3408</v>
      </c>
      <c r="B3327" t="s">
        <v>118</v>
      </c>
      <c r="C3327" s="2">
        <v>44435</v>
      </c>
      <c r="D3327" t="s">
        <v>26</v>
      </c>
      <c r="E3327">
        <v>712</v>
      </c>
    </row>
    <row r="3328" spans="1:5" x14ac:dyDescent="0.55000000000000004">
      <c r="A3328" t="s">
        <v>3409</v>
      </c>
      <c r="B3328" t="s">
        <v>78</v>
      </c>
      <c r="C3328" s="2">
        <v>45039</v>
      </c>
      <c r="D3328" t="s">
        <v>29</v>
      </c>
      <c r="E3328">
        <v>263</v>
      </c>
    </row>
    <row r="3329" spans="1:5" x14ac:dyDescent="0.55000000000000004">
      <c r="A3329" t="s">
        <v>3410</v>
      </c>
      <c r="B3329" t="s">
        <v>142</v>
      </c>
      <c r="C3329" s="2">
        <v>44170</v>
      </c>
      <c r="D3329" t="s">
        <v>29</v>
      </c>
      <c r="E3329">
        <v>468</v>
      </c>
    </row>
    <row r="3330" spans="1:5" x14ac:dyDescent="0.55000000000000004">
      <c r="A3330" t="s">
        <v>3411</v>
      </c>
      <c r="B3330" t="s">
        <v>142</v>
      </c>
      <c r="C3330" s="2">
        <v>44452</v>
      </c>
      <c r="D3330" t="s">
        <v>26</v>
      </c>
      <c r="E3330">
        <v>1808</v>
      </c>
    </row>
    <row r="3331" spans="1:5" x14ac:dyDescent="0.55000000000000004">
      <c r="A3331" t="s">
        <v>3412</v>
      </c>
      <c r="B3331" t="s">
        <v>118</v>
      </c>
      <c r="C3331" s="2">
        <v>44999</v>
      </c>
      <c r="D3331" t="s">
        <v>26</v>
      </c>
      <c r="E3331">
        <v>712</v>
      </c>
    </row>
    <row r="3332" spans="1:5" x14ac:dyDescent="0.55000000000000004">
      <c r="A3332" t="s">
        <v>3413</v>
      </c>
      <c r="B3332" t="s">
        <v>111</v>
      </c>
      <c r="C3332" s="2">
        <v>43137</v>
      </c>
      <c r="D3332" t="s">
        <v>29</v>
      </c>
      <c r="E3332">
        <v>1546</v>
      </c>
    </row>
    <row r="3333" spans="1:5" x14ac:dyDescent="0.55000000000000004">
      <c r="A3333" t="s">
        <v>3414</v>
      </c>
      <c r="B3333" t="s">
        <v>72</v>
      </c>
      <c r="C3333" s="2">
        <v>44222</v>
      </c>
      <c r="D3333" t="s">
        <v>26</v>
      </c>
      <c r="E3333">
        <v>801</v>
      </c>
    </row>
    <row r="3334" spans="1:5" x14ac:dyDescent="0.55000000000000004">
      <c r="A3334" t="s">
        <v>3415</v>
      </c>
      <c r="B3334" t="s">
        <v>84</v>
      </c>
      <c r="C3334" s="2">
        <v>43922</v>
      </c>
      <c r="D3334" t="s">
        <v>29</v>
      </c>
      <c r="E3334">
        <v>2780</v>
      </c>
    </row>
    <row r="3335" spans="1:5" x14ac:dyDescent="0.55000000000000004">
      <c r="A3335" t="s">
        <v>3416</v>
      </c>
      <c r="B3335" t="s">
        <v>156</v>
      </c>
      <c r="C3335" s="2">
        <v>43378</v>
      </c>
      <c r="D3335" t="s">
        <v>26</v>
      </c>
      <c r="E3335">
        <v>663</v>
      </c>
    </row>
    <row r="3336" spans="1:5" x14ac:dyDescent="0.55000000000000004">
      <c r="A3336" t="s">
        <v>3417</v>
      </c>
      <c r="B3336" t="s">
        <v>140</v>
      </c>
      <c r="C3336" s="2">
        <v>43999</v>
      </c>
      <c r="D3336" t="s">
        <v>26</v>
      </c>
      <c r="E3336">
        <v>352</v>
      </c>
    </row>
    <row r="3337" spans="1:5" x14ac:dyDescent="0.55000000000000004">
      <c r="A3337" t="s">
        <v>3418</v>
      </c>
      <c r="B3337" t="s">
        <v>23</v>
      </c>
      <c r="C3337" s="2">
        <v>43880</v>
      </c>
      <c r="D3337" t="s">
        <v>26</v>
      </c>
      <c r="E3337">
        <v>833</v>
      </c>
    </row>
    <row r="3338" spans="1:5" x14ac:dyDescent="0.55000000000000004">
      <c r="A3338" t="s">
        <v>3419</v>
      </c>
      <c r="B3338" t="s">
        <v>142</v>
      </c>
      <c r="C3338" s="2">
        <v>43204</v>
      </c>
      <c r="D3338" t="s">
        <v>26</v>
      </c>
      <c r="E3338">
        <v>1472</v>
      </c>
    </row>
    <row r="3339" spans="1:5" x14ac:dyDescent="0.55000000000000004">
      <c r="A3339" t="s">
        <v>3420</v>
      </c>
      <c r="B3339" t="s">
        <v>118</v>
      </c>
      <c r="C3339" s="2">
        <v>45137</v>
      </c>
      <c r="D3339" t="s">
        <v>26</v>
      </c>
      <c r="E3339">
        <v>1395</v>
      </c>
    </row>
    <row r="3340" spans="1:5" x14ac:dyDescent="0.55000000000000004">
      <c r="A3340" t="s">
        <v>3421</v>
      </c>
      <c r="B3340" t="s">
        <v>105</v>
      </c>
      <c r="C3340" s="2">
        <v>44314</v>
      </c>
      <c r="D3340" t="s">
        <v>29</v>
      </c>
      <c r="E3340">
        <v>778</v>
      </c>
    </row>
    <row r="3341" spans="1:5" x14ac:dyDescent="0.55000000000000004">
      <c r="A3341" t="s">
        <v>3422</v>
      </c>
      <c r="B3341" t="s">
        <v>175</v>
      </c>
      <c r="C3341" s="2">
        <v>44315</v>
      </c>
      <c r="D3341" t="s">
        <v>29</v>
      </c>
      <c r="E3341">
        <v>2051</v>
      </c>
    </row>
    <row r="3342" spans="1:5" x14ac:dyDescent="0.55000000000000004">
      <c r="A3342" t="s">
        <v>3423</v>
      </c>
      <c r="B3342" t="s">
        <v>86</v>
      </c>
      <c r="C3342" s="2">
        <v>43647</v>
      </c>
      <c r="D3342" t="s">
        <v>26</v>
      </c>
      <c r="E3342">
        <v>275</v>
      </c>
    </row>
    <row r="3343" spans="1:5" x14ac:dyDescent="0.55000000000000004">
      <c r="A3343" t="s">
        <v>3424</v>
      </c>
      <c r="B3343" t="s">
        <v>15</v>
      </c>
      <c r="C3343" s="2">
        <v>43792</v>
      </c>
      <c r="D3343" t="s">
        <v>29</v>
      </c>
      <c r="E3343">
        <v>290</v>
      </c>
    </row>
    <row r="3344" spans="1:5" x14ac:dyDescent="0.55000000000000004">
      <c r="A3344" t="s">
        <v>3425</v>
      </c>
      <c r="B3344" t="s">
        <v>23</v>
      </c>
      <c r="C3344" s="2">
        <v>43991</v>
      </c>
      <c r="D3344" t="s">
        <v>26</v>
      </c>
      <c r="E3344">
        <v>2118</v>
      </c>
    </row>
    <row r="3345" spans="1:5" x14ac:dyDescent="0.55000000000000004">
      <c r="A3345" t="s">
        <v>3426</v>
      </c>
      <c r="B3345" t="s">
        <v>156</v>
      </c>
      <c r="C3345" s="2">
        <v>43123</v>
      </c>
      <c r="D3345" t="s">
        <v>26</v>
      </c>
      <c r="E3345">
        <v>2042</v>
      </c>
    </row>
    <row r="3346" spans="1:5" x14ac:dyDescent="0.55000000000000004">
      <c r="A3346" t="s">
        <v>3427</v>
      </c>
      <c r="B3346" t="s">
        <v>63</v>
      </c>
      <c r="C3346" s="2">
        <v>43022</v>
      </c>
      <c r="D3346" t="s">
        <v>29</v>
      </c>
      <c r="E3346">
        <v>92</v>
      </c>
    </row>
    <row r="3347" spans="1:5" x14ac:dyDescent="0.55000000000000004">
      <c r="A3347" t="s">
        <v>3428</v>
      </c>
      <c r="B3347" t="s">
        <v>63</v>
      </c>
      <c r="C3347" s="2">
        <v>43510</v>
      </c>
      <c r="D3347" t="s">
        <v>29</v>
      </c>
      <c r="E3347">
        <v>1599</v>
      </c>
    </row>
    <row r="3348" spans="1:5" x14ac:dyDescent="0.55000000000000004">
      <c r="A3348" t="s">
        <v>3429</v>
      </c>
      <c r="B3348" t="s">
        <v>41</v>
      </c>
      <c r="C3348" s="2">
        <v>44563</v>
      </c>
      <c r="D3348" t="s">
        <v>26</v>
      </c>
      <c r="E3348">
        <v>646</v>
      </c>
    </row>
    <row r="3349" spans="1:5" x14ac:dyDescent="0.55000000000000004">
      <c r="A3349" t="s">
        <v>3430</v>
      </c>
      <c r="B3349" t="s">
        <v>156</v>
      </c>
      <c r="C3349" s="2">
        <v>43070</v>
      </c>
      <c r="D3349" t="s">
        <v>26</v>
      </c>
      <c r="E3349">
        <v>2120</v>
      </c>
    </row>
    <row r="3350" spans="1:5" x14ac:dyDescent="0.55000000000000004">
      <c r="A3350" t="s">
        <v>3431</v>
      </c>
      <c r="B3350" t="s">
        <v>32</v>
      </c>
      <c r="C3350" s="2">
        <v>44855</v>
      </c>
      <c r="D3350" t="s">
        <v>29</v>
      </c>
      <c r="E3350">
        <v>1635</v>
      </c>
    </row>
    <row r="3351" spans="1:5" x14ac:dyDescent="0.55000000000000004">
      <c r="A3351" t="s">
        <v>3432</v>
      </c>
      <c r="B3351" t="s">
        <v>32</v>
      </c>
      <c r="C3351" s="2">
        <v>43947</v>
      </c>
      <c r="D3351" t="s">
        <v>26</v>
      </c>
      <c r="E3351">
        <v>2387</v>
      </c>
    </row>
    <row r="3352" spans="1:5" x14ac:dyDescent="0.55000000000000004">
      <c r="A3352" t="s">
        <v>3433</v>
      </c>
      <c r="B3352" t="s">
        <v>96</v>
      </c>
      <c r="C3352" s="2">
        <v>44543</v>
      </c>
      <c r="D3352" t="s">
        <v>26</v>
      </c>
      <c r="E3352">
        <v>132</v>
      </c>
    </row>
    <row r="3353" spans="1:5" x14ac:dyDescent="0.55000000000000004">
      <c r="A3353" t="s">
        <v>3434</v>
      </c>
      <c r="B3353" t="s">
        <v>111</v>
      </c>
      <c r="C3353" s="2">
        <v>43780</v>
      </c>
      <c r="D3353" t="s">
        <v>29</v>
      </c>
      <c r="E3353">
        <v>821</v>
      </c>
    </row>
    <row r="3354" spans="1:5" x14ac:dyDescent="0.55000000000000004">
      <c r="A3354" t="s">
        <v>3435</v>
      </c>
      <c r="B3354" t="s">
        <v>111</v>
      </c>
      <c r="C3354" s="2">
        <v>44483</v>
      </c>
      <c r="D3354" t="s">
        <v>26</v>
      </c>
      <c r="E3354">
        <v>570</v>
      </c>
    </row>
    <row r="3355" spans="1:5" x14ac:dyDescent="0.55000000000000004">
      <c r="A3355" t="s">
        <v>3436</v>
      </c>
      <c r="B3355" t="s">
        <v>151</v>
      </c>
      <c r="C3355" s="2">
        <v>44037</v>
      </c>
      <c r="D3355" t="s">
        <v>29</v>
      </c>
      <c r="E3355">
        <v>2717</v>
      </c>
    </row>
    <row r="3356" spans="1:5" x14ac:dyDescent="0.55000000000000004">
      <c r="A3356" t="s">
        <v>3437</v>
      </c>
      <c r="B3356" t="s">
        <v>94</v>
      </c>
      <c r="C3356" s="2">
        <v>43721</v>
      </c>
      <c r="D3356" t="s">
        <v>26</v>
      </c>
      <c r="E3356">
        <v>2021</v>
      </c>
    </row>
    <row r="3357" spans="1:5" x14ac:dyDescent="0.55000000000000004">
      <c r="A3357" t="s">
        <v>3438</v>
      </c>
      <c r="B3357" t="s">
        <v>74</v>
      </c>
      <c r="C3357" s="2">
        <v>44071</v>
      </c>
      <c r="D3357" t="s">
        <v>26</v>
      </c>
      <c r="E3357">
        <v>1416</v>
      </c>
    </row>
    <row r="3358" spans="1:5" x14ac:dyDescent="0.55000000000000004">
      <c r="A3358" t="s">
        <v>3439</v>
      </c>
      <c r="B3358" t="s">
        <v>74</v>
      </c>
      <c r="C3358" s="2">
        <v>43769</v>
      </c>
      <c r="D3358" t="s">
        <v>26</v>
      </c>
      <c r="E3358">
        <v>2258</v>
      </c>
    </row>
    <row r="3359" spans="1:5" x14ac:dyDescent="0.55000000000000004">
      <c r="A3359" t="s">
        <v>3440</v>
      </c>
      <c r="B3359" t="s">
        <v>96</v>
      </c>
      <c r="C3359" s="2">
        <v>43996</v>
      </c>
      <c r="D3359" t="s">
        <v>29</v>
      </c>
      <c r="E3359">
        <v>2962</v>
      </c>
    </row>
    <row r="3360" spans="1:5" x14ac:dyDescent="0.55000000000000004">
      <c r="A3360" t="s">
        <v>3441</v>
      </c>
      <c r="B3360" t="s">
        <v>142</v>
      </c>
      <c r="C3360" s="2">
        <v>43130</v>
      </c>
      <c r="D3360" t="s">
        <v>26</v>
      </c>
      <c r="E3360">
        <v>2034</v>
      </c>
    </row>
    <row r="3361" spans="1:5" x14ac:dyDescent="0.55000000000000004">
      <c r="A3361" t="s">
        <v>3442</v>
      </c>
      <c r="B3361" t="s">
        <v>67</v>
      </c>
      <c r="C3361" s="2">
        <v>44388</v>
      </c>
      <c r="D3361" t="s">
        <v>29</v>
      </c>
      <c r="E3361">
        <v>1767</v>
      </c>
    </row>
    <row r="3362" spans="1:5" x14ac:dyDescent="0.55000000000000004">
      <c r="A3362" t="s">
        <v>3443</v>
      </c>
      <c r="B3362" t="s">
        <v>96</v>
      </c>
      <c r="C3362" s="2">
        <v>44708</v>
      </c>
      <c r="D3362" t="s">
        <v>26</v>
      </c>
      <c r="E3362">
        <v>87</v>
      </c>
    </row>
    <row r="3363" spans="1:5" x14ac:dyDescent="0.55000000000000004">
      <c r="A3363" t="s">
        <v>3444</v>
      </c>
      <c r="B3363" t="s">
        <v>142</v>
      </c>
      <c r="C3363" s="2">
        <v>42970</v>
      </c>
      <c r="D3363" t="s">
        <v>26</v>
      </c>
      <c r="E3363">
        <v>2188</v>
      </c>
    </row>
    <row r="3364" spans="1:5" x14ac:dyDescent="0.55000000000000004">
      <c r="A3364" t="s">
        <v>3445</v>
      </c>
      <c r="B3364" t="s">
        <v>32</v>
      </c>
      <c r="C3364" s="2">
        <v>44607</v>
      </c>
      <c r="D3364" t="s">
        <v>26</v>
      </c>
      <c r="E3364">
        <v>2263</v>
      </c>
    </row>
    <row r="3365" spans="1:5" x14ac:dyDescent="0.55000000000000004">
      <c r="A3365" t="s">
        <v>3446</v>
      </c>
      <c r="B3365" t="s">
        <v>96</v>
      </c>
      <c r="C3365" s="2">
        <v>43679</v>
      </c>
      <c r="D3365" t="s">
        <v>29</v>
      </c>
      <c r="E3365">
        <v>1545</v>
      </c>
    </row>
    <row r="3366" spans="1:5" x14ac:dyDescent="0.55000000000000004">
      <c r="A3366" t="s">
        <v>3447</v>
      </c>
      <c r="B3366" t="s">
        <v>41</v>
      </c>
      <c r="C3366" s="2">
        <v>44087</v>
      </c>
      <c r="D3366" t="s">
        <v>29</v>
      </c>
      <c r="E3366">
        <v>2872</v>
      </c>
    </row>
    <row r="3367" spans="1:5" x14ac:dyDescent="0.55000000000000004">
      <c r="A3367" t="s">
        <v>3448</v>
      </c>
      <c r="B3367" t="s">
        <v>140</v>
      </c>
      <c r="C3367" s="2">
        <v>44042</v>
      </c>
      <c r="D3367" t="s">
        <v>26</v>
      </c>
      <c r="E3367">
        <v>473</v>
      </c>
    </row>
    <row r="3368" spans="1:5" x14ac:dyDescent="0.55000000000000004">
      <c r="A3368" t="s">
        <v>3449</v>
      </c>
      <c r="B3368" t="s">
        <v>15</v>
      </c>
      <c r="C3368" s="2">
        <v>43158</v>
      </c>
      <c r="D3368" t="s">
        <v>29</v>
      </c>
      <c r="E3368">
        <v>1440</v>
      </c>
    </row>
    <row r="3369" spans="1:5" x14ac:dyDescent="0.55000000000000004">
      <c r="A3369" t="s">
        <v>3450</v>
      </c>
      <c r="B3369" t="s">
        <v>151</v>
      </c>
      <c r="C3369" s="2">
        <v>43619</v>
      </c>
      <c r="D3369" t="s">
        <v>29</v>
      </c>
      <c r="E3369">
        <v>237</v>
      </c>
    </row>
    <row r="3370" spans="1:5" x14ac:dyDescent="0.55000000000000004">
      <c r="A3370" t="s">
        <v>3451</v>
      </c>
      <c r="B3370" t="s">
        <v>63</v>
      </c>
      <c r="C3370" s="2">
        <v>43392</v>
      </c>
      <c r="D3370" t="s">
        <v>26</v>
      </c>
      <c r="E3370">
        <v>2410</v>
      </c>
    </row>
    <row r="3371" spans="1:5" x14ac:dyDescent="0.55000000000000004">
      <c r="A3371" t="s">
        <v>3452</v>
      </c>
      <c r="B3371" t="s">
        <v>14</v>
      </c>
      <c r="C3371" s="2">
        <v>43382</v>
      </c>
      <c r="D3371" t="s">
        <v>29</v>
      </c>
      <c r="E3371">
        <v>2196</v>
      </c>
    </row>
    <row r="3372" spans="1:5" x14ac:dyDescent="0.55000000000000004">
      <c r="A3372" t="s">
        <v>3453</v>
      </c>
      <c r="B3372" t="s">
        <v>23</v>
      </c>
      <c r="C3372" s="2">
        <v>43924</v>
      </c>
      <c r="D3372" t="s">
        <v>26</v>
      </c>
      <c r="E3372">
        <v>2948</v>
      </c>
    </row>
    <row r="3373" spans="1:5" x14ac:dyDescent="0.55000000000000004">
      <c r="A3373" t="s">
        <v>3454</v>
      </c>
      <c r="B3373" t="s">
        <v>63</v>
      </c>
      <c r="C3373" s="2">
        <v>43033</v>
      </c>
      <c r="D3373" t="s">
        <v>26</v>
      </c>
      <c r="E3373">
        <v>232</v>
      </c>
    </row>
    <row r="3374" spans="1:5" x14ac:dyDescent="0.55000000000000004">
      <c r="A3374" t="s">
        <v>3455</v>
      </c>
      <c r="B3374" t="s">
        <v>72</v>
      </c>
      <c r="C3374" s="2">
        <v>43815</v>
      </c>
      <c r="D3374" t="s">
        <v>26</v>
      </c>
      <c r="E3374">
        <v>1157</v>
      </c>
    </row>
    <row r="3375" spans="1:5" x14ac:dyDescent="0.55000000000000004">
      <c r="A3375" t="s">
        <v>3456</v>
      </c>
      <c r="B3375" t="s">
        <v>142</v>
      </c>
      <c r="C3375" s="2">
        <v>43560</v>
      </c>
      <c r="D3375" t="s">
        <v>29</v>
      </c>
      <c r="E3375">
        <v>2467</v>
      </c>
    </row>
    <row r="3376" spans="1:5" x14ac:dyDescent="0.55000000000000004">
      <c r="A3376" t="s">
        <v>3457</v>
      </c>
      <c r="B3376" t="s">
        <v>35</v>
      </c>
      <c r="C3376" s="2">
        <v>44331</v>
      </c>
      <c r="D3376" t="s">
        <v>29</v>
      </c>
      <c r="E3376">
        <v>531</v>
      </c>
    </row>
    <row r="3377" spans="1:5" x14ac:dyDescent="0.55000000000000004">
      <c r="A3377" t="s">
        <v>3458</v>
      </c>
      <c r="B3377" t="s">
        <v>32</v>
      </c>
      <c r="C3377" s="2">
        <v>44645</v>
      </c>
      <c r="D3377" t="s">
        <v>29</v>
      </c>
      <c r="E3377">
        <v>2693</v>
      </c>
    </row>
    <row r="3378" spans="1:5" x14ac:dyDescent="0.55000000000000004">
      <c r="A3378" t="s">
        <v>3459</v>
      </c>
      <c r="B3378" t="s">
        <v>115</v>
      </c>
      <c r="C3378" s="2">
        <v>44261</v>
      </c>
      <c r="D3378" t="s">
        <v>26</v>
      </c>
      <c r="E3378">
        <v>312</v>
      </c>
    </row>
    <row r="3379" spans="1:5" x14ac:dyDescent="0.55000000000000004">
      <c r="A3379" t="s">
        <v>3460</v>
      </c>
      <c r="B3379" t="s">
        <v>84</v>
      </c>
      <c r="C3379" s="2">
        <v>44030</v>
      </c>
      <c r="D3379" t="s">
        <v>26</v>
      </c>
      <c r="E3379">
        <v>2027</v>
      </c>
    </row>
    <row r="3380" spans="1:5" x14ac:dyDescent="0.55000000000000004">
      <c r="A3380" t="s">
        <v>3461</v>
      </c>
      <c r="B3380" t="s">
        <v>41</v>
      </c>
      <c r="C3380" s="2">
        <v>44562</v>
      </c>
      <c r="D3380" t="s">
        <v>26</v>
      </c>
      <c r="E3380">
        <v>1816</v>
      </c>
    </row>
    <row r="3381" spans="1:5" x14ac:dyDescent="0.55000000000000004">
      <c r="A3381" t="s">
        <v>3462</v>
      </c>
      <c r="B3381" t="s">
        <v>41</v>
      </c>
      <c r="C3381" s="2">
        <v>44450</v>
      </c>
      <c r="D3381" t="s">
        <v>29</v>
      </c>
      <c r="E3381">
        <v>2258</v>
      </c>
    </row>
    <row r="3382" spans="1:5" x14ac:dyDescent="0.55000000000000004">
      <c r="A3382" t="s">
        <v>3463</v>
      </c>
      <c r="B3382" t="s">
        <v>156</v>
      </c>
      <c r="C3382" s="2">
        <v>44255</v>
      </c>
      <c r="D3382" t="s">
        <v>26</v>
      </c>
      <c r="E3382">
        <v>2157</v>
      </c>
    </row>
    <row r="3383" spans="1:5" x14ac:dyDescent="0.55000000000000004">
      <c r="A3383" t="s">
        <v>3464</v>
      </c>
      <c r="B3383" t="s">
        <v>94</v>
      </c>
      <c r="C3383" s="2">
        <v>44561</v>
      </c>
      <c r="D3383" t="s">
        <v>29</v>
      </c>
      <c r="E3383">
        <v>2858</v>
      </c>
    </row>
    <row r="3384" spans="1:5" x14ac:dyDescent="0.55000000000000004">
      <c r="A3384" t="s">
        <v>3465</v>
      </c>
      <c r="B3384" t="s">
        <v>99</v>
      </c>
      <c r="C3384" s="2">
        <v>45528</v>
      </c>
      <c r="D3384" t="s">
        <v>26</v>
      </c>
      <c r="E3384">
        <v>221</v>
      </c>
    </row>
    <row r="3385" spans="1:5" x14ac:dyDescent="0.55000000000000004">
      <c r="A3385" t="s">
        <v>3466</v>
      </c>
      <c r="B3385" t="s">
        <v>86</v>
      </c>
      <c r="C3385" s="2">
        <v>43758</v>
      </c>
      <c r="D3385" t="s">
        <v>29</v>
      </c>
      <c r="E3385">
        <v>1145</v>
      </c>
    </row>
    <row r="3386" spans="1:5" x14ac:dyDescent="0.55000000000000004">
      <c r="A3386" t="s">
        <v>3467</v>
      </c>
      <c r="B3386" t="s">
        <v>74</v>
      </c>
      <c r="C3386" s="2">
        <v>43333</v>
      </c>
      <c r="D3386" t="s">
        <v>26</v>
      </c>
      <c r="E3386">
        <v>2133</v>
      </c>
    </row>
    <row r="3387" spans="1:5" x14ac:dyDescent="0.55000000000000004">
      <c r="A3387" t="s">
        <v>3468</v>
      </c>
      <c r="B3387" t="s">
        <v>63</v>
      </c>
      <c r="C3387" s="2">
        <v>43541</v>
      </c>
      <c r="D3387" t="s">
        <v>26</v>
      </c>
      <c r="E3387">
        <v>502</v>
      </c>
    </row>
    <row r="3388" spans="1:5" x14ac:dyDescent="0.55000000000000004">
      <c r="A3388" t="s">
        <v>3469</v>
      </c>
      <c r="B3388" t="s">
        <v>86</v>
      </c>
      <c r="C3388" s="2">
        <v>44401</v>
      </c>
      <c r="D3388" t="s">
        <v>26</v>
      </c>
      <c r="E3388">
        <v>146</v>
      </c>
    </row>
    <row r="3389" spans="1:5" x14ac:dyDescent="0.55000000000000004">
      <c r="A3389" t="s">
        <v>3470</v>
      </c>
      <c r="B3389" t="s">
        <v>63</v>
      </c>
      <c r="C3389" s="2">
        <v>44347</v>
      </c>
      <c r="D3389" t="s">
        <v>29</v>
      </c>
      <c r="E3389">
        <v>2662</v>
      </c>
    </row>
    <row r="3390" spans="1:5" x14ac:dyDescent="0.55000000000000004">
      <c r="A3390" t="s">
        <v>3471</v>
      </c>
      <c r="B3390" t="s">
        <v>118</v>
      </c>
      <c r="C3390" s="2">
        <v>45324</v>
      </c>
      <c r="D3390" t="s">
        <v>26</v>
      </c>
      <c r="E3390">
        <v>87</v>
      </c>
    </row>
    <row r="3391" spans="1:5" x14ac:dyDescent="0.55000000000000004">
      <c r="A3391" t="s">
        <v>3472</v>
      </c>
      <c r="B3391" t="s">
        <v>96</v>
      </c>
      <c r="C3391" s="2">
        <v>43604</v>
      </c>
      <c r="D3391" t="s">
        <v>29</v>
      </c>
      <c r="E3391">
        <v>1138</v>
      </c>
    </row>
    <row r="3392" spans="1:5" x14ac:dyDescent="0.55000000000000004">
      <c r="A3392" t="s">
        <v>3473</v>
      </c>
      <c r="B3392" t="s">
        <v>23</v>
      </c>
      <c r="C3392" s="2">
        <v>44617</v>
      </c>
      <c r="D3392" t="s">
        <v>29</v>
      </c>
      <c r="E3392">
        <v>346</v>
      </c>
    </row>
    <row r="3393" spans="1:5" x14ac:dyDescent="0.55000000000000004">
      <c r="A3393" t="s">
        <v>3474</v>
      </c>
      <c r="B3393" t="s">
        <v>142</v>
      </c>
      <c r="C3393" s="2">
        <v>43488</v>
      </c>
      <c r="D3393" t="s">
        <v>29</v>
      </c>
      <c r="E3393">
        <v>2028</v>
      </c>
    </row>
    <row r="3394" spans="1:5" x14ac:dyDescent="0.55000000000000004">
      <c r="A3394" t="s">
        <v>3475</v>
      </c>
      <c r="B3394" t="s">
        <v>14</v>
      </c>
      <c r="C3394" s="2">
        <v>43700</v>
      </c>
      <c r="D3394" t="s">
        <v>29</v>
      </c>
      <c r="E3394">
        <v>1818</v>
      </c>
    </row>
    <row r="3395" spans="1:5" x14ac:dyDescent="0.55000000000000004">
      <c r="A3395" t="s">
        <v>3476</v>
      </c>
      <c r="B3395" t="s">
        <v>142</v>
      </c>
      <c r="C3395" s="2">
        <v>43376</v>
      </c>
      <c r="D3395" t="s">
        <v>26</v>
      </c>
      <c r="E3395">
        <v>1553</v>
      </c>
    </row>
    <row r="3396" spans="1:5" x14ac:dyDescent="0.55000000000000004">
      <c r="A3396" t="s">
        <v>3477</v>
      </c>
      <c r="B3396" t="s">
        <v>105</v>
      </c>
      <c r="C3396" s="2">
        <v>44268</v>
      </c>
      <c r="D3396" t="s">
        <v>29</v>
      </c>
      <c r="E3396">
        <v>2181</v>
      </c>
    </row>
    <row r="3397" spans="1:5" x14ac:dyDescent="0.55000000000000004">
      <c r="A3397" t="s">
        <v>3478</v>
      </c>
      <c r="B3397" t="s">
        <v>142</v>
      </c>
      <c r="C3397" s="2">
        <v>44269</v>
      </c>
      <c r="D3397" t="s">
        <v>29</v>
      </c>
      <c r="E3397">
        <v>128</v>
      </c>
    </row>
    <row r="3398" spans="1:5" x14ac:dyDescent="0.55000000000000004">
      <c r="A3398" t="s">
        <v>3479</v>
      </c>
      <c r="B3398" t="s">
        <v>99</v>
      </c>
      <c r="C3398" s="2">
        <v>44890</v>
      </c>
      <c r="D3398" t="s">
        <v>26</v>
      </c>
      <c r="E3398">
        <v>2493</v>
      </c>
    </row>
    <row r="3399" spans="1:5" x14ac:dyDescent="0.55000000000000004">
      <c r="A3399" t="s">
        <v>3480</v>
      </c>
      <c r="B3399" t="s">
        <v>118</v>
      </c>
      <c r="C3399" s="2">
        <v>44843</v>
      </c>
      <c r="D3399" t="s">
        <v>29</v>
      </c>
      <c r="E3399">
        <v>2420</v>
      </c>
    </row>
    <row r="3400" spans="1:5" x14ac:dyDescent="0.55000000000000004">
      <c r="A3400" t="s">
        <v>3481</v>
      </c>
      <c r="B3400" t="s">
        <v>151</v>
      </c>
      <c r="C3400" s="2">
        <v>44467</v>
      </c>
      <c r="D3400" t="s">
        <v>26</v>
      </c>
      <c r="E3400">
        <v>1396</v>
      </c>
    </row>
    <row r="3401" spans="1:5" x14ac:dyDescent="0.55000000000000004">
      <c r="A3401" t="s">
        <v>3482</v>
      </c>
      <c r="B3401" t="s">
        <v>78</v>
      </c>
      <c r="C3401" s="2">
        <v>45243</v>
      </c>
      <c r="D3401" t="s">
        <v>29</v>
      </c>
      <c r="E3401">
        <v>2986</v>
      </c>
    </row>
    <row r="3402" spans="1:5" x14ac:dyDescent="0.55000000000000004">
      <c r="A3402" t="s">
        <v>3483</v>
      </c>
      <c r="B3402" t="s">
        <v>78</v>
      </c>
      <c r="C3402" s="2">
        <v>43699</v>
      </c>
      <c r="D3402" t="s">
        <v>26</v>
      </c>
      <c r="E3402">
        <v>2266</v>
      </c>
    </row>
    <row r="3403" spans="1:5" x14ac:dyDescent="0.55000000000000004">
      <c r="A3403" t="s">
        <v>3484</v>
      </c>
      <c r="B3403" t="s">
        <v>101</v>
      </c>
      <c r="C3403" s="2">
        <v>44394</v>
      </c>
      <c r="D3403" t="s">
        <v>29</v>
      </c>
      <c r="E3403">
        <v>2190</v>
      </c>
    </row>
    <row r="3404" spans="1:5" x14ac:dyDescent="0.55000000000000004">
      <c r="A3404" t="s">
        <v>3485</v>
      </c>
      <c r="B3404" t="s">
        <v>15</v>
      </c>
      <c r="C3404" s="2">
        <v>43785</v>
      </c>
      <c r="D3404" t="s">
        <v>29</v>
      </c>
      <c r="E3404">
        <v>665</v>
      </c>
    </row>
    <row r="3405" spans="1:5" x14ac:dyDescent="0.55000000000000004">
      <c r="A3405" t="s">
        <v>3486</v>
      </c>
      <c r="B3405" t="s">
        <v>101</v>
      </c>
      <c r="C3405" s="2">
        <v>43874</v>
      </c>
      <c r="D3405" t="s">
        <v>26</v>
      </c>
      <c r="E3405">
        <v>540</v>
      </c>
    </row>
    <row r="3406" spans="1:5" x14ac:dyDescent="0.55000000000000004">
      <c r="A3406" t="s">
        <v>3487</v>
      </c>
      <c r="B3406" t="s">
        <v>14</v>
      </c>
      <c r="C3406" s="2">
        <v>43491</v>
      </c>
      <c r="D3406" t="s">
        <v>29</v>
      </c>
      <c r="E3406">
        <v>350</v>
      </c>
    </row>
    <row r="3407" spans="1:5" x14ac:dyDescent="0.55000000000000004">
      <c r="A3407" t="s">
        <v>3488</v>
      </c>
      <c r="B3407" t="s">
        <v>63</v>
      </c>
      <c r="C3407" s="2">
        <v>44496</v>
      </c>
      <c r="D3407" t="s">
        <v>29</v>
      </c>
      <c r="E3407">
        <v>1382</v>
      </c>
    </row>
    <row r="3408" spans="1:5" x14ac:dyDescent="0.55000000000000004">
      <c r="A3408" t="s">
        <v>3489</v>
      </c>
      <c r="B3408" t="s">
        <v>23</v>
      </c>
      <c r="C3408" s="2">
        <v>44639</v>
      </c>
      <c r="D3408" t="s">
        <v>26</v>
      </c>
      <c r="E3408">
        <v>2521</v>
      </c>
    </row>
    <row r="3409" spans="1:5" x14ac:dyDescent="0.55000000000000004">
      <c r="A3409" t="s">
        <v>3490</v>
      </c>
      <c r="B3409" t="s">
        <v>84</v>
      </c>
      <c r="C3409" s="2">
        <v>43657</v>
      </c>
      <c r="D3409" t="s">
        <v>29</v>
      </c>
      <c r="E3409">
        <v>2700</v>
      </c>
    </row>
    <row r="3410" spans="1:5" x14ac:dyDescent="0.55000000000000004">
      <c r="A3410" t="s">
        <v>3491</v>
      </c>
      <c r="B3410" t="s">
        <v>84</v>
      </c>
      <c r="C3410" s="2">
        <v>44519</v>
      </c>
      <c r="D3410" t="s">
        <v>26</v>
      </c>
      <c r="E3410">
        <v>509</v>
      </c>
    </row>
    <row r="3411" spans="1:5" x14ac:dyDescent="0.55000000000000004">
      <c r="A3411" t="s">
        <v>3492</v>
      </c>
      <c r="B3411" t="s">
        <v>156</v>
      </c>
      <c r="C3411" s="2">
        <v>44081</v>
      </c>
      <c r="D3411" t="s">
        <v>29</v>
      </c>
      <c r="E3411">
        <v>1083</v>
      </c>
    </row>
    <row r="3412" spans="1:5" x14ac:dyDescent="0.55000000000000004">
      <c r="A3412" t="s">
        <v>3493</v>
      </c>
      <c r="B3412" t="s">
        <v>76</v>
      </c>
      <c r="C3412" s="2">
        <v>44198</v>
      </c>
      <c r="D3412" t="s">
        <v>29</v>
      </c>
      <c r="E3412">
        <v>1895</v>
      </c>
    </row>
    <row r="3413" spans="1:5" x14ac:dyDescent="0.55000000000000004">
      <c r="A3413" t="s">
        <v>3494</v>
      </c>
      <c r="B3413" t="s">
        <v>14</v>
      </c>
      <c r="C3413" s="2">
        <v>43817</v>
      </c>
      <c r="D3413" t="s">
        <v>26</v>
      </c>
      <c r="E3413">
        <v>1910</v>
      </c>
    </row>
    <row r="3414" spans="1:5" x14ac:dyDescent="0.55000000000000004">
      <c r="A3414" t="s">
        <v>3495</v>
      </c>
      <c r="B3414" t="s">
        <v>142</v>
      </c>
      <c r="C3414" s="2">
        <v>43651</v>
      </c>
      <c r="D3414" t="s">
        <v>29</v>
      </c>
      <c r="E3414">
        <v>2612</v>
      </c>
    </row>
    <row r="3415" spans="1:5" x14ac:dyDescent="0.55000000000000004">
      <c r="A3415" t="s">
        <v>3496</v>
      </c>
      <c r="B3415" t="s">
        <v>76</v>
      </c>
      <c r="C3415" s="2">
        <v>45745</v>
      </c>
      <c r="D3415" t="s">
        <v>26</v>
      </c>
      <c r="E3415">
        <v>1673</v>
      </c>
    </row>
    <row r="3416" spans="1:5" x14ac:dyDescent="0.55000000000000004">
      <c r="A3416" t="s">
        <v>3497</v>
      </c>
      <c r="B3416" t="s">
        <v>142</v>
      </c>
      <c r="C3416" s="2">
        <v>44103</v>
      </c>
      <c r="D3416" t="s">
        <v>26</v>
      </c>
      <c r="E3416">
        <v>1132</v>
      </c>
    </row>
    <row r="3417" spans="1:5" x14ac:dyDescent="0.55000000000000004">
      <c r="A3417" t="s">
        <v>3498</v>
      </c>
      <c r="B3417" t="s">
        <v>94</v>
      </c>
      <c r="C3417" s="2">
        <v>45724</v>
      </c>
      <c r="D3417" t="s">
        <v>29</v>
      </c>
      <c r="E3417">
        <v>262</v>
      </c>
    </row>
    <row r="3418" spans="1:5" x14ac:dyDescent="0.55000000000000004">
      <c r="A3418" t="s">
        <v>3499</v>
      </c>
      <c r="B3418" t="s">
        <v>15</v>
      </c>
      <c r="C3418" s="2">
        <v>43285</v>
      </c>
      <c r="D3418" t="s">
        <v>29</v>
      </c>
      <c r="E3418">
        <v>1131</v>
      </c>
    </row>
    <row r="3419" spans="1:5" x14ac:dyDescent="0.55000000000000004">
      <c r="A3419" t="s">
        <v>3500</v>
      </c>
      <c r="B3419" t="s">
        <v>84</v>
      </c>
      <c r="C3419" s="2">
        <v>43930</v>
      </c>
      <c r="D3419" t="s">
        <v>26</v>
      </c>
      <c r="E3419">
        <v>931</v>
      </c>
    </row>
    <row r="3420" spans="1:5" x14ac:dyDescent="0.55000000000000004">
      <c r="A3420" t="s">
        <v>3501</v>
      </c>
      <c r="B3420" t="s">
        <v>35</v>
      </c>
      <c r="C3420" s="2">
        <v>44188</v>
      </c>
      <c r="D3420" t="s">
        <v>26</v>
      </c>
      <c r="E3420">
        <v>2531</v>
      </c>
    </row>
    <row r="3421" spans="1:5" x14ac:dyDescent="0.55000000000000004">
      <c r="A3421" t="s">
        <v>3502</v>
      </c>
      <c r="B3421" t="s">
        <v>35</v>
      </c>
      <c r="C3421" s="2">
        <v>43932</v>
      </c>
      <c r="D3421" t="s">
        <v>26</v>
      </c>
      <c r="E3421">
        <v>468</v>
      </c>
    </row>
    <row r="3422" spans="1:5" x14ac:dyDescent="0.55000000000000004">
      <c r="A3422" t="s">
        <v>3503</v>
      </c>
      <c r="B3422" t="s">
        <v>35</v>
      </c>
      <c r="C3422" s="2">
        <v>43909</v>
      </c>
      <c r="D3422" t="s">
        <v>26</v>
      </c>
      <c r="E3422">
        <v>2803</v>
      </c>
    </row>
    <row r="3423" spans="1:5" x14ac:dyDescent="0.55000000000000004">
      <c r="A3423" t="s">
        <v>3504</v>
      </c>
      <c r="B3423" t="s">
        <v>67</v>
      </c>
      <c r="C3423" s="2">
        <v>45269</v>
      </c>
      <c r="D3423" t="s">
        <v>29</v>
      </c>
      <c r="E3423">
        <v>171</v>
      </c>
    </row>
    <row r="3424" spans="1:5" x14ac:dyDescent="0.55000000000000004">
      <c r="A3424" t="s">
        <v>3505</v>
      </c>
      <c r="B3424" t="s">
        <v>99</v>
      </c>
      <c r="C3424" s="2">
        <v>44399</v>
      </c>
      <c r="D3424" t="s">
        <v>26</v>
      </c>
      <c r="E3424">
        <v>2926</v>
      </c>
    </row>
    <row r="3425" spans="1:5" x14ac:dyDescent="0.55000000000000004">
      <c r="A3425" t="s">
        <v>3506</v>
      </c>
      <c r="B3425" t="s">
        <v>84</v>
      </c>
      <c r="C3425" s="2">
        <v>43444</v>
      </c>
      <c r="D3425" t="s">
        <v>26</v>
      </c>
      <c r="E3425">
        <v>2778</v>
      </c>
    </row>
    <row r="3426" spans="1:5" x14ac:dyDescent="0.55000000000000004">
      <c r="A3426" t="s">
        <v>3507</v>
      </c>
      <c r="B3426" t="s">
        <v>76</v>
      </c>
      <c r="C3426" s="2">
        <v>44913</v>
      </c>
      <c r="D3426" t="s">
        <v>26</v>
      </c>
      <c r="E3426">
        <v>2459</v>
      </c>
    </row>
    <row r="3427" spans="1:5" x14ac:dyDescent="0.55000000000000004">
      <c r="A3427" t="s">
        <v>3508</v>
      </c>
      <c r="B3427" t="s">
        <v>63</v>
      </c>
      <c r="C3427" s="2">
        <v>43633</v>
      </c>
      <c r="D3427" t="s">
        <v>26</v>
      </c>
      <c r="E3427">
        <v>317</v>
      </c>
    </row>
    <row r="3428" spans="1:5" x14ac:dyDescent="0.55000000000000004">
      <c r="A3428" t="s">
        <v>3509</v>
      </c>
      <c r="B3428" t="s">
        <v>67</v>
      </c>
      <c r="C3428" s="2">
        <v>45283</v>
      </c>
      <c r="D3428" t="s">
        <v>26</v>
      </c>
      <c r="E3428">
        <v>2093</v>
      </c>
    </row>
    <row r="3429" spans="1:5" x14ac:dyDescent="0.55000000000000004">
      <c r="A3429" t="s">
        <v>3510</v>
      </c>
      <c r="B3429" t="s">
        <v>74</v>
      </c>
      <c r="C3429" s="2">
        <v>43402</v>
      </c>
      <c r="D3429" t="s">
        <v>26</v>
      </c>
      <c r="E3429">
        <v>1334</v>
      </c>
    </row>
    <row r="3430" spans="1:5" x14ac:dyDescent="0.55000000000000004">
      <c r="A3430" t="s">
        <v>3511</v>
      </c>
      <c r="B3430" t="s">
        <v>23</v>
      </c>
      <c r="C3430" s="2">
        <v>44591</v>
      </c>
      <c r="D3430" t="s">
        <v>29</v>
      </c>
      <c r="E3430">
        <v>292</v>
      </c>
    </row>
    <row r="3431" spans="1:5" x14ac:dyDescent="0.55000000000000004">
      <c r="A3431" t="s">
        <v>3512</v>
      </c>
      <c r="B3431" t="s">
        <v>35</v>
      </c>
      <c r="C3431" s="2">
        <v>44704</v>
      </c>
      <c r="D3431" t="s">
        <v>29</v>
      </c>
      <c r="E3431">
        <v>586</v>
      </c>
    </row>
    <row r="3432" spans="1:5" x14ac:dyDescent="0.55000000000000004">
      <c r="A3432" t="s">
        <v>3513</v>
      </c>
      <c r="B3432" t="s">
        <v>14</v>
      </c>
      <c r="C3432" s="2">
        <v>43585</v>
      </c>
      <c r="D3432" t="s">
        <v>29</v>
      </c>
      <c r="E3432">
        <v>1372</v>
      </c>
    </row>
    <row r="3433" spans="1:5" x14ac:dyDescent="0.55000000000000004">
      <c r="A3433" t="s">
        <v>3514</v>
      </c>
      <c r="B3433" t="s">
        <v>140</v>
      </c>
      <c r="C3433" s="2">
        <v>44252</v>
      </c>
      <c r="D3433" t="s">
        <v>29</v>
      </c>
      <c r="E3433">
        <v>1927</v>
      </c>
    </row>
    <row r="3434" spans="1:5" x14ac:dyDescent="0.55000000000000004">
      <c r="A3434" t="s">
        <v>3515</v>
      </c>
      <c r="B3434" t="s">
        <v>156</v>
      </c>
      <c r="C3434" s="2">
        <v>44190</v>
      </c>
      <c r="D3434" t="s">
        <v>26</v>
      </c>
      <c r="E3434">
        <v>656</v>
      </c>
    </row>
    <row r="3435" spans="1:5" x14ac:dyDescent="0.55000000000000004">
      <c r="A3435" t="s">
        <v>3516</v>
      </c>
      <c r="B3435" t="s">
        <v>86</v>
      </c>
      <c r="C3435" s="2">
        <v>43008</v>
      </c>
      <c r="D3435" t="s">
        <v>29</v>
      </c>
      <c r="E3435">
        <v>614</v>
      </c>
    </row>
    <row r="3436" spans="1:5" x14ac:dyDescent="0.55000000000000004">
      <c r="A3436" t="s">
        <v>3517</v>
      </c>
      <c r="B3436" t="s">
        <v>23</v>
      </c>
      <c r="C3436" s="2">
        <v>43883</v>
      </c>
      <c r="D3436" t="s">
        <v>26</v>
      </c>
      <c r="E3436">
        <v>2494</v>
      </c>
    </row>
    <row r="3437" spans="1:5" x14ac:dyDescent="0.55000000000000004">
      <c r="A3437" t="s">
        <v>3518</v>
      </c>
      <c r="B3437" t="s">
        <v>151</v>
      </c>
      <c r="C3437" s="2">
        <v>43558</v>
      </c>
      <c r="D3437" t="s">
        <v>29</v>
      </c>
      <c r="E3437">
        <v>880</v>
      </c>
    </row>
    <row r="3438" spans="1:5" x14ac:dyDescent="0.55000000000000004">
      <c r="A3438" t="s">
        <v>3519</v>
      </c>
      <c r="B3438" t="s">
        <v>101</v>
      </c>
      <c r="C3438" s="2">
        <v>44110</v>
      </c>
      <c r="D3438" t="s">
        <v>26</v>
      </c>
      <c r="E3438">
        <v>2691</v>
      </c>
    </row>
    <row r="3439" spans="1:5" x14ac:dyDescent="0.55000000000000004">
      <c r="A3439" t="s">
        <v>3520</v>
      </c>
      <c r="B3439" t="s">
        <v>78</v>
      </c>
      <c r="C3439" s="2">
        <v>44080</v>
      </c>
      <c r="D3439" t="s">
        <v>29</v>
      </c>
      <c r="E3439">
        <v>2659</v>
      </c>
    </row>
    <row r="3440" spans="1:5" x14ac:dyDescent="0.55000000000000004">
      <c r="A3440" t="s">
        <v>3521</v>
      </c>
      <c r="B3440" t="s">
        <v>74</v>
      </c>
      <c r="C3440" s="2">
        <v>43075</v>
      </c>
      <c r="D3440" t="s">
        <v>26</v>
      </c>
      <c r="E3440">
        <v>2315</v>
      </c>
    </row>
    <row r="3441" spans="1:5" x14ac:dyDescent="0.55000000000000004">
      <c r="A3441" t="s">
        <v>3522</v>
      </c>
      <c r="B3441" t="s">
        <v>67</v>
      </c>
      <c r="C3441" s="2">
        <v>45818</v>
      </c>
      <c r="D3441" t="s">
        <v>29</v>
      </c>
      <c r="E3441">
        <v>2207</v>
      </c>
    </row>
    <row r="3442" spans="1:5" x14ac:dyDescent="0.55000000000000004">
      <c r="A3442" t="s">
        <v>3523</v>
      </c>
      <c r="B3442" t="s">
        <v>78</v>
      </c>
      <c r="C3442" s="2">
        <v>43962</v>
      </c>
      <c r="D3442" t="s">
        <v>26</v>
      </c>
      <c r="E3442">
        <v>2486</v>
      </c>
    </row>
    <row r="3443" spans="1:5" x14ac:dyDescent="0.55000000000000004">
      <c r="A3443" t="s">
        <v>3524</v>
      </c>
      <c r="B3443" t="s">
        <v>96</v>
      </c>
      <c r="C3443" s="2">
        <v>45614</v>
      </c>
      <c r="D3443" t="s">
        <v>29</v>
      </c>
      <c r="E3443">
        <v>1298</v>
      </c>
    </row>
    <row r="3444" spans="1:5" x14ac:dyDescent="0.55000000000000004">
      <c r="A3444" t="s">
        <v>3525</v>
      </c>
      <c r="B3444" t="s">
        <v>84</v>
      </c>
      <c r="C3444" s="2">
        <v>43316</v>
      </c>
      <c r="D3444" t="s">
        <v>29</v>
      </c>
      <c r="E3444">
        <v>999</v>
      </c>
    </row>
    <row r="3445" spans="1:5" x14ac:dyDescent="0.55000000000000004">
      <c r="A3445" t="s">
        <v>3526</v>
      </c>
      <c r="B3445" t="s">
        <v>111</v>
      </c>
      <c r="C3445" s="2">
        <v>43414</v>
      </c>
      <c r="D3445" t="s">
        <v>29</v>
      </c>
      <c r="E3445">
        <v>945</v>
      </c>
    </row>
    <row r="3446" spans="1:5" x14ac:dyDescent="0.55000000000000004">
      <c r="A3446" t="s">
        <v>3527</v>
      </c>
      <c r="B3446" t="s">
        <v>15</v>
      </c>
      <c r="C3446" s="2">
        <v>43561</v>
      </c>
      <c r="D3446" t="s">
        <v>26</v>
      </c>
      <c r="E3446">
        <v>2838</v>
      </c>
    </row>
    <row r="3447" spans="1:5" x14ac:dyDescent="0.55000000000000004">
      <c r="A3447" t="s">
        <v>3528</v>
      </c>
      <c r="B3447" t="s">
        <v>63</v>
      </c>
      <c r="C3447" s="2">
        <v>43828</v>
      </c>
      <c r="D3447" t="s">
        <v>29</v>
      </c>
      <c r="E3447">
        <v>1482</v>
      </c>
    </row>
    <row r="3448" spans="1:5" x14ac:dyDescent="0.55000000000000004">
      <c r="A3448" t="s">
        <v>3529</v>
      </c>
      <c r="B3448" t="s">
        <v>74</v>
      </c>
      <c r="C3448" s="2">
        <v>43637</v>
      </c>
      <c r="D3448" t="s">
        <v>26</v>
      </c>
      <c r="E3448">
        <v>1483</v>
      </c>
    </row>
    <row r="3449" spans="1:5" x14ac:dyDescent="0.55000000000000004">
      <c r="A3449" t="s">
        <v>3530</v>
      </c>
      <c r="B3449" t="s">
        <v>35</v>
      </c>
      <c r="C3449" s="2">
        <v>44822</v>
      </c>
      <c r="D3449" t="s">
        <v>26</v>
      </c>
      <c r="E3449">
        <v>1838</v>
      </c>
    </row>
    <row r="3450" spans="1:5" x14ac:dyDescent="0.55000000000000004">
      <c r="A3450" t="s">
        <v>3531</v>
      </c>
      <c r="B3450" t="s">
        <v>137</v>
      </c>
      <c r="C3450" s="2">
        <v>45181</v>
      </c>
      <c r="D3450" t="s">
        <v>26</v>
      </c>
      <c r="E3450">
        <v>2332</v>
      </c>
    </row>
    <row r="3451" spans="1:5" x14ac:dyDescent="0.55000000000000004">
      <c r="A3451" t="s">
        <v>3532</v>
      </c>
      <c r="B3451" t="s">
        <v>175</v>
      </c>
      <c r="C3451" s="2">
        <v>43979</v>
      </c>
      <c r="D3451" t="s">
        <v>26</v>
      </c>
      <c r="E3451">
        <v>1669</v>
      </c>
    </row>
    <row r="3452" spans="1:5" x14ac:dyDescent="0.55000000000000004">
      <c r="A3452" t="s">
        <v>3533</v>
      </c>
      <c r="B3452" t="s">
        <v>38</v>
      </c>
      <c r="C3452" s="2">
        <v>44113</v>
      </c>
      <c r="D3452" t="s">
        <v>29</v>
      </c>
      <c r="E3452">
        <v>1175</v>
      </c>
    </row>
    <row r="3453" spans="1:5" x14ac:dyDescent="0.55000000000000004">
      <c r="A3453" t="s">
        <v>3534</v>
      </c>
      <c r="B3453" t="s">
        <v>111</v>
      </c>
      <c r="C3453" s="2">
        <v>43559</v>
      </c>
      <c r="D3453" t="s">
        <v>26</v>
      </c>
      <c r="E3453">
        <v>333</v>
      </c>
    </row>
    <row r="3454" spans="1:5" x14ac:dyDescent="0.55000000000000004">
      <c r="A3454" t="s">
        <v>3535</v>
      </c>
      <c r="B3454" t="s">
        <v>140</v>
      </c>
      <c r="C3454" s="2">
        <v>43779</v>
      </c>
      <c r="D3454" t="s">
        <v>26</v>
      </c>
      <c r="E3454">
        <v>2359</v>
      </c>
    </row>
    <row r="3455" spans="1:5" x14ac:dyDescent="0.55000000000000004">
      <c r="A3455" t="s">
        <v>3536</v>
      </c>
      <c r="B3455" t="s">
        <v>96</v>
      </c>
      <c r="C3455" s="2">
        <v>44277</v>
      </c>
      <c r="D3455" t="s">
        <v>26</v>
      </c>
      <c r="E3455">
        <v>1859</v>
      </c>
    </row>
    <row r="3456" spans="1:5" x14ac:dyDescent="0.55000000000000004">
      <c r="A3456" t="s">
        <v>3537</v>
      </c>
      <c r="B3456" t="s">
        <v>14</v>
      </c>
      <c r="C3456" s="2">
        <v>43258</v>
      </c>
      <c r="D3456" t="s">
        <v>26</v>
      </c>
      <c r="E3456">
        <v>1714</v>
      </c>
    </row>
    <row r="3457" spans="1:5" x14ac:dyDescent="0.55000000000000004">
      <c r="A3457" t="s">
        <v>3538</v>
      </c>
      <c r="B3457" t="s">
        <v>84</v>
      </c>
      <c r="C3457" s="2">
        <v>44484</v>
      </c>
      <c r="D3457" t="s">
        <v>29</v>
      </c>
      <c r="E3457">
        <v>413</v>
      </c>
    </row>
    <row r="3458" spans="1:5" x14ac:dyDescent="0.55000000000000004">
      <c r="A3458" t="s">
        <v>3539</v>
      </c>
      <c r="B3458" t="s">
        <v>72</v>
      </c>
      <c r="C3458" s="2">
        <v>42986</v>
      </c>
      <c r="D3458" t="s">
        <v>29</v>
      </c>
      <c r="E3458">
        <v>98</v>
      </c>
    </row>
    <row r="3459" spans="1:5" x14ac:dyDescent="0.55000000000000004">
      <c r="A3459" t="s">
        <v>3540</v>
      </c>
      <c r="B3459" t="s">
        <v>41</v>
      </c>
      <c r="C3459" s="2">
        <v>44172</v>
      </c>
      <c r="D3459" t="s">
        <v>26</v>
      </c>
      <c r="E3459">
        <v>542</v>
      </c>
    </row>
    <row r="3460" spans="1:5" x14ac:dyDescent="0.55000000000000004">
      <c r="A3460" t="s">
        <v>3541</v>
      </c>
      <c r="B3460" t="s">
        <v>67</v>
      </c>
      <c r="C3460" s="2">
        <v>45634</v>
      </c>
      <c r="D3460" t="s">
        <v>29</v>
      </c>
      <c r="E3460">
        <v>1729</v>
      </c>
    </row>
    <row r="3461" spans="1:5" x14ac:dyDescent="0.55000000000000004">
      <c r="A3461" t="s">
        <v>3542</v>
      </c>
      <c r="B3461" t="s">
        <v>86</v>
      </c>
      <c r="C3461" s="2">
        <v>43178</v>
      </c>
      <c r="D3461" t="s">
        <v>29</v>
      </c>
      <c r="E3461">
        <v>2854</v>
      </c>
    </row>
    <row r="3462" spans="1:5" x14ac:dyDescent="0.55000000000000004">
      <c r="A3462" t="s">
        <v>3543</v>
      </c>
      <c r="B3462" t="s">
        <v>99</v>
      </c>
      <c r="C3462" s="2">
        <v>44454</v>
      </c>
      <c r="D3462" t="s">
        <v>29</v>
      </c>
      <c r="E3462">
        <v>487</v>
      </c>
    </row>
    <row r="3463" spans="1:5" x14ac:dyDescent="0.55000000000000004">
      <c r="A3463" t="s">
        <v>3544</v>
      </c>
      <c r="B3463" t="s">
        <v>111</v>
      </c>
      <c r="C3463" s="2">
        <v>43606</v>
      </c>
      <c r="D3463" t="s">
        <v>26</v>
      </c>
      <c r="E3463">
        <v>2958</v>
      </c>
    </row>
    <row r="3464" spans="1:5" x14ac:dyDescent="0.55000000000000004">
      <c r="A3464" t="s">
        <v>3545</v>
      </c>
      <c r="B3464" t="s">
        <v>142</v>
      </c>
      <c r="C3464" s="2">
        <v>43068</v>
      </c>
      <c r="D3464" t="s">
        <v>29</v>
      </c>
      <c r="E3464">
        <v>1838</v>
      </c>
    </row>
    <row r="3465" spans="1:5" x14ac:dyDescent="0.55000000000000004">
      <c r="A3465" t="s">
        <v>3546</v>
      </c>
      <c r="B3465" t="s">
        <v>140</v>
      </c>
      <c r="C3465" s="2">
        <v>44208</v>
      </c>
      <c r="D3465" t="s">
        <v>29</v>
      </c>
      <c r="E3465">
        <v>1784</v>
      </c>
    </row>
    <row r="3466" spans="1:5" x14ac:dyDescent="0.55000000000000004">
      <c r="A3466" t="s">
        <v>3547</v>
      </c>
      <c r="B3466" t="s">
        <v>156</v>
      </c>
      <c r="C3466" s="2">
        <v>44468</v>
      </c>
      <c r="D3466" t="s">
        <v>29</v>
      </c>
      <c r="E3466">
        <v>2867</v>
      </c>
    </row>
    <row r="3467" spans="1:5" x14ac:dyDescent="0.55000000000000004">
      <c r="A3467" t="s">
        <v>3548</v>
      </c>
      <c r="B3467" t="s">
        <v>72</v>
      </c>
      <c r="C3467" s="2">
        <v>44419</v>
      </c>
      <c r="D3467" t="s">
        <v>26</v>
      </c>
      <c r="E3467">
        <v>2964</v>
      </c>
    </row>
    <row r="3468" spans="1:5" x14ac:dyDescent="0.55000000000000004">
      <c r="A3468" t="s">
        <v>3549</v>
      </c>
      <c r="B3468" t="s">
        <v>118</v>
      </c>
      <c r="C3468" s="2">
        <v>45552</v>
      </c>
      <c r="D3468" t="s">
        <v>26</v>
      </c>
      <c r="E3468">
        <v>623</v>
      </c>
    </row>
    <row r="3469" spans="1:5" x14ac:dyDescent="0.55000000000000004">
      <c r="A3469" t="s">
        <v>3550</v>
      </c>
      <c r="B3469" t="s">
        <v>94</v>
      </c>
      <c r="C3469" s="2">
        <v>43497</v>
      </c>
      <c r="D3469" t="s">
        <v>29</v>
      </c>
      <c r="E3469">
        <v>2760</v>
      </c>
    </row>
    <row r="3470" spans="1:5" x14ac:dyDescent="0.55000000000000004">
      <c r="A3470" t="s">
        <v>3551</v>
      </c>
      <c r="B3470" t="s">
        <v>35</v>
      </c>
      <c r="C3470" s="2">
        <v>44759</v>
      </c>
      <c r="D3470" t="s">
        <v>29</v>
      </c>
      <c r="E3470">
        <v>1312</v>
      </c>
    </row>
    <row r="3471" spans="1:5" x14ac:dyDescent="0.55000000000000004">
      <c r="A3471" t="s">
        <v>3552</v>
      </c>
      <c r="B3471" t="s">
        <v>15</v>
      </c>
      <c r="C3471" s="2">
        <v>43278</v>
      </c>
      <c r="D3471" t="s">
        <v>29</v>
      </c>
      <c r="E3471">
        <v>396</v>
      </c>
    </row>
    <row r="3472" spans="1:5" x14ac:dyDescent="0.55000000000000004">
      <c r="A3472" t="s">
        <v>3553</v>
      </c>
      <c r="B3472" t="s">
        <v>63</v>
      </c>
      <c r="C3472" s="2">
        <v>43525</v>
      </c>
      <c r="D3472" t="s">
        <v>29</v>
      </c>
      <c r="E3472">
        <v>1397</v>
      </c>
    </row>
    <row r="3473" spans="1:5" x14ac:dyDescent="0.55000000000000004">
      <c r="A3473" t="s">
        <v>3554</v>
      </c>
      <c r="B3473" t="s">
        <v>142</v>
      </c>
      <c r="C3473" s="2">
        <v>44072</v>
      </c>
      <c r="D3473" t="s">
        <v>29</v>
      </c>
      <c r="E3473">
        <v>1168</v>
      </c>
    </row>
    <row r="3474" spans="1:5" x14ac:dyDescent="0.55000000000000004">
      <c r="A3474" t="s">
        <v>3555</v>
      </c>
      <c r="B3474" t="s">
        <v>111</v>
      </c>
      <c r="C3474" s="2">
        <v>43703</v>
      </c>
      <c r="D3474" t="s">
        <v>29</v>
      </c>
      <c r="E3474">
        <v>730</v>
      </c>
    </row>
    <row r="3475" spans="1:5" x14ac:dyDescent="0.55000000000000004">
      <c r="A3475" t="s">
        <v>3556</v>
      </c>
      <c r="B3475" t="s">
        <v>72</v>
      </c>
      <c r="C3475" s="2">
        <v>43002</v>
      </c>
      <c r="D3475" t="s">
        <v>26</v>
      </c>
      <c r="E3475">
        <v>1763</v>
      </c>
    </row>
    <row r="3476" spans="1:5" x14ac:dyDescent="0.55000000000000004">
      <c r="A3476" t="s">
        <v>3557</v>
      </c>
      <c r="B3476" t="s">
        <v>67</v>
      </c>
      <c r="C3476" s="2">
        <v>44605</v>
      </c>
      <c r="D3476" t="s">
        <v>29</v>
      </c>
      <c r="E3476">
        <v>407</v>
      </c>
    </row>
    <row r="3477" spans="1:5" x14ac:dyDescent="0.55000000000000004">
      <c r="A3477" t="s">
        <v>3558</v>
      </c>
      <c r="B3477" t="s">
        <v>86</v>
      </c>
      <c r="C3477" s="2">
        <v>43500</v>
      </c>
      <c r="D3477" t="s">
        <v>26</v>
      </c>
      <c r="E3477">
        <v>485</v>
      </c>
    </row>
    <row r="3478" spans="1:5" x14ac:dyDescent="0.55000000000000004">
      <c r="A3478" t="s">
        <v>3559</v>
      </c>
      <c r="B3478" t="s">
        <v>156</v>
      </c>
      <c r="C3478" s="2">
        <v>43477</v>
      </c>
      <c r="D3478" t="s">
        <v>29</v>
      </c>
      <c r="E3478">
        <v>1797</v>
      </c>
    </row>
    <row r="3479" spans="1:5" x14ac:dyDescent="0.55000000000000004">
      <c r="A3479" t="s">
        <v>3560</v>
      </c>
      <c r="B3479" t="s">
        <v>63</v>
      </c>
      <c r="C3479" s="2">
        <v>43263</v>
      </c>
      <c r="D3479" t="s">
        <v>29</v>
      </c>
      <c r="E3479">
        <v>1062</v>
      </c>
    </row>
    <row r="3480" spans="1:5" x14ac:dyDescent="0.55000000000000004">
      <c r="A3480" t="s">
        <v>3561</v>
      </c>
      <c r="B3480" t="s">
        <v>32</v>
      </c>
      <c r="C3480" s="2">
        <v>44048</v>
      </c>
      <c r="D3480" t="s">
        <v>26</v>
      </c>
      <c r="E3480">
        <v>2729</v>
      </c>
    </row>
    <row r="3481" spans="1:5" x14ac:dyDescent="0.55000000000000004">
      <c r="A3481" t="s">
        <v>3562</v>
      </c>
      <c r="B3481" t="s">
        <v>84</v>
      </c>
      <c r="C3481" s="2">
        <v>43205</v>
      </c>
      <c r="D3481" t="s">
        <v>26</v>
      </c>
      <c r="E3481">
        <v>847</v>
      </c>
    </row>
    <row r="3482" spans="1:5" x14ac:dyDescent="0.55000000000000004">
      <c r="A3482" t="s">
        <v>3563</v>
      </c>
      <c r="B3482" t="s">
        <v>99</v>
      </c>
      <c r="C3482" s="2">
        <v>45549</v>
      </c>
      <c r="D3482" t="s">
        <v>26</v>
      </c>
      <c r="E3482">
        <v>112</v>
      </c>
    </row>
    <row r="3483" spans="1:5" x14ac:dyDescent="0.55000000000000004">
      <c r="A3483" t="s">
        <v>3564</v>
      </c>
      <c r="B3483" t="s">
        <v>32</v>
      </c>
      <c r="C3483" s="2">
        <v>43912</v>
      </c>
      <c r="D3483" t="s">
        <v>26</v>
      </c>
      <c r="E3483">
        <v>27</v>
      </c>
    </row>
    <row r="3484" spans="1:5" x14ac:dyDescent="0.55000000000000004">
      <c r="A3484" t="s">
        <v>3565</v>
      </c>
      <c r="B3484" t="s">
        <v>96</v>
      </c>
      <c r="C3484" s="2">
        <v>43571</v>
      </c>
      <c r="D3484" t="s">
        <v>29</v>
      </c>
      <c r="E3484">
        <v>832</v>
      </c>
    </row>
    <row r="3485" spans="1:5" x14ac:dyDescent="0.55000000000000004">
      <c r="A3485" t="s">
        <v>3566</v>
      </c>
      <c r="B3485" t="s">
        <v>156</v>
      </c>
      <c r="C3485" s="2">
        <v>44086</v>
      </c>
      <c r="D3485" t="s">
        <v>29</v>
      </c>
      <c r="E3485">
        <v>2998</v>
      </c>
    </row>
    <row r="3486" spans="1:5" x14ac:dyDescent="0.55000000000000004">
      <c r="A3486" t="s">
        <v>3567</v>
      </c>
      <c r="B3486" t="s">
        <v>15</v>
      </c>
      <c r="C3486" s="2">
        <v>43983</v>
      </c>
      <c r="D3486" t="s">
        <v>26</v>
      </c>
      <c r="E3486">
        <v>1858</v>
      </c>
    </row>
    <row r="3487" spans="1:5" x14ac:dyDescent="0.55000000000000004">
      <c r="A3487" t="s">
        <v>3568</v>
      </c>
      <c r="B3487" t="s">
        <v>156</v>
      </c>
      <c r="C3487" s="2">
        <v>43141</v>
      </c>
      <c r="D3487" t="s">
        <v>26</v>
      </c>
      <c r="E3487">
        <v>1820</v>
      </c>
    </row>
    <row r="3488" spans="1:5" x14ac:dyDescent="0.55000000000000004">
      <c r="A3488" t="s">
        <v>3569</v>
      </c>
      <c r="B3488" t="s">
        <v>94</v>
      </c>
      <c r="C3488" s="2">
        <v>45236</v>
      </c>
      <c r="D3488" t="s">
        <v>29</v>
      </c>
      <c r="E3488">
        <v>1077</v>
      </c>
    </row>
    <row r="3489" spans="1:5" x14ac:dyDescent="0.55000000000000004">
      <c r="A3489" t="s">
        <v>3570</v>
      </c>
      <c r="B3489" t="s">
        <v>74</v>
      </c>
      <c r="C3489" s="2">
        <v>43197</v>
      </c>
      <c r="D3489" t="s">
        <v>29</v>
      </c>
      <c r="E3489">
        <v>2996</v>
      </c>
    </row>
    <row r="3490" spans="1:5" x14ac:dyDescent="0.55000000000000004">
      <c r="A3490" t="s">
        <v>3571</v>
      </c>
      <c r="B3490" t="s">
        <v>38</v>
      </c>
      <c r="C3490" s="2">
        <v>44069</v>
      </c>
      <c r="D3490" t="s">
        <v>29</v>
      </c>
      <c r="E3490">
        <v>323</v>
      </c>
    </row>
    <row r="3491" spans="1:5" x14ac:dyDescent="0.55000000000000004">
      <c r="A3491" t="s">
        <v>3572</v>
      </c>
      <c r="B3491" t="s">
        <v>78</v>
      </c>
      <c r="C3491" s="2">
        <v>44377</v>
      </c>
      <c r="D3491" t="s">
        <v>26</v>
      </c>
      <c r="E3491">
        <v>1339</v>
      </c>
    </row>
    <row r="3492" spans="1:5" x14ac:dyDescent="0.55000000000000004">
      <c r="A3492" t="s">
        <v>3573</v>
      </c>
      <c r="B3492" t="s">
        <v>105</v>
      </c>
      <c r="C3492" s="2">
        <v>43955</v>
      </c>
      <c r="D3492" t="s">
        <v>29</v>
      </c>
      <c r="E3492">
        <v>1130</v>
      </c>
    </row>
    <row r="3493" spans="1:5" x14ac:dyDescent="0.55000000000000004">
      <c r="A3493" t="s">
        <v>3574</v>
      </c>
      <c r="B3493" t="s">
        <v>15</v>
      </c>
      <c r="C3493" s="2">
        <v>44208</v>
      </c>
      <c r="D3493" t="s">
        <v>26</v>
      </c>
      <c r="E3493">
        <v>2895</v>
      </c>
    </row>
    <row r="3494" spans="1:5" x14ac:dyDescent="0.55000000000000004">
      <c r="A3494" t="s">
        <v>3575</v>
      </c>
      <c r="B3494" t="s">
        <v>41</v>
      </c>
      <c r="C3494" s="2">
        <v>44475</v>
      </c>
      <c r="D3494" t="s">
        <v>26</v>
      </c>
      <c r="E3494">
        <v>1775</v>
      </c>
    </row>
    <row r="3495" spans="1:5" x14ac:dyDescent="0.55000000000000004">
      <c r="A3495" t="s">
        <v>3576</v>
      </c>
      <c r="B3495" t="s">
        <v>115</v>
      </c>
      <c r="C3495" s="2">
        <v>44361</v>
      </c>
      <c r="D3495" t="s">
        <v>29</v>
      </c>
      <c r="E3495">
        <v>779</v>
      </c>
    </row>
    <row r="3496" spans="1:5" x14ac:dyDescent="0.55000000000000004">
      <c r="A3496" t="s">
        <v>3577</v>
      </c>
      <c r="B3496" t="s">
        <v>175</v>
      </c>
      <c r="C3496" s="2">
        <v>45752</v>
      </c>
      <c r="D3496" t="s">
        <v>26</v>
      </c>
      <c r="E3496">
        <v>2598</v>
      </c>
    </row>
    <row r="3497" spans="1:5" x14ac:dyDescent="0.55000000000000004">
      <c r="A3497" t="s">
        <v>3578</v>
      </c>
      <c r="B3497" t="s">
        <v>35</v>
      </c>
      <c r="C3497" s="2">
        <v>43847</v>
      </c>
      <c r="D3497" t="s">
        <v>26</v>
      </c>
      <c r="E3497">
        <v>560</v>
      </c>
    </row>
    <row r="3498" spans="1:5" x14ac:dyDescent="0.55000000000000004">
      <c r="A3498" t="s">
        <v>3579</v>
      </c>
      <c r="B3498" t="s">
        <v>23</v>
      </c>
      <c r="C3498" s="2">
        <v>44601</v>
      </c>
      <c r="D3498" t="s">
        <v>26</v>
      </c>
      <c r="E3498">
        <v>2758</v>
      </c>
    </row>
    <row r="3499" spans="1:5" x14ac:dyDescent="0.55000000000000004">
      <c r="A3499" t="s">
        <v>3580</v>
      </c>
      <c r="B3499" t="s">
        <v>151</v>
      </c>
      <c r="C3499" s="2">
        <v>43460</v>
      </c>
      <c r="D3499" t="s">
        <v>29</v>
      </c>
      <c r="E3499">
        <v>620</v>
      </c>
    </row>
    <row r="3500" spans="1:5" x14ac:dyDescent="0.55000000000000004">
      <c r="A3500" t="s">
        <v>3581</v>
      </c>
      <c r="B3500" t="s">
        <v>96</v>
      </c>
      <c r="C3500" s="2">
        <v>44232</v>
      </c>
      <c r="D3500" t="s">
        <v>29</v>
      </c>
      <c r="E3500">
        <v>1157</v>
      </c>
    </row>
    <row r="3501" spans="1:5" x14ac:dyDescent="0.55000000000000004">
      <c r="A3501" t="s">
        <v>3582</v>
      </c>
      <c r="B3501" t="s">
        <v>72</v>
      </c>
      <c r="C3501" s="2">
        <v>43323</v>
      </c>
      <c r="D3501" t="s">
        <v>26</v>
      </c>
      <c r="E3501">
        <v>2114</v>
      </c>
    </row>
    <row r="3502" spans="1:5" x14ac:dyDescent="0.55000000000000004">
      <c r="A3502" t="s">
        <v>3583</v>
      </c>
      <c r="B3502" t="s">
        <v>76</v>
      </c>
      <c r="C3502" s="2">
        <v>44343</v>
      </c>
      <c r="D3502" t="s">
        <v>26</v>
      </c>
      <c r="E3502">
        <v>1778</v>
      </c>
    </row>
    <row r="3503" spans="1:5" x14ac:dyDescent="0.55000000000000004">
      <c r="A3503" t="s">
        <v>3584</v>
      </c>
      <c r="B3503" t="s">
        <v>74</v>
      </c>
      <c r="C3503" s="2">
        <v>43921</v>
      </c>
      <c r="D3503" t="s">
        <v>26</v>
      </c>
      <c r="E3503">
        <v>2908</v>
      </c>
    </row>
    <row r="3504" spans="1:5" x14ac:dyDescent="0.55000000000000004">
      <c r="A3504" t="s">
        <v>3585</v>
      </c>
      <c r="B3504" t="s">
        <v>105</v>
      </c>
      <c r="C3504" s="2">
        <v>42996</v>
      </c>
      <c r="D3504" t="s">
        <v>29</v>
      </c>
      <c r="E3504">
        <v>2817</v>
      </c>
    </row>
    <row r="3505" spans="1:5" x14ac:dyDescent="0.55000000000000004">
      <c r="A3505" t="s">
        <v>3586</v>
      </c>
      <c r="B3505" t="s">
        <v>84</v>
      </c>
      <c r="C3505" s="2">
        <v>44173</v>
      </c>
      <c r="D3505" t="s">
        <v>29</v>
      </c>
      <c r="E3505">
        <v>2584</v>
      </c>
    </row>
    <row r="3506" spans="1:5" x14ac:dyDescent="0.55000000000000004">
      <c r="A3506" t="s">
        <v>3587</v>
      </c>
      <c r="B3506" t="s">
        <v>23</v>
      </c>
      <c r="C3506" s="2">
        <v>44311</v>
      </c>
      <c r="D3506" t="s">
        <v>29</v>
      </c>
      <c r="E3506">
        <v>1983</v>
      </c>
    </row>
    <row r="3507" spans="1:5" x14ac:dyDescent="0.55000000000000004">
      <c r="A3507" t="s">
        <v>3588</v>
      </c>
      <c r="B3507" t="s">
        <v>67</v>
      </c>
      <c r="C3507" s="2">
        <v>44203</v>
      </c>
      <c r="D3507" t="s">
        <v>29</v>
      </c>
      <c r="E3507">
        <v>949</v>
      </c>
    </row>
    <row r="3508" spans="1:5" x14ac:dyDescent="0.55000000000000004">
      <c r="A3508" t="s">
        <v>3589</v>
      </c>
      <c r="B3508" t="s">
        <v>94</v>
      </c>
      <c r="C3508" s="2">
        <v>44662</v>
      </c>
      <c r="D3508" t="s">
        <v>29</v>
      </c>
      <c r="E3508">
        <v>2007</v>
      </c>
    </row>
    <row r="3509" spans="1:5" x14ac:dyDescent="0.55000000000000004">
      <c r="A3509" t="s">
        <v>3590</v>
      </c>
      <c r="B3509" t="s">
        <v>137</v>
      </c>
      <c r="C3509" s="2">
        <v>45072</v>
      </c>
      <c r="D3509" t="s">
        <v>29</v>
      </c>
      <c r="E3509">
        <v>2225</v>
      </c>
    </row>
    <row r="3510" spans="1:5" x14ac:dyDescent="0.55000000000000004">
      <c r="A3510" t="s">
        <v>3591</v>
      </c>
      <c r="B3510" t="s">
        <v>96</v>
      </c>
      <c r="C3510" s="2">
        <v>44676</v>
      </c>
      <c r="D3510" t="s">
        <v>26</v>
      </c>
      <c r="E3510">
        <v>896</v>
      </c>
    </row>
    <row r="3511" spans="1:5" x14ac:dyDescent="0.55000000000000004">
      <c r="A3511" t="s">
        <v>3592</v>
      </c>
      <c r="B3511" t="s">
        <v>115</v>
      </c>
      <c r="C3511" s="2">
        <v>44463</v>
      </c>
      <c r="D3511" t="s">
        <v>29</v>
      </c>
      <c r="E3511">
        <v>1718</v>
      </c>
    </row>
    <row r="3512" spans="1:5" x14ac:dyDescent="0.55000000000000004">
      <c r="A3512" t="s">
        <v>3593</v>
      </c>
      <c r="B3512" t="s">
        <v>15</v>
      </c>
      <c r="C3512" s="2">
        <v>43583</v>
      </c>
      <c r="D3512" t="s">
        <v>26</v>
      </c>
      <c r="E3512">
        <v>2713</v>
      </c>
    </row>
    <row r="3513" spans="1:5" x14ac:dyDescent="0.55000000000000004">
      <c r="A3513" t="s">
        <v>3594</v>
      </c>
      <c r="B3513" t="s">
        <v>140</v>
      </c>
      <c r="C3513" s="2">
        <v>43154</v>
      </c>
      <c r="D3513" t="s">
        <v>26</v>
      </c>
      <c r="E3513">
        <v>1903</v>
      </c>
    </row>
    <row r="3514" spans="1:5" x14ac:dyDescent="0.55000000000000004">
      <c r="A3514" t="s">
        <v>3595</v>
      </c>
      <c r="B3514" t="s">
        <v>111</v>
      </c>
      <c r="C3514" s="2">
        <v>44269</v>
      </c>
      <c r="D3514" t="s">
        <v>26</v>
      </c>
      <c r="E3514">
        <v>1423</v>
      </c>
    </row>
    <row r="3515" spans="1:5" x14ac:dyDescent="0.55000000000000004">
      <c r="A3515" t="s">
        <v>3596</v>
      </c>
      <c r="B3515" t="s">
        <v>41</v>
      </c>
      <c r="C3515" s="2">
        <v>44646</v>
      </c>
      <c r="D3515" t="s">
        <v>26</v>
      </c>
      <c r="E3515">
        <v>1981</v>
      </c>
    </row>
    <row r="3516" spans="1:5" x14ac:dyDescent="0.55000000000000004">
      <c r="A3516" t="s">
        <v>3597</v>
      </c>
      <c r="B3516" t="s">
        <v>175</v>
      </c>
      <c r="C3516" s="2">
        <v>45469</v>
      </c>
      <c r="D3516" t="s">
        <v>29</v>
      </c>
      <c r="E3516">
        <v>2814</v>
      </c>
    </row>
    <row r="3517" spans="1:5" x14ac:dyDescent="0.55000000000000004">
      <c r="A3517" t="s">
        <v>3598</v>
      </c>
      <c r="B3517" t="s">
        <v>63</v>
      </c>
      <c r="C3517" s="2">
        <v>42976</v>
      </c>
      <c r="D3517" t="s">
        <v>29</v>
      </c>
      <c r="E3517">
        <v>1097</v>
      </c>
    </row>
    <row r="3518" spans="1:5" x14ac:dyDescent="0.55000000000000004">
      <c r="A3518" t="s">
        <v>3599</v>
      </c>
      <c r="B3518" t="s">
        <v>67</v>
      </c>
      <c r="C3518" s="2">
        <v>44347</v>
      </c>
      <c r="D3518" t="s">
        <v>29</v>
      </c>
      <c r="E3518">
        <v>249</v>
      </c>
    </row>
    <row r="3519" spans="1:5" x14ac:dyDescent="0.55000000000000004">
      <c r="A3519" t="s">
        <v>3600</v>
      </c>
      <c r="B3519" t="s">
        <v>99</v>
      </c>
      <c r="C3519" s="2">
        <v>44789</v>
      </c>
      <c r="D3519" t="s">
        <v>29</v>
      </c>
      <c r="E3519">
        <v>2764</v>
      </c>
    </row>
    <row r="3520" spans="1:5" x14ac:dyDescent="0.55000000000000004">
      <c r="A3520" t="s">
        <v>3601</v>
      </c>
      <c r="B3520" t="s">
        <v>111</v>
      </c>
      <c r="C3520" s="2">
        <v>43759</v>
      </c>
      <c r="D3520" t="s">
        <v>29</v>
      </c>
      <c r="E3520">
        <v>1810</v>
      </c>
    </row>
    <row r="3521" spans="1:5" x14ac:dyDescent="0.55000000000000004">
      <c r="A3521" t="s">
        <v>3602</v>
      </c>
      <c r="B3521" t="s">
        <v>140</v>
      </c>
      <c r="C3521" s="2">
        <v>43733</v>
      </c>
      <c r="D3521" t="s">
        <v>29</v>
      </c>
      <c r="E3521">
        <v>223</v>
      </c>
    </row>
    <row r="3522" spans="1:5" x14ac:dyDescent="0.55000000000000004">
      <c r="A3522" t="s">
        <v>3603</v>
      </c>
      <c r="B3522" t="s">
        <v>84</v>
      </c>
      <c r="C3522" s="2">
        <v>43911</v>
      </c>
      <c r="D3522" t="s">
        <v>26</v>
      </c>
      <c r="E3522">
        <v>1391</v>
      </c>
    </row>
    <row r="3523" spans="1:5" x14ac:dyDescent="0.55000000000000004">
      <c r="A3523" t="s">
        <v>3604</v>
      </c>
      <c r="B3523" t="s">
        <v>35</v>
      </c>
      <c r="C3523" s="2">
        <v>43924</v>
      </c>
      <c r="D3523" t="s">
        <v>29</v>
      </c>
      <c r="E3523">
        <v>1833</v>
      </c>
    </row>
    <row r="3524" spans="1:5" x14ac:dyDescent="0.55000000000000004">
      <c r="A3524" t="s">
        <v>3605</v>
      </c>
      <c r="B3524" t="s">
        <v>140</v>
      </c>
      <c r="C3524" s="2">
        <v>43370</v>
      </c>
      <c r="D3524" t="s">
        <v>26</v>
      </c>
      <c r="E3524">
        <v>2195</v>
      </c>
    </row>
    <row r="3525" spans="1:5" x14ac:dyDescent="0.55000000000000004">
      <c r="A3525" t="s">
        <v>3606</v>
      </c>
      <c r="B3525" t="s">
        <v>151</v>
      </c>
      <c r="C3525" s="2">
        <v>44513</v>
      </c>
      <c r="D3525" t="s">
        <v>26</v>
      </c>
      <c r="E3525">
        <v>2512</v>
      </c>
    </row>
    <row r="3526" spans="1:5" x14ac:dyDescent="0.55000000000000004">
      <c r="A3526" t="s">
        <v>3607</v>
      </c>
      <c r="B3526" t="s">
        <v>32</v>
      </c>
      <c r="C3526" s="2">
        <v>44506</v>
      </c>
      <c r="D3526" t="s">
        <v>26</v>
      </c>
      <c r="E3526">
        <v>2477</v>
      </c>
    </row>
    <row r="3527" spans="1:5" x14ac:dyDescent="0.55000000000000004">
      <c r="A3527" t="s">
        <v>3608</v>
      </c>
      <c r="B3527" t="s">
        <v>99</v>
      </c>
      <c r="C3527" s="2">
        <v>43547</v>
      </c>
      <c r="D3527" t="s">
        <v>26</v>
      </c>
      <c r="E3527">
        <v>1553</v>
      </c>
    </row>
    <row r="3528" spans="1:5" x14ac:dyDescent="0.55000000000000004">
      <c r="A3528" t="s">
        <v>3609</v>
      </c>
      <c r="B3528" t="s">
        <v>74</v>
      </c>
      <c r="C3528" s="2">
        <v>44515</v>
      </c>
      <c r="D3528" t="s">
        <v>29</v>
      </c>
      <c r="E3528">
        <v>1444</v>
      </c>
    </row>
    <row r="3529" spans="1:5" x14ac:dyDescent="0.55000000000000004">
      <c r="A3529" t="s">
        <v>3610</v>
      </c>
      <c r="B3529" t="s">
        <v>118</v>
      </c>
      <c r="C3529" s="2">
        <v>45730</v>
      </c>
      <c r="D3529" t="s">
        <v>26</v>
      </c>
      <c r="E3529">
        <v>2682</v>
      </c>
    </row>
    <row r="3530" spans="1:5" x14ac:dyDescent="0.55000000000000004">
      <c r="A3530" t="s">
        <v>3611</v>
      </c>
      <c r="B3530" t="s">
        <v>142</v>
      </c>
      <c r="C3530" s="2">
        <v>43979</v>
      </c>
      <c r="D3530" t="s">
        <v>26</v>
      </c>
      <c r="E3530">
        <v>1483</v>
      </c>
    </row>
    <row r="3531" spans="1:5" x14ac:dyDescent="0.55000000000000004">
      <c r="A3531" t="s">
        <v>3612</v>
      </c>
      <c r="B3531" t="s">
        <v>99</v>
      </c>
      <c r="C3531" s="2">
        <v>44278</v>
      </c>
      <c r="D3531" t="s">
        <v>26</v>
      </c>
      <c r="E3531">
        <v>2194</v>
      </c>
    </row>
    <row r="3532" spans="1:5" x14ac:dyDescent="0.55000000000000004">
      <c r="A3532" t="s">
        <v>3613</v>
      </c>
      <c r="B3532" t="s">
        <v>101</v>
      </c>
      <c r="C3532" s="2">
        <v>44387</v>
      </c>
      <c r="D3532" t="s">
        <v>26</v>
      </c>
      <c r="E3532">
        <v>1188</v>
      </c>
    </row>
    <row r="3533" spans="1:5" x14ac:dyDescent="0.55000000000000004">
      <c r="A3533" t="s">
        <v>3614</v>
      </c>
      <c r="B3533" t="s">
        <v>137</v>
      </c>
      <c r="C3533" s="2">
        <v>44127</v>
      </c>
      <c r="D3533" t="s">
        <v>29</v>
      </c>
      <c r="E3533">
        <v>1357</v>
      </c>
    </row>
    <row r="3534" spans="1:5" x14ac:dyDescent="0.55000000000000004">
      <c r="A3534" t="s">
        <v>3615</v>
      </c>
      <c r="B3534" t="s">
        <v>140</v>
      </c>
      <c r="C3534" s="2">
        <v>43358</v>
      </c>
      <c r="D3534" t="s">
        <v>26</v>
      </c>
      <c r="E3534">
        <v>55</v>
      </c>
    </row>
    <row r="3535" spans="1:5" x14ac:dyDescent="0.55000000000000004">
      <c r="A3535" t="s">
        <v>3616</v>
      </c>
      <c r="B3535" t="s">
        <v>142</v>
      </c>
      <c r="C3535" s="2">
        <v>42958</v>
      </c>
      <c r="D3535" t="s">
        <v>26</v>
      </c>
      <c r="E3535">
        <v>2054</v>
      </c>
    </row>
    <row r="3536" spans="1:5" x14ac:dyDescent="0.55000000000000004">
      <c r="A3536" t="s">
        <v>3617</v>
      </c>
      <c r="B3536" t="s">
        <v>101</v>
      </c>
      <c r="C3536" s="2">
        <v>44537</v>
      </c>
      <c r="D3536" t="s">
        <v>29</v>
      </c>
      <c r="E3536">
        <v>173</v>
      </c>
    </row>
    <row r="3537" spans="1:5" x14ac:dyDescent="0.55000000000000004">
      <c r="A3537" t="s">
        <v>3618</v>
      </c>
      <c r="B3537" t="s">
        <v>105</v>
      </c>
      <c r="C3537" s="2">
        <v>43496</v>
      </c>
      <c r="D3537" t="s">
        <v>29</v>
      </c>
      <c r="E3537">
        <v>99</v>
      </c>
    </row>
    <row r="3538" spans="1:5" x14ac:dyDescent="0.55000000000000004">
      <c r="A3538" t="s">
        <v>3619</v>
      </c>
      <c r="B3538" t="s">
        <v>63</v>
      </c>
      <c r="C3538" s="2">
        <v>44210</v>
      </c>
      <c r="D3538" t="s">
        <v>26</v>
      </c>
      <c r="E3538">
        <v>138</v>
      </c>
    </row>
    <row r="3539" spans="1:5" x14ac:dyDescent="0.55000000000000004">
      <c r="A3539" t="s">
        <v>3620</v>
      </c>
      <c r="B3539" t="s">
        <v>84</v>
      </c>
      <c r="C3539" s="2">
        <v>44452</v>
      </c>
      <c r="D3539" t="s">
        <v>26</v>
      </c>
      <c r="E3539">
        <v>1547</v>
      </c>
    </row>
    <row r="3540" spans="1:5" x14ac:dyDescent="0.55000000000000004">
      <c r="A3540" t="s">
        <v>3621</v>
      </c>
      <c r="B3540" t="s">
        <v>35</v>
      </c>
      <c r="C3540" s="2">
        <v>44651</v>
      </c>
      <c r="D3540" t="s">
        <v>26</v>
      </c>
      <c r="E3540">
        <v>1105</v>
      </c>
    </row>
    <row r="3541" spans="1:5" x14ac:dyDescent="0.55000000000000004">
      <c r="A3541" t="s">
        <v>3622</v>
      </c>
      <c r="B3541" t="s">
        <v>76</v>
      </c>
      <c r="C3541" s="2">
        <v>43813</v>
      </c>
      <c r="D3541" t="s">
        <v>26</v>
      </c>
      <c r="E3541">
        <v>302</v>
      </c>
    </row>
    <row r="3542" spans="1:5" x14ac:dyDescent="0.55000000000000004">
      <c r="A3542" t="s">
        <v>3623</v>
      </c>
      <c r="B3542" t="s">
        <v>67</v>
      </c>
      <c r="C3542" s="2">
        <v>45167</v>
      </c>
      <c r="D3542" t="s">
        <v>26</v>
      </c>
      <c r="E3542">
        <v>60</v>
      </c>
    </row>
    <row r="3543" spans="1:5" x14ac:dyDescent="0.55000000000000004">
      <c r="A3543" t="s">
        <v>3624</v>
      </c>
      <c r="B3543" t="s">
        <v>78</v>
      </c>
      <c r="C3543" s="2">
        <v>45684</v>
      </c>
      <c r="D3543" t="s">
        <v>26</v>
      </c>
      <c r="E3543">
        <v>391</v>
      </c>
    </row>
    <row r="3544" spans="1:5" x14ac:dyDescent="0.55000000000000004">
      <c r="A3544" t="s">
        <v>3625</v>
      </c>
      <c r="B3544" t="s">
        <v>78</v>
      </c>
      <c r="C3544" s="2">
        <v>45068</v>
      </c>
      <c r="D3544" t="s">
        <v>26</v>
      </c>
      <c r="E3544">
        <v>2480</v>
      </c>
    </row>
    <row r="3545" spans="1:5" x14ac:dyDescent="0.55000000000000004">
      <c r="A3545" t="s">
        <v>3626</v>
      </c>
      <c r="B3545" t="s">
        <v>76</v>
      </c>
      <c r="C3545" s="2">
        <v>44744</v>
      </c>
      <c r="D3545" t="s">
        <v>29</v>
      </c>
      <c r="E3545">
        <v>1741</v>
      </c>
    </row>
    <row r="3546" spans="1:5" x14ac:dyDescent="0.55000000000000004">
      <c r="A3546" t="s">
        <v>3627</v>
      </c>
      <c r="B3546" t="s">
        <v>67</v>
      </c>
      <c r="C3546" s="2">
        <v>43561</v>
      </c>
      <c r="D3546" t="s">
        <v>29</v>
      </c>
      <c r="E3546">
        <v>1122</v>
      </c>
    </row>
    <row r="3547" spans="1:5" x14ac:dyDescent="0.55000000000000004">
      <c r="A3547" t="s">
        <v>3628</v>
      </c>
      <c r="B3547" t="s">
        <v>15</v>
      </c>
      <c r="C3547" s="2">
        <v>43332</v>
      </c>
      <c r="D3547" t="s">
        <v>26</v>
      </c>
      <c r="E3547">
        <v>1082</v>
      </c>
    </row>
    <row r="3548" spans="1:5" x14ac:dyDescent="0.55000000000000004">
      <c r="A3548" t="s">
        <v>3629</v>
      </c>
      <c r="B3548" t="s">
        <v>35</v>
      </c>
      <c r="C3548" s="2">
        <v>44796</v>
      </c>
      <c r="D3548" t="s">
        <v>29</v>
      </c>
      <c r="E3548">
        <v>1192</v>
      </c>
    </row>
    <row r="3549" spans="1:5" x14ac:dyDescent="0.55000000000000004">
      <c r="A3549" t="s">
        <v>3630</v>
      </c>
      <c r="B3549" t="s">
        <v>140</v>
      </c>
      <c r="C3549" s="2">
        <v>43107</v>
      </c>
      <c r="D3549" t="s">
        <v>26</v>
      </c>
      <c r="E3549">
        <v>1664</v>
      </c>
    </row>
    <row r="3550" spans="1:5" x14ac:dyDescent="0.55000000000000004">
      <c r="A3550" t="s">
        <v>3631</v>
      </c>
      <c r="B3550" t="s">
        <v>99</v>
      </c>
      <c r="C3550" s="2">
        <v>44606</v>
      </c>
      <c r="D3550" t="s">
        <v>29</v>
      </c>
      <c r="E3550">
        <v>1164</v>
      </c>
    </row>
    <row r="3551" spans="1:5" x14ac:dyDescent="0.55000000000000004">
      <c r="A3551" t="s">
        <v>3632</v>
      </c>
      <c r="B3551" t="s">
        <v>41</v>
      </c>
      <c r="C3551" s="2">
        <v>44923</v>
      </c>
      <c r="D3551" t="s">
        <v>26</v>
      </c>
      <c r="E3551">
        <v>1566</v>
      </c>
    </row>
    <row r="3552" spans="1:5" x14ac:dyDescent="0.55000000000000004">
      <c r="A3552" t="s">
        <v>3633</v>
      </c>
      <c r="B3552" t="s">
        <v>14</v>
      </c>
      <c r="C3552" s="2">
        <v>43934</v>
      </c>
      <c r="D3552" t="s">
        <v>29</v>
      </c>
      <c r="E3552">
        <v>1526</v>
      </c>
    </row>
    <row r="3553" spans="1:5" x14ac:dyDescent="0.55000000000000004">
      <c r="A3553" t="s">
        <v>3634</v>
      </c>
      <c r="B3553" t="s">
        <v>118</v>
      </c>
      <c r="C3553" s="2">
        <v>45704</v>
      </c>
      <c r="D3553" t="s">
        <v>26</v>
      </c>
      <c r="E3553">
        <v>1852</v>
      </c>
    </row>
    <row r="3554" spans="1:5" x14ac:dyDescent="0.55000000000000004">
      <c r="A3554" t="s">
        <v>3635</v>
      </c>
      <c r="B3554" t="s">
        <v>63</v>
      </c>
      <c r="C3554" s="2">
        <v>44100</v>
      </c>
      <c r="D3554" t="s">
        <v>26</v>
      </c>
      <c r="E3554">
        <v>1627</v>
      </c>
    </row>
    <row r="3555" spans="1:5" x14ac:dyDescent="0.55000000000000004">
      <c r="A3555" t="s">
        <v>3636</v>
      </c>
      <c r="B3555" t="s">
        <v>118</v>
      </c>
      <c r="C3555" s="2">
        <v>44416</v>
      </c>
      <c r="D3555" t="s">
        <v>29</v>
      </c>
      <c r="E3555">
        <v>1514</v>
      </c>
    </row>
    <row r="3556" spans="1:5" x14ac:dyDescent="0.55000000000000004">
      <c r="A3556" t="s">
        <v>3637</v>
      </c>
      <c r="B3556" t="s">
        <v>96</v>
      </c>
      <c r="C3556" s="2">
        <v>45772</v>
      </c>
      <c r="D3556" t="s">
        <v>26</v>
      </c>
      <c r="E3556">
        <v>2632</v>
      </c>
    </row>
    <row r="3557" spans="1:5" x14ac:dyDescent="0.55000000000000004">
      <c r="A3557" t="s">
        <v>3638</v>
      </c>
      <c r="B3557" t="s">
        <v>156</v>
      </c>
      <c r="C3557" s="2">
        <v>43597</v>
      </c>
      <c r="D3557" t="s">
        <v>26</v>
      </c>
      <c r="E3557">
        <v>2580</v>
      </c>
    </row>
    <row r="3558" spans="1:5" x14ac:dyDescent="0.55000000000000004">
      <c r="A3558" t="s">
        <v>3639</v>
      </c>
      <c r="B3558" t="s">
        <v>74</v>
      </c>
      <c r="C3558" s="2">
        <v>43112</v>
      </c>
      <c r="D3558" t="s">
        <v>26</v>
      </c>
      <c r="E3558">
        <v>850</v>
      </c>
    </row>
    <row r="3559" spans="1:5" x14ac:dyDescent="0.55000000000000004">
      <c r="A3559" t="s">
        <v>3640</v>
      </c>
      <c r="B3559" t="s">
        <v>76</v>
      </c>
      <c r="C3559" s="2">
        <v>45472</v>
      </c>
      <c r="D3559" t="s">
        <v>26</v>
      </c>
      <c r="E3559">
        <v>343</v>
      </c>
    </row>
    <row r="3560" spans="1:5" x14ac:dyDescent="0.55000000000000004">
      <c r="A3560" t="s">
        <v>3641</v>
      </c>
      <c r="B3560" t="s">
        <v>72</v>
      </c>
      <c r="C3560" s="2">
        <v>43742</v>
      </c>
      <c r="D3560" t="s">
        <v>29</v>
      </c>
      <c r="E3560">
        <v>2143</v>
      </c>
    </row>
    <row r="3561" spans="1:5" x14ac:dyDescent="0.55000000000000004">
      <c r="A3561" t="s">
        <v>3642</v>
      </c>
      <c r="B3561" t="s">
        <v>78</v>
      </c>
      <c r="C3561" s="2">
        <v>45786</v>
      </c>
      <c r="D3561" t="s">
        <v>26</v>
      </c>
      <c r="E3561">
        <v>241</v>
      </c>
    </row>
    <row r="3562" spans="1:5" x14ac:dyDescent="0.55000000000000004">
      <c r="A3562" t="s">
        <v>3643</v>
      </c>
      <c r="B3562" t="s">
        <v>118</v>
      </c>
      <c r="C3562" s="2">
        <v>45487</v>
      </c>
      <c r="D3562" t="s">
        <v>29</v>
      </c>
      <c r="E3562">
        <v>1686</v>
      </c>
    </row>
    <row r="3563" spans="1:5" x14ac:dyDescent="0.55000000000000004">
      <c r="A3563" t="s">
        <v>3644</v>
      </c>
      <c r="B3563" t="s">
        <v>156</v>
      </c>
      <c r="C3563" s="2">
        <v>44433</v>
      </c>
      <c r="D3563" t="s">
        <v>29</v>
      </c>
      <c r="E3563">
        <v>616</v>
      </c>
    </row>
    <row r="3564" spans="1:5" x14ac:dyDescent="0.55000000000000004">
      <c r="A3564" t="s">
        <v>3645</v>
      </c>
      <c r="B3564" t="s">
        <v>142</v>
      </c>
      <c r="C3564" s="2">
        <v>43575</v>
      </c>
      <c r="D3564" t="s">
        <v>29</v>
      </c>
      <c r="E3564">
        <v>22</v>
      </c>
    </row>
    <row r="3565" spans="1:5" x14ac:dyDescent="0.55000000000000004">
      <c r="A3565" t="s">
        <v>3646</v>
      </c>
      <c r="B3565" t="s">
        <v>84</v>
      </c>
      <c r="C3565" s="2">
        <v>44330</v>
      </c>
      <c r="D3565" t="s">
        <v>26</v>
      </c>
      <c r="E3565">
        <v>2303</v>
      </c>
    </row>
    <row r="3566" spans="1:5" x14ac:dyDescent="0.55000000000000004">
      <c r="A3566" t="s">
        <v>3647</v>
      </c>
      <c r="B3566" t="s">
        <v>137</v>
      </c>
      <c r="C3566" s="2">
        <v>45467</v>
      </c>
      <c r="D3566" t="s">
        <v>29</v>
      </c>
      <c r="E3566">
        <v>1282</v>
      </c>
    </row>
    <row r="3567" spans="1:5" x14ac:dyDescent="0.55000000000000004">
      <c r="A3567" t="s">
        <v>3648</v>
      </c>
      <c r="B3567" t="s">
        <v>35</v>
      </c>
      <c r="C3567" s="2">
        <v>44313</v>
      </c>
      <c r="D3567" t="s">
        <v>29</v>
      </c>
      <c r="E3567">
        <v>1889</v>
      </c>
    </row>
    <row r="3568" spans="1:5" x14ac:dyDescent="0.55000000000000004">
      <c r="A3568" t="s">
        <v>3649</v>
      </c>
      <c r="B3568" t="s">
        <v>41</v>
      </c>
      <c r="C3568" s="2">
        <v>44820</v>
      </c>
      <c r="D3568" t="s">
        <v>26</v>
      </c>
      <c r="E3568">
        <v>430</v>
      </c>
    </row>
    <row r="3569" spans="1:5" x14ac:dyDescent="0.55000000000000004">
      <c r="A3569" t="s">
        <v>3650</v>
      </c>
      <c r="B3569" t="s">
        <v>140</v>
      </c>
      <c r="C3569" s="2">
        <v>44349</v>
      </c>
      <c r="D3569" t="s">
        <v>26</v>
      </c>
      <c r="E3569">
        <v>1538</v>
      </c>
    </row>
    <row r="3570" spans="1:5" x14ac:dyDescent="0.55000000000000004">
      <c r="A3570" t="s">
        <v>3651</v>
      </c>
      <c r="B3570" t="s">
        <v>72</v>
      </c>
      <c r="C3570" s="2">
        <v>44467</v>
      </c>
      <c r="D3570" t="s">
        <v>26</v>
      </c>
      <c r="E3570">
        <v>663</v>
      </c>
    </row>
    <row r="3571" spans="1:5" x14ac:dyDescent="0.55000000000000004">
      <c r="A3571" t="s">
        <v>3652</v>
      </c>
      <c r="B3571" t="s">
        <v>67</v>
      </c>
      <c r="C3571" s="2">
        <v>43963</v>
      </c>
      <c r="D3571" t="s">
        <v>26</v>
      </c>
      <c r="E3571">
        <v>808</v>
      </c>
    </row>
    <row r="3572" spans="1:5" x14ac:dyDescent="0.55000000000000004">
      <c r="A3572" t="s">
        <v>3653</v>
      </c>
      <c r="B3572" t="s">
        <v>15</v>
      </c>
      <c r="C3572" s="2">
        <v>43149</v>
      </c>
      <c r="D3572" t="s">
        <v>26</v>
      </c>
      <c r="E3572">
        <v>1737</v>
      </c>
    </row>
    <row r="3573" spans="1:5" x14ac:dyDescent="0.55000000000000004">
      <c r="A3573" t="s">
        <v>3654</v>
      </c>
      <c r="B3573" t="s">
        <v>96</v>
      </c>
      <c r="C3573" s="2">
        <v>44165</v>
      </c>
      <c r="D3573" t="s">
        <v>29</v>
      </c>
      <c r="E3573">
        <v>572</v>
      </c>
    </row>
    <row r="3574" spans="1:5" x14ac:dyDescent="0.55000000000000004">
      <c r="A3574" t="s">
        <v>3655</v>
      </c>
      <c r="B3574" t="s">
        <v>78</v>
      </c>
      <c r="C3574" s="2">
        <v>45706</v>
      </c>
      <c r="D3574" t="s">
        <v>29</v>
      </c>
      <c r="E3574">
        <v>1635</v>
      </c>
    </row>
    <row r="3575" spans="1:5" x14ac:dyDescent="0.55000000000000004">
      <c r="A3575" t="s">
        <v>3656</v>
      </c>
      <c r="B3575" t="s">
        <v>14</v>
      </c>
      <c r="C3575" s="2">
        <v>43524</v>
      </c>
      <c r="D3575" t="s">
        <v>26</v>
      </c>
      <c r="E3575">
        <v>1783</v>
      </c>
    </row>
    <row r="3576" spans="1:5" x14ac:dyDescent="0.55000000000000004">
      <c r="A3576" t="s">
        <v>3657</v>
      </c>
      <c r="B3576" t="s">
        <v>156</v>
      </c>
      <c r="C3576" s="2">
        <v>44391</v>
      </c>
      <c r="D3576" t="s">
        <v>29</v>
      </c>
      <c r="E3576">
        <v>2140</v>
      </c>
    </row>
    <row r="3577" spans="1:5" x14ac:dyDescent="0.55000000000000004">
      <c r="A3577" t="s">
        <v>3658</v>
      </c>
      <c r="B3577" t="s">
        <v>111</v>
      </c>
      <c r="C3577" s="2">
        <v>44176</v>
      </c>
      <c r="D3577" t="s">
        <v>29</v>
      </c>
      <c r="E3577">
        <v>2309</v>
      </c>
    </row>
    <row r="3578" spans="1:5" x14ac:dyDescent="0.55000000000000004">
      <c r="A3578" t="s">
        <v>3659</v>
      </c>
      <c r="B3578" t="s">
        <v>35</v>
      </c>
      <c r="C3578" s="2">
        <v>44170</v>
      </c>
      <c r="D3578" t="s">
        <v>26</v>
      </c>
      <c r="E3578">
        <v>1188</v>
      </c>
    </row>
    <row r="3579" spans="1:5" x14ac:dyDescent="0.55000000000000004">
      <c r="A3579" t="s">
        <v>3660</v>
      </c>
      <c r="B3579" t="s">
        <v>67</v>
      </c>
      <c r="C3579" s="2">
        <v>44303</v>
      </c>
      <c r="D3579" t="s">
        <v>29</v>
      </c>
      <c r="E3579">
        <v>2127</v>
      </c>
    </row>
    <row r="3580" spans="1:5" x14ac:dyDescent="0.55000000000000004">
      <c r="A3580" t="s">
        <v>3661</v>
      </c>
      <c r="B3580" t="s">
        <v>32</v>
      </c>
      <c r="C3580" s="2">
        <v>44345</v>
      </c>
      <c r="D3580" t="s">
        <v>29</v>
      </c>
      <c r="E3580">
        <v>1895</v>
      </c>
    </row>
    <row r="3581" spans="1:5" x14ac:dyDescent="0.55000000000000004">
      <c r="A3581" t="s">
        <v>3662</v>
      </c>
      <c r="B3581" t="s">
        <v>151</v>
      </c>
      <c r="C3581" s="2">
        <v>43593</v>
      </c>
      <c r="D3581" t="s">
        <v>26</v>
      </c>
      <c r="E3581">
        <v>672</v>
      </c>
    </row>
    <row r="3582" spans="1:5" x14ac:dyDescent="0.55000000000000004">
      <c r="A3582" t="s">
        <v>3663</v>
      </c>
      <c r="B3582" t="s">
        <v>67</v>
      </c>
      <c r="C3582" s="2">
        <v>45406</v>
      </c>
      <c r="D3582" t="s">
        <v>26</v>
      </c>
      <c r="E3582">
        <v>1301</v>
      </c>
    </row>
    <row r="3583" spans="1:5" x14ac:dyDescent="0.55000000000000004">
      <c r="A3583" t="s">
        <v>3664</v>
      </c>
      <c r="B3583" t="s">
        <v>140</v>
      </c>
      <c r="C3583" s="2">
        <v>43284</v>
      </c>
      <c r="D3583" t="s">
        <v>26</v>
      </c>
      <c r="E3583">
        <v>1927</v>
      </c>
    </row>
    <row r="3584" spans="1:5" x14ac:dyDescent="0.55000000000000004">
      <c r="A3584" t="s">
        <v>3665</v>
      </c>
      <c r="B3584" t="s">
        <v>74</v>
      </c>
      <c r="C3584" s="2">
        <v>42928</v>
      </c>
      <c r="D3584" t="s">
        <v>29</v>
      </c>
      <c r="E3584">
        <v>2873</v>
      </c>
    </row>
    <row r="3585" spans="1:5" x14ac:dyDescent="0.55000000000000004">
      <c r="A3585" t="s">
        <v>3666</v>
      </c>
      <c r="B3585" t="s">
        <v>151</v>
      </c>
      <c r="C3585" s="2">
        <v>43325</v>
      </c>
      <c r="D3585" t="s">
        <v>26</v>
      </c>
      <c r="E3585">
        <v>2202</v>
      </c>
    </row>
    <row r="3586" spans="1:5" x14ac:dyDescent="0.55000000000000004">
      <c r="A3586" t="s">
        <v>3667</v>
      </c>
      <c r="B3586" t="s">
        <v>15</v>
      </c>
      <c r="C3586" s="2">
        <v>43594</v>
      </c>
      <c r="D3586" t="s">
        <v>26</v>
      </c>
      <c r="E3586">
        <v>250</v>
      </c>
    </row>
    <row r="3587" spans="1:5" x14ac:dyDescent="0.55000000000000004">
      <c r="A3587" t="s">
        <v>3668</v>
      </c>
      <c r="B3587" t="s">
        <v>32</v>
      </c>
      <c r="C3587" s="2">
        <v>44790</v>
      </c>
      <c r="D3587" t="s">
        <v>26</v>
      </c>
      <c r="E3587">
        <v>273</v>
      </c>
    </row>
    <row r="3588" spans="1:5" x14ac:dyDescent="0.55000000000000004">
      <c r="A3588" t="s">
        <v>3669</v>
      </c>
      <c r="B3588" t="s">
        <v>86</v>
      </c>
      <c r="C3588" s="2">
        <v>44220</v>
      </c>
      <c r="D3588" t="s">
        <v>26</v>
      </c>
      <c r="E3588">
        <v>1412</v>
      </c>
    </row>
    <row r="3589" spans="1:5" x14ac:dyDescent="0.55000000000000004">
      <c r="A3589" t="s">
        <v>3670</v>
      </c>
      <c r="B3589" t="s">
        <v>35</v>
      </c>
      <c r="C3589" s="2">
        <v>43859</v>
      </c>
      <c r="D3589" t="s">
        <v>26</v>
      </c>
      <c r="E3589">
        <v>1124</v>
      </c>
    </row>
    <row r="3590" spans="1:5" x14ac:dyDescent="0.55000000000000004">
      <c r="A3590" t="s">
        <v>3671</v>
      </c>
      <c r="B3590" t="s">
        <v>156</v>
      </c>
      <c r="C3590" s="2">
        <v>43789</v>
      </c>
      <c r="D3590" t="s">
        <v>29</v>
      </c>
      <c r="E3590">
        <v>1504</v>
      </c>
    </row>
    <row r="3591" spans="1:5" x14ac:dyDescent="0.55000000000000004">
      <c r="A3591" t="s">
        <v>3672</v>
      </c>
      <c r="B3591" t="s">
        <v>32</v>
      </c>
      <c r="C3591" s="2">
        <v>44656</v>
      </c>
      <c r="D3591" t="s">
        <v>29</v>
      </c>
      <c r="E3591">
        <v>2298</v>
      </c>
    </row>
    <row r="3592" spans="1:5" x14ac:dyDescent="0.55000000000000004">
      <c r="A3592" t="s">
        <v>3673</v>
      </c>
      <c r="B3592" t="s">
        <v>99</v>
      </c>
      <c r="C3592" s="2">
        <v>44295</v>
      </c>
      <c r="D3592" t="s">
        <v>26</v>
      </c>
      <c r="E3592">
        <v>2427</v>
      </c>
    </row>
    <row r="3593" spans="1:5" x14ac:dyDescent="0.55000000000000004">
      <c r="A3593" t="s">
        <v>3674</v>
      </c>
      <c r="B3593" t="s">
        <v>72</v>
      </c>
      <c r="C3593" s="2">
        <v>43127</v>
      </c>
      <c r="D3593" t="s">
        <v>26</v>
      </c>
      <c r="E3593">
        <v>1146</v>
      </c>
    </row>
    <row r="3594" spans="1:5" x14ac:dyDescent="0.55000000000000004">
      <c r="A3594" t="s">
        <v>3675</v>
      </c>
      <c r="B3594" t="s">
        <v>105</v>
      </c>
      <c r="C3594" s="2">
        <v>43455</v>
      </c>
      <c r="D3594" t="s">
        <v>26</v>
      </c>
      <c r="E3594">
        <v>518</v>
      </c>
    </row>
    <row r="3595" spans="1:5" x14ac:dyDescent="0.55000000000000004">
      <c r="A3595" t="s">
        <v>3676</v>
      </c>
      <c r="B3595" t="s">
        <v>137</v>
      </c>
      <c r="C3595" s="2">
        <v>45605</v>
      </c>
      <c r="D3595" t="s">
        <v>29</v>
      </c>
      <c r="E3595">
        <v>1352</v>
      </c>
    </row>
    <row r="3596" spans="1:5" x14ac:dyDescent="0.55000000000000004">
      <c r="A3596" t="s">
        <v>3677</v>
      </c>
      <c r="B3596" t="s">
        <v>23</v>
      </c>
      <c r="C3596" s="2">
        <v>44398</v>
      </c>
      <c r="D3596" t="s">
        <v>29</v>
      </c>
      <c r="E3596">
        <v>857</v>
      </c>
    </row>
    <row r="3597" spans="1:5" x14ac:dyDescent="0.55000000000000004">
      <c r="A3597" t="s">
        <v>3678</v>
      </c>
      <c r="B3597" t="s">
        <v>105</v>
      </c>
      <c r="C3597" s="2">
        <v>42922</v>
      </c>
      <c r="D3597" t="s">
        <v>26</v>
      </c>
      <c r="E3597">
        <v>886</v>
      </c>
    </row>
    <row r="3598" spans="1:5" x14ac:dyDescent="0.55000000000000004">
      <c r="A3598" t="s">
        <v>3679</v>
      </c>
      <c r="B3598" t="s">
        <v>74</v>
      </c>
      <c r="C3598" s="2">
        <v>44176</v>
      </c>
      <c r="D3598" t="s">
        <v>26</v>
      </c>
      <c r="E3598">
        <v>587</v>
      </c>
    </row>
    <row r="3599" spans="1:5" x14ac:dyDescent="0.55000000000000004">
      <c r="A3599" t="s">
        <v>3680</v>
      </c>
      <c r="B3599" t="s">
        <v>105</v>
      </c>
      <c r="C3599" s="2">
        <v>43890</v>
      </c>
      <c r="D3599" t="s">
        <v>26</v>
      </c>
      <c r="E3599">
        <v>1324</v>
      </c>
    </row>
    <row r="3600" spans="1:5" x14ac:dyDescent="0.55000000000000004">
      <c r="A3600" t="s">
        <v>3681</v>
      </c>
      <c r="B3600" t="s">
        <v>74</v>
      </c>
      <c r="C3600" s="2">
        <v>43023</v>
      </c>
      <c r="D3600" t="s">
        <v>26</v>
      </c>
      <c r="E3600">
        <v>2095</v>
      </c>
    </row>
    <row r="3601" spans="1:5" x14ac:dyDescent="0.55000000000000004">
      <c r="A3601" t="s">
        <v>3682</v>
      </c>
      <c r="B3601" t="s">
        <v>137</v>
      </c>
      <c r="C3601" s="2">
        <v>45266</v>
      </c>
      <c r="D3601" t="s">
        <v>29</v>
      </c>
      <c r="E3601">
        <v>2723</v>
      </c>
    </row>
    <row r="3602" spans="1:5" x14ac:dyDescent="0.55000000000000004">
      <c r="A3602" t="s">
        <v>3683</v>
      </c>
      <c r="B3602" t="s">
        <v>96</v>
      </c>
      <c r="C3602" s="2">
        <v>44805</v>
      </c>
      <c r="D3602" t="s">
        <v>29</v>
      </c>
      <c r="E3602">
        <v>2049</v>
      </c>
    </row>
    <row r="3603" spans="1:5" x14ac:dyDescent="0.55000000000000004">
      <c r="A3603" t="s">
        <v>3684</v>
      </c>
      <c r="B3603" t="s">
        <v>118</v>
      </c>
      <c r="C3603" s="2">
        <v>43946</v>
      </c>
      <c r="D3603" t="s">
        <v>26</v>
      </c>
      <c r="E3603">
        <v>2294</v>
      </c>
    </row>
    <row r="3604" spans="1:5" x14ac:dyDescent="0.55000000000000004">
      <c r="A3604" t="s">
        <v>3685</v>
      </c>
      <c r="B3604" t="s">
        <v>101</v>
      </c>
      <c r="C3604" s="2">
        <v>43689</v>
      </c>
      <c r="D3604" t="s">
        <v>29</v>
      </c>
      <c r="E3604">
        <v>2892</v>
      </c>
    </row>
    <row r="3605" spans="1:5" x14ac:dyDescent="0.55000000000000004">
      <c r="A3605" t="s">
        <v>3686</v>
      </c>
      <c r="B3605" t="s">
        <v>96</v>
      </c>
      <c r="C3605" s="2">
        <v>44920</v>
      </c>
      <c r="D3605" t="s">
        <v>29</v>
      </c>
      <c r="E3605">
        <v>2138</v>
      </c>
    </row>
    <row r="3606" spans="1:5" x14ac:dyDescent="0.55000000000000004">
      <c r="A3606" t="s">
        <v>3687</v>
      </c>
      <c r="B3606" t="s">
        <v>111</v>
      </c>
      <c r="C3606" s="2">
        <v>44003</v>
      </c>
      <c r="D3606" t="s">
        <v>26</v>
      </c>
      <c r="E3606">
        <v>2479</v>
      </c>
    </row>
    <row r="3607" spans="1:5" x14ac:dyDescent="0.55000000000000004">
      <c r="A3607" t="s">
        <v>3688</v>
      </c>
      <c r="B3607" t="s">
        <v>175</v>
      </c>
      <c r="C3607" s="2">
        <v>44342</v>
      </c>
      <c r="D3607" t="s">
        <v>26</v>
      </c>
      <c r="E3607">
        <v>2595</v>
      </c>
    </row>
    <row r="3608" spans="1:5" x14ac:dyDescent="0.55000000000000004">
      <c r="A3608" t="s">
        <v>3689</v>
      </c>
      <c r="B3608" t="s">
        <v>175</v>
      </c>
      <c r="C3608" s="2">
        <v>44603</v>
      </c>
      <c r="D3608" t="s">
        <v>26</v>
      </c>
      <c r="E3608">
        <v>1790</v>
      </c>
    </row>
    <row r="3609" spans="1:5" x14ac:dyDescent="0.55000000000000004">
      <c r="A3609" t="s">
        <v>3690</v>
      </c>
      <c r="B3609" t="s">
        <v>99</v>
      </c>
      <c r="C3609" s="2">
        <v>45274</v>
      </c>
      <c r="D3609" t="s">
        <v>29</v>
      </c>
      <c r="E3609">
        <v>2847</v>
      </c>
    </row>
    <row r="3610" spans="1:5" x14ac:dyDescent="0.55000000000000004">
      <c r="A3610" t="s">
        <v>3691</v>
      </c>
      <c r="B3610" t="s">
        <v>137</v>
      </c>
      <c r="C3610" s="2">
        <v>44492</v>
      </c>
      <c r="D3610" t="s">
        <v>26</v>
      </c>
      <c r="E3610">
        <v>2285</v>
      </c>
    </row>
    <row r="3611" spans="1:5" x14ac:dyDescent="0.55000000000000004">
      <c r="A3611" t="s">
        <v>3692</v>
      </c>
      <c r="B3611" t="s">
        <v>94</v>
      </c>
      <c r="C3611" s="2">
        <v>45249</v>
      </c>
      <c r="D3611" t="s">
        <v>29</v>
      </c>
      <c r="E3611">
        <v>729</v>
      </c>
    </row>
    <row r="3612" spans="1:5" x14ac:dyDescent="0.55000000000000004">
      <c r="A3612" t="s">
        <v>3693</v>
      </c>
      <c r="B3612" t="s">
        <v>14</v>
      </c>
      <c r="C3612" s="2">
        <v>43665</v>
      </c>
      <c r="D3612" t="s">
        <v>29</v>
      </c>
      <c r="E3612">
        <v>2744</v>
      </c>
    </row>
    <row r="3613" spans="1:5" x14ac:dyDescent="0.55000000000000004">
      <c r="A3613" t="s">
        <v>3694</v>
      </c>
      <c r="B3613" t="s">
        <v>86</v>
      </c>
      <c r="C3613" s="2">
        <v>44408</v>
      </c>
      <c r="D3613" t="s">
        <v>29</v>
      </c>
      <c r="E3613">
        <v>875</v>
      </c>
    </row>
    <row r="3614" spans="1:5" x14ac:dyDescent="0.55000000000000004">
      <c r="A3614" t="s">
        <v>3695</v>
      </c>
      <c r="B3614" t="s">
        <v>32</v>
      </c>
      <c r="C3614" s="2">
        <v>44222</v>
      </c>
      <c r="D3614" t="s">
        <v>29</v>
      </c>
      <c r="E3614">
        <v>1532</v>
      </c>
    </row>
    <row r="3615" spans="1:5" x14ac:dyDescent="0.55000000000000004">
      <c r="A3615" t="s">
        <v>3696</v>
      </c>
      <c r="B3615" t="s">
        <v>105</v>
      </c>
      <c r="C3615" s="2">
        <v>44448</v>
      </c>
      <c r="D3615" t="s">
        <v>26</v>
      </c>
      <c r="E3615">
        <v>802</v>
      </c>
    </row>
    <row r="3616" spans="1:5" x14ac:dyDescent="0.55000000000000004">
      <c r="A3616" t="s">
        <v>3697</v>
      </c>
      <c r="B3616" t="s">
        <v>15</v>
      </c>
      <c r="C3616" s="2">
        <v>43656</v>
      </c>
      <c r="D3616" t="s">
        <v>26</v>
      </c>
      <c r="E3616">
        <v>22</v>
      </c>
    </row>
    <row r="3617" spans="1:5" x14ac:dyDescent="0.55000000000000004">
      <c r="A3617" t="s">
        <v>3698</v>
      </c>
      <c r="B3617" t="s">
        <v>23</v>
      </c>
      <c r="C3617" s="2">
        <v>44466</v>
      </c>
      <c r="D3617" t="s">
        <v>29</v>
      </c>
      <c r="E3617">
        <v>385</v>
      </c>
    </row>
    <row r="3618" spans="1:5" x14ac:dyDescent="0.55000000000000004">
      <c r="A3618" t="s">
        <v>3699</v>
      </c>
      <c r="B3618" t="s">
        <v>86</v>
      </c>
      <c r="C3618" s="2">
        <v>43436</v>
      </c>
      <c r="D3618" t="s">
        <v>26</v>
      </c>
      <c r="E3618">
        <v>2485</v>
      </c>
    </row>
    <row r="3619" spans="1:5" x14ac:dyDescent="0.55000000000000004">
      <c r="A3619" t="s">
        <v>3700</v>
      </c>
      <c r="B3619" t="s">
        <v>84</v>
      </c>
      <c r="C3619" s="2">
        <v>42985</v>
      </c>
      <c r="D3619" t="s">
        <v>29</v>
      </c>
      <c r="E3619">
        <v>2628</v>
      </c>
    </row>
    <row r="3620" spans="1:5" x14ac:dyDescent="0.55000000000000004">
      <c r="A3620" t="s">
        <v>3701</v>
      </c>
      <c r="B3620" t="s">
        <v>96</v>
      </c>
      <c r="C3620" s="2">
        <v>45097</v>
      </c>
      <c r="D3620" t="s">
        <v>26</v>
      </c>
      <c r="E3620">
        <v>2848</v>
      </c>
    </row>
    <row r="3621" spans="1:5" x14ac:dyDescent="0.55000000000000004">
      <c r="A3621" t="s">
        <v>3702</v>
      </c>
      <c r="B3621" t="s">
        <v>41</v>
      </c>
      <c r="C3621" s="2">
        <v>44349</v>
      </c>
      <c r="D3621" t="s">
        <v>29</v>
      </c>
      <c r="E3621">
        <v>2561</v>
      </c>
    </row>
    <row r="3622" spans="1:5" x14ac:dyDescent="0.55000000000000004">
      <c r="A3622" t="s">
        <v>3703</v>
      </c>
      <c r="B3622" t="s">
        <v>142</v>
      </c>
      <c r="C3622" s="2">
        <v>44088</v>
      </c>
      <c r="D3622" t="s">
        <v>26</v>
      </c>
      <c r="E3622">
        <v>2941</v>
      </c>
    </row>
    <row r="3623" spans="1:5" x14ac:dyDescent="0.55000000000000004">
      <c r="A3623" t="s">
        <v>3704</v>
      </c>
      <c r="B3623" t="s">
        <v>96</v>
      </c>
      <c r="C3623" s="2">
        <v>45327</v>
      </c>
      <c r="D3623" t="s">
        <v>29</v>
      </c>
      <c r="E3623">
        <v>711</v>
      </c>
    </row>
    <row r="3624" spans="1:5" x14ac:dyDescent="0.55000000000000004">
      <c r="A3624" t="s">
        <v>3705</v>
      </c>
      <c r="B3624" t="s">
        <v>96</v>
      </c>
      <c r="C3624" s="2">
        <v>45700</v>
      </c>
      <c r="D3624" t="s">
        <v>26</v>
      </c>
      <c r="E3624">
        <v>156</v>
      </c>
    </row>
    <row r="3625" spans="1:5" x14ac:dyDescent="0.55000000000000004">
      <c r="A3625" t="s">
        <v>3706</v>
      </c>
      <c r="B3625" t="s">
        <v>86</v>
      </c>
      <c r="C3625" s="2">
        <v>42976</v>
      </c>
      <c r="D3625" t="s">
        <v>26</v>
      </c>
      <c r="E3625">
        <v>2890</v>
      </c>
    </row>
    <row r="3626" spans="1:5" x14ac:dyDescent="0.55000000000000004">
      <c r="A3626" t="s">
        <v>3707</v>
      </c>
      <c r="B3626" t="s">
        <v>78</v>
      </c>
      <c r="C3626" s="2">
        <v>44190</v>
      </c>
      <c r="D3626" t="s">
        <v>26</v>
      </c>
      <c r="E3626">
        <v>339</v>
      </c>
    </row>
    <row r="3627" spans="1:5" x14ac:dyDescent="0.55000000000000004">
      <c r="A3627" t="s">
        <v>3708</v>
      </c>
      <c r="B3627" t="s">
        <v>140</v>
      </c>
      <c r="C3627" s="2">
        <v>43161</v>
      </c>
      <c r="D3627" t="s">
        <v>26</v>
      </c>
      <c r="E3627">
        <v>1816</v>
      </c>
    </row>
    <row r="3628" spans="1:5" x14ac:dyDescent="0.55000000000000004">
      <c r="A3628" t="s">
        <v>3709</v>
      </c>
      <c r="B3628" t="s">
        <v>35</v>
      </c>
      <c r="C3628" s="2">
        <v>43958</v>
      </c>
      <c r="D3628" t="s">
        <v>29</v>
      </c>
      <c r="E3628">
        <v>399</v>
      </c>
    </row>
    <row r="3629" spans="1:5" x14ac:dyDescent="0.55000000000000004">
      <c r="A3629" t="s">
        <v>3710</v>
      </c>
      <c r="B3629" t="s">
        <v>76</v>
      </c>
      <c r="C3629" s="2">
        <v>45694</v>
      </c>
      <c r="D3629" t="s">
        <v>29</v>
      </c>
      <c r="E3629">
        <v>795</v>
      </c>
    </row>
    <row r="3630" spans="1:5" x14ac:dyDescent="0.55000000000000004">
      <c r="A3630" t="s">
        <v>3711</v>
      </c>
      <c r="B3630" t="s">
        <v>35</v>
      </c>
      <c r="C3630" s="2">
        <v>43865</v>
      </c>
      <c r="D3630" t="s">
        <v>29</v>
      </c>
      <c r="E3630">
        <v>2752</v>
      </c>
    </row>
    <row r="3631" spans="1:5" x14ac:dyDescent="0.55000000000000004">
      <c r="A3631" t="s">
        <v>3712</v>
      </c>
      <c r="B3631" t="s">
        <v>76</v>
      </c>
      <c r="C3631" s="2">
        <v>44762</v>
      </c>
      <c r="D3631" t="s">
        <v>26</v>
      </c>
      <c r="E3631">
        <v>2403</v>
      </c>
    </row>
    <row r="3632" spans="1:5" x14ac:dyDescent="0.55000000000000004">
      <c r="A3632" t="s">
        <v>3713</v>
      </c>
      <c r="B3632" t="s">
        <v>78</v>
      </c>
      <c r="C3632" s="2">
        <v>44966</v>
      </c>
      <c r="D3632" t="s">
        <v>26</v>
      </c>
      <c r="E3632">
        <v>2721</v>
      </c>
    </row>
    <row r="3633" spans="1:5" x14ac:dyDescent="0.55000000000000004">
      <c r="A3633" t="s">
        <v>3714</v>
      </c>
      <c r="B3633" t="s">
        <v>101</v>
      </c>
      <c r="C3633" s="2">
        <v>43769</v>
      </c>
      <c r="D3633" t="s">
        <v>26</v>
      </c>
      <c r="E3633">
        <v>266</v>
      </c>
    </row>
    <row r="3634" spans="1:5" x14ac:dyDescent="0.55000000000000004">
      <c r="A3634" t="s">
        <v>3715</v>
      </c>
      <c r="B3634" t="s">
        <v>151</v>
      </c>
      <c r="C3634" s="2">
        <v>44476</v>
      </c>
      <c r="D3634" t="s">
        <v>26</v>
      </c>
      <c r="E3634">
        <v>2985</v>
      </c>
    </row>
    <row r="3635" spans="1:5" x14ac:dyDescent="0.55000000000000004">
      <c r="A3635" t="s">
        <v>3716</v>
      </c>
      <c r="B3635" t="s">
        <v>84</v>
      </c>
      <c r="C3635" s="2">
        <v>43088</v>
      </c>
      <c r="D3635" t="s">
        <v>26</v>
      </c>
      <c r="E3635">
        <v>1816</v>
      </c>
    </row>
    <row r="3636" spans="1:5" x14ac:dyDescent="0.55000000000000004">
      <c r="A3636" t="s">
        <v>3717</v>
      </c>
      <c r="B3636" t="s">
        <v>142</v>
      </c>
      <c r="C3636" s="2">
        <v>43481</v>
      </c>
      <c r="D3636" t="s">
        <v>26</v>
      </c>
      <c r="E3636">
        <v>2820</v>
      </c>
    </row>
    <row r="3637" spans="1:5" x14ac:dyDescent="0.55000000000000004">
      <c r="A3637" t="s">
        <v>3718</v>
      </c>
      <c r="B3637" t="s">
        <v>67</v>
      </c>
      <c r="C3637" s="2">
        <v>45142</v>
      </c>
      <c r="D3637" t="s">
        <v>26</v>
      </c>
      <c r="E3637">
        <v>2602</v>
      </c>
    </row>
    <row r="3638" spans="1:5" x14ac:dyDescent="0.55000000000000004">
      <c r="A3638" t="s">
        <v>3719</v>
      </c>
      <c r="B3638" t="s">
        <v>78</v>
      </c>
      <c r="C3638" s="2">
        <v>43479</v>
      </c>
      <c r="D3638" t="s">
        <v>29</v>
      </c>
      <c r="E3638">
        <v>1121</v>
      </c>
    </row>
    <row r="3639" spans="1:5" x14ac:dyDescent="0.55000000000000004">
      <c r="A3639" t="s">
        <v>3720</v>
      </c>
      <c r="B3639" t="s">
        <v>99</v>
      </c>
      <c r="C3639" s="2">
        <v>44902</v>
      </c>
      <c r="D3639" t="s">
        <v>26</v>
      </c>
      <c r="E3639">
        <v>1398</v>
      </c>
    </row>
    <row r="3640" spans="1:5" x14ac:dyDescent="0.55000000000000004">
      <c r="A3640" t="s">
        <v>3721</v>
      </c>
      <c r="B3640" t="s">
        <v>15</v>
      </c>
      <c r="C3640" s="2">
        <v>44080</v>
      </c>
      <c r="D3640" t="s">
        <v>26</v>
      </c>
      <c r="E3640">
        <v>2319</v>
      </c>
    </row>
    <row r="3641" spans="1:5" x14ac:dyDescent="0.55000000000000004">
      <c r="A3641" t="s">
        <v>3722</v>
      </c>
      <c r="B3641" t="s">
        <v>15</v>
      </c>
      <c r="C3641" s="2">
        <v>43097</v>
      </c>
      <c r="D3641" t="s">
        <v>26</v>
      </c>
      <c r="E3641">
        <v>370</v>
      </c>
    </row>
    <row r="3642" spans="1:5" x14ac:dyDescent="0.55000000000000004">
      <c r="A3642" t="s">
        <v>3723</v>
      </c>
      <c r="B3642" t="s">
        <v>105</v>
      </c>
      <c r="C3642" s="2">
        <v>44411</v>
      </c>
      <c r="D3642" t="s">
        <v>26</v>
      </c>
      <c r="E3642">
        <v>760</v>
      </c>
    </row>
    <row r="3643" spans="1:5" x14ac:dyDescent="0.55000000000000004">
      <c r="A3643" t="s">
        <v>3724</v>
      </c>
      <c r="B3643" t="s">
        <v>111</v>
      </c>
      <c r="C3643" s="2">
        <v>44127</v>
      </c>
      <c r="D3643" t="s">
        <v>26</v>
      </c>
      <c r="E3643">
        <v>693</v>
      </c>
    </row>
    <row r="3644" spans="1:5" x14ac:dyDescent="0.55000000000000004">
      <c r="A3644" t="s">
        <v>3725</v>
      </c>
      <c r="B3644" t="s">
        <v>137</v>
      </c>
      <c r="C3644" s="2">
        <v>43508</v>
      </c>
      <c r="D3644" t="s">
        <v>26</v>
      </c>
      <c r="E3644">
        <v>2613</v>
      </c>
    </row>
    <row r="3645" spans="1:5" x14ac:dyDescent="0.55000000000000004">
      <c r="A3645" t="s">
        <v>3726</v>
      </c>
      <c r="B3645" t="s">
        <v>86</v>
      </c>
      <c r="C3645" s="2">
        <v>43859</v>
      </c>
      <c r="D3645" t="s">
        <v>26</v>
      </c>
      <c r="E3645">
        <v>2966</v>
      </c>
    </row>
    <row r="3646" spans="1:5" x14ac:dyDescent="0.55000000000000004">
      <c r="A3646" t="s">
        <v>3727</v>
      </c>
      <c r="B3646" t="s">
        <v>63</v>
      </c>
      <c r="C3646" s="2">
        <v>43547</v>
      </c>
      <c r="D3646" t="s">
        <v>26</v>
      </c>
      <c r="E3646">
        <v>543</v>
      </c>
    </row>
    <row r="3647" spans="1:5" x14ac:dyDescent="0.55000000000000004">
      <c r="A3647" t="s">
        <v>3728</v>
      </c>
      <c r="B3647" t="s">
        <v>156</v>
      </c>
      <c r="C3647" s="2">
        <v>43026</v>
      </c>
      <c r="D3647" t="s">
        <v>29</v>
      </c>
      <c r="E3647">
        <v>2891</v>
      </c>
    </row>
    <row r="3648" spans="1:5" x14ac:dyDescent="0.55000000000000004">
      <c r="A3648" t="s">
        <v>3729</v>
      </c>
      <c r="B3648" t="s">
        <v>156</v>
      </c>
      <c r="C3648" s="2">
        <v>43281</v>
      </c>
      <c r="D3648" t="s">
        <v>29</v>
      </c>
      <c r="E3648">
        <v>575</v>
      </c>
    </row>
    <row r="3649" spans="1:5" x14ac:dyDescent="0.55000000000000004">
      <c r="A3649" t="s">
        <v>3730</v>
      </c>
      <c r="B3649" t="s">
        <v>23</v>
      </c>
      <c r="C3649" s="2">
        <v>44477</v>
      </c>
      <c r="D3649" t="s">
        <v>29</v>
      </c>
      <c r="E3649">
        <v>925</v>
      </c>
    </row>
    <row r="3650" spans="1:5" x14ac:dyDescent="0.55000000000000004">
      <c r="A3650" t="s">
        <v>3731</v>
      </c>
      <c r="B3650" t="s">
        <v>175</v>
      </c>
      <c r="C3650" s="2">
        <v>44237</v>
      </c>
      <c r="D3650" t="s">
        <v>29</v>
      </c>
      <c r="E3650">
        <v>816</v>
      </c>
    </row>
    <row r="3651" spans="1:5" x14ac:dyDescent="0.55000000000000004">
      <c r="A3651" t="s">
        <v>3732</v>
      </c>
      <c r="B3651" t="s">
        <v>105</v>
      </c>
      <c r="C3651" s="2">
        <v>43521</v>
      </c>
      <c r="D3651" t="s">
        <v>29</v>
      </c>
      <c r="E3651">
        <v>2857</v>
      </c>
    </row>
    <row r="3652" spans="1:5" x14ac:dyDescent="0.55000000000000004">
      <c r="A3652" t="s">
        <v>3733</v>
      </c>
      <c r="B3652" t="s">
        <v>15</v>
      </c>
      <c r="C3652" s="2">
        <v>43458</v>
      </c>
      <c r="D3652" t="s">
        <v>26</v>
      </c>
      <c r="E3652">
        <v>2006</v>
      </c>
    </row>
    <row r="3653" spans="1:5" x14ac:dyDescent="0.55000000000000004">
      <c r="A3653" t="s">
        <v>3734</v>
      </c>
      <c r="B3653" t="s">
        <v>86</v>
      </c>
      <c r="C3653" s="2">
        <v>44102</v>
      </c>
      <c r="D3653" t="s">
        <v>29</v>
      </c>
      <c r="E3653">
        <v>1428</v>
      </c>
    </row>
    <row r="3654" spans="1:5" x14ac:dyDescent="0.55000000000000004">
      <c r="A3654" t="s">
        <v>3735</v>
      </c>
      <c r="B3654" t="s">
        <v>118</v>
      </c>
      <c r="C3654" s="2">
        <v>45608</v>
      </c>
      <c r="D3654" t="s">
        <v>29</v>
      </c>
      <c r="E3654">
        <v>2584</v>
      </c>
    </row>
    <row r="3655" spans="1:5" x14ac:dyDescent="0.55000000000000004">
      <c r="A3655" t="s">
        <v>3736</v>
      </c>
      <c r="B3655" t="s">
        <v>38</v>
      </c>
      <c r="C3655" s="2">
        <v>44180</v>
      </c>
      <c r="D3655" t="s">
        <v>26</v>
      </c>
      <c r="E3655">
        <v>2397</v>
      </c>
    </row>
    <row r="3656" spans="1:5" x14ac:dyDescent="0.55000000000000004">
      <c r="A3656" t="s">
        <v>3737</v>
      </c>
      <c r="B3656" t="s">
        <v>101</v>
      </c>
      <c r="C3656" s="2">
        <v>43235</v>
      </c>
      <c r="D3656" t="s">
        <v>26</v>
      </c>
      <c r="E3656">
        <v>2876</v>
      </c>
    </row>
    <row r="3657" spans="1:5" x14ac:dyDescent="0.55000000000000004">
      <c r="A3657" t="s">
        <v>3738</v>
      </c>
      <c r="B3657" t="s">
        <v>140</v>
      </c>
      <c r="C3657" s="2">
        <v>43627</v>
      </c>
      <c r="D3657" t="s">
        <v>29</v>
      </c>
      <c r="E3657">
        <v>849</v>
      </c>
    </row>
    <row r="3658" spans="1:5" x14ac:dyDescent="0.55000000000000004">
      <c r="A3658" t="s">
        <v>3739</v>
      </c>
      <c r="B3658" t="s">
        <v>111</v>
      </c>
      <c r="C3658" s="2">
        <v>44349</v>
      </c>
      <c r="D3658" t="s">
        <v>29</v>
      </c>
      <c r="E3658">
        <v>371</v>
      </c>
    </row>
    <row r="3659" spans="1:5" x14ac:dyDescent="0.55000000000000004">
      <c r="A3659" t="s">
        <v>3740</v>
      </c>
      <c r="B3659" t="s">
        <v>67</v>
      </c>
      <c r="C3659" s="2">
        <v>44329</v>
      </c>
      <c r="D3659" t="s">
        <v>29</v>
      </c>
      <c r="E3659">
        <v>893</v>
      </c>
    </row>
    <row r="3660" spans="1:5" x14ac:dyDescent="0.55000000000000004">
      <c r="A3660" t="s">
        <v>3741</v>
      </c>
      <c r="B3660" t="s">
        <v>15</v>
      </c>
      <c r="C3660" s="2">
        <v>43451</v>
      </c>
      <c r="D3660" t="s">
        <v>26</v>
      </c>
      <c r="E3660">
        <v>472</v>
      </c>
    </row>
    <row r="3661" spans="1:5" x14ac:dyDescent="0.55000000000000004">
      <c r="A3661" t="s">
        <v>3742</v>
      </c>
      <c r="B3661" t="s">
        <v>67</v>
      </c>
      <c r="C3661" s="2">
        <v>44229</v>
      </c>
      <c r="D3661" t="s">
        <v>29</v>
      </c>
      <c r="E3661">
        <v>572</v>
      </c>
    </row>
    <row r="3662" spans="1:5" x14ac:dyDescent="0.55000000000000004">
      <c r="A3662" t="s">
        <v>3743</v>
      </c>
      <c r="B3662" t="s">
        <v>15</v>
      </c>
      <c r="C3662" s="2">
        <v>44118</v>
      </c>
      <c r="D3662" t="s">
        <v>29</v>
      </c>
      <c r="E3662">
        <v>1524</v>
      </c>
    </row>
    <row r="3663" spans="1:5" x14ac:dyDescent="0.55000000000000004">
      <c r="A3663" t="s">
        <v>3744</v>
      </c>
      <c r="B3663" t="s">
        <v>23</v>
      </c>
      <c r="C3663" s="2">
        <v>44604</v>
      </c>
      <c r="D3663" t="s">
        <v>26</v>
      </c>
      <c r="E3663">
        <v>1320</v>
      </c>
    </row>
    <row r="3664" spans="1:5" x14ac:dyDescent="0.55000000000000004">
      <c r="A3664" t="s">
        <v>3745</v>
      </c>
      <c r="B3664" t="s">
        <v>41</v>
      </c>
      <c r="C3664" s="2">
        <v>44045</v>
      </c>
      <c r="D3664" t="s">
        <v>29</v>
      </c>
      <c r="E3664">
        <v>32</v>
      </c>
    </row>
    <row r="3665" spans="1:5" x14ac:dyDescent="0.55000000000000004">
      <c r="A3665" t="s">
        <v>3746</v>
      </c>
      <c r="B3665" t="s">
        <v>105</v>
      </c>
      <c r="C3665" s="2">
        <v>43780</v>
      </c>
      <c r="D3665" t="s">
        <v>29</v>
      </c>
      <c r="E3665">
        <v>1370</v>
      </c>
    </row>
    <row r="3666" spans="1:5" x14ac:dyDescent="0.55000000000000004">
      <c r="A3666" t="s">
        <v>3747</v>
      </c>
      <c r="B3666" t="s">
        <v>111</v>
      </c>
      <c r="C3666" s="2">
        <v>44243</v>
      </c>
      <c r="D3666" t="s">
        <v>26</v>
      </c>
      <c r="E3666">
        <v>766</v>
      </c>
    </row>
    <row r="3667" spans="1:5" x14ac:dyDescent="0.55000000000000004">
      <c r="A3667" t="s">
        <v>3748</v>
      </c>
      <c r="B3667" t="s">
        <v>86</v>
      </c>
      <c r="C3667" s="2">
        <v>43544</v>
      </c>
      <c r="D3667" t="s">
        <v>26</v>
      </c>
      <c r="E3667">
        <v>1912</v>
      </c>
    </row>
    <row r="3668" spans="1:5" x14ac:dyDescent="0.55000000000000004">
      <c r="A3668" t="s">
        <v>3749</v>
      </c>
      <c r="B3668" t="s">
        <v>99</v>
      </c>
      <c r="C3668" s="2">
        <v>44228</v>
      </c>
      <c r="D3668" t="s">
        <v>26</v>
      </c>
      <c r="E3668">
        <v>1798</v>
      </c>
    </row>
    <row r="3669" spans="1:5" x14ac:dyDescent="0.55000000000000004">
      <c r="A3669" t="s">
        <v>3750</v>
      </c>
      <c r="B3669" t="s">
        <v>137</v>
      </c>
      <c r="C3669" s="2">
        <v>45335</v>
      </c>
      <c r="D3669" t="s">
        <v>29</v>
      </c>
      <c r="E3669">
        <v>2993</v>
      </c>
    </row>
    <row r="3670" spans="1:5" x14ac:dyDescent="0.55000000000000004">
      <c r="A3670" t="s">
        <v>3751</v>
      </c>
      <c r="B3670" t="s">
        <v>101</v>
      </c>
      <c r="C3670" s="2">
        <v>43886</v>
      </c>
      <c r="D3670" t="s">
        <v>26</v>
      </c>
      <c r="E3670">
        <v>1034</v>
      </c>
    </row>
    <row r="3671" spans="1:5" x14ac:dyDescent="0.55000000000000004">
      <c r="A3671" t="s">
        <v>3752</v>
      </c>
      <c r="B3671" t="s">
        <v>78</v>
      </c>
      <c r="C3671" s="2">
        <v>44994</v>
      </c>
      <c r="D3671" t="s">
        <v>29</v>
      </c>
      <c r="E3671">
        <v>1976</v>
      </c>
    </row>
    <row r="3672" spans="1:5" x14ac:dyDescent="0.55000000000000004">
      <c r="A3672" t="s">
        <v>3753</v>
      </c>
      <c r="B3672" t="s">
        <v>38</v>
      </c>
      <c r="C3672" s="2">
        <v>44652</v>
      </c>
      <c r="D3672" t="s">
        <v>29</v>
      </c>
      <c r="E3672">
        <v>164</v>
      </c>
    </row>
    <row r="3673" spans="1:5" x14ac:dyDescent="0.55000000000000004">
      <c r="A3673" t="s">
        <v>3754</v>
      </c>
      <c r="B3673" t="s">
        <v>94</v>
      </c>
      <c r="C3673" s="2">
        <v>44425</v>
      </c>
      <c r="D3673" t="s">
        <v>26</v>
      </c>
      <c r="E3673">
        <v>1724</v>
      </c>
    </row>
    <row r="3674" spans="1:5" x14ac:dyDescent="0.55000000000000004">
      <c r="A3674" t="s">
        <v>3755</v>
      </c>
      <c r="B3674" t="s">
        <v>140</v>
      </c>
      <c r="C3674" s="2">
        <v>44502</v>
      </c>
      <c r="D3674" t="s">
        <v>29</v>
      </c>
      <c r="E3674">
        <v>2365</v>
      </c>
    </row>
    <row r="3675" spans="1:5" x14ac:dyDescent="0.55000000000000004">
      <c r="A3675" t="s">
        <v>3756</v>
      </c>
      <c r="B3675" t="s">
        <v>101</v>
      </c>
      <c r="C3675" s="2">
        <v>44131</v>
      </c>
      <c r="D3675" t="s">
        <v>26</v>
      </c>
      <c r="E3675">
        <v>671</v>
      </c>
    </row>
    <row r="3676" spans="1:5" x14ac:dyDescent="0.55000000000000004">
      <c r="A3676" t="s">
        <v>3757</v>
      </c>
      <c r="B3676" t="s">
        <v>67</v>
      </c>
      <c r="C3676" s="2">
        <v>44147</v>
      </c>
      <c r="D3676" t="s">
        <v>29</v>
      </c>
      <c r="E3676">
        <v>2444</v>
      </c>
    </row>
    <row r="3677" spans="1:5" x14ac:dyDescent="0.55000000000000004">
      <c r="A3677" t="s">
        <v>3758</v>
      </c>
      <c r="B3677" t="s">
        <v>41</v>
      </c>
      <c r="C3677" s="2">
        <v>44904</v>
      </c>
      <c r="D3677" t="s">
        <v>26</v>
      </c>
      <c r="E3677">
        <v>2326</v>
      </c>
    </row>
    <row r="3678" spans="1:5" x14ac:dyDescent="0.55000000000000004">
      <c r="A3678" t="s">
        <v>3759</v>
      </c>
      <c r="B3678" t="s">
        <v>118</v>
      </c>
      <c r="C3678" s="2">
        <v>44037</v>
      </c>
      <c r="D3678" t="s">
        <v>26</v>
      </c>
      <c r="E3678">
        <v>2717</v>
      </c>
    </row>
    <row r="3679" spans="1:5" x14ac:dyDescent="0.55000000000000004">
      <c r="A3679" t="s">
        <v>3760</v>
      </c>
      <c r="B3679" t="s">
        <v>111</v>
      </c>
      <c r="C3679" s="2">
        <v>44531</v>
      </c>
      <c r="D3679" t="s">
        <v>26</v>
      </c>
      <c r="E3679">
        <v>370</v>
      </c>
    </row>
    <row r="3680" spans="1:5" x14ac:dyDescent="0.55000000000000004">
      <c r="A3680" t="s">
        <v>3761</v>
      </c>
      <c r="B3680" t="s">
        <v>156</v>
      </c>
      <c r="C3680" s="2">
        <v>44540</v>
      </c>
      <c r="D3680" t="s">
        <v>26</v>
      </c>
      <c r="E3680">
        <v>1417</v>
      </c>
    </row>
    <row r="3681" spans="1:5" x14ac:dyDescent="0.55000000000000004">
      <c r="A3681" t="s">
        <v>3762</v>
      </c>
      <c r="B3681" t="s">
        <v>15</v>
      </c>
      <c r="C3681" s="2">
        <v>43727</v>
      </c>
      <c r="D3681" t="s">
        <v>26</v>
      </c>
      <c r="E3681">
        <v>1886</v>
      </c>
    </row>
    <row r="3682" spans="1:5" x14ac:dyDescent="0.55000000000000004">
      <c r="A3682" t="s">
        <v>3763</v>
      </c>
      <c r="B3682" t="s">
        <v>14</v>
      </c>
      <c r="C3682" s="2">
        <v>44265</v>
      </c>
      <c r="D3682" t="s">
        <v>26</v>
      </c>
      <c r="E3682">
        <v>820</v>
      </c>
    </row>
    <row r="3683" spans="1:5" x14ac:dyDescent="0.55000000000000004">
      <c r="A3683" t="s">
        <v>3764</v>
      </c>
      <c r="B3683" t="s">
        <v>94</v>
      </c>
      <c r="C3683" s="2">
        <v>44170</v>
      </c>
      <c r="D3683" t="s">
        <v>29</v>
      </c>
      <c r="E3683">
        <v>1259</v>
      </c>
    </row>
    <row r="3684" spans="1:5" x14ac:dyDescent="0.55000000000000004">
      <c r="A3684" t="s">
        <v>3765</v>
      </c>
      <c r="B3684" t="s">
        <v>74</v>
      </c>
      <c r="C3684" s="2">
        <v>43295</v>
      </c>
      <c r="D3684" t="s">
        <v>26</v>
      </c>
      <c r="E3684">
        <v>832</v>
      </c>
    </row>
    <row r="3685" spans="1:5" x14ac:dyDescent="0.55000000000000004">
      <c r="A3685" t="s">
        <v>3766</v>
      </c>
      <c r="B3685" t="s">
        <v>140</v>
      </c>
      <c r="C3685" s="2">
        <v>43101</v>
      </c>
      <c r="D3685" t="s">
        <v>26</v>
      </c>
      <c r="E3685">
        <v>631</v>
      </c>
    </row>
    <row r="3686" spans="1:5" x14ac:dyDescent="0.55000000000000004">
      <c r="A3686" t="s">
        <v>3767</v>
      </c>
      <c r="B3686" t="s">
        <v>38</v>
      </c>
      <c r="C3686" s="2">
        <v>44597</v>
      </c>
      <c r="D3686" t="s">
        <v>26</v>
      </c>
      <c r="E3686">
        <v>1955</v>
      </c>
    </row>
    <row r="3687" spans="1:5" x14ac:dyDescent="0.55000000000000004">
      <c r="A3687" t="s">
        <v>3768</v>
      </c>
      <c r="B3687" t="s">
        <v>105</v>
      </c>
      <c r="C3687" s="2">
        <v>43622</v>
      </c>
      <c r="D3687" t="s">
        <v>26</v>
      </c>
      <c r="E3687">
        <v>1928</v>
      </c>
    </row>
    <row r="3688" spans="1:5" x14ac:dyDescent="0.55000000000000004">
      <c r="A3688" t="s">
        <v>3769</v>
      </c>
      <c r="B3688" t="s">
        <v>99</v>
      </c>
      <c r="C3688" s="2">
        <v>45080</v>
      </c>
      <c r="D3688" t="s">
        <v>26</v>
      </c>
      <c r="E3688">
        <v>1934</v>
      </c>
    </row>
    <row r="3689" spans="1:5" x14ac:dyDescent="0.55000000000000004">
      <c r="A3689" t="s">
        <v>3770</v>
      </c>
      <c r="B3689" t="s">
        <v>38</v>
      </c>
      <c r="C3689" s="2">
        <v>44601</v>
      </c>
      <c r="D3689" t="s">
        <v>29</v>
      </c>
      <c r="E3689">
        <v>2892</v>
      </c>
    </row>
    <row r="3690" spans="1:5" x14ac:dyDescent="0.55000000000000004">
      <c r="A3690" t="s">
        <v>3771</v>
      </c>
      <c r="B3690" t="s">
        <v>63</v>
      </c>
      <c r="C3690" s="2">
        <v>44479</v>
      </c>
      <c r="D3690" t="s">
        <v>26</v>
      </c>
      <c r="E3690">
        <v>1587</v>
      </c>
    </row>
    <row r="3691" spans="1:5" x14ac:dyDescent="0.55000000000000004">
      <c r="A3691" t="s">
        <v>3772</v>
      </c>
      <c r="B3691" t="s">
        <v>72</v>
      </c>
      <c r="C3691" s="2">
        <v>43568</v>
      </c>
      <c r="D3691" t="s">
        <v>26</v>
      </c>
      <c r="E3691">
        <v>1637</v>
      </c>
    </row>
    <row r="3692" spans="1:5" x14ac:dyDescent="0.55000000000000004">
      <c r="A3692" t="s">
        <v>3773</v>
      </c>
      <c r="B3692" t="s">
        <v>118</v>
      </c>
      <c r="C3692" s="2">
        <v>44805</v>
      </c>
      <c r="D3692" t="s">
        <v>29</v>
      </c>
      <c r="E3692">
        <v>2763</v>
      </c>
    </row>
    <row r="3693" spans="1:5" x14ac:dyDescent="0.55000000000000004">
      <c r="A3693" t="s">
        <v>3774</v>
      </c>
      <c r="B3693" t="s">
        <v>78</v>
      </c>
      <c r="C3693" s="2">
        <v>45205</v>
      </c>
      <c r="D3693" t="s">
        <v>29</v>
      </c>
      <c r="E3693">
        <v>2187</v>
      </c>
    </row>
    <row r="3694" spans="1:5" x14ac:dyDescent="0.55000000000000004">
      <c r="A3694" t="s">
        <v>3775</v>
      </c>
      <c r="B3694" t="s">
        <v>74</v>
      </c>
      <c r="C3694" s="2">
        <v>43627</v>
      </c>
      <c r="D3694" t="s">
        <v>29</v>
      </c>
      <c r="E3694">
        <v>2743</v>
      </c>
    </row>
    <row r="3695" spans="1:5" x14ac:dyDescent="0.55000000000000004">
      <c r="A3695" t="s">
        <v>3776</v>
      </c>
      <c r="B3695" t="s">
        <v>78</v>
      </c>
      <c r="C3695" s="2">
        <v>43576</v>
      </c>
      <c r="D3695" t="s">
        <v>26</v>
      </c>
      <c r="E3695">
        <v>2492</v>
      </c>
    </row>
    <row r="3696" spans="1:5" x14ac:dyDescent="0.55000000000000004">
      <c r="A3696" t="s">
        <v>3777</v>
      </c>
      <c r="B3696" t="s">
        <v>105</v>
      </c>
      <c r="C3696" s="2">
        <v>44489</v>
      </c>
      <c r="D3696" t="s">
        <v>26</v>
      </c>
      <c r="E3696">
        <v>1511</v>
      </c>
    </row>
    <row r="3697" spans="1:5" x14ac:dyDescent="0.55000000000000004">
      <c r="A3697" t="s">
        <v>3778</v>
      </c>
      <c r="B3697" t="s">
        <v>86</v>
      </c>
      <c r="C3697" s="2">
        <v>43613</v>
      </c>
      <c r="D3697" t="s">
        <v>26</v>
      </c>
      <c r="E3697">
        <v>2500</v>
      </c>
    </row>
    <row r="3698" spans="1:5" x14ac:dyDescent="0.55000000000000004">
      <c r="A3698" t="s">
        <v>3779</v>
      </c>
      <c r="B3698" t="s">
        <v>32</v>
      </c>
      <c r="C3698" s="2">
        <v>44646</v>
      </c>
      <c r="D3698" t="s">
        <v>26</v>
      </c>
      <c r="E3698">
        <v>2644</v>
      </c>
    </row>
    <row r="3699" spans="1:5" x14ac:dyDescent="0.55000000000000004">
      <c r="A3699" t="s">
        <v>3780</v>
      </c>
      <c r="B3699" t="s">
        <v>63</v>
      </c>
      <c r="C3699" s="2">
        <v>43199</v>
      </c>
      <c r="D3699" t="s">
        <v>29</v>
      </c>
      <c r="E3699">
        <v>769</v>
      </c>
    </row>
    <row r="3700" spans="1:5" x14ac:dyDescent="0.55000000000000004">
      <c r="A3700" t="s">
        <v>3781</v>
      </c>
      <c r="B3700" t="s">
        <v>142</v>
      </c>
      <c r="C3700" s="2">
        <v>43349</v>
      </c>
      <c r="D3700" t="s">
        <v>29</v>
      </c>
      <c r="E3700">
        <v>1783</v>
      </c>
    </row>
    <row r="3701" spans="1:5" x14ac:dyDescent="0.55000000000000004">
      <c r="A3701" t="s">
        <v>3782</v>
      </c>
      <c r="B3701" t="s">
        <v>74</v>
      </c>
      <c r="C3701" s="2">
        <v>43612</v>
      </c>
      <c r="D3701" t="s">
        <v>29</v>
      </c>
      <c r="E3701">
        <v>2678</v>
      </c>
    </row>
    <row r="3702" spans="1:5" x14ac:dyDescent="0.55000000000000004">
      <c r="A3702" t="s">
        <v>3783</v>
      </c>
      <c r="B3702" t="s">
        <v>105</v>
      </c>
      <c r="C3702" s="2">
        <v>43788</v>
      </c>
      <c r="D3702" t="s">
        <v>26</v>
      </c>
      <c r="E3702">
        <v>1167</v>
      </c>
    </row>
    <row r="3703" spans="1:5" x14ac:dyDescent="0.55000000000000004">
      <c r="A3703" t="s">
        <v>3784</v>
      </c>
      <c r="B3703" t="s">
        <v>156</v>
      </c>
      <c r="C3703" s="2">
        <v>43709</v>
      </c>
      <c r="D3703" t="s">
        <v>29</v>
      </c>
      <c r="E3703">
        <v>142</v>
      </c>
    </row>
    <row r="3704" spans="1:5" x14ac:dyDescent="0.55000000000000004">
      <c r="A3704" t="s">
        <v>3785</v>
      </c>
      <c r="B3704" t="s">
        <v>84</v>
      </c>
      <c r="C3704" s="2">
        <v>43780</v>
      </c>
      <c r="D3704" t="s">
        <v>26</v>
      </c>
      <c r="E3704">
        <v>669</v>
      </c>
    </row>
    <row r="3705" spans="1:5" x14ac:dyDescent="0.55000000000000004">
      <c r="A3705" t="s">
        <v>3786</v>
      </c>
      <c r="B3705" t="s">
        <v>101</v>
      </c>
      <c r="C3705" s="2">
        <v>44314</v>
      </c>
      <c r="D3705" t="s">
        <v>26</v>
      </c>
      <c r="E3705">
        <v>1904</v>
      </c>
    </row>
    <row r="3706" spans="1:5" x14ac:dyDescent="0.55000000000000004">
      <c r="A3706" t="s">
        <v>3787</v>
      </c>
      <c r="B3706" t="s">
        <v>137</v>
      </c>
      <c r="C3706" s="2">
        <v>43804</v>
      </c>
      <c r="D3706" t="s">
        <v>29</v>
      </c>
      <c r="E3706">
        <v>2810</v>
      </c>
    </row>
    <row r="3707" spans="1:5" x14ac:dyDescent="0.55000000000000004">
      <c r="A3707" t="s">
        <v>3788</v>
      </c>
      <c r="B3707" t="s">
        <v>78</v>
      </c>
      <c r="C3707" s="2">
        <v>43881</v>
      </c>
      <c r="D3707" t="s">
        <v>29</v>
      </c>
      <c r="E3707">
        <v>50</v>
      </c>
    </row>
    <row r="3708" spans="1:5" x14ac:dyDescent="0.55000000000000004">
      <c r="A3708" t="s">
        <v>3789</v>
      </c>
      <c r="B3708" t="s">
        <v>105</v>
      </c>
      <c r="C3708" s="2">
        <v>43570</v>
      </c>
      <c r="D3708" t="s">
        <v>26</v>
      </c>
      <c r="E3708">
        <v>2353</v>
      </c>
    </row>
    <row r="3709" spans="1:5" x14ac:dyDescent="0.55000000000000004">
      <c r="A3709" t="s">
        <v>3790</v>
      </c>
      <c r="B3709" t="s">
        <v>67</v>
      </c>
      <c r="C3709" s="2">
        <v>45038</v>
      </c>
      <c r="D3709" t="s">
        <v>29</v>
      </c>
      <c r="E3709">
        <v>47</v>
      </c>
    </row>
    <row r="3710" spans="1:5" x14ac:dyDescent="0.55000000000000004">
      <c r="A3710" t="s">
        <v>3791</v>
      </c>
      <c r="B3710" t="s">
        <v>96</v>
      </c>
      <c r="C3710" s="2">
        <v>45111</v>
      </c>
      <c r="D3710" t="s">
        <v>29</v>
      </c>
      <c r="E3710">
        <v>223</v>
      </c>
    </row>
    <row r="3711" spans="1:5" x14ac:dyDescent="0.55000000000000004">
      <c r="A3711" t="s">
        <v>3792</v>
      </c>
      <c r="B3711" t="s">
        <v>156</v>
      </c>
      <c r="C3711" s="2">
        <v>43787</v>
      </c>
      <c r="D3711" t="s">
        <v>29</v>
      </c>
      <c r="E3711">
        <v>2597</v>
      </c>
    </row>
    <row r="3712" spans="1:5" x14ac:dyDescent="0.55000000000000004">
      <c r="A3712" t="s">
        <v>3793</v>
      </c>
      <c r="B3712" t="s">
        <v>115</v>
      </c>
      <c r="C3712" s="2">
        <v>44153</v>
      </c>
      <c r="D3712" t="s">
        <v>29</v>
      </c>
      <c r="E3712">
        <v>2056</v>
      </c>
    </row>
    <row r="3713" spans="1:5" x14ac:dyDescent="0.55000000000000004">
      <c r="A3713" t="s">
        <v>3794</v>
      </c>
      <c r="B3713" t="s">
        <v>86</v>
      </c>
      <c r="C3713" s="2">
        <v>44516</v>
      </c>
      <c r="D3713" t="s">
        <v>29</v>
      </c>
      <c r="E3713">
        <v>2916</v>
      </c>
    </row>
    <row r="3714" spans="1:5" x14ac:dyDescent="0.55000000000000004">
      <c r="A3714" t="s">
        <v>3795</v>
      </c>
      <c r="B3714" t="s">
        <v>111</v>
      </c>
      <c r="C3714" s="2">
        <v>44012</v>
      </c>
      <c r="D3714" t="s">
        <v>29</v>
      </c>
      <c r="E3714">
        <v>457</v>
      </c>
    </row>
    <row r="3715" spans="1:5" x14ac:dyDescent="0.55000000000000004">
      <c r="A3715" t="s">
        <v>3796</v>
      </c>
      <c r="B3715" t="s">
        <v>137</v>
      </c>
      <c r="C3715" s="2">
        <v>44198</v>
      </c>
      <c r="D3715" t="s">
        <v>29</v>
      </c>
      <c r="E3715">
        <v>2177</v>
      </c>
    </row>
    <row r="3716" spans="1:5" x14ac:dyDescent="0.55000000000000004">
      <c r="A3716" t="s">
        <v>3797</v>
      </c>
      <c r="B3716" t="s">
        <v>118</v>
      </c>
      <c r="C3716" s="2">
        <v>45036</v>
      </c>
      <c r="D3716" t="s">
        <v>26</v>
      </c>
      <c r="E3716">
        <v>615</v>
      </c>
    </row>
    <row r="3717" spans="1:5" x14ac:dyDescent="0.55000000000000004">
      <c r="A3717" t="s">
        <v>3798</v>
      </c>
      <c r="B3717" t="s">
        <v>14</v>
      </c>
      <c r="C3717" s="2">
        <v>43607</v>
      </c>
      <c r="D3717" t="s">
        <v>29</v>
      </c>
      <c r="E3717">
        <v>809</v>
      </c>
    </row>
    <row r="3718" spans="1:5" x14ac:dyDescent="0.55000000000000004">
      <c r="A3718" t="s">
        <v>3799</v>
      </c>
      <c r="B3718" t="s">
        <v>67</v>
      </c>
      <c r="C3718" s="2">
        <v>45329</v>
      </c>
      <c r="D3718" t="s">
        <v>29</v>
      </c>
      <c r="E3718">
        <v>198</v>
      </c>
    </row>
    <row r="3719" spans="1:5" x14ac:dyDescent="0.55000000000000004">
      <c r="A3719" t="s">
        <v>3800</v>
      </c>
      <c r="B3719" t="s">
        <v>15</v>
      </c>
      <c r="C3719" s="2">
        <v>43493</v>
      </c>
      <c r="D3719" t="s">
        <v>26</v>
      </c>
      <c r="E3719">
        <v>497</v>
      </c>
    </row>
    <row r="3720" spans="1:5" x14ac:dyDescent="0.55000000000000004">
      <c r="A3720" t="s">
        <v>3801</v>
      </c>
      <c r="B3720" t="s">
        <v>76</v>
      </c>
      <c r="C3720" s="2">
        <v>45471</v>
      </c>
      <c r="D3720" t="s">
        <v>29</v>
      </c>
      <c r="E3720">
        <v>1503</v>
      </c>
    </row>
    <row r="3721" spans="1:5" x14ac:dyDescent="0.55000000000000004">
      <c r="A3721" t="s">
        <v>3802</v>
      </c>
      <c r="B3721" t="s">
        <v>142</v>
      </c>
      <c r="C3721" s="2">
        <v>44144</v>
      </c>
      <c r="D3721" t="s">
        <v>29</v>
      </c>
      <c r="E3721">
        <v>1033</v>
      </c>
    </row>
    <row r="3722" spans="1:5" x14ac:dyDescent="0.55000000000000004">
      <c r="A3722" t="s">
        <v>3803</v>
      </c>
      <c r="B3722" t="s">
        <v>140</v>
      </c>
      <c r="C3722" s="2">
        <v>43608</v>
      </c>
      <c r="D3722" t="s">
        <v>29</v>
      </c>
      <c r="E3722">
        <v>96</v>
      </c>
    </row>
    <row r="3723" spans="1:5" x14ac:dyDescent="0.55000000000000004">
      <c r="A3723" t="s">
        <v>3804</v>
      </c>
      <c r="B3723" t="s">
        <v>99</v>
      </c>
      <c r="C3723" s="2">
        <v>44560</v>
      </c>
      <c r="D3723" t="s">
        <v>26</v>
      </c>
      <c r="E3723">
        <v>1201</v>
      </c>
    </row>
    <row r="3724" spans="1:5" x14ac:dyDescent="0.55000000000000004">
      <c r="A3724" t="s">
        <v>3805</v>
      </c>
      <c r="B3724" t="s">
        <v>86</v>
      </c>
      <c r="C3724" s="2">
        <v>43771</v>
      </c>
      <c r="D3724" t="s">
        <v>26</v>
      </c>
      <c r="E3724">
        <v>1829</v>
      </c>
    </row>
    <row r="3725" spans="1:5" x14ac:dyDescent="0.55000000000000004">
      <c r="A3725" t="s">
        <v>3806</v>
      </c>
      <c r="B3725" t="s">
        <v>111</v>
      </c>
      <c r="C3725" s="2">
        <v>43526</v>
      </c>
      <c r="D3725" t="s">
        <v>26</v>
      </c>
      <c r="E3725">
        <v>2440</v>
      </c>
    </row>
    <row r="3726" spans="1:5" x14ac:dyDescent="0.55000000000000004">
      <c r="A3726" t="s">
        <v>3807</v>
      </c>
      <c r="B3726" t="s">
        <v>115</v>
      </c>
      <c r="C3726" s="2">
        <v>43648</v>
      </c>
      <c r="D3726" t="s">
        <v>26</v>
      </c>
      <c r="E3726">
        <v>2176</v>
      </c>
    </row>
    <row r="3727" spans="1:5" x14ac:dyDescent="0.55000000000000004">
      <c r="A3727" t="s">
        <v>3808</v>
      </c>
      <c r="B3727" t="s">
        <v>78</v>
      </c>
      <c r="C3727" s="2">
        <v>45088</v>
      </c>
      <c r="D3727" t="s">
        <v>26</v>
      </c>
      <c r="E3727">
        <v>717</v>
      </c>
    </row>
    <row r="3728" spans="1:5" x14ac:dyDescent="0.55000000000000004">
      <c r="A3728" t="s">
        <v>3809</v>
      </c>
      <c r="B3728" t="s">
        <v>74</v>
      </c>
      <c r="C3728" s="2">
        <v>44012</v>
      </c>
      <c r="D3728" t="s">
        <v>26</v>
      </c>
      <c r="E3728">
        <v>516</v>
      </c>
    </row>
    <row r="3729" spans="1:5" x14ac:dyDescent="0.55000000000000004">
      <c r="A3729" t="s">
        <v>3810</v>
      </c>
      <c r="B3729" t="s">
        <v>78</v>
      </c>
      <c r="C3729" s="2">
        <v>44058</v>
      </c>
      <c r="D3729" t="s">
        <v>29</v>
      </c>
      <c r="E3729">
        <v>1765</v>
      </c>
    </row>
    <row r="3730" spans="1:5" x14ac:dyDescent="0.55000000000000004">
      <c r="A3730" t="s">
        <v>3811</v>
      </c>
      <c r="B3730" t="s">
        <v>94</v>
      </c>
      <c r="C3730" s="2">
        <v>44591</v>
      </c>
      <c r="D3730" t="s">
        <v>29</v>
      </c>
      <c r="E3730">
        <v>1876</v>
      </c>
    </row>
    <row r="3731" spans="1:5" x14ac:dyDescent="0.55000000000000004">
      <c r="A3731" t="s">
        <v>3812</v>
      </c>
      <c r="B3731" t="s">
        <v>41</v>
      </c>
      <c r="C3731" s="2">
        <v>44330</v>
      </c>
      <c r="D3731" t="s">
        <v>29</v>
      </c>
      <c r="E3731">
        <v>166</v>
      </c>
    </row>
    <row r="3732" spans="1:5" x14ac:dyDescent="0.55000000000000004">
      <c r="A3732" t="s">
        <v>3813</v>
      </c>
      <c r="B3732" t="s">
        <v>74</v>
      </c>
      <c r="C3732" s="2">
        <v>43585</v>
      </c>
      <c r="D3732" t="s">
        <v>29</v>
      </c>
      <c r="E3732">
        <v>156</v>
      </c>
    </row>
    <row r="3733" spans="1:5" x14ac:dyDescent="0.55000000000000004">
      <c r="A3733" t="s">
        <v>3814</v>
      </c>
      <c r="B3733" t="s">
        <v>72</v>
      </c>
      <c r="C3733" s="2">
        <v>44164</v>
      </c>
      <c r="D3733" t="s">
        <v>26</v>
      </c>
      <c r="E3733">
        <v>1564</v>
      </c>
    </row>
    <row r="3734" spans="1:5" x14ac:dyDescent="0.55000000000000004">
      <c r="A3734" t="s">
        <v>3815</v>
      </c>
      <c r="B3734" t="s">
        <v>67</v>
      </c>
      <c r="C3734" s="2">
        <v>43788</v>
      </c>
      <c r="D3734" t="s">
        <v>29</v>
      </c>
      <c r="E3734">
        <v>2608</v>
      </c>
    </row>
    <row r="3735" spans="1:5" x14ac:dyDescent="0.55000000000000004">
      <c r="A3735" t="s">
        <v>3816</v>
      </c>
      <c r="B3735" t="s">
        <v>78</v>
      </c>
      <c r="C3735" s="2">
        <v>44702</v>
      </c>
      <c r="D3735" t="s">
        <v>29</v>
      </c>
      <c r="E3735">
        <v>1641</v>
      </c>
    </row>
    <row r="3736" spans="1:5" x14ac:dyDescent="0.55000000000000004">
      <c r="A3736" t="s">
        <v>3817</v>
      </c>
      <c r="B3736" t="s">
        <v>14</v>
      </c>
      <c r="C3736" s="2">
        <v>43293</v>
      </c>
      <c r="D3736" t="s">
        <v>29</v>
      </c>
      <c r="E3736">
        <v>2955</v>
      </c>
    </row>
    <row r="3737" spans="1:5" x14ac:dyDescent="0.55000000000000004">
      <c r="A3737" t="s">
        <v>3818</v>
      </c>
      <c r="B3737" t="s">
        <v>35</v>
      </c>
      <c r="C3737" s="2">
        <v>43993</v>
      </c>
      <c r="D3737" t="s">
        <v>29</v>
      </c>
      <c r="E3737">
        <v>476</v>
      </c>
    </row>
    <row r="3738" spans="1:5" x14ac:dyDescent="0.55000000000000004">
      <c r="A3738" t="s">
        <v>3819</v>
      </c>
      <c r="B3738" t="s">
        <v>137</v>
      </c>
      <c r="C3738" s="2">
        <v>44250</v>
      </c>
      <c r="D3738" t="s">
        <v>29</v>
      </c>
      <c r="E3738">
        <v>1241</v>
      </c>
    </row>
    <row r="3739" spans="1:5" x14ac:dyDescent="0.55000000000000004">
      <c r="A3739" t="s">
        <v>3820</v>
      </c>
      <c r="B3739" t="s">
        <v>32</v>
      </c>
      <c r="C3739" s="2">
        <v>44883</v>
      </c>
      <c r="D3739" t="s">
        <v>26</v>
      </c>
      <c r="E3739">
        <v>2843</v>
      </c>
    </row>
    <row r="3740" spans="1:5" x14ac:dyDescent="0.55000000000000004">
      <c r="A3740" t="s">
        <v>3821</v>
      </c>
      <c r="B3740" t="s">
        <v>137</v>
      </c>
      <c r="C3740" s="2">
        <v>43666</v>
      </c>
      <c r="D3740" t="s">
        <v>29</v>
      </c>
      <c r="E3740">
        <v>2348</v>
      </c>
    </row>
    <row r="3741" spans="1:5" x14ac:dyDescent="0.55000000000000004">
      <c r="A3741" t="s">
        <v>3822</v>
      </c>
      <c r="B3741" t="s">
        <v>96</v>
      </c>
      <c r="C3741" s="2">
        <v>44347</v>
      </c>
      <c r="D3741" t="s">
        <v>29</v>
      </c>
      <c r="E3741">
        <v>1125</v>
      </c>
    </row>
    <row r="3742" spans="1:5" x14ac:dyDescent="0.55000000000000004">
      <c r="A3742" t="s">
        <v>3823</v>
      </c>
      <c r="B3742" t="s">
        <v>78</v>
      </c>
      <c r="C3742" s="2">
        <v>44226</v>
      </c>
      <c r="D3742" t="s">
        <v>29</v>
      </c>
      <c r="E3742">
        <v>2054</v>
      </c>
    </row>
    <row r="3743" spans="1:5" x14ac:dyDescent="0.55000000000000004">
      <c r="A3743" t="s">
        <v>3824</v>
      </c>
      <c r="B3743" t="s">
        <v>38</v>
      </c>
      <c r="C3743" s="2">
        <v>43924</v>
      </c>
      <c r="D3743" t="s">
        <v>29</v>
      </c>
      <c r="E3743">
        <v>742</v>
      </c>
    </row>
    <row r="3744" spans="1:5" x14ac:dyDescent="0.55000000000000004">
      <c r="A3744" t="s">
        <v>3825</v>
      </c>
      <c r="B3744" t="s">
        <v>38</v>
      </c>
      <c r="C3744" s="2">
        <v>44414</v>
      </c>
      <c r="D3744" t="s">
        <v>29</v>
      </c>
      <c r="E3744">
        <v>20</v>
      </c>
    </row>
    <row r="3745" spans="1:5" x14ac:dyDescent="0.55000000000000004">
      <c r="A3745" t="s">
        <v>3826</v>
      </c>
      <c r="B3745" t="s">
        <v>140</v>
      </c>
      <c r="C3745" s="2">
        <v>43341</v>
      </c>
      <c r="D3745" t="s">
        <v>26</v>
      </c>
      <c r="E3745">
        <v>1697</v>
      </c>
    </row>
    <row r="3746" spans="1:5" x14ac:dyDescent="0.55000000000000004">
      <c r="A3746" t="s">
        <v>3827</v>
      </c>
      <c r="B3746" t="s">
        <v>38</v>
      </c>
      <c r="C3746" s="2">
        <v>44096</v>
      </c>
      <c r="D3746" t="s">
        <v>29</v>
      </c>
      <c r="E3746">
        <v>1093</v>
      </c>
    </row>
    <row r="3747" spans="1:5" x14ac:dyDescent="0.55000000000000004">
      <c r="A3747" t="s">
        <v>3828</v>
      </c>
      <c r="B3747" t="s">
        <v>15</v>
      </c>
      <c r="C3747" s="2">
        <v>44143</v>
      </c>
      <c r="D3747" t="s">
        <v>29</v>
      </c>
      <c r="E3747">
        <v>397</v>
      </c>
    </row>
    <row r="3748" spans="1:5" x14ac:dyDescent="0.55000000000000004">
      <c r="A3748" t="s">
        <v>3829</v>
      </c>
      <c r="B3748" t="s">
        <v>63</v>
      </c>
      <c r="C3748" s="2">
        <v>43377</v>
      </c>
      <c r="D3748" t="s">
        <v>26</v>
      </c>
      <c r="E3748">
        <v>2904</v>
      </c>
    </row>
    <row r="3749" spans="1:5" x14ac:dyDescent="0.55000000000000004">
      <c r="A3749" t="s">
        <v>3830</v>
      </c>
      <c r="B3749" t="s">
        <v>111</v>
      </c>
      <c r="C3749" s="2">
        <v>43369</v>
      </c>
      <c r="D3749" t="s">
        <v>26</v>
      </c>
      <c r="E3749">
        <v>2504</v>
      </c>
    </row>
    <row r="3750" spans="1:5" x14ac:dyDescent="0.55000000000000004">
      <c r="A3750" t="s">
        <v>3831</v>
      </c>
      <c r="B3750" t="s">
        <v>156</v>
      </c>
      <c r="C3750" s="2">
        <v>44408</v>
      </c>
      <c r="D3750" t="s">
        <v>29</v>
      </c>
      <c r="E3750">
        <v>2408</v>
      </c>
    </row>
    <row r="3751" spans="1:5" x14ac:dyDescent="0.55000000000000004">
      <c r="A3751" t="s">
        <v>3832</v>
      </c>
      <c r="B3751" t="s">
        <v>140</v>
      </c>
      <c r="C3751" s="2">
        <v>44217</v>
      </c>
      <c r="D3751" t="s">
        <v>29</v>
      </c>
      <c r="E3751">
        <v>2217</v>
      </c>
    </row>
    <row r="3752" spans="1:5" x14ac:dyDescent="0.55000000000000004">
      <c r="A3752" t="s">
        <v>3833</v>
      </c>
      <c r="B3752" t="s">
        <v>101</v>
      </c>
      <c r="C3752" s="2">
        <v>43891</v>
      </c>
      <c r="D3752" t="s">
        <v>26</v>
      </c>
      <c r="E3752">
        <v>1404</v>
      </c>
    </row>
    <row r="3753" spans="1:5" x14ac:dyDescent="0.55000000000000004">
      <c r="A3753" t="s">
        <v>3834</v>
      </c>
      <c r="B3753" t="s">
        <v>111</v>
      </c>
      <c r="C3753" s="2">
        <v>43571</v>
      </c>
      <c r="D3753" t="s">
        <v>29</v>
      </c>
      <c r="E3753">
        <v>1820</v>
      </c>
    </row>
    <row r="3754" spans="1:5" x14ac:dyDescent="0.55000000000000004">
      <c r="A3754" t="s">
        <v>3835</v>
      </c>
      <c r="B3754" t="s">
        <v>72</v>
      </c>
      <c r="C3754" s="2">
        <v>43863</v>
      </c>
      <c r="D3754" t="s">
        <v>29</v>
      </c>
      <c r="E3754">
        <v>862</v>
      </c>
    </row>
    <row r="3755" spans="1:5" x14ac:dyDescent="0.55000000000000004">
      <c r="A3755" t="s">
        <v>3836</v>
      </c>
      <c r="B3755" t="s">
        <v>99</v>
      </c>
      <c r="C3755" s="2">
        <v>44162</v>
      </c>
      <c r="D3755" t="s">
        <v>29</v>
      </c>
      <c r="E3755">
        <v>1047</v>
      </c>
    </row>
    <row r="3756" spans="1:5" x14ac:dyDescent="0.55000000000000004">
      <c r="A3756" t="s">
        <v>3837</v>
      </c>
      <c r="B3756" t="s">
        <v>101</v>
      </c>
      <c r="C3756" s="2">
        <v>42983</v>
      </c>
      <c r="D3756" t="s">
        <v>26</v>
      </c>
      <c r="E3756">
        <v>2586</v>
      </c>
    </row>
    <row r="3757" spans="1:5" x14ac:dyDescent="0.55000000000000004">
      <c r="A3757" t="s">
        <v>3838</v>
      </c>
      <c r="B3757" t="s">
        <v>96</v>
      </c>
      <c r="C3757" s="2">
        <v>45765</v>
      </c>
      <c r="D3757" t="s">
        <v>29</v>
      </c>
      <c r="E3757">
        <v>340</v>
      </c>
    </row>
    <row r="3758" spans="1:5" x14ac:dyDescent="0.55000000000000004">
      <c r="A3758" t="s">
        <v>3839</v>
      </c>
      <c r="B3758" t="s">
        <v>151</v>
      </c>
      <c r="C3758" s="2">
        <v>44448</v>
      </c>
      <c r="D3758" t="s">
        <v>29</v>
      </c>
      <c r="E3758">
        <v>1245</v>
      </c>
    </row>
    <row r="3759" spans="1:5" x14ac:dyDescent="0.55000000000000004">
      <c r="A3759" t="s">
        <v>3840</v>
      </c>
      <c r="B3759" t="s">
        <v>156</v>
      </c>
      <c r="C3759" s="2">
        <v>44454</v>
      </c>
      <c r="D3759" t="s">
        <v>29</v>
      </c>
      <c r="E3759">
        <v>1849</v>
      </c>
    </row>
    <row r="3760" spans="1:5" x14ac:dyDescent="0.55000000000000004">
      <c r="A3760" t="s">
        <v>3841</v>
      </c>
      <c r="B3760" t="s">
        <v>38</v>
      </c>
      <c r="C3760" s="2">
        <v>44788</v>
      </c>
      <c r="D3760" t="s">
        <v>26</v>
      </c>
      <c r="E3760">
        <v>638</v>
      </c>
    </row>
    <row r="3761" spans="1:5" x14ac:dyDescent="0.55000000000000004">
      <c r="A3761" t="s">
        <v>3842</v>
      </c>
      <c r="B3761" t="s">
        <v>32</v>
      </c>
      <c r="C3761" s="2">
        <v>44172</v>
      </c>
      <c r="D3761" t="s">
        <v>29</v>
      </c>
      <c r="E3761">
        <v>2313</v>
      </c>
    </row>
    <row r="3762" spans="1:5" x14ac:dyDescent="0.55000000000000004">
      <c r="A3762" t="s">
        <v>3843</v>
      </c>
      <c r="B3762" t="s">
        <v>140</v>
      </c>
      <c r="C3762" s="2">
        <v>43767</v>
      </c>
      <c r="D3762" t="s">
        <v>26</v>
      </c>
      <c r="E3762">
        <v>1162</v>
      </c>
    </row>
    <row r="3763" spans="1:5" x14ac:dyDescent="0.55000000000000004">
      <c r="A3763" t="s">
        <v>3844</v>
      </c>
      <c r="B3763" t="s">
        <v>99</v>
      </c>
      <c r="C3763" s="2">
        <v>45476</v>
      </c>
      <c r="D3763" t="s">
        <v>26</v>
      </c>
      <c r="E3763">
        <v>1537</v>
      </c>
    </row>
    <row r="3764" spans="1:5" x14ac:dyDescent="0.55000000000000004">
      <c r="A3764" t="s">
        <v>3845</v>
      </c>
      <c r="B3764" t="s">
        <v>99</v>
      </c>
      <c r="C3764" s="2">
        <v>44005</v>
      </c>
      <c r="D3764" t="s">
        <v>29</v>
      </c>
      <c r="E3764">
        <v>2486</v>
      </c>
    </row>
    <row r="3765" spans="1:5" x14ac:dyDescent="0.55000000000000004">
      <c r="A3765" t="s">
        <v>3846</v>
      </c>
      <c r="B3765" t="s">
        <v>76</v>
      </c>
      <c r="C3765" s="2">
        <v>43971</v>
      </c>
      <c r="D3765" t="s">
        <v>26</v>
      </c>
      <c r="E3765">
        <v>1620</v>
      </c>
    </row>
    <row r="3766" spans="1:5" x14ac:dyDescent="0.55000000000000004">
      <c r="A3766" t="s">
        <v>3847</v>
      </c>
      <c r="B3766" t="s">
        <v>151</v>
      </c>
      <c r="C3766" s="2">
        <v>43349</v>
      </c>
      <c r="D3766" t="s">
        <v>26</v>
      </c>
      <c r="E3766">
        <v>2337</v>
      </c>
    </row>
    <row r="3767" spans="1:5" x14ac:dyDescent="0.55000000000000004">
      <c r="A3767" t="s">
        <v>3848</v>
      </c>
      <c r="B3767" t="s">
        <v>156</v>
      </c>
      <c r="C3767" s="2">
        <v>43282</v>
      </c>
      <c r="D3767" t="s">
        <v>26</v>
      </c>
      <c r="E3767">
        <v>1642</v>
      </c>
    </row>
    <row r="3768" spans="1:5" x14ac:dyDescent="0.55000000000000004">
      <c r="A3768" t="s">
        <v>3849</v>
      </c>
      <c r="B3768" t="s">
        <v>99</v>
      </c>
      <c r="C3768" s="2">
        <v>45139</v>
      </c>
      <c r="D3768" t="s">
        <v>29</v>
      </c>
      <c r="E3768">
        <v>891</v>
      </c>
    </row>
    <row r="3769" spans="1:5" x14ac:dyDescent="0.55000000000000004">
      <c r="A3769" t="s">
        <v>3850</v>
      </c>
      <c r="B3769" t="s">
        <v>140</v>
      </c>
      <c r="C3769" s="2">
        <v>44144</v>
      </c>
      <c r="D3769" t="s">
        <v>29</v>
      </c>
      <c r="E3769">
        <v>1308</v>
      </c>
    </row>
    <row r="3770" spans="1:5" x14ac:dyDescent="0.55000000000000004">
      <c r="A3770" t="s">
        <v>3851</v>
      </c>
      <c r="B3770" t="s">
        <v>118</v>
      </c>
      <c r="C3770" s="2">
        <v>44953</v>
      </c>
      <c r="D3770" t="s">
        <v>26</v>
      </c>
      <c r="E3770">
        <v>2720</v>
      </c>
    </row>
    <row r="3771" spans="1:5" x14ac:dyDescent="0.55000000000000004">
      <c r="A3771" t="s">
        <v>3852</v>
      </c>
      <c r="B3771" t="s">
        <v>94</v>
      </c>
      <c r="C3771" s="2">
        <v>44767</v>
      </c>
      <c r="D3771" t="s">
        <v>29</v>
      </c>
      <c r="E3771">
        <v>922</v>
      </c>
    </row>
    <row r="3772" spans="1:5" x14ac:dyDescent="0.55000000000000004">
      <c r="A3772" t="s">
        <v>3853</v>
      </c>
      <c r="B3772" t="s">
        <v>76</v>
      </c>
      <c r="C3772" s="2">
        <v>45120</v>
      </c>
      <c r="D3772" t="s">
        <v>29</v>
      </c>
      <c r="E3772">
        <v>1900</v>
      </c>
    </row>
    <row r="3773" spans="1:5" x14ac:dyDescent="0.55000000000000004">
      <c r="A3773" t="s">
        <v>3854</v>
      </c>
      <c r="B3773" t="s">
        <v>156</v>
      </c>
      <c r="C3773" s="2">
        <v>43837</v>
      </c>
      <c r="D3773" t="s">
        <v>26</v>
      </c>
      <c r="E3773">
        <v>727</v>
      </c>
    </row>
    <row r="3774" spans="1:5" x14ac:dyDescent="0.55000000000000004">
      <c r="A3774" t="s">
        <v>3855</v>
      </c>
      <c r="B3774" t="s">
        <v>101</v>
      </c>
      <c r="C3774" s="2">
        <v>43507</v>
      </c>
      <c r="D3774" t="s">
        <v>26</v>
      </c>
      <c r="E3774">
        <v>2181</v>
      </c>
    </row>
    <row r="3775" spans="1:5" x14ac:dyDescent="0.55000000000000004">
      <c r="A3775" t="s">
        <v>3856</v>
      </c>
      <c r="B3775" t="s">
        <v>175</v>
      </c>
      <c r="C3775" s="2">
        <v>44834</v>
      </c>
      <c r="D3775" t="s">
        <v>29</v>
      </c>
      <c r="E3775">
        <v>2687</v>
      </c>
    </row>
    <row r="3776" spans="1:5" x14ac:dyDescent="0.55000000000000004">
      <c r="A3776" t="s">
        <v>3857</v>
      </c>
      <c r="B3776" t="s">
        <v>105</v>
      </c>
      <c r="C3776" s="2">
        <v>44316</v>
      </c>
      <c r="D3776" t="s">
        <v>26</v>
      </c>
      <c r="E3776">
        <v>1570</v>
      </c>
    </row>
    <row r="3777" spans="1:5" x14ac:dyDescent="0.55000000000000004">
      <c r="A3777" t="s">
        <v>3858</v>
      </c>
      <c r="B3777" t="s">
        <v>23</v>
      </c>
      <c r="C3777" s="2">
        <v>44687</v>
      </c>
      <c r="D3777" t="s">
        <v>29</v>
      </c>
      <c r="E3777">
        <v>1680</v>
      </c>
    </row>
    <row r="3778" spans="1:5" x14ac:dyDescent="0.55000000000000004">
      <c r="A3778" t="s">
        <v>3859</v>
      </c>
      <c r="B3778" t="s">
        <v>151</v>
      </c>
      <c r="C3778" s="2">
        <v>44220</v>
      </c>
      <c r="D3778" t="s">
        <v>26</v>
      </c>
      <c r="E3778">
        <v>2534</v>
      </c>
    </row>
    <row r="3779" spans="1:5" x14ac:dyDescent="0.55000000000000004">
      <c r="A3779" t="s">
        <v>3860</v>
      </c>
      <c r="B3779" t="s">
        <v>63</v>
      </c>
      <c r="C3779" s="2">
        <v>43200</v>
      </c>
      <c r="D3779" t="s">
        <v>26</v>
      </c>
      <c r="E3779">
        <v>2455</v>
      </c>
    </row>
    <row r="3780" spans="1:5" x14ac:dyDescent="0.55000000000000004">
      <c r="A3780" t="s">
        <v>3861</v>
      </c>
      <c r="B3780" t="s">
        <v>23</v>
      </c>
      <c r="C3780" s="2">
        <v>44668</v>
      </c>
      <c r="D3780" t="s">
        <v>26</v>
      </c>
      <c r="E3780">
        <v>1331</v>
      </c>
    </row>
    <row r="3781" spans="1:5" x14ac:dyDescent="0.55000000000000004">
      <c r="A3781" t="s">
        <v>3862</v>
      </c>
      <c r="B3781" t="s">
        <v>32</v>
      </c>
      <c r="C3781" s="2">
        <v>44342</v>
      </c>
      <c r="D3781" t="s">
        <v>26</v>
      </c>
      <c r="E3781">
        <v>2331</v>
      </c>
    </row>
    <row r="3782" spans="1:5" x14ac:dyDescent="0.55000000000000004">
      <c r="A3782" t="s">
        <v>3863</v>
      </c>
      <c r="B3782" t="s">
        <v>35</v>
      </c>
      <c r="C3782" s="2">
        <v>44797</v>
      </c>
      <c r="D3782" t="s">
        <v>26</v>
      </c>
      <c r="E3782">
        <v>1516</v>
      </c>
    </row>
    <row r="3783" spans="1:5" x14ac:dyDescent="0.55000000000000004">
      <c r="A3783" t="s">
        <v>3864</v>
      </c>
      <c r="B3783" t="s">
        <v>14</v>
      </c>
      <c r="C3783" s="2">
        <v>44438</v>
      </c>
      <c r="D3783" t="s">
        <v>29</v>
      </c>
      <c r="E3783">
        <v>2261</v>
      </c>
    </row>
    <row r="3784" spans="1:5" x14ac:dyDescent="0.55000000000000004">
      <c r="A3784" t="s">
        <v>3865</v>
      </c>
      <c r="B3784" t="s">
        <v>67</v>
      </c>
      <c r="C3784" s="2">
        <v>44256</v>
      </c>
      <c r="D3784" t="s">
        <v>26</v>
      </c>
      <c r="E3784">
        <v>1875</v>
      </c>
    </row>
    <row r="3785" spans="1:5" x14ac:dyDescent="0.55000000000000004">
      <c r="A3785" t="s">
        <v>3866</v>
      </c>
      <c r="B3785" t="s">
        <v>86</v>
      </c>
      <c r="C3785" s="2">
        <v>44397</v>
      </c>
      <c r="D3785" t="s">
        <v>26</v>
      </c>
      <c r="E3785">
        <v>717</v>
      </c>
    </row>
    <row r="3786" spans="1:5" x14ac:dyDescent="0.55000000000000004">
      <c r="A3786" t="s">
        <v>3867</v>
      </c>
      <c r="B3786" t="s">
        <v>96</v>
      </c>
      <c r="C3786" s="2">
        <v>44284</v>
      </c>
      <c r="D3786" t="s">
        <v>29</v>
      </c>
      <c r="E3786">
        <v>543</v>
      </c>
    </row>
    <row r="3787" spans="1:5" x14ac:dyDescent="0.55000000000000004">
      <c r="A3787" t="s">
        <v>3868</v>
      </c>
      <c r="B3787" t="s">
        <v>156</v>
      </c>
      <c r="C3787" s="2">
        <v>43049</v>
      </c>
      <c r="D3787" t="s">
        <v>26</v>
      </c>
      <c r="E3787">
        <v>847</v>
      </c>
    </row>
    <row r="3788" spans="1:5" x14ac:dyDescent="0.55000000000000004">
      <c r="A3788" t="s">
        <v>3869</v>
      </c>
      <c r="B3788" t="s">
        <v>23</v>
      </c>
      <c r="C3788" s="2">
        <v>44775</v>
      </c>
      <c r="D3788" t="s">
        <v>29</v>
      </c>
      <c r="E3788">
        <v>1003</v>
      </c>
    </row>
    <row r="3789" spans="1:5" x14ac:dyDescent="0.55000000000000004">
      <c r="A3789" t="s">
        <v>3870</v>
      </c>
      <c r="B3789" t="s">
        <v>38</v>
      </c>
      <c r="C3789" s="2">
        <v>44739</v>
      </c>
      <c r="D3789" t="s">
        <v>26</v>
      </c>
      <c r="E3789">
        <v>724</v>
      </c>
    </row>
    <row r="3790" spans="1:5" x14ac:dyDescent="0.55000000000000004">
      <c r="A3790" t="s">
        <v>3871</v>
      </c>
      <c r="B3790" t="s">
        <v>15</v>
      </c>
      <c r="C3790" s="2">
        <v>43941</v>
      </c>
      <c r="D3790" t="s">
        <v>26</v>
      </c>
      <c r="E3790">
        <v>2474</v>
      </c>
    </row>
    <row r="3791" spans="1:5" x14ac:dyDescent="0.55000000000000004">
      <c r="A3791" t="s">
        <v>3872</v>
      </c>
      <c r="B3791" t="s">
        <v>175</v>
      </c>
      <c r="C3791" s="2">
        <v>44822</v>
      </c>
      <c r="D3791" t="s">
        <v>26</v>
      </c>
      <c r="E3791">
        <v>1002</v>
      </c>
    </row>
    <row r="3792" spans="1:5" x14ac:dyDescent="0.55000000000000004">
      <c r="A3792" t="s">
        <v>3873</v>
      </c>
      <c r="B3792" t="s">
        <v>15</v>
      </c>
      <c r="C3792" s="2">
        <v>44395</v>
      </c>
      <c r="D3792" t="s">
        <v>26</v>
      </c>
      <c r="E3792">
        <v>28</v>
      </c>
    </row>
    <row r="3793" spans="1:5" x14ac:dyDescent="0.55000000000000004">
      <c r="A3793" t="s">
        <v>3874</v>
      </c>
      <c r="B3793" t="s">
        <v>78</v>
      </c>
      <c r="C3793" s="2">
        <v>43598</v>
      </c>
      <c r="D3793" t="s">
        <v>29</v>
      </c>
      <c r="E3793">
        <v>2128</v>
      </c>
    </row>
    <row r="3794" spans="1:5" x14ac:dyDescent="0.55000000000000004">
      <c r="A3794" t="s">
        <v>3875</v>
      </c>
      <c r="B3794" t="s">
        <v>96</v>
      </c>
      <c r="C3794" s="2">
        <v>45044</v>
      </c>
      <c r="D3794" t="s">
        <v>26</v>
      </c>
      <c r="E3794">
        <v>1708</v>
      </c>
    </row>
    <row r="3795" spans="1:5" x14ac:dyDescent="0.55000000000000004">
      <c r="A3795" t="s">
        <v>3876</v>
      </c>
      <c r="B3795" t="s">
        <v>84</v>
      </c>
      <c r="C3795" s="2">
        <v>44383</v>
      </c>
      <c r="D3795" t="s">
        <v>26</v>
      </c>
      <c r="E3795">
        <v>2931</v>
      </c>
    </row>
    <row r="3796" spans="1:5" x14ac:dyDescent="0.55000000000000004">
      <c r="A3796" t="s">
        <v>3877</v>
      </c>
      <c r="B3796" t="s">
        <v>118</v>
      </c>
      <c r="C3796" s="2">
        <v>45653</v>
      </c>
      <c r="D3796" t="s">
        <v>26</v>
      </c>
      <c r="E3796">
        <v>1796</v>
      </c>
    </row>
    <row r="3797" spans="1:5" x14ac:dyDescent="0.55000000000000004">
      <c r="A3797" t="s">
        <v>3878</v>
      </c>
      <c r="B3797" t="s">
        <v>96</v>
      </c>
      <c r="C3797" s="2">
        <v>43710</v>
      </c>
      <c r="D3797" t="s">
        <v>29</v>
      </c>
      <c r="E3797">
        <v>1631</v>
      </c>
    </row>
    <row r="3798" spans="1:5" x14ac:dyDescent="0.55000000000000004">
      <c r="A3798" t="s">
        <v>3879</v>
      </c>
      <c r="B3798" t="s">
        <v>175</v>
      </c>
      <c r="C3798" s="2">
        <v>43629</v>
      </c>
      <c r="D3798" t="s">
        <v>29</v>
      </c>
      <c r="E3798">
        <v>1636</v>
      </c>
    </row>
    <row r="3799" spans="1:5" x14ac:dyDescent="0.55000000000000004">
      <c r="A3799" t="s">
        <v>3880</v>
      </c>
      <c r="B3799" t="s">
        <v>41</v>
      </c>
      <c r="C3799" s="2">
        <v>44878</v>
      </c>
      <c r="D3799" t="s">
        <v>29</v>
      </c>
      <c r="E3799">
        <v>1755</v>
      </c>
    </row>
    <row r="3800" spans="1:5" x14ac:dyDescent="0.55000000000000004">
      <c r="A3800" t="s">
        <v>3881</v>
      </c>
      <c r="B3800" t="s">
        <v>137</v>
      </c>
      <c r="C3800" s="2">
        <v>43974</v>
      </c>
      <c r="D3800" t="s">
        <v>26</v>
      </c>
      <c r="E3800">
        <v>597</v>
      </c>
    </row>
    <row r="3801" spans="1:5" x14ac:dyDescent="0.55000000000000004">
      <c r="A3801" t="s">
        <v>3882</v>
      </c>
      <c r="B3801" t="s">
        <v>76</v>
      </c>
      <c r="C3801" s="2">
        <v>44541</v>
      </c>
      <c r="D3801" t="s">
        <v>26</v>
      </c>
      <c r="E3801">
        <v>2957</v>
      </c>
    </row>
    <row r="3802" spans="1:5" x14ac:dyDescent="0.55000000000000004">
      <c r="A3802" t="s">
        <v>3883</v>
      </c>
      <c r="B3802" t="s">
        <v>105</v>
      </c>
      <c r="C3802" s="2">
        <v>43667</v>
      </c>
      <c r="D3802" t="s">
        <v>29</v>
      </c>
      <c r="E3802">
        <v>2689</v>
      </c>
    </row>
    <row r="3803" spans="1:5" x14ac:dyDescent="0.55000000000000004">
      <c r="A3803" t="s">
        <v>3884</v>
      </c>
      <c r="B3803" t="s">
        <v>111</v>
      </c>
      <c r="C3803" s="2">
        <v>43207</v>
      </c>
      <c r="D3803" t="s">
        <v>26</v>
      </c>
      <c r="E3803">
        <v>1976</v>
      </c>
    </row>
    <row r="3804" spans="1:5" x14ac:dyDescent="0.55000000000000004">
      <c r="A3804" t="s">
        <v>3885</v>
      </c>
      <c r="B3804" t="s">
        <v>151</v>
      </c>
      <c r="C3804" s="2">
        <v>43458</v>
      </c>
      <c r="D3804" t="s">
        <v>26</v>
      </c>
      <c r="E3804">
        <v>1351</v>
      </c>
    </row>
    <row r="3805" spans="1:5" x14ac:dyDescent="0.55000000000000004">
      <c r="A3805" t="s">
        <v>3886</v>
      </c>
      <c r="B3805" t="s">
        <v>35</v>
      </c>
      <c r="C3805" s="2">
        <v>43982</v>
      </c>
      <c r="D3805" t="s">
        <v>29</v>
      </c>
      <c r="E3805">
        <v>2904</v>
      </c>
    </row>
    <row r="3806" spans="1:5" x14ac:dyDescent="0.55000000000000004">
      <c r="A3806" t="s">
        <v>3887</v>
      </c>
      <c r="B3806" t="s">
        <v>96</v>
      </c>
      <c r="C3806" s="2">
        <v>44468</v>
      </c>
      <c r="D3806" t="s">
        <v>29</v>
      </c>
      <c r="E3806">
        <v>1402</v>
      </c>
    </row>
    <row r="3807" spans="1:5" x14ac:dyDescent="0.55000000000000004">
      <c r="A3807" t="s">
        <v>3888</v>
      </c>
      <c r="B3807" t="s">
        <v>156</v>
      </c>
      <c r="C3807" s="2">
        <v>44328</v>
      </c>
      <c r="D3807" t="s">
        <v>29</v>
      </c>
      <c r="E3807">
        <v>1354</v>
      </c>
    </row>
    <row r="3808" spans="1:5" x14ac:dyDescent="0.55000000000000004">
      <c r="A3808" t="s">
        <v>3889</v>
      </c>
      <c r="B3808" t="s">
        <v>137</v>
      </c>
      <c r="C3808" s="2">
        <v>45310</v>
      </c>
      <c r="D3808" t="s">
        <v>29</v>
      </c>
      <c r="E3808">
        <v>2327</v>
      </c>
    </row>
    <row r="3809" spans="1:5" x14ac:dyDescent="0.55000000000000004">
      <c r="A3809" t="s">
        <v>3890</v>
      </c>
      <c r="B3809" t="s">
        <v>84</v>
      </c>
      <c r="C3809" s="2">
        <v>44134</v>
      </c>
      <c r="D3809" t="s">
        <v>26</v>
      </c>
      <c r="E3809">
        <v>573</v>
      </c>
    </row>
    <row r="3810" spans="1:5" x14ac:dyDescent="0.55000000000000004">
      <c r="A3810" t="s">
        <v>3891</v>
      </c>
      <c r="B3810" t="s">
        <v>72</v>
      </c>
      <c r="C3810" s="2">
        <v>43985</v>
      </c>
      <c r="D3810" t="s">
        <v>29</v>
      </c>
      <c r="E3810">
        <v>106</v>
      </c>
    </row>
    <row r="3811" spans="1:5" x14ac:dyDescent="0.55000000000000004">
      <c r="A3811" t="s">
        <v>3892</v>
      </c>
      <c r="B3811" t="s">
        <v>63</v>
      </c>
      <c r="C3811" s="2">
        <v>43676</v>
      </c>
      <c r="D3811" t="s">
        <v>29</v>
      </c>
      <c r="E3811">
        <v>2923</v>
      </c>
    </row>
    <row r="3812" spans="1:5" x14ac:dyDescent="0.55000000000000004">
      <c r="A3812" t="s">
        <v>3893</v>
      </c>
      <c r="B3812" t="s">
        <v>156</v>
      </c>
      <c r="C3812" s="2">
        <v>43545</v>
      </c>
      <c r="D3812" t="s">
        <v>26</v>
      </c>
      <c r="E3812">
        <v>2325</v>
      </c>
    </row>
    <row r="3813" spans="1:5" x14ac:dyDescent="0.55000000000000004">
      <c r="A3813" t="s">
        <v>3894</v>
      </c>
      <c r="B3813" t="s">
        <v>35</v>
      </c>
      <c r="C3813" s="2">
        <v>44455</v>
      </c>
      <c r="D3813" t="s">
        <v>29</v>
      </c>
      <c r="E3813">
        <v>2920</v>
      </c>
    </row>
    <row r="3814" spans="1:5" x14ac:dyDescent="0.55000000000000004">
      <c r="A3814" t="s">
        <v>3895</v>
      </c>
      <c r="B3814" t="s">
        <v>15</v>
      </c>
      <c r="C3814" s="2">
        <v>44295</v>
      </c>
      <c r="D3814" t="s">
        <v>29</v>
      </c>
      <c r="E3814">
        <v>632</v>
      </c>
    </row>
    <row r="3815" spans="1:5" x14ac:dyDescent="0.55000000000000004">
      <c r="A3815" t="s">
        <v>3896</v>
      </c>
      <c r="B3815" t="s">
        <v>78</v>
      </c>
      <c r="C3815" s="2">
        <v>43992</v>
      </c>
      <c r="D3815" t="s">
        <v>26</v>
      </c>
      <c r="E3815">
        <v>2488</v>
      </c>
    </row>
    <row r="3816" spans="1:5" x14ac:dyDescent="0.55000000000000004">
      <c r="A3816" t="s">
        <v>3897</v>
      </c>
      <c r="B3816" t="s">
        <v>156</v>
      </c>
      <c r="C3816" s="2">
        <v>43703</v>
      </c>
      <c r="D3816" t="s">
        <v>29</v>
      </c>
      <c r="E3816">
        <v>2608</v>
      </c>
    </row>
    <row r="3817" spans="1:5" x14ac:dyDescent="0.55000000000000004">
      <c r="A3817" t="s">
        <v>3898</v>
      </c>
      <c r="B3817" t="s">
        <v>63</v>
      </c>
      <c r="C3817" s="2">
        <v>42974</v>
      </c>
      <c r="D3817" t="s">
        <v>26</v>
      </c>
      <c r="E3817">
        <v>2388</v>
      </c>
    </row>
    <row r="3818" spans="1:5" x14ac:dyDescent="0.55000000000000004">
      <c r="A3818" t="s">
        <v>3899</v>
      </c>
      <c r="B3818" t="s">
        <v>156</v>
      </c>
      <c r="C3818" s="2">
        <v>43220</v>
      </c>
      <c r="D3818" t="s">
        <v>26</v>
      </c>
      <c r="E3818">
        <v>1062</v>
      </c>
    </row>
    <row r="3819" spans="1:5" x14ac:dyDescent="0.55000000000000004">
      <c r="A3819" t="s">
        <v>3900</v>
      </c>
      <c r="B3819" t="s">
        <v>86</v>
      </c>
      <c r="C3819" s="2">
        <v>44393</v>
      </c>
      <c r="D3819" t="s">
        <v>29</v>
      </c>
      <c r="E3819">
        <v>1953</v>
      </c>
    </row>
    <row r="3820" spans="1:5" x14ac:dyDescent="0.55000000000000004">
      <c r="A3820" t="s">
        <v>3901</v>
      </c>
      <c r="B3820" t="s">
        <v>32</v>
      </c>
      <c r="C3820" s="2">
        <v>44179</v>
      </c>
      <c r="D3820" t="s">
        <v>29</v>
      </c>
      <c r="E3820">
        <v>2637</v>
      </c>
    </row>
    <row r="3821" spans="1:5" x14ac:dyDescent="0.55000000000000004">
      <c r="A3821" t="s">
        <v>3902</v>
      </c>
      <c r="B3821" t="s">
        <v>72</v>
      </c>
      <c r="C3821" s="2">
        <v>44119</v>
      </c>
      <c r="D3821" t="s">
        <v>29</v>
      </c>
      <c r="E3821">
        <v>2143</v>
      </c>
    </row>
    <row r="3822" spans="1:5" x14ac:dyDescent="0.55000000000000004">
      <c r="A3822" t="s">
        <v>3903</v>
      </c>
      <c r="B3822" t="s">
        <v>86</v>
      </c>
      <c r="C3822" s="2">
        <v>43691</v>
      </c>
      <c r="D3822" t="s">
        <v>29</v>
      </c>
      <c r="E3822">
        <v>2655</v>
      </c>
    </row>
    <row r="3823" spans="1:5" x14ac:dyDescent="0.55000000000000004">
      <c r="A3823" t="s">
        <v>3904</v>
      </c>
      <c r="B3823" t="s">
        <v>105</v>
      </c>
      <c r="C3823" s="2">
        <v>43992</v>
      </c>
      <c r="D3823" t="s">
        <v>29</v>
      </c>
      <c r="E3823">
        <v>718</v>
      </c>
    </row>
    <row r="3824" spans="1:5" x14ac:dyDescent="0.55000000000000004">
      <c r="A3824" t="s">
        <v>3905</v>
      </c>
      <c r="B3824" t="s">
        <v>96</v>
      </c>
      <c r="C3824" s="2">
        <v>45021</v>
      </c>
      <c r="D3824" t="s">
        <v>26</v>
      </c>
      <c r="E3824">
        <v>2739</v>
      </c>
    </row>
    <row r="3825" spans="1:5" x14ac:dyDescent="0.55000000000000004">
      <c r="A3825" t="s">
        <v>3906</v>
      </c>
      <c r="B3825" t="s">
        <v>74</v>
      </c>
      <c r="C3825" s="2">
        <v>43618</v>
      </c>
      <c r="D3825" t="s">
        <v>26</v>
      </c>
      <c r="E3825">
        <v>1266</v>
      </c>
    </row>
    <row r="3826" spans="1:5" x14ac:dyDescent="0.55000000000000004">
      <c r="A3826" t="s">
        <v>3907</v>
      </c>
      <c r="B3826" t="s">
        <v>151</v>
      </c>
      <c r="C3826" s="2">
        <v>43376</v>
      </c>
      <c r="D3826" t="s">
        <v>26</v>
      </c>
      <c r="E3826">
        <v>1139</v>
      </c>
    </row>
    <row r="3827" spans="1:5" x14ac:dyDescent="0.55000000000000004">
      <c r="A3827" t="s">
        <v>3908</v>
      </c>
      <c r="B3827" t="s">
        <v>32</v>
      </c>
      <c r="C3827" s="2">
        <v>44075</v>
      </c>
      <c r="D3827" t="s">
        <v>26</v>
      </c>
      <c r="E3827">
        <v>1460</v>
      </c>
    </row>
    <row r="3828" spans="1:5" x14ac:dyDescent="0.55000000000000004">
      <c r="A3828" t="s">
        <v>3909</v>
      </c>
      <c r="B3828" t="s">
        <v>96</v>
      </c>
      <c r="C3828" s="2">
        <v>45347</v>
      </c>
      <c r="D3828" t="s">
        <v>26</v>
      </c>
      <c r="E3828">
        <v>2146</v>
      </c>
    </row>
    <row r="3829" spans="1:5" x14ac:dyDescent="0.55000000000000004">
      <c r="A3829" t="s">
        <v>3910</v>
      </c>
      <c r="B3829" t="s">
        <v>94</v>
      </c>
      <c r="C3829" s="2">
        <v>44401</v>
      </c>
      <c r="D3829" t="s">
        <v>26</v>
      </c>
      <c r="E3829">
        <v>1489</v>
      </c>
    </row>
    <row r="3830" spans="1:5" x14ac:dyDescent="0.55000000000000004">
      <c r="A3830" t="s">
        <v>3911</v>
      </c>
      <c r="B3830" t="s">
        <v>38</v>
      </c>
      <c r="C3830" s="2">
        <v>43898</v>
      </c>
      <c r="D3830" t="s">
        <v>29</v>
      </c>
      <c r="E3830">
        <v>2565</v>
      </c>
    </row>
    <row r="3831" spans="1:5" x14ac:dyDescent="0.55000000000000004">
      <c r="A3831" t="s">
        <v>3912</v>
      </c>
      <c r="B3831" t="s">
        <v>115</v>
      </c>
      <c r="C3831" s="2">
        <v>43591</v>
      </c>
      <c r="D3831" t="s">
        <v>26</v>
      </c>
      <c r="E3831">
        <v>1111</v>
      </c>
    </row>
    <row r="3832" spans="1:5" x14ac:dyDescent="0.55000000000000004">
      <c r="A3832" t="s">
        <v>3913</v>
      </c>
      <c r="B3832" t="s">
        <v>99</v>
      </c>
      <c r="C3832" s="2">
        <v>45656</v>
      </c>
      <c r="D3832" t="s">
        <v>26</v>
      </c>
      <c r="E3832">
        <v>229</v>
      </c>
    </row>
    <row r="3833" spans="1:5" x14ac:dyDescent="0.55000000000000004">
      <c r="A3833" t="s">
        <v>3914</v>
      </c>
      <c r="B3833" t="s">
        <v>15</v>
      </c>
      <c r="C3833" s="2">
        <v>44077</v>
      </c>
      <c r="D3833" t="s">
        <v>26</v>
      </c>
      <c r="E3833">
        <v>1002</v>
      </c>
    </row>
    <row r="3834" spans="1:5" x14ac:dyDescent="0.55000000000000004">
      <c r="A3834" t="s">
        <v>3915</v>
      </c>
      <c r="B3834" t="s">
        <v>84</v>
      </c>
      <c r="C3834" s="2">
        <v>44549</v>
      </c>
      <c r="D3834" t="s">
        <v>26</v>
      </c>
      <c r="E3834">
        <v>2825</v>
      </c>
    </row>
    <row r="3835" spans="1:5" x14ac:dyDescent="0.55000000000000004">
      <c r="A3835" t="s">
        <v>3916</v>
      </c>
      <c r="B3835" t="s">
        <v>35</v>
      </c>
      <c r="C3835" s="2">
        <v>44332</v>
      </c>
      <c r="D3835" t="s">
        <v>26</v>
      </c>
      <c r="E3835">
        <v>2824</v>
      </c>
    </row>
    <row r="3836" spans="1:5" x14ac:dyDescent="0.55000000000000004">
      <c r="A3836" t="s">
        <v>3917</v>
      </c>
      <c r="B3836" t="s">
        <v>41</v>
      </c>
      <c r="C3836" s="2">
        <v>44765</v>
      </c>
      <c r="D3836" t="s">
        <v>26</v>
      </c>
      <c r="E3836">
        <v>164</v>
      </c>
    </row>
    <row r="3837" spans="1:5" x14ac:dyDescent="0.55000000000000004">
      <c r="A3837" t="s">
        <v>3918</v>
      </c>
      <c r="B3837" t="s">
        <v>32</v>
      </c>
      <c r="C3837" s="2">
        <v>44375</v>
      </c>
      <c r="D3837" t="s">
        <v>29</v>
      </c>
      <c r="E3837">
        <v>374</v>
      </c>
    </row>
    <row r="3838" spans="1:5" x14ac:dyDescent="0.55000000000000004">
      <c r="A3838" t="s">
        <v>3919</v>
      </c>
      <c r="B3838" t="s">
        <v>78</v>
      </c>
      <c r="C3838" s="2">
        <v>44244</v>
      </c>
      <c r="D3838" t="s">
        <v>26</v>
      </c>
      <c r="E3838">
        <v>542</v>
      </c>
    </row>
    <row r="3839" spans="1:5" x14ac:dyDescent="0.55000000000000004">
      <c r="A3839" t="s">
        <v>3920</v>
      </c>
      <c r="B3839" t="s">
        <v>67</v>
      </c>
      <c r="C3839" s="2">
        <v>44706</v>
      </c>
      <c r="D3839" t="s">
        <v>26</v>
      </c>
      <c r="E3839">
        <v>850</v>
      </c>
    </row>
    <row r="3840" spans="1:5" x14ac:dyDescent="0.55000000000000004">
      <c r="A3840" t="s">
        <v>3921</v>
      </c>
      <c r="B3840" t="s">
        <v>63</v>
      </c>
      <c r="C3840" s="2">
        <v>43416</v>
      </c>
      <c r="D3840" t="s">
        <v>29</v>
      </c>
      <c r="E3840">
        <v>1901</v>
      </c>
    </row>
    <row r="3841" spans="1:5" x14ac:dyDescent="0.55000000000000004">
      <c r="A3841" t="s">
        <v>3922</v>
      </c>
      <c r="B3841" t="s">
        <v>115</v>
      </c>
      <c r="C3841" s="2">
        <v>44016</v>
      </c>
      <c r="D3841" t="s">
        <v>26</v>
      </c>
      <c r="E3841">
        <v>1306</v>
      </c>
    </row>
    <row r="3842" spans="1:5" x14ac:dyDescent="0.55000000000000004">
      <c r="A3842" t="s">
        <v>3923</v>
      </c>
      <c r="B3842" t="s">
        <v>137</v>
      </c>
      <c r="C3842" s="2">
        <v>43765</v>
      </c>
      <c r="D3842" t="s">
        <v>26</v>
      </c>
      <c r="E3842">
        <v>1959</v>
      </c>
    </row>
    <row r="3843" spans="1:5" x14ac:dyDescent="0.55000000000000004">
      <c r="A3843" t="s">
        <v>3924</v>
      </c>
      <c r="B3843" t="s">
        <v>115</v>
      </c>
      <c r="C3843" s="2">
        <v>43822</v>
      </c>
      <c r="D3843" t="s">
        <v>26</v>
      </c>
      <c r="E3843">
        <v>1949</v>
      </c>
    </row>
    <row r="3844" spans="1:5" x14ac:dyDescent="0.55000000000000004">
      <c r="A3844" t="s">
        <v>3925</v>
      </c>
      <c r="B3844" t="s">
        <v>151</v>
      </c>
      <c r="C3844" s="2">
        <v>43121</v>
      </c>
      <c r="D3844" t="s">
        <v>26</v>
      </c>
      <c r="E3844">
        <v>2450</v>
      </c>
    </row>
    <row r="3845" spans="1:5" x14ac:dyDescent="0.55000000000000004">
      <c r="A3845" t="s">
        <v>3926</v>
      </c>
      <c r="B3845" t="s">
        <v>96</v>
      </c>
      <c r="C3845" s="2">
        <v>44694</v>
      </c>
      <c r="D3845" t="s">
        <v>26</v>
      </c>
      <c r="E3845">
        <v>2382</v>
      </c>
    </row>
    <row r="3846" spans="1:5" x14ac:dyDescent="0.55000000000000004">
      <c r="A3846" t="s">
        <v>3927</v>
      </c>
      <c r="B3846" t="s">
        <v>140</v>
      </c>
      <c r="C3846" s="2">
        <v>43145</v>
      </c>
      <c r="D3846" t="s">
        <v>29</v>
      </c>
      <c r="E3846">
        <v>2632</v>
      </c>
    </row>
    <row r="3847" spans="1:5" x14ac:dyDescent="0.55000000000000004">
      <c r="A3847" t="s">
        <v>3928</v>
      </c>
      <c r="B3847" t="s">
        <v>151</v>
      </c>
      <c r="C3847" s="2">
        <v>44123</v>
      </c>
      <c r="D3847" t="s">
        <v>29</v>
      </c>
      <c r="E3847">
        <v>2</v>
      </c>
    </row>
    <row r="3848" spans="1:5" x14ac:dyDescent="0.55000000000000004">
      <c r="A3848" t="s">
        <v>3929</v>
      </c>
      <c r="B3848" t="s">
        <v>84</v>
      </c>
      <c r="C3848" s="2">
        <v>44462</v>
      </c>
      <c r="D3848" t="s">
        <v>29</v>
      </c>
      <c r="E3848">
        <v>2463</v>
      </c>
    </row>
    <row r="3849" spans="1:5" x14ac:dyDescent="0.55000000000000004">
      <c r="A3849" t="s">
        <v>3930</v>
      </c>
      <c r="B3849" t="s">
        <v>84</v>
      </c>
      <c r="C3849" s="2">
        <v>43925</v>
      </c>
      <c r="D3849" t="s">
        <v>26</v>
      </c>
      <c r="E3849">
        <v>1346</v>
      </c>
    </row>
    <row r="3850" spans="1:5" x14ac:dyDescent="0.55000000000000004">
      <c r="A3850" t="s">
        <v>3931</v>
      </c>
      <c r="B3850" t="s">
        <v>67</v>
      </c>
      <c r="C3850" s="2">
        <v>45445</v>
      </c>
      <c r="D3850" t="s">
        <v>29</v>
      </c>
      <c r="E3850">
        <v>2643</v>
      </c>
    </row>
    <row r="3851" spans="1:5" x14ac:dyDescent="0.55000000000000004">
      <c r="A3851" t="s">
        <v>3932</v>
      </c>
      <c r="B3851" t="s">
        <v>156</v>
      </c>
      <c r="C3851" s="2">
        <v>43458</v>
      </c>
      <c r="D3851" t="s">
        <v>26</v>
      </c>
      <c r="E3851">
        <v>1397</v>
      </c>
    </row>
    <row r="3852" spans="1:5" x14ac:dyDescent="0.55000000000000004">
      <c r="A3852" t="s">
        <v>3933</v>
      </c>
      <c r="B3852" t="s">
        <v>84</v>
      </c>
      <c r="C3852" s="2">
        <v>44305</v>
      </c>
      <c r="D3852" t="s">
        <v>29</v>
      </c>
      <c r="E3852">
        <v>2563</v>
      </c>
    </row>
    <row r="3853" spans="1:5" x14ac:dyDescent="0.55000000000000004">
      <c r="A3853" t="s">
        <v>3934</v>
      </c>
      <c r="B3853" t="s">
        <v>15</v>
      </c>
      <c r="C3853" s="2">
        <v>43145</v>
      </c>
      <c r="D3853" t="s">
        <v>26</v>
      </c>
      <c r="E3853">
        <v>1997</v>
      </c>
    </row>
    <row r="3854" spans="1:5" x14ac:dyDescent="0.55000000000000004">
      <c r="A3854" t="s">
        <v>3935</v>
      </c>
      <c r="B3854" t="s">
        <v>14</v>
      </c>
      <c r="C3854" s="2">
        <v>43570</v>
      </c>
      <c r="D3854" t="s">
        <v>29</v>
      </c>
      <c r="E3854">
        <v>2030</v>
      </c>
    </row>
    <row r="3855" spans="1:5" x14ac:dyDescent="0.55000000000000004">
      <c r="A3855" t="s">
        <v>3936</v>
      </c>
      <c r="B3855" t="s">
        <v>105</v>
      </c>
      <c r="C3855" s="2">
        <v>43283</v>
      </c>
      <c r="D3855" t="s">
        <v>26</v>
      </c>
      <c r="E3855">
        <v>1769</v>
      </c>
    </row>
    <row r="3856" spans="1:5" x14ac:dyDescent="0.55000000000000004">
      <c r="A3856" t="s">
        <v>3937</v>
      </c>
      <c r="B3856" t="s">
        <v>38</v>
      </c>
      <c r="C3856" s="2">
        <v>44454</v>
      </c>
      <c r="D3856" t="s">
        <v>26</v>
      </c>
      <c r="E3856">
        <v>1815</v>
      </c>
    </row>
    <row r="3857" spans="1:5" x14ac:dyDescent="0.55000000000000004">
      <c r="A3857" t="s">
        <v>3938</v>
      </c>
      <c r="B3857" t="s">
        <v>111</v>
      </c>
      <c r="C3857" s="2">
        <v>44223</v>
      </c>
      <c r="D3857" t="s">
        <v>26</v>
      </c>
      <c r="E3857">
        <v>792</v>
      </c>
    </row>
    <row r="3858" spans="1:5" x14ac:dyDescent="0.55000000000000004">
      <c r="A3858" t="s">
        <v>3939</v>
      </c>
      <c r="B3858" t="s">
        <v>118</v>
      </c>
      <c r="C3858" s="2">
        <v>43911</v>
      </c>
      <c r="D3858" t="s">
        <v>26</v>
      </c>
      <c r="E3858">
        <v>873</v>
      </c>
    </row>
    <row r="3859" spans="1:5" x14ac:dyDescent="0.55000000000000004">
      <c r="A3859" t="s">
        <v>3940</v>
      </c>
      <c r="B3859" t="s">
        <v>156</v>
      </c>
      <c r="C3859" s="2">
        <v>43944</v>
      </c>
      <c r="D3859" t="s">
        <v>29</v>
      </c>
      <c r="E3859">
        <v>1310</v>
      </c>
    </row>
    <row r="3860" spans="1:5" x14ac:dyDescent="0.55000000000000004">
      <c r="A3860" t="s">
        <v>3941</v>
      </c>
      <c r="B3860" t="s">
        <v>118</v>
      </c>
      <c r="C3860" s="2">
        <v>45638</v>
      </c>
      <c r="D3860" t="s">
        <v>29</v>
      </c>
      <c r="E3860">
        <v>421</v>
      </c>
    </row>
    <row r="3861" spans="1:5" x14ac:dyDescent="0.55000000000000004">
      <c r="A3861" t="s">
        <v>3942</v>
      </c>
      <c r="B3861" t="s">
        <v>38</v>
      </c>
      <c r="C3861" s="2">
        <v>44445</v>
      </c>
      <c r="D3861" t="s">
        <v>26</v>
      </c>
      <c r="E3861">
        <v>2338</v>
      </c>
    </row>
    <row r="3862" spans="1:5" x14ac:dyDescent="0.55000000000000004">
      <c r="A3862" t="s">
        <v>3943</v>
      </c>
      <c r="B3862" t="s">
        <v>38</v>
      </c>
      <c r="C3862" s="2">
        <v>44147</v>
      </c>
      <c r="D3862" t="s">
        <v>29</v>
      </c>
      <c r="E3862">
        <v>640</v>
      </c>
    </row>
    <row r="3863" spans="1:5" x14ac:dyDescent="0.55000000000000004">
      <c r="A3863" t="s">
        <v>3944</v>
      </c>
      <c r="B3863" t="s">
        <v>151</v>
      </c>
      <c r="C3863" s="2">
        <v>44486</v>
      </c>
      <c r="D3863" t="s">
        <v>29</v>
      </c>
      <c r="E3863">
        <v>703</v>
      </c>
    </row>
    <row r="3864" spans="1:5" x14ac:dyDescent="0.55000000000000004">
      <c r="A3864" t="s">
        <v>3945</v>
      </c>
      <c r="B3864" t="s">
        <v>76</v>
      </c>
      <c r="C3864" s="2">
        <v>44112</v>
      </c>
      <c r="D3864" t="s">
        <v>26</v>
      </c>
      <c r="E3864">
        <v>1333</v>
      </c>
    </row>
    <row r="3865" spans="1:5" x14ac:dyDescent="0.55000000000000004">
      <c r="A3865" t="s">
        <v>3946</v>
      </c>
      <c r="B3865" t="s">
        <v>67</v>
      </c>
      <c r="C3865" s="2">
        <v>45406</v>
      </c>
      <c r="D3865" t="s">
        <v>29</v>
      </c>
      <c r="E3865">
        <v>2975</v>
      </c>
    </row>
    <row r="3866" spans="1:5" x14ac:dyDescent="0.55000000000000004">
      <c r="A3866" t="s">
        <v>3947</v>
      </c>
      <c r="B3866" t="s">
        <v>84</v>
      </c>
      <c r="C3866" s="2">
        <v>43385</v>
      </c>
      <c r="D3866" t="s">
        <v>29</v>
      </c>
      <c r="E3866">
        <v>1933</v>
      </c>
    </row>
    <row r="3867" spans="1:5" x14ac:dyDescent="0.55000000000000004">
      <c r="A3867" t="s">
        <v>3948</v>
      </c>
      <c r="B3867" t="s">
        <v>76</v>
      </c>
      <c r="C3867" s="2">
        <v>44709</v>
      </c>
      <c r="D3867" t="s">
        <v>29</v>
      </c>
      <c r="E3867">
        <v>593</v>
      </c>
    </row>
    <row r="3868" spans="1:5" x14ac:dyDescent="0.55000000000000004">
      <c r="A3868" t="s">
        <v>3949</v>
      </c>
      <c r="B3868" t="s">
        <v>156</v>
      </c>
      <c r="C3868" s="2">
        <v>43600</v>
      </c>
      <c r="D3868" t="s">
        <v>29</v>
      </c>
      <c r="E3868">
        <v>1291</v>
      </c>
    </row>
    <row r="3869" spans="1:5" x14ac:dyDescent="0.55000000000000004">
      <c r="A3869" t="s">
        <v>3950</v>
      </c>
      <c r="B3869" t="s">
        <v>15</v>
      </c>
      <c r="C3869" s="2">
        <v>43547</v>
      </c>
      <c r="D3869" t="s">
        <v>29</v>
      </c>
      <c r="E3869">
        <v>2307</v>
      </c>
    </row>
    <row r="3870" spans="1:5" x14ac:dyDescent="0.55000000000000004">
      <c r="A3870" t="s">
        <v>3951</v>
      </c>
      <c r="B3870" t="s">
        <v>101</v>
      </c>
      <c r="C3870" s="2">
        <v>44478</v>
      </c>
      <c r="D3870" t="s">
        <v>29</v>
      </c>
      <c r="E3870">
        <v>23</v>
      </c>
    </row>
    <row r="3871" spans="1:5" x14ac:dyDescent="0.55000000000000004">
      <c r="A3871" t="s">
        <v>3952</v>
      </c>
      <c r="B3871" t="s">
        <v>118</v>
      </c>
      <c r="C3871" s="2">
        <v>45121</v>
      </c>
      <c r="D3871" t="s">
        <v>26</v>
      </c>
      <c r="E3871">
        <v>1674</v>
      </c>
    </row>
    <row r="3872" spans="1:5" x14ac:dyDescent="0.55000000000000004">
      <c r="A3872" t="s">
        <v>3953</v>
      </c>
      <c r="B3872" t="s">
        <v>86</v>
      </c>
      <c r="C3872" s="2">
        <v>44239</v>
      </c>
      <c r="D3872" t="s">
        <v>26</v>
      </c>
      <c r="E3872">
        <v>1871</v>
      </c>
    </row>
    <row r="3873" spans="1:5" x14ac:dyDescent="0.55000000000000004">
      <c r="A3873" t="s">
        <v>3954</v>
      </c>
      <c r="B3873" t="s">
        <v>118</v>
      </c>
      <c r="C3873" s="2">
        <v>44589</v>
      </c>
      <c r="D3873" t="s">
        <v>26</v>
      </c>
      <c r="E3873">
        <v>2884</v>
      </c>
    </row>
    <row r="3874" spans="1:5" x14ac:dyDescent="0.55000000000000004">
      <c r="A3874" t="s">
        <v>3955</v>
      </c>
      <c r="B3874" t="s">
        <v>151</v>
      </c>
      <c r="C3874" s="2">
        <v>43344</v>
      </c>
      <c r="D3874" t="s">
        <v>29</v>
      </c>
      <c r="E3874">
        <v>1207</v>
      </c>
    </row>
    <row r="3875" spans="1:5" x14ac:dyDescent="0.55000000000000004">
      <c r="A3875" t="s">
        <v>3956</v>
      </c>
      <c r="B3875" t="s">
        <v>175</v>
      </c>
      <c r="C3875" s="2">
        <v>44995</v>
      </c>
      <c r="D3875" t="s">
        <v>26</v>
      </c>
      <c r="E3875">
        <v>1318</v>
      </c>
    </row>
    <row r="3876" spans="1:5" x14ac:dyDescent="0.55000000000000004">
      <c r="A3876" t="s">
        <v>3957</v>
      </c>
      <c r="B3876" t="s">
        <v>140</v>
      </c>
      <c r="C3876" s="2">
        <v>44536</v>
      </c>
      <c r="D3876" t="s">
        <v>29</v>
      </c>
      <c r="E3876">
        <v>1334</v>
      </c>
    </row>
    <row r="3877" spans="1:5" x14ac:dyDescent="0.55000000000000004">
      <c r="A3877" t="s">
        <v>3958</v>
      </c>
      <c r="B3877" t="s">
        <v>99</v>
      </c>
      <c r="C3877" s="2">
        <v>45759</v>
      </c>
      <c r="D3877" t="s">
        <v>26</v>
      </c>
      <c r="E3877">
        <v>880</v>
      </c>
    </row>
    <row r="3878" spans="1:5" x14ac:dyDescent="0.55000000000000004">
      <c r="A3878" t="s">
        <v>3959</v>
      </c>
      <c r="B3878" t="s">
        <v>32</v>
      </c>
      <c r="C3878" s="2">
        <v>44861</v>
      </c>
      <c r="D3878" t="s">
        <v>29</v>
      </c>
      <c r="E3878">
        <v>1122</v>
      </c>
    </row>
    <row r="3879" spans="1:5" x14ac:dyDescent="0.55000000000000004">
      <c r="A3879" t="s">
        <v>3960</v>
      </c>
      <c r="B3879" t="s">
        <v>115</v>
      </c>
      <c r="C3879" s="2">
        <v>43069</v>
      </c>
      <c r="D3879" t="s">
        <v>26</v>
      </c>
      <c r="E3879">
        <v>657</v>
      </c>
    </row>
    <row r="3880" spans="1:5" x14ac:dyDescent="0.55000000000000004">
      <c r="A3880" t="s">
        <v>3961</v>
      </c>
      <c r="B3880" t="s">
        <v>111</v>
      </c>
      <c r="C3880" s="2">
        <v>44397</v>
      </c>
      <c r="D3880" t="s">
        <v>29</v>
      </c>
      <c r="E3880">
        <v>2954</v>
      </c>
    </row>
    <row r="3881" spans="1:5" x14ac:dyDescent="0.55000000000000004">
      <c r="A3881" t="s">
        <v>3962</v>
      </c>
      <c r="B3881" t="s">
        <v>23</v>
      </c>
      <c r="C3881" s="2">
        <v>44793</v>
      </c>
      <c r="D3881" t="s">
        <v>26</v>
      </c>
      <c r="E3881">
        <v>2700</v>
      </c>
    </row>
    <row r="3882" spans="1:5" x14ac:dyDescent="0.55000000000000004">
      <c r="A3882" t="s">
        <v>3963</v>
      </c>
      <c r="B3882" t="s">
        <v>101</v>
      </c>
      <c r="C3882" s="2">
        <v>44325</v>
      </c>
      <c r="D3882" t="s">
        <v>29</v>
      </c>
      <c r="E3882">
        <v>1023</v>
      </c>
    </row>
    <row r="3883" spans="1:5" x14ac:dyDescent="0.55000000000000004">
      <c r="A3883" t="s">
        <v>3964</v>
      </c>
      <c r="B3883" t="s">
        <v>84</v>
      </c>
      <c r="C3883" s="2">
        <v>44159</v>
      </c>
      <c r="D3883" t="s">
        <v>29</v>
      </c>
      <c r="E3883">
        <v>242</v>
      </c>
    </row>
    <row r="3884" spans="1:5" x14ac:dyDescent="0.55000000000000004">
      <c r="A3884" t="s">
        <v>3965</v>
      </c>
      <c r="B3884" t="s">
        <v>115</v>
      </c>
      <c r="C3884" s="2">
        <v>43031</v>
      </c>
      <c r="D3884" t="s">
        <v>29</v>
      </c>
      <c r="E3884">
        <v>1130</v>
      </c>
    </row>
    <row r="3885" spans="1:5" x14ac:dyDescent="0.55000000000000004">
      <c r="A3885" t="s">
        <v>3966</v>
      </c>
      <c r="B3885" t="s">
        <v>99</v>
      </c>
      <c r="C3885" s="2">
        <v>44979</v>
      </c>
      <c r="D3885" t="s">
        <v>29</v>
      </c>
      <c r="E3885">
        <v>1164</v>
      </c>
    </row>
    <row r="3886" spans="1:5" x14ac:dyDescent="0.55000000000000004">
      <c r="A3886" t="s">
        <v>3967</v>
      </c>
      <c r="B3886" t="s">
        <v>115</v>
      </c>
      <c r="C3886" s="2">
        <v>43883</v>
      </c>
      <c r="D3886" t="s">
        <v>26</v>
      </c>
      <c r="E3886">
        <v>303</v>
      </c>
    </row>
    <row r="3887" spans="1:5" x14ac:dyDescent="0.55000000000000004">
      <c r="A3887" t="s">
        <v>3968</v>
      </c>
      <c r="B3887" t="s">
        <v>111</v>
      </c>
      <c r="C3887" s="2">
        <v>44504</v>
      </c>
      <c r="D3887" t="s">
        <v>29</v>
      </c>
      <c r="E3887">
        <v>621</v>
      </c>
    </row>
    <row r="3888" spans="1:5" x14ac:dyDescent="0.55000000000000004">
      <c r="A3888" t="s">
        <v>3969</v>
      </c>
      <c r="B3888" t="s">
        <v>76</v>
      </c>
      <c r="C3888" s="2">
        <v>44082</v>
      </c>
      <c r="D3888" t="s">
        <v>29</v>
      </c>
      <c r="E3888">
        <v>2351</v>
      </c>
    </row>
    <row r="3889" spans="1:5" x14ac:dyDescent="0.55000000000000004">
      <c r="A3889" t="s">
        <v>3970</v>
      </c>
      <c r="B3889" t="s">
        <v>151</v>
      </c>
      <c r="C3889" s="2">
        <v>44067</v>
      </c>
      <c r="D3889" t="s">
        <v>26</v>
      </c>
      <c r="E3889">
        <v>1795</v>
      </c>
    </row>
    <row r="3890" spans="1:5" x14ac:dyDescent="0.55000000000000004">
      <c r="A3890" t="s">
        <v>3971</v>
      </c>
      <c r="B3890" t="s">
        <v>63</v>
      </c>
      <c r="C3890" s="2">
        <v>43588</v>
      </c>
      <c r="D3890" t="s">
        <v>29</v>
      </c>
      <c r="E3890">
        <v>2280</v>
      </c>
    </row>
    <row r="3891" spans="1:5" x14ac:dyDescent="0.55000000000000004">
      <c r="A3891" t="s">
        <v>3972</v>
      </c>
      <c r="B3891" t="s">
        <v>67</v>
      </c>
      <c r="C3891" s="2">
        <v>44659</v>
      </c>
      <c r="D3891" t="s">
        <v>26</v>
      </c>
      <c r="E3891">
        <v>575</v>
      </c>
    </row>
    <row r="3892" spans="1:5" x14ac:dyDescent="0.55000000000000004">
      <c r="A3892" t="s">
        <v>3973</v>
      </c>
      <c r="B3892" t="s">
        <v>118</v>
      </c>
      <c r="C3892" s="2">
        <v>43744</v>
      </c>
      <c r="D3892" t="s">
        <v>29</v>
      </c>
      <c r="E3892">
        <v>1479</v>
      </c>
    </row>
    <row r="3893" spans="1:5" x14ac:dyDescent="0.55000000000000004">
      <c r="A3893" t="s">
        <v>3974</v>
      </c>
      <c r="B3893" t="s">
        <v>94</v>
      </c>
      <c r="C3893" s="2">
        <v>45292</v>
      </c>
      <c r="D3893" t="s">
        <v>26</v>
      </c>
      <c r="E3893">
        <v>754</v>
      </c>
    </row>
    <row r="3894" spans="1:5" x14ac:dyDescent="0.55000000000000004">
      <c r="A3894" t="s">
        <v>3975</v>
      </c>
      <c r="B3894" t="s">
        <v>111</v>
      </c>
      <c r="C3894" s="2">
        <v>43876</v>
      </c>
      <c r="D3894" t="s">
        <v>26</v>
      </c>
      <c r="E3894">
        <v>1887</v>
      </c>
    </row>
    <row r="3895" spans="1:5" x14ac:dyDescent="0.55000000000000004">
      <c r="A3895" t="s">
        <v>3976</v>
      </c>
      <c r="B3895" t="s">
        <v>86</v>
      </c>
      <c r="C3895" s="2">
        <v>43599</v>
      </c>
      <c r="D3895" t="s">
        <v>26</v>
      </c>
      <c r="E3895">
        <v>2775</v>
      </c>
    </row>
    <row r="3896" spans="1:5" x14ac:dyDescent="0.55000000000000004">
      <c r="A3896" t="s">
        <v>3977</v>
      </c>
      <c r="B3896" t="s">
        <v>41</v>
      </c>
      <c r="C3896" s="2">
        <v>44361</v>
      </c>
      <c r="D3896" t="s">
        <v>29</v>
      </c>
      <c r="E3896">
        <v>2472</v>
      </c>
    </row>
    <row r="3897" spans="1:5" x14ac:dyDescent="0.55000000000000004">
      <c r="A3897" t="s">
        <v>3978</v>
      </c>
      <c r="B3897" t="s">
        <v>78</v>
      </c>
      <c r="C3897" s="2">
        <v>43560</v>
      </c>
      <c r="D3897" t="s">
        <v>26</v>
      </c>
      <c r="E3897">
        <v>488</v>
      </c>
    </row>
    <row r="3898" spans="1:5" x14ac:dyDescent="0.55000000000000004">
      <c r="A3898" t="s">
        <v>3979</v>
      </c>
      <c r="B3898" t="s">
        <v>35</v>
      </c>
      <c r="C3898" s="2">
        <v>44672</v>
      </c>
      <c r="D3898" t="s">
        <v>29</v>
      </c>
      <c r="E3898">
        <v>1623</v>
      </c>
    </row>
    <row r="3899" spans="1:5" x14ac:dyDescent="0.55000000000000004">
      <c r="A3899" t="s">
        <v>3980</v>
      </c>
      <c r="B3899" t="s">
        <v>137</v>
      </c>
      <c r="C3899" s="2">
        <v>45458</v>
      </c>
      <c r="D3899" t="s">
        <v>26</v>
      </c>
      <c r="E3899">
        <v>2164</v>
      </c>
    </row>
    <row r="3900" spans="1:5" x14ac:dyDescent="0.55000000000000004">
      <c r="A3900" t="s">
        <v>3981</v>
      </c>
      <c r="B3900" t="s">
        <v>142</v>
      </c>
      <c r="C3900" s="2">
        <v>43966</v>
      </c>
      <c r="D3900" t="s">
        <v>29</v>
      </c>
      <c r="E3900">
        <v>66</v>
      </c>
    </row>
    <row r="3901" spans="1:5" x14ac:dyDescent="0.55000000000000004">
      <c r="A3901" t="s">
        <v>3982</v>
      </c>
      <c r="B3901" t="s">
        <v>23</v>
      </c>
      <c r="C3901" s="2">
        <v>44726</v>
      </c>
      <c r="D3901" t="s">
        <v>26</v>
      </c>
      <c r="E3901">
        <v>2065</v>
      </c>
    </row>
    <row r="3902" spans="1:5" x14ac:dyDescent="0.55000000000000004">
      <c r="A3902" t="s">
        <v>3983</v>
      </c>
      <c r="B3902" t="s">
        <v>76</v>
      </c>
      <c r="C3902" s="2">
        <v>44805</v>
      </c>
      <c r="D3902" t="s">
        <v>29</v>
      </c>
      <c r="E3902">
        <v>1157</v>
      </c>
    </row>
    <row r="3903" spans="1:5" x14ac:dyDescent="0.55000000000000004">
      <c r="A3903" t="s">
        <v>3984</v>
      </c>
      <c r="B3903" t="s">
        <v>23</v>
      </c>
      <c r="C3903" s="2">
        <v>44514</v>
      </c>
      <c r="D3903" t="s">
        <v>26</v>
      </c>
      <c r="E3903">
        <v>309</v>
      </c>
    </row>
    <row r="3904" spans="1:5" x14ac:dyDescent="0.55000000000000004">
      <c r="A3904" t="s">
        <v>3985</v>
      </c>
      <c r="B3904" t="s">
        <v>23</v>
      </c>
      <c r="C3904" s="2">
        <v>44019</v>
      </c>
      <c r="D3904" t="s">
        <v>26</v>
      </c>
      <c r="E3904">
        <v>2178</v>
      </c>
    </row>
    <row r="3905" spans="1:5" x14ac:dyDescent="0.55000000000000004">
      <c r="A3905" t="s">
        <v>3986</v>
      </c>
      <c r="B3905" t="s">
        <v>105</v>
      </c>
      <c r="C3905" s="2">
        <v>44552</v>
      </c>
      <c r="D3905" t="s">
        <v>26</v>
      </c>
      <c r="E3905">
        <v>2350</v>
      </c>
    </row>
    <row r="3906" spans="1:5" x14ac:dyDescent="0.55000000000000004">
      <c r="A3906" t="s">
        <v>3987</v>
      </c>
      <c r="B3906" t="s">
        <v>15</v>
      </c>
      <c r="C3906" s="2">
        <v>44166</v>
      </c>
      <c r="D3906" t="s">
        <v>26</v>
      </c>
      <c r="E3906">
        <v>299</v>
      </c>
    </row>
    <row r="3907" spans="1:5" x14ac:dyDescent="0.55000000000000004">
      <c r="A3907" t="s">
        <v>3988</v>
      </c>
      <c r="B3907" t="s">
        <v>118</v>
      </c>
      <c r="C3907" s="2">
        <v>45231</v>
      </c>
      <c r="D3907" t="s">
        <v>29</v>
      </c>
      <c r="E3907">
        <v>1907</v>
      </c>
    </row>
    <row r="3908" spans="1:5" x14ac:dyDescent="0.55000000000000004">
      <c r="A3908" t="s">
        <v>3989</v>
      </c>
      <c r="B3908" t="s">
        <v>15</v>
      </c>
      <c r="C3908" s="2">
        <v>44430</v>
      </c>
      <c r="D3908" t="s">
        <v>26</v>
      </c>
      <c r="E3908">
        <v>2664</v>
      </c>
    </row>
    <row r="3909" spans="1:5" x14ac:dyDescent="0.55000000000000004">
      <c r="A3909" t="s">
        <v>3990</v>
      </c>
      <c r="B3909" t="s">
        <v>111</v>
      </c>
      <c r="C3909" s="2">
        <v>43066</v>
      </c>
      <c r="D3909" t="s">
        <v>26</v>
      </c>
      <c r="E3909">
        <v>2653</v>
      </c>
    </row>
    <row r="3910" spans="1:5" x14ac:dyDescent="0.55000000000000004">
      <c r="A3910" t="s">
        <v>3991</v>
      </c>
      <c r="B3910" t="s">
        <v>23</v>
      </c>
      <c r="C3910" s="2">
        <v>44526</v>
      </c>
      <c r="D3910" t="s">
        <v>29</v>
      </c>
      <c r="E3910">
        <v>2161</v>
      </c>
    </row>
    <row r="3911" spans="1:5" x14ac:dyDescent="0.55000000000000004">
      <c r="A3911" t="s">
        <v>3992</v>
      </c>
      <c r="B3911" t="s">
        <v>118</v>
      </c>
      <c r="C3911" s="2">
        <v>45237</v>
      </c>
      <c r="D3911" t="s">
        <v>26</v>
      </c>
      <c r="E3911">
        <v>1644</v>
      </c>
    </row>
    <row r="3912" spans="1:5" x14ac:dyDescent="0.55000000000000004">
      <c r="A3912" t="s">
        <v>3993</v>
      </c>
      <c r="B3912" t="s">
        <v>23</v>
      </c>
      <c r="C3912" s="2">
        <v>44432</v>
      </c>
      <c r="D3912" t="s">
        <v>26</v>
      </c>
      <c r="E3912">
        <v>2554</v>
      </c>
    </row>
    <row r="3913" spans="1:5" x14ac:dyDescent="0.55000000000000004">
      <c r="A3913" t="s">
        <v>3994</v>
      </c>
      <c r="B3913" t="s">
        <v>175</v>
      </c>
      <c r="C3913" s="2">
        <v>45063</v>
      </c>
      <c r="D3913" t="s">
        <v>26</v>
      </c>
      <c r="E3913">
        <v>34</v>
      </c>
    </row>
    <row r="3914" spans="1:5" x14ac:dyDescent="0.55000000000000004">
      <c r="A3914" t="s">
        <v>3995</v>
      </c>
      <c r="B3914" t="s">
        <v>63</v>
      </c>
      <c r="C3914" s="2">
        <v>43577</v>
      </c>
      <c r="D3914" t="s">
        <v>29</v>
      </c>
      <c r="E3914">
        <v>616</v>
      </c>
    </row>
    <row r="3915" spans="1:5" x14ac:dyDescent="0.55000000000000004">
      <c r="A3915" t="s">
        <v>3996</v>
      </c>
      <c r="B3915" t="s">
        <v>84</v>
      </c>
      <c r="C3915" s="2">
        <v>43373</v>
      </c>
      <c r="D3915" t="s">
        <v>29</v>
      </c>
      <c r="E3915">
        <v>2180</v>
      </c>
    </row>
    <row r="3916" spans="1:5" x14ac:dyDescent="0.55000000000000004">
      <c r="A3916" t="s">
        <v>3997</v>
      </c>
      <c r="B3916" t="s">
        <v>15</v>
      </c>
      <c r="C3916" s="2">
        <v>44255</v>
      </c>
      <c r="D3916" t="s">
        <v>26</v>
      </c>
      <c r="E3916">
        <v>2352</v>
      </c>
    </row>
    <row r="3917" spans="1:5" x14ac:dyDescent="0.55000000000000004">
      <c r="A3917" t="s">
        <v>3998</v>
      </c>
      <c r="B3917" t="s">
        <v>86</v>
      </c>
      <c r="C3917" s="2">
        <v>44381</v>
      </c>
      <c r="D3917" t="s">
        <v>26</v>
      </c>
      <c r="E3917">
        <v>773</v>
      </c>
    </row>
    <row r="3918" spans="1:5" x14ac:dyDescent="0.55000000000000004">
      <c r="A3918" t="s">
        <v>3999</v>
      </c>
      <c r="B3918" t="s">
        <v>118</v>
      </c>
      <c r="C3918" s="2">
        <v>44073</v>
      </c>
      <c r="D3918" t="s">
        <v>26</v>
      </c>
      <c r="E3918">
        <v>1263</v>
      </c>
    </row>
    <row r="3919" spans="1:5" x14ac:dyDescent="0.55000000000000004">
      <c r="A3919" t="s">
        <v>4000</v>
      </c>
      <c r="B3919" t="s">
        <v>105</v>
      </c>
      <c r="C3919" s="2">
        <v>43123</v>
      </c>
      <c r="D3919" t="s">
        <v>26</v>
      </c>
      <c r="E3919">
        <v>2184</v>
      </c>
    </row>
    <row r="3920" spans="1:5" x14ac:dyDescent="0.55000000000000004">
      <c r="A3920" t="s">
        <v>4001</v>
      </c>
      <c r="B3920" t="s">
        <v>32</v>
      </c>
      <c r="C3920" s="2">
        <v>43911</v>
      </c>
      <c r="D3920" t="s">
        <v>26</v>
      </c>
      <c r="E3920">
        <v>2212</v>
      </c>
    </row>
    <row r="3921" spans="1:5" x14ac:dyDescent="0.55000000000000004">
      <c r="A3921" t="s">
        <v>4002</v>
      </c>
      <c r="B3921" t="s">
        <v>86</v>
      </c>
      <c r="C3921" s="2">
        <v>43058</v>
      </c>
      <c r="D3921" t="s">
        <v>29</v>
      </c>
      <c r="E3921">
        <v>1291</v>
      </c>
    </row>
    <row r="3922" spans="1:5" x14ac:dyDescent="0.55000000000000004">
      <c r="A3922" t="s">
        <v>4003</v>
      </c>
      <c r="B3922" t="s">
        <v>63</v>
      </c>
      <c r="C3922" s="2">
        <v>44264</v>
      </c>
      <c r="D3922" t="s">
        <v>26</v>
      </c>
      <c r="E3922">
        <v>826</v>
      </c>
    </row>
    <row r="3923" spans="1:5" x14ac:dyDescent="0.55000000000000004">
      <c r="A3923" t="s">
        <v>4004</v>
      </c>
      <c r="B3923" t="s">
        <v>156</v>
      </c>
      <c r="C3923" s="2">
        <v>43251</v>
      </c>
      <c r="D3923" t="s">
        <v>29</v>
      </c>
      <c r="E3923">
        <v>1110</v>
      </c>
    </row>
    <row r="3924" spans="1:5" x14ac:dyDescent="0.55000000000000004">
      <c r="A3924" t="s">
        <v>4005</v>
      </c>
      <c r="B3924" t="s">
        <v>63</v>
      </c>
      <c r="C3924" s="2">
        <v>43361</v>
      </c>
      <c r="D3924" t="s">
        <v>29</v>
      </c>
      <c r="E3924">
        <v>111</v>
      </c>
    </row>
    <row r="3925" spans="1:5" x14ac:dyDescent="0.55000000000000004">
      <c r="A3925" t="s">
        <v>4006</v>
      </c>
      <c r="B3925" t="s">
        <v>72</v>
      </c>
      <c r="C3925" s="2">
        <v>43817</v>
      </c>
      <c r="D3925" t="s">
        <v>26</v>
      </c>
      <c r="E3925">
        <v>1536</v>
      </c>
    </row>
    <row r="3926" spans="1:5" x14ac:dyDescent="0.55000000000000004">
      <c r="A3926" t="s">
        <v>4007</v>
      </c>
      <c r="B3926" t="s">
        <v>14</v>
      </c>
      <c r="C3926" s="2">
        <v>43826</v>
      </c>
      <c r="D3926" t="s">
        <v>26</v>
      </c>
      <c r="E3926">
        <v>1558</v>
      </c>
    </row>
    <row r="3927" spans="1:5" x14ac:dyDescent="0.55000000000000004">
      <c r="A3927" t="s">
        <v>4008</v>
      </c>
      <c r="B3927" t="s">
        <v>142</v>
      </c>
      <c r="C3927" s="2">
        <v>43832</v>
      </c>
      <c r="D3927" t="s">
        <v>29</v>
      </c>
      <c r="E3927">
        <v>1635</v>
      </c>
    </row>
    <row r="3928" spans="1:5" x14ac:dyDescent="0.55000000000000004">
      <c r="A3928" t="s">
        <v>4009</v>
      </c>
      <c r="B3928" t="s">
        <v>151</v>
      </c>
      <c r="C3928" s="2">
        <v>43338</v>
      </c>
      <c r="D3928" t="s">
        <v>29</v>
      </c>
      <c r="E3928">
        <v>2417</v>
      </c>
    </row>
    <row r="3929" spans="1:5" x14ac:dyDescent="0.55000000000000004">
      <c r="A3929" t="s">
        <v>4010</v>
      </c>
      <c r="B3929" t="s">
        <v>175</v>
      </c>
      <c r="C3929" s="2">
        <v>43976</v>
      </c>
      <c r="D3929" t="s">
        <v>26</v>
      </c>
      <c r="E3929">
        <v>717</v>
      </c>
    </row>
    <row r="3930" spans="1:5" x14ac:dyDescent="0.55000000000000004">
      <c r="A3930" t="s">
        <v>4011</v>
      </c>
      <c r="B3930" t="s">
        <v>67</v>
      </c>
      <c r="C3930" s="2">
        <v>45834</v>
      </c>
      <c r="D3930" t="s">
        <v>26</v>
      </c>
      <c r="E3930">
        <v>667</v>
      </c>
    </row>
    <row r="3931" spans="1:5" x14ac:dyDescent="0.55000000000000004">
      <c r="A3931" t="s">
        <v>4012</v>
      </c>
      <c r="B3931" t="s">
        <v>118</v>
      </c>
      <c r="C3931" s="2">
        <v>44324</v>
      </c>
      <c r="D3931" t="s">
        <v>26</v>
      </c>
      <c r="E3931">
        <v>2003</v>
      </c>
    </row>
    <row r="3932" spans="1:5" x14ac:dyDescent="0.55000000000000004">
      <c r="A3932" t="s">
        <v>4013</v>
      </c>
      <c r="B3932" t="s">
        <v>78</v>
      </c>
      <c r="C3932" s="2">
        <v>44933</v>
      </c>
      <c r="D3932" t="s">
        <v>29</v>
      </c>
      <c r="E3932">
        <v>1700</v>
      </c>
    </row>
    <row r="3933" spans="1:5" x14ac:dyDescent="0.55000000000000004">
      <c r="A3933" t="s">
        <v>4014</v>
      </c>
      <c r="B3933" t="s">
        <v>151</v>
      </c>
      <c r="C3933" s="2">
        <v>43347</v>
      </c>
      <c r="D3933" t="s">
        <v>26</v>
      </c>
      <c r="E3933">
        <v>2076</v>
      </c>
    </row>
    <row r="3934" spans="1:5" x14ac:dyDescent="0.55000000000000004">
      <c r="A3934" t="s">
        <v>4015</v>
      </c>
      <c r="B3934" t="s">
        <v>86</v>
      </c>
      <c r="C3934" s="2">
        <v>43895</v>
      </c>
      <c r="D3934" t="s">
        <v>29</v>
      </c>
      <c r="E3934">
        <v>2083</v>
      </c>
    </row>
    <row r="3935" spans="1:5" x14ac:dyDescent="0.55000000000000004">
      <c r="A3935" t="s">
        <v>4016</v>
      </c>
      <c r="B3935" t="s">
        <v>115</v>
      </c>
      <c r="C3935" s="2">
        <v>43852</v>
      </c>
      <c r="D3935" t="s">
        <v>26</v>
      </c>
      <c r="E3935">
        <v>29</v>
      </c>
    </row>
    <row r="3936" spans="1:5" x14ac:dyDescent="0.55000000000000004">
      <c r="A3936" t="s">
        <v>4017</v>
      </c>
      <c r="B3936" t="s">
        <v>101</v>
      </c>
      <c r="C3936" s="2">
        <v>43777</v>
      </c>
      <c r="D3936" t="s">
        <v>29</v>
      </c>
      <c r="E3936">
        <v>409</v>
      </c>
    </row>
    <row r="3937" spans="1:5" x14ac:dyDescent="0.55000000000000004">
      <c r="A3937" t="s">
        <v>4018</v>
      </c>
      <c r="B3937" t="s">
        <v>86</v>
      </c>
      <c r="C3937" s="2">
        <v>43655</v>
      </c>
      <c r="D3937" t="s">
        <v>29</v>
      </c>
      <c r="E3937">
        <v>267</v>
      </c>
    </row>
    <row r="3938" spans="1:5" x14ac:dyDescent="0.55000000000000004">
      <c r="A3938" t="s">
        <v>4019</v>
      </c>
      <c r="B3938" t="s">
        <v>140</v>
      </c>
      <c r="C3938" s="2">
        <v>44252</v>
      </c>
      <c r="D3938" t="s">
        <v>29</v>
      </c>
      <c r="E3938">
        <v>939</v>
      </c>
    </row>
    <row r="3939" spans="1:5" x14ac:dyDescent="0.55000000000000004">
      <c r="A3939" t="s">
        <v>4020</v>
      </c>
      <c r="B3939" t="s">
        <v>41</v>
      </c>
      <c r="C3939" s="2">
        <v>44003</v>
      </c>
      <c r="D3939" t="s">
        <v>29</v>
      </c>
      <c r="E3939">
        <v>1930</v>
      </c>
    </row>
    <row r="3940" spans="1:5" x14ac:dyDescent="0.55000000000000004">
      <c r="A3940" t="s">
        <v>4021</v>
      </c>
      <c r="B3940" t="s">
        <v>14</v>
      </c>
      <c r="C3940" s="2">
        <v>43479</v>
      </c>
      <c r="D3940" t="s">
        <v>29</v>
      </c>
      <c r="E3940">
        <v>185</v>
      </c>
    </row>
    <row r="3941" spans="1:5" x14ac:dyDescent="0.55000000000000004">
      <c r="A3941" t="s">
        <v>4022</v>
      </c>
      <c r="B3941" t="s">
        <v>72</v>
      </c>
      <c r="C3941" s="2">
        <v>43426</v>
      </c>
      <c r="D3941" t="s">
        <v>26</v>
      </c>
      <c r="E3941">
        <v>2312</v>
      </c>
    </row>
    <row r="3942" spans="1:5" x14ac:dyDescent="0.55000000000000004">
      <c r="A3942" t="s">
        <v>4023</v>
      </c>
      <c r="B3942" t="s">
        <v>14</v>
      </c>
      <c r="C3942" s="2">
        <v>43179</v>
      </c>
      <c r="D3942" t="s">
        <v>26</v>
      </c>
      <c r="E3942">
        <v>574</v>
      </c>
    </row>
    <row r="3943" spans="1:5" x14ac:dyDescent="0.55000000000000004">
      <c r="A3943" t="s">
        <v>4024</v>
      </c>
      <c r="B3943" t="s">
        <v>41</v>
      </c>
      <c r="C3943" s="2">
        <v>44793</v>
      </c>
      <c r="D3943" t="s">
        <v>26</v>
      </c>
      <c r="E3943">
        <v>250</v>
      </c>
    </row>
    <row r="3944" spans="1:5" x14ac:dyDescent="0.55000000000000004">
      <c r="A3944" t="s">
        <v>4025</v>
      </c>
      <c r="B3944" t="s">
        <v>32</v>
      </c>
      <c r="C3944" s="2">
        <v>44260</v>
      </c>
      <c r="D3944" t="s">
        <v>29</v>
      </c>
      <c r="E3944">
        <v>1522</v>
      </c>
    </row>
    <row r="3945" spans="1:5" x14ac:dyDescent="0.55000000000000004">
      <c r="A3945" t="s">
        <v>4026</v>
      </c>
      <c r="B3945" t="s">
        <v>32</v>
      </c>
      <c r="C3945" s="2">
        <v>44680</v>
      </c>
      <c r="D3945" t="s">
        <v>26</v>
      </c>
      <c r="E3945">
        <v>1717</v>
      </c>
    </row>
    <row r="3946" spans="1:5" x14ac:dyDescent="0.55000000000000004">
      <c r="A3946" t="s">
        <v>4027</v>
      </c>
      <c r="B3946" t="s">
        <v>105</v>
      </c>
      <c r="C3946" s="2">
        <v>43274</v>
      </c>
      <c r="D3946" t="s">
        <v>26</v>
      </c>
      <c r="E3946">
        <v>2738</v>
      </c>
    </row>
    <row r="3947" spans="1:5" x14ac:dyDescent="0.55000000000000004">
      <c r="A3947" t="s">
        <v>4028</v>
      </c>
      <c r="B3947" t="s">
        <v>105</v>
      </c>
      <c r="C3947" s="2">
        <v>43664</v>
      </c>
      <c r="D3947" t="s">
        <v>26</v>
      </c>
      <c r="E3947">
        <v>665</v>
      </c>
    </row>
    <row r="3948" spans="1:5" x14ac:dyDescent="0.55000000000000004">
      <c r="A3948" t="s">
        <v>4029</v>
      </c>
      <c r="B3948" t="s">
        <v>14</v>
      </c>
      <c r="C3948" s="2">
        <v>43935</v>
      </c>
      <c r="D3948" t="s">
        <v>26</v>
      </c>
      <c r="E3948">
        <v>1253</v>
      </c>
    </row>
    <row r="3949" spans="1:5" x14ac:dyDescent="0.55000000000000004">
      <c r="A3949" t="s">
        <v>4030</v>
      </c>
      <c r="B3949" t="s">
        <v>101</v>
      </c>
      <c r="C3949" s="2">
        <v>44197</v>
      </c>
      <c r="D3949" t="s">
        <v>29</v>
      </c>
      <c r="E3949">
        <v>1086</v>
      </c>
    </row>
    <row r="3950" spans="1:5" x14ac:dyDescent="0.55000000000000004">
      <c r="A3950" t="s">
        <v>4031</v>
      </c>
      <c r="B3950" t="s">
        <v>32</v>
      </c>
      <c r="C3950" s="2">
        <v>44488</v>
      </c>
      <c r="D3950" t="s">
        <v>26</v>
      </c>
      <c r="E3950">
        <v>105</v>
      </c>
    </row>
    <row r="3951" spans="1:5" x14ac:dyDescent="0.55000000000000004">
      <c r="A3951" t="s">
        <v>4032</v>
      </c>
      <c r="B3951" t="s">
        <v>111</v>
      </c>
      <c r="C3951" s="2">
        <v>42975</v>
      </c>
      <c r="D3951" t="s">
        <v>29</v>
      </c>
      <c r="E3951">
        <v>140</v>
      </c>
    </row>
    <row r="3952" spans="1:5" x14ac:dyDescent="0.55000000000000004">
      <c r="A3952" t="s">
        <v>4033</v>
      </c>
      <c r="B3952" t="s">
        <v>78</v>
      </c>
      <c r="C3952" s="2">
        <v>44057</v>
      </c>
      <c r="D3952" t="s">
        <v>29</v>
      </c>
      <c r="E3952">
        <v>190</v>
      </c>
    </row>
    <row r="3953" spans="1:5" x14ac:dyDescent="0.55000000000000004">
      <c r="A3953" t="s">
        <v>4034</v>
      </c>
      <c r="B3953" t="s">
        <v>99</v>
      </c>
      <c r="C3953" s="2">
        <v>45010</v>
      </c>
      <c r="D3953" t="s">
        <v>26</v>
      </c>
      <c r="E3953">
        <v>647</v>
      </c>
    </row>
    <row r="3954" spans="1:5" x14ac:dyDescent="0.55000000000000004">
      <c r="A3954" t="s">
        <v>4035</v>
      </c>
      <c r="B3954" t="s">
        <v>115</v>
      </c>
      <c r="C3954" s="2">
        <v>42947</v>
      </c>
      <c r="D3954" t="s">
        <v>29</v>
      </c>
      <c r="E3954">
        <v>912</v>
      </c>
    </row>
    <row r="3955" spans="1:5" x14ac:dyDescent="0.55000000000000004">
      <c r="A3955" t="s">
        <v>4036</v>
      </c>
      <c r="B3955" t="s">
        <v>74</v>
      </c>
      <c r="C3955" s="2">
        <v>43776</v>
      </c>
      <c r="D3955" t="s">
        <v>26</v>
      </c>
      <c r="E3955">
        <v>460</v>
      </c>
    </row>
    <row r="3956" spans="1:5" x14ac:dyDescent="0.55000000000000004">
      <c r="A3956" t="s">
        <v>4037</v>
      </c>
      <c r="B3956" t="s">
        <v>96</v>
      </c>
      <c r="C3956" s="2">
        <v>45368</v>
      </c>
      <c r="D3956" t="s">
        <v>29</v>
      </c>
      <c r="E3956">
        <v>2198</v>
      </c>
    </row>
    <row r="3957" spans="1:5" x14ac:dyDescent="0.55000000000000004">
      <c r="A3957" t="s">
        <v>4038</v>
      </c>
      <c r="B3957" t="s">
        <v>15</v>
      </c>
      <c r="C3957" s="2">
        <v>43192</v>
      </c>
      <c r="D3957" t="s">
        <v>26</v>
      </c>
      <c r="E3957">
        <v>1275</v>
      </c>
    </row>
    <row r="3958" spans="1:5" x14ac:dyDescent="0.55000000000000004">
      <c r="A3958" t="s">
        <v>4039</v>
      </c>
      <c r="B3958" t="s">
        <v>96</v>
      </c>
      <c r="C3958" s="2">
        <v>45389</v>
      </c>
      <c r="D3958" t="s">
        <v>29</v>
      </c>
      <c r="E3958">
        <v>525</v>
      </c>
    </row>
    <row r="3959" spans="1:5" x14ac:dyDescent="0.55000000000000004">
      <c r="A3959" t="s">
        <v>4040</v>
      </c>
      <c r="B3959" t="s">
        <v>111</v>
      </c>
      <c r="C3959" s="2">
        <v>44261</v>
      </c>
      <c r="D3959" t="s">
        <v>29</v>
      </c>
      <c r="E3959">
        <v>2513</v>
      </c>
    </row>
    <row r="3960" spans="1:5" x14ac:dyDescent="0.55000000000000004">
      <c r="A3960" t="s">
        <v>4041</v>
      </c>
      <c r="B3960" t="s">
        <v>38</v>
      </c>
      <c r="C3960" s="2">
        <v>44028</v>
      </c>
      <c r="D3960" t="s">
        <v>29</v>
      </c>
      <c r="E3960">
        <v>2018</v>
      </c>
    </row>
    <row r="3961" spans="1:5" x14ac:dyDescent="0.55000000000000004">
      <c r="A3961" t="s">
        <v>4042</v>
      </c>
      <c r="B3961" t="s">
        <v>78</v>
      </c>
      <c r="C3961" s="2">
        <v>45805</v>
      </c>
      <c r="D3961" t="s">
        <v>26</v>
      </c>
      <c r="E3961">
        <v>515</v>
      </c>
    </row>
    <row r="3962" spans="1:5" x14ac:dyDescent="0.55000000000000004">
      <c r="A3962" t="s">
        <v>4043</v>
      </c>
      <c r="B3962" t="s">
        <v>63</v>
      </c>
      <c r="C3962" s="2">
        <v>43971</v>
      </c>
      <c r="D3962" t="s">
        <v>26</v>
      </c>
      <c r="E3962">
        <v>584</v>
      </c>
    </row>
    <row r="3963" spans="1:5" x14ac:dyDescent="0.55000000000000004">
      <c r="A3963" t="s">
        <v>4044</v>
      </c>
      <c r="B3963" t="s">
        <v>63</v>
      </c>
      <c r="C3963" s="2">
        <v>44267</v>
      </c>
      <c r="D3963" t="s">
        <v>26</v>
      </c>
      <c r="E3963">
        <v>388</v>
      </c>
    </row>
    <row r="3964" spans="1:5" x14ac:dyDescent="0.55000000000000004">
      <c r="A3964" t="s">
        <v>4045</v>
      </c>
      <c r="B3964" t="s">
        <v>41</v>
      </c>
      <c r="C3964" s="2">
        <v>44658</v>
      </c>
      <c r="D3964" t="s">
        <v>29</v>
      </c>
      <c r="E3964">
        <v>2519</v>
      </c>
    </row>
    <row r="3965" spans="1:5" x14ac:dyDescent="0.55000000000000004">
      <c r="A3965" t="s">
        <v>4046</v>
      </c>
      <c r="B3965" t="s">
        <v>115</v>
      </c>
      <c r="C3965" s="2">
        <v>43428</v>
      </c>
      <c r="D3965" t="s">
        <v>26</v>
      </c>
      <c r="E3965">
        <v>1026</v>
      </c>
    </row>
    <row r="3966" spans="1:5" x14ac:dyDescent="0.55000000000000004">
      <c r="A3966" t="s">
        <v>4047</v>
      </c>
      <c r="B3966" t="s">
        <v>105</v>
      </c>
      <c r="C3966" s="2">
        <v>44412</v>
      </c>
      <c r="D3966" t="s">
        <v>29</v>
      </c>
      <c r="E3966">
        <v>1346</v>
      </c>
    </row>
    <row r="3967" spans="1:5" x14ac:dyDescent="0.55000000000000004">
      <c r="A3967" t="s">
        <v>4048</v>
      </c>
      <c r="B3967" t="s">
        <v>41</v>
      </c>
      <c r="C3967" s="2">
        <v>44777</v>
      </c>
      <c r="D3967" t="s">
        <v>29</v>
      </c>
      <c r="E3967">
        <v>539</v>
      </c>
    </row>
    <row r="3968" spans="1:5" x14ac:dyDescent="0.55000000000000004">
      <c r="A3968" t="s">
        <v>4049</v>
      </c>
      <c r="B3968" t="s">
        <v>111</v>
      </c>
      <c r="C3968" s="2">
        <v>43781</v>
      </c>
      <c r="D3968" t="s">
        <v>29</v>
      </c>
      <c r="E3968">
        <v>2708</v>
      </c>
    </row>
    <row r="3969" spans="1:5" x14ac:dyDescent="0.55000000000000004">
      <c r="A3969" t="s">
        <v>4050</v>
      </c>
      <c r="B3969" t="s">
        <v>72</v>
      </c>
      <c r="C3969" s="2">
        <v>44103</v>
      </c>
      <c r="D3969" t="s">
        <v>26</v>
      </c>
      <c r="E3969">
        <v>1577</v>
      </c>
    </row>
    <row r="3970" spans="1:5" x14ac:dyDescent="0.55000000000000004">
      <c r="A3970" t="s">
        <v>4051</v>
      </c>
      <c r="B3970" t="s">
        <v>35</v>
      </c>
      <c r="C3970" s="2">
        <v>43929</v>
      </c>
      <c r="D3970" t="s">
        <v>26</v>
      </c>
      <c r="E3970">
        <v>746</v>
      </c>
    </row>
    <row r="3971" spans="1:5" x14ac:dyDescent="0.55000000000000004">
      <c r="A3971" t="s">
        <v>4052</v>
      </c>
      <c r="B3971" t="s">
        <v>14</v>
      </c>
      <c r="C3971" s="2">
        <v>43209</v>
      </c>
      <c r="D3971" t="s">
        <v>26</v>
      </c>
      <c r="E3971">
        <v>974</v>
      </c>
    </row>
    <row r="3972" spans="1:5" x14ac:dyDescent="0.55000000000000004">
      <c r="A3972" t="s">
        <v>4053</v>
      </c>
      <c r="B3972" t="s">
        <v>105</v>
      </c>
      <c r="C3972" s="2">
        <v>43729</v>
      </c>
      <c r="D3972" t="s">
        <v>29</v>
      </c>
      <c r="E3972">
        <v>47</v>
      </c>
    </row>
    <row r="3973" spans="1:5" x14ac:dyDescent="0.55000000000000004">
      <c r="A3973" t="s">
        <v>4054</v>
      </c>
      <c r="B3973" t="s">
        <v>23</v>
      </c>
      <c r="C3973" s="2">
        <v>44815</v>
      </c>
      <c r="D3973" t="s">
        <v>29</v>
      </c>
      <c r="E3973">
        <v>1408</v>
      </c>
    </row>
    <row r="3974" spans="1:5" x14ac:dyDescent="0.55000000000000004">
      <c r="A3974" t="s">
        <v>4055</v>
      </c>
      <c r="B3974" t="s">
        <v>151</v>
      </c>
      <c r="C3974" s="2">
        <v>44204</v>
      </c>
      <c r="D3974" t="s">
        <v>29</v>
      </c>
      <c r="E3974">
        <v>1851</v>
      </c>
    </row>
    <row r="3975" spans="1:5" x14ac:dyDescent="0.55000000000000004">
      <c r="A3975" t="s">
        <v>4056</v>
      </c>
      <c r="B3975" t="s">
        <v>151</v>
      </c>
      <c r="C3975" s="2">
        <v>43845</v>
      </c>
      <c r="D3975" t="s">
        <v>29</v>
      </c>
      <c r="E3975">
        <v>2235</v>
      </c>
    </row>
    <row r="3976" spans="1:5" x14ac:dyDescent="0.55000000000000004">
      <c r="A3976" t="s">
        <v>4057</v>
      </c>
      <c r="B3976" t="s">
        <v>15</v>
      </c>
      <c r="C3976" s="2">
        <v>43158</v>
      </c>
      <c r="D3976" t="s">
        <v>29</v>
      </c>
      <c r="E3976">
        <v>2684</v>
      </c>
    </row>
    <row r="3977" spans="1:5" x14ac:dyDescent="0.55000000000000004">
      <c r="A3977" t="s">
        <v>4058</v>
      </c>
      <c r="B3977" t="s">
        <v>118</v>
      </c>
      <c r="C3977" s="2">
        <v>45573</v>
      </c>
      <c r="D3977" t="s">
        <v>29</v>
      </c>
      <c r="E3977">
        <v>1381</v>
      </c>
    </row>
    <row r="3978" spans="1:5" x14ac:dyDescent="0.55000000000000004">
      <c r="A3978" t="s">
        <v>4059</v>
      </c>
      <c r="B3978" t="s">
        <v>94</v>
      </c>
      <c r="C3978" s="2">
        <v>44229</v>
      </c>
      <c r="D3978" t="s">
        <v>29</v>
      </c>
      <c r="E3978">
        <v>1396</v>
      </c>
    </row>
    <row r="3979" spans="1:5" x14ac:dyDescent="0.55000000000000004">
      <c r="A3979" t="s">
        <v>4060</v>
      </c>
      <c r="B3979" t="s">
        <v>137</v>
      </c>
      <c r="C3979" s="2">
        <v>45462</v>
      </c>
      <c r="D3979" t="s">
        <v>29</v>
      </c>
      <c r="E3979">
        <v>2716</v>
      </c>
    </row>
    <row r="3980" spans="1:5" x14ac:dyDescent="0.55000000000000004">
      <c r="A3980" t="s">
        <v>4061</v>
      </c>
      <c r="B3980" t="s">
        <v>115</v>
      </c>
      <c r="C3980" s="2">
        <v>44285</v>
      </c>
      <c r="D3980" t="s">
        <v>29</v>
      </c>
      <c r="E3980">
        <v>2126</v>
      </c>
    </row>
    <row r="3981" spans="1:5" x14ac:dyDescent="0.55000000000000004">
      <c r="A3981" t="s">
        <v>4062</v>
      </c>
      <c r="B3981" t="s">
        <v>84</v>
      </c>
      <c r="C3981" s="2">
        <v>43046</v>
      </c>
      <c r="D3981" t="s">
        <v>29</v>
      </c>
      <c r="E3981">
        <v>1747</v>
      </c>
    </row>
    <row r="3982" spans="1:5" x14ac:dyDescent="0.55000000000000004">
      <c r="A3982" t="s">
        <v>4063</v>
      </c>
      <c r="B3982" t="s">
        <v>35</v>
      </c>
      <c r="C3982" s="2">
        <v>43883</v>
      </c>
      <c r="D3982" t="s">
        <v>26</v>
      </c>
      <c r="E3982">
        <v>387</v>
      </c>
    </row>
    <row r="3983" spans="1:5" x14ac:dyDescent="0.55000000000000004">
      <c r="A3983" t="s">
        <v>4064</v>
      </c>
      <c r="B3983" t="s">
        <v>63</v>
      </c>
      <c r="C3983" s="2">
        <v>43853</v>
      </c>
      <c r="D3983" t="s">
        <v>26</v>
      </c>
      <c r="E3983">
        <v>492</v>
      </c>
    </row>
    <row r="3984" spans="1:5" x14ac:dyDescent="0.55000000000000004">
      <c r="A3984" t="s">
        <v>4065</v>
      </c>
      <c r="B3984" t="s">
        <v>99</v>
      </c>
      <c r="C3984" s="2">
        <v>44677</v>
      </c>
      <c r="D3984" t="s">
        <v>26</v>
      </c>
      <c r="E3984">
        <v>1423</v>
      </c>
    </row>
    <row r="3985" spans="1:5" x14ac:dyDescent="0.55000000000000004">
      <c r="A3985" t="s">
        <v>4066</v>
      </c>
      <c r="B3985" t="s">
        <v>156</v>
      </c>
      <c r="C3985" s="2">
        <v>43843</v>
      </c>
      <c r="D3985" t="s">
        <v>29</v>
      </c>
      <c r="E3985">
        <v>2266</v>
      </c>
    </row>
    <row r="3986" spans="1:5" x14ac:dyDescent="0.55000000000000004">
      <c r="A3986" t="s">
        <v>4067</v>
      </c>
      <c r="B3986" t="s">
        <v>74</v>
      </c>
      <c r="C3986" s="2">
        <v>43950</v>
      </c>
      <c r="D3986" t="s">
        <v>26</v>
      </c>
      <c r="E3986">
        <v>1628</v>
      </c>
    </row>
    <row r="3987" spans="1:5" x14ac:dyDescent="0.55000000000000004">
      <c r="A3987" t="s">
        <v>4068</v>
      </c>
      <c r="B3987" t="s">
        <v>175</v>
      </c>
      <c r="C3987" s="2">
        <v>45558</v>
      </c>
      <c r="D3987" t="s">
        <v>26</v>
      </c>
      <c r="E3987">
        <v>580</v>
      </c>
    </row>
    <row r="3988" spans="1:5" x14ac:dyDescent="0.55000000000000004">
      <c r="A3988" t="s">
        <v>4069</v>
      </c>
      <c r="B3988" t="s">
        <v>175</v>
      </c>
      <c r="C3988" s="2">
        <v>44374</v>
      </c>
      <c r="D3988" t="s">
        <v>26</v>
      </c>
      <c r="E3988">
        <v>813</v>
      </c>
    </row>
    <row r="3989" spans="1:5" x14ac:dyDescent="0.55000000000000004">
      <c r="A3989" t="s">
        <v>4070</v>
      </c>
      <c r="B3989" t="s">
        <v>78</v>
      </c>
      <c r="C3989" s="2">
        <v>44915</v>
      </c>
      <c r="D3989" t="s">
        <v>26</v>
      </c>
      <c r="E3989">
        <v>2305</v>
      </c>
    </row>
    <row r="3990" spans="1:5" x14ac:dyDescent="0.55000000000000004">
      <c r="A3990" t="s">
        <v>4071</v>
      </c>
      <c r="B3990" t="s">
        <v>76</v>
      </c>
      <c r="C3990" s="2">
        <v>45639</v>
      </c>
      <c r="D3990" t="s">
        <v>26</v>
      </c>
      <c r="E3990">
        <v>2183</v>
      </c>
    </row>
    <row r="3991" spans="1:5" x14ac:dyDescent="0.55000000000000004">
      <c r="A3991" t="s">
        <v>4072</v>
      </c>
      <c r="B3991" t="s">
        <v>86</v>
      </c>
      <c r="C3991" s="2">
        <v>44021</v>
      </c>
      <c r="D3991" t="s">
        <v>26</v>
      </c>
      <c r="E3991">
        <v>2841</v>
      </c>
    </row>
    <row r="3992" spans="1:5" x14ac:dyDescent="0.55000000000000004">
      <c r="A3992" t="s">
        <v>4073</v>
      </c>
      <c r="B3992" t="s">
        <v>67</v>
      </c>
      <c r="C3992" s="2">
        <v>44149</v>
      </c>
      <c r="D3992" t="s">
        <v>29</v>
      </c>
      <c r="E3992">
        <v>650</v>
      </c>
    </row>
    <row r="3993" spans="1:5" x14ac:dyDescent="0.55000000000000004">
      <c r="A3993" t="s">
        <v>4074</v>
      </c>
      <c r="B3993" t="s">
        <v>115</v>
      </c>
      <c r="C3993" s="2">
        <v>44310</v>
      </c>
      <c r="D3993" t="s">
        <v>26</v>
      </c>
      <c r="E3993">
        <v>2600</v>
      </c>
    </row>
    <row r="3994" spans="1:5" x14ac:dyDescent="0.55000000000000004">
      <c r="A3994" t="s">
        <v>4075</v>
      </c>
      <c r="B3994" t="s">
        <v>35</v>
      </c>
      <c r="C3994" s="2">
        <v>44294</v>
      </c>
      <c r="D3994" t="s">
        <v>26</v>
      </c>
      <c r="E3994">
        <v>2215</v>
      </c>
    </row>
    <row r="3995" spans="1:5" x14ac:dyDescent="0.55000000000000004">
      <c r="A3995" t="s">
        <v>4076</v>
      </c>
      <c r="B3995" t="s">
        <v>32</v>
      </c>
      <c r="C3995" s="2">
        <v>44699</v>
      </c>
      <c r="D3995" t="s">
        <v>26</v>
      </c>
      <c r="E3995">
        <v>1140</v>
      </c>
    </row>
    <row r="3996" spans="1:5" x14ac:dyDescent="0.55000000000000004">
      <c r="A3996" t="s">
        <v>4077</v>
      </c>
      <c r="B3996" t="s">
        <v>142</v>
      </c>
      <c r="C3996" s="2">
        <v>43737</v>
      </c>
      <c r="D3996" t="s">
        <v>29</v>
      </c>
      <c r="E3996">
        <v>1596</v>
      </c>
    </row>
    <row r="3997" spans="1:5" x14ac:dyDescent="0.55000000000000004">
      <c r="A3997" t="s">
        <v>4078</v>
      </c>
      <c r="B3997" t="s">
        <v>94</v>
      </c>
      <c r="C3997" s="2">
        <v>45603</v>
      </c>
      <c r="D3997" t="s">
        <v>29</v>
      </c>
      <c r="E3997">
        <v>1951</v>
      </c>
    </row>
    <row r="3998" spans="1:5" x14ac:dyDescent="0.55000000000000004">
      <c r="A3998" t="s">
        <v>4079</v>
      </c>
      <c r="B3998" t="s">
        <v>15</v>
      </c>
      <c r="C3998" s="2">
        <v>43576</v>
      </c>
      <c r="D3998" t="s">
        <v>26</v>
      </c>
      <c r="E3998">
        <v>2955</v>
      </c>
    </row>
    <row r="3999" spans="1:5" x14ac:dyDescent="0.55000000000000004">
      <c r="A3999" t="s">
        <v>4080</v>
      </c>
      <c r="B3999" t="s">
        <v>156</v>
      </c>
      <c r="C3999" s="2">
        <v>42917</v>
      </c>
      <c r="D3999" t="s">
        <v>26</v>
      </c>
      <c r="E3999">
        <v>1029</v>
      </c>
    </row>
    <row r="4000" spans="1:5" x14ac:dyDescent="0.55000000000000004">
      <c r="A4000" t="s">
        <v>4081</v>
      </c>
      <c r="B4000" t="s">
        <v>41</v>
      </c>
      <c r="C4000" s="2">
        <v>44469</v>
      </c>
      <c r="D4000" t="s">
        <v>26</v>
      </c>
      <c r="E4000">
        <v>2511</v>
      </c>
    </row>
    <row r="4001" spans="1:5" x14ac:dyDescent="0.55000000000000004">
      <c r="A4001" t="s">
        <v>4082</v>
      </c>
      <c r="B4001" t="s">
        <v>32</v>
      </c>
      <c r="C4001" s="2">
        <v>43967</v>
      </c>
      <c r="D4001" t="s">
        <v>26</v>
      </c>
      <c r="E4001">
        <v>1680</v>
      </c>
    </row>
    <row r="4002" spans="1:5" x14ac:dyDescent="0.55000000000000004">
      <c r="A4002" t="s">
        <v>4083</v>
      </c>
      <c r="B4002" t="s">
        <v>72</v>
      </c>
      <c r="C4002" s="2">
        <v>43211</v>
      </c>
      <c r="D4002" t="s">
        <v>29</v>
      </c>
      <c r="E4002">
        <v>656</v>
      </c>
    </row>
    <row r="4003" spans="1:5" x14ac:dyDescent="0.55000000000000004">
      <c r="A4003" t="s">
        <v>4084</v>
      </c>
      <c r="B4003" t="s">
        <v>118</v>
      </c>
      <c r="C4003" s="2">
        <v>44459</v>
      </c>
      <c r="D4003" t="s">
        <v>29</v>
      </c>
      <c r="E4003">
        <v>653</v>
      </c>
    </row>
    <row r="4004" spans="1:5" x14ac:dyDescent="0.55000000000000004">
      <c r="A4004" t="s">
        <v>4085</v>
      </c>
      <c r="B4004" t="s">
        <v>35</v>
      </c>
      <c r="C4004" s="2">
        <v>44689</v>
      </c>
      <c r="D4004" t="s">
        <v>29</v>
      </c>
      <c r="E4004">
        <v>2422</v>
      </c>
    </row>
    <row r="4005" spans="1:5" x14ac:dyDescent="0.55000000000000004">
      <c r="A4005" t="s">
        <v>4086</v>
      </c>
      <c r="B4005" t="s">
        <v>151</v>
      </c>
      <c r="C4005" s="2">
        <v>43426</v>
      </c>
      <c r="D4005" t="s">
        <v>29</v>
      </c>
      <c r="E4005">
        <v>288</v>
      </c>
    </row>
    <row r="4006" spans="1:5" x14ac:dyDescent="0.55000000000000004">
      <c r="A4006" t="s">
        <v>4087</v>
      </c>
      <c r="B4006" t="s">
        <v>63</v>
      </c>
      <c r="C4006" s="2">
        <v>43482</v>
      </c>
      <c r="D4006" t="s">
        <v>26</v>
      </c>
      <c r="E4006">
        <v>1644</v>
      </c>
    </row>
    <row r="4007" spans="1:5" x14ac:dyDescent="0.55000000000000004">
      <c r="A4007" t="s">
        <v>4088</v>
      </c>
      <c r="B4007" t="s">
        <v>115</v>
      </c>
      <c r="C4007" s="2">
        <v>44403</v>
      </c>
      <c r="D4007" t="s">
        <v>26</v>
      </c>
      <c r="E4007">
        <v>843</v>
      </c>
    </row>
    <row r="4008" spans="1:5" x14ac:dyDescent="0.55000000000000004">
      <c r="A4008" t="s">
        <v>4089</v>
      </c>
      <c r="B4008" t="s">
        <v>15</v>
      </c>
      <c r="C4008" s="2">
        <v>43208</v>
      </c>
      <c r="D4008" t="s">
        <v>29</v>
      </c>
      <c r="E4008">
        <v>1341</v>
      </c>
    </row>
    <row r="4009" spans="1:5" x14ac:dyDescent="0.55000000000000004">
      <c r="A4009" t="s">
        <v>4090</v>
      </c>
      <c r="B4009" t="s">
        <v>14</v>
      </c>
      <c r="C4009" s="2">
        <v>44221</v>
      </c>
      <c r="D4009" t="s">
        <v>26</v>
      </c>
      <c r="E4009">
        <v>2132</v>
      </c>
    </row>
    <row r="4010" spans="1:5" x14ac:dyDescent="0.55000000000000004">
      <c r="A4010" t="s">
        <v>4091</v>
      </c>
      <c r="B4010" t="s">
        <v>156</v>
      </c>
      <c r="C4010" s="2">
        <v>43990</v>
      </c>
      <c r="D4010" t="s">
        <v>26</v>
      </c>
      <c r="E4010">
        <v>2574</v>
      </c>
    </row>
    <row r="4011" spans="1:5" x14ac:dyDescent="0.55000000000000004">
      <c r="A4011" t="s">
        <v>4092</v>
      </c>
      <c r="B4011" t="s">
        <v>32</v>
      </c>
      <c r="C4011" s="2">
        <v>44795</v>
      </c>
      <c r="D4011" t="s">
        <v>26</v>
      </c>
      <c r="E4011">
        <v>2705</v>
      </c>
    </row>
    <row r="4012" spans="1:5" x14ac:dyDescent="0.55000000000000004">
      <c r="A4012" t="s">
        <v>4093</v>
      </c>
      <c r="B4012" t="s">
        <v>15</v>
      </c>
      <c r="C4012" s="2">
        <v>43528</v>
      </c>
      <c r="D4012" t="s">
        <v>26</v>
      </c>
      <c r="E4012">
        <v>2216</v>
      </c>
    </row>
    <row r="4013" spans="1:5" x14ac:dyDescent="0.55000000000000004">
      <c r="A4013" t="s">
        <v>4094</v>
      </c>
      <c r="B4013" t="s">
        <v>78</v>
      </c>
      <c r="C4013" s="2">
        <v>45327</v>
      </c>
      <c r="D4013" t="s">
        <v>26</v>
      </c>
      <c r="E4013">
        <v>288</v>
      </c>
    </row>
    <row r="4014" spans="1:5" x14ac:dyDescent="0.55000000000000004">
      <c r="A4014" t="s">
        <v>4095</v>
      </c>
      <c r="B4014" t="s">
        <v>94</v>
      </c>
      <c r="C4014" s="2">
        <v>44864</v>
      </c>
      <c r="D4014" t="s">
        <v>29</v>
      </c>
      <c r="E4014">
        <v>167</v>
      </c>
    </row>
    <row r="4015" spans="1:5" x14ac:dyDescent="0.55000000000000004">
      <c r="A4015" t="s">
        <v>4096</v>
      </c>
      <c r="B4015" t="s">
        <v>101</v>
      </c>
      <c r="C4015" s="2">
        <v>43440</v>
      </c>
      <c r="D4015" t="s">
        <v>26</v>
      </c>
      <c r="E4015">
        <v>2567</v>
      </c>
    </row>
    <row r="4016" spans="1:5" x14ac:dyDescent="0.55000000000000004">
      <c r="A4016" t="s">
        <v>4097</v>
      </c>
      <c r="B4016" t="s">
        <v>15</v>
      </c>
      <c r="C4016" s="2">
        <v>43789</v>
      </c>
      <c r="D4016" t="s">
        <v>26</v>
      </c>
      <c r="E4016">
        <v>2907</v>
      </c>
    </row>
    <row r="4017" spans="1:5" x14ac:dyDescent="0.55000000000000004">
      <c r="A4017" t="s">
        <v>4098</v>
      </c>
      <c r="B4017" t="s">
        <v>41</v>
      </c>
      <c r="C4017" s="2">
        <v>44828</v>
      </c>
      <c r="D4017" t="s">
        <v>29</v>
      </c>
      <c r="E4017">
        <v>920</v>
      </c>
    </row>
    <row r="4018" spans="1:5" x14ac:dyDescent="0.55000000000000004">
      <c r="A4018" t="s">
        <v>4099</v>
      </c>
      <c r="B4018" t="s">
        <v>67</v>
      </c>
      <c r="C4018" s="2">
        <v>43888</v>
      </c>
      <c r="D4018" t="s">
        <v>26</v>
      </c>
      <c r="E4018">
        <v>2997</v>
      </c>
    </row>
    <row r="4019" spans="1:5" x14ac:dyDescent="0.55000000000000004">
      <c r="A4019" t="s">
        <v>4100</v>
      </c>
      <c r="B4019" t="s">
        <v>32</v>
      </c>
      <c r="C4019" s="2">
        <v>44573</v>
      </c>
      <c r="D4019" t="s">
        <v>26</v>
      </c>
      <c r="E4019">
        <v>2723</v>
      </c>
    </row>
    <row r="4020" spans="1:5" x14ac:dyDescent="0.55000000000000004">
      <c r="A4020" t="s">
        <v>4101</v>
      </c>
      <c r="B4020" t="s">
        <v>96</v>
      </c>
      <c r="C4020" s="2">
        <v>45237</v>
      </c>
      <c r="D4020" t="s">
        <v>29</v>
      </c>
      <c r="E4020">
        <v>232</v>
      </c>
    </row>
    <row r="4021" spans="1:5" x14ac:dyDescent="0.55000000000000004">
      <c r="A4021" t="s">
        <v>4102</v>
      </c>
      <c r="B4021" t="s">
        <v>35</v>
      </c>
      <c r="C4021" s="2">
        <v>44046</v>
      </c>
      <c r="D4021" t="s">
        <v>29</v>
      </c>
      <c r="E4021">
        <v>2965</v>
      </c>
    </row>
    <row r="4022" spans="1:5" x14ac:dyDescent="0.55000000000000004">
      <c r="A4022" t="s">
        <v>4103</v>
      </c>
      <c r="B4022" t="s">
        <v>78</v>
      </c>
      <c r="C4022" s="2">
        <v>44595</v>
      </c>
      <c r="D4022" t="s">
        <v>29</v>
      </c>
      <c r="E4022">
        <v>2622</v>
      </c>
    </row>
    <row r="4023" spans="1:5" x14ac:dyDescent="0.55000000000000004">
      <c r="A4023" t="s">
        <v>4104</v>
      </c>
      <c r="B4023" t="s">
        <v>67</v>
      </c>
      <c r="C4023" s="2">
        <v>44812</v>
      </c>
      <c r="D4023" t="s">
        <v>29</v>
      </c>
      <c r="E4023">
        <v>2731</v>
      </c>
    </row>
    <row r="4024" spans="1:5" x14ac:dyDescent="0.55000000000000004">
      <c r="A4024" t="s">
        <v>4105</v>
      </c>
      <c r="B4024" t="s">
        <v>175</v>
      </c>
      <c r="C4024" s="2">
        <v>44495</v>
      </c>
      <c r="D4024" t="s">
        <v>29</v>
      </c>
      <c r="E4024">
        <v>340</v>
      </c>
    </row>
    <row r="4025" spans="1:5" x14ac:dyDescent="0.55000000000000004">
      <c r="A4025" t="s">
        <v>4106</v>
      </c>
      <c r="B4025" t="s">
        <v>14</v>
      </c>
      <c r="C4025" s="2">
        <v>43124</v>
      </c>
      <c r="D4025" t="s">
        <v>29</v>
      </c>
      <c r="E4025">
        <v>994</v>
      </c>
    </row>
    <row r="4026" spans="1:5" x14ac:dyDescent="0.55000000000000004">
      <c r="A4026" t="s">
        <v>4107</v>
      </c>
      <c r="B4026" t="s">
        <v>23</v>
      </c>
      <c r="C4026" s="2">
        <v>44844</v>
      </c>
      <c r="D4026" t="s">
        <v>26</v>
      </c>
      <c r="E4026">
        <v>2421</v>
      </c>
    </row>
    <row r="4027" spans="1:5" x14ac:dyDescent="0.55000000000000004">
      <c r="A4027" t="s">
        <v>4108</v>
      </c>
      <c r="B4027" t="s">
        <v>140</v>
      </c>
      <c r="C4027" s="2">
        <v>44280</v>
      </c>
      <c r="D4027" t="s">
        <v>29</v>
      </c>
      <c r="E4027">
        <v>425</v>
      </c>
    </row>
    <row r="4028" spans="1:5" x14ac:dyDescent="0.55000000000000004">
      <c r="A4028" t="s">
        <v>4109</v>
      </c>
      <c r="B4028" t="s">
        <v>118</v>
      </c>
      <c r="C4028" s="2">
        <v>45464</v>
      </c>
      <c r="D4028" t="s">
        <v>29</v>
      </c>
      <c r="E4028">
        <v>2484</v>
      </c>
    </row>
    <row r="4029" spans="1:5" x14ac:dyDescent="0.55000000000000004">
      <c r="A4029" t="s">
        <v>4110</v>
      </c>
      <c r="B4029" t="s">
        <v>67</v>
      </c>
      <c r="C4029" s="2">
        <v>45033</v>
      </c>
      <c r="D4029" t="s">
        <v>26</v>
      </c>
      <c r="E4029">
        <v>2464</v>
      </c>
    </row>
    <row r="4030" spans="1:5" x14ac:dyDescent="0.55000000000000004">
      <c r="A4030" t="s">
        <v>4111</v>
      </c>
      <c r="B4030" t="s">
        <v>115</v>
      </c>
      <c r="C4030" s="2">
        <v>44126</v>
      </c>
      <c r="D4030" t="s">
        <v>26</v>
      </c>
      <c r="E4030">
        <v>2357</v>
      </c>
    </row>
    <row r="4031" spans="1:5" x14ac:dyDescent="0.55000000000000004">
      <c r="A4031" t="s">
        <v>4112</v>
      </c>
      <c r="B4031" t="s">
        <v>115</v>
      </c>
      <c r="C4031" s="2">
        <v>43157</v>
      </c>
      <c r="D4031" t="s">
        <v>26</v>
      </c>
      <c r="E4031">
        <v>1477</v>
      </c>
    </row>
    <row r="4032" spans="1:5" x14ac:dyDescent="0.55000000000000004">
      <c r="A4032" t="s">
        <v>4113</v>
      </c>
      <c r="B4032" t="s">
        <v>23</v>
      </c>
      <c r="C4032" s="2">
        <v>44694</v>
      </c>
      <c r="D4032" t="s">
        <v>29</v>
      </c>
      <c r="E4032">
        <v>2942</v>
      </c>
    </row>
    <row r="4033" spans="1:5" x14ac:dyDescent="0.55000000000000004">
      <c r="A4033" t="s">
        <v>4114</v>
      </c>
      <c r="B4033" t="s">
        <v>78</v>
      </c>
      <c r="C4033" s="2">
        <v>43629</v>
      </c>
      <c r="D4033" t="s">
        <v>29</v>
      </c>
      <c r="E4033">
        <v>2650</v>
      </c>
    </row>
    <row r="4034" spans="1:5" x14ac:dyDescent="0.55000000000000004">
      <c r="A4034" t="s">
        <v>4115</v>
      </c>
      <c r="B4034" t="s">
        <v>137</v>
      </c>
      <c r="C4034" s="2">
        <v>45269</v>
      </c>
      <c r="D4034" t="s">
        <v>29</v>
      </c>
      <c r="E4034">
        <v>2348</v>
      </c>
    </row>
    <row r="4035" spans="1:5" x14ac:dyDescent="0.55000000000000004">
      <c r="A4035" t="s">
        <v>4116</v>
      </c>
      <c r="B4035" t="s">
        <v>76</v>
      </c>
      <c r="C4035" s="2">
        <v>45607</v>
      </c>
      <c r="D4035" t="s">
        <v>26</v>
      </c>
      <c r="E4035">
        <v>1633</v>
      </c>
    </row>
    <row r="4036" spans="1:5" x14ac:dyDescent="0.55000000000000004">
      <c r="A4036" t="s">
        <v>4117</v>
      </c>
      <c r="B4036" t="s">
        <v>175</v>
      </c>
      <c r="C4036" s="2">
        <v>45234</v>
      </c>
      <c r="D4036" t="s">
        <v>26</v>
      </c>
      <c r="E4036">
        <v>884</v>
      </c>
    </row>
    <row r="4037" spans="1:5" x14ac:dyDescent="0.55000000000000004">
      <c r="A4037" t="s">
        <v>4118</v>
      </c>
      <c r="B4037" t="s">
        <v>23</v>
      </c>
      <c r="C4037" s="2">
        <v>44201</v>
      </c>
      <c r="D4037" t="s">
        <v>26</v>
      </c>
      <c r="E4037">
        <v>2582</v>
      </c>
    </row>
    <row r="4038" spans="1:5" x14ac:dyDescent="0.55000000000000004">
      <c r="A4038" t="s">
        <v>4119</v>
      </c>
      <c r="B4038" t="s">
        <v>111</v>
      </c>
      <c r="C4038" s="2">
        <v>43119</v>
      </c>
      <c r="D4038" t="s">
        <v>29</v>
      </c>
      <c r="E4038">
        <v>1688</v>
      </c>
    </row>
    <row r="4039" spans="1:5" x14ac:dyDescent="0.55000000000000004">
      <c r="A4039" t="s">
        <v>4120</v>
      </c>
      <c r="B4039" t="s">
        <v>137</v>
      </c>
      <c r="C4039" s="2">
        <v>43582</v>
      </c>
      <c r="D4039" t="s">
        <v>29</v>
      </c>
      <c r="E4039">
        <v>1038</v>
      </c>
    </row>
    <row r="4040" spans="1:5" x14ac:dyDescent="0.55000000000000004">
      <c r="A4040" t="s">
        <v>4121</v>
      </c>
      <c r="B4040" t="s">
        <v>86</v>
      </c>
      <c r="C4040" s="2">
        <v>44315</v>
      </c>
      <c r="D4040" t="s">
        <v>29</v>
      </c>
      <c r="E4040">
        <v>1443</v>
      </c>
    </row>
    <row r="4041" spans="1:5" x14ac:dyDescent="0.55000000000000004">
      <c r="A4041" t="s">
        <v>4122</v>
      </c>
      <c r="B4041" t="s">
        <v>63</v>
      </c>
      <c r="C4041" s="2">
        <v>43483</v>
      </c>
      <c r="D4041" t="s">
        <v>29</v>
      </c>
      <c r="E4041">
        <v>195</v>
      </c>
    </row>
    <row r="4042" spans="1:5" x14ac:dyDescent="0.55000000000000004">
      <c r="A4042" t="s">
        <v>4123</v>
      </c>
      <c r="B4042" t="s">
        <v>111</v>
      </c>
      <c r="C4042" s="2">
        <v>43855</v>
      </c>
      <c r="D4042" t="s">
        <v>29</v>
      </c>
      <c r="E4042">
        <v>657</v>
      </c>
    </row>
    <row r="4043" spans="1:5" x14ac:dyDescent="0.55000000000000004">
      <c r="A4043" t="s">
        <v>4124</v>
      </c>
      <c r="B4043" t="s">
        <v>151</v>
      </c>
      <c r="C4043" s="2">
        <v>44060</v>
      </c>
      <c r="D4043" t="s">
        <v>29</v>
      </c>
      <c r="E4043">
        <v>1643</v>
      </c>
    </row>
    <row r="4044" spans="1:5" x14ac:dyDescent="0.55000000000000004">
      <c r="A4044" t="s">
        <v>4125</v>
      </c>
      <c r="B4044" t="s">
        <v>118</v>
      </c>
      <c r="C4044" s="2">
        <v>44893</v>
      </c>
      <c r="D4044" t="s">
        <v>26</v>
      </c>
      <c r="E4044">
        <v>2047</v>
      </c>
    </row>
    <row r="4045" spans="1:5" x14ac:dyDescent="0.55000000000000004">
      <c r="A4045" t="s">
        <v>4126</v>
      </c>
      <c r="B4045" t="s">
        <v>76</v>
      </c>
      <c r="C4045" s="2">
        <v>43830</v>
      </c>
      <c r="D4045" t="s">
        <v>29</v>
      </c>
      <c r="E4045">
        <v>1440</v>
      </c>
    </row>
    <row r="4046" spans="1:5" x14ac:dyDescent="0.55000000000000004">
      <c r="A4046" t="s">
        <v>4127</v>
      </c>
      <c r="B4046" t="s">
        <v>32</v>
      </c>
      <c r="C4046" s="2">
        <v>44297</v>
      </c>
      <c r="D4046" t="s">
        <v>29</v>
      </c>
      <c r="E4046">
        <v>1252</v>
      </c>
    </row>
    <row r="4047" spans="1:5" x14ac:dyDescent="0.55000000000000004">
      <c r="A4047" t="s">
        <v>4128</v>
      </c>
      <c r="B4047" t="s">
        <v>115</v>
      </c>
      <c r="C4047" s="2">
        <v>44395</v>
      </c>
      <c r="D4047" t="s">
        <v>26</v>
      </c>
      <c r="E4047">
        <v>2619</v>
      </c>
    </row>
    <row r="4048" spans="1:5" x14ac:dyDescent="0.55000000000000004">
      <c r="A4048" t="s">
        <v>4129</v>
      </c>
      <c r="B4048" t="s">
        <v>101</v>
      </c>
      <c r="C4048" s="2">
        <v>43557</v>
      </c>
      <c r="D4048" t="s">
        <v>29</v>
      </c>
      <c r="E4048">
        <v>2619</v>
      </c>
    </row>
    <row r="4049" spans="1:5" x14ac:dyDescent="0.55000000000000004">
      <c r="A4049" t="s">
        <v>4130</v>
      </c>
      <c r="B4049" t="s">
        <v>105</v>
      </c>
      <c r="C4049" s="2">
        <v>44466</v>
      </c>
      <c r="D4049" t="s">
        <v>29</v>
      </c>
      <c r="E4049">
        <v>828</v>
      </c>
    </row>
    <row r="4050" spans="1:5" x14ac:dyDescent="0.55000000000000004">
      <c r="A4050" t="s">
        <v>4131</v>
      </c>
      <c r="B4050" t="s">
        <v>84</v>
      </c>
      <c r="C4050" s="2">
        <v>44365</v>
      </c>
      <c r="D4050" t="s">
        <v>29</v>
      </c>
      <c r="E4050">
        <v>1436</v>
      </c>
    </row>
    <row r="4051" spans="1:5" x14ac:dyDescent="0.55000000000000004">
      <c r="A4051" t="s">
        <v>4132</v>
      </c>
      <c r="B4051" t="s">
        <v>111</v>
      </c>
      <c r="C4051" s="2">
        <v>43813</v>
      </c>
      <c r="D4051" t="s">
        <v>29</v>
      </c>
      <c r="E4051">
        <v>652</v>
      </c>
    </row>
    <row r="4052" spans="1:5" x14ac:dyDescent="0.55000000000000004">
      <c r="A4052" t="s">
        <v>4133</v>
      </c>
      <c r="B4052" t="s">
        <v>105</v>
      </c>
      <c r="C4052" s="2">
        <v>43578</v>
      </c>
      <c r="D4052" t="s">
        <v>26</v>
      </c>
      <c r="E4052">
        <v>456</v>
      </c>
    </row>
    <row r="4053" spans="1:5" x14ac:dyDescent="0.55000000000000004">
      <c r="A4053" t="s">
        <v>4134</v>
      </c>
      <c r="B4053" t="s">
        <v>151</v>
      </c>
      <c r="C4053" s="2">
        <v>44108</v>
      </c>
      <c r="D4053" t="s">
        <v>29</v>
      </c>
      <c r="E4053">
        <v>2073</v>
      </c>
    </row>
    <row r="4054" spans="1:5" x14ac:dyDescent="0.55000000000000004">
      <c r="A4054" t="s">
        <v>4135</v>
      </c>
      <c r="B4054" t="s">
        <v>41</v>
      </c>
      <c r="C4054" s="2">
        <v>44437</v>
      </c>
      <c r="D4054" t="s">
        <v>26</v>
      </c>
      <c r="E4054">
        <v>1630</v>
      </c>
    </row>
    <row r="4055" spans="1:5" x14ac:dyDescent="0.55000000000000004">
      <c r="A4055" t="s">
        <v>4136</v>
      </c>
      <c r="B4055" t="s">
        <v>32</v>
      </c>
      <c r="C4055" s="2">
        <v>43986</v>
      </c>
      <c r="D4055" t="s">
        <v>26</v>
      </c>
      <c r="E4055">
        <v>382</v>
      </c>
    </row>
    <row r="4056" spans="1:5" x14ac:dyDescent="0.55000000000000004">
      <c r="A4056" t="s">
        <v>4137</v>
      </c>
      <c r="B4056" t="s">
        <v>74</v>
      </c>
      <c r="C4056" s="2">
        <v>44374</v>
      </c>
      <c r="D4056" t="s">
        <v>29</v>
      </c>
      <c r="E4056">
        <v>1078</v>
      </c>
    </row>
    <row r="4057" spans="1:5" x14ac:dyDescent="0.55000000000000004">
      <c r="A4057" t="s">
        <v>4138</v>
      </c>
      <c r="B4057" t="s">
        <v>72</v>
      </c>
      <c r="C4057" s="2">
        <v>44383</v>
      </c>
      <c r="D4057" t="s">
        <v>29</v>
      </c>
      <c r="E4057">
        <v>2182</v>
      </c>
    </row>
    <row r="4058" spans="1:5" x14ac:dyDescent="0.55000000000000004">
      <c r="A4058" t="s">
        <v>4139</v>
      </c>
      <c r="B4058" t="s">
        <v>86</v>
      </c>
      <c r="C4058" s="2">
        <v>43729</v>
      </c>
      <c r="D4058" t="s">
        <v>26</v>
      </c>
      <c r="E4058">
        <v>1577</v>
      </c>
    </row>
    <row r="4059" spans="1:5" x14ac:dyDescent="0.55000000000000004">
      <c r="A4059" t="s">
        <v>4140</v>
      </c>
      <c r="B4059" t="s">
        <v>115</v>
      </c>
      <c r="C4059" s="2">
        <v>44424</v>
      </c>
      <c r="D4059" t="s">
        <v>29</v>
      </c>
      <c r="E4059">
        <v>2512</v>
      </c>
    </row>
    <row r="4060" spans="1:5" x14ac:dyDescent="0.55000000000000004">
      <c r="A4060" t="s">
        <v>4141</v>
      </c>
      <c r="B4060" t="s">
        <v>23</v>
      </c>
      <c r="C4060" s="2">
        <v>43999</v>
      </c>
      <c r="D4060" t="s">
        <v>29</v>
      </c>
      <c r="E4060">
        <v>920</v>
      </c>
    </row>
    <row r="4061" spans="1:5" x14ac:dyDescent="0.55000000000000004">
      <c r="A4061" t="s">
        <v>4142</v>
      </c>
      <c r="B4061" t="s">
        <v>15</v>
      </c>
      <c r="C4061" s="2">
        <v>43000</v>
      </c>
      <c r="D4061" t="s">
        <v>26</v>
      </c>
      <c r="E4061">
        <v>2244</v>
      </c>
    </row>
    <row r="4062" spans="1:5" x14ac:dyDescent="0.55000000000000004">
      <c r="A4062" t="s">
        <v>4143</v>
      </c>
      <c r="B4062" t="s">
        <v>72</v>
      </c>
      <c r="C4062" s="2">
        <v>44284</v>
      </c>
      <c r="D4062" t="s">
        <v>29</v>
      </c>
      <c r="E4062">
        <v>107</v>
      </c>
    </row>
    <row r="4063" spans="1:5" x14ac:dyDescent="0.55000000000000004">
      <c r="A4063" t="s">
        <v>4144</v>
      </c>
      <c r="B4063" t="s">
        <v>96</v>
      </c>
      <c r="C4063" s="2">
        <v>44385</v>
      </c>
      <c r="D4063" t="s">
        <v>26</v>
      </c>
      <c r="E4063">
        <v>1004</v>
      </c>
    </row>
    <row r="4064" spans="1:5" x14ac:dyDescent="0.55000000000000004">
      <c r="A4064" t="s">
        <v>4145</v>
      </c>
      <c r="B4064" t="s">
        <v>94</v>
      </c>
      <c r="C4064" s="2">
        <v>44391</v>
      </c>
      <c r="D4064" t="s">
        <v>29</v>
      </c>
      <c r="E4064">
        <v>2653</v>
      </c>
    </row>
    <row r="4065" spans="1:5" x14ac:dyDescent="0.55000000000000004">
      <c r="A4065" t="s">
        <v>4146</v>
      </c>
      <c r="B4065" t="s">
        <v>137</v>
      </c>
      <c r="C4065" s="2">
        <v>44350</v>
      </c>
      <c r="D4065" t="s">
        <v>26</v>
      </c>
      <c r="E4065">
        <v>50</v>
      </c>
    </row>
    <row r="4066" spans="1:5" x14ac:dyDescent="0.55000000000000004">
      <c r="A4066" t="s">
        <v>4147</v>
      </c>
      <c r="B4066" t="s">
        <v>156</v>
      </c>
      <c r="C4066" s="2">
        <v>43416</v>
      </c>
      <c r="D4066" t="s">
        <v>26</v>
      </c>
      <c r="E4066">
        <v>2507</v>
      </c>
    </row>
    <row r="4067" spans="1:5" x14ac:dyDescent="0.55000000000000004">
      <c r="A4067" t="s">
        <v>4148</v>
      </c>
      <c r="B4067" t="s">
        <v>96</v>
      </c>
      <c r="C4067" s="2">
        <v>45263</v>
      </c>
      <c r="D4067" t="s">
        <v>29</v>
      </c>
      <c r="E4067">
        <v>2278</v>
      </c>
    </row>
    <row r="4068" spans="1:5" x14ac:dyDescent="0.55000000000000004">
      <c r="A4068" t="s">
        <v>4149</v>
      </c>
      <c r="B4068" t="s">
        <v>99</v>
      </c>
      <c r="C4068" s="2">
        <v>45792</v>
      </c>
      <c r="D4068" t="s">
        <v>26</v>
      </c>
      <c r="E4068">
        <v>1688</v>
      </c>
    </row>
    <row r="4069" spans="1:5" x14ac:dyDescent="0.55000000000000004">
      <c r="A4069" t="s">
        <v>4150</v>
      </c>
      <c r="B4069" t="s">
        <v>105</v>
      </c>
      <c r="C4069" s="2">
        <v>43979</v>
      </c>
      <c r="D4069" t="s">
        <v>29</v>
      </c>
      <c r="E4069">
        <v>2569</v>
      </c>
    </row>
    <row r="4070" spans="1:5" x14ac:dyDescent="0.55000000000000004">
      <c r="A4070" t="s">
        <v>4151</v>
      </c>
      <c r="B4070" t="s">
        <v>23</v>
      </c>
      <c r="C4070" s="2">
        <v>44623</v>
      </c>
      <c r="D4070" t="s">
        <v>29</v>
      </c>
      <c r="E4070">
        <v>2894</v>
      </c>
    </row>
    <row r="4071" spans="1:5" x14ac:dyDescent="0.55000000000000004">
      <c r="A4071" t="s">
        <v>4152</v>
      </c>
      <c r="B4071" t="s">
        <v>137</v>
      </c>
      <c r="C4071" s="2">
        <v>44956</v>
      </c>
      <c r="D4071" t="s">
        <v>29</v>
      </c>
      <c r="E4071">
        <v>1766</v>
      </c>
    </row>
    <row r="4072" spans="1:5" x14ac:dyDescent="0.55000000000000004">
      <c r="A4072" t="s">
        <v>4153</v>
      </c>
      <c r="B4072" t="s">
        <v>86</v>
      </c>
      <c r="C4072" s="2">
        <v>43663</v>
      </c>
      <c r="D4072" t="s">
        <v>26</v>
      </c>
      <c r="E4072">
        <v>1311</v>
      </c>
    </row>
    <row r="4073" spans="1:5" x14ac:dyDescent="0.55000000000000004">
      <c r="A4073" t="s">
        <v>4154</v>
      </c>
      <c r="B4073" t="s">
        <v>99</v>
      </c>
      <c r="C4073" s="2">
        <v>44928</v>
      </c>
      <c r="D4073" t="s">
        <v>26</v>
      </c>
      <c r="E4073">
        <v>2839</v>
      </c>
    </row>
    <row r="4074" spans="1:5" x14ac:dyDescent="0.55000000000000004">
      <c r="A4074" t="s">
        <v>4155</v>
      </c>
      <c r="B4074" t="s">
        <v>72</v>
      </c>
      <c r="C4074" s="2">
        <v>43575</v>
      </c>
      <c r="D4074" t="s">
        <v>26</v>
      </c>
      <c r="E4074">
        <v>2204</v>
      </c>
    </row>
    <row r="4075" spans="1:5" x14ac:dyDescent="0.55000000000000004">
      <c r="A4075" t="s">
        <v>4156</v>
      </c>
      <c r="B4075" t="s">
        <v>23</v>
      </c>
      <c r="C4075" s="2">
        <v>44094</v>
      </c>
      <c r="D4075" t="s">
        <v>26</v>
      </c>
      <c r="E4075">
        <v>2078</v>
      </c>
    </row>
    <row r="4076" spans="1:5" x14ac:dyDescent="0.55000000000000004">
      <c r="A4076" t="s">
        <v>4157</v>
      </c>
      <c r="B4076" t="s">
        <v>41</v>
      </c>
      <c r="C4076" s="2">
        <v>44805</v>
      </c>
      <c r="D4076" t="s">
        <v>29</v>
      </c>
      <c r="E4076">
        <v>429</v>
      </c>
    </row>
    <row r="4077" spans="1:5" x14ac:dyDescent="0.55000000000000004">
      <c r="A4077" t="s">
        <v>4158</v>
      </c>
      <c r="B4077" t="s">
        <v>137</v>
      </c>
      <c r="C4077" s="2">
        <v>44399</v>
      </c>
      <c r="D4077" t="s">
        <v>29</v>
      </c>
      <c r="E4077">
        <v>2939</v>
      </c>
    </row>
    <row r="4078" spans="1:5" x14ac:dyDescent="0.55000000000000004">
      <c r="A4078" t="s">
        <v>4159</v>
      </c>
      <c r="B4078" t="s">
        <v>41</v>
      </c>
      <c r="C4078" s="2">
        <v>44289</v>
      </c>
      <c r="D4078" t="s">
        <v>29</v>
      </c>
      <c r="E4078">
        <v>1102</v>
      </c>
    </row>
    <row r="4079" spans="1:5" x14ac:dyDescent="0.55000000000000004">
      <c r="A4079" t="s">
        <v>4160</v>
      </c>
      <c r="B4079" t="s">
        <v>23</v>
      </c>
      <c r="C4079" s="2">
        <v>43939</v>
      </c>
      <c r="D4079" t="s">
        <v>29</v>
      </c>
      <c r="E4079">
        <v>2534</v>
      </c>
    </row>
    <row r="4080" spans="1:5" x14ac:dyDescent="0.55000000000000004">
      <c r="A4080" t="s">
        <v>4161</v>
      </c>
      <c r="B4080" t="s">
        <v>15</v>
      </c>
      <c r="C4080" s="2">
        <v>43935</v>
      </c>
      <c r="D4080" t="s">
        <v>29</v>
      </c>
      <c r="E4080">
        <v>264</v>
      </c>
    </row>
    <row r="4081" spans="1:5" x14ac:dyDescent="0.55000000000000004">
      <c r="A4081" t="s">
        <v>4162</v>
      </c>
      <c r="B4081" t="s">
        <v>105</v>
      </c>
      <c r="C4081" s="2">
        <v>42962</v>
      </c>
      <c r="D4081" t="s">
        <v>29</v>
      </c>
      <c r="E4081">
        <v>2289</v>
      </c>
    </row>
    <row r="4082" spans="1:5" x14ac:dyDescent="0.55000000000000004">
      <c r="A4082" t="s">
        <v>4163</v>
      </c>
      <c r="B4082" t="s">
        <v>35</v>
      </c>
      <c r="C4082" s="2">
        <v>43948</v>
      </c>
      <c r="D4082" t="s">
        <v>29</v>
      </c>
      <c r="E4082">
        <v>1952</v>
      </c>
    </row>
    <row r="4083" spans="1:5" x14ac:dyDescent="0.55000000000000004">
      <c r="A4083" t="s">
        <v>4164</v>
      </c>
      <c r="B4083" t="s">
        <v>76</v>
      </c>
      <c r="C4083" s="2">
        <v>44071</v>
      </c>
      <c r="D4083" t="s">
        <v>26</v>
      </c>
      <c r="E4083">
        <v>2793</v>
      </c>
    </row>
    <row r="4084" spans="1:5" x14ac:dyDescent="0.55000000000000004">
      <c r="A4084" t="s">
        <v>4165</v>
      </c>
      <c r="B4084" t="s">
        <v>86</v>
      </c>
      <c r="C4084" s="2">
        <v>43050</v>
      </c>
      <c r="D4084" t="s">
        <v>29</v>
      </c>
      <c r="E4084">
        <v>2333</v>
      </c>
    </row>
    <row r="4085" spans="1:5" x14ac:dyDescent="0.55000000000000004">
      <c r="A4085" t="s">
        <v>4166</v>
      </c>
      <c r="B4085" t="s">
        <v>84</v>
      </c>
      <c r="C4085" s="2">
        <v>44407</v>
      </c>
      <c r="D4085" t="s">
        <v>26</v>
      </c>
      <c r="E4085">
        <v>2922</v>
      </c>
    </row>
    <row r="4086" spans="1:5" x14ac:dyDescent="0.55000000000000004">
      <c r="A4086" t="s">
        <v>4167</v>
      </c>
      <c r="B4086" t="s">
        <v>32</v>
      </c>
      <c r="C4086" s="2">
        <v>44836</v>
      </c>
      <c r="D4086" t="s">
        <v>29</v>
      </c>
      <c r="E4086">
        <v>2884</v>
      </c>
    </row>
    <row r="4087" spans="1:5" x14ac:dyDescent="0.55000000000000004">
      <c r="A4087" t="s">
        <v>4168</v>
      </c>
      <c r="B4087" t="s">
        <v>118</v>
      </c>
      <c r="C4087" s="2">
        <v>44012</v>
      </c>
      <c r="D4087" t="s">
        <v>29</v>
      </c>
      <c r="E4087">
        <v>881</v>
      </c>
    </row>
    <row r="4088" spans="1:5" x14ac:dyDescent="0.55000000000000004">
      <c r="A4088" t="s">
        <v>4169</v>
      </c>
      <c r="B4088" t="s">
        <v>38</v>
      </c>
      <c r="C4088" s="2">
        <v>44756</v>
      </c>
      <c r="D4088" t="s">
        <v>29</v>
      </c>
      <c r="E4088">
        <v>2205</v>
      </c>
    </row>
    <row r="4089" spans="1:5" x14ac:dyDescent="0.55000000000000004">
      <c r="A4089" t="s">
        <v>4170</v>
      </c>
      <c r="B4089" t="s">
        <v>41</v>
      </c>
      <c r="C4089" s="2">
        <v>44454</v>
      </c>
      <c r="D4089" t="s">
        <v>29</v>
      </c>
      <c r="E4089">
        <v>952</v>
      </c>
    </row>
    <row r="4090" spans="1:5" x14ac:dyDescent="0.55000000000000004">
      <c r="A4090" t="s">
        <v>4171</v>
      </c>
      <c r="B4090" t="s">
        <v>23</v>
      </c>
      <c r="C4090" s="2">
        <v>44871</v>
      </c>
      <c r="D4090" t="s">
        <v>29</v>
      </c>
      <c r="E4090">
        <v>590</v>
      </c>
    </row>
    <row r="4091" spans="1:5" x14ac:dyDescent="0.55000000000000004">
      <c r="A4091" t="s">
        <v>4172</v>
      </c>
      <c r="B4091" t="s">
        <v>118</v>
      </c>
      <c r="C4091" s="2">
        <v>45676</v>
      </c>
      <c r="D4091" t="s">
        <v>29</v>
      </c>
      <c r="E4091">
        <v>27</v>
      </c>
    </row>
    <row r="4092" spans="1:5" x14ac:dyDescent="0.55000000000000004">
      <c r="A4092" t="s">
        <v>4173</v>
      </c>
      <c r="B4092" t="s">
        <v>32</v>
      </c>
      <c r="C4092" s="2">
        <v>43939</v>
      </c>
      <c r="D4092" t="s">
        <v>29</v>
      </c>
      <c r="E4092">
        <v>2406</v>
      </c>
    </row>
    <row r="4093" spans="1:5" x14ac:dyDescent="0.55000000000000004">
      <c r="A4093" t="s">
        <v>4174</v>
      </c>
      <c r="B4093" t="s">
        <v>115</v>
      </c>
      <c r="C4093" s="2">
        <v>44503</v>
      </c>
      <c r="D4093" t="s">
        <v>26</v>
      </c>
      <c r="E4093">
        <v>2514</v>
      </c>
    </row>
    <row r="4094" spans="1:5" x14ac:dyDescent="0.55000000000000004">
      <c r="A4094" t="s">
        <v>4175</v>
      </c>
      <c r="B4094" t="s">
        <v>74</v>
      </c>
      <c r="C4094" s="2">
        <v>44001</v>
      </c>
      <c r="D4094" t="s">
        <v>29</v>
      </c>
      <c r="E4094">
        <v>2991</v>
      </c>
    </row>
    <row r="4095" spans="1:5" x14ac:dyDescent="0.55000000000000004">
      <c r="A4095" t="s">
        <v>4176</v>
      </c>
      <c r="B4095" t="s">
        <v>105</v>
      </c>
      <c r="C4095" s="2">
        <v>44417</v>
      </c>
      <c r="D4095" t="s">
        <v>26</v>
      </c>
      <c r="E4095">
        <v>1019</v>
      </c>
    </row>
    <row r="4096" spans="1:5" x14ac:dyDescent="0.55000000000000004">
      <c r="A4096" t="s">
        <v>4177</v>
      </c>
      <c r="B4096" t="s">
        <v>32</v>
      </c>
      <c r="C4096" s="2">
        <v>44198</v>
      </c>
      <c r="D4096" t="s">
        <v>26</v>
      </c>
      <c r="E4096">
        <v>120</v>
      </c>
    </row>
    <row r="4097" spans="1:5" x14ac:dyDescent="0.55000000000000004">
      <c r="A4097" t="s">
        <v>4178</v>
      </c>
      <c r="B4097" t="s">
        <v>35</v>
      </c>
      <c r="C4097" s="2">
        <v>44844</v>
      </c>
      <c r="D4097" t="s">
        <v>26</v>
      </c>
      <c r="E4097">
        <v>1359</v>
      </c>
    </row>
    <row r="4098" spans="1:5" x14ac:dyDescent="0.55000000000000004">
      <c r="A4098" t="s">
        <v>4179</v>
      </c>
      <c r="B4098" t="s">
        <v>74</v>
      </c>
      <c r="C4098" s="2">
        <v>43109</v>
      </c>
      <c r="D4098" t="s">
        <v>29</v>
      </c>
      <c r="E4098">
        <v>2351</v>
      </c>
    </row>
    <row r="4099" spans="1:5" x14ac:dyDescent="0.55000000000000004">
      <c r="A4099" t="s">
        <v>4180</v>
      </c>
      <c r="B4099" t="s">
        <v>41</v>
      </c>
      <c r="C4099" s="2">
        <v>44624</v>
      </c>
      <c r="D4099" t="s">
        <v>29</v>
      </c>
      <c r="E4099">
        <v>1561</v>
      </c>
    </row>
    <row r="4100" spans="1:5" x14ac:dyDescent="0.55000000000000004">
      <c r="A4100" t="s">
        <v>4181</v>
      </c>
      <c r="B4100" t="s">
        <v>41</v>
      </c>
      <c r="C4100" s="2">
        <v>44802</v>
      </c>
      <c r="D4100" t="s">
        <v>26</v>
      </c>
      <c r="E4100">
        <v>1406</v>
      </c>
    </row>
    <row r="4101" spans="1:5" x14ac:dyDescent="0.55000000000000004">
      <c r="A4101" t="s">
        <v>4182</v>
      </c>
      <c r="B4101" t="s">
        <v>105</v>
      </c>
      <c r="C4101" s="2">
        <v>43113</v>
      </c>
      <c r="D4101" t="s">
        <v>29</v>
      </c>
      <c r="E4101">
        <v>1454</v>
      </c>
    </row>
    <row r="4102" spans="1:5" x14ac:dyDescent="0.55000000000000004">
      <c r="A4102" t="s">
        <v>4183</v>
      </c>
      <c r="B4102" t="s">
        <v>105</v>
      </c>
      <c r="C4102" s="2">
        <v>44365</v>
      </c>
      <c r="D4102" t="s">
        <v>29</v>
      </c>
      <c r="E4102">
        <v>1032</v>
      </c>
    </row>
    <row r="4103" spans="1:5" x14ac:dyDescent="0.55000000000000004">
      <c r="A4103" t="s">
        <v>4184</v>
      </c>
      <c r="B4103" t="s">
        <v>96</v>
      </c>
      <c r="C4103" s="2">
        <v>43837</v>
      </c>
      <c r="D4103" t="s">
        <v>26</v>
      </c>
      <c r="E4103">
        <v>1067</v>
      </c>
    </row>
    <row r="4104" spans="1:5" x14ac:dyDescent="0.55000000000000004">
      <c r="A4104" t="s">
        <v>4185</v>
      </c>
      <c r="B4104" t="s">
        <v>101</v>
      </c>
      <c r="C4104" s="2">
        <v>43327</v>
      </c>
      <c r="D4104" t="s">
        <v>26</v>
      </c>
      <c r="E4104">
        <v>1438</v>
      </c>
    </row>
    <row r="4105" spans="1:5" x14ac:dyDescent="0.55000000000000004">
      <c r="A4105" t="s">
        <v>4186</v>
      </c>
      <c r="B4105" t="s">
        <v>35</v>
      </c>
      <c r="C4105" s="2">
        <v>43998</v>
      </c>
      <c r="D4105" t="s">
        <v>29</v>
      </c>
      <c r="E4105">
        <v>1850</v>
      </c>
    </row>
    <row r="4106" spans="1:5" x14ac:dyDescent="0.55000000000000004">
      <c r="A4106" t="s">
        <v>4187</v>
      </c>
      <c r="B4106" t="s">
        <v>118</v>
      </c>
      <c r="C4106" s="2">
        <v>43851</v>
      </c>
      <c r="D4106" t="s">
        <v>29</v>
      </c>
      <c r="E4106">
        <v>83</v>
      </c>
    </row>
    <row r="4107" spans="1:5" x14ac:dyDescent="0.55000000000000004">
      <c r="A4107" t="s">
        <v>4188</v>
      </c>
      <c r="B4107" t="s">
        <v>94</v>
      </c>
      <c r="C4107" s="2">
        <v>43715</v>
      </c>
      <c r="D4107" t="s">
        <v>26</v>
      </c>
      <c r="E4107">
        <v>2796</v>
      </c>
    </row>
    <row r="4108" spans="1:5" x14ac:dyDescent="0.55000000000000004">
      <c r="A4108" t="s">
        <v>4189</v>
      </c>
      <c r="B4108" t="s">
        <v>86</v>
      </c>
      <c r="C4108" s="2">
        <v>43112</v>
      </c>
      <c r="D4108" t="s">
        <v>26</v>
      </c>
      <c r="E4108">
        <v>7</v>
      </c>
    </row>
    <row r="4109" spans="1:5" x14ac:dyDescent="0.55000000000000004">
      <c r="A4109" t="s">
        <v>4190</v>
      </c>
      <c r="B4109" t="s">
        <v>67</v>
      </c>
      <c r="C4109" s="2">
        <v>43517</v>
      </c>
      <c r="D4109" t="s">
        <v>26</v>
      </c>
      <c r="E4109">
        <v>1338</v>
      </c>
    </row>
    <row r="4110" spans="1:5" x14ac:dyDescent="0.55000000000000004">
      <c r="A4110" t="s">
        <v>4191</v>
      </c>
      <c r="B4110" t="s">
        <v>101</v>
      </c>
      <c r="C4110" s="2">
        <v>43544</v>
      </c>
      <c r="D4110" t="s">
        <v>26</v>
      </c>
      <c r="E4110">
        <v>2326</v>
      </c>
    </row>
    <row r="4111" spans="1:5" x14ac:dyDescent="0.55000000000000004">
      <c r="A4111" t="s">
        <v>4192</v>
      </c>
      <c r="B4111" t="s">
        <v>23</v>
      </c>
      <c r="C4111" s="2">
        <v>44598</v>
      </c>
      <c r="D4111" t="s">
        <v>26</v>
      </c>
      <c r="E4111">
        <v>706</v>
      </c>
    </row>
    <row r="4112" spans="1:5" x14ac:dyDescent="0.55000000000000004">
      <c r="A4112" t="s">
        <v>4193</v>
      </c>
      <c r="B4112" t="s">
        <v>151</v>
      </c>
      <c r="C4112" s="2">
        <v>44220</v>
      </c>
      <c r="D4112" t="s">
        <v>29</v>
      </c>
      <c r="E4112">
        <v>744</v>
      </c>
    </row>
    <row r="4113" spans="1:5" x14ac:dyDescent="0.55000000000000004">
      <c r="A4113" t="s">
        <v>4194</v>
      </c>
      <c r="B4113" t="s">
        <v>99</v>
      </c>
      <c r="C4113" s="2">
        <v>44360</v>
      </c>
      <c r="D4113" t="s">
        <v>29</v>
      </c>
      <c r="E4113">
        <v>397</v>
      </c>
    </row>
    <row r="4114" spans="1:5" x14ac:dyDescent="0.55000000000000004">
      <c r="A4114" t="s">
        <v>4195</v>
      </c>
      <c r="B4114" t="s">
        <v>76</v>
      </c>
      <c r="C4114" s="2">
        <v>44099</v>
      </c>
      <c r="D4114" t="s">
        <v>29</v>
      </c>
      <c r="E4114">
        <v>2351</v>
      </c>
    </row>
    <row r="4115" spans="1:5" x14ac:dyDescent="0.55000000000000004">
      <c r="A4115" t="s">
        <v>4196</v>
      </c>
      <c r="B4115" t="s">
        <v>105</v>
      </c>
      <c r="C4115" s="2">
        <v>43819</v>
      </c>
      <c r="D4115" t="s">
        <v>26</v>
      </c>
      <c r="E4115">
        <v>2078</v>
      </c>
    </row>
    <row r="4116" spans="1:5" x14ac:dyDescent="0.55000000000000004">
      <c r="A4116" t="s">
        <v>4197</v>
      </c>
      <c r="B4116" t="s">
        <v>72</v>
      </c>
      <c r="C4116" s="2">
        <v>43828</v>
      </c>
      <c r="D4116" t="s">
        <v>26</v>
      </c>
      <c r="E4116">
        <v>2548</v>
      </c>
    </row>
    <row r="4117" spans="1:5" x14ac:dyDescent="0.55000000000000004">
      <c r="A4117" t="s">
        <v>4198</v>
      </c>
      <c r="B4117" t="s">
        <v>142</v>
      </c>
      <c r="C4117" s="2">
        <v>44017</v>
      </c>
      <c r="D4117" t="s">
        <v>26</v>
      </c>
      <c r="E4117">
        <v>1276</v>
      </c>
    </row>
    <row r="4118" spans="1:5" x14ac:dyDescent="0.55000000000000004">
      <c r="A4118" t="s">
        <v>4199</v>
      </c>
      <c r="B4118" t="s">
        <v>156</v>
      </c>
      <c r="C4118" s="2">
        <v>43137</v>
      </c>
      <c r="D4118" t="s">
        <v>29</v>
      </c>
      <c r="E4118">
        <v>2797</v>
      </c>
    </row>
    <row r="4119" spans="1:5" x14ac:dyDescent="0.55000000000000004">
      <c r="A4119" t="s">
        <v>4200</v>
      </c>
      <c r="B4119" t="s">
        <v>105</v>
      </c>
      <c r="C4119" s="2">
        <v>44125</v>
      </c>
      <c r="D4119" t="s">
        <v>26</v>
      </c>
      <c r="E4119">
        <v>408</v>
      </c>
    </row>
    <row r="4120" spans="1:5" x14ac:dyDescent="0.55000000000000004">
      <c r="A4120" t="s">
        <v>4201</v>
      </c>
      <c r="B4120" t="s">
        <v>96</v>
      </c>
      <c r="C4120" s="2">
        <v>44257</v>
      </c>
      <c r="D4120" t="s">
        <v>26</v>
      </c>
      <c r="E4120">
        <v>2511</v>
      </c>
    </row>
    <row r="4121" spans="1:5" x14ac:dyDescent="0.55000000000000004">
      <c r="A4121" t="s">
        <v>4202</v>
      </c>
      <c r="B4121" t="s">
        <v>111</v>
      </c>
      <c r="C4121" s="2">
        <v>43848</v>
      </c>
      <c r="D4121" t="s">
        <v>29</v>
      </c>
      <c r="E4121">
        <v>1834</v>
      </c>
    </row>
    <row r="4122" spans="1:5" x14ac:dyDescent="0.55000000000000004">
      <c r="A4122" t="s">
        <v>4203</v>
      </c>
      <c r="B4122" t="s">
        <v>115</v>
      </c>
      <c r="C4122" s="2">
        <v>44286</v>
      </c>
      <c r="D4122" t="s">
        <v>26</v>
      </c>
      <c r="E4122">
        <v>1385</v>
      </c>
    </row>
    <row r="4123" spans="1:5" x14ac:dyDescent="0.55000000000000004">
      <c r="A4123" t="s">
        <v>4204</v>
      </c>
      <c r="B4123" t="s">
        <v>63</v>
      </c>
      <c r="C4123" s="2">
        <v>43665</v>
      </c>
      <c r="D4123" t="s">
        <v>26</v>
      </c>
      <c r="E4123">
        <v>980</v>
      </c>
    </row>
    <row r="4124" spans="1:5" x14ac:dyDescent="0.55000000000000004">
      <c r="A4124" t="s">
        <v>4205</v>
      </c>
      <c r="B4124" t="s">
        <v>175</v>
      </c>
      <c r="C4124" s="2">
        <v>45476</v>
      </c>
      <c r="D4124" t="s">
        <v>26</v>
      </c>
      <c r="E4124">
        <v>1655</v>
      </c>
    </row>
    <row r="4125" spans="1:5" x14ac:dyDescent="0.55000000000000004">
      <c r="A4125" t="s">
        <v>4206</v>
      </c>
      <c r="B4125" t="s">
        <v>142</v>
      </c>
      <c r="C4125" s="2">
        <v>43650</v>
      </c>
      <c r="D4125" t="s">
        <v>26</v>
      </c>
      <c r="E4125">
        <v>1967</v>
      </c>
    </row>
    <row r="4126" spans="1:5" x14ac:dyDescent="0.55000000000000004">
      <c r="A4126" t="s">
        <v>4207</v>
      </c>
      <c r="B4126" t="s">
        <v>137</v>
      </c>
      <c r="C4126" s="2">
        <v>43870</v>
      </c>
      <c r="D4126" t="s">
        <v>26</v>
      </c>
      <c r="E4126">
        <v>2717</v>
      </c>
    </row>
    <row r="4127" spans="1:5" x14ac:dyDescent="0.55000000000000004">
      <c r="A4127" t="s">
        <v>4208</v>
      </c>
      <c r="B4127" t="s">
        <v>35</v>
      </c>
      <c r="C4127" s="2">
        <v>44487</v>
      </c>
      <c r="D4127" t="s">
        <v>29</v>
      </c>
      <c r="E4127">
        <v>2237</v>
      </c>
    </row>
    <row r="4128" spans="1:5" x14ac:dyDescent="0.55000000000000004">
      <c r="A4128" t="s">
        <v>4209</v>
      </c>
      <c r="B4128" t="s">
        <v>35</v>
      </c>
      <c r="C4128" s="2">
        <v>44242</v>
      </c>
      <c r="D4128" t="s">
        <v>29</v>
      </c>
      <c r="E4128">
        <v>1312</v>
      </c>
    </row>
    <row r="4129" spans="1:5" x14ac:dyDescent="0.55000000000000004">
      <c r="A4129" t="s">
        <v>4210</v>
      </c>
      <c r="B4129" t="s">
        <v>72</v>
      </c>
      <c r="C4129" s="2">
        <v>43834</v>
      </c>
      <c r="D4129" t="s">
        <v>26</v>
      </c>
      <c r="E4129">
        <v>1199</v>
      </c>
    </row>
    <row r="4130" spans="1:5" x14ac:dyDescent="0.55000000000000004">
      <c r="A4130" t="s">
        <v>4211</v>
      </c>
      <c r="B4130" t="s">
        <v>35</v>
      </c>
      <c r="C4130" s="2">
        <v>44704</v>
      </c>
      <c r="D4130" t="s">
        <v>29</v>
      </c>
      <c r="E4130">
        <v>1782</v>
      </c>
    </row>
    <row r="4131" spans="1:5" x14ac:dyDescent="0.55000000000000004">
      <c r="A4131" t="s">
        <v>4212</v>
      </c>
      <c r="B4131" t="s">
        <v>101</v>
      </c>
      <c r="C4131" s="2">
        <v>43085</v>
      </c>
      <c r="D4131" t="s">
        <v>29</v>
      </c>
      <c r="E4131">
        <v>97</v>
      </c>
    </row>
    <row r="4132" spans="1:5" x14ac:dyDescent="0.55000000000000004">
      <c r="A4132" t="s">
        <v>4213</v>
      </c>
      <c r="B4132" t="s">
        <v>96</v>
      </c>
      <c r="C4132" s="2">
        <v>43893</v>
      </c>
      <c r="D4132" t="s">
        <v>29</v>
      </c>
      <c r="E4132">
        <v>2298</v>
      </c>
    </row>
    <row r="4133" spans="1:5" x14ac:dyDescent="0.55000000000000004">
      <c r="A4133" t="s">
        <v>4214</v>
      </c>
      <c r="B4133" t="s">
        <v>96</v>
      </c>
      <c r="C4133" s="2">
        <v>45058</v>
      </c>
      <c r="D4133" t="s">
        <v>29</v>
      </c>
      <c r="E4133">
        <v>2038</v>
      </c>
    </row>
    <row r="4134" spans="1:5" x14ac:dyDescent="0.55000000000000004">
      <c r="A4134" t="s">
        <v>4215</v>
      </c>
      <c r="B4134" t="s">
        <v>137</v>
      </c>
      <c r="C4134" s="2">
        <v>44642</v>
      </c>
      <c r="D4134" t="s">
        <v>26</v>
      </c>
      <c r="E4134">
        <v>2160</v>
      </c>
    </row>
    <row r="4135" spans="1:5" x14ac:dyDescent="0.55000000000000004">
      <c r="A4135" t="s">
        <v>4216</v>
      </c>
      <c r="B4135" t="s">
        <v>175</v>
      </c>
      <c r="C4135" s="2">
        <v>43636</v>
      </c>
      <c r="D4135" t="s">
        <v>26</v>
      </c>
      <c r="E4135">
        <v>365</v>
      </c>
    </row>
    <row r="4136" spans="1:5" x14ac:dyDescent="0.55000000000000004">
      <c r="A4136" t="s">
        <v>4217</v>
      </c>
      <c r="B4136" t="s">
        <v>156</v>
      </c>
      <c r="C4136" s="2">
        <v>44120</v>
      </c>
      <c r="D4136" t="s">
        <v>26</v>
      </c>
      <c r="E4136">
        <v>2625</v>
      </c>
    </row>
    <row r="4137" spans="1:5" x14ac:dyDescent="0.55000000000000004">
      <c r="A4137" t="s">
        <v>4218</v>
      </c>
      <c r="B4137" t="s">
        <v>111</v>
      </c>
      <c r="C4137" s="2">
        <v>44430</v>
      </c>
      <c r="D4137" t="s">
        <v>26</v>
      </c>
      <c r="E4137">
        <v>2188</v>
      </c>
    </row>
    <row r="4138" spans="1:5" x14ac:dyDescent="0.55000000000000004">
      <c r="A4138" t="s">
        <v>4219</v>
      </c>
      <c r="B4138" t="s">
        <v>14</v>
      </c>
      <c r="C4138" s="2">
        <v>43013</v>
      </c>
      <c r="D4138" t="s">
        <v>29</v>
      </c>
      <c r="E4138">
        <v>1576</v>
      </c>
    </row>
    <row r="4139" spans="1:5" x14ac:dyDescent="0.55000000000000004">
      <c r="A4139" t="s">
        <v>4220</v>
      </c>
      <c r="B4139" t="s">
        <v>151</v>
      </c>
      <c r="C4139" s="2">
        <v>43637</v>
      </c>
      <c r="D4139" t="s">
        <v>26</v>
      </c>
      <c r="E4139">
        <v>2802</v>
      </c>
    </row>
    <row r="4140" spans="1:5" x14ac:dyDescent="0.55000000000000004">
      <c r="A4140" t="s">
        <v>4221</v>
      </c>
      <c r="B4140" t="s">
        <v>76</v>
      </c>
      <c r="C4140" s="2">
        <v>45242</v>
      </c>
      <c r="D4140" t="s">
        <v>26</v>
      </c>
      <c r="E4140">
        <v>2083</v>
      </c>
    </row>
    <row r="4141" spans="1:5" x14ac:dyDescent="0.55000000000000004">
      <c r="A4141" t="s">
        <v>4222</v>
      </c>
      <c r="B4141" t="s">
        <v>86</v>
      </c>
      <c r="C4141" s="2">
        <v>44311</v>
      </c>
      <c r="D4141" t="s">
        <v>26</v>
      </c>
      <c r="E4141">
        <v>878</v>
      </c>
    </row>
    <row r="4142" spans="1:5" x14ac:dyDescent="0.55000000000000004">
      <c r="A4142" t="s">
        <v>4223</v>
      </c>
      <c r="B4142" t="s">
        <v>115</v>
      </c>
      <c r="C4142" s="2">
        <v>43853</v>
      </c>
      <c r="D4142" t="s">
        <v>26</v>
      </c>
      <c r="E4142">
        <v>907</v>
      </c>
    </row>
    <row r="4143" spans="1:5" x14ac:dyDescent="0.55000000000000004">
      <c r="A4143" t="s">
        <v>4224</v>
      </c>
      <c r="B4143" t="s">
        <v>41</v>
      </c>
      <c r="C4143" s="2">
        <v>44486</v>
      </c>
      <c r="D4143" t="s">
        <v>26</v>
      </c>
      <c r="E4143">
        <v>2924</v>
      </c>
    </row>
    <row r="4144" spans="1:5" x14ac:dyDescent="0.55000000000000004">
      <c r="A4144" t="s">
        <v>4225</v>
      </c>
      <c r="B4144" t="s">
        <v>151</v>
      </c>
      <c r="C4144" s="2">
        <v>43931</v>
      </c>
      <c r="D4144" t="s">
        <v>26</v>
      </c>
      <c r="E4144">
        <v>2339</v>
      </c>
    </row>
    <row r="4145" spans="1:5" x14ac:dyDescent="0.55000000000000004">
      <c r="A4145" t="s">
        <v>4226</v>
      </c>
      <c r="B4145" t="s">
        <v>35</v>
      </c>
      <c r="C4145" s="2">
        <v>43862</v>
      </c>
      <c r="D4145" t="s">
        <v>26</v>
      </c>
      <c r="E4145">
        <v>1562</v>
      </c>
    </row>
    <row r="4146" spans="1:5" x14ac:dyDescent="0.55000000000000004">
      <c r="A4146" t="s">
        <v>4227</v>
      </c>
      <c r="B4146" t="s">
        <v>151</v>
      </c>
      <c r="C4146" s="2">
        <v>44328</v>
      </c>
      <c r="D4146" t="s">
        <v>26</v>
      </c>
      <c r="E4146">
        <v>1189</v>
      </c>
    </row>
    <row r="4147" spans="1:5" x14ac:dyDescent="0.55000000000000004">
      <c r="A4147" t="s">
        <v>4228</v>
      </c>
      <c r="B4147" t="s">
        <v>14</v>
      </c>
      <c r="C4147" s="2">
        <v>43409</v>
      </c>
      <c r="D4147" t="s">
        <v>29</v>
      </c>
      <c r="E4147">
        <v>725</v>
      </c>
    </row>
    <row r="4148" spans="1:5" x14ac:dyDescent="0.55000000000000004">
      <c r="A4148" t="s">
        <v>4229</v>
      </c>
      <c r="B4148" t="s">
        <v>101</v>
      </c>
      <c r="C4148" s="2">
        <v>43384</v>
      </c>
      <c r="D4148" t="s">
        <v>29</v>
      </c>
      <c r="E4148">
        <v>1646</v>
      </c>
    </row>
    <row r="4149" spans="1:5" x14ac:dyDescent="0.55000000000000004">
      <c r="A4149" t="s">
        <v>4230</v>
      </c>
      <c r="B4149" t="s">
        <v>142</v>
      </c>
      <c r="C4149" s="2">
        <v>43236</v>
      </c>
      <c r="D4149" t="s">
        <v>26</v>
      </c>
      <c r="E4149">
        <v>2452</v>
      </c>
    </row>
    <row r="4150" spans="1:5" x14ac:dyDescent="0.55000000000000004">
      <c r="A4150" t="s">
        <v>4231</v>
      </c>
      <c r="B4150" t="s">
        <v>63</v>
      </c>
      <c r="C4150" s="2">
        <v>44190</v>
      </c>
      <c r="D4150" t="s">
        <v>29</v>
      </c>
      <c r="E4150">
        <v>1731</v>
      </c>
    </row>
    <row r="4151" spans="1:5" x14ac:dyDescent="0.55000000000000004">
      <c r="A4151" t="s">
        <v>4232</v>
      </c>
      <c r="B4151" t="s">
        <v>38</v>
      </c>
      <c r="C4151" s="2">
        <v>44465</v>
      </c>
      <c r="D4151" t="s">
        <v>26</v>
      </c>
      <c r="E4151">
        <v>2676</v>
      </c>
    </row>
    <row r="4152" spans="1:5" x14ac:dyDescent="0.55000000000000004">
      <c r="A4152" t="s">
        <v>4233</v>
      </c>
      <c r="B4152" t="s">
        <v>78</v>
      </c>
      <c r="C4152" s="2">
        <v>44582</v>
      </c>
      <c r="D4152" t="s">
        <v>29</v>
      </c>
      <c r="E4152">
        <v>2827</v>
      </c>
    </row>
    <row r="4153" spans="1:5" x14ac:dyDescent="0.55000000000000004">
      <c r="A4153" t="s">
        <v>4234</v>
      </c>
      <c r="B4153" t="s">
        <v>14</v>
      </c>
      <c r="C4153" s="2">
        <v>43768</v>
      </c>
      <c r="D4153" t="s">
        <v>29</v>
      </c>
      <c r="E4153">
        <v>1544</v>
      </c>
    </row>
    <row r="4154" spans="1:5" x14ac:dyDescent="0.55000000000000004">
      <c r="A4154" t="s">
        <v>4235</v>
      </c>
      <c r="B4154" t="s">
        <v>84</v>
      </c>
      <c r="C4154" s="2">
        <v>43305</v>
      </c>
      <c r="D4154" t="s">
        <v>29</v>
      </c>
      <c r="E4154">
        <v>1038</v>
      </c>
    </row>
    <row r="4155" spans="1:5" x14ac:dyDescent="0.55000000000000004">
      <c r="A4155" t="s">
        <v>4236</v>
      </c>
      <c r="B4155" t="s">
        <v>32</v>
      </c>
      <c r="C4155" s="2">
        <v>43852</v>
      </c>
      <c r="D4155" t="s">
        <v>29</v>
      </c>
      <c r="E4155">
        <v>171</v>
      </c>
    </row>
    <row r="4156" spans="1:5" x14ac:dyDescent="0.55000000000000004">
      <c r="A4156" t="s">
        <v>4237</v>
      </c>
      <c r="B4156" t="s">
        <v>41</v>
      </c>
      <c r="C4156" s="2">
        <v>44750</v>
      </c>
      <c r="D4156" t="s">
        <v>26</v>
      </c>
      <c r="E4156">
        <v>2715</v>
      </c>
    </row>
    <row r="4157" spans="1:5" x14ac:dyDescent="0.55000000000000004">
      <c r="A4157" t="s">
        <v>4238</v>
      </c>
      <c r="B4157" t="s">
        <v>41</v>
      </c>
      <c r="C4157" s="2">
        <v>44287</v>
      </c>
      <c r="D4157" t="s">
        <v>26</v>
      </c>
      <c r="E4157">
        <v>2611</v>
      </c>
    </row>
    <row r="4158" spans="1:5" x14ac:dyDescent="0.55000000000000004">
      <c r="A4158" t="s">
        <v>4239</v>
      </c>
      <c r="B4158" t="s">
        <v>115</v>
      </c>
      <c r="C4158" s="2">
        <v>43153</v>
      </c>
      <c r="D4158" t="s">
        <v>26</v>
      </c>
      <c r="E4158">
        <v>2001</v>
      </c>
    </row>
    <row r="4159" spans="1:5" x14ac:dyDescent="0.55000000000000004">
      <c r="A4159" t="s">
        <v>4240</v>
      </c>
      <c r="B4159" t="s">
        <v>74</v>
      </c>
      <c r="C4159" s="2">
        <v>43292</v>
      </c>
      <c r="D4159" t="s">
        <v>29</v>
      </c>
      <c r="E4159">
        <v>685</v>
      </c>
    </row>
    <row r="4160" spans="1:5" x14ac:dyDescent="0.55000000000000004">
      <c r="A4160" t="s">
        <v>4241</v>
      </c>
      <c r="B4160" t="s">
        <v>78</v>
      </c>
      <c r="C4160" s="2">
        <v>44516</v>
      </c>
      <c r="D4160" t="s">
        <v>29</v>
      </c>
      <c r="E4160">
        <v>1166</v>
      </c>
    </row>
    <row r="4161" spans="1:5" x14ac:dyDescent="0.55000000000000004">
      <c r="A4161" t="s">
        <v>4242</v>
      </c>
      <c r="B4161" t="s">
        <v>99</v>
      </c>
      <c r="C4161" s="2">
        <v>44639</v>
      </c>
      <c r="D4161" t="s">
        <v>29</v>
      </c>
      <c r="E4161">
        <v>2335</v>
      </c>
    </row>
    <row r="4162" spans="1:5" x14ac:dyDescent="0.55000000000000004">
      <c r="A4162" t="s">
        <v>4243</v>
      </c>
      <c r="B4162" t="s">
        <v>84</v>
      </c>
      <c r="C4162" s="2">
        <v>43139</v>
      </c>
      <c r="D4162" t="s">
        <v>26</v>
      </c>
      <c r="E4162">
        <v>1617</v>
      </c>
    </row>
    <row r="4163" spans="1:5" x14ac:dyDescent="0.55000000000000004">
      <c r="A4163" t="s">
        <v>4244</v>
      </c>
      <c r="B4163" t="s">
        <v>175</v>
      </c>
      <c r="C4163" s="2">
        <v>44293</v>
      </c>
      <c r="D4163" t="s">
        <v>26</v>
      </c>
      <c r="E4163">
        <v>2272</v>
      </c>
    </row>
    <row r="4164" spans="1:5" x14ac:dyDescent="0.55000000000000004">
      <c r="A4164" t="s">
        <v>4245</v>
      </c>
      <c r="B4164" t="s">
        <v>76</v>
      </c>
      <c r="C4164" s="2">
        <v>45505</v>
      </c>
      <c r="D4164" t="s">
        <v>26</v>
      </c>
      <c r="E4164">
        <v>520</v>
      </c>
    </row>
    <row r="4165" spans="1:5" x14ac:dyDescent="0.55000000000000004">
      <c r="A4165" t="s">
        <v>4246</v>
      </c>
      <c r="B4165" t="s">
        <v>67</v>
      </c>
      <c r="C4165" s="2">
        <v>43612</v>
      </c>
      <c r="D4165" t="s">
        <v>29</v>
      </c>
      <c r="E4165">
        <v>1961</v>
      </c>
    </row>
    <row r="4166" spans="1:5" x14ac:dyDescent="0.55000000000000004">
      <c r="A4166" t="s">
        <v>4247</v>
      </c>
      <c r="B4166" t="s">
        <v>115</v>
      </c>
      <c r="C4166" s="2">
        <v>43145</v>
      </c>
      <c r="D4166" t="s">
        <v>26</v>
      </c>
      <c r="E4166">
        <v>155</v>
      </c>
    </row>
    <row r="4167" spans="1:5" x14ac:dyDescent="0.55000000000000004">
      <c r="A4167" t="s">
        <v>4248</v>
      </c>
      <c r="B4167" t="s">
        <v>175</v>
      </c>
      <c r="C4167" s="2">
        <v>45055</v>
      </c>
      <c r="D4167" t="s">
        <v>26</v>
      </c>
      <c r="E4167">
        <v>342</v>
      </c>
    </row>
    <row r="4168" spans="1:5" x14ac:dyDescent="0.55000000000000004">
      <c r="A4168" t="s">
        <v>4249</v>
      </c>
      <c r="B4168" t="s">
        <v>118</v>
      </c>
      <c r="C4168" s="2">
        <v>43742</v>
      </c>
      <c r="D4168" t="s">
        <v>26</v>
      </c>
      <c r="E4168">
        <v>1785</v>
      </c>
    </row>
    <row r="4169" spans="1:5" x14ac:dyDescent="0.55000000000000004">
      <c r="A4169" t="s">
        <v>4250</v>
      </c>
      <c r="B4169" t="s">
        <v>32</v>
      </c>
      <c r="C4169" s="2">
        <v>44590</v>
      </c>
      <c r="D4169" t="s">
        <v>29</v>
      </c>
      <c r="E4169">
        <v>584</v>
      </c>
    </row>
    <row r="4170" spans="1:5" x14ac:dyDescent="0.55000000000000004">
      <c r="A4170" t="s">
        <v>4251</v>
      </c>
      <c r="B4170" t="s">
        <v>15</v>
      </c>
      <c r="C4170" s="2">
        <v>44139</v>
      </c>
      <c r="D4170" t="s">
        <v>26</v>
      </c>
      <c r="E4170">
        <v>2715</v>
      </c>
    </row>
    <row r="4171" spans="1:5" x14ac:dyDescent="0.55000000000000004">
      <c r="A4171" t="s">
        <v>4252</v>
      </c>
      <c r="B4171" t="s">
        <v>67</v>
      </c>
      <c r="C4171" s="2">
        <v>44240</v>
      </c>
      <c r="D4171" t="s">
        <v>26</v>
      </c>
      <c r="E4171">
        <v>2969</v>
      </c>
    </row>
    <row r="4172" spans="1:5" x14ac:dyDescent="0.55000000000000004">
      <c r="A4172" t="s">
        <v>4253</v>
      </c>
      <c r="B4172" t="s">
        <v>111</v>
      </c>
      <c r="C4172" s="2">
        <v>43006</v>
      </c>
      <c r="D4172" t="s">
        <v>26</v>
      </c>
      <c r="E4172">
        <v>625</v>
      </c>
    </row>
    <row r="4173" spans="1:5" x14ac:dyDescent="0.55000000000000004">
      <c r="A4173" t="s">
        <v>4254</v>
      </c>
      <c r="B4173" t="s">
        <v>111</v>
      </c>
      <c r="C4173" s="2">
        <v>43430</v>
      </c>
      <c r="D4173" t="s">
        <v>26</v>
      </c>
      <c r="E4173">
        <v>1434</v>
      </c>
    </row>
    <row r="4174" spans="1:5" x14ac:dyDescent="0.55000000000000004">
      <c r="A4174" t="s">
        <v>4255</v>
      </c>
      <c r="B4174" t="s">
        <v>15</v>
      </c>
      <c r="C4174" s="2">
        <v>43327</v>
      </c>
      <c r="D4174" t="s">
        <v>26</v>
      </c>
      <c r="E4174">
        <v>1602</v>
      </c>
    </row>
    <row r="4175" spans="1:5" x14ac:dyDescent="0.55000000000000004">
      <c r="A4175" t="s">
        <v>4256</v>
      </c>
      <c r="B4175" t="s">
        <v>101</v>
      </c>
      <c r="C4175" s="2">
        <v>43230</v>
      </c>
      <c r="D4175" t="s">
        <v>29</v>
      </c>
      <c r="E4175">
        <v>2070</v>
      </c>
    </row>
    <row r="4176" spans="1:5" x14ac:dyDescent="0.55000000000000004">
      <c r="A4176" t="s">
        <v>4257</v>
      </c>
      <c r="B4176" t="s">
        <v>74</v>
      </c>
      <c r="C4176" s="2">
        <v>43378</v>
      </c>
      <c r="D4176" t="s">
        <v>26</v>
      </c>
      <c r="E4176">
        <v>2569</v>
      </c>
    </row>
    <row r="4177" spans="1:5" x14ac:dyDescent="0.55000000000000004">
      <c r="A4177" t="s">
        <v>4258</v>
      </c>
      <c r="B4177" t="s">
        <v>151</v>
      </c>
      <c r="C4177" s="2">
        <v>43604</v>
      </c>
      <c r="D4177" t="s">
        <v>29</v>
      </c>
      <c r="E4177">
        <v>103</v>
      </c>
    </row>
    <row r="4178" spans="1:5" x14ac:dyDescent="0.55000000000000004">
      <c r="A4178" t="s">
        <v>4259</v>
      </c>
      <c r="B4178" t="s">
        <v>76</v>
      </c>
      <c r="C4178" s="2">
        <v>45270</v>
      </c>
      <c r="D4178" t="s">
        <v>26</v>
      </c>
      <c r="E4178">
        <v>1006</v>
      </c>
    </row>
    <row r="4179" spans="1:5" x14ac:dyDescent="0.55000000000000004">
      <c r="A4179" t="s">
        <v>4260</v>
      </c>
      <c r="B4179" t="s">
        <v>32</v>
      </c>
      <c r="C4179" s="2">
        <v>44913</v>
      </c>
      <c r="D4179" t="s">
        <v>29</v>
      </c>
      <c r="E4179">
        <v>2280</v>
      </c>
    </row>
    <row r="4180" spans="1:5" x14ac:dyDescent="0.55000000000000004">
      <c r="A4180" t="s">
        <v>4261</v>
      </c>
      <c r="B4180" t="s">
        <v>105</v>
      </c>
      <c r="C4180" s="2">
        <v>43210</v>
      </c>
      <c r="D4180" t="s">
        <v>29</v>
      </c>
      <c r="E4180">
        <v>232</v>
      </c>
    </row>
    <row r="4181" spans="1:5" x14ac:dyDescent="0.55000000000000004">
      <c r="A4181" t="s">
        <v>4262</v>
      </c>
      <c r="B4181" t="s">
        <v>115</v>
      </c>
      <c r="C4181" s="2">
        <v>44319</v>
      </c>
      <c r="D4181" t="s">
        <v>26</v>
      </c>
      <c r="E4181">
        <v>1679</v>
      </c>
    </row>
    <row r="4182" spans="1:5" x14ac:dyDescent="0.55000000000000004">
      <c r="A4182" t="s">
        <v>4263</v>
      </c>
      <c r="B4182" t="s">
        <v>67</v>
      </c>
      <c r="C4182" s="2">
        <v>45654</v>
      </c>
      <c r="D4182" t="s">
        <v>26</v>
      </c>
      <c r="E4182">
        <v>2533</v>
      </c>
    </row>
    <row r="4183" spans="1:5" x14ac:dyDescent="0.55000000000000004">
      <c r="A4183" t="s">
        <v>4264</v>
      </c>
      <c r="B4183" t="s">
        <v>78</v>
      </c>
      <c r="C4183" s="2">
        <v>44161</v>
      </c>
      <c r="D4183" t="s">
        <v>29</v>
      </c>
      <c r="E4183">
        <v>1517</v>
      </c>
    </row>
    <row r="4184" spans="1:5" x14ac:dyDescent="0.55000000000000004">
      <c r="A4184" t="s">
        <v>4265</v>
      </c>
      <c r="B4184" t="s">
        <v>142</v>
      </c>
      <c r="C4184" s="2">
        <v>43210</v>
      </c>
      <c r="D4184" t="s">
        <v>26</v>
      </c>
      <c r="E4184">
        <v>2802</v>
      </c>
    </row>
    <row r="4185" spans="1:5" x14ac:dyDescent="0.55000000000000004">
      <c r="A4185" t="s">
        <v>4266</v>
      </c>
      <c r="B4185" t="s">
        <v>63</v>
      </c>
      <c r="C4185" s="2">
        <v>42929</v>
      </c>
      <c r="D4185" t="s">
        <v>29</v>
      </c>
      <c r="E4185">
        <v>14</v>
      </c>
    </row>
    <row r="4186" spans="1:5" x14ac:dyDescent="0.55000000000000004">
      <c r="A4186" t="s">
        <v>4267</v>
      </c>
      <c r="B4186" t="s">
        <v>23</v>
      </c>
      <c r="C4186" s="2">
        <v>43950</v>
      </c>
      <c r="D4186" t="s">
        <v>29</v>
      </c>
      <c r="E4186">
        <v>2322</v>
      </c>
    </row>
    <row r="4187" spans="1:5" x14ac:dyDescent="0.55000000000000004">
      <c r="A4187" t="s">
        <v>4268</v>
      </c>
      <c r="B4187" t="s">
        <v>115</v>
      </c>
      <c r="C4187" s="2">
        <v>43376</v>
      </c>
      <c r="D4187" t="s">
        <v>26</v>
      </c>
      <c r="E4187">
        <v>2308</v>
      </c>
    </row>
    <row r="4188" spans="1:5" x14ac:dyDescent="0.55000000000000004">
      <c r="A4188" t="s">
        <v>4269</v>
      </c>
      <c r="B4188" t="s">
        <v>99</v>
      </c>
      <c r="C4188" s="2">
        <v>43768</v>
      </c>
      <c r="D4188" t="s">
        <v>26</v>
      </c>
      <c r="E4188">
        <v>2657</v>
      </c>
    </row>
    <row r="4189" spans="1:5" x14ac:dyDescent="0.55000000000000004">
      <c r="A4189" t="s">
        <v>4270</v>
      </c>
      <c r="B4189" t="s">
        <v>175</v>
      </c>
      <c r="C4189" s="2">
        <v>45417</v>
      </c>
      <c r="D4189" t="s">
        <v>29</v>
      </c>
      <c r="E4189">
        <v>1156</v>
      </c>
    </row>
    <row r="4190" spans="1:5" x14ac:dyDescent="0.55000000000000004">
      <c r="A4190" t="s">
        <v>4271</v>
      </c>
      <c r="B4190" t="s">
        <v>38</v>
      </c>
      <c r="C4190" s="2">
        <v>44623</v>
      </c>
      <c r="D4190" t="s">
        <v>29</v>
      </c>
      <c r="E4190">
        <v>973</v>
      </c>
    </row>
    <row r="4191" spans="1:5" x14ac:dyDescent="0.55000000000000004">
      <c r="A4191" t="s">
        <v>4272</v>
      </c>
      <c r="B4191" t="s">
        <v>38</v>
      </c>
      <c r="C4191" s="2">
        <v>44835</v>
      </c>
      <c r="D4191" t="s">
        <v>29</v>
      </c>
      <c r="E4191">
        <v>1413</v>
      </c>
    </row>
    <row r="4192" spans="1:5" x14ac:dyDescent="0.55000000000000004">
      <c r="A4192" t="s">
        <v>4273</v>
      </c>
      <c r="B4192" t="s">
        <v>35</v>
      </c>
      <c r="C4192" s="2">
        <v>44762</v>
      </c>
      <c r="D4192" t="s">
        <v>29</v>
      </c>
      <c r="E4192">
        <v>627</v>
      </c>
    </row>
    <row r="4193" spans="1:5" x14ac:dyDescent="0.55000000000000004">
      <c r="A4193" t="s">
        <v>4274</v>
      </c>
      <c r="B4193" t="s">
        <v>15</v>
      </c>
      <c r="C4193" s="2">
        <v>44015</v>
      </c>
      <c r="D4193" t="s">
        <v>29</v>
      </c>
      <c r="E4193">
        <v>916</v>
      </c>
    </row>
    <row r="4194" spans="1:5" x14ac:dyDescent="0.55000000000000004">
      <c r="A4194" t="s">
        <v>4275</v>
      </c>
      <c r="B4194" t="s">
        <v>72</v>
      </c>
      <c r="C4194" s="2">
        <v>43504</v>
      </c>
      <c r="D4194" t="s">
        <v>26</v>
      </c>
      <c r="E4194">
        <v>1591</v>
      </c>
    </row>
    <row r="4195" spans="1:5" x14ac:dyDescent="0.55000000000000004">
      <c r="A4195" t="s">
        <v>4276</v>
      </c>
      <c r="B4195" t="s">
        <v>84</v>
      </c>
      <c r="C4195" s="2">
        <v>43245</v>
      </c>
      <c r="D4195" t="s">
        <v>29</v>
      </c>
      <c r="E4195">
        <v>85</v>
      </c>
    </row>
    <row r="4196" spans="1:5" x14ac:dyDescent="0.55000000000000004">
      <c r="A4196" t="s">
        <v>4277</v>
      </c>
      <c r="B4196" t="s">
        <v>140</v>
      </c>
      <c r="C4196" s="2">
        <v>43531</v>
      </c>
      <c r="D4196" t="s">
        <v>26</v>
      </c>
      <c r="E4196">
        <v>174</v>
      </c>
    </row>
    <row r="4197" spans="1:5" x14ac:dyDescent="0.55000000000000004">
      <c r="A4197" t="s">
        <v>4278</v>
      </c>
      <c r="B4197" t="s">
        <v>15</v>
      </c>
      <c r="C4197" s="2">
        <v>43757</v>
      </c>
      <c r="D4197" t="s">
        <v>26</v>
      </c>
      <c r="E4197">
        <v>1647</v>
      </c>
    </row>
    <row r="4198" spans="1:5" x14ac:dyDescent="0.55000000000000004">
      <c r="A4198" t="s">
        <v>4279</v>
      </c>
      <c r="B4198" t="s">
        <v>72</v>
      </c>
      <c r="C4198" s="2">
        <v>44200</v>
      </c>
      <c r="D4198" t="s">
        <v>29</v>
      </c>
      <c r="E4198">
        <v>852</v>
      </c>
    </row>
    <row r="4199" spans="1:5" x14ac:dyDescent="0.55000000000000004">
      <c r="A4199" t="s">
        <v>4280</v>
      </c>
      <c r="B4199" t="s">
        <v>101</v>
      </c>
      <c r="C4199" s="2">
        <v>43779</v>
      </c>
      <c r="D4199" t="s">
        <v>29</v>
      </c>
      <c r="E4199">
        <v>1886</v>
      </c>
    </row>
    <row r="4200" spans="1:5" x14ac:dyDescent="0.55000000000000004">
      <c r="A4200" t="s">
        <v>4281</v>
      </c>
      <c r="B4200" t="s">
        <v>78</v>
      </c>
      <c r="C4200" s="2">
        <v>45318</v>
      </c>
      <c r="D4200" t="s">
        <v>29</v>
      </c>
      <c r="E4200">
        <v>1591</v>
      </c>
    </row>
    <row r="4201" spans="1:5" x14ac:dyDescent="0.55000000000000004">
      <c r="A4201" t="s">
        <v>4282</v>
      </c>
      <c r="B4201" t="s">
        <v>15</v>
      </c>
      <c r="C4201" s="2">
        <v>43661</v>
      </c>
      <c r="D4201" t="s">
        <v>29</v>
      </c>
      <c r="E4201">
        <v>1335</v>
      </c>
    </row>
    <row r="4202" spans="1:5" x14ac:dyDescent="0.55000000000000004">
      <c r="A4202" t="s">
        <v>4283</v>
      </c>
      <c r="B4202" t="s">
        <v>38</v>
      </c>
      <c r="C4202" s="2">
        <v>44647</v>
      </c>
      <c r="D4202" t="s">
        <v>26</v>
      </c>
      <c r="E4202">
        <v>2962</v>
      </c>
    </row>
    <row r="4203" spans="1:5" x14ac:dyDescent="0.55000000000000004">
      <c r="A4203" t="s">
        <v>4284</v>
      </c>
      <c r="B4203" t="s">
        <v>67</v>
      </c>
      <c r="C4203" s="2">
        <v>44309</v>
      </c>
      <c r="D4203" t="s">
        <v>26</v>
      </c>
      <c r="E4203">
        <v>888</v>
      </c>
    </row>
    <row r="4204" spans="1:5" x14ac:dyDescent="0.55000000000000004">
      <c r="A4204" t="s">
        <v>4285</v>
      </c>
      <c r="B4204" t="s">
        <v>41</v>
      </c>
      <c r="C4204" s="2">
        <v>44222</v>
      </c>
      <c r="D4204" t="s">
        <v>26</v>
      </c>
      <c r="E4204">
        <v>2987</v>
      </c>
    </row>
    <row r="4205" spans="1:5" x14ac:dyDescent="0.55000000000000004">
      <c r="A4205" t="s">
        <v>4286</v>
      </c>
      <c r="B4205" t="s">
        <v>38</v>
      </c>
      <c r="C4205" s="2">
        <v>44575</v>
      </c>
      <c r="D4205" t="s">
        <v>29</v>
      </c>
      <c r="E4205">
        <v>2245</v>
      </c>
    </row>
    <row r="4206" spans="1:5" x14ac:dyDescent="0.55000000000000004">
      <c r="A4206" t="s">
        <v>4287</v>
      </c>
      <c r="B4206" t="s">
        <v>76</v>
      </c>
      <c r="C4206" s="2">
        <v>45138</v>
      </c>
      <c r="D4206" t="s">
        <v>29</v>
      </c>
      <c r="E4206">
        <v>2637</v>
      </c>
    </row>
    <row r="4207" spans="1:5" x14ac:dyDescent="0.55000000000000004">
      <c r="A4207" t="s">
        <v>4288</v>
      </c>
      <c r="B4207" t="s">
        <v>156</v>
      </c>
      <c r="C4207" s="2">
        <v>43354</v>
      </c>
      <c r="D4207" t="s">
        <v>29</v>
      </c>
      <c r="E4207">
        <v>578</v>
      </c>
    </row>
    <row r="4208" spans="1:5" x14ac:dyDescent="0.55000000000000004">
      <c r="A4208" t="s">
        <v>4289</v>
      </c>
      <c r="B4208" t="s">
        <v>96</v>
      </c>
      <c r="C4208" s="2">
        <v>43911</v>
      </c>
      <c r="D4208" t="s">
        <v>29</v>
      </c>
      <c r="E4208">
        <v>1230</v>
      </c>
    </row>
    <row r="4209" spans="1:5" x14ac:dyDescent="0.55000000000000004">
      <c r="A4209" t="s">
        <v>4290</v>
      </c>
      <c r="B4209" t="s">
        <v>94</v>
      </c>
      <c r="C4209" s="2">
        <v>45154</v>
      </c>
      <c r="D4209" t="s">
        <v>26</v>
      </c>
      <c r="E4209">
        <v>816</v>
      </c>
    </row>
    <row r="4210" spans="1:5" x14ac:dyDescent="0.55000000000000004">
      <c r="A4210" t="s">
        <v>4291</v>
      </c>
      <c r="B4210" t="s">
        <v>151</v>
      </c>
      <c r="C4210" s="2">
        <v>43608</v>
      </c>
      <c r="D4210" t="s">
        <v>26</v>
      </c>
      <c r="E4210">
        <v>2701</v>
      </c>
    </row>
    <row r="4211" spans="1:5" x14ac:dyDescent="0.55000000000000004">
      <c r="A4211" t="s">
        <v>4292</v>
      </c>
      <c r="B4211" t="s">
        <v>101</v>
      </c>
      <c r="C4211" s="2">
        <v>43976</v>
      </c>
      <c r="D4211" t="s">
        <v>29</v>
      </c>
      <c r="E4211">
        <v>738</v>
      </c>
    </row>
    <row r="4212" spans="1:5" x14ac:dyDescent="0.55000000000000004">
      <c r="A4212" t="s">
        <v>4293</v>
      </c>
      <c r="B4212" t="s">
        <v>15</v>
      </c>
      <c r="C4212" s="2">
        <v>42965</v>
      </c>
      <c r="D4212" t="s">
        <v>26</v>
      </c>
      <c r="E4212">
        <v>1580</v>
      </c>
    </row>
    <row r="4213" spans="1:5" x14ac:dyDescent="0.55000000000000004">
      <c r="A4213" t="s">
        <v>4294</v>
      </c>
      <c r="B4213" t="s">
        <v>23</v>
      </c>
      <c r="C4213" s="2">
        <v>44183</v>
      </c>
      <c r="D4213" t="s">
        <v>29</v>
      </c>
      <c r="E4213">
        <v>2787</v>
      </c>
    </row>
    <row r="4214" spans="1:5" x14ac:dyDescent="0.55000000000000004">
      <c r="A4214" t="s">
        <v>4295</v>
      </c>
      <c r="B4214" t="s">
        <v>23</v>
      </c>
      <c r="C4214" s="2">
        <v>44150</v>
      </c>
      <c r="D4214" t="s">
        <v>29</v>
      </c>
      <c r="E4214">
        <v>2355</v>
      </c>
    </row>
    <row r="4215" spans="1:5" x14ac:dyDescent="0.55000000000000004">
      <c r="A4215" t="s">
        <v>4296</v>
      </c>
      <c r="B4215" t="s">
        <v>137</v>
      </c>
      <c r="C4215" s="2">
        <v>44276</v>
      </c>
      <c r="D4215" t="s">
        <v>26</v>
      </c>
      <c r="E4215">
        <v>1684</v>
      </c>
    </row>
    <row r="4216" spans="1:5" x14ac:dyDescent="0.55000000000000004">
      <c r="A4216" t="s">
        <v>4297</v>
      </c>
      <c r="B4216" t="s">
        <v>111</v>
      </c>
      <c r="C4216" s="2">
        <v>43876</v>
      </c>
      <c r="D4216" t="s">
        <v>26</v>
      </c>
      <c r="E4216">
        <v>534</v>
      </c>
    </row>
    <row r="4217" spans="1:5" x14ac:dyDescent="0.55000000000000004">
      <c r="A4217" t="s">
        <v>4298</v>
      </c>
      <c r="B4217" t="s">
        <v>118</v>
      </c>
      <c r="C4217" s="2">
        <v>45459</v>
      </c>
      <c r="D4217" t="s">
        <v>29</v>
      </c>
      <c r="E4217">
        <v>2500</v>
      </c>
    </row>
    <row r="4218" spans="1:5" x14ac:dyDescent="0.55000000000000004">
      <c r="A4218" t="s">
        <v>4299</v>
      </c>
      <c r="B4218" t="s">
        <v>118</v>
      </c>
      <c r="C4218" s="2">
        <v>45639</v>
      </c>
      <c r="D4218" t="s">
        <v>26</v>
      </c>
      <c r="E4218">
        <v>2769</v>
      </c>
    </row>
    <row r="4219" spans="1:5" x14ac:dyDescent="0.55000000000000004">
      <c r="A4219" t="s">
        <v>4300</v>
      </c>
      <c r="B4219" t="s">
        <v>115</v>
      </c>
      <c r="C4219" s="2">
        <v>44528</v>
      </c>
      <c r="D4219" t="s">
        <v>26</v>
      </c>
      <c r="E4219">
        <v>351</v>
      </c>
    </row>
    <row r="4220" spans="1:5" x14ac:dyDescent="0.55000000000000004">
      <c r="A4220" t="s">
        <v>4301</v>
      </c>
      <c r="B4220" t="s">
        <v>14</v>
      </c>
      <c r="C4220" s="2">
        <v>42934</v>
      </c>
      <c r="D4220" t="s">
        <v>26</v>
      </c>
      <c r="E4220">
        <v>1357</v>
      </c>
    </row>
    <row r="4221" spans="1:5" x14ac:dyDescent="0.55000000000000004">
      <c r="A4221" t="s">
        <v>4302</v>
      </c>
      <c r="B4221" t="s">
        <v>76</v>
      </c>
      <c r="C4221" s="2">
        <v>43834</v>
      </c>
      <c r="D4221" t="s">
        <v>29</v>
      </c>
      <c r="E4221">
        <v>1461</v>
      </c>
    </row>
    <row r="4222" spans="1:5" x14ac:dyDescent="0.55000000000000004">
      <c r="A4222" t="s">
        <v>4303</v>
      </c>
      <c r="B4222" t="s">
        <v>151</v>
      </c>
      <c r="C4222" s="2">
        <v>44439</v>
      </c>
      <c r="D4222" t="s">
        <v>26</v>
      </c>
      <c r="E4222">
        <v>872</v>
      </c>
    </row>
    <row r="4223" spans="1:5" x14ac:dyDescent="0.55000000000000004">
      <c r="A4223" t="s">
        <v>4304</v>
      </c>
      <c r="B4223" t="s">
        <v>156</v>
      </c>
      <c r="C4223" s="2">
        <v>43052</v>
      </c>
      <c r="D4223" t="s">
        <v>29</v>
      </c>
      <c r="E4223">
        <v>2552</v>
      </c>
    </row>
    <row r="4224" spans="1:5" x14ac:dyDescent="0.55000000000000004">
      <c r="A4224" t="s">
        <v>4305</v>
      </c>
      <c r="B4224" t="s">
        <v>111</v>
      </c>
      <c r="C4224" s="2">
        <v>44111</v>
      </c>
      <c r="D4224" t="s">
        <v>29</v>
      </c>
      <c r="E4224">
        <v>1945</v>
      </c>
    </row>
    <row r="4225" spans="1:5" x14ac:dyDescent="0.55000000000000004">
      <c r="A4225" t="s">
        <v>4306</v>
      </c>
      <c r="B4225" t="s">
        <v>111</v>
      </c>
      <c r="C4225" s="2">
        <v>44357</v>
      </c>
      <c r="D4225" t="s">
        <v>26</v>
      </c>
      <c r="E4225">
        <v>1186</v>
      </c>
    </row>
    <row r="4226" spans="1:5" x14ac:dyDescent="0.55000000000000004">
      <c r="A4226" t="s">
        <v>4307</v>
      </c>
      <c r="B4226" t="s">
        <v>156</v>
      </c>
      <c r="C4226" s="2">
        <v>43124</v>
      </c>
      <c r="D4226" t="s">
        <v>26</v>
      </c>
      <c r="E4226">
        <v>622</v>
      </c>
    </row>
    <row r="4227" spans="1:5" x14ac:dyDescent="0.55000000000000004">
      <c r="A4227" t="s">
        <v>4308</v>
      </c>
      <c r="B4227" t="s">
        <v>105</v>
      </c>
      <c r="C4227" s="2">
        <v>43767</v>
      </c>
      <c r="D4227" t="s">
        <v>26</v>
      </c>
      <c r="E4227">
        <v>2180</v>
      </c>
    </row>
    <row r="4228" spans="1:5" x14ac:dyDescent="0.55000000000000004">
      <c r="A4228" t="s">
        <v>4309</v>
      </c>
      <c r="B4228" t="s">
        <v>32</v>
      </c>
      <c r="C4228" s="2">
        <v>44670</v>
      </c>
      <c r="D4228" t="s">
        <v>26</v>
      </c>
      <c r="E4228">
        <v>2300</v>
      </c>
    </row>
    <row r="4229" spans="1:5" x14ac:dyDescent="0.55000000000000004">
      <c r="A4229" t="s">
        <v>4310</v>
      </c>
      <c r="B4229" t="s">
        <v>99</v>
      </c>
      <c r="C4229" s="2">
        <v>45389</v>
      </c>
      <c r="D4229" t="s">
        <v>29</v>
      </c>
      <c r="E4229">
        <v>2826</v>
      </c>
    </row>
    <row r="4230" spans="1:5" x14ac:dyDescent="0.55000000000000004">
      <c r="A4230" t="s">
        <v>4311</v>
      </c>
      <c r="B4230" t="s">
        <v>76</v>
      </c>
      <c r="C4230" s="2">
        <v>44487</v>
      </c>
      <c r="D4230" t="s">
        <v>26</v>
      </c>
      <c r="E4230">
        <v>2719</v>
      </c>
    </row>
    <row r="4231" spans="1:5" x14ac:dyDescent="0.55000000000000004">
      <c r="A4231" t="s">
        <v>4312</v>
      </c>
      <c r="B4231" t="s">
        <v>72</v>
      </c>
      <c r="C4231" s="2">
        <v>43828</v>
      </c>
      <c r="D4231" t="s">
        <v>26</v>
      </c>
      <c r="E4231">
        <v>161</v>
      </c>
    </row>
    <row r="4232" spans="1:5" x14ac:dyDescent="0.55000000000000004">
      <c r="A4232" t="s">
        <v>4313</v>
      </c>
      <c r="B4232" t="s">
        <v>72</v>
      </c>
      <c r="C4232" s="2">
        <v>43697</v>
      </c>
      <c r="D4232" t="s">
        <v>29</v>
      </c>
      <c r="E4232">
        <v>1553</v>
      </c>
    </row>
    <row r="4233" spans="1:5" x14ac:dyDescent="0.55000000000000004">
      <c r="A4233" t="s">
        <v>4314</v>
      </c>
      <c r="B4233" t="s">
        <v>96</v>
      </c>
      <c r="C4233" s="2">
        <v>44164</v>
      </c>
      <c r="D4233" t="s">
        <v>26</v>
      </c>
      <c r="E4233">
        <v>2400</v>
      </c>
    </row>
    <row r="4234" spans="1:5" x14ac:dyDescent="0.55000000000000004">
      <c r="A4234" t="s">
        <v>4315</v>
      </c>
      <c r="B4234" t="s">
        <v>41</v>
      </c>
      <c r="C4234" s="2">
        <v>44573</v>
      </c>
      <c r="D4234" t="s">
        <v>29</v>
      </c>
      <c r="E4234">
        <v>2395</v>
      </c>
    </row>
    <row r="4235" spans="1:5" x14ac:dyDescent="0.55000000000000004">
      <c r="A4235" t="s">
        <v>4316</v>
      </c>
      <c r="B4235" t="s">
        <v>23</v>
      </c>
      <c r="C4235" s="2">
        <v>44203</v>
      </c>
      <c r="D4235" t="s">
        <v>29</v>
      </c>
      <c r="E4235">
        <v>81</v>
      </c>
    </row>
    <row r="4236" spans="1:5" x14ac:dyDescent="0.55000000000000004">
      <c r="A4236" t="s">
        <v>4317</v>
      </c>
      <c r="B4236" t="s">
        <v>96</v>
      </c>
      <c r="C4236" s="2">
        <v>45787</v>
      </c>
      <c r="D4236" t="s">
        <v>29</v>
      </c>
      <c r="E4236">
        <v>1391</v>
      </c>
    </row>
    <row r="4237" spans="1:5" x14ac:dyDescent="0.55000000000000004">
      <c r="A4237" t="s">
        <v>4318</v>
      </c>
      <c r="B4237" t="s">
        <v>74</v>
      </c>
      <c r="C4237" s="2">
        <v>43674</v>
      </c>
      <c r="D4237" t="s">
        <v>26</v>
      </c>
      <c r="E4237">
        <v>725</v>
      </c>
    </row>
    <row r="4238" spans="1:5" x14ac:dyDescent="0.55000000000000004">
      <c r="A4238" t="s">
        <v>4319</v>
      </c>
      <c r="B4238" t="s">
        <v>72</v>
      </c>
      <c r="C4238" s="2">
        <v>44195</v>
      </c>
      <c r="D4238" t="s">
        <v>29</v>
      </c>
      <c r="E4238">
        <v>2774</v>
      </c>
    </row>
    <row r="4239" spans="1:5" x14ac:dyDescent="0.55000000000000004">
      <c r="A4239" t="s">
        <v>4320</v>
      </c>
      <c r="B4239" t="s">
        <v>101</v>
      </c>
      <c r="C4239" s="2">
        <v>43223</v>
      </c>
      <c r="D4239" t="s">
        <v>26</v>
      </c>
      <c r="E4239">
        <v>2739</v>
      </c>
    </row>
    <row r="4240" spans="1:5" x14ac:dyDescent="0.55000000000000004">
      <c r="A4240" t="s">
        <v>4321</v>
      </c>
      <c r="B4240" t="s">
        <v>151</v>
      </c>
      <c r="C4240" s="2">
        <v>44215</v>
      </c>
      <c r="D4240" t="s">
        <v>29</v>
      </c>
      <c r="E4240">
        <v>1197</v>
      </c>
    </row>
    <row r="4241" spans="1:5" x14ac:dyDescent="0.55000000000000004">
      <c r="A4241" t="s">
        <v>4322</v>
      </c>
      <c r="B4241" t="s">
        <v>41</v>
      </c>
      <c r="C4241" s="2">
        <v>44001</v>
      </c>
      <c r="D4241" t="s">
        <v>29</v>
      </c>
      <c r="E4241">
        <v>2469</v>
      </c>
    </row>
    <row r="4242" spans="1:5" x14ac:dyDescent="0.55000000000000004">
      <c r="A4242" t="s">
        <v>4323</v>
      </c>
      <c r="B4242" t="s">
        <v>137</v>
      </c>
      <c r="C4242" s="2">
        <v>45492</v>
      </c>
      <c r="D4242" t="s">
        <v>26</v>
      </c>
      <c r="E4242">
        <v>2547</v>
      </c>
    </row>
    <row r="4243" spans="1:5" x14ac:dyDescent="0.55000000000000004">
      <c r="A4243" t="s">
        <v>4324</v>
      </c>
      <c r="B4243" t="s">
        <v>94</v>
      </c>
      <c r="C4243" s="2">
        <v>45177</v>
      </c>
      <c r="D4243" t="s">
        <v>26</v>
      </c>
      <c r="E4243">
        <v>1495</v>
      </c>
    </row>
    <row r="4244" spans="1:5" x14ac:dyDescent="0.55000000000000004">
      <c r="A4244" t="s">
        <v>4325</v>
      </c>
      <c r="B4244" t="s">
        <v>76</v>
      </c>
      <c r="C4244" s="2">
        <v>44501</v>
      </c>
      <c r="D4244" t="s">
        <v>26</v>
      </c>
      <c r="E4244">
        <v>2102</v>
      </c>
    </row>
    <row r="4245" spans="1:5" x14ac:dyDescent="0.55000000000000004">
      <c r="A4245" t="s">
        <v>4326</v>
      </c>
      <c r="B4245" t="s">
        <v>84</v>
      </c>
      <c r="C4245" s="2">
        <v>43982</v>
      </c>
      <c r="D4245" t="s">
        <v>26</v>
      </c>
      <c r="E4245">
        <v>2005</v>
      </c>
    </row>
    <row r="4246" spans="1:5" x14ac:dyDescent="0.55000000000000004">
      <c r="A4246" t="s">
        <v>4327</v>
      </c>
      <c r="B4246" t="s">
        <v>111</v>
      </c>
      <c r="C4246" s="2">
        <v>43258</v>
      </c>
      <c r="D4246" t="s">
        <v>26</v>
      </c>
      <c r="E4246">
        <v>2659</v>
      </c>
    </row>
    <row r="4247" spans="1:5" x14ac:dyDescent="0.55000000000000004">
      <c r="A4247" t="s">
        <v>4328</v>
      </c>
      <c r="B4247" t="s">
        <v>63</v>
      </c>
      <c r="C4247" s="2">
        <v>44351</v>
      </c>
      <c r="D4247" t="s">
        <v>29</v>
      </c>
      <c r="E4247">
        <v>1077</v>
      </c>
    </row>
    <row r="4248" spans="1:5" x14ac:dyDescent="0.55000000000000004">
      <c r="A4248" t="s">
        <v>4329</v>
      </c>
      <c r="B4248" t="s">
        <v>15</v>
      </c>
      <c r="C4248" s="2">
        <v>43803</v>
      </c>
      <c r="D4248" t="s">
        <v>29</v>
      </c>
      <c r="E4248">
        <v>165</v>
      </c>
    </row>
    <row r="4249" spans="1:5" x14ac:dyDescent="0.55000000000000004">
      <c r="A4249" t="s">
        <v>4330</v>
      </c>
      <c r="B4249" t="s">
        <v>84</v>
      </c>
      <c r="C4249" s="2">
        <v>44452</v>
      </c>
      <c r="D4249" t="s">
        <v>29</v>
      </c>
      <c r="E4249">
        <v>2700</v>
      </c>
    </row>
    <row r="4250" spans="1:5" x14ac:dyDescent="0.55000000000000004">
      <c r="A4250" t="s">
        <v>4331</v>
      </c>
      <c r="B4250" t="s">
        <v>74</v>
      </c>
      <c r="C4250" s="2">
        <v>43598</v>
      </c>
      <c r="D4250" t="s">
        <v>26</v>
      </c>
      <c r="E4250">
        <v>535</v>
      </c>
    </row>
    <row r="4251" spans="1:5" x14ac:dyDescent="0.55000000000000004">
      <c r="A4251" t="s">
        <v>4332</v>
      </c>
      <c r="B4251" t="s">
        <v>76</v>
      </c>
      <c r="C4251" s="2">
        <v>43509</v>
      </c>
      <c r="D4251" t="s">
        <v>26</v>
      </c>
      <c r="E4251">
        <v>1239</v>
      </c>
    </row>
    <row r="4252" spans="1:5" x14ac:dyDescent="0.55000000000000004">
      <c r="A4252" t="s">
        <v>4333</v>
      </c>
      <c r="B4252" t="s">
        <v>101</v>
      </c>
      <c r="C4252" s="2">
        <v>43325</v>
      </c>
      <c r="D4252" t="s">
        <v>29</v>
      </c>
      <c r="E4252">
        <v>1556</v>
      </c>
    </row>
    <row r="4253" spans="1:5" x14ac:dyDescent="0.55000000000000004">
      <c r="A4253" t="s">
        <v>4334</v>
      </c>
      <c r="B4253" t="s">
        <v>101</v>
      </c>
      <c r="C4253" s="2">
        <v>42990</v>
      </c>
      <c r="D4253" t="s">
        <v>29</v>
      </c>
      <c r="E4253">
        <v>2854</v>
      </c>
    </row>
    <row r="4254" spans="1:5" x14ac:dyDescent="0.55000000000000004">
      <c r="A4254" t="s">
        <v>4335</v>
      </c>
      <c r="B4254" t="s">
        <v>101</v>
      </c>
      <c r="C4254" s="2">
        <v>43604</v>
      </c>
      <c r="D4254" t="s">
        <v>29</v>
      </c>
      <c r="E4254">
        <v>2099</v>
      </c>
    </row>
    <row r="4255" spans="1:5" x14ac:dyDescent="0.55000000000000004">
      <c r="A4255" t="s">
        <v>4336</v>
      </c>
      <c r="B4255" t="s">
        <v>76</v>
      </c>
      <c r="C4255" s="2">
        <v>45204</v>
      </c>
      <c r="D4255" t="s">
        <v>29</v>
      </c>
      <c r="E4255">
        <v>2897</v>
      </c>
    </row>
    <row r="4256" spans="1:5" x14ac:dyDescent="0.55000000000000004">
      <c r="A4256" t="s">
        <v>4337</v>
      </c>
      <c r="B4256" t="s">
        <v>111</v>
      </c>
      <c r="C4256" s="2">
        <v>43188</v>
      </c>
      <c r="D4256" t="s">
        <v>29</v>
      </c>
      <c r="E4256">
        <v>2945</v>
      </c>
    </row>
    <row r="4257" spans="1:5" x14ac:dyDescent="0.55000000000000004">
      <c r="A4257" t="s">
        <v>4338</v>
      </c>
      <c r="B4257" t="s">
        <v>84</v>
      </c>
      <c r="C4257" s="2">
        <v>44048</v>
      </c>
      <c r="D4257" t="s">
        <v>26</v>
      </c>
      <c r="E4257">
        <v>2002</v>
      </c>
    </row>
    <row r="4258" spans="1:5" x14ac:dyDescent="0.55000000000000004">
      <c r="A4258" t="s">
        <v>4339</v>
      </c>
      <c r="B4258" t="s">
        <v>156</v>
      </c>
      <c r="C4258" s="2">
        <v>43463</v>
      </c>
      <c r="D4258" t="s">
        <v>26</v>
      </c>
      <c r="E4258">
        <v>1842</v>
      </c>
    </row>
    <row r="4259" spans="1:5" x14ac:dyDescent="0.55000000000000004">
      <c r="A4259" t="s">
        <v>4340</v>
      </c>
      <c r="B4259" t="s">
        <v>38</v>
      </c>
      <c r="C4259" s="2">
        <v>44004</v>
      </c>
      <c r="D4259" t="s">
        <v>29</v>
      </c>
      <c r="E4259">
        <v>2084</v>
      </c>
    </row>
    <row r="4260" spans="1:5" x14ac:dyDescent="0.55000000000000004">
      <c r="A4260" t="s">
        <v>4341</v>
      </c>
      <c r="B4260" t="s">
        <v>94</v>
      </c>
      <c r="C4260" s="2">
        <v>43930</v>
      </c>
      <c r="D4260" t="s">
        <v>26</v>
      </c>
      <c r="E4260">
        <v>526</v>
      </c>
    </row>
    <row r="4261" spans="1:5" x14ac:dyDescent="0.55000000000000004">
      <c r="A4261" t="s">
        <v>4342</v>
      </c>
      <c r="B4261" t="s">
        <v>137</v>
      </c>
      <c r="C4261" s="2">
        <v>43904</v>
      </c>
      <c r="D4261" t="s">
        <v>26</v>
      </c>
      <c r="E4261">
        <v>304</v>
      </c>
    </row>
    <row r="4262" spans="1:5" x14ac:dyDescent="0.55000000000000004">
      <c r="A4262" t="s">
        <v>4343</v>
      </c>
      <c r="B4262" t="s">
        <v>105</v>
      </c>
      <c r="C4262" s="2">
        <v>43681</v>
      </c>
      <c r="D4262" t="s">
        <v>26</v>
      </c>
      <c r="E4262">
        <v>630</v>
      </c>
    </row>
    <row r="4263" spans="1:5" x14ac:dyDescent="0.55000000000000004">
      <c r="A4263" t="s">
        <v>4344</v>
      </c>
      <c r="B4263" t="s">
        <v>23</v>
      </c>
      <c r="C4263" s="2">
        <v>44316</v>
      </c>
      <c r="D4263" t="s">
        <v>26</v>
      </c>
      <c r="E4263">
        <v>308</v>
      </c>
    </row>
    <row r="4264" spans="1:5" x14ac:dyDescent="0.55000000000000004">
      <c r="A4264" t="s">
        <v>4345</v>
      </c>
      <c r="B4264" t="s">
        <v>14</v>
      </c>
      <c r="C4264" s="2">
        <v>44397</v>
      </c>
      <c r="D4264" t="s">
        <v>26</v>
      </c>
      <c r="E4264">
        <v>1397</v>
      </c>
    </row>
    <row r="4265" spans="1:5" x14ac:dyDescent="0.55000000000000004">
      <c r="A4265" t="s">
        <v>4346</v>
      </c>
      <c r="B4265" t="s">
        <v>76</v>
      </c>
      <c r="C4265" s="2">
        <v>43754</v>
      </c>
      <c r="D4265" t="s">
        <v>26</v>
      </c>
      <c r="E4265">
        <v>2386</v>
      </c>
    </row>
    <row r="4266" spans="1:5" x14ac:dyDescent="0.55000000000000004">
      <c r="A4266" t="s">
        <v>4347</v>
      </c>
      <c r="B4266" t="s">
        <v>35</v>
      </c>
      <c r="C4266" s="2">
        <v>44774</v>
      </c>
      <c r="D4266" t="s">
        <v>29</v>
      </c>
      <c r="E4266">
        <v>2723</v>
      </c>
    </row>
    <row r="4267" spans="1:5" x14ac:dyDescent="0.55000000000000004">
      <c r="A4267" t="s">
        <v>4348</v>
      </c>
      <c r="B4267" t="s">
        <v>115</v>
      </c>
      <c r="C4267" s="2">
        <v>44171</v>
      </c>
      <c r="D4267" t="s">
        <v>26</v>
      </c>
      <c r="E4267">
        <v>230</v>
      </c>
    </row>
    <row r="4268" spans="1:5" x14ac:dyDescent="0.55000000000000004">
      <c r="A4268" t="s">
        <v>4349</v>
      </c>
      <c r="B4268" t="s">
        <v>41</v>
      </c>
      <c r="C4268" s="2">
        <v>44115</v>
      </c>
      <c r="D4268" t="s">
        <v>26</v>
      </c>
      <c r="E4268">
        <v>332</v>
      </c>
    </row>
    <row r="4269" spans="1:5" x14ac:dyDescent="0.55000000000000004">
      <c r="A4269" t="s">
        <v>4350</v>
      </c>
      <c r="B4269" t="s">
        <v>105</v>
      </c>
      <c r="C4269" s="2">
        <v>43104</v>
      </c>
      <c r="D4269" t="s">
        <v>26</v>
      </c>
      <c r="E4269">
        <v>15</v>
      </c>
    </row>
    <row r="4270" spans="1:5" x14ac:dyDescent="0.55000000000000004">
      <c r="A4270" t="s">
        <v>4351</v>
      </c>
      <c r="B4270" t="s">
        <v>140</v>
      </c>
      <c r="C4270" s="2">
        <v>44538</v>
      </c>
      <c r="D4270" t="s">
        <v>26</v>
      </c>
      <c r="E4270">
        <v>861</v>
      </c>
    </row>
    <row r="4271" spans="1:5" x14ac:dyDescent="0.55000000000000004">
      <c r="A4271" t="s">
        <v>4352</v>
      </c>
      <c r="B4271" t="s">
        <v>142</v>
      </c>
      <c r="C4271" s="2">
        <v>44385</v>
      </c>
      <c r="D4271" t="s">
        <v>26</v>
      </c>
      <c r="E4271">
        <v>1584</v>
      </c>
    </row>
    <row r="4272" spans="1:5" x14ac:dyDescent="0.55000000000000004">
      <c r="A4272" t="s">
        <v>4353</v>
      </c>
      <c r="B4272" t="s">
        <v>111</v>
      </c>
      <c r="C4272" s="2">
        <v>44197</v>
      </c>
      <c r="D4272" t="s">
        <v>26</v>
      </c>
      <c r="E4272">
        <v>1949</v>
      </c>
    </row>
    <row r="4273" spans="1:5" x14ac:dyDescent="0.55000000000000004">
      <c r="A4273" t="s">
        <v>4354</v>
      </c>
      <c r="B4273" t="s">
        <v>175</v>
      </c>
      <c r="C4273" s="2">
        <v>44274</v>
      </c>
      <c r="D4273" t="s">
        <v>29</v>
      </c>
      <c r="E4273">
        <v>2479</v>
      </c>
    </row>
    <row r="4274" spans="1:5" x14ac:dyDescent="0.55000000000000004">
      <c r="A4274" t="s">
        <v>4355</v>
      </c>
      <c r="B4274" t="s">
        <v>41</v>
      </c>
      <c r="C4274" s="2">
        <v>44212</v>
      </c>
      <c r="D4274" t="s">
        <v>29</v>
      </c>
      <c r="E4274">
        <v>1179</v>
      </c>
    </row>
    <row r="4275" spans="1:5" x14ac:dyDescent="0.55000000000000004">
      <c r="A4275" t="s">
        <v>4356</v>
      </c>
      <c r="B4275" t="s">
        <v>78</v>
      </c>
      <c r="C4275" s="2">
        <v>43716</v>
      </c>
      <c r="D4275" t="s">
        <v>29</v>
      </c>
      <c r="E4275">
        <v>757</v>
      </c>
    </row>
    <row r="4276" spans="1:5" x14ac:dyDescent="0.55000000000000004">
      <c r="A4276" t="s">
        <v>4357</v>
      </c>
      <c r="B4276" t="s">
        <v>67</v>
      </c>
      <c r="C4276" s="2">
        <v>43491</v>
      </c>
      <c r="D4276" t="s">
        <v>26</v>
      </c>
      <c r="E4276">
        <v>720</v>
      </c>
    </row>
    <row r="4277" spans="1:5" x14ac:dyDescent="0.55000000000000004">
      <c r="A4277" t="s">
        <v>4358</v>
      </c>
      <c r="B4277" t="s">
        <v>151</v>
      </c>
      <c r="C4277" s="2">
        <v>43456</v>
      </c>
      <c r="D4277" t="s">
        <v>26</v>
      </c>
      <c r="E4277">
        <v>2220</v>
      </c>
    </row>
    <row r="4278" spans="1:5" x14ac:dyDescent="0.55000000000000004">
      <c r="A4278" t="s">
        <v>4359</v>
      </c>
      <c r="B4278" t="s">
        <v>23</v>
      </c>
      <c r="C4278" s="2">
        <v>44218</v>
      </c>
      <c r="D4278" t="s">
        <v>26</v>
      </c>
      <c r="E4278">
        <v>2878</v>
      </c>
    </row>
    <row r="4279" spans="1:5" x14ac:dyDescent="0.55000000000000004">
      <c r="A4279" t="s">
        <v>4360</v>
      </c>
      <c r="B4279" t="s">
        <v>118</v>
      </c>
      <c r="C4279" s="2">
        <v>43776</v>
      </c>
      <c r="D4279" t="s">
        <v>26</v>
      </c>
      <c r="E4279">
        <v>766</v>
      </c>
    </row>
    <row r="4280" spans="1:5" x14ac:dyDescent="0.55000000000000004">
      <c r="A4280" t="s">
        <v>4361</v>
      </c>
      <c r="B4280" t="s">
        <v>76</v>
      </c>
      <c r="C4280" s="2">
        <v>44782</v>
      </c>
      <c r="D4280" t="s">
        <v>26</v>
      </c>
      <c r="E4280">
        <v>665</v>
      </c>
    </row>
    <row r="4281" spans="1:5" x14ac:dyDescent="0.55000000000000004">
      <c r="A4281" t="s">
        <v>4362</v>
      </c>
      <c r="B4281" t="s">
        <v>101</v>
      </c>
      <c r="C4281" s="2">
        <v>44218</v>
      </c>
      <c r="D4281" t="s">
        <v>29</v>
      </c>
      <c r="E4281">
        <v>2463</v>
      </c>
    </row>
    <row r="4282" spans="1:5" x14ac:dyDescent="0.55000000000000004">
      <c r="A4282" t="s">
        <v>4363</v>
      </c>
      <c r="B4282" t="s">
        <v>140</v>
      </c>
      <c r="C4282" s="2">
        <v>43954</v>
      </c>
      <c r="D4282" t="s">
        <v>29</v>
      </c>
      <c r="E4282">
        <v>893</v>
      </c>
    </row>
    <row r="4283" spans="1:5" x14ac:dyDescent="0.55000000000000004">
      <c r="A4283" t="s">
        <v>4364</v>
      </c>
      <c r="B4283" t="s">
        <v>140</v>
      </c>
      <c r="C4283" s="2">
        <v>43430</v>
      </c>
      <c r="D4283" t="s">
        <v>29</v>
      </c>
      <c r="E4283">
        <v>986</v>
      </c>
    </row>
    <row r="4284" spans="1:5" x14ac:dyDescent="0.55000000000000004">
      <c r="A4284" t="s">
        <v>4365</v>
      </c>
      <c r="B4284" t="s">
        <v>67</v>
      </c>
      <c r="C4284" s="2">
        <v>43494</v>
      </c>
      <c r="D4284" t="s">
        <v>29</v>
      </c>
      <c r="E4284">
        <v>1152</v>
      </c>
    </row>
    <row r="4285" spans="1:5" x14ac:dyDescent="0.55000000000000004">
      <c r="A4285" t="s">
        <v>4366</v>
      </c>
      <c r="B4285" t="s">
        <v>118</v>
      </c>
      <c r="C4285" s="2">
        <v>44126</v>
      </c>
      <c r="D4285" t="s">
        <v>26</v>
      </c>
      <c r="E4285">
        <v>252</v>
      </c>
    </row>
    <row r="4286" spans="1:5" x14ac:dyDescent="0.55000000000000004">
      <c r="A4286" t="s">
        <v>4367</v>
      </c>
      <c r="B4286" t="s">
        <v>74</v>
      </c>
      <c r="C4286" s="2">
        <v>43928</v>
      </c>
      <c r="D4286" t="s">
        <v>29</v>
      </c>
      <c r="E4286">
        <v>247</v>
      </c>
    </row>
    <row r="4287" spans="1:5" x14ac:dyDescent="0.55000000000000004">
      <c r="A4287" t="s">
        <v>4368</v>
      </c>
      <c r="B4287" t="s">
        <v>32</v>
      </c>
      <c r="C4287" s="2">
        <v>44711</v>
      </c>
      <c r="D4287" t="s">
        <v>26</v>
      </c>
      <c r="E4287">
        <v>2760</v>
      </c>
    </row>
    <row r="4288" spans="1:5" x14ac:dyDescent="0.55000000000000004">
      <c r="A4288" t="s">
        <v>4369</v>
      </c>
      <c r="B4288" t="s">
        <v>118</v>
      </c>
      <c r="C4288" s="2">
        <v>45292</v>
      </c>
      <c r="D4288" t="s">
        <v>26</v>
      </c>
      <c r="E4288">
        <v>2762</v>
      </c>
    </row>
    <row r="4289" spans="1:5" x14ac:dyDescent="0.55000000000000004">
      <c r="A4289" t="s">
        <v>4370</v>
      </c>
      <c r="B4289" t="s">
        <v>74</v>
      </c>
      <c r="C4289" s="2">
        <v>43569</v>
      </c>
      <c r="D4289" t="s">
        <v>29</v>
      </c>
      <c r="E4289">
        <v>2859</v>
      </c>
    </row>
    <row r="4290" spans="1:5" x14ac:dyDescent="0.55000000000000004">
      <c r="A4290" t="s">
        <v>4371</v>
      </c>
      <c r="B4290" t="s">
        <v>38</v>
      </c>
      <c r="C4290" s="2">
        <v>43965</v>
      </c>
      <c r="D4290" t="s">
        <v>29</v>
      </c>
      <c r="E4290">
        <v>2978</v>
      </c>
    </row>
    <row r="4291" spans="1:5" x14ac:dyDescent="0.55000000000000004">
      <c r="A4291" t="s">
        <v>4372</v>
      </c>
      <c r="B4291" t="s">
        <v>175</v>
      </c>
      <c r="C4291" s="2">
        <v>44772</v>
      </c>
      <c r="D4291" t="s">
        <v>29</v>
      </c>
      <c r="E4291">
        <v>1466</v>
      </c>
    </row>
    <row r="4292" spans="1:5" x14ac:dyDescent="0.55000000000000004">
      <c r="A4292" t="s">
        <v>4373</v>
      </c>
      <c r="B4292" t="s">
        <v>78</v>
      </c>
      <c r="C4292" s="2">
        <v>45433</v>
      </c>
      <c r="D4292" t="s">
        <v>29</v>
      </c>
      <c r="E4292">
        <v>2046</v>
      </c>
    </row>
    <row r="4293" spans="1:5" x14ac:dyDescent="0.55000000000000004">
      <c r="A4293" t="s">
        <v>4374</v>
      </c>
      <c r="B4293" t="s">
        <v>156</v>
      </c>
      <c r="C4293" s="2">
        <v>44480</v>
      </c>
      <c r="D4293" t="s">
        <v>29</v>
      </c>
      <c r="E4293">
        <v>1283</v>
      </c>
    </row>
    <row r="4294" spans="1:5" x14ac:dyDescent="0.55000000000000004">
      <c r="A4294" t="s">
        <v>4375</v>
      </c>
      <c r="B4294" t="s">
        <v>99</v>
      </c>
      <c r="C4294" s="2">
        <v>44245</v>
      </c>
      <c r="D4294" t="s">
        <v>26</v>
      </c>
      <c r="E4294">
        <v>2405</v>
      </c>
    </row>
    <row r="4295" spans="1:5" x14ac:dyDescent="0.55000000000000004">
      <c r="A4295" t="s">
        <v>4376</v>
      </c>
      <c r="B4295" t="s">
        <v>105</v>
      </c>
      <c r="C4295" s="2">
        <v>43004</v>
      </c>
      <c r="D4295" t="s">
        <v>29</v>
      </c>
      <c r="E4295">
        <v>1678</v>
      </c>
    </row>
    <row r="4296" spans="1:5" x14ac:dyDescent="0.55000000000000004">
      <c r="A4296" t="s">
        <v>4377</v>
      </c>
      <c r="B4296" t="s">
        <v>15</v>
      </c>
      <c r="C4296" s="2">
        <v>43862</v>
      </c>
      <c r="D4296" t="s">
        <v>29</v>
      </c>
      <c r="E4296">
        <v>1651</v>
      </c>
    </row>
    <row r="4297" spans="1:5" x14ac:dyDescent="0.55000000000000004">
      <c r="A4297" t="s">
        <v>4378</v>
      </c>
      <c r="B4297" t="s">
        <v>15</v>
      </c>
      <c r="C4297" s="2">
        <v>43868</v>
      </c>
      <c r="D4297" t="s">
        <v>29</v>
      </c>
      <c r="E4297">
        <v>625</v>
      </c>
    </row>
    <row r="4298" spans="1:5" x14ac:dyDescent="0.55000000000000004">
      <c r="A4298" t="s">
        <v>4379</v>
      </c>
      <c r="B4298" t="s">
        <v>72</v>
      </c>
      <c r="C4298" s="2">
        <v>44428</v>
      </c>
      <c r="D4298" t="s">
        <v>29</v>
      </c>
      <c r="E4298">
        <v>1718</v>
      </c>
    </row>
    <row r="4299" spans="1:5" x14ac:dyDescent="0.55000000000000004">
      <c r="A4299" t="s">
        <v>4380</v>
      </c>
      <c r="B4299" t="s">
        <v>14</v>
      </c>
      <c r="C4299" s="2">
        <v>43202</v>
      </c>
      <c r="D4299" t="s">
        <v>29</v>
      </c>
      <c r="E4299">
        <v>1562</v>
      </c>
    </row>
    <row r="4300" spans="1:5" x14ac:dyDescent="0.55000000000000004">
      <c r="A4300" t="s">
        <v>4381</v>
      </c>
      <c r="B4300" t="s">
        <v>76</v>
      </c>
      <c r="C4300" s="2">
        <v>44077</v>
      </c>
      <c r="D4300" t="s">
        <v>29</v>
      </c>
      <c r="E4300">
        <v>1497</v>
      </c>
    </row>
    <row r="4301" spans="1:5" x14ac:dyDescent="0.55000000000000004">
      <c r="A4301" t="s">
        <v>4382</v>
      </c>
      <c r="B4301" t="s">
        <v>14</v>
      </c>
      <c r="C4301" s="2">
        <v>43806</v>
      </c>
      <c r="D4301" t="s">
        <v>26</v>
      </c>
      <c r="E4301">
        <v>618</v>
      </c>
    </row>
    <row r="4302" spans="1:5" x14ac:dyDescent="0.55000000000000004">
      <c r="A4302" t="s">
        <v>4383</v>
      </c>
      <c r="B4302" t="s">
        <v>23</v>
      </c>
      <c r="C4302" s="2">
        <v>44207</v>
      </c>
      <c r="D4302" t="s">
        <v>26</v>
      </c>
      <c r="E4302">
        <v>388</v>
      </c>
    </row>
    <row r="4303" spans="1:5" x14ac:dyDescent="0.55000000000000004">
      <c r="A4303" t="s">
        <v>4384</v>
      </c>
      <c r="B4303" t="s">
        <v>14</v>
      </c>
      <c r="C4303" s="2">
        <v>43718</v>
      </c>
      <c r="D4303" t="s">
        <v>29</v>
      </c>
      <c r="E4303">
        <v>613</v>
      </c>
    </row>
    <row r="4304" spans="1:5" x14ac:dyDescent="0.55000000000000004">
      <c r="A4304" t="s">
        <v>4385</v>
      </c>
      <c r="B4304" t="s">
        <v>84</v>
      </c>
      <c r="C4304" s="2">
        <v>43607</v>
      </c>
      <c r="D4304" t="s">
        <v>26</v>
      </c>
      <c r="E4304">
        <v>88</v>
      </c>
    </row>
    <row r="4305" spans="1:5" x14ac:dyDescent="0.55000000000000004">
      <c r="A4305" t="s">
        <v>4386</v>
      </c>
      <c r="B4305" t="s">
        <v>96</v>
      </c>
      <c r="C4305" s="2">
        <v>45072</v>
      </c>
      <c r="D4305" t="s">
        <v>26</v>
      </c>
      <c r="E4305">
        <v>1243</v>
      </c>
    </row>
    <row r="4306" spans="1:5" x14ac:dyDescent="0.55000000000000004">
      <c r="A4306" t="s">
        <v>4387</v>
      </c>
      <c r="B4306" t="s">
        <v>175</v>
      </c>
      <c r="C4306" s="2">
        <v>45716</v>
      </c>
      <c r="D4306" t="s">
        <v>29</v>
      </c>
      <c r="E4306">
        <v>932</v>
      </c>
    </row>
    <row r="4307" spans="1:5" x14ac:dyDescent="0.55000000000000004">
      <c r="A4307" t="s">
        <v>4388</v>
      </c>
      <c r="B4307" t="s">
        <v>151</v>
      </c>
      <c r="C4307" s="2">
        <v>43913</v>
      </c>
      <c r="D4307" t="s">
        <v>29</v>
      </c>
      <c r="E4307">
        <v>1772</v>
      </c>
    </row>
    <row r="4308" spans="1:5" x14ac:dyDescent="0.55000000000000004">
      <c r="A4308" t="s">
        <v>4389</v>
      </c>
      <c r="B4308" t="s">
        <v>140</v>
      </c>
      <c r="C4308" s="2">
        <v>43244</v>
      </c>
      <c r="D4308" t="s">
        <v>29</v>
      </c>
      <c r="E4308">
        <v>2727</v>
      </c>
    </row>
    <row r="4309" spans="1:5" x14ac:dyDescent="0.55000000000000004">
      <c r="A4309" t="s">
        <v>4390</v>
      </c>
      <c r="B4309" t="s">
        <v>142</v>
      </c>
      <c r="C4309" s="2">
        <v>43640</v>
      </c>
      <c r="D4309" t="s">
        <v>26</v>
      </c>
      <c r="E4309">
        <v>274</v>
      </c>
    </row>
    <row r="4310" spans="1:5" x14ac:dyDescent="0.55000000000000004">
      <c r="A4310" t="s">
        <v>4391</v>
      </c>
      <c r="B4310" t="s">
        <v>111</v>
      </c>
      <c r="C4310" s="2">
        <v>44362</v>
      </c>
      <c r="D4310" t="s">
        <v>29</v>
      </c>
      <c r="E4310">
        <v>2489</v>
      </c>
    </row>
    <row r="4311" spans="1:5" x14ac:dyDescent="0.55000000000000004">
      <c r="A4311" t="s">
        <v>4392</v>
      </c>
      <c r="B4311" t="s">
        <v>156</v>
      </c>
      <c r="C4311" s="2">
        <v>43206</v>
      </c>
      <c r="D4311" t="s">
        <v>26</v>
      </c>
      <c r="E4311">
        <v>2124</v>
      </c>
    </row>
    <row r="4312" spans="1:5" x14ac:dyDescent="0.55000000000000004">
      <c r="A4312" t="s">
        <v>4393</v>
      </c>
      <c r="B4312" t="s">
        <v>96</v>
      </c>
      <c r="C4312" s="2">
        <v>44352</v>
      </c>
      <c r="D4312" t="s">
        <v>29</v>
      </c>
      <c r="E4312">
        <v>2009</v>
      </c>
    </row>
    <row r="4313" spans="1:5" x14ac:dyDescent="0.55000000000000004">
      <c r="A4313" t="s">
        <v>4394</v>
      </c>
      <c r="B4313" t="s">
        <v>14</v>
      </c>
      <c r="C4313" s="2">
        <v>43547</v>
      </c>
      <c r="D4313" t="s">
        <v>26</v>
      </c>
      <c r="E4313">
        <v>1386</v>
      </c>
    </row>
    <row r="4314" spans="1:5" x14ac:dyDescent="0.55000000000000004">
      <c r="A4314" t="s">
        <v>4395</v>
      </c>
      <c r="B4314" t="s">
        <v>35</v>
      </c>
      <c r="C4314" s="2">
        <v>44467</v>
      </c>
      <c r="D4314" t="s">
        <v>29</v>
      </c>
      <c r="E4314">
        <v>2505</v>
      </c>
    </row>
    <row r="4315" spans="1:5" x14ac:dyDescent="0.55000000000000004">
      <c r="A4315" t="s">
        <v>4396</v>
      </c>
      <c r="B4315" t="s">
        <v>115</v>
      </c>
      <c r="C4315" s="2">
        <v>44143</v>
      </c>
      <c r="D4315" t="s">
        <v>26</v>
      </c>
      <c r="E4315">
        <v>2169</v>
      </c>
    </row>
    <row r="4316" spans="1:5" x14ac:dyDescent="0.55000000000000004">
      <c r="A4316" t="s">
        <v>4397</v>
      </c>
      <c r="B4316" t="s">
        <v>156</v>
      </c>
      <c r="C4316" s="2">
        <v>43615</v>
      </c>
      <c r="D4316" t="s">
        <v>29</v>
      </c>
      <c r="E4316">
        <v>2820</v>
      </c>
    </row>
    <row r="4317" spans="1:5" x14ac:dyDescent="0.55000000000000004">
      <c r="A4317" t="s">
        <v>4398</v>
      </c>
      <c r="B4317" t="s">
        <v>76</v>
      </c>
      <c r="C4317" s="2">
        <v>43990</v>
      </c>
      <c r="D4317" t="s">
        <v>29</v>
      </c>
      <c r="E4317">
        <v>2315</v>
      </c>
    </row>
    <row r="4318" spans="1:5" x14ac:dyDescent="0.55000000000000004">
      <c r="A4318" t="s">
        <v>4399</v>
      </c>
      <c r="B4318" t="s">
        <v>96</v>
      </c>
      <c r="C4318" s="2">
        <v>43724</v>
      </c>
      <c r="D4318" t="s">
        <v>26</v>
      </c>
      <c r="E4318">
        <v>1831</v>
      </c>
    </row>
    <row r="4319" spans="1:5" x14ac:dyDescent="0.55000000000000004">
      <c r="A4319" t="s">
        <v>4400</v>
      </c>
      <c r="B4319" t="s">
        <v>86</v>
      </c>
      <c r="C4319" s="2">
        <v>43771</v>
      </c>
      <c r="D4319" t="s">
        <v>26</v>
      </c>
      <c r="E4319">
        <v>857</v>
      </c>
    </row>
    <row r="4320" spans="1:5" x14ac:dyDescent="0.55000000000000004">
      <c r="A4320" t="s">
        <v>4401</v>
      </c>
      <c r="B4320" t="s">
        <v>111</v>
      </c>
      <c r="C4320" s="2">
        <v>44326</v>
      </c>
      <c r="D4320" t="s">
        <v>26</v>
      </c>
      <c r="E4320">
        <v>1280</v>
      </c>
    </row>
    <row r="4321" spans="1:5" x14ac:dyDescent="0.55000000000000004">
      <c r="A4321" t="s">
        <v>4402</v>
      </c>
      <c r="B4321" t="s">
        <v>35</v>
      </c>
      <c r="C4321" s="2">
        <v>44806</v>
      </c>
      <c r="D4321" t="s">
        <v>29</v>
      </c>
      <c r="E4321">
        <v>2273</v>
      </c>
    </row>
    <row r="4322" spans="1:5" x14ac:dyDescent="0.55000000000000004">
      <c r="A4322" t="s">
        <v>4403</v>
      </c>
      <c r="B4322" t="s">
        <v>111</v>
      </c>
      <c r="C4322" s="2">
        <v>44099</v>
      </c>
      <c r="D4322" t="s">
        <v>29</v>
      </c>
      <c r="E4322">
        <v>2860</v>
      </c>
    </row>
    <row r="4323" spans="1:5" x14ac:dyDescent="0.55000000000000004">
      <c r="A4323" t="s">
        <v>4404</v>
      </c>
      <c r="B4323" t="s">
        <v>151</v>
      </c>
      <c r="C4323" s="2">
        <v>43177</v>
      </c>
      <c r="D4323" t="s">
        <v>29</v>
      </c>
      <c r="E4323">
        <v>2591</v>
      </c>
    </row>
    <row r="4324" spans="1:5" x14ac:dyDescent="0.55000000000000004">
      <c r="A4324" t="s">
        <v>4405</v>
      </c>
      <c r="B4324" t="s">
        <v>23</v>
      </c>
      <c r="C4324" s="2">
        <v>44299</v>
      </c>
      <c r="D4324" t="s">
        <v>26</v>
      </c>
      <c r="E4324">
        <v>1020</v>
      </c>
    </row>
    <row r="4325" spans="1:5" x14ac:dyDescent="0.55000000000000004">
      <c r="A4325" t="s">
        <v>4406</v>
      </c>
      <c r="B4325" t="s">
        <v>96</v>
      </c>
      <c r="C4325" s="2">
        <v>45773</v>
      </c>
      <c r="D4325" t="s">
        <v>29</v>
      </c>
      <c r="E4325">
        <v>79</v>
      </c>
    </row>
    <row r="4326" spans="1:5" x14ac:dyDescent="0.55000000000000004">
      <c r="A4326" t="s">
        <v>4407</v>
      </c>
      <c r="B4326" t="s">
        <v>111</v>
      </c>
      <c r="C4326" s="2">
        <v>43963</v>
      </c>
      <c r="D4326" t="s">
        <v>26</v>
      </c>
      <c r="E4326">
        <v>1573</v>
      </c>
    </row>
    <row r="4327" spans="1:5" x14ac:dyDescent="0.55000000000000004">
      <c r="A4327" t="s">
        <v>4408</v>
      </c>
      <c r="B4327" t="s">
        <v>118</v>
      </c>
      <c r="C4327" s="2">
        <v>44073</v>
      </c>
      <c r="D4327" t="s">
        <v>29</v>
      </c>
      <c r="E4327">
        <v>333</v>
      </c>
    </row>
    <row r="4328" spans="1:5" x14ac:dyDescent="0.55000000000000004">
      <c r="A4328" t="s">
        <v>4409</v>
      </c>
      <c r="B4328" t="s">
        <v>67</v>
      </c>
      <c r="C4328" s="2">
        <v>45476</v>
      </c>
      <c r="D4328" t="s">
        <v>29</v>
      </c>
      <c r="E4328">
        <v>2468</v>
      </c>
    </row>
    <row r="4329" spans="1:5" x14ac:dyDescent="0.55000000000000004">
      <c r="A4329" t="s">
        <v>4410</v>
      </c>
      <c r="B4329" t="s">
        <v>94</v>
      </c>
      <c r="C4329" s="2">
        <v>44555</v>
      </c>
      <c r="D4329" t="s">
        <v>26</v>
      </c>
      <c r="E4329">
        <v>1841</v>
      </c>
    </row>
    <row r="4330" spans="1:5" x14ac:dyDescent="0.55000000000000004">
      <c r="A4330" t="s">
        <v>4411</v>
      </c>
      <c r="B4330" t="s">
        <v>101</v>
      </c>
      <c r="C4330" s="2">
        <v>44509</v>
      </c>
      <c r="D4330" t="s">
        <v>26</v>
      </c>
      <c r="E4330">
        <v>1131</v>
      </c>
    </row>
    <row r="4331" spans="1:5" x14ac:dyDescent="0.55000000000000004">
      <c r="A4331" t="s">
        <v>4412</v>
      </c>
      <c r="B4331" t="s">
        <v>41</v>
      </c>
      <c r="C4331" s="2">
        <v>44124</v>
      </c>
      <c r="D4331" t="s">
        <v>29</v>
      </c>
      <c r="E4331">
        <v>241</v>
      </c>
    </row>
    <row r="4332" spans="1:5" x14ac:dyDescent="0.55000000000000004">
      <c r="A4332" t="s">
        <v>4413</v>
      </c>
      <c r="B4332" t="s">
        <v>96</v>
      </c>
      <c r="C4332" s="2">
        <v>44476</v>
      </c>
      <c r="D4332" t="s">
        <v>26</v>
      </c>
      <c r="E4332">
        <v>2593</v>
      </c>
    </row>
    <row r="4333" spans="1:5" x14ac:dyDescent="0.55000000000000004">
      <c r="A4333" t="s">
        <v>4414</v>
      </c>
      <c r="B4333" t="s">
        <v>14</v>
      </c>
      <c r="C4333" s="2">
        <v>43587</v>
      </c>
      <c r="D4333" t="s">
        <v>29</v>
      </c>
      <c r="E4333">
        <v>2542</v>
      </c>
    </row>
    <row r="4334" spans="1:5" x14ac:dyDescent="0.55000000000000004">
      <c r="A4334" t="s">
        <v>4415</v>
      </c>
      <c r="B4334" t="s">
        <v>96</v>
      </c>
      <c r="C4334" s="2">
        <v>45767</v>
      </c>
      <c r="D4334" t="s">
        <v>26</v>
      </c>
      <c r="E4334">
        <v>1117</v>
      </c>
    </row>
    <row r="4335" spans="1:5" x14ac:dyDescent="0.55000000000000004">
      <c r="A4335" t="s">
        <v>4416</v>
      </c>
      <c r="B4335" t="s">
        <v>111</v>
      </c>
      <c r="C4335" s="2">
        <v>43909</v>
      </c>
      <c r="D4335" t="s">
        <v>29</v>
      </c>
      <c r="E4335">
        <v>2477</v>
      </c>
    </row>
    <row r="4336" spans="1:5" x14ac:dyDescent="0.55000000000000004">
      <c r="A4336" t="s">
        <v>4417</v>
      </c>
      <c r="B4336" t="s">
        <v>94</v>
      </c>
      <c r="C4336" s="2">
        <v>45662</v>
      </c>
      <c r="D4336" t="s">
        <v>26</v>
      </c>
      <c r="E4336">
        <v>2645</v>
      </c>
    </row>
    <row r="4337" spans="1:5" x14ac:dyDescent="0.55000000000000004">
      <c r="A4337" t="s">
        <v>4418</v>
      </c>
      <c r="B4337" t="s">
        <v>151</v>
      </c>
      <c r="C4337" s="2">
        <v>44140</v>
      </c>
      <c r="D4337" t="s">
        <v>26</v>
      </c>
      <c r="E4337">
        <v>1210</v>
      </c>
    </row>
    <row r="4338" spans="1:5" x14ac:dyDescent="0.55000000000000004">
      <c r="A4338" t="s">
        <v>4419</v>
      </c>
      <c r="B4338" t="s">
        <v>78</v>
      </c>
      <c r="C4338" s="2">
        <v>43714</v>
      </c>
      <c r="D4338" t="s">
        <v>26</v>
      </c>
      <c r="E4338">
        <v>2144</v>
      </c>
    </row>
    <row r="4339" spans="1:5" x14ac:dyDescent="0.55000000000000004">
      <c r="A4339" t="s">
        <v>4420</v>
      </c>
      <c r="B4339" t="s">
        <v>137</v>
      </c>
      <c r="C4339" s="2">
        <v>45530</v>
      </c>
      <c r="D4339" t="s">
        <v>29</v>
      </c>
      <c r="E4339">
        <v>1016</v>
      </c>
    </row>
    <row r="4340" spans="1:5" x14ac:dyDescent="0.55000000000000004">
      <c r="A4340" t="s">
        <v>4421</v>
      </c>
      <c r="B4340" t="s">
        <v>137</v>
      </c>
      <c r="C4340" s="2">
        <v>45006</v>
      </c>
      <c r="D4340" t="s">
        <v>29</v>
      </c>
      <c r="E4340">
        <v>2869</v>
      </c>
    </row>
    <row r="4341" spans="1:5" x14ac:dyDescent="0.55000000000000004">
      <c r="A4341" t="s">
        <v>4422</v>
      </c>
      <c r="B4341" t="s">
        <v>175</v>
      </c>
      <c r="C4341" s="2">
        <v>43510</v>
      </c>
      <c r="D4341" t="s">
        <v>29</v>
      </c>
      <c r="E4341">
        <v>1069</v>
      </c>
    </row>
    <row r="4342" spans="1:5" x14ac:dyDescent="0.55000000000000004">
      <c r="A4342" t="s">
        <v>4423</v>
      </c>
      <c r="B4342" t="s">
        <v>151</v>
      </c>
      <c r="C4342" s="2">
        <v>43212</v>
      </c>
      <c r="D4342" t="s">
        <v>29</v>
      </c>
      <c r="E4342">
        <v>103</v>
      </c>
    </row>
    <row r="4343" spans="1:5" x14ac:dyDescent="0.55000000000000004">
      <c r="A4343" t="s">
        <v>4424</v>
      </c>
      <c r="B4343" t="s">
        <v>14</v>
      </c>
      <c r="C4343" s="2">
        <v>44251</v>
      </c>
      <c r="D4343" t="s">
        <v>29</v>
      </c>
      <c r="E4343">
        <v>322</v>
      </c>
    </row>
    <row r="4344" spans="1:5" x14ac:dyDescent="0.55000000000000004">
      <c r="A4344" t="s">
        <v>4425</v>
      </c>
      <c r="B4344" t="s">
        <v>86</v>
      </c>
      <c r="C4344" s="2">
        <v>43869</v>
      </c>
      <c r="D4344" t="s">
        <v>26</v>
      </c>
      <c r="E4344">
        <v>1829</v>
      </c>
    </row>
    <row r="4345" spans="1:5" x14ac:dyDescent="0.55000000000000004">
      <c r="A4345" t="s">
        <v>4426</v>
      </c>
      <c r="B4345" t="s">
        <v>35</v>
      </c>
      <c r="C4345" s="2">
        <v>44613</v>
      </c>
      <c r="D4345" t="s">
        <v>26</v>
      </c>
      <c r="E4345">
        <v>2432</v>
      </c>
    </row>
    <row r="4346" spans="1:5" x14ac:dyDescent="0.55000000000000004">
      <c r="A4346" t="s">
        <v>4427</v>
      </c>
      <c r="B4346" t="s">
        <v>15</v>
      </c>
      <c r="C4346" s="2">
        <v>44470</v>
      </c>
      <c r="D4346" t="s">
        <v>29</v>
      </c>
      <c r="E4346">
        <v>441</v>
      </c>
    </row>
    <row r="4347" spans="1:5" x14ac:dyDescent="0.55000000000000004">
      <c r="A4347" t="s">
        <v>4428</v>
      </c>
      <c r="B4347" t="s">
        <v>84</v>
      </c>
      <c r="C4347" s="2">
        <v>43850</v>
      </c>
      <c r="D4347" t="s">
        <v>29</v>
      </c>
      <c r="E4347">
        <v>810</v>
      </c>
    </row>
    <row r="4348" spans="1:5" x14ac:dyDescent="0.55000000000000004">
      <c r="A4348" t="s">
        <v>4429</v>
      </c>
      <c r="B4348" t="s">
        <v>41</v>
      </c>
      <c r="C4348" s="2">
        <v>44759</v>
      </c>
      <c r="D4348" t="s">
        <v>29</v>
      </c>
      <c r="E4348">
        <v>667</v>
      </c>
    </row>
    <row r="4349" spans="1:5" x14ac:dyDescent="0.55000000000000004">
      <c r="A4349" t="s">
        <v>4430</v>
      </c>
      <c r="B4349" t="s">
        <v>23</v>
      </c>
      <c r="C4349" s="2">
        <v>44094</v>
      </c>
      <c r="D4349" t="s">
        <v>29</v>
      </c>
      <c r="E4349">
        <v>69</v>
      </c>
    </row>
    <row r="4350" spans="1:5" x14ac:dyDescent="0.55000000000000004">
      <c r="A4350" t="s">
        <v>4431</v>
      </c>
      <c r="B4350" t="s">
        <v>115</v>
      </c>
      <c r="C4350" s="2">
        <v>43024</v>
      </c>
      <c r="D4350" t="s">
        <v>29</v>
      </c>
      <c r="E4350">
        <v>2263</v>
      </c>
    </row>
    <row r="4351" spans="1:5" x14ac:dyDescent="0.55000000000000004">
      <c r="A4351" t="s">
        <v>4432</v>
      </c>
      <c r="B4351" t="s">
        <v>96</v>
      </c>
      <c r="C4351" s="2">
        <v>44976</v>
      </c>
      <c r="D4351" t="s">
        <v>26</v>
      </c>
      <c r="E4351">
        <v>1291</v>
      </c>
    </row>
    <row r="4352" spans="1:5" x14ac:dyDescent="0.55000000000000004">
      <c r="A4352" t="s">
        <v>4433</v>
      </c>
      <c r="B4352" t="s">
        <v>175</v>
      </c>
      <c r="C4352" s="2">
        <v>45002</v>
      </c>
      <c r="D4352" t="s">
        <v>26</v>
      </c>
      <c r="E4352">
        <v>2575</v>
      </c>
    </row>
    <row r="4353" spans="1:5" x14ac:dyDescent="0.55000000000000004">
      <c r="A4353" t="s">
        <v>4434</v>
      </c>
      <c r="B4353" t="s">
        <v>140</v>
      </c>
      <c r="C4353" s="2">
        <v>44240</v>
      </c>
      <c r="D4353" t="s">
        <v>29</v>
      </c>
      <c r="E4353">
        <v>1620</v>
      </c>
    </row>
    <row r="4354" spans="1:5" x14ac:dyDescent="0.55000000000000004">
      <c r="A4354" t="s">
        <v>4435</v>
      </c>
      <c r="B4354" t="s">
        <v>105</v>
      </c>
      <c r="C4354" s="2">
        <v>43585</v>
      </c>
      <c r="D4354" t="s">
        <v>26</v>
      </c>
      <c r="E4354">
        <v>2636</v>
      </c>
    </row>
    <row r="4355" spans="1:5" x14ac:dyDescent="0.55000000000000004">
      <c r="A4355" t="s">
        <v>4436</v>
      </c>
      <c r="B4355" t="s">
        <v>156</v>
      </c>
      <c r="C4355" s="2">
        <v>43580</v>
      </c>
      <c r="D4355" t="s">
        <v>26</v>
      </c>
      <c r="E4355">
        <v>2095</v>
      </c>
    </row>
    <row r="4356" spans="1:5" x14ac:dyDescent="0.55000000000000004">
      <c r="A4356" t="s">
        <v>4437</v>
      </c>
      <c r="B4356" t="s">
        <v>142</v>
      </c>
      <c r="C4356" s="2">
        <v>44397</v>
      </c>
      <c r="D4356" t="s">
        <v>26</v>
      </c>
      <c r="E4356">
        <v>2034</v>
      </c>
    </row>
    <row r="4357" spans="1:5" x14ac:dyDescent="0.55000000000000004">
      <c r="A4357" t="s">
        <v>4438</v>
      </c>
      <c r="B4357" t="s">
        <v>74</v>
      </c>
      <c r="C4357" s="2">
        <v>43056</v>
      </c>
      <c r="D4357" t="s">
        <v>26</v>
      </c>
      <c r="E4357">
        <v>620</v>
      </c>
    </row>
    <row r="4358" spans="1:5" x14ac:dyDescent="0.55000000000000004">
      <c r="A4358" t="s">
        <v>4439</v>
      </c>
      <c r="B4358" t="s">
        <v>115</v>
      </c>
      <c r="C4358" s="2">
        <v>43987</v>
      </c>
      <c r="D4358" t="s">
        <v>26</v>
      </c>
      <c r="E4358">
        <v>2923</v>
      </c>
    </row>
    <row r="4359" spans="1:5" x14ac:dyDescent="0.55000000000000004">
      <c r="A4359" t="s">
        <v>4440</v>
      </c>
      <c r="B4359" t="s">
        <v>63</v>
      </c>
      <c r="C4359" s="2">
        <v>43105</v>
      </c>
      <c r="D4359" t="s">
        <v>29</v>
      </c>
      <c r="E4359">
        <v>1462</v>
      </c>
    </row>
    <row r="4360" spans="1:5" x14ac:dyDescent="0.55000000000000004">
      <c r="A4360" t="s">
        <v>4441</v>
      </c>
      <c r="B4360" t="s">
        <v>111</v>
      </c>
      <c r="C4360" s="2">
        <v>43083</v>
      </c>
      <c r="D4360" t="s">
        <v>29</v>
      </c>
      <c r="E4360">
        <v>1407</v>
      </c>
    </row>
    <row r="4361" spans="1:5" x14ac:dyDescent="0.55000000000000004">
      <c r="A4361" t="s">
        <v>4442</v>
      </c>
      <c r="B4361" t="s">
        <v>118</v>
      </c>
      <c r="C4361" s="2">
        <v>43750</v>
      </c>
      <c r="D4361" t="s">
        <v>29</v>
      </c>
      <c r="E4361">
        <v>1640</v>
      </c>
    </row>
    <row r="4362" spans="1:5" x14ac:dyDescent="0.55000000000000004">
      <c r="A4362" t="s">
        <v>4443</v>
      </c>
      <c r="B4362" t="s">
        <v>99</v>
      </c>
      <c r="C4362" s="2">
        <v>43720</v>
      </c>
      <c r="D4362" t="s">
        <v>29</v>
      </c>
      <c r="E4362">
        <v>2628</v>
      </c>
    </row>
    <row r="4363" spans="1:5" x14ac:dyDescent="0.55000000000000004">
      <c r="A4363" t="s">
        <v>4444</v>
      </c>
      <c r="B4363" t="s">
        <v>137</v>
      </c>
      <c r="C4363" s="2">
        <v>45087</v>
      </c>
      <c r="D4363" t="s">
        <v>26</v>
      </c>
      <c r="E4363">
        <v>2245</v>
      </c>
    </row>
    <row r="4364" spans="1:5" x14ac:dyDescent="0.55000000000000004">
      <c r="A4364" t="s">
        <v>4445</v>
      </c>
      <c r="B4364" t="s">
        <v>175</v>
      </c>
      <c r="C4364" s="2">
        <v>43832</v>
      </c>
      <c r="D4364" t="s">
        <v>26</v>
      </c>
      <c r="E4364">
        <v>1837</v>
      </c>
    </row>
    <row r="4365" spans="1:5" x14ac:dyDescent="0.55000000000000004">
      <c r="A4365" t="s">
        <v>4446</v>
      </c>
      <c r="B4365" t="s">
        <v>105</v>
      </c>
      <c r="C4365" s="2">
        <v>43153</v>
      </c>
      <c r="D4365" t="s">
        <v>29</v>
      </c>
      <c r="E4365">
        <v>931</v>
      </c>
    </row>
    <row r="4366" spans="1:5" x14ac:dyDescent="0.55000000000000004">
      <c r="A4366" t="s">
        <v>4447</v>
      </c>
      <c r="B4366" t="s">
        <v>63</v>
      </c>
      <c r="C4366" s="2">
        <v>43032</v>
      </c>
      <c r="D4366" t="s">
        <v>26</v>
      </c>
      <c r="E4366">
        <v>214</v>
      </c>
    </row>
    <row r="4367" spans="1:5" x14ac:dyDescent="0.55000000000000004">
      <c r="A4367" t="s">
        <v>4448</v>
      </c>
      <c r="B4367" t="s">
        <v>35</v>
      </c>
      <c r="C4367" s="2">
        <v>44292</v>
      </c>
      <c r="D4367" t="s">
        <v>29</v>
      </c>
      <c r="E4367">
        <v>173</v>
      </c>
    </row>
    <row r="4368" spans="1:5" x14ac:dyDescent="0.55000000000000004">
      <c r="A4368" t="s">
        <v>4449</v>
      </c>
      <c r="B4368" t="s">
        <v>142</v>
      </c>
      <c r="C4368" s="2">
        <v>43365</v>
      </c>
      <c r="D4368" t="s">
        <v>26</v>
      </c>
      <c r="E4368">
        <v>625</v>
      </c>
    </row>
    <row r="4369" spans="1:5" x14ac:dyDescent="0.55000000000000004">
      <c r="A4369" t="s">
        <v>4450</v>
      </c>
      <c r="B4369" t="s">
        <v>76</v>
      </c>
      <c r="C4369" s="2">
        <v>44029</v>
      </c>
      <c r="D4369" t="s">
        <v>29</v>
      </c>
      <c r="E4369">
        <v>1322</v>
      </c>
    </row>
    <row r="4370" spans="1:5" x14ac:dyDescent="0.55000000000000004">
      <c r="A4370" t="s">
        <v>4451</v>
      </c>
      <c r="B4370" t="s">
        <v>101</v>
      </c>
      <c r="C4370" s="2">
        <v>44465</v>
      </c>
      <c r="D4370" t="s">
        <v>29</v>
      </c>
      <c r="E4370">
        <v>78</v>
      </c>
    </row>
    <row r="4371" spans="1:5" x14ac:dyDescent="0.55000000000000004">
      <c r="A4371" t="s">
        <v>4452</v>
      </c>
      <c r="B4371" t="s">
        <v>67</v>
      </c>
      <c r="C4371" s="2">
        <v>44652</v>
      </c>
      <c r="D4371" t="s">
        <v>29</v>
      </c>
      <c r="E4371">
        <v>96</v>
      </c>
    </row>
    <row r="4372" spans="1:5" x14ac:dyDescent="0.55000000000000004">
      <c r="A4372" t="s">
        <v>4453</v>
      </c>
      <c r="B4372" t="s">
        <v>38</v>
      </c>
      <c r="C4372" s="2">
        <v>44680</v>
      </c>
      <c r="D4372" t="s">
        <v>26</v>
      </c>
      <c r="E4372">
        <v>164</v>
      </c>
    </row>
    <row r="4373" spans="1:5" x14ac:dyDescent="0.55000000000000004">
      <c r="A4373" t="s">
        <v>4454</v>
      </c>
      <c r="B4373" t="s">
        <v>151</v>
      </c>
      <c r="C4373" s="2">
        <v>44124</v>
      </c>
      <c r="D4373" t="s">
        <v>26</v>
      </c>
      <c r="E4373">
        <v>855</v>
      </c>
    </row>
    <row r="4374" spans="1:5" x14ac:dyDescent="0.55000000000000004">
      <c r="A4374" t="s">
        <v>4455</v>
      </c>
      <c r="B4374" t="s">
        <v>63</v>
      </c>
      <c r="C4374" s="2">
        <v>44110</v>
      </c>
      <c r="D4374" t="s">
        <v>29</v>
      </c>
      <c r="E4374">
        <v>29</v>
      </c>
    </row>
    <row r="4375" spans="1:5" x14ac:dyDescent="0.55000000000000004">
      <c r="A4375" t="s">
        <v>4456</v>
      </c>
      <c r="B4375" t="s">
        <v>86</v>
      </c>
      <c r="C4375" s="2">
        <v>44354</v>
      </c>
      <c r="D4375" t="s">
        <v>26</v>
      </c>
      <c r="E4375">
        <v>2382</v>
      </c>
    </row>
    <row r="4376" spans="1:5" x14ac:dyDescent="0.55000000000000004">
      <c r="A4376" t="s">
        <v>4457</v>
      </c>
      <c r="B4376" t="s">
        <v>94</v>
      </c>
      <c r="C4376" s="2">
        <v>44973</v>
      </c>
      <c r="D4376" t="s">
        <v>26</v>
      </c>
      <c r="E4376">
        <v>1626</v>
      </c>
    </row>
    <row r="4377" spans="1:5" x14ac:dyDescent="0.55000000000000004">
      <c r="A4377" t="s">
        <v>4458</v>
      </c>
      <c r="B4377" t="s">
        <v>151</v>
      </c>
      <c r="C4377" s="2">
        <v>43228</v>
      </c>
      <c r="D4377" t="s">
        <v>26</v>
      </c>
      <c r="E4377">
        <v>2570</v>
      </c>
    </row>
    <row r="4378" spans="1:5" x14ac:dyDescent="0.55000000000000004">
      <c r="A4378" t="s">
        <v>4459</v>
      </c>
      <c r="B4378" t="s">
        <v>78</v>
      </c>
      <c r="C4378" s="2">
        <v>44618</v>
      </c>
      <c r="D4378" t="s">
        <v>29</v>
      </c>
      <c r="E4378">
        <v>2278</v>
      </c>
    </row>
    <row r="4379" spans="1:5" x14ac:dyDescent="0.55000000000000004">
      <c r="A4379" t="s">
        <v>4460</v>
      </c>
      <c r="B4379" t="s">
        <v>86</v>
      </c>
      <c r="C4379" s="2">
        <v>43963</v>
      </c>
      <c r="D4379" t="s">
        <v>29</v>
      </c>
      <c r="E4379">
        <v>654</v>
      </c>
    </row>
    <row r="4380" spans="1:5" x14ac:dyDescent="0.55000000000000004">
      <c r="A4380" t="s">
        <v>4461</v>
      </c>
      <c r="B4380" t="s">
        <v>175</v>
      </c>
      <c r="C4380" s="2">
        <v>44291</v>
      </c>
      <c r="D4380" t="s">
        <v>29</v>
      </c>
      <c r="E4380">
        <v>1370</v>
      </c>
    </row>
    <row r="4381" spans="1:5" x14ac:dyDescent="0.55000000000000004">
      <c r="A4381" t="s">
        <v>4462</v>
      </c>
      <c r="B4381" t="s">
        <v>151</v>
      </c>
      <c r="C4381" s="2">
        <v>43586</v>
      </c>
      <c r="D4381" t="s">
        <v>29</v>
      </c>
      <c r="E4381">
        <v>1608</v>
      </c>
    </row>
    <row r="4382" spans="1:5" x14ac:dyDescent="0.55000000000000004">
      <c r="A4382" t="s">
        <v>4463</v>
      </c>
      <c r="B4382" t="s">
        <v>115</v>
      </c>
      <c r="C4382" s="2">
        <v>44249</v>
      </c>
      <c r="D4382" t="s">
        <v>29</v>
      </c>
      <c r="E4382">
        <v>1849</v>
      </c>
    </row>
    <row r="4383" spans="1:5" x14ac:dyDescent="0.55000000000000004">
      <c r="A4383" t="s">
        <v>4464</v>
      </c>
      <c r="B4383" t="s">
        <v>14</v>
      </c>
      <c r="C4383" s="2">
        <v>43829</v>
      </c>
      <c r="D4383" t="s">
        <v>29</v>
      </c>
      <c r="E4383">
        <v>838</v>
      </c>
    </row>
    <row r="4384" spans="1:5" x14ac:dyDescent="0.55000000000000004">
      <c r="A4384" t="s">
        <v>4465</v>
      </c>
      <c r="B4384" t="s">
        <v>105</v>
      </c>
      <c r="C4384" s="2">
        <v>43147</v>
      </c>
      <c r="D4384" t="s">
        <v>26</v>
      </c>
      <c r="E4384">
        <v>1587</v>
      </c>
    </row>
    <row r="4385" spans="1:5" x14ac:dyDescent="0.55000000000000004">
      <c r="A4385" t="s">
        <v>4466</v>
      </c>
      <c r="B4385" t="s">
        <v>137</v>
      </c>
      <c r="C4385" s="2">
        <v>43903</v>
      </c>
      <c r="D4385" t="s">
        <v>26</v>
      </c>
      <c r="E4385">
        <v>819</v>
      </c>
    </row>
    <row r="4386" spans="1:5" x14ac:dyDescent="0.55000000000000004">
      <c r="A4386" t="s">
        <v>4467</v>
      </c>
      <c r="B4386" t="s">
        <v>118</v>
      </c>
      <c r="C4386" s="2">
        <v>45801</v>
      </c>
      <c r="D4386" t="s">
        <v>29</v>
      </c>
      <c r="E4386">
        <v>2825</v>
      </c>
    </row>
    <row r="4387" spans="1:5" x14ac:dyDescent="0.55000000000000004">
      <c r="A4387" t="s">
        <v>4468</v>
      </c>
      <c r="B4387" t="s">
        <v>38</v>
      </c>
      <c r="C4387" s="2">
        <v>44269</v>
      </c>
      <c r="D4387" t="s">
        <v>29</v>
      </c>
      <c r="E4387">
        <v>1478</v>
      </c>
    </row>
    <row r="4388" spans="1:5" x14ac:dyDescent="0.55000000000000004">
      <c r="A4388" t="s">
        <v>4469</v>
      </c>
      <c r="B4388" t="s">
        <v>15</v>
      </c>
      <c r="C4388" s="2">
        <v>43028</v>
      </c>
      <c r="D4388" t="s">
        <v>26</v>
      </c>
      <c r="E4388">
        <v>2321</v>
      </c>
    </row>
    <row r="4389" spans="1:5" x14ac:dyDescent="0.55000000000000004">
      <c r="A4389" t="s">
        <v>4470</v>
      </c>
      <c r="B4389" t="s">
        <v>94</v>
      </c>
      <c r="C4389" s="2">
        <v>44499</v>
      </c>
      <c r="D4389" t="s">
        <v>26</v>
      </c>
      <c r="E4389">
        <v>2093</v>
      </c>
    </row>
    <row r="4390" spans="1:5" x14ac:dyDescent="0.55000000000000004">
      <c r="A4390" t="s">
        <v>4471</v>
      </c>
      <c r="B4390" t="s">
        <v>14</v>
      </c>
      <c r="C4390" s="2">
        <v>43551</v>
      </c>
      <c r="D4390" t="s">
        <v>26</v>
      </c>
      <c r="E4390">
        <v>886</v>
      </c>
    </row>
    <row r="4391" spans="1:5" x14ac:dyDescent="0.55000000000000004">
      <c r="A4391" t="s">
        <v>4472</v>
      </c>
      <c r="B4391" t="s">
        <v>175</v>
      </c>
      <c r="C4391" s="2">
        <v>44207</v>
      </c>
      <c r="D4391" t="s">
        <v>29</v>
      </c>
      <c r="E4391">
        <v>845</v>
      </c>
    </row>
    <row r="4392" spans="1:5" x14ac:dyDescent="0.55000000000000004">
      <c r="A4392" t="s">
        <v>4473</v>
      </c>
      <c r="B4392" t="s">
        <v>96</v>
      </c>
      <c r="C4392" s="2">
        <v>45057</v>
      </c>
      <c r="D4392" t="s">
        <v>29</v>
      </c>
      <c r="E4392">
        <v>1875</v>
      </c>
    </row>
    <row r="4393" spans="1:5" x14ac:dyDescent="0.55000000000000004">
      <c r="A4393" t="s">
        <v>4474</v>
      </c>
      <c r="B4393" t="s">
        <v>101</v>
      </c>
      <c r="C4393" s="2">
        <v>44149</v>
      </c>
      <c r="D4393" t="s">
        <v>26</v>
      </c>
      <c r="E4393">
        <v>2013</v>
      </c>
    </row>
    <row r="4394" spans="1:5" x14ac:dyDescent="0.55000000000000004">
      <c r="A4394" t="s">
        <v>4475</v>
      </c>
      <c r="B4394" t="s">
        <v>96</v>
      </c>
      <c r="C4394" s="2">
        <v>45763</v>
      </c>
      <c r="D4394" t="s">
        <v>29</v>
      </c>
      <c r="E4394">
        <v>2732</v>
      </c>
    </row>
    <row r="4395" spans="1:5" x14ac:dyDescent="0.55000000000000004">
      <c r="A4395" t="s">
        <v>4476</v>
      </c>
      <c r="B4395" t="s">
        <v>76</v>
      </c>
      <c r="C4395" s="2">
        <v>44483</v>
      </c>
      <c r="D4395" t="s">
        <v>26</v>
      </c>
      <c r="E4395">
        <v>2524</v>
      </c>
    </row>
    <row r="4396" spans="1:5" x14ac:dyDescent="0.55000000000000004">
      <c r="A4396" t="s">
        <v>4477</v>
      </c>
      <c r="B4396" t="s">
        <v>115</v>
      </c>
      <c r="C4396" s="2">
        <v>42917</v>
      </c>
      <c r="D4396" t="s">
        <v>26</v>
      </c>
      <c r="E4396">
        <v>2536</v>
      </c>
    </row>
    <row r="4397" spans="1:5" x14ac:dyDescent="0.55000000000000004">
      <c r="A4397" t="s">
        <v>4478</v>
      </c>
      <c r="B4397" t="s">
        <v>142</v>
      </c>
      <c r="C4397" s="2">
        <v>42939</v>
      </c>
      <c r="D4397" t="s">
        <v>29</v>
      </c>
      <c r="E4397">
        <v>0</v>
      </c>
    </row>
    <row r="4398" spans="1:5" x14ac:dyDescent="0.55000000000000004">
      <c r="A4398" t="s">
        <v>4479</v>
      </c>
      <c r="B4398" t="s">
        <v>156</v>
      </c>
      <c r="C4398" s="2">
        <v>43828</v>
      </c>
      <c r="D4398" t="s">
        <v>29</v>
      </c>
      <c r="E4398">
        <v>2984</v>
      </c>
    </row>
    <row r="4399" spans="1:5" x14ac:dyDescent="0.55000000000000004">
      <c r="A4399" t="s">
        <v>4480</v>
      </c>
      <c r="B4399" t="s">
        <v>23</v>
      </c>
      <c r="C4399" s="2">
        <v>44157</v>
      </c>
      <c r="D4399" t="s">
        <v>26</v>
      </c>
      <c r="E4399">
        <v>219</v>
      </c>
    </row>
    <row r="4400" spans="1:5" x14ac:dyDescent="0.55000000000000004">
      <c r="A4400" t="s">
        <v>4481</v>
      </c>
      <c r="B4400" t="s">
        <v>86</v>
      </c>
      <c r="C4400" s="2">
        <v>43357</v>
      </c>
      <c r="D4400" t="s">
        <v>26</v>
      </c>
      <c r="E4400">
        <v>1733</v>
      </c>
    </row>
    <row r="4401" spans="1:5" x14ac:dyDescent="0.55000000000000004">
      <c r="A4401" t="s">
        <v>4482</v>
      </c>
      <c r="B4401" t="s">
        <v>78</v>
      </c>
      <c r="C4401" s="2">
        <v>44993</v>
      </c>
      <c r="D4401" t="s">
        <v>26</v>
      </c>
      <c r="E4401">
        <v>1146</v>
      </c>
    </row>
    <row r="4402" spans="1:5" x14ac:dyDescent="0.55000000000000004">
      <c r="A4402" t="s">
        <v>4483</v>
      </c>
      <c r="B4402" t="s">
        <v>140</v>
      </c>
      <c r="C4402" s="2">
        <v>44255</v>
      </c>
      <c r="D4402" t="s">
        <v>26</v>
      </c>
      <c r="E4402">
        <v>1218</v>
      </c>
    </row>
    <row r="4403" spans="1:5" x14ac:dyDescent="0.55000000000000004">
      <c r="A4403" t="s">
        <v>4484</v>
      </c>
      <c r="B4403" t="s">
        <v>118</v>
      </c>
      <c r="C4403" s="2">
        <v>43609</v>
      </c>
      <c r="D4403" t="s">
        <v>26</v>
      </c>
      <c r="E4403">
        <v>1237</v>
      </c>
    </row>
    <row r="4404" spans="1:5" x14ac:dyDescent="0.55000000000000004">
      <c r="A4404" t="s">
        <v>4485</v>
      </c>
      <c r="B4404" t="s">
        <v>72</v>
      </c>
      <c r="C4404" s="2">
        <v>43455</v>
      </c>
      <c r="D4404" t="s">
        <v>29</v>
      </c>
      <c r="E4404">
        <v>838</v>
      </c>
    </row>
    <row r="4405" spans="1:5" x14ac:dyDescent="0.55000000000000004">
      <c r="A4405" t="s">
        <v>4486</v>
      </c>
      <c r="B4405" t="s">
        <v>115</v>
      </c>
      <c r="C4405" s="2">
        <v>44220</v>
      </c>
      <c r="D4405" t="s">
        <v>26</v>
      </c>
      <c r="E4405">
        <v>1951</v>
      </c>
    </row>
    <row r="4406" spans="1:5" x14ac:dyDescent="0.55000000000000004">
      <c r="A4406" t="s">
        <v>4487</v>
      </c>
      <c r="B4406" t="s">
        <v>105</v>
      </c>
      <c r="C4406" s="2">
        <v>42946</v>
      </c>
      <c r="D4406" t="s">
        <v>26</v>
      </c>
      <c r="E4406">
        <v>352</v>
      </c>
    </row>
    <row r="4407" spans="1:5" x14ac:dyDescent="0.55000000000000004">
      <c r="A4407" t="s">
        <v>4488</v>
      </c>
      <c r="B4407" t="s">
        <v>78</v>
      </c>
      <c r="C4407" s="2">
        <v>44427</v>
      </c>
      <c r="D4407" t="s">
        <v>29</v>
      </c>
      <c r="E4407">
        <v>2374</v>
      </c>
    </row>
    <row r="4408" spans="1:5" x14ac:dyDescent="0.55000000000000004">
      <c r="A4408" t="s">
        <v>4489</v>
      </c>
      <c r="B4408" t="s">
        <v>41</v>
      </c>
      <c r="C4408" s="2">
        <v>44390</v>
      </c>
      <c r="D4408" t="s">
        <v>29</v>
      </c>
      <c r="E4408">
        <v>92</v>
      </c>
    </row>
    <row r="4409" spans="1:5" x14ac:dyDescent="0.55000000000000004">
      <c r="A4409" t="s">
        <v>4490</v>
      </c>
      <c r="B4409" t="s">
        <v>41</v>
      </c>
      <c r="C4409" s="2">
        <v>44813</v>
      </c>
      <c r="D4409" t="s">
        <v>26</v>
      </c>
      <c r="E4409">
        <v>2995</v>
      </c>
    </row>
    <row r="4410" spans="1:5" x14ac:dyDescent="0.55000000000000004">
      <c r="A4410" t="s">
        <v>4491</v>
      </c>
      <c r="B4410" t="s">
        <v>41</v>
      </c>
      <c r="C4410" s="2">
        <v>44144</v>
      </c>
      <c r="D4410" t="s">
        <v>26</v>
      </c>
      <c r="E4410">
        <v>266</v>
      </c>
    </row>
    <row r="4411" spans="1:5" x14ac:dyDescent="0.55000000000000004">
      <c r="A4411" t="s">
        <v>4492</v>
      </c>
      <c r="B4411" t="s">
        <v>101</v>
      </c>
      <c r="C4411" s="2">
        <v>44305</v>
      </c>
      <c r="D4411" t="s">
        <v>29</v>
      </c>
      <c r="E4411">
        <v>122</v>
      </c>
    </row>
    <row r="4412" spans="1:5" x14ac:dyDescent="0.55000000000000004">
      <c r="A4412" t="s">
        <v>4493</v>
      </c>
      <c r="B4412" t="s">
        <v>142</v>
      </c>
      <c r="C4412" s="2">
        <v>43935</v>
      </c>
      <c r="D4412" t="s">
        <v>29</v>
      </c>
      <c r="E4412">
        <v>1907</v>
      </c>
    </row>
    <row r="4413" spans="1:5" x14ac:dyDescent="0.55000000000000004">
      <c r="A4413" t="s">
        <v>4494</v>
      </c>
      <c r="B4413" t="s">
        <v>140</v>
      </c>
      <c r="C4413" s="2">
        <v>43275</v>
      </c>
      <c r="D4413" t="s">
        <v>26</v>
      </c>
      <c r="E4413">
        <v>2362</v>
      </c>
    </row>
    <row r="4414" spans="1:5" x14ac:dyDescent="0.55000000000000004">
      <c r="A4414" t="s">
        <v>4495</v>
      </c>
      <c r="B4414" t="s">
        <v>94</v>
      </c>
      <c r="C4414" s="2">
        <v>43646</v>
      </c>
      <c r="D4414" t="s">
        <v>26</v>
      </c>
      <c r="E4414">
        <v>1150</v>
      </c>
    </row>
    <row r="4415" spans="1:5" x14ac:dyDescent="0.55000000000000004">
      <c r="A4415" t="s">
        <v>4496</v>
      </c>
      <c r="B4415" t="s">
        <v>41</v>
      </c>
      <c r="C4415" s="2">
        <v>44407</v>
      </c>
      <c r="D4415" t="s">
        <v>29</v>
      </c>
      <c r="E4415">
        <v>830</v>
      </c>
    </row>
    <row r="4416" spans="1:5" x14ac:dyDescent="0.55000000000000004">
      <c r="A4416" t="s">
        <v>4497</v>
      </c>
      <c r="B4416" t="s">
        <v>137</v>
      </c>
      <c r="C4416" s="2">
        <v>44560</v>
      </c>
      <c r="D4416" t="s">
        <v>26</v>
      </c>
      <c r="E4416">
        <v>2749</v>
      </c>
    </row>
    <row r="4417" spans="1:5" x14ac:dyDescent="0.55000000000000004">
      <c r="A4417" t="s">
        <v>4498</v>
      </c>
      <c r="B4417" t="s">
        <v>84</v>
      </c>
      <c r="C4417" s="2">
        <v>43302</v>
      </c>
      <c r="D4417" t="s">
        <v>26</v>
      </c>
      <c r="E4417">
        <v>2824</v>
      </c>
    </row>
    <row r="4418" spans="1:5" x14ac:dyDescent="0.55000000000000004">
      <c r="A4418" t="s">
        <v>4499</v>
      </c>
      <c r="B4418" t="s">
        <v>15</v>
      </c>
      <c r="C4418" s="2">
        <v>42920</v>
      </c>
      <c r="D4418" t="s">
        <v>26</v>
      </c>
      <c r="E4418">
        <v>2306</v>
      </c>
    </row>
    <row r="4419" spans="1:5" x14ac:dyDescent="0.55000000000000004">
      <c r="A4419" t="s">
        <v>4500</v>
      </c>
      <c r="B4419" t="s">
        <v>175</v>
      </c>
      <c r="C4419" s="2">
        <v>45249</v>
      </c>
      <c r="D4419" t="s">
        <v>29</v>
      </c>
      <c r="E4419">
        <v>948</v>
      </c>
    </row>
    <row r="4420" spans="1:5" x14ac:dyDescent="0.55000000000000004">
      <c r="A4420" t="s">
        <v>4501</v>
      </c>
      <c r="B4420" t="s">
        <v>41</v>
      </c>
      <c r="C4420" s="2">
        <v>43927</v>
      </c>
      <c r="D4420" t="s">
        <v>29</v>
      </c>
      <c r="E4420">
        <v>1491</v>
      </c>
    </row>
    <row r="4421" spans="1:5" x14ac:dyDescent="0.55000000000000004">
      <c r="A4421" t="s">
        <v>4502</v>
      </c>
      <c r="B4421" t="s">
        <v>74</v>
      </c>
      <c r="C4421" s="2">
        <v>44141</v>
      </c>
      <c r="D4421" t="s">
        <v>29</v>
      </c>
      <c r="E4421">
        <v>1868</v>
      </c>
    </row>
    <row r="4422" spans="1:5" x14ac:dyDescent="0.55000000000000004">
      <c r="A4422" t="s">
        <v>4503</v>
      </c>
      <c r="B4422" t="s">
        <v>175</v>
      </c>
      <c r="C4422" s="2">
        <v>45401</v>
      </c>
      <c r="D4422" t="s">
        <v>26</v>
      </c>
      <c r="E4422">
        <v>1528</v>
      </c>
    </row>
    <row r="4423" spans="1:5" x14ac:dyDescent="0.55000000000000004">
      <c r="A4423" t="s">
        <v>4504</v>
      </c>
      <c r="B4423" t="s">
        <v>38</v>
      </c>
      <c r="C4423" s="2">
        <v>44591</v>
      </c>
      <c r="D4423" t="s">
        <v>26</v>
      </c>
      <c r="E4423">
        <v>1313</v>
      </c>
    </row>
    <row r="4424" spans="1:5" x14ac:dyDescent="0.55000000000000004">
      <c r="A4424" t="s">
        <v>4505</v>
      </c>
      <c r="B4424" t="s">
        <v>78</v>
      </c>
      <c r="C4424" s="2">
        <v>44886</v>
      </c>
      <c r="D4424" t="s">
        <v>29</v>
      </c>
      <c r="E4424">
        <v>712</v>
      </c>
    </row>
    <row r="4425" spans="1:5" x14ac:dyDescent="0.55000000000000004">
      <c r="A4425" t="s">
        <v>4506</v>
      </c>
      <c r="B4425" t="s">
        <v>23</v>
      </c>
      <c r="C4425" s="2">
        <v>44653</v>
      </c>
      <c r="D4425" t="s">
        <v>29</v>
      </c>
      <c r="E4425">
        <v>1914</v>
      </c>
    </row>
    <row r="4426" spans="1:5" x14ac:dyDescent="0.55000000000000004">
      <c r="A4426" t="s">
        <v>4507</v>
      </c>
      <c r="B4426" t="s">
        <v>86</v>
      </c>
      <c r="C4426" s="2">
        <v>44488</v>
      </c>
      <c r="D4426" t="s">
        <v>29</v>
      </c>
      <c r="E4426">
        <v>604</v>
      </c>
    </row>
    <row r="4427" spans="1:5" x14ac:dyDescent="0.55000000000000004">
      <c r="A4427" t="s">
        <v>4508</v>
      </c>
      <c r="B4427" t="s">
        <v>175</v>
      </c>
      <c r="C4427" s="2">
        <v>45491</v>
      </c>
      <c r="D4427" t="s">
        <v>29</v>
      </c>
      <c r="E4427">
        <v>1475</v>
      </c>
    </row>
    <row r="4428" spans="1:5" x14ac:dyDescent="0.55000000000000004">
      <c r="A4428" t="s">
        <v>4509</v>
      </c>
      <c r="B4428" t="s">
        <v>140</v>
      </c>
      <c r="C4428" s="2">
        <v>43094</v>
      </c>
      <c r="D4428" t="s">
        <v>29</v>
      </c>
      <c r="E4428">
        <v>563</v>
      </c>
    </row>
    <row r="4429" spans="1:5" x14ac:dyDescent="0.55000000000000004">
      <c r="A4429" t="s">
        <v>4510</v>
      </c>
      <c r="B4429" t="s">
        <v>111</v>
      </c>
      <c r="C4429" s="2">
        <v>43651</v>
      </c>
      <c r="D4429" t="s">
        <v>29</v>
      </c>
      <c r="E4429">
        <v>1846</v>
      </c>
    </row>
    <row r="4430" spans="1:5" x14ac:dyDescent="0.55000000000000004">
      <c r="A4430" t="s">
        <v>4511</v>
      </c>
      <c r="B4430" t="s">
        <v>118</v>
      </c>
      <c r="C4430" s="2">
        <v>45674</v>
      </c>
      <c r="D4430" t="s">
        <v>26</v>
      </c>
      <c r="E4430">
        <v>175</v>
      </c>
    </row>
    <row r="4431" spans="1:5" x14ac:dyDescent="0.55000000000000004">
      <c r="A4431" t="s">
        <v>4512</v>
      </c>
      <c r="B4431" t="s">
        <v>111</v>
      </c>
      <c r="C4431" s="2">
        <v>43954</v>
      </c>
      <c r="D4431" t="s">
        <v>26</v>
      </c>
      <c r="E4431">
        <v>2452</v>
      </c>
    </row>
    <row r="4432" spans="1:5" x14ac:dyDescent="0.55000000000000004">
      <c r="A4432" t="s">
        <v>4513</v>
      </c>
      <c r="B4432" t="s">
        <v>111</v>
      </c>
      <c r="C4432" s="2">
        <v>44023</v>
      </c>
      <c r="D4432" t="s">
        <v>26</v>
      </c>
      <c r="E4432">
        <v>2349</v>
      </c>
    </row>
    <row r="4433" spans="1:5" x14ac:dyDescent="0.55000000000000004">
      <c r="A4433" t="s">
        <v>4514</v>
      </c>
      <c r="B4433" t="s">
        <v>72</v>
      </c>
      <c r="C4433" s="2">
        <v>44539</v>
      </c>
      <c r="D4433" t="s">
        <v>26</v>
      </c>
      <c r="E4433">
        <v>2839</v>
      </c>
    </row>
    <row r="4434" spans="1:5" x14ac:dyDescent="0.55000000000000004">
      <c r="A4434" t="s">
        <v>4515</v>
      </c>
      <c r="B4434" t="s">
        <v>101</v>
      </c>
      <c r="C4434" s="2">
        <v>43084</v>
      </c>
      <c r="D4434" t="s">
        <v>29</v>
      </c>
      <c r="E4434">
        <v>458</v>
      </c>
    </row>
    <row r="4435" spans="1:5" x14ac:dyDescent="0.55000000000000004">
      <c r="A4435" t="s">
        <v>4516</v>
      </c>
      <c r="B4435" t="s">
        <v>67</v>
      </c>
      <c r="C4435" s="2">
        <v>45694</v>
      </c>
      <c r="D4435" t="s">
        <v>26</v>
      </c>
      <c r="E4435">
        <v>2128</v>
      </c>
    </row>
    <row r="4436" spans="1:5" x14ac:dyDescent="0.55000000000000004">
      <c r="A4436" t="s">
        <v>4517</v>
      </c>
      <c r="B4436" t="s">
        <v>115</v>
      </c>
      <c r="C4436" s="2">
        <v>44095</v>
      </c>
      <c r="D4436" t="s">
        <v>26</v>
      </c>
      <c r="E4436">
        <v>1043</v>
      </c>
    </row>
    <row r="4437" spans="1:5" x14ac:dyDescent="0.55000000000000004">
      <c r="A4437" t="s">
        <v>4518</v>
      </c>
      <c r="B4437" t="s">
        <v>99</v>
      </c>
      <c r="C4437" s="2">
        <v>44140</v>
      </c>
      <c r="D4437" t="s">
        <v>26</v>
      </c>
      <c r="E4437">
        <v>2801</v>
      </c>
    </row>
    <row r="4438" spans="1:5" x14ac:dyDescent="0.55000000000000004">
      <c r="A4438" t="s">
        <v>4519</v>
      </c>
      <c r="B4438" t="s">
        <v>41</v>
      </c>
      <c r="C4438" s="2">
        <v>44516</v>
      </c>
      <c r="D4438" t="s">
        <v>29</v>
      </c>
      <c r="E4438">
        <v>478</v>
      </c>
    </row>
    <row r="4439" spans="1:5" x14ac:dyDescent="0.55000000000000004">
      <c r="A4439" t="s">
        <v>4520</v>
      </c>
      <c r="B4439" t="s">
        <v>111</v>
      </c>
      <c r="C4439" s="2">
        <v>44415</v>
      </c>
      <c r="D4439" t="s">
        <v>29</v>
      </c>
      <c r="E4439">
        <v>2246</v>
      </c>
    </row>
    <row r="4440" spans="1:5" x14ac:dyDescent="0.55000000000000004">
      <c r="A4440" t="s">
        <v>4521</v>
      </c>
      <c r="B4440" t="s">
        <v>101</v>
      </c>
      <c r="C4440" s="2">
        <v>43988</v>
      </c>
      <c r="D4440" t="s">
        <v>29</v>
      </c>
      <c r="E4440">
        <v>897</v>
      </c>
    </row>
    <row r="4441" spans="1:5" x14ac:dyDescent="0.55000000000000004">
      <c r="A4441" t="s">
        <v>4522</v>
      </c>
      <c r="B4441" t="s">
        <v>23</v>
      </c>
      <c r="C4441" s="2">
        <v>44550</v>
      </c>
      <c r="D4441" t="s">
        <v>29</v>
      </c>
      <c r="E4441">
        <v>2817</v>
      </c>
    </row>
    <row r="4442" spans="1:5" x14ac:dyDescent="0.55000000000000004">
      <c r="A4442" t="s">
        <v>4523</v>
      </c>
      <c r="B4442" t="s">
        <v>118</v>
      </c>
      <c r="C4442" s="2">
        <v>43901</v>
      </c>
      <c r="D4442" t="s">
        <v>26</v>
      </c>
      <c r="E4442">
        <v>2623</v>
      </c>
    </row>
    <row r="4443" spans="1:5" x14ac:dyDescent="0.55000000000000004">
      <c r="A4443" t="s">
        <v>4524</v>
      </c>
      <c r="B4443" t="s">
        <v>35</v>
      </c>
      <c r="C4443" s="2">
        <v>44760</v>
      </c>
      <c r="D4443" t="s">
        <v>26</v>
      </c>
      <c r="E4443">
        <v>2842</v>
      </c>
    </row>
    <row r="4444" spans="1:5" x14ac:dyDescent="0.55000000000000004">
      <c r="A4444" t="s">
        <v>4525</v>
      </c>
      <c r="B4444" t="s">
        <v>94</v>
      </c>
      <c r="C4444" s="2">
        <v>44237</v>
      </c>
      <c r="D4444" t="s">
        <v>26</v>
      </c>
      <c r="E4444">
        <v>2066</v>
      </c>
    </row>
    <row r="4445" spans="1:5" x14ac:dyDescent="0.55000000000000004">
      <c r="A4445" t="s">
        <v>4526</v>
      </c>
      <c r="B4445" t="s">
        <v>137</v>
      </c>
      <c r="C4445" s="2">
        <v>43907</v>
      </c>
      <c r="D4445" t="s">
        <v>29</v>
      </c>
      <c r="E4445">
        <v>591</v>
      </c>
    </row>
    <row r="4446" spans="1:5" x14ac:dyDescent="0.55000000000000004">
      <c r="A4446" t="s">
        <v>4527</v>
      </c>
      <c r="B4446" t="s">
        <v>74</v>
      </c>
      <c r="C4446" s="2">
        <v>44340</v>
      </c>
      <c r="D4446" t="s">
        <v>29</v>
      </c>
      <c r="E4446">
        <v>990</v>
      </c>
    </row>
    <row r="4447" spans="1:5" x14ac:dyDescent="0.55000000000000004">
      <c r="A4447" t="s">
        <v>4528</v>
      </c>
      <c r="B4447" t="s">
        <v>118</v>
      </c>
      <c r="C4447" s="2">
        <v>45129</v>
      </c>
      <c r="D4447" t="s">
        <v>29</v>
      </c>
      <c r="E4447">
        <v>857</v>
      </c>
    </row>
    <row r="4448" spans="1:5" x14ac:dyDescent="0.55000000000000004">
      <c r="A4448" t="s">
        <v>4529</v>
      </c>
      <c r="B4448" t="s">
        <v>99</v>
      </c>
      <c r="C4448" s="2">
        <v>43861</v>
      </c>
      <c r="D4448" t="s">
        <v>26</v>
      </c>
      <c r="E4448">
        <v>96</v>
      </c>
    </row>
    <row r="4449" spans="1:5" x14ac:dyDescent="0.55000000000000004">
      <c r="A4449" t="s">
        <v>4530</v>
      </c>
      <c r="B4449" t="s">
        <v>14</v>
      </c>
      <c r="C4449" s="2">
        <v>42980</v>
      </c>
      <c r="D4449" t="s">
        <v>29</v>
      </c>
      <c r="E4449">
        <v>495</v>
      </c>
    </row>
    <row r="4450" spans="1:5" x14ac:dyDescent="0.55000000000000004">
      <c r="A4450" t="s">
        <v>4531</v>
      </c>
      <c r="B4450" t="s">
        <v>151</v>
      </c>
      <c r="C4450" s="2">
        <v>43297</v>
      </c>
      <c r="D4450" t="s">
        <v>26</v>
      </c>
      <c r="E4450">
        <v>274</v>
      </c>
    </row>
    <row r="4451" spans="1:5" x14ac:dyDescent="0.55000000000000004">
      <c r="A4451" t="s">
        <v>4532</v>
      </c>
      <c r="B4451" t="s">
        <v>84</v>
      </c>
      <c r="C4451" s="2">
        <v>43843</v>
      </c>
      <c r="D4451" t="s">
        <v>26</v>
      </c>
      <c r="E4451">
        <v>1728</v>
      </c>
    </row>
    <row r="4452" spans="1:5" x14ac:dyDescent="0.55000000000000004">
      <c r="A4452" t="s">
        <v>4533</v>
      </c>
      <c r="B4452" t="s">
        <v>86</v>
      </c>
      <c r="C4452" s="2">
        <v>44271</v>
      </c>
      <c r="D4452" t="s">
        <v>29</v>
      </c>
      <c r="E4452">
        <v>43</v>
      </c>
    </row>
    <row r="4453" spans="1:5" x14ac:dyDescent="0.55000000000000004">
      <c r="A4453" t="s">
        <v>4534</v>
      </c>
      <c r="B4453" t="s">
        <v>41</v>
      </c>
      <c r="C4453" s="2">
        <v>44445</v>
      </c>
      <c r="D4453" t="s">
        <v>29</v>
      </c>
      <c r="E4453">
        <v>1588</v>
      </c>
    </row>
    <row r="4454" spans="1:5" x14ac:dyDescent="0.55000000000000004">
      <c r="A4454" t="s">
        <v>4535</v>
      </c>
      <c r="B4454" t="s">
        <v>86</v>
      </c>
      <c r="C4454" s="2">
        <v>43343</v>
      </c>
      <c r="D4454" t="s">
        <v>29</v>
      </c>
      <c r="E4454">
        <v>1755</v>
      </c>
    </row>
    <row r="4455" spans="1:5" x14ac:dyDescent="0.55000000000000004">
      <c r="A4455" t="s">
        <v>4536</v>
      </c>
      <c r="B4455" t="s">
        <v>32</v>
      </c>
      <c r="C4455" s="2">
        <v>44810</v>
      </c>
      <c r="D4455" t="s">
        <v>26</v>
      </c>
      <c r="E4455">
        <v>2781</v>
      </c>
    </row>
    <row r="4456" spans="1:5" x14ac:dyDescent="0.55000000000000004">
      <c r="A4456" t="s">
        <v>4537</v>
      </c>
      <c r="B4456" t="s">
        <v>96</v>
      </c>
      <c r="C4456" s="2">
        <v>43595</v>
      </c>
      <c r="D4456" t="s">
        <v>29</v>
      </c>
      <c r="E4456">
        <v>1309</v>
      </c>
    </row>
    <row r="4457" spans="1:5" x14ac:dyDescent="0.55000000000000004">
      <c r="A4457" t="s">
        <v>4538</v>
      </c>
      <c r="B4457" t="s">
        <v>86</v>
      </c>
      <c r="C4457" s="2">
        <v>42980</v>
      </c>
      <c r="D4457" t="s">
        <v>29</v>
      </c>
      <c r="E4457">
        <v>2869</v>
      </c>
    </row>
    <row r="4458" spans="1:5" x14ac:dyDescent="0.55000000000000004">
      <c r="A4458" t="s">
        <v>4539</v>
      </c>
      <c r="B4458" t="s">
        <v>96</v>
      </c>
      <c r="C4458" s="2">
        <v>45037</v>
      </c>
      <c r="D4458" t="s">
        <v>26</v>
      </c>
      <c r="E4458">
        <v>1731</v>
      </c>
    </row>
    <row r="4459" spans="1:5" x14ac:dyDescent="0.55000000000000004">
      <c r="A4459" t="s">
        <v>4540</v>
      </c>
      <c r="B4459" t="s">
        <v>41</v>
      </c>
      <c r="C4459" s="2">
        <v>44549</v>
      </c>
      <c r="D4459" t="s">
        <v>29</v>
      </c>
      <c r="E4459">
        <v>111</v>
      </c>
    </row>
    <row r="4460" spans="1:5" x14ac:dyDescent="0.55000000000000004">
      <c r="A4460" t="s">
        <v>4541</v>
      </c>
      <c r="B4460" t="s">
        <v>101</v>
      </c>
      <c r="C4460" s="2">
        <v>42996</v>
      </c>
      <c r="D4460" t="s">
        <v>29</v>
      </c>
      <c r="E4460">
        <v>355</v>
      </c>
    </row>
    <row r="4461" spans="1:5" x14ac:dyDescent="0.55000000000000004">
      <c r="A4461" t="s">
        <v>4542</v>
      </c>
      <c r="B4461" t="s">
        <v>96</v>
      </c>
      <c r="C4461" s="2">
        <v>44498</v>
      </c>
      <c r="D4461" t="s">
        <v>26</v>
      </c>
      <c r="E4461">
        <v>339</v>
      </c>
    </row>
    <row r="4462" spans="1:5" x14ac:dyDescent="0.55000000000000004">
      <c r="A4462" t="s">
        <v>4543</v>
      </c>
      <c r="B4462" t="s">
        <v>63</v>
      </c>
      <c r="C4462" s="2">
        <v>44400</v>
      </c>
      <c r="D4462" t="s">
        <v>26</v>
      </c>
      <c r="E4462">
        <v>1862</v>
      </c>
    </row>
    <row r="4463" spans="1:5" x14ac:dyDescent="0.55000000000000004">
      <c r="A4463" t="s">
        <v>4544</v>
      </c>
      <c r="B4463" t="s">
        <v>101</v>
      </c>
      <c r="C4463" s="2">
        <v>44451</v>
      </c>
      <c r="D4463" t="s">
        <v>29</v>
      </c>
      <c r="E4463">
        <v>988</v>
      </c>
    </row>
    <row r="4464" spans="1:5" x14ac:dyDescent="0.55000000000000004">
      <c r="A4464" t="s">
        <v>4545</v>
      </c>
      <c r="B4464" t="s">
        <v>32</v>
      </c>
      <c r="C4464" s="2">
        <v>44792</v>
      </c>
      <c r="D4464" t="s">
        <v>26</v>
      </c>
      <c r="E4464">
        <v>1322</v>
      </c>
    </row>
    <row r="4465" spans="1:5" x14ac:dyDescent="0.55000000000000004">
      <c r="A4465" t="s">
        <v>4546</v>
      </c>
      <c r="B4465" t="s">
        <v>156</v>
      </c>
      <c r="C4465" s="2">
        <v>44048</v>
      </c>
      <c r="D4465" t="s">
        <v>29</v>
      </c>
      <c r="E4465">
        <v>887</v>
      </c>
    </row>
    <row r="4466" spans="1:5" x14ac:dyDescent="0.55000000000000004">
      <c r="A4466" t="s">
        <v>4547</v>
      </c>
      <c r="B4466" t="s">
        <v>32</v>
      </c>
      <c r="C4466" s="2">
        <v>44671</v>
      </c>
      <c r="D4466" t="s">
        <v>26</v>
      </c>
      <c r="E4466">
        <v>42</v>
      </c>
    </row>
    <row r="4467" spans="1:5" x14ac:dyDescent="0.55000000000000004">
      <c r="A4467" t="s">
        <v>4548</v>
      </c>
      <c r="B4467" t="s">
        <v>38</v>
      </c>
      <c r="C4467" s="2">
        <v>44093</v>
      </c>
      <c r="D4467" t="s">
        <v>26</v>
      </c>
      <c r="E4467">
        <v>2073</v>
      </c>
    </row>
    <row r="4468" spans="1:5" x14ac:dyDescent="0.55000000000000004">
      <c r="A4468" t="s">
        <v>4549</v>
      </c>
      <c r="B4468" t="s">
        <v>15</v>
      </c>
      <c r="C4468" s="2">
        <v>43058</v>
      </c>
      <c r="D4468" t="s">
        <v>26</v>
      </c>
      <c r="E4468">
        <v>1897</v>
      </c>
    </row>
    <row r="4469" spans="1:5" x14ac:dyDescent="0.55000000000000004">
      <c r="A4469" t="s">
        <v>4550</v>
      </c>
      <c r="B4469" t="s">
        <v>84</v>
      </c>
      <c r="C4469" s="2">
        <v>44344</v>
      </c>
      <c r="D4469" t="s">
        <v>29</v>
      </c>
      <c r="E4469">
        <v>2194</v>
      </c>
    </row>
    <row r="4470" spans="1:5" x14ac:dyDescent="0.55000000000000004">
      <c r="A4470" t="s">
        <v>4551</v>
      </c>
      <c r="B4470" t="s">
        <v>35</v>
      </c>
      <c r="C4470" s="2">
        <v>43930</v>
      </c>
      <c r="D4470" t="s">
        <v>29</v>
      </c>
      <c r="E4470">
        <v>2398</v>
      </c>
    </row>
    <row r="4471" spans="1:5" x14ac:dyDescent="0.55000000000000004">
      <c r="A4471" t="s">
        <v>4552</v>
      </c>
      <c r="B4471" t="s">
        <v>115</v>
      </c>
      <c r="C4471" s="2">
        <v>44346</v>
      </c>
      <c r="D4471" t="s">
        <v>29</v>
      </c>
      <c r="E4471">
        <v>712</v>
      </c>
    </row>
    <row r="4472" spans="1:5" x14ac:dyDescent="0.55000000000000004">
      <c r="A4472" t="s">
        <v>4553</v>
      </c>
      <c r="B4472" t="s">
        <v>94</v>
      </c>
      <c r="C4472" s="2">
        <v>45316</v>
      </c>
      <c r="D4472" t="s">
        <v>29</v>
      </c>
      <c r="E4472">
        <v>666</v>
      </c>
    </row>
    <row r="4473" spans="1:5" x14ac:dyDescent="0.55000000000000004">
      <c r="A4473" t="s">
        <v>4554</v>
      </c>
      <c r="B4473" t="s">
        <v>142</v>
      </c>
      <c r="C4473" s="2">
        <v>43511</v>
      </c>
      <c r="D4473" t="s">
        <v>29</v>
      </c>
      <c r="E4473">
        <v>1747</v>
      </c>
    </row>
    <row r="4474" spans="1:5" x14ac:dyDescent="0.55000000000000004">
      <c r="A4474" t="s">
        <v>4555</v>
      </c>
      <c r="B4474" t="s">
        <v>115</v>
      </c>
      <c r="C4474" s="2">
        <v>44323</v>
      </c>
      <c r="D4474" t="s">
        <v>26</v>
      </c>
      <c r="E4474">
        <v>314</v>
      </c>
    </row>
    <row r="4475" spans="1:5" x14ac:dyDescent="0.55000000000000004">
      <c r="A4475" t="s">
        <v>4556</v>
      </c>
      <c r="B4475" t="s">
        <v>151</v>
      </c>
      <c r="C4475" s="2">
        <v>43904</v>
      </c>
      <c r="D4475" t="s">
        <v>29</v>
      </c>
      <c r="E4475">
        <v>1020</v>
      </c>
    </row>
    <row r="4476" spans="1:5" x14ac:dyDescent="0.55000000000000004">
      <c r="A4476" t="s">
        <v>4557</v>
      </c>
      <c r="B4476" t="s">
        <v>14</v>
      </c>
      <c r="C4476" s="2">
        <v>43710</v>
      </c>
      <c r="D4476" t="s">
        <v>26</v>
      </c>
      <c r="E4476">
        <v>1543</v>
      </c>
    </row>
    <row r="4477" spans="1:5" x14ac:dyDescent="0.55000000000000004">
      <c r="A4477" t="s">
        <v>4558</v>
      </c>
      <c r="B4477" t="s">
        <v>142</v>
      </c>
      <c r="C4477" s="2">
        <v>43536</v>
      </c>
      <c r="D4477" t="s">
        <v>26</v>
      </c>
      <c r="E4477">
        <v>915</v>
      </c>
    </row>
    <row r="4478" spans="1:5" x14ac:dyDescent="0.55000000000000004">
      <c r="A4478" t="s">
        <v>4559</v>
      </c>
      <c r="B4478" t="s">
        <v>111</v>
      </c>
      <c r="C4478" s="2">
        <v>44315</v>
      </c>
      <c r="D4478" t="s">
        <v>29</v>
      </c>
      <c r="E4478">
        <v>936</v>
      </c>
    </row>
    <row r="4479" spans="1:5" x14ac:dyDescent="0.55000000000000004">
      <c r="A4479" t="s">
        <v>4560</v>
      </c>
      <c r="B4479" t="s">
        <v>41</v>
      </c>
      <c r="C4479" s="2">
        <v>44741</v>
      </c>
      <c r="D4479" t="s">
        <v>26</v>
      </c>
      <c r="E4479">
        <v>415</v>
      </c>
    </row>
    <row r="4480" spans="1:5" x14ac:dyDescent="0.55000000000000004">
      <c r="A4480" t="s">
        <v>4561</v>
      </c>
      <c r="B4480" t="s">
        <v>105</v>
      </c>
      <c r="C4480" s="2">
        <v>43202</v>
      </c>
      <c r="D4480" t="s">
        <v>26</v>
      </c>
      <c r="E4480">
        <v>2478</v>
      </c>
    </row>
    <row r="4481" spans="1:5" x14ac:dyDescent="0.55000000000000004">
      <c r="A4481" t="s">
        <v>4562</v>
      </c>
      <c r="B4481" t="s">
        <v>23</v>
      </c>
      <c r="C4481" s="2">
        <v>43879</v>
      </c>
      <c r="D4481" t="s">
        <v>29</v>
      </c>
      <c r="E4481">
        <v>2032</v>
      </c>
    </row>
    <row r="4482" spans="1:5" x14ac:dyDescent="0.55000000000000004">
      <c r="A4482" t="s">
        <v>4563</v>
      </c>
      <c r="B4482" t="s">
        <v>86</v>
      </c>
      <c r="C4482" s="2">
        <v>44543</v>
      </c>
      <c r="D4482" t="s">
        <v>29</v>
      </c>
      <c r="E4482">
        <v>84</v>
      </c>
    </row>
    <row r="4483" spans="1:5" x14ac:dyDescent="0.55000000000000004">
      <c r="A4483" t="s">
        <v>4564</v>
      </c>
      <c r="B4483" t="s">
        <v>41</v>
      </c>
      <c r="C4483" s="2">
        <v>44906</v>
      </c>
      <c r="D4483" t="s">
        <v>29</v>
      </c>
      <c r="E4483">
        <v>2600</v>
      </c>
    </row>
    <row r="4484" spans="1:5" x14ac:dyDescent="0.55000000000000004">
      <c r="A4484" t="s">
        <v>4565</v>
      </c>
      <c r="B4484" t="s">
        <v>99</v>
      </c>
      <c r="C4484" s="2">
        <v>43901</v>
      </c>
      <c r="D4484" t="s">
        <v>29</v>
      </c>
      <c r="E4484">
        <v>1940</v>
      </c>
    </row>
    <row r="4485" spans="1:5" x14ac:dyDescent="0.55000000000000004">
      <c r="A4485" t="s">
        <v>4566</v>
      </c>
      <c r="B4485" t="s">
        <v>142</v>
      </c>
      <c r="C4485" s="2">
        <v>43488</v>
      </c>
      <c r="D4485" t="s">
        <v>29</v>
      </c>
      <c r="E4485">
        <v>2282</v>
      </c>
    </row>
    <row r="4486" spans="1:5" x14ac:dyDescent="0.55000000000000004">
      <c r="A4486" t="s">
        <v>4567</v>
      </c>
      <c r="B4486" t="s">
        <v>41</v>
      </c>
      <c r="C4486" s="2">
        <v>44695</v>
      </c>
      <c r="D4486" t="s">
        <v>26</v>
      </c>
      <c r="E4486">
        <v>266</v>
      </c>
    </row>
    <row r="4487" spans="1:5" x14ac:dyDescent="0.55000000000000004">
      <c r="A4487" t="s">
        <v>4568</v>
      </c>
      <c r="B4487" t="s">
        <v>74</v>
      </c>
      <c r="C4487" s="2">
        <v>43455</v>
      </c>
      <c r="D4487" t="s">
        <v>29</v>
      </c>
      <c r="E4487">
        <v>1944</v>
      </c>
    </row>
    <row r="4488" spans="1:5" x14ac:dyDescent="0.55000000000000004">
      <c r="A4488" t="s">
        <v>4569</v>
      </c>
      <c r="B4488" t="s">
        <v>101</v>
      </c>
      <c r="C4488" s="2">
        <v>43955</v>
      </c>
      <c r="D4488" t="s">
        <v>26</v>
      </c>
      <c r="E4488">
        <v>563</v>
      </c>
    </row>
    <row r="4489" spans="1:5" x14ac:dyDescent="0.55000000000000004">
      <c r="A4489" t="s">
        <v>4570</v>
      </c>
      <c r="B4489" t="s">
        <v>115</v>
      </c>
      <c r="C4489" s="2">
        <v>42966</v>
      </c>
      <c r="D4489" t="s">
        <v>26</v>
      </c>
      <c r="E4489">
        <v>353</v>
      </c>
    </row>
    <row r="4490" spans="1:5" x14ac:dyDescent="0.55000000000000004">
      <c r="A4490" t="s">
        <v>4571</v>
      </c>
      <c r="B4490" t="s">
        <v>23</v>
      </c>
      <c r="C4490" s="2">
        <v>44213</v>
      </c>
      <c r="D4490" t="s">
        <v>26</v>
      </c>
      <c r="E4490">
        <v>1827</v>
      </c>
    </row>
    <row r="4491" spans="1:5" x14ac:dyDescent="0.55000000000000004">
      <c r="A4491" t="s">
        <v>4572</v>
      </c>
      <c r="B4491" t="s">
        <v>38</v>
      </c>
      <c r="C4491" s="2">
        <v>44595</v>
      </c>
      <c r="D4491" t="s">
        <v>29</v>
      </c>
      <c r="E4491">
        <v>1957</v>
      </c>
    </row>
    <row r="4492" spans="1:5" x14ac:dyDescent="0.55000000000000004">
      <c r="A4492" t="s">
        <v>4573</v>
      </c>
      <c r="B4492" t="s">
        <v>74</v>
      </c>
      <c r="C4492" s="2">
        <v>44534</v>
      </c>
      <c r="D4492" t="s">
        <v>26</v>
      </c>
      <c r="E4492">
        <v>2384</v>
      </c>
    </row>
    <row r="4493" spans="1:5" x14ac:dyDescent="0.55000000000000004">
      <c r="A4493" t="s">
        <v>4574</v>
      </c>
      <c r="B4493" t="s">
        <v>140</v>
      </c>
      <c r="C4493" s="2">
        <v>43154</v>
      </c>
      <c r="D4493" t="s">
        <v>26</v>
      </c>
      <c r="E4493">
        <v>951</v>
      </c>
    </row>
    <row r="4494" spans="1:5" x14ac:dyDescent="0.55000000000000004">
      <c r="A4494" t="s">
        <v>4575</v>
      </c>
      <c r="B4494" t="s">
        <v>151</v>
      </c>
      <c r="C4494" s="2">
        <v>43218</v>
      </c>
      <c r="D4494" t="s">
        <v>29</v>
      </c>
      <c r="E4494">
        <v>545</v>
      </c>
    </row>
    <row r="4495" spans="1:5" x14ac:dyDescent="0.55000000000000004">
      <c r="A4495" t="s">
        <v>4576</v>
      </c>
      <c r="B4495" t="s">
        <v>78</v>
      </c>
      <c r="C4495" s="2">
        <v>45066</v>
      </c>
      <c r="D4495" t="s">
        <v>26</v>
      </c>
      <c r="E4495">
        <v>1523</v>
      </c>
    </row>
    <row r="4496" spans="1:5" x14ac:dyDescent="0.55000000000000004">
      <c r="A4496" t="s">
        <v>4577</v>
      </c>
      <c r="B4496" t="s">
        <v>142</v>
      </c>
      <c r="C4496" s="2">
        <v>43961</v>
      </c>
      <c r="D4496" t="s">
        <v>26</v>
      </c>
      <c r="E4496">
        <v>461</v>
      </c>
    </row>
    <row r="4497" spans="1:5" x14ac:dyDescent="0.55000000000000004">
      <c r="A4497" t="s">
        <v>4578</v>
      </c>
      <c r="B4497" t="s">
        <v>67</v>
      </c>
      <c r="C4497" s="2">
        <v>44555</v>
      </c>
      <c r="D4497" t="s">
        <v>26</v>
      </c>
      <c r="E4497">
        <v>1242</v>
      </c>
    </row>
    <row r="4498" spans="1:5" x14ac:dyDescent="0.55000000000000004">
      <c r="A4498" t="s">
        <v>4579</v>
      </c>
      <c r="B4498" t="s">
        <v>94</v>
      </c>
      <c r="C4498" s="2">
        <v>44027</v>
      </c>
      <c r="D4498" t="s">
        <v>29</v>
      </c>
      <c r="E4498">
        <v>998</v>
      </c>
    </row>
    <row r="4499" spans="1:5" x14ac:dyDescent="0.55000000000000004">
      <c r="A4499" t="s">
        <v>4580</v>
      </c>
      <c r="B4499" t="s">
        <v>76</v>
      </c>
      <c r="C4499" s="2">
        <v>45433</v>
      </c>
      <c r="D4499" t="s">
        <v>26</v>
      </c>
      <c r="E4499">
        <v>772</v>
      </c>
    </row>
    <row r="4500" spans="1:5" x14ac:dyDescent="0.55000000000000004">
      <c r="A4500" t="s">
        <v>4581</v>
      </c>
      <c r="B4500" t="s">
        <v>38</v>
      </c>
      <c r="C4500" s="2">
        <v>44803</v>
      </c>
      <c r="D4500" t="s">
        <v>29</v>
      </c>
      <c r="E4500">
        <v>1960</v>
      </c>
    </row>
    <row r="4501" spans="1:5" x14ac:dyDescent="0.55000000000000004">
      <c r="A4501" t="s">
        <v>4582</v>
      </c>
      <c r="B4501" t="s">
        <v>151</v>
      </c>
      <c r="C4501" s="2">
        <v>43119</v>
      </c>
      <c r="D4501" t="s">
        <v>26</v>
      </c>
      <c r="E4501">
        <v>1588</v>
      </c>
    </row>
    <row r="4502" spans="1:5" x14ac:dyDescent="0.55000000000000004">
      <c r="A4502" t="s">
        <v>4583</v>
      </c>
      <c r="B4502" t="s">
        <v>99</v>
      </c>
      <c r="C4502" s="2">
        <v>45683</v>
      </c>
      <c r="D4502" t="s">
        <v>26</v>
      </c>
      <c r="E4502">
        <v>598</v>
      </c>
    </row>
    <row r="4503" spans="1:5" x14ac:dyDescent="0.55000000000000004">
      <c r="A4503" t="s">
        <v>4584</v>
      </c>
      <c r="B4503" t="s">
        <v>38</v>
      </c>
      <c r="C4503" s="2">
        <v>44091</v>
      </c>
      <c r="D4503" t="s">
        <v>26</v>
      </c>
      <c r="E4503">
        <v>278</v>
      </c>
    </row>
    <row r="4504" spans="1:5" x14ac:dyDescent="0.55000000000000004">
      <c r="A4504" t="s">
        <v>4585</v>
      </c>
      <c r="B4504" t="s">
        <v>96</v>
      </c>
      <c r="C4504" s="2">
        <v>45568</v>
      </c>
      <c r="D4504" t="s">
        <v>26</v>
      </c>
      <c r="E4504">
        <v>2318</v>
      </c>
    </row>
    <row r="4505" spans="1:5" x14ac:dyDescent="0.55000000000000004">
      <c r="A4505" t="s">
        <v>4586</v>
      </c>
      <c r="B4505" t="s">
        <v>105</v>
      </c>
      <c r="C4505" s="2">
        <v>43422</v>
      </c>
      <c r="D4505" t="s">
        <v>29</v>
      </c>
      <c r="E4505">
        <v>2562</v>
      </c>
    </row>
    <row r="4506" spans="1:5" x14ac:dyDescent="0.55000000000000004">
      <c r="A4506" t="s">
        <v>4587</v>
      </c>
      <c r="B4506" t="s">
        <v>86</v>
      </c>
      <c r="C4506" s="2">
        <v>43378</v>
      </c>
      <c r="D4506" t="s">
        <v>29</v>
      </c>
      <c r="E4506">
        <v>1664</v>
      </c>
    </row>
    <row r="4507" spans="1:5" x14ac:dyDescent="0.55000000000000004">
      <c r="A4507" t="s">
        <v>4588</v>
      </c>
      <c r="B4507" t="s">
        <v>142</v>
      </c>
      <c r="C4507" s="2">
        <v>44457</v>
      </c>
      <c r="D4507" t="s">
        <v>29</v>
      </c>
      <c r="E4507">
        <v>175</v>
      </c>
    </row>
    <row r="4508" spans="1:5" x14ac:dyDescent="0.55000000000000004">
      <c r="A4508" t="s">
        <v>4589</v>
      </c>
      <c r="B4508" t="s">
        <v>76</v>
      </c>
      <c r="C4508" s="2">
        <v>44778</v>
      </c>
      <c r="D4508" t="s">
        <v>29</v>
      </c>
      <c r="E4508">
        <v>113</v>
      </c>
    </row>
    <row r="4509" spans="1:5" x14ac:dyDescent="0.55000000000000004">
      <c r="A4509" t="s">
        <v>4590</v>
      </c>
      <c r="B4509" t="s">
        <v>151</v>
      </c>
      <c r="C4509" s="2">
        <v>44292</v>
      </c>
      <c r="D4509" t="s">
        <v>29</v>
      </c>
      <c r="E4509">
        <v>1600</v>
      </c>
    </row>
    <row r="4510" spans="1:5" x14ac:dyDescent="0.55000000000000004">
      <c r="A4510" t="s">
        <v>4591</v>
      </c>
      <c r="B4510" t="s">
        <v>15</v>
      </c>
      <c r="C4510" s="2">
        <v>44158</v>
      </c>
      <c r="D4510" t="s">
        <v>26</v>
      </c>
      <c r="E4510">
        <v>521</v>
      </c>
    </row>
    <row r="4511" spans="1:5" x14ac:dyDescent="0.55000000000000004">
      <c r="A4511" t="s">
        <v>4592</v>
      </c>
      <c r="B4511" t="s">
        <v>96</v>
      </c>
      <c r="C4511" s="2">
        <v>45553</v>
      </c>
      <c r="D4511" t="s">
        <v>29</v>
      </c>
      <c r="E4511">
        <v>2646</v>
      </c>
    </row>
    <row r="4512" spans="1:5" x14ac:dyDescent="0.55000000000000004">
      <c r="A4512" t="s">
        <v>4593</v>
      </c>
      <c r="B4512" t="s">
        <v>76</v>
      </c>
      <c r="C4512" s="2">
        <v>44110</v>
      </c>
      <c r="D4512" t="s">
        <v>26</v>
      </c>
      <c r="E4512">
        <v>2453</v>
      </c>
    </row>
    <row r="4513" spans="1:5" x14ac:dyDescent="0.55000000000000004">
      <c r="A4513" t="s">
        <v>4594</v>
      </c>
      <c r="B4513" t="s">
        <v>67</v>
      </c>
      <c r="C4513" s="2">
        <v>44644</v>
      </c>
      <c r="D4513" t="s">
        <v>29</v>
      </c>
      <c r="E4513">
        <v>307</v>
      </c>
    </row>
    <row r="4514" spans="1:5" x14ac:dyDescent="0.55000000000000004">
      <c r="A4514" t="s">
        <v>4595</v>
      </c>
      <c r="B4514" t="s">
        <v>140</v>
      </c>
      <c r="C4514" s="2">
        <v>44145</v>
      </c>
      <c r="D4514" t="s">
        <v>26</v>
      </c>
      <c r="E4514">
        <v>1709</v>
      </c>
    </row>
    <row r="4515" spans="1:5" x14ac:dyDescent="0.55000000000000004">
      <c r="A4515" t="s">
        <v>4596</v>
      </c>
      <c r="B4515" t="s">
        <v>74</v>
      </c>
      <c r="C4515" s="2">
        <v>44067</v>
      </c>
      <c r="D4515" t="s">
        <v>26</v>
      </c>
      <c r="E4515">
        <v>2885</v>
      </c>
    </row>
    <row r="4516" spans="1:5" x14ac:dyDescent="0.55000000000000004">
      <c r="A4516" t="s">
        <v>4597</v>
      </c>
      <c r="B4516" t="s">
        <v>94</v>
      </c>
      <c r="C4516" s="2">
        <v>44062</v>
      </c>
      <c r="D4516" t="s">
        <v>26</v>
      </c>
      <c r="E4516">
        <v>1513</v>
      </c>
    </row>
    <row r="4517" spans="1:5" x14ac:dyDescent="0.55000000000000004">
      <c r="A4517" t="s">
        <v>4598</v>
      </c>
      <c r="B4517" t="s">
        <v>84</v>
      </c>
      <c r="C4517" s="2">
        <v>43722</v>
      </c>
      <c r="D4517" t="s">
        <v>29</v>
      </c>
      <c r="E4517">
        <v>1902</v>
      </c>
    </row>
    <row r="4518" spans="1:5" x14ac:dyDescent="0.55000000000000004">
      <c r="A4518" t="s">
        <v>4599</v>
      </c>
      <c r="B4518" t="s">
        <v>35</v>
      </c>
      <c r="C4518" s="2">
        <v>44530</v>
      </c>
      <c r="D4518" t="s">
        <v>29</v>
      </c>
      <c r="E4518">
        <v>2192</v>
      </c>
    </row>
    <row r="4519" spans="1:5" x14ac:dyDescent="0.55000000000000004">
      <c r="A4519" t="s">
        <v>4600</v>
      </c>
      <c r="B4519" t="s">
        <v>32</v>
      </c>
      <c r="C4519" s="2">
        <v>44500</v>
      </c>
      <c r="D4519" t="s">
        <v>29</v>
      </c>
      <c r="E4519">
        <v>1924</v>
      </c>
    </row>
    <row r="4520" spans="1:5" x14ac:dyDescent="0.55000000000000004">
      <c r="A4520" t="s">
        <v>4601</v>
      </c>
      <c r="B4520" t="s">
        <v>67</v>
      </c>
      <c r="C4520" s="2">
        <v>45463</v>
      </c>
      <c r="D4520" t="s">
        <v>29</v>
      </c>
      <c r="E4520">
        <v>2819</v>
      </c>
    </row>
    <row r="4521" spans="1:5" x14ac:dyDescent="0.55000000000000004">
      <c r="A4521" t="s">
        <v>4602</v>
      </c>
      <c r="B4521" t="s">
        <v>23</v>
      </c>
      <c r="C4521" s="2">
        <v>44112</v>
      </c>
      <c r="D4521" t="s">
        <v>29</v>
      </c>
      <c r="E4521">
        <v>1380</v>
      </c>
    </row>
    <row r="4522" spans="1:5" x14ac:dyDescent="0.55000000000000004">
      <c r="A4522" t="s">
        <v>4603</v>
      </c>
      <c r="B4522" t="s">
        <v>74</v>
      </c>
      <c r="C4522" s="2">
        <v>44333</v>
      </c>
      <c r="D4522" t="s">
        <v>29</v>
      </c>
      <c r="E4522">
        <v>1402</v>
      </c>
    </row>
    <row r="4523" spans="1:5" x14ac:dyDescent="0.55000000000000004">
      <c r="A4523" t="s">
        <v>4604</v>
      </c>
      <c r="B4523" t="s">
        <v>99</v>
      </c>
      <c r="C4523" s="2">
        <v>45583</v>
      </c>
      <c r="D4523" t="s">
        <v>26</v>
      </c>
      <c r="E4523">
        <v>1030</v>
      </c>
    </row>
    <row r="4524" spans="1:5" x14ac:dyDescent="0.55000000000000004">
      <c r="A4524" t="s">
        <v>4605</v>
      </c>
      <c r="B4524" t="s">
        <v>35</v>
      </c>
      <c r="C4524" s="2">
        <v>44380</v>
      </c>
      <c r="D4524" t="s">
        <v>29</v>
      </c>
      <c r="E4524">
        <v>1183</v>
      </c>
    </row>
    <row r="4525" spans="1:5" x14ac:dyDescent="0.55000000000000004">
      <c r="A4525" t="s">
        <v>4606</v>
      </c>
      <c r="B4525" t="s">
        <v>32</v>
      </c>
      <c r="C4525" s="2">
        <v>44882</v>
      </c>
      <c r="D4525" t="s">
        <v>26</v>
      </c>
      <c r="E4525">
        <v>1282</v>
      </c>
    </row>
    <row r="4526" spans="1:5" x14ac:dyDescent="0.55000000000000004">
      <c r="A4526" t="s">
        <v>4607</v>
      </c>
      <c r="B4526" t="s">
        <v>94</v>
      </c>
      <c r="C4526" s="2">
        <v>44793</v>
      </c>
      <c r="D4526" t="s">
        <v>26</v>
      </c>
      <c r="E4526">
        <v>2318</v>
      </c>
    </row>
    <row r="4527" spans="1:5" x14ac:dyDescent="0.55000000000000004">
      <c r="A4527" t="s">
        <v>4608</v>
      </c>
      <c r="B4527" t="s">
        <v>151</v>
      </c>
      <c r="C4527" s="2">
        <v>43630</v>
      </c>
      <c r="D4527" t="s">
        <v>29</v>
      </c>
      <c r="E4527">
        <v>785</v>
      </c>
    </row>
    <row r="4528" spans="1:5" x14ac:dyDescent="0.55000000000000004">
      <c r="A4528" t="s">
        <v>4609</v>
      </c>
      <c r="B4528" t="s">
        <v>175</v>
      </c>
      <c r="C4528" s="2">
        <v>44838</v>
      </c>
      <c r="D4528" t="s">
        <v>29</v>
      </c>
      <c r="E4528">
        <v>1140</v>
      </c>
    </row>
    <row r="4529" spans="1:5" x14ac:dyDescent="0.55000000000000004">
      <c r="A4529" t="s">
        <v>4610</v>
      </c>
      <c r="B4529" t="s">
        <v>84</v>
      </c>
      <c r="C4529" s="2">
        <v>44141</v>
      </c>
      <c r="D4529" t="s">
        <v>29</v>
      </c>
      <c r="E4529">
        <v>2743</v>
      </c>
    </row>
    <row r="4530" spans="1:5" x14ac:dyDescent="0.55000000000000004">
      <c r="A4530" t="s">
        <v>4611</v>
      </c>
      <c r="B4530" t="s">
        <v>38</v>
      </c>
      <c r="C4530" s="2">
        <v>44216</v>
      </c>
      <c r="D4530" t="s">
        <v>26</v>
      </c>
      <c r="E4530">
        <v>2819</v>
      </c>
    </row>
    <row r="4531" spans="1:5" x14ac:dyDescent="0.55000000000000004">
      <c r="A4531" t="s">
        <v>4612</v>
      </c>
      <c r="B4531" t="s">
        <v>156</v>
      </c>
      <c r="C4531" s="2">
        <v>43306</v>
      </c>
      <c r="D4531" t="s">
        <v>29</v>
      </c>
      <c r="E4531">
        <v>2918</v>
      </c>
    </row>
    <row r="4532" spans="1:5" x14ac:dyDescent="0.55000000000000004">
      <c r="A4532" t="s">
        <v>4613</v>
      </c>
      <c r="B4532" t="s">
        <v>99</v>
      </c>
      <c r="C4532" s="2">
        <v>45730</v>
      </c>
      <c r="D4532" t="s">
        <v>29</v>
      </c>
      <c r="E4532">
        <v>837</v>
      </c>
    </row>
    <row r="4533" spans="1:5" x14ac:dyDescent="0.55000000000000004">
      <c r="A4533" t="s">
        <v>4614</v>
      </c>
      <c r="B4533" t="s">
        <v>137</v>
      </c>
      <c r="C4533" s="2">
        <v>45361</v>
      </c>
      <c r="D4533" t="s">
        <v>26</v>
      </c>
      <c r="E4533">
        <v>480</v>
      </c>
    </row>
    <row r="4534" spans="1:5" x14ac:dyDescent="0.55000000000000004">
      <c r="A4534" t="s">
        <v>4615</v>
      </c>
      <c r="B4534" t="s">
        <v>78</v>
      </c>
      <c r="C4534" s="2">
        <v>44659</v>
      </c>
      <c r="D4534" t="s">
        <v>26</v>
      </c>
      <c r="E4534">
        <v>842</v>
      </c>
    </row>
    <row r="4535" spans="1:5" x14ac:dyDescent="0.55000000000000004">
      <c r="A4535" t="s">
        <v>4616</v>
      </c>
      <c r="B4535" t="s">
        <v>32</v>
      </c>
      <c r="C4535" s="2">
        <v>44521</v>
      </c>
      <c r="D4535" t="s">
        <v>26</v>
      </c>
      <c r="E4535">
        <v>2652</v>
      </c>
    </row>
    <row r="4536" spans="1:5" x14ac:dyDescent="0.55000000000000004">
      <c r="A4536" t="s">
        <v>4617</v>
      </c>
      <c r="B4536" t="s">
        <v>137</v>
      </c>
      <c r="C4536" s="2">
        <v>45501</v>
      </c>
      <c r="D4536" t="s">
        <v>29</v>
      </c>
      <c r="E4536">
        <v>1006</v>
      </c>
    </row>
    <row r="4537" spans="1:5" x14ac:dyDescent="0.55000000000000004">
      <c r="A4537" t="s">
        <v>4618</v>
      </c>
      <c r="B4537" t="s">
        <v>101</v>
      </c>
      <c r="C4537" s="2">
        <v>43908</v>
      </c>
      <c r="D4537" t="s">
        <v>29</v>
      </c>
      <c r="E4537">
        <v>2327</v>
      </c>
    </row>
    <row r="4538" spans="1:5" x14ac:dyDescent="0.55000000000000004">
      <c r="A4538" t="s">
        <v>4619</v>
      </c>
      <c r="B4538" t="s">
        <v>15</v>
      </c>
      <c r="C4538" s="2">
        <v>44017</v>
      </c>
      <c r="D4538" t="s">
        <v>29</v>
      </c>
      <c r="E4538">
        <v>599</v>
      </c>
    </row>
    <row r="4539" spans="1:5" x14ac:dyDescent="0.55000000000000004">
      <c r="A4539" t="s">
        <v>4620</v>
      </c>
      <c r="B4539" t="s">
        <v>84</v>
      </c>
      <c r="C4539" s="2">
        <v>44158</v>
      </c>
      <c r="D4539" t="s">
        <v>26</v>
      </c>
      <c r="E4539">
        <v>1034</v>
      </c>
    </row>
    <row r="4540" spans="1:5" x14ac:dyDescent="0.55000000000000004">
      <c r="A4540" t="s">
        <v>4621</v>
      </c>
      <c r="B4540" t="s">
        <v>115</v>
      </c>
      <c r="C4540" s="2">
        <v>43688</v>
      </c>
      <c r="D4540" t="s">
        <v>29</v>
      </c>
      <c r="E4540">
        <v>13</v>
      </c>
    </row>
    <row r="4541" spans="1:5" x14ac:dyDescent="0.55000000000000004">
      <c r="A4541" t="s">
        <v>4622</v>
      </c>
      <c r="B4541" t="s">
        <v>74</v>
      </c>
      <c r="C4541" s="2">
        <v>43303</v>
      </c>
      <c r="D4541" t="s">
        <v>29</v>
      </c>
      <c r="E4541">
        <v>2027</v>
      </c>
    </row>
    <row r="4542" spans="1:5" x14ac:dyDescent="0.55000000000000004">
      <c r="A4542" t="s">
        <v>4623</v>
      </c>
      <c r="B4542" t="s">
        <v>15</v>
      </c>
      <c r="C4542" s="2">
        <v>44044</v>
      </c>
      <c r="D4542" t="s">
        <v>29</v>
      </c>
      <c r="E4542">
        <v>2093</v>
      </c>
    </row>
    <row r="4543" spans="1:5" x14ac:dyDescent="0.55000000000000004">
      <c r="A4543" t="s">
        <v>4624</v>
      </c>
      <c r="B4543" t="s">
        <v>23</v>
      </c>
      <c r="C4543" s="2">
        <v>44692</v>
      </c>
      <c r="D4543" t="s">
        <v>26</v>
      </c>
      <c r="E4543">
        <v>1088</v>
      </c>
    </row>
    <row r="4544" spans="1:5" x14ac:dyDescent="0.55000000000000004">
      <c r="A4544" t="s">
        <v>4625</v>
      </c>
      <c r="B4544" t="s">
        <v>142</v>
      </c>
      <c r="C4544" s="2">
        <v>43792</v>
      </c>
      <c r="D4544" t="s">
        <v>29</v>
      </c>
      <c r="E4544">
        <v>2438</v>
      </c>
    </row>
    <row r="4545" spans="1:5" x14ac:dyDescent="0.55000000000000004">
      <c r="A4545" t="s">
        <v>4626</v>
      </c>
      <c r="B4545" t="s">
        <v>115</v>
      </c>
      <c r="C4545" s="2">
        <v>43892</v>
      </c>
      <c r="D4545" t="s">
        <v>29</v>
      </c>
      <c r="E4545">
        <v>1584</v>
      </c>
    </row>
    <row r="4546" spans="1:5" x14ac:dyDescent="0.55000000000000004">
      <c r="A4546" t="s">
        <v>4627</v>
      </c>
      <c r="B4546" t="s">
        <v>111</v>
      </c>
      <c r="C4546" s="2">
        <v>43161</v>
      </c>
      <c r="D4546" t="s">
        <v>26</v>
      </c>
      <c r="E4546">
        <v>741</v>
      </c>
    </row>
    <row r="4547" spans="1:5" x14ac:dyDescent="0.55000000000000004">
      <c r="A4547" t="s">
        <v>4628</v>
      </c>
      <c r="B4547" t="s">
        <v>115</v>
      </c>
      <c r="C4547" s="2">
        <v>43657</v>
      </c>
      <c r="D4547" t="s">
        <v>26</v>
      </c>
      <c r="E4547">
        <v>168</v>
      </c>
    </row>
    <row r="4548" spans="1:5" x14ac:dyDescent="0.55000000000000004">
      <c r="A4548" t="s">
        <v>4629</v>
      </c>
      <c r="B4548" t="s">
        <v>76</v>
      </c>
      <c r="C4548" s="2">
        <v>43753</v>
      </c>
      <c r="D4548" t="s">
        <v>29</v>
      </c>
      <c r="E4548">
        <v>440</v>
      </c>
    </row>
    <row r="4549" spans="1:5" x14ac:dyDescent="0.55000000000000004">
      <c r="A4549" t="s">
        <v>4630</v>
      </c>
      <c r="B4549" t="s">
        <v>99</v>
      </c>
      <c r="C4549" s="2">
        <v>45658</v>
      </c>
      <c r="D4549" t="s">
        <v>29</v>
      </c>
      <c r="E4549">
        <v>521</v>
      </c>
    </row>
    <row r="4550" spans="1:5" x14ac:dyDescent="0.55000000000000004">
      <c r="A4550" t="s">
        <v>4631</v>
      </c>
      <c r="B4550" t="s">
        <v>137</v>
      </c>
      <c r="C4550" s="2">
        <v>43858</v>
      </c>
      <c r="D4550" t="s">
        <v>29</v>
      </c>
      <c r="E4550">
        <v>839</v>
      </c>
    </row>
    <row r="4551" spans="1:5" x14ac:dyDescent="0.55000000000000004">
      <c r="A4551" t="s">
        <v>4632</v>
      </c>
      <c r="B4551" t="s">
        <v>142</v>
      </c>
      <c r="C4551" s="2">
        <v>44269</v>
      </c>
      <c r="D4551" t="s">
        <v>26</v>
      </c>
      <c r="E4551">
        <v>40</v>
      </c>
    </row>
    <row r="4552" spans="1:5" x14ac:dyDescent="0.55000000000000004">
      <c r="A4552" t="s">
        <v>4633</v>
      </c>
      <c r="B4552" t="s">
        <v>115</v>
      </c>
      <c r="C4552" s="2">
        <v>43608</v>
      </c>
      <c r="D4552" t="s">
        <v>29</v>
      </c>
      <c r="E4552">
        <v>1164</v>
      </c>
    </row>
    <row r="4553" spans="1:5" x14ac:dyDescent="0.55000000000000004">
      <c r="A4553" t="s">
        <v>4634</v>
      </c>
      <c r="B4553" t="s">
        <v>140</v>
      </c>
      <c r="C4553" s="2">
        <v>43409</v>
      </c>
      <c r="D4553" t="s">
        <v>26</v>
      </c>
      <c r="E4553">
        <v>902</v>
      </c>
    </row>
    <row r="4554" spans="1:5" x14ac:dyDescent="0.55000000000000004">
      <c r="A4554" t="s">
        <v>4635</v>
      </c>
      <c r="B4554" t="s">
        <v>32</v>
      </c>
      <c r="C4554" s="2">
        <v>44377</v>
      </c>
      <c r="D4554" t="s">
        <v>29</v>
      </c>
      <c r="E4554">
        <v>968</v>
      </c>
    </row>
    <row r="4555" spans="1:5" x14ac:dyDescent="0.55000000000000004">
      <c r="A4555" t="s">
        <v>4636</v>
      </c>
      <c r="B4555" t="s">
        <v>72</v>
      </c>
      <c r="C4555" s="2">
        <v>42964</v>
      </c>
      <c r="D4555" t="s">
        <v>29</v>
      </c>
      <c r="E4555">
        <v>900</v>
      </c>
    </row>
    <row r="4556" spans="1:5" x14ac:dyDescent="0.55000000000000004">
      <c r="A4556" t="s">
        <v>4637</v>
      </c>
      <c r="B4556" t="s">
        <v>105</v>
      </c>
      <c r="C4556" s="2">
        <v>43701</v>
      </c>
      <c r="D4556" t="s">
        <v>26</v>
      </c>
      <c r="E4556">
        <v>2218</v>
      </c>
    </row>
    <row r="4557" spans="1:5" x14ac:dyDescent="0.55000000000000004">
      <c r="A4557" t="s">
        <v>4638</v>
      </c>
      <c r="B4557" t="s">
        <v>32</v>
      </c>
      <c r="C4557" s="2">
        <v>43866</v>
      </c>
      <c r="D4557" t="s">
        <v>26</v>
      </c>
      <c r="E4557">
        <v>373</v>
      </c>
    </row>
    <row r="4558" spans="1:5" x14ac:dyDescent="0.55000000000000004">
      <c r="A4558" t="s">
        <v>4639</v>
      </c>
      <c r="B4558" t="s">
        <v>23</v>
      </c>
      <c r="C4558" s="2">
        <v>44383</v>
      </c>
      <c r="D4558" t="s">
        <v>29</v>
      </c>
      <c r="E4558">
        <v>510</v>
      </c>
    </row>
    <row r="4559" spans="1:5" x14ac:dyDescent="0.55000000000000004">
      <c r="A4559" t="s">
        <v>4640</v>
      </c>
      <c r="B4559" t="s">
        <v>115</v>
      </c>
      <c r="C4559" s="2">
        <v>43421</v>
      </c>
      <c r="D4559" t="s">
        <v>29</v>
      </c>
      <c r="E4559">
        <v>905</v>
      </c>
    </row>
    <row r="4560" spans="1:5" x14ac:dyDescent="0.55000000000000004">
      <c r="A4560" t="s">
        <v>4641</v>
      </c>
      <c r="B4560" t="s">
        <v>63</v>
      </c>
      <c r="C4560" s="2">
        <v>43858</v>
      </c>
      <c r="D4560" t="s">
        <v>26</v>
      </c>
      <c r="E4560">
        <v>710</v>
      </c>
    </row>
    <row r="4561" spans="1:5" x14ac:dyDescent="0.55000000000000004">
      <c r="A4561" t="s">
        <v>4642</v>
      </c>
      <c r="B4561" t="s">
        <v>63</v>
      </c>
      <c r="C4561" s="2">
        <v>43489</v>
      </c>
      <c r="D4561" t="s">
        <v>26</v>
      </c>
      <c r="E4561">
        <v>12</v>
      </c>
    </row>
    <row r="4562" spans="1:5" x14ac:dyDescent="0.55000000000000004">
      <c r="A4562" t="s">
        <v>4643</v>
      </c>
      <c r="B4562" t="s">
        <v>63</v>
      </c>
      <c r="C4562" s="2">
        <v>44291</v>
      </c>
      <c r="D4562" t="s">
        <v>29</v>
      </c>
      <c r="E4562">
        <v>1782</v>
      </c>
    </row>
    <row r="4563" spans="1:5" x14ac:dyDescent="0.55000000000000004">
      <c r="A4563" t="s">
        <v>4644</v>
      </c>
      <c r="B4563" t="s">
        <v>23</v>
      </c>
      <c r="C4563" s="2">
        <v>44622</v>
      </c>
      <c r="D4563" t="s">
        <v>29</v>
      </c>
      <c r="E4563">
        <v>874</v>
      </c>
    </row>
    <row r="4564" spans="1:5" x14ac:dyDescent="0.55000000000000004">
      <c r="A4564" t="s">
        <v>4645</v>
      </c>
      <c r="B4564" t="s">
        <v>63</v>
      </c>
      <c r="C4564" s="2">
        <v>43122</v>
      </c>
      <c r="D4564" t="s">
        <v>26</v>
      </c>
      <c r="E4564">
        <v>1673</v>
      </c>
    </row>
    <row r="4565" spans="1:5" x14ac:dyDescent="0.55000000000000004">
      <c r="A4565" t="s">
        <v>4646</v>
      </c>
      <c r="B4565" t="s">
        <v>41</v>
      </c>
      <c r="C4565" s="2">
        <v>44740</v>
      </c>
      <c r="D4565" t="s">
        <v>29</v>
      </c>
      <c r="E4565">
        <v>615</v>
      </c>
    </row>
    <row r="4566" spans="1:5" x14ac:dyDescent="0.55000000000000004">
      <c r="A4566" t="s">
        <v>4647</v>
      </c>
      <c r="B4566" t="s">
        <v>78</v>
      </c>
      <c r="C4566" s="2">
        <v>45040</v>
      </c>
      <c r="D4566" t="s">
        <v>29</v>
      </c>
      <c r="E4566">
        <v>94</v>
      </c>
    </row>
    <row r="4567" spans="1:5" x14ac:dyDescent="0.55000000000000004">
      <c r="A4567" t="s">
        <v>4648</v>
      </c>
      <c r="B4567" t="s">
        <v>99</v>
      </c>
      <c r="C4567" s="2">
        <v>44578</v>
      </c>
      <c r="D4567" t="s">
        <v>26</v>
      </c>
      <c r="E4567">
        <v>2757</v>
      </c>
    </row>
    <row r="4568" spans="1:5" x14ac:dyDescent="0.55000000000000004">
      <c r="A4568" t="s">
        <v>4649</v>
      </c>
      <c r="B4568" t="s">
        <v>96</v>
      </c>
      <c r="C4568" s="2">
        <v>45254</v>
      </c>
      <c r="D4568" t="s">
        <v>29</v>
      </c>
      <c r="E4568">
        <v>1319</v>
      </c>
    </row>
    <row r="4569" spans="1:5" x14ac:dyDescent="0.55000000000000004">
      <c r="A4569" t="s">
        <v>4650</v>
      </c>
      <c r="B4569" t="s">
        <v>14</v>
      </c>
      <c r="C4569" s="2">
        <v>43939</v>
      </c>
      <c r="D4569" t="s">
        <v>29</v>
      </c>
      <c r="E4569">
        <v>1811</v>
      </c>
    </row>
    <row r="4570" spans="1:5" x14ac:dyDescent="0.55000000000000004">
      <c r="A4570" t="s">
        <v>4651</v>
      </c>
      <c r="B4570" t="s">
        <v>32</v>
      </c>
      <c r="C4570" s="2">
        <v>44251</v>
      </c>
      <c r="D4570" t="s">
        <v>29</v>
      </c>
      <c r="E4570">
        <v>591</v>
      </c>
    </row>
    <row r="4571" spans="1:5" x14ac:dyDescent="0.55000000000000004">
      <c r="A4571" t="s">
        <v>4652</v>
      </c>
      <c r="B4571" t="s">
        <v>41</v>
      </c>
      <c r="C4571" s="2">
        <v>43989</v>
      </c>
      <c r="D4571" t="s">
        <v>29</v>
      </c>
      <c r="E4571">
        <v>689</v>
      </c>
    </row>
    <row r="4572" spans="1:5" x14ac:dyDescent="0.55000000000000004">
      <c r="A4572" t="s">
        <v>4653</v>
      </c>
      <c r="B4572" t="s">
        <v>137</v>
      </c>
      <c r="C4572" s="2">
        <v>45120</v>
      </c>
      <c r="D4572" t="s">
        <v>26</v>
      </c>
      <c r="E4572">
        <v>892</v>
      </c>
    </row>
    <row r="4573" spans="1:5" x14ac:dyDescent="0.55000000000000004">
      <c r="A4573" t="s">
        <v>4654</v>
      </c>
      <c r="B4573" t="s">
        <v>111</v>
      </c>
      <c r="C4573" s="2">
        <v>43640</v>
      </c>
      <c r="D4573" t="s">
        <v>29</v>
      </c>
      <c r="E4573">
        <v>1122</v>
      </c>
    </row>
    <row r="4574" spans="1:5" x14ac:dyDescent="0.55000000000000004">
      <c r="A4574" t="s">
        <v>4655</v>
      </c>
      <c r="B4574" t="s">
        <v>63</v>
      </c>
      <c r="C4574" s="2">
        <v>44381</v>
      </c>
      <c r="D4574" t="s">
        <v>29</v>
      </c>
      <c r="E4574">
        <v>945</v>
      </c>
    </row>
    <row r="4575" spans="1:5" x14ac:dyDescent="0.55000000000000004">
      <c r="A4575" t="s">
        <v>4656</v>
      </c>
      <c r="B4575" t="s">
        <v>101</v>
      </c>
      <c r="C4575" s="2">
        <v>44146</v>
      </c>
      <c r="D4575" t="s">
        <v>29</v>
      </c>
      <c r="E4575">
        <v>99</v>
      </c>
    </row>
    <row r="4576" spans="1:5" x14ac:dyDescent="0.55000000000000004">
      <c r="A4576" t="s">
        <v>4657</v>
      </c>
      <c r="B4576" t="s">
        <v>38</v>
      </c>
      <c r="C4576" s="2">
        <v>44330</v>
      </c>
      <c r="D4576" t="s">
        <v>26</v>
      </c>
      <c r="E4576">
        <v>1852</v>
      </c>
    </row>
    <row r="4577" spans="1:5" x14ac:dyDescent="0.55000000000000004">
      <c r="A4577" t="s">
        <v>4658</v>
      </c>
      <c r="B4577" t="s">
        <v>41</v>
      </c>
      <c r="C4577" s="2">
        <v>43875</v>
      </c>
      <c r="D4577" t="s">
        <v>29</v>
      </c>
      <c r="E4577">
        <v>2341</v>
      </c>
    </row>
    <row r="4578" spans="1:5" x14ac:dyDescent="0.55000000000000004">
      <c r="A4578" t="s">
        <v>4659</v>
      </c>
      <c r="B4578" t="s">
        <v>86</v>
      </c>
      <c r="C4578" s="2">
        <v>43653</v>
      </c>
      <c r="D4578" t="s">
        <v>29</v>
      </c>
      <c r="E4578">
        <v>83</v>
      </c>
    </row>
    <row r="4579" spans="1:5" x14ac:dyDescent="0.55000000000000004">
      <c r="A4579" t="s">
        <v>4660</v>
      </c>
      <c r="B4579" t="s">
        <v>96</v>
      </c>
      <c r="C4579" s="2">
        <v>45253</v>
      </c>
      <c r="D4579" t="s">
        <v>29</v>
      </c>
      <c r="E4579">
        <v>1737</v>
      </c>
    </row>
    <row r="4580" spans="1:5" x14ac:dyDescent="0.55000000000000004">
      <c r="A4580" t="s">
        <v>4661</v>
      </c>
      <c r="B4580" t="s">
        <v>74</v>
      </c>
      <c r="C4580" s="2">
        <v>43812</v>
      </c>
      <c r="D4580" t="s">
        <v>29</v>
      </c>
      <c r="E4580">
        <v>1426</v>
      </c>
    </row>
    <row r="4581" spans="1:5" x14ac:dyDescent="0.55000000000000004">
      <c r="A4581" t="s">
        <v>4662</v>
      </c>
      <c r="B4581" t="s">
        <v>63</v>
      </c>
      <c r="C4581" s="2">
        <v>43468</v>
      </c>
      <c r="D4581" t="s">
        <v>29</v>
      </c>
      <c r="E4581">
        <v>1064</v>
      </c>
    </row>
    <row r="4582" spans="1:5" x14ac:dyDescent="0.55000000000000004">
      <c r="A4582" t="s">
        <v>4663</v>
      </c>
      <c r="B4582" t="s">
        <v>96</v>
      </c>
      <c r="C4582" s="2">
        <v>44113</v>
      </c>
      <c r="D4582" t="s">
        <v>26</v>
      </c>
      <c r="E4582">
        <v>897</v>
      </c>
    </row>
    <row r="4583" spans="1:5" x14ac:dyDescent="0.55000000000000004">
      <c r="A4583" t="s">
        <v>4664</v>
      </c>
      <c r="B4583" t="s">
        <v>76</v>
      </c>
      <c r="C4583" s="2">
        <v>45584</v>
      </c>
      <c r="D4583" t="s">
        <v>26</v>
      </c>
      <c r="E4583">
        <v>148</v>
      </c>
    </row>
    <row r="4584" spans="1:5" x14ac:dyDescent="0.55000000000000004">
      <c r="A4584" t="s">
        <v>4665</v>
      </c>
      <c r="B4584" t="s">
        <v>101</v>
      </c>
      <c r="C4584" s="2">
        <v>43663</v>
      </c>
      <c r="D4584" t="s">
        <v>26</v>
      </c>
      <c r="E4584">
        <v>936</v>
      </c>
    </row>
    <row r="4585" spans="1:5" x14ac:dyDescent="0.55000000000000004">
      <c r="A4585" t="s">
        <v>4666</v>
      </c>
      <c r="B4585" t="s">
        <v>74</v>
      </c>
      <c r="C4585" s="2">
        <v>44365</v>
      </c>
      <c r="D4585" t="s">
        <v>26</v>
      </c>
      <c r="E4585">
        <v>378</v>
      </c>
    </row>
    <row r="4586" spans="1:5" x14ac:dyDescent="0.55000000000000004">
      <c r="A4586" t="s">
        <v>4667</v>
      </c>
      <c r="B4586" t="s">
        <v>32</v>
      </c>
      <c r="C4586" s="2">
        <v>43933</v>
      </c>
      <c r="D4586" t="s">
        <v>29</v>
      </c>
      <c r="E4586">
        <v>324</v>
      </c>
    </row>
    <row r="4587" spans="1:5" x14ac:dyDescent="0.55000000000000004">
      <c r="A4587" t="s">
        <v>4668</v>
      </c>
      <c r="B4587" t="s">
        <v>67</v>
      </c>
      <c r="C4587" s="2">
        <v>44511</v>
      </c>
      <c r="D4587" t="s">
        <v>29</v>
      </c>
      <c r="E4587">
        <v>610</v>
      </c>
    </row>
    <row r="4588" spans="1:5" x14ac:dyDescent="0.55000000000000004">
      <c r="A4588" t="s">
        <v>4669</v>
      </c>
      <c r="B4588" t="s">
        <v>156</v>
      </c>
      <c r="C4588" s="2">
        <v>43207</v>
      </c>
      <c r="D4588" t="s">
        <v>29</v>
      </c>
      <c r="E4588">
        <v>1140</v>
      </c>
    </row>
    <row r="4589" spans="1:5" x14ac:dyDescent="0.55000000000000004">
      <c r="A4589" t="s">
        <v>4670</v>
      </c>
      <c r="B4589" t="s">
        <v>76</v>
      </c>
      <c r="C4589" s="2">
        <v>44227</v>
      </c>
      <c r="D4589" t="s">
        <v>26</v>
      </c>
      <c r="E4589">
        <v>1677</v>
      </c>
    </row>
    <row r="4590" spans="1:5" x14ac:dyDescent="0.55000000000000004">
      <c r="A4590" t="s">
        <v>4671</v>
      </c>
      <c r="B4590" t="s">
        <v>156</v>
      </c>
      <c r="C4590" s="2">
        <v>43258</v>
      </c>
      <c r="D4590" t="s">
        <v>26</v>
      </c>
      <c r="E4590">
        <v>949</v>
      </c>
    </row>
    <row r="4591" spans="1:5" x14ac:dyDescent="0.55000000000000004">
      <c r="A4591" t="s">
        <v>4672</v>
      </c>
      <c r="B4591" t="s">
        <v>76</v>
      </c>
      <c r="C4591" s="2">
        <v>43843</v>
      </c>
      <c r="D4591" t="s">
        <v>26</v>
      </c>
      <c r="E4591">
        <v>2345</v>
      </c>
    </row>
    <row r="4592" spans="1:5" x14ac:dyDescent="0.55000000000000004">
      <c r="A4592" t="s">
        <v>4673</v>
      </c>
      <c r="B4592" t="s">
        <v>35</v>
      </c>
      <c r="C4592" s="2">
        <v>44191</v>
      </c>
      <c r="D4592" t="s">
        <v>29</v>
      </c>
      <c r="E4592">
        <v>2244</v>
      </c>
    </row>
    <row r="4593" spans="1:5" x14ac:dyDescent="0.55000000000000004">
      <c r="A4593" t="s">
        <v>4674</v>
      </c>
      <c r="B4593" t="s">
        <v>96</v>
      </c>
      <c r="C4593" s="2">
        <v>45199</v>
      </c>
      <c r="D4593" t="s">
        <v>26</v>
      </c>
      <c r="E4593">
        <v>967</v>
      </c>
    </row>
    <row r="4594" spans="1:5" x14ac:dyDescent="0.55000000000000004">
      <c r="A4594" t="s">
        <v>4675</v>
      </c>
      <c r="B4594" t="s">
        <v>14</v>
      </c>
      <c r="C4594" s="2">
        <v>43317</v>
      </c>
      <c r="D4594" t="s">
        <v>26</v>
      </c>
      <c r="E4594">
        <v>275</v>
      </c>
    </row>
    <row r="4595" spans="1:5" x14ac:dyDescent="0.55000000000000004">
      <c r="A4595" t="s">
        <v>4676</v>
      </c>
      <c r="B4595" t="s">
        <v>118</v>
      </c>
      <c r="C4595" s="2">
        <v>43881</v>
      </c>
      <c r="D4595" t="s">
        <v>29</v>
      </c>
      <c r="E4595">
        <v>732</v>
      </c>
    </row>
    <row r="4596" spans="1:5" x14ac:dyDescent="0.55000000000000004">
      <c r="A4596" t="s">
        <v>4677</v>
      </c>
      <c r="B4596" t="s">
        <v>99</v>
      </c>
      <c r="C4596" s="2">
        <v>43974</v>
      </c>
      <c r="D4596" t="s">
        <v>29</v>
      </c>
      <c r="E4596">
        <v>2266</v>
      </c>
    </row>
    <row r="4597" spans="1:5" x14ac:dyDescent="0.55000000000000004">
      <c r="A4597" t="s">
        <v>4678</v>
      </c>
      <c r="B4597" t="s">
        <v>118</v>
      </c>
      <c r="C4597" s="2">
        <v>44977</v>
      </c>
      <c r="D4597" t="s">
        <v>26</v>
      </c>
      <c r="E4597">
        <v>625</v>
      </c>
    </row>
    <row r="4598" spans="1:5" x14ac:dyDescent="0.55000000000000004">
      <c r="A4598" t="s">
        <v>4679</v>
      </c>
      <c r="B4598" t="s">
        <v>99</v>
      </c>
      <c r="C4598" s="2">
        <v>44231</v>
      </c>
      <c r="D4598" t="s">
        <v>26</v>
      </c>
      <c r="E4598">
        <v>35</v>
      </c>
    </row>
    <row r="4599" spans="1:5" x14ac:dyDescent="0.55000000000000004">
      <c r="A4599" t="s">
        <v>4680</v>
      </c>
      <c r="B4599" t="s">
        <v>111</v>
      </c>
      <c r="C4599" s="2">
        <v>43268</v>
      </c>
      <c r="D4599" t="s">
        <v>29</v>
      </c>
      <c r="E4599">
        <v>2102</v>
      </c>
    </row>
    <row r="4600" spans="1:5" x14ac:dyDescent="0.55000000000000004">
      <c r="A4600" t="s">
        <v>4681</v>
      </c>
      <c r="B4600" t="s">
        <v>175</v>
      </c>
      <c r="C4600" s="2">
        <v>43550</v>
      </c>
      <c r="D4600" t="s">
        <v>26</v>
      </c>
      <c r="E4600">
        <v>1613</v>
      </c>
    </row>
    <row r="4601" spans="1:5" x14ac:dyDescent="0.55000000000000004">
      <c r="A4601" t="s">
        <v>4682</v>
      </c>
      <c r="B4601" t="s">
        <v>72</v>
      </c>
      <c r="C4601" s="2">
        <v>43259</v>
      </c>
      <c r="D4601" t="s">
        <v>26</v>
      </c>
      <c r="E4601">
        <v>1921</v>
      </c>
    </row>
    <row r="4602" spans="1:5" x14ac:dyDescent="0.55000000000000004">
      <c r="A4602" t="s">
        <v>4683</v>
      </c>
      <c r="B4602" t="s">
        <v>72</v>
      </c>
      <c r="C4602" s="2">
        <v>43187</v>
      </c>
      <c r="D4602" t="s">
        <v>26</v>
      </c>
      <c r="E4602">
        <v>2494</v>
      </c>
    </row>
    <row r="4603" spans="1:5" x14ac:dyDescent="0.55000000000000004">
      <c r="A4603" t="s">
        <v>4684</v>
      </c>
      <c r="B4603" t="s">
        <v>175</v>
      </c>
      <c r="C4603" s="2">
        <v>44970</v>
      </c>
      <c r="D4603" t="s">
        <v>29</v>
      </c>
      <c r="E4603">
        <v>1894</v>
      </c>
    </row>
    <row r="4604" spans="1:5" x14ac:dyDescent="0.55000000000000004">
      <c r="A4604" t="s">
        <v>4685</v>
      </c>
      <c r="B4604" t="s">
        <v>63</v>
      </c>
      <c r="C4604" s="2">
        <v>43848</v>
      </c>
      <c r="D4604" t="s">
        <v>26</v>
      </c>
      <c r="E4604">
        <v>2909</v>
      </c>
    </row>
    <row r="4605" spans="1:5" x14ac:dyDescent="0.55000000000000004">
      <c r="A4605" t="s">
        <v>4686</v>
      </c>
      <c r="B4605" t="s">
        <v>115</v>
      </c>
      <c r="C4605" s="2">
        <v>44378</v>
      </c>
      <c r="D4605" t="s">
        <v>26</v>
      </c>
      <c r="E4605">
        <v>663</v>
      </c>
    </row>
    <row r="4606" spans="1:5" x14ac:dyDescent="0.55000000000000004">
      <c r="A4606" t="s">
        <v>4687</v>
      </c>
      <c r="B4606" t="s">
        <v>35</v>
      </c>
      <c r="C4606" s="2">
        <v>43917</v>
      </c>
      <c r="D4606" t="s">
        <v>26</v>
      </c>
      <c r="E4606">
        <v>1545</v>
      </c>
    </row>
    <row r="4607" spans="1:5" x14ac:dyDescent="0.55000000000000004">
      <c r="A4607" t="s">
        <v>4688</v>
      </c>
      <c r="B4607" t="s">
        <v>72</v>
      </c>
      <c r="C4607" s="2">
        <v>42918</v>
      </c>
      <c r="D4607" t="s">
        <v>29</v>
      </c>
      <c r="E4607">
        <v>1887</v>
      </c>
    </row>
    <row r="4608" spans="1:5" x14ac:dyDescent="0.55000000000000004">
      <c r="A4608" t="s">
        <v>4689</v>
      </c>
      <c r="B4608" t="s">
        <v>67</v>
      </c>
      <c r="C4608" s="2">
        <v>45472</v>
      </c>
      <c r="D4608" t="s">
        <v>29</v>
      </c>
      <c r="E4608">
        <v>2254</v>
      </c>
    </row>
    <row r="4609" spans="1:5" x14ac:dyDescent="0.55000000000000004">
      <c r="A4609" t="s">
        <v>4690</v>
      </c>
      <c r="B4609" t="s">
        <v>99</v>
      </c>
      <c r="C4609" s="2">
        <v>45120</v>
      </c>
      <c r="D4609" t="s">
        <v>29</v>
      </c>
      <c r="E4609">
        <v>2651</v>
      </c>
    </row>
    <row r="4610" spans="1:5" x14ac:dyDescent="0.55000000000000004">
      <c r="A4610" t="s">
        <v>4691</v>
      </c>
      <c r="B4610" t="s">
        <v>67</v>
      </c>
      <c r="C4610" s="2">
        <v>44915</v>
      </c>
      <c r="D4610" t="s">
        <v>29</v>
      </c>
      <c r="E4610">
        <v>1029</v>
      </c>
    </row>
    <row r="4611" spans="1:5" x14ac:dyDescent="0.55000000000000004">
      <c r="A4611" t="s">
        <v>4692</v>
      </c>
      <c r="B4611" t="s">
        <v>67</v>
      </c>
      <c r="C4611" s="2">
        <v>45135</v>
      </c>
      <c r="D4611" t="s">
        <v>26</v>
      </c>
      <c r="E4611">
        <v>2060</v>
      </c>
    </row>
    <row r="4612" spans="1:5" x14ac:dyDescent="0.55000000000000004">
      <c r="A4612" t="s">
        <v>4693</v>
      </c>
      <c r="B4612" t="s">
        <v>76</v>
      </c>
      <c r="C4612" s="2">
        <v>45512</v>
      </c>
      <c r="D4612" t="s">
        <v>26</v>
      </c>
      <c r="E4612">
        <v>149</v>
      </c>
    </row>
    <row r="4613" spans="1:5" x14ac:dyDescent="0.55000000000000004">
      <c r="A4613" t="s">
        <v>4694</v>
      </c>
      <c r="B4613" t="s">
        <v>151</v>
      </c>
      <c r="C4613" s="2">
        <v>43067</v>
      </c>
      <c r="D4613" t="s">
        <v>29</v>
      </c>
      <c r="E4613">
        <v>1222</v>
      </c>
    </row>
    <row r="4614" spans="1:5" x14ac:dyDescent="0.55000000000000004">
      <c r="A4614" t="s">
        <v>4695</v>
      </c>
      <c r="B4614" t="s">
        <v>115</v>
      </c>
      <c r="C4614" s="2">
        <v>44154</v>
      </c>
      <c r="D4614" t="s">
        <v>29</v>
      </c>
      <c r="E4614">
        <v>1567</v>
      </c>
    </row>
    <row r="4615" spans="1:5" x14ac:dyDescent="0.55000000000000004">
      <c r="A4615" t="s">
        <v>4696</v>
      </c>
      <c r="B4615" t="s">
        <v>101</v>
      </c>
      <c r="C4615" s="2">
        <v>43530</v>
      </c>
      <c r="D4615" t="s">
        <v>29</v>
      </c>
      <c r="E4615">
        <v>97</v>
      </c>
    </row>
    <row r="4616" spans="1:5" x14ac:dyDescent="0.55000000000000004">
      <c r="A4616" t="s">
        <v>4697</v>
      </c>
      <c r="B4616" t="s">
        <v>111</v>
      </c>
      <c r="C4616" s="2">
        <v>43914</v>
      </c>
      <c r="D4616" t="s">
        <v>26</v>
      </c>
      <c r="E4616">
        <v>65</v>
      </c>
    </row>
    <row r="4617" spans="1:5" x14ac:dyDescent="0.55000000000000004">
      <c r="A4617" t="s">
        <v>4698</v>
      </c>
      <c r="B4617" t="s">
        <v>151</v>
      </c>
      <c r="C4617" s="2">
        <v>43808</v>
      </c>
      <c r="D4617" t="s">
        <v>26</v>
      </c>
      <c r="E4617">
        <v>1842</v>
      </c>
    </row>
    <row r="4618" spans="1:5" x14ac:dyDescent="0.55000000000000004">
      <c r="A4618" t="s">
        <v>4699</v>
      </c>
      <c r="B4618" t="s">
        <v>76</v>
      </c>
      <c r="C4618" s="2">
        <v>44038</v>
      </c>
      <c r="D4618" t="s">
        <v>29</v>
      </c>
      <c r="E4618">
        <v>1623</v>
      </c>
    </row>
    <row r="4619" spans="1:5" x14ac:dyDescent="0.55000000000000004">
      <c r="A4619" t="s">
        <v>4700</v>
      </c>
      <c r="B4619" t="s">
        <v>63</v>
      </c>
      <c r="C4619" s="2">
        <v>43208</v>
      </c>
      <c r="D4619" t="s">
        <v>26</v>
      </c>
      <c r="E4619">
        <v>930</v>
      </c>
    </row>
    <row r="4620" spans="1:5" x14ac:dyDescent="0.55000000000000004">
      <c r="A4620" t="s">
        <v>4701</v>
      </c>
      <c r="B4620" t="s">
        <v>94</v>
      </c>
      <c r="C4620" s="2">
        <v>45264</v>
      </c>
      <c r="D4620" t="s">
        <v>29</v>
      </c>
      <c r="E4620">
        <v>1993</v>
      </c>
    </row>
    <row r="4621" spans="1:5" x14ac:dyDescent="0.55000000000000004">
      <c r="A4621" t="s">
        <v>4702</v>
      </c>
      <c r="B4621" t="s">
        <v>101</v>
      </c>
      <c r="C4621" s="2">
        <v>43872</v>
      </c>
      <c r="D4621" t="s">
        <v>29</v>
      </c>
      <c r="E4621">
        <v>1521</v>
      </c>
    </row>
    <row r="4622" spans="1:5" x14ac:dyDescent="0.55000000000000004">
      <c r="A4622" t="s">
        <v>4703</v>
      </c>
      <c r="B4622" t="s">
        <v>94</v>
      </c>
      <c r="C4622" s="2">
        <v>44304</v>
      </c>
      <c r="D4622" t="s">
        <v>29</v>
      </c>
      <c r="E4622">
        <v>534</v>
      </c>
    </row>
    <row r="4623" spans="1:5" x14ac:dyDescent="0.55000000000000004">
      <c r="A4623" t="s">
        <v>4704</v>
      </c>
      <c r="B4623" t="s">
        <v>140</v>
      </c>
      <c r="C4623" s="2">
        <v>43022</v>
      </c>
      <c r="D4623" t="s">
        <v>26</v>
      </c>
      <c r="E4623">
        <v>596</v>
      </c>
    </row>
    <row r="4624" spans="1:5" x14ac:dyDescent="0.55000000000000004">
      <c r="A4624" t="s">
        <v>4705</v>
      </c>
      <c r="B4624" t="s">
        <v>94</v>
      </c>
      <c r="C4624" s="2">
        <v>43880</v>
      </c>
      <c r="D4624" t="s">
        <v>29</v>
      </c>
      <c r="E4624">
        <v>1532</v>
      </c>
    </row>
    <row r="4625" spans="1:5" x14ac:dyDescent="0.55000000000000004">
      <c r="A4625" t="s">
        <v>4706</v>
      </c>
      <c r="B4625" t="s">
        <v>142</v>
      </c>
      <c r="C4625" s="2">
        <v>43634</v>
      </c>
      <c r="D4625" t="s">
        <v>29</v>
      </c>
      <c r="E4625">
        <v>1583</v>
      </c>
    </row>
    <row r="4626" spans="1:5" x14ac:dyDescent="0.55000000000000004">
      <c r="A4626" t="s">
        <v>4707</v>
      </c>
      <c r="B4626" t="s">
        <v>94</v>
      </c>
      <c r="C4626" s="2">
        <v>45241</v>
      </c>
      <c r="D4626" t="s">
        <v>26</v>
      </c>
      <c r="E4626">
        <v>2450</v>
      </c>
    </row>
    <row r="4627" spans="1:5" x14ac:dyDescent="0.55000000000000004">
      <c r="A4627" t="s">
        <v>4708</v>
      </c>
      <c r="B4627" t="s">
        <v>156</v>
      </c>
      <c r="C4627" s="2">
        <v>43643</v>
      </c>
      <c r="D4627" t="s">
        <v>29</v>
      </c>
      <c r="E4627">
        <v>165</v>
      </c>
    </row>
    <row r="4628" spans="1:5" x14ac:dyDescent="0.55000000000000004">
      <c r="A4628" t="s">
        <v>4709</v>
      </c>
      <c r="B4628" t="s">
        <v>76</v>
      </c>
      <c r="C4628" s="2">
        <v>45429</v>
      </c>
      <c r="D4628" t="s">
        <v>26</v>
      </c>
      <c r="E4628">
        <v>1443</v>
      </c>
    </row>
    <row r="4629" spans="1:5" x14ac:dyDescent="0.55000000000000004">
      <c r="A4629" t="s">
        <v>4710</v>
      </c>
      <c r="B4629" t="s">
        <v>111</v>
      </c>
      <c r="C4629" s="2">
        <v>43313</v>
      </c>
      <c r="D4629" t="s">
        <v>29</v>
      </c>
      <c r="E4629">
        <v>2075</v>
      </c>
    </row>
    <row r="4630" spans="1:5" x14ac:dyDescent="0.55000000000000004">
      <c r="A4630" t="s">
        <v>4711</v>
      </c>
      <c r="B4630" t="s">
        <v>105</v>
      </c>
      <c r="C4630" s="2">
        <v>42939</v>
      </c>
      <c r="D4630" t="s">
        <v>26</v>
      </c>
      <c r="E4630">
        <v>597</v>
      </c>
    </row>
    <row r="4631" spans="1:5" x14ac:dyDescent="0.55000000000000004">
      <c r="A4631" t="s">
        <v>4712</v>
      </c>
      <c r="B4631" t="s">
        <v>78</v>
      </c>
      <c r="C4631" s="2">
        <v>45766</v>
      </c>
      <c r="D4631" t="s">
        <v>29</v>
      </c>
      <c r="E4631">
        <v>245</v>
      </c>
    </row>
    <row r="4632" spans="1:5" x14ac:dyDescent="0.55000000000000004">
      <c r="A4632" t="s">
        <v>4713</v>
      </c>
      <c r="B4632" t="s">
        <v>14</v>
      </c>
      <c r="C4632" s="2">
        <v>43960</v>
      </c>
      <c r="D4632" t="s">
        <v>26</v>
      </c>
      <c r="E4632">
        <v>2583</v>
      </c>
    </row>
    <row r="4633" spans="1:5" x14ac:dyDescent="0.55000000000000004">
      <c r="A4633" t="s">
        <v>4714</v>
      </c>
      <c r="B4633" t="s">
        <v>67</v>
      </c>
      <c r="C4633" s="2">
        <v>44986</v>
      </c>
      <c r="D4633" t="s">
        <v>26</v>
      </c>
      <c r="E4633">
        <v>1836</v>
      </c>
    </row>
    <row r="4634" spans="1:5" x14ac:dyDescent="0.55000000000000004">
      <c r="A4634" t="s">
        <v>4715</v>
      </c>
      <c r="B4634" t="s">
        <v>101</v>
      </c>
      <c r="C4634" s="2">
        <v>43601</v>
      </c>
      <c r="D4634" t="s">
        <v>29</v>
      </c>
      <c r="E4634">
        <v>1421</v>
      </c>
    </row>
    <row r="4635" spans="1:5" x14ac:dyDescent="0.55000000000000004">
      <c r="A4635" t="s">
        <v>4716</v>
      </c>
      <c r="B4635" t="s">
        <v>32</v>
      </c>
      <c r="C4635" s="2">
        <v>44499</v>
      </c>
      <c r="D4635" t="s">
        <v>29</v>
      </c>
      <c r="E4635">
        <v>1507</v>
      </c>
    </row>
    <row r="4636" spans="1:5" x14ac:dyDescent="0.55000000000000004">
      <c r="A4636" t="s">
        <v>4717</v>
      </c>
      <c r="B4636" t="s">
        <v>142</v>
      </c>
      <c r="C4636" s="2">
        <v>44557</v>
      </c>
      <c r="D4636" t="s">
        <v>26</v>
      </c>
      <c r="E4636">
        <v>1795</v>
      </c>
    </row>
    <row r="4637" spans="1:5" x14ac:dyDescent="0.55000000000000004">
      <c r="A4637" t="s">
        <v>4718</v>
      </c>
      <c r="B4637" t="s">
        <v>118</v>
      </c>
      <c r="C4637" s="2">
        <v>45462</v>
      </c>
      <c r="D4637" t="s">
        <v>29</v>
      </c>
      <c r="E4637">
        <v>2105</v>
      </c>
    </row>
    <row r="4638" spans="1:5" x14ac:dyDescent="0.55000000000000004">
      <c r="A4638" t="s">
        <v>4719</v>
      </c>
      <c r="B4638" t="s">
        <v>142</v>
      </c>
      <c r="C4638" s="2">
        <v>44281</v>
      </c>
      <c r="D4638" t="s">
        <v>26</v>
      </c>
      <c r="E4638">
        <v>628</v>
      </c>
    </row>
    <row r="4639" spans="1:5" x14ac:dyDescent="0.55000000000000004">
      <c r="A4639" t="s">
        <v>4720</v>
      </c>
      <c r="B4639" t="s">
        <v>175</v>
      </c>
      <c r="C4639" s="2">
        <v>45013</v>
      </c>
      <c r="D4639" t="s">
        <v>29</v>
      </c>
      <c r="E4639">
        <v>2705</v>
      </c>
    </row>
    <row r="4640" spans="1:5" x14ac:dyDescent="0.55000000000000004">
      <c r="A4640" t="s">
        <v>4721</v>
      </c>
      <c r="B4640" t="s">
        <v>41</v>
      </c>
      <c r="C4640" s="2">
        <v>44731</v>
      </c>
      <c r="D4640" t="s">
        <v>29</v>
      </c>
      <c r="E4640">
        <v>589</v>
      </c>
    </row>
    <row r="4641" spans="1:5" x14ac:dyDescent="0.55000000000000004">
      <c r="A4641" t="s">
        <v>4722</v>
      </c>
      <c r="B4641" t="s">
        <v>72</v>
      </c>
      <c r="C4641" s="2">
        <v>44477</v>
      </c>
      <c r="D4641" t="s">
        <v>26</v>
      </c>
      <c r="E4641">
        <v>381</v>
      </c>
    </row>
    <row r="4642" spans="1:5" x14ac:dyDescent="0.55000000000000004">
      <c r="A4642" t="s">
        <v>4723</v>
      </c>
      <c r="B4642" t="s">
        <v>32</v>
      </c>
      <c r="C4642" s="2">
        <v>44617</v>
      </c>
      <c r="D4642" t="s">
        <v>29</v>
      </c>
      <c r="E4642">
        <v>1615</v>
      </c>
    </row>
    <row r="4643" spans="1:5" x14ac:dyDescent="0.55000000000000004">
      <c r="A4643" t="s">
        <v>4724</v>
      </c>
      <c r="B4643" t="s">
        <v>63</v>
      </c>
      <c r="C4643" s="2">
        <v>43002</v>
      </c>
      <c r="D4643" t="s">
        <v>26</v>
      </c>
      <c r="E4643">
        <v>1240</v>
      </c>
    </row>
    <row r="4644" spans="1:5" x14ac:dyDescent="0.55000000000000004">
      <c r="A4644" t="s">
        <v>4725</v>
      </c>
      <c r="B4644" t="s">
        <v>14</v>
      </c>
      <c r="C4644" s="2">
        <v>43189</v>
      </c>
      <c r="D4644" t="s">
        <v>26</v>
      </c>
      <c r="E4644">
        <v>1713</v>
      </c>
    </row>
    <row r="4645" spans="1:5" x14ac:dyDescent="0.55000000000000004">
      <c r="A4645" t="s">
        <v>4726</v>
      </c>
      <c r="B4645" t="s">
        <v>23</v>
      </c>
      <c r="C4645" s="2">
        <v>44227</v>
      </c>
      <c r="D4645" t="s">
        <v>29</v>
      </c>
      <c r="E4645">
        <v>621</v>
      </c>
    </row>
    <row r="4646" spans="1:5" x14ac:dyDescent="0.55000000000000004">
      <c r="A4646" t="s">
        <v>4727</v>
      </c>
      <c r="B4646" t="s">
        <v>140</v>
      </c>
      <c r="C4646" s="2">
        <v>44037</v>
      </c>
      <c r="D4646" t="s">
        <v>29</v>
      </c>
      <c r="E4646">
        <v>862</v>
      </c>
    </row>
    <row r="4647" spans="1:5" x14ac:dyDescent="0.55000000000000004">
      <c r="A4647" t="s">
        <v>4728</v>
      </c>
      <c r="B4647" t="s">
        <v>14</v>
      </c>
      <c r="C4647" s="2">
        <v>43052</v>
      </c>
      <c r="D4647" t="s">
        <v>26</v>
      </c>
      <c r="E4647">
        <v>153</v>
      </c>
    </row>
    <row r="4648" spans="1:5" x14ac:dyDescent="0.55000000000000004">
      <c r="A4648" t="s">
        <v>4729</v>
      </c>
      <c r="B4648" t="s">
        <v>84</v>
      </c>
      <c r="C4648" s="2">
        <v>44406</v>
      </c>
      <c r="D4648" t="s">
        <v>29</v>
      </c>
      <c r="E4648">
        <v>270</v>
      </c>
    </row>
    <row r="4649" spans="1:5" x14ac:dyDescent="0.55000000000000004">
      <c r="A4649" t="s">
        <v>4730</v>
      </c>
      <c r="B4649" t="s">
        <v>63</v>
      </c>
      <c r="C4649" s="2">
        <v>43876</v>
      </c>
      <c r="D4649" t="s">
        <v>26</v>
      </c>
      <c r="E4649">
        <v>2755</v>
      </c>
    </row>
    <row r="4650" spans="1:5" x14ac:dyDescent="0.55000000000000004">
      <c r="A4650" t="s">
        <v>4731</v>
      </c>
      <c r="B4650" t="s">
        <v>96</v>
      </c>
      <c r="C4650" s="2">
        <v>43933</v>
      </c>
      <c r="D4650" t="s">
        <v>26</v>
      </c>
      <c r="E4650">
        <v>2741</v>
      </c>
    </row>
    <row r="4651" spans="1:5" x14ac:dyDescent="0.55000000000000004">
      <c r="A4651" t="s">
        <v>4732</v>
      </c>
      <c r="B4651" t="s">
        <v>15</v>
      </c>
      <c r="C4651" s="2">
        <v>43618</v>
      </c>
      <c r="D4651" t="s">
        <v>29</v>
      </c>
      <c r="E4651">
        <v>1920</v>
      </c>
    </row>
    <row r="4652" spans="1:5" x14ac:dyDescent="0.55000000000000004">
      <c r="A4652" t="s">
        <v>4733</v>
      </c>
      <c r="B4652" t="s">
        <v>84</v>
      </c>
      <c r="C4652" s="2">
        <v>44098</v>
      </c>
      <c r="D4652" t="s">
        <v>29</v>
      </c>
      <c r="E4652">
        <v>2586</v>
      </c>
    </row>
    <row r="4653" spans="1:5" x14ac:dyDescent="0.55000000000000004">
      <c r="A4653" t="s">
        <v>4734</v>
      </c>
      <c r="B4653" t="s">
        <v>38</v>
      </c>
      <c r="C4653" s="2">
        <v>44499</v>
      </c>
      <c r="D4653" t="s">
        <v>26</v>
      </c>
      <c r="E4653">
        <v>2735</v>
      </c>
    </row>
    <row r="4654" spans="1:5" x14ac:dyDescent="0.55000000000000004">
      <c r="A4654" t="s">
        <v>4735</v>
      </c>
      <c r="B4654" t="s">
        <v>38</v>
      </c>
      <c r="C4654" s="2">
        <v>44896</v>
      </c>
      <c r="D4654" t="s">
        <v>29</v>
      </c>
      <c r="E4654">
        <v>2432</v>
      </c>
    </row>
    <row r="4655" spans="1:5" x14ac:dyDescent="0.55000000000000004">
      <c r="A4655" t="s">
        <v>4736</v>
      </c>
      <c r="B4655" t="s">
        <v>118</v>
      </c>
      <c r="C4655" s="2">
        <v>44470</v>
      </c>
      <c r="D4655" t="s">
        <v>26</v>
      </c>
      <c r="E4655">
        <v>91</v>
      </c>
    </row>
    <row r="4656" spans="1:5" x14ac:dyDescent="0.55000000000000004">
      <c r="A4656" t="s">
        <v>4737</v>
      </c>
      <c r="B4656" t="s">
        <v>140</v>
      </c>
      <c r="C4656" s="2">
        <v>43906</v>
      </c>
      <c r="D4656" t="s">
        <v>29</v>
      </c>
      <c r="E4656">
        <v>1344</v>
      </c>
    </row>
    <row r="4657" spans="1:5" x14ac:dyDescent="0.55000000000000004">
      <c r="A4657" t="s">
        <v>4738</v>
      </c>
      <c r="B4657" t="s">
        <v>67</v>
      </c>
      <c r="C4657" s="2">
        <v>44697</v>
      </c>
      <c r="D4657" t="s">
        <v>29</v>
      </c>
      <c r="E4657">
        <v>2966</v>
      </c>
    </row>
    <row r="4658" spans="1:5" x14ac:dyDescent="0.55000000000000004">
      <c r="A4658" t="s">
        <v>4739</v>
      </c>
      <c r="B4658" t="s">
        <v>101</v>
      </c>
      <c r="C4658" s="2">
        <v>43022</v>
      </c>
      <c r="D4658" t="s">
        <v>29</v>
      </c>
      <c r="E4658">
        <v>1055</v>
      </c>
    </row>
    <row r="4659" spans="1:5" x14ac:dyDescent="0.55000000000000004">
      <c r="A4659" t="s">
        <v>4740</v>
      </c>
      <c r="B4659" t="s">
        <v>115</v>
      </c>
      <c r="C4659" s="2">
        <v>43220</v>
      </c>
      <c r="D4659" t="s">
        <v>26</v>
      </c>
      <c r="E4659">
        <v>896</v>
      </c>
    </row>
    <row r="4660" spans="1:5" x14ac:dyDescent="0.55000000000000004">
      <c r="A4660" t="s">
        <v>4741</v>
      </c>
      <c r="B4660" t="s">
        <v>94</v>
      </c>
      <c r="C4660" s="2">
        <v>44484</v>
      </c>
      <c r="D4660" t="s">
        <v>29</v>
      </c>
      <c r="E4660">
        <v>627</v>
      </c>
    </row>
    <row r="4661" spans="1:5" x14ac:dyDescent="0.55000000000000004">
      <c r="A4661" t="s">
        <v>4742</v>
      </c>
      <c r="B4661" t="s">
        <v>115</v>
      </c>
      <c r="C4661" s="2">
        <v>44345</v>
      </c>
      <c r="D4661" t="s">
        <v>29</v>
      </c>
      <c r="E4661">
        <v>1690</v>
      </c>
    </row>
    <row r="4662" spans="1:5" x14ac:dyDescent="0.55000000000000004">
      <c r="A4662" t="s">
        <v>4743</v>
      </c>
      <c r="B4662" t="s">
        <v>78</v>
      </c>
      <c r="C4662" s="2">
        <v>45103</v>
      </c>
      <c r="D4662" t="s">
        <v>29</v>
      </c>
      <c r="E4662">
        <v>2320</v>
      </c>
    </row>
    <row r="4663" spans="1:5" x14ac:dyDescent="0.55000000000000004">
      <c r="A4663" t="s">
        <v>4744</v>
      </c>
      <c r="B4663" t="s">
        <v>111</v>
      </c>
      <c r="C4663" s="2">
        <v>43529</v>
      </c>
      <c r="D4663" t="s">
        <v>26</v>
      </c>
      <c r="E4663">
        <v>993</v>
      </c>
    </row>
    <row r="4664" spans="1:5" x14ac:dyDescent="0.55000000000000004">
      <c r="A4664" t="s">
        <v>4745</v>
      </c>
      <c r="B4664" t="s">
        <v>105</v>
      </c>
      <c r="C4664" s="2">
        <v>44193</v>
      </c>
      <c r="D4664" t="s">
        <v>29</v>
      </c>
      <c r="E4664">
        <v>2715</v>
      </c>
    </row>
    <row r="4665" spans="1:5" x14ac:dyDescent="0.55000000000000004">
      <c r="A4665" t="s">
        <v>4746</v>
      </c>
      <c r="B4665" t="s">
        <v>74</v>
      </c>
      <c r="C4665" s="2">
        <v>44504</v>
      </c>
      <c r="D4665" t="s">
        <v>29</v>
      </c>
      <c r="E4665">
        <v>233</v>
      </c>
    </row>
    <row r="4666" spans="1:5" x14ac:dyDescent="0.55000000000000004">
      <c r="A4666" t="s">
        <v>4747</v>
      </c>
      <c r="B4666" t="s">
        <v>140</v>
      </c>
      <c r="C4666" s="2">
        <v>43748</v>
      </c>
      <c r="D4666" t="s">
        <v>29</v>
      </c>
      <c r="E4666">
        <v>630</v>
      </c>
    </row>
    <row r="4667" spans="1:5" x14ac:dyDescent="0.55000000000000004">
      <c r="A4667" t="s">
        <v>4748</v>
      </c>
      <c r="B4667" t="s">
        <v>140</v>
      </c>
      <c r="C4667" s="2">
        <v>43886</v>
      </c>
      <c r="D4667" t="s">
        <v>26</v>
      </c>
      <c r="E4667">
        <v>1367</v>
      </c>
    </row>
    <row r="4668" spans="1:5" x14ac:dyDescent="0.55000000000000004">
      <c r="A4668" t="s">
        <v>4749</v>
      </c>
      <c r="B4668" t="s">
        <v>86</v>
      </c>
      <c r="C4668" s="2">
        <v>43159</v>
      </c>
      <c r="D4668" t="s">
        <v>29</v>
      </c>
      <c r="E4668">
        <v>965</v>
      </c>
    </row>
    <row r="4669" spans="1:5" x14ac:dyDescent="0.55000000000000004">
      <c r="A4669" t="s">
        <v>4750</v>
      </c>
      <c r="B4669" t="s">
        <v>96</v>
      </c>
      <c r="C4669" s="2">
        <v>45480</v>
      </c>
      <c r="D4669" t="s">
        <v>29</v>
      </c>
      <c r="E4669">
        <v>2410</v>
      </c>
    </row>
    <row r="4670" spans="1:5" x14ac:dyDescent="0.55000000000000004">
      <c r="A4670" t="s">
        <v>4751</v>
      </c>
      <c r="B4670" t="s">
        <v>151</v>
      </c>
      <c r="C4670" s="2">
        <v>43747</v>
      </c>
      <c r="D4670" t="s">
        <v>29</v>
      </c>
      <c r="E4670">
        <v>963</v>
      </c>
    </row>
    <row r="4671" spans="1:5" x14ac:dyDescent="0.55000000000000004">
      <c r="A4671" t="s">
        <v>4752</v>
      </c>
      <c r="B4671" t="s">
        <v>156</v>
      </c>
      <c r="C4671" s="2">
        <v>43415</v>
      </c>
      <c r="D4671" t="s">
        <v>26</v>
      </c>
      <c r="E4671">
        <v>1376</v>
      </c>
    </row>
    <row r="4672" spans="1:5" x14ac:dyDescent="0.55000000000000004">
      <c r="A4672" t="s">
        <v>4753</v>
      </c>
      <c r="B4672" t="s">
        <v>105</v>
      </c>
      <c r="C4672" s="2">
        <v>44141</v>
      </c>
      <c r="D4672" t="s">
        <v>29</v>
      </c>
      <c r="E4672">
        <v>2430</v>
      </c>
    </row>
    <row r="4673" spans="1:5" x14ac:dyDescent="0.55000000000000004">
      <c r="A4673" t="s">
        <v>4754</v>
      </c>
      <c r="B4673" t="s">
        <v>101</v>
      </c>
      <c r="C4673" s="2">
        <v>43086</v>
      </c>
      <c r="D4673" t="s">
        <v>26</v>
      </c>
      <c r="E4673">
        <v>336</v>
      </c>
    </row>
    <row r="4674" spans="1:5" x14ac:dyDescent="0.55000000000000004">
      <c r="A4674" t="s">
        <v>4755</v>
      </c>
      <c r="B4674" t="s">
        <v>74</v>
      </c>
      <c r="C4674" s="2">
        <v>44547</v>
      </c>
      <c r="D4674" t="s">
        <v>26</v>
      </c>
      <c r="E4674">
        <v>614</v>
      </c>
    </row>
    <row r="4675" spans="1:5" x14ac:dyDescent="0.55000000000000004">
      <c r="A4675" t="s">
        <v>4756</v>
      </c>
      <c r="B4675" t="s">
        <v>99</v>
      </c>
      <c r="C4675" s="2">
        <v>45221</v>
      </c>
      <c r="D4675" t="s">
        <v>29</v>
      </c>
      <c r="E4675">
        <v>378</v>
      </c>
    </row>
    <row r="4676" spans="1:5" x14ac:dyDescent="0.55000000000000004">
      <c r="A4676" t="s">
        <v>4757</v>
      </c>
      <c r="B4676" t="s">
        <v>137</v>
      </c>
      <c r="C4676" s="2">
        <v>44088</v>
      </c>
      <c r="D4676" t="s">
        <v>26</v>
      </c>
      <c r="E4676">
        <v>8</v>
      </c>
    </row>
    <row r="4677" spans="1:5" x14ac:dyDescent="0.55000000000000004">
      <c r="A4677" t="s">
        <v>4758</v>
      </c>
      <c r="B4677" t="s">
        <v>96</v>
      </c>
      <c r="C4677" s="2">
        <v>44193</v>
      </c>
      <c r="D4677" t="s">
        <v>26</v>
      </c>
      <c r="E4677">
        <v>546</v>
      </c>
    </row>
    <row r="4678" spans="1:5" x14ac:dyDescent="0.55000000000000004">
      <c r="A4678" t="s">
        <v>4759</v>
      </c>
      <c r="B4678" t="s">
        <v>156</v>
      </c>
      <c r="C4678" s="2">
        <v>43668</v>
      </c>
      <c r="D4678" t="s">
        <v>29</v>
      </c>
      <c r="E4678">
        <v>2728</v>
      </c>
    </row>
    <row r="4679" spans="1:5" x14ac:dyDescent="0.55000000000000004">
      <c r="A4679" t="s">
        <v>4760</v>
      </c>
      <c r="B4679" t="s">
        <v>23</v>
      </c>
      <c r="C4679" s="2">
        <v>44010</v>
      </c>
      <c r="D4679" t="s">
        <v>26</v>
      </c>
      <c r="E4679">
        <v>676</v>
      </c>
    </row>
    <row r="4680" spans="1:5" x14ac:dyDescent="0.55000000000000004">
      <c r="A4680" t="s">
        <v>4761</v>
      </c>
      <c r="B4680" t="s">
        <v>94</v>
      </c>
      <c r="C4680" s="2">
        <v>44734</v>
      </c>
      <c r="D4680" t="s">
        <v>29</v>
      </c>
      <c r="E4680">
        <v>409</v>
      </c>
    </row>
    <row r="4681" spans="1:5" x14ac:dyDescent="0.55000000000000004">
      <c r="A4681" t="s">
        <v>4762</v>
      </c>
      <c r="B4681" t="s">
        <v>142</v>
      </c>
      <c r="C4681" s="2">
        <v>44110</v>
      </c>
      <c r="D4681" t="s">
        <v>26</v>
      </c>
      <c r="E4681">
        <v>161</v>
      </c>
    </row>
    <row r="4682" spans="1:5" x14ac:dyDescent="0.55000000000000004">
      <c r="A4682" t="s">
        <v>4763</v>
      </c>
      <c r="B4682" t="s">
        <v>32</v>
      </c>
      <c r="C4682" s="2">
        <v>43831</v>
      </c>
      <c r="D4682" t="s">
        <v>26</v>
      </c>
      <c r="E4682">
        <v>696</v>
      </c>
    </row>
    <row r="4683" spans="1:5" x14ac:dyDescent="0.55000000000000004">
      <c r="A4683" t="s">
        <v>4764</v>
      </c>
      <c r="B4683" t="s">
        <v>94</v>
      </c>
      <c r="C4683" s="2">
        <v>45066</v>
      </c>
      <c r="D4683" t="s">
        <v>29</v>
      </c>
      <c r="E4683">
        <v>440</v>
      </c>
    </row>
    <row r="4684" spans="1:5" x14ac:dyDescent="0.55000000000000004">
      <c r="A4684" t="s">
        <v>4765</v>
      </c>
      <c r="B4684" t="s">
        <v>84</v>
      </c>
      <c r="C4684" s="2">
        <v>44132</v>
      </c>
      <c r="D4684" t="s">
        <v>29</v>
      </c>
      <c r="E4684">
        <v>2520</v>
      </c>
    </row>
    <row r="4685" spans="1:5" x14ac:dyDescent="0.55000000000000004">
      <c r="A4685" t="s">
        <v>4766</v>
      </c>
      <c r="B4685" t="s">
        <v>175</v>
      </c>
      <c r="C4685" s="2">
        <v>45620</v>
      </c>
      <c r="D4685" t="s">
        <v>26</v>
      </c>
      <c r="E4685">
        <v>2509</v>
      </c>
    </row>
    <row r="4686" spans="1:5" x14ac:dyDescent="0.55000000000000004">
      <c r="A4686" t="s">
        <v>4767</v>
      </c>
      <c r="B4686" t="s">
        <v>156</v>
      </c>
      <c r="C4686" s="2">
        <v>43200</v>
      </c>
      <c r="D4686" t="s">
        <v>26</v>
      </c>
      <c r="E4686">
        <v>1893</v>
      </c>
    </row>
    <row r="4687" spans="1:5" x14ac:dyDescent="0.55000000000000004">
      <c r="A4687" t="s">
        <v>4768</v>
      </c>
      <c r="B4687" t="s">
        <v>32</v>
      </c>
      <c r="C4687" s="2">
        <v>44363</v>
      </c>
      <c r="D4687" t="s">
        <v>26</v>
      </c>
      <c r="E4687">
        <v>2635</v>
      </c>
    </row>
    <row r="4688" spans="1:5" x14ac:dyDescent="0.55000000000000004">
      <c r="A4688" t="s">
        <v>4769</v>
      </c>
      <c r="B4688" t="s">
        <v>118</v>
      </c>
      <c r="C4688" s="2">
        <v>45574</v>
      </c>
      <c r="D4688" t="s">
        <v>26</v>
      </c>
      <c r="E4688">
        <v>2033</v>
      </c>
    </row>
    <row r="4689" spans="1:5" x14ac:dyDescent="0.55000000000000004">
      <c r="A4689" t="s">
        <v>4770</v>
      </c>
      <c r="B4689" t="s">
        <v>32</v>
      </c>
      <c r="C4689" s="2">
        <v>44289</v>
      </c>
      <c r="D4689" t="s">
        <v>29</v>
      </c>
      <c r="E4689">
        <v>131</v>
      </c>
    </row>
    <row r="4690" spans="1:5" x14ac:dyDescent="0.55000000000000004">
      <c r="A4690" t="s">
        <v>4771</v>
      </c>
      <c r="B4690" t="s">
        <v>101</v>
      </c>
      <c r="C4690" s="2">
        <v>43610</v>
      </c>
      <c r="D4690" t="s">
        <v>26</v>
      </c>
      <c r="E4690">
        <v>2846</v>
      </c>
    </row>
    <row r="4691" spans="1:5" x14ac:dyDescent="0.55000000000000004">
      <c r="A4691" t="s">
        <v>4772</v>
      </c>
      <c r="B4691" t="s">
        <v>96</v>
      </c>
      <c r="C4691" s="2">
        <v>45319</v>
      </c>
      <c r="D4691" t="s">
        <v>29</v>
      </c>
      <c r="E4691">
        <v>2084</v>
      </c>
    </row>
    <row r="4692" spans="1:5" x14ac:dyDescent="0.55000000000000004">
      <c r="A4692" t="s">
        <v>4773</v>
      </c>
      <c r="B4692" t="s">
        <v>156</v>
      </c>
      <c r="C4692" s="2">
        <v>43518</v>
      </c>
      <c r="D4692" t="s">
        <v>29</v>
      </c>
      <c r="E4692">
        <v>1712</v>
      </c>
    </row>
    <row r="4693" spans="1:5" x14ac:dyDescent="0.55000000000000004">
      <c r="A4693" t="s">
        <v>4774</v>
      </c>
      <c r="B4693" t="s">
        <v>137</v>
      </c>
      <c r="C4693" s="2">
        <v>44429</v>
      </c>
      <c r="D4693" t="s">
        <v>29</v>
      </c>
      <c r="E4693">
        <v>2728</v>
      </c>
    </row>
    <row r="4694" spans="1:5" x14ac:dyDescent="0.55000000000000004">
      <c r="A4694" t="s">
        <v>4775</v>
      </c>
      <c r="B4694" t="s">
        <v>111</v>
      </c>
      <c r="C4694" s="2">
        <v>43348</v>
      </c>
      <c r="D4694" t="s">
        <v>26</v>
      </c>
      <c r="E4694">
        <v>1889</v>
      </c>
    </row>
    <row r="4695" spans="1:5" x14ac:dyDescent="0.55000000000000004">
      <c r="A4695" t="s">
        <v>4776</v>
      </c>
      <c r="B4695" t="s">
        <v>72</v>
      </c>
      <c r="C4695" s="2">
        <v>44357</v>
      </c>
      <c r="D4695" t="s">
        <v>26</v>
      </c>
      <c r="E4695">
        <v>150</v>
      </c>
    </row>
    <row r="4696" spans="1:5" x14ac:dyDescent="0.55000000000000004">
      <c r="A4696" t="s">
        <v>4777</v>
      </c>
      <c r="B4696" t="s">
        <v>74</v>
      </c>
      <c r="C4696" s="2">
        <v>43037</v>
      </c>
      <c r="D4696" t="s">
        <v>26</v>
      </c>
      <c r="E4696">
        <v>604</v>
      </c>
    </row>
    <row r="4697" spans="1:5" x14ac:dyDescent="0.55000000000000004">
      <c r="A4697" t="s">
        <v>4778</v>
      </c>
      <c r="B4697" t="s">
        <v>115</v>
      </c>
      <c r="C4697" s="2">
        <v>43836</v>
      </c>
      <c r="D4697" t="s">
        <v>26</v>
      </c>
      <c r="E4697">
        <v>611</v>
      </c>
    </row>
    <row r="4698" spans="1:5" x14ac:dyDescent="0.55000000000000004">
      <c r="A4698" t="s">
        <v>4779</v>
      </c>
      <c r="B4698" t="s">
        <v>78</v>
      </c>
      <c r="C4698" s="2">
        <v>43766</v>
      </c>
      <c r="D4698" t="s">
        <v>29</v>
      </c>
      <c r="E4698">
        <v>1362</v>
      </c>
    </row>
    <row r="4699" spans="1:5" x14ac:dyDescent="0.55000000000000004">
      <c r="A4699" t="s">
        <v>4780</v>
      </c>
      <c r="B4699" t="s">
        <v>41</v>
      </c>
      <c r="C4699" s="2">
        <v>44486</v>
      </c>
      <c r="D4699" t="s">
        <v>26</v>
      </c>
      <c r="E4699">
        <v>2943</v>
      </c>
    </row>
    <row r="4700" spans="1:5" x14ac:dyDescent="0.55000000000000004">
      <c r="A4700" t="s">
        <v>4781</v>
      </c>
      <c r="B4700" t="s">
        <v>96</v>
      </c>
      <c r="C4700" s="2">
        <v>45249</v>
      </c>
      <c r="D4700" t="s">
        <v>29</v>
      </c>
      <c r="E4700">
        <v>502</v>
      </c>
    </row>
    <row r="4701" spans="1:5" x14ac:dyDescent="0.55000000000000004">
      <c r="A4701" t="s">
        <v>4782</v>
      </c>
      <c r="B4701" t="s">
        <v>35</v>
      </c>
      <c r="C4701" s="2">
        <v>44450</v>
      </c>
      <c r="D4701" t="s">
        <v>26</v>
      </c>
      <c r="E4701">
        <v>1938</v>
      </c>
    </row>
    <row r="4702" spans="1:5" x14ac:dyDescent="0.55000000000000004">
      <c r="A4702" t="s">
        <v>4783</v>
      </c>
      <c r="B4702" t="s">
        <v>35</v>
      </c>
      <c r="C4702" s="2">
        <v>43900</v>
      </c>
      <c r="D4702" t="s">
        <v>29</v>
      </c>
      <c r="E4702">
        <v>641</v>
      </c>
    </row>
    <row r="4703" spans="1:5" x14ac:dyDescent="0.55000000000000004">
      <c r="A4703" t="s">
        <v>4784</v>
      </c>
      <c r="B4703" t="s">
        <v>101</v>
      </c>
      <c r="C4703" s="2">
        <v>43309</v>
      </c>
      <c r="D4703" t="s">
        <v>29</v>
      </c>
      <c r="E4703">
        <v>270</v>
      </c>
    </row>
    <row r="4704" spans="1:5" x14ac:dyDescent="0.55000000000000004">
      <c r="A4704" t="s">
        <v>4785</v>
      </c>
      <c r="B4704" t="s">
        <v>142</v>
      </c>
      <c r="C4704" s="2">
        <v>42981</v>
      </c>
      <c r="D4704" t="s">
        <v>29</v>
      </c>
      <c r="E4704">
        <v>1595</v>
      </c>
    </row>
    <row r="4705" spans="1:5" x14ac:dyDescent="0.55000000000000004">
      <c r="A4705" t="s">
        <v>4786</v>
      </c>
      <c r="B4705" t="s">
        <v>105</v>
      </c>
      <c r="C4705" s="2">
        <v>43936</v>
      </c>
      <c r="D4705" t="s">
        <v>29</v>
      </c>
      <c r="E4705">
        <v>2696</v>
      </c>
    </row>
    <row r="4706" spans="1:5" x14ac:dyDescent="0.55000000000000004">
      <c r="A4706" t="s">
        <v>4787</v>
      </c>
      <c r="B4706" t="s">
        <v>101</v>
      </c>
      <c r="C4706" s="2">
        <v>44522</v>
      </c>
      <c r="D4706" t="s">
        <v>29</v>
      </c>
      <c r="E4706">
        <v>1841</v>
      </c>
    </row>
    <row r="4707" spans="1:5" x14ac:dyDescent="0.55000000000000004">
      <c r="A4707" t="s">
        <v>4788</v>
      </c>
      <c r="B4707" t="s">
        <v>72</v>
      </c>
      <c r="C4707" s="2">
        <v>43586</v>
      </c>
      <c r="D4707" t="s">
        <v>29</v>
      </c>
      <c r="E4707">
        <v>2696</v>
      </c>
    </row>
    <row r="4708" spans="1:5" x14ac:dyDescent="0.55000000000000004">
      <c r="A4708" t="s">
        <v>4789</v>
      </c>
      <c r="B4708" t="s">
        <v>111</v>
      </c>
      <c r="C4708" s="2">
        <v>44456</v>
      </c>
      <c r="D4708" t="s">
        <v>26</v>
      </c>
      <c r="E4708">
        <v>30</v>
      </c>
    </row>
    <row r="4709" spans="1:5" x14ac:dyDescent="0.55000000000000004">
      <c r="A4709" t="s">
        <v>4790</v>
      </c>
      <c r="B4709" t="s">
        <v>76</v>
      </c>
      <c r="C4709" s="2">
        <v>44138</v>
      </c>
      <c r="D4709" t="s">
        <v>29</v>
      </c>
      <c r="E4709">
        <v>1703</v>
      </c>
    </row>
    <row r="4710" spans="1:5" x14ac:dyDescent="0.55000000000000004">
      <c r="A4710" t="s">
        <v>4791</v>
      </c>
      <c r="B4710" t="s">
        <v>74</v>
      </c>
      <c r="C4710" s="2">
        <v>43914</v>
      </c>
      <c r="D4710" t="s">
        <v>29</v>
      </c>
      <c r="E4710">
        <v>606</v>
      </c>
    </row>
    <row r="4711" spans="1:5" x14ac:dyDescent="0.55000000000000004">
      <c r="A4711" t="s">
        <v>4792</v>
      </c>
      <c r="B4711" t="s">
        <v>142</v>
      </c>
      <c r="C4711" s="2">
        <v>43204</v>
      </c>
      <c r="D4711" t="s">
        <v>26</v>
      </c>
      <c r="E4711">
        <v>2100</v>
      </c>
    </row>
    <row r="4712" spans="1:5" x14ac:dyDescent="0.55000000000000004">
      <c r="A4712" t="s">
        <v>4793</v>
      </c>
      <c r="B4712" t="s">
        <v>32</v>
      </c>
      <c r="C4712" s="2">
        <v>44845</v>
      </c>
      <c r="D4712" t="s">
        <v>29</v>
      </c>
      <c r="E4712">
        <v>828</v>
      </c>
    </row>
    <row r="4713" spans="1:5" x14ac:dyDescent="0.55000000000000004">
      <c r="A4713" t="s">
        <v>4794</v>
      </c>
      <c r="B4713" t="s">
        <v>78</v>
      </c>
      <c r="C4713" s="2">
        <v>44205</v>
      </c>
      <c r="D4713" t="s">
        <v>29</v>
      </c>
      <c r="E4713">
        <v>157</v>
      </c>
    </row>
    <row r="4714" spans="1:5" x14ac:dyDescent="0.55000000000000004">
      <c r="A4714" t="s">
        <v>4795</v>
      </c>
      <c r="B4714" t="s">
        <v>118</v>
      </c>
      <c r="C4714" s="2">
        <v>43503</v>
      </c>
      <c r="D4714" t="s">
        <v>29</v>
      </c>
      <c r="E4714">
        <v>2913</v>
      </c>
    </row>
    <row r="4715" spans="1:5" x14ac:dyDescent="0.55000000000000004">
      <c r="A4715" t="s">
        <v>4796</v>
      </c>
      <c r="B4715" t="s">
        <v>111</v>
      </c>
      <c r="C4715" s="2">
        <v>44555</v>
      </c>
      <c r="D4715" t="s">
        <v>29</v>
      </c>
      <c r="E4715">
        <v>1381</v>
      </c>
    </row>
    <row r="4716" spans="1:5" x14ac:dyDescent="0.55000000000000004">
      <c r="A4716" t="s">
        <v>4797</v>
      </c>
      <c r="B4716" t="s">
        <v>14</v>
      </c>
      <c r="C4716" s="2">
        <v>43131</v>
      </c>
      <c r="D4716" t="s">
        <v>29</v>
      </c>
      <c r="E4716">
        <v>2052</v>
      </c>
    </row>
    <row r="4717" spans="1:5" x14ac:dyDescent="0.55000000000000004">
      <c r="A4717" t="s">
        <v>4798</v>
      </c>
      <c r="B4717" t="s">
        <v>151</v>
      </c>
      <c r="C4717" s="2">
        <v>43349</v>
      </c>
      <c r="D4717" t="s">
        <v>26</v>
      </c>
      <c r="E4717">
        <v>1361</v>
      </c>
    </row>
    <row r="4718" spans="1:5" x14ac:dyDescent="0.55000000000000004">
      <c r="A4718" t="s">
        <v>4799</v>
      </c>
      <c r="B4718" t="s">
        <v>38</v>
      </c>
      <c r="C4718" s="2">
        <v>44865</v>
      </c>
      <c r="D4718" t="s">
        <v>29</v>
      </c>
      <c r="E4718">
        <v>2174</v>
      </c>
    </row>
    <row r="4719" spans="1:5" x14ac:dyDescent="0.55000000000000004">
      <c r="A4719" t="s">
        <v>4800</v>
      </c>
      <c r="B4719" t="s">
        <v>101</v>
      </c>
      <c r="C4719" s="2">
        <v>43999</v>
      </c>
      <c r="D4719" t="s">
        <v>26</v>
      </c>
      <c r="E4719">
        <v>1781</v>
      </c>
    </row>
    <row r="4720" spans="1:5" x14ac:dyDescent="0.55000000000000004">
      <c r="A4720" t="s">
        <v>4801</v>
      </c>
      <c r="B4720" t="s">
        <v>118</v>
      </c>
      <c r="C4720" s="2">
        <v>43627</v>
      </c>
      <c r="D4720" t="s">
        <v>29</v>
      </c>
      <c r="E4720">
        <v>2945</v>
      </c>
    </row>
    <row r="4721" spans="1:5" x14ac:dyDescent="0.55000000000000004">
      <c r="A4721" t="s">
        <v>4802</v>
      </c>
      <c r="B4721" t="s">
        <v>23</v>
      </c>
      <c r="C4721" s="2">
        <v>44425</v>
      </c>
      <c r="D4721" t="s">
        <v>29</v>
      </c>
      <c r="E4721">
        <v>182</v>
      </c>
    </row>
    <row r="4722" spans="1:5" x14ac:dyDescent="0.55000000000000004">
      <c r="A4722" t="s">
        <v>4803</v>
      </c>
      <c r="B4722" t="s">
        <v>156</v>
      </c>
      <c r="C4722" s="2">
        <v>43598</v>
      </c>
      <c r="D4722" t="s">
        <v>26</v>
      </c>
      <c r="E4722">
        <v>1668</v>
      </c>
    </row>
    <row r="4723" spans="1:5" x14ac:dyDescent="0.55000000000000004">
      <c r="A4723" t="s">
        <v>4804</v>
      </c>
      <c r="B4723" t="s">
        <v>23</v>
      </c>
      <c r="C4723" s="2">
        <v>43959</v>
      </c>
      <c r="D4723" t="s">
        <v>29</v>
      </c>
      <c r="E4723">
        <v>1709</v>
      </c>
    </row>
    <row r="4724" spans="1:5" x14ac:dyDescent="0.55000000000000004">
      <c r="A4724" t="s">
        <v>4805</v>
      </c>
      <c r="B4724" t="s">
        <v>15</v>
      </c>
      <c r="C4724" s="2">
        <v>44163</v>
      </c>
      <c r="D4724" t="s">
        <v>26</v>
      </c>
      <c r="E4724">
        <v>1290</v>
      </c>
    </row>
    <row r="4725" spans="1:5" x14ac:dyDescent="0.55000000000000004">
      <c r="A4725" t="s">
        <v>4806</v>
      </c>
      <c r="B4725" t="s">
        <v>175</v>
      </c>
      <c r="C4725" s="2">
        <v>44378</v>
      </c>
      <c r="D4725" t="s">
        <v>29</v>
      </c>
      <c r="E4725">
        <v>1084</v>
      </c>
    </row>
    <row r="4726" spans="1:5" x14ac:dyDescent="0.55000000000000004">
      <c r="A4726" t="s">
        <v>4807</v>
      </c>
      <c r="B4726" t="s">
        <v>156</v>
      </c>
      <c r="C4726" s="2">
        <v>44252</v>
      </c>
      <c r="D4726" t="s">
        <v>26</v>
      </c>
      <c r="E4726">
        <v>939</v>
      </c>
    </row>
    <row r="4727" spans="1:5" x14ac:dyDescent="0.55000000000000004">
      <c r="A4727" t="s">
        <v>4808</v>
      </c>
      <c r="B4727" t="s">
        <v>38</v>
      </c>
      <c r="C4727" s="2">
        <v>44351</v>
      </c>
      <c r="D4727" t="s">
        <v>29</v>
      </c>
      <c r="E4727">
        <v>1086</v>
      </c>
    </row>
    <row r="4728" spans="1:5" x14ac:dyDescent="0.55000000000000004">
      <c r="A4728" t="s">
        <v>4809</v>
      </c>
      <c r="B4728" t="s">
        <v>14</v>
      </c>
      <c r="C4728" s="2">
        <v>44003</v>
      </c>
      <c r="D4728" t="s">
        <v>26</v>
      </c>
      <c r="E4728">
        <v>166</v>
      </c>
    </row>
    <row r="4729" spans="1:5" x14ac:dyDescent="0.55000000000000004">
      <c r="A4729" t="s">
        <v>4810</v>
      </c>
      <c r="B4729" t="s">
        <v>63</v>
      </c>
      <c r="C4729" s="2">
        <v>43837</v>
      </c>
      <c r="D4729" t="s">
        <v>26</v>
      </c>
      <c r="E4729">
        <v>1626</v>
      </c>
    </row>
    <row r="4730" spans="1:5" x14ac:dyDescent="0.55000000000000004">
      <c r="A4730" t="s">
        <v>4811</v>
      </c>
      <c r="B4730" t="s">
        <v>14</v>
      </c>
      <c r="C4730" s="2">
        <v>43797</v>
      </c>
      <c r="D4730" t="s">
        <v>26</v>
      </c>
      <c r="E4730">
        <v>311</v>
      </c>
    </row>
    <row r="4731" spans="1:5" x14ac:dyDescent="0.55000000000000004">
      <c r="A4731" t="s">
        <v>4812</v>
      </c>
      <c r="B4731" t="s">
        <v>137</v>
      </c>
      <c r="C4731" s="2">
        <v>44586</v>
      </c>
      <c r="D4731" t="s">
        <v>29</v>
      </c>
      <c r="E4731">
        <v>66</v>
      </c>
    </row>
    <row r="4732" spans="1:5" x14ac:dyDescent="0.55000000000000004">
      <c r="A4732" t="s">
        <v>4813</v>
      </c>
      <c r="B4732" t="s">
        <v>67</v>
      </c>
      <c r="C4732" s="2">
        <v>44720</v>
      </c>
      <c r="D4732" t="s">
        <v>26</v>
      </c>
      <c r="E4732">
        <v>2034</v>
      </c>
    </row>
    <row r="4733" spans="1:5" x14ac:dyDescent="0.55000000000000004">
      <c r="A4733" t="s">
        <v>4814</v>
      </c>
      <c r="B4733" t="s">
        <v>23</v>
      </c>
      <c r="C4733" s="2">
        <v>44268</v>
      </c>
      <c r="D4733" t="s">
        <v>29</v>
      </c>
      <c r="E4733">
        <v>474</v>
      </c>
    </row>
    <row r="4734" spans="1:5" x14ac:dyDescent="0.55000000000000004">
      <c r="A4734" t="s">
        <v>4815</v>
      </c>
      <c r="B4734" t="s">
        <v>76</v>
      </c>
      <c r="C4734" s="2">
        <v>44427</v>
      </c>
      <c r="D4734" t="s">
        <v>29</v>
      </c>
      <c r="E4734">
        <v>2296</v>
      </c>
    </row>
    <row r="4735" spans="1:5" x14ac:dyDescent="0.55000000000000004">
      <c r="A4735" t="s">
        <v>4816</v>
      </c>
      <c r="B4735" t="s">
        <v>78</v>
      </c>
      <c r="C4735" s="2">
        <v>44811</v>
      </c>
      <c r="D4735" t="s">
        <v>26</v>
      </c>
      <c r="E4735">
        <v>2232</v>
      </c>
    </row>
    <row r="4736" spans="1:5" x14ac:dyDescent="0.55000000000000004">
      <c r="A4736" t="s">
        <v>4817</v>
      </c>
      <c r="B4736" t="s">
        <v>35</v>
      </c>
      <c r="C4736" s="2">
        <v>44241</v>
      </c>
      <c r="D4736" t="s">
        <v>26</v>
      </c>
      <c r="E4736">
        <v>2806</v>
      </c>
    </row>
    <row r="4737" spans="1:5" x14ac:dyDescent="0.55000000000000004">
      <c r="A4737" t="s">
        <v>4818</v>
      </c>
      <c r="B4737" t="s">
        <v>140</v>
      </c>
      <c r="C4737" s="2">
        <v>43080</v>
      </c>
      <c r="D4737" t="s">
        <v>29</v>
      </c>
      <c r="E4737">
        <v>2649</v>
      </c>
    </row>
    <row r="4738" spans="1:5" x14ac:dyDescent="0.55000000000000004">
      <c r="A4738" t="s">
        <v>4819</v>
      </c>
      <c r="B4738" t="s">
        <v>63</v>
      </c>
      <c r="C4738" s="2">
        <v>43899</v>
      </c>
      <c r="D4738" t="s">
        <v>26</v>
      </c>
      <c r="E4738">
        <v>407</v>
      </c>
    </row>
    <row r="4739" spans="1:5" x14ac:dyDescent="0.55000000000000004">
      <c r="A4739" t="s">
        <v>4820</v>
      </c>
      <c r="B4739" t="s">
        <v>72</v>
      </c>
      <c r="C4739" s="2">
        <v>44451</v>
      </c>
      <c r="D4739" t="s">
        <v>29</v>
      </c>
      <c r="E4739">
        <v>692</v>
      </c>
    </row>
    <row r="4740" spans="1:5" x14ac:dyDescent="0.55000000000000004">
      <c r="A4740" t="s">
        <v>4821</v>
      </c>
      <c r="B4740" t="s">
        <v>38</v>
      </c>
      <c r="C4740" s="2">
        <v>44429</v>
      </c>
      <c r="D4740" t="s">
        <v>29</v>
      </c>
      <c r="E4740">
        <v>1702</v>
      </c>
    </row>
    <row r="4741" spans="1:5" x14ac:dyDescent="0.55000000000000004">
      <c r="A4741" t="s">
        <v>4822</v>
      </c>
      <c r="B4741" t="s">
        <v>105</v>
      </c>
      <c r="C4741" s="2">
        <v>43790</v>
      </c>
      <c r="D4741" t="s">
        <v>26</v>
      </c>
      <c r="E4741">
        <v>2986</v>
      </c>
    </row>
    <row r="4742" spans="1:5" x14ac:dyDescent="0.55000000000000004">
      <c r="A4742" t="s">
        <v>4823</v>
      </c>
      <c r="B4742" t="s">
        <v>105</v>
      </c>
      <c r="C4742" s="2">
        <v>43657</v>
      </c>
      <c r="D4742" t="s">
        <v>26</v>
      </c>
      <c r="E4742">
        <v>1182</v>
      </c>
    </row>
    <row r="4743" spans="1:5" x14ac:dyDescent="0.55000000000000004">
      <c r="A4743" t="s">
        <v>4824</v>
      </c>
      <c r="B4743" t="s">
        <v>156</v>
      </c>
      <c r="C4743" s="2">
        <v>44027</v>
      </c>
      <c r="D4743" t="s">
        <v>26</v>
      </c>
      <c r="E4743">
        <v>312</v>
      </c>
    </row>
    <row r="4744" spans="1:5" x14ac:dyDescent="0.55000000000000004">
      <c r="A4744" t="s">
        <v>4825</v>
      </c>
      <c r="B4744" t="s">
        <v>72</v>
      </c>
      <c r="C4744" s="2">
        <v>43165</v>
      </c>
      <c r="D4744" t="s">
        <v>26</v>
      </c>
      <c r="E4744">
        <v>981</v>
      </c>
    </row>
    <row r="4745" spans="1:5" x14ac:dyDescent="0.55000000000000004">
      <c r="A4745" t="s">
        <v>4826</v>
      </c>
      <c r="B4745" t="s">
        <v>74</v>
      </c>
      <c r="C4745" s="2">
        <v>44511</v>
      </c>
      <c r="D4745" t="s">
        <v>29</v>
      </c>
      <c r="E4745">
        <v>733</v>
      </c>
    </row>
    <row r="4746" spans="1:5" x14ac:dyDescent="0.55000000000000004">
      <c r="A4746" t="s">
        <v>4827</v>
      </c>
      <c r="B4746" t="s">
        <v>115</v>
      </c>
      <c r="C4746" s="2">
        <v>44483</v>
      </c>
      <c r="D4746" t="s">
        <v>29</v>
      </c>
      <c r="E4746">
        <v>1382</v>
      </c>
    </row>
    <row r="4747" spans="1:5" x14ac:dyDescent="0.55000000000000004">
      <c r="A4747" t="s">
        <v>4828</v>
      </c>
      <c r="B4747" t="s">
        <v>115</v>
      </c>
      <c r="C4747" s="2">
        <v>43941</v>
      </c>
      <c r="D4747" t="s">
        <v>29</v>
      </c>
      <c r="E4747">
        <v>2092</v>
      </c>
    </row>
    <row r="4748" spans="1:5" x14ac:dyDescent="0.55000000000000004">
      <c r="A4748" t="s">
        <v>4829</v>
      </c>
      <c r="B4748" t="s">
        <v>115</v>
      </c>
      <c r="C4748" s="2">
        <v>43902</v>
      </c>
      <c r="D4748" t="s">
        <v>29</v>
      </c>
      <c r="E4748">
        <v>341</v>
      </c>
    </row>
    <row r="4749" spans="1:5" x14ac:dyDescent="0.55000000000000004">
      <c r="A4749" t="s">
        <v>4830</v>
      </c>
      <c r="B4749" t="s">
        <v>86</v>
      </c>
      <c r="C4749" s="2">
        <v>44532</v>
      </c>
      <c r="D4749" t="s">
        <v>26</v>
      </c>
      <c r="E4749">
        <v>1446</v>
      </c>
    </row>
    <row r="4750" spans="1:5" x14ac:dyDescent="0.55000000000000004">
      <c r="A4750" t="s">
        <v>4831</v>
      </c>
      <c r="B4750" t="s">
        <v>105</v>
      </c>
      <c r="C4750" s="2">
        <v>43711</v>
      </c>
      <c r="D4750" t="s">
        <v>26</v>
      </c>
      <c r="E4750">
        <v>2233</v>
      </c>
    </row>
    <row r="4751" spans="1:5" x14ac:dyDescent="0.55000000000000004">
      <c r="A4751" t="s">
        <v>4832</v>
      </c>
      <c r="B4751" t="s">
        <v>84</v>
      </c>
      <c r="C4751" s="2">
        <v>44402</v>
      </c>
      <c r="D4751" t="s">
        <v>26</v>
      </c>
      <c r="E4751">
        <v>2540</v>
      </c>
    </row>
    <row r="4752" spans="1:5" x14ac:dyDescent="0.55000000000000004">
      <c r="A4752" t="s">
        <v>4833</v>
      </c>
      <c r="B4752" t="s">
        <v>137</v>
      </c>
      <c r="C4752" s="2">
        <v>43819</v>
      </c>
      <c r="D4752" t="s">
        <v>26</v>
      </c>
      <c r="E4752">
        <v>664</v>
      </c>
    </row>
    <row r="4753" spans="1:5" x14ac:dyDescent="0.55000000000000004">
      <c r="A4753" t="s">
        <v>4834</v>
      </c>
      <c r="B4753" t="s">
        <v>72</v>
      </c>
      <c r="C4753" s="2">
        <v>43617</v>
      </c>
      <c r="D4753" t="s">
        <v>26</v>
      </c>
      <c r="E4753">
        <v>2138</v>
      </c>
    </row>
    <row r="4754" spans="1:5" x14ac:dyDescent="0.55000000000000004">
      <c r="A4754" t="s">
        <v>4835</v>
      </c>
      <c r="B4754" t="s">
        <v>175</v>
      </c>
      <c r="C4754" s="2">
        <v>45656</v>
      </c>
      <c r="D4754" t="s">
        <v>26</v>
      </c>
      <c r="E4754">
        <v>1960</v>
      </c>
    </row>
    <row r="4755" spans="1:5" x14ac:dyDescent="0.55000000000000004">
      <c r="A4755" t="s">
        <v>4836</v>
      </c>
      <c r="B4755" t="s">
        <v>118</v>
      </c>
      <c r="C4755" s="2">
        <v>44905</v>
      </c>
      <c r="D4755" t="s">
        <v>26</v>
      </c>
      <c r="E4755">
        <v>1393</v>
      </c>
    </row>
    <row r="4756" spans="1:5" x14ac:dyDescent="0.55000000000000004">
      <c r="A4756" t="s">
        <v>4837</v>
      </c>
      <c r="B4756" t="s">
        <v>76</v>
      </c>
      <c r="C4756" s="2">
        <v>45060</v>
      </c>
      <c r="D4756" t="s">
        <v>29</v>
      </c>
      <c r="E4756">
        <v>424</v>
      </c>
    </row>
    <row r="4757" spans="1:5" x14ac:dyDescent="0.55000000000000004">
      <c r="A4757" t="s">
        <v>4838</v>
      </c>
      <c r="B4757" t="s">
        <v>137</v>
      </c>
      <c r="C4757" s="2">
        <v>45564</v>
      </c>
      <c r="D4757" t="s">
        <v>29</v>
      </c>
      <c r="E4757">
        <v>869</v>
      </c>
    </row>
    <row r="4758" spans="1:5" x14ac:dyDescent="0.55000000000000004">
      <c r="A4758" t="s">
        <v>4839</v>
      </c>
      <c r="B4758" t="s">
        <v>105</v>
      </c>
      <c r="C4758" s="2">
        <v>43306</v>
      </c>
      <c r="D4758" t="s">
        <v>29</v>
      </c>
      <c r="E4758">
        <v>2401</v>
      </c>
    </row>
    <row r="4759" spans="1:5" x14ac:dyDescent="0.55000000000000004">
      <c r="A4759" t="s">
        <v>4840</v>
      </c>
      <c r="B4759" t="s">
        <v>78</v>
      </c>
      <c r="C4759" s="2">
        <v>43740</v>
      </c>
      <c r="D4759" t="s">
        <v>26</v>
      </c>
      <c r="E4759">
        <v>2691</v>
      </c>
    </row>
    <row r="4760" spans="1:5" x14ac:dyDescent="0.55000000000000004">
      <c r="A4760" t="s">
        <v>4841</v>
      </c>
      <c r="B4760" t="s">
        <v>118</v>
      </c>
      <c r="C4760" s="2">
        <v>45490</v>
      </c>
      <c r="D4760" t="s">
        <v>29</v>
      </c>
      <c r="E4760">
        <v>1586</v>
      </c>
    </row>
    <row r="4761" spans="1:5" x14ac:dyDescent="0.55000000000000004">
      <c r="A4761" t="s">
        <v>4842</v>
      </c>
      <c r="B4761" t="s">
        <v>111</v>
      </c>
      <c r="C4761" s="2">
        <v>44232</v>
      </c>
      <c r="D4761" t="s">
        <v>29</v>
      </c>
      <c r="E4761">
        <v>815</v>
      </c>
    </row>
    <row r="4762" spans="1:5" x14ac:dyDescent="0.55000000000000004">
      <c r="A4762" t="s">
        <v>4843</v>
      </c>
      <c r="B4762" t="s">
        <v>94</v>
      </c>
      <c r="C4762" s="2">
        <v>43637</v>
      </c>
      <c r="D4762" t="s">
        <v>26</v>
      </c>
      <c r="E4762">
        <v>1855</v>
      </c>
    </row>
    <row r="4763" spans="1:5" x14ac:dyDescent="0.55000000000000004">
      <c r="A4763" t="s">
        <v>4844</v>
      </c>
      <c r="B4763" t="s">
        <v>151</v>
      </c>
      <c r="C4763" s="2">
        <v>42924</v>
      </c>
      <c r="D4763" t="s">
        <v>29</v>
      </c>
      <c r="E4763">
        <v>70</v>
      </c>
    </row>
    <row r="4764" spans="1:5" x14ac:dyDescent="0.55000000000000004">
      <c r="A4764" t="s">
        <v>4845</v>
      </c>
      <c r="B4764" t="s">
        <v>38</v>
      </c>
      <c r="C4764" s="2">
        <v>44593</v>
      </c>
      <c r="D4764" t="s">
        <v>29</v>
      </c>
      <c r="E4764">
        <v>1702</v>
      </c>
    </row>
    <row r="4765" spans="1:5" x14ac:dyDescent="0.55000000000000004">
      <c r="A4765" t="s">
        <v>4846</v>
      </c>
      <c r="B4765" t="s">
        <v>78</v>
      </c>
      <c r="C4765" s="2">
        <v>43496</v>
      </c>
      <c r="D4765" t="s">
        <v>29</v>
      </c>
      <c r="E4765">
        <v>1898</v>
      </c>
    </row>
    <row r="4766" spans="1:5" x14ac:dyDescent="0.55000000000000004">
      <c r="A4766" t="s">
        <v>4847</v>
      </c>
      <c r="B4766" t="s">
        <v>74</v>
      </c>
      <c r="C4766" s="2">
        <v>43191</v>
      </c>
      <c r="D4766" t="s">
        <v>26</v>
      </c>
      <c r="E4766">
        <v>2435</v>
      </c>
    </row>
    <row r="4767" spans="1:5" x14ac:dyDescent="0.55000000000000004">
      <c r="A4767" t="s">
        <v>4848</v>
      </c>
      <c r="B4767" t="s">
        <v>67</v>
      </c>
      <c r="C4767" s="2">
        <v>45765</v>
      </c>
      <c r="D4767" t="s">
        <v>26</v>
      </c>
      <c r="E4767">
        <v>2428</v>
      </c>
    </row>
    <row r="4768" spans="1:5" x14ac:dyDescent="0.55000000000000004">
      <c r="A4768" t="s">
        <v>4849</v>
      </c>
      <c r="B4768" t="s">
        <v>72</v>
      </c>
      <c r="C4768" s="2">
        <v>43886</v>
      </c>
      <c r="D4768" t="s">
        <v>29</v>
      </c>
      <c r="E4768">
        <v>2267</v>
      </c>
    </row>
    <row r="4769" spans="1:5" x14ac:dyDescent="0.55000000000000004">
      <c r="A4769" t="s">
        <v>4850</v>
      </c>
      <c r="B4769" t="s">
        <v>99</v>
      </c>
      <c r="C4769" s="2">
        <v>44861</v>
      </c>
      <c r="D4769" t="s">
        <v>26</v>
      </c>
      <c r="E4769">
        <v>2559</v>
      </c>
    </row>
    <row r="4770" spans="1:5" x14ac:dyDescent="0.55000000000000004">
      <c r="A4770" t="s">
        <v>4851</v>
      </c>
      <c r="B4770" t="s">
        <v>137</v>
      </c>
      <c r="C4770" s="2">
        <v>43599</v>
      </c>
      <c r="D4770" t="s">
        <v>29</v>
      </c>
      <c r="E4770">
        <v>1007</v>
      </c>
    </row>
    <row r="4771" spans="1:5" x14ac:dyDescent="0.55000000000000004">
      <c r="A4771" t="s">
        <v>4852</v>
      </c>
      <c r="B4771" t="s">
        <v>156</v>
      </c>
      <c r="C4771" s="2">
        <v>44016</v>
      </c>
      <c r="D4771" t="s">
        <v>29</v>
      </c>
      <c r="E4771">
        <v>1201</v>
      </c>
    </row>
    <row r="4772" spans="1:5" x14ac:dyDescent="0.55000000000000004">
      <c r="A4772" t="s">
        <v>4853</v>
      </c>
      <c r="B4772" t="s">
        <v>142</v>
      </c>
      <c r="C4772" s="2">
        <v>43135</v>
      </c>
      <c r="D4772" t="s">
        <v>26</v>
      </c>
      <c r="E4772">
        <v>1229</v>
      </c>
    </row>
    <row r="4773" spans="1:5" x14ac:dyDescent="0.55000000000000004">
      <c r="A4773" t="s">
        <v>4854</v>
      </c>
      <c r="B4773" t="s">
        <v>38</v>
      </c>
      <c r="C4773" s="2">
        <v>44111</v>
      </c>
      <c r="D4773" t="s">
        <v>29</v>
      </c>
      <c r="E4773">
        <v>1554</v>
      </c>
    </row>
    <row r="4774" spans="1:5" x14ac:dyDescent="0.55000000000000004">
      <c r="A4774" t="s">
        <v>4855</v>
      </c>
      <c r="B4774" t="s">
        <v>72</v>
      </c>
      <c r="C4774" s="2">
        <v>43491</v>
      </c>
      <c r="D4774" t="s">
        <v>29</v>
      </c>
      <c r="E4774">
        <v>1687</v>
      </c>
    </row>
    <row r="4775" spans="1:5" x14ac:dyDescent="0.55000000000000004">
      <c r="A4775" t="s">
        <v>4856</v>
      </c>
      <c r="B4775" t="s">
        <v>74</v>
      </c>
      <c r="C4775" s="2">
        <v>44004</v>
      </c>
      <c r="D4775" t="s">
        <v>29</v>
      </c>
      <c r="E4775">
        <v>307</v>
      </c>
    </row>
    <row r="4776" spans="1:5" x14ac:dyDescent="0.55000000000000004">
      <c r="A4776" t="s">
        <v>4857</v>
      </c>
      <c r="B4776" t="s">
        <v>96</v>
      </c>
      <c r="C4776" s="2">
        <v>44729</v>
      </c>
      <c r="D4776" t="s">
        <v>29</v>
      </c>
      <c r="E4776">
        <v>1666</v>
      </c>
    </row>
    <row r="4777" spans="1:5" x14ac:dyDescent="0.55000000000000004">
      <c r="A4777" t="s">
        <v>4858</v>
      </c>
      <c r="B4777" t="s">
        <v>14</v>
      </c>
      <c r="C4777" s="2">
        <v>42970</v>
      </c>
      <c r="D4777" t="s">
        <v>29</v>
      </c>
      <c r="E4777">
        <v>1342</v>
      </c>
    </row>
    <row r="4778" spans="1:5" x14ac:dyDescent="0.55000000000000004">
      <c r="A4778" t="s">
        <v>4859</v>
      </c>
      <c r="B4778" t="s">
        <v>105</v>
      </c>
      <c r="C4778" s="2">
        <v>44374</v>
      </c>
      <c r="D4778" t="s">
        <v>26</v>
      </c>
      <c r="E4778">
        <v>562</v>
      </c>
    </row>
    <row r="4779" spans="1:5" x14ac:dyDescent="0.55000000000000004">
      <c r="A4779" t="s">
        <v>4860</v>
      </c>
      <c r="B4779" t="s">
        <v>67</v>
      </c>
      <c r="C4779" s="2">
        <v>43876</v>
      </c>
      <c r="D4779" t="s">
        <v>29</v>
      </c>
      <c r="E4779">
        <v>464</v>
      </c>
    </row>
    <row r="4780" spans="1:5" x14ac:dyDescent="0.55000000000000004">
      <c r="A4780" t="s">
        <v>4861</v>
      </c>
      <c r="B4780" t="s">
        <v>115</v>
      </c>
      <c r="C4780" s="2">
        <v>43458</v>
      </c>
      <c r="D4780" t="s">
        <v>29</v>
      </c>
      <c r="E4780">
        <v>1303</v>
      </c>
    </row>
    <row r="4781" spans="1:5" x14ac:dyDescent="0.55000000000000004">
      <c r="A4781" t="s">
        <v>4862</v>
      </c>
      <c r="B4781" t="s">
        <v>94</v>
      </c>
      <c r="C4781" s="2">
        <v>43972</v>
      </c>
      <c r="D4781" t="s">
        <v>26</v>
      </c>
      <c r="E4781">
        <v>2360</v>
      </c>
    </row>
    <row r="4782" spans="1:5" x14ac:dyDescent="0.55000000000000004">
      <c r="A4782" t="s">
        <v>4863</v>
      </c>
      <c r="B4782" t="s">
        <v>151</v>
      </c>
      <c r="C4782" s="2">
        <v>44109</v>
      </c>
      <c r="D4782" t="s">
        <v>26</v>
      </c>
      <c r="E4782">
        <v>948</v>
      </c>
    </row>
    <row r="4783" spans="1:5" x14ac:dyDescent="0.55000000000000004">
      <c r="A4783" t="s">
        <v>4864</v>
      </c>
      <c r="B4783" t="s">
        <v>142</v>
      </c>
      <c r="C4783" s="2">
        <v>43483</v>
      </c>
      <c r="D4783" t="s">
        <v>29</v>
      </c>
      <c r="E4783">
        <v>2253</v>
      </c>
    </row>
    <row r="4784" spans="1:5" x14ac:dyDescent="0.55000000000000004">
      <c r="A4784" t="s">
        <v>4865</v>
      </c>
      <c r="B4784" t="s">
        <v>118</v>
      </c>
      <c r="C4784" s="2">
        <v>45683</v>
      </c>
      <c r="D4784" t="s">
        <v>26</v>
      </c>
      <c r="E4784">
        <v>2919</v>
      </c>
    </row>
    <row r="4785" spans="1:5" x14ac:dyDescent="0.55000000000000004">
      <c r="A4785" t="s">
        <v>4866</v>
      </c>
      <c r="B4785" t="s">
        <v>99</v>
      </c>
      <c r="C4785" s="2">
        <v>45830</v>
      </c>
      <c r="D4785" t="s">
        <v>29</v>
      </c>
      <c r="E4785">
        <v>2262</v>
      </c>
    </row>
    <row r="4786" spans="1:5" x14ac:dyDescent="0.55000000000000004">
      <c r="A4786" t="s">
        <v>4867</v>
      </c>
      <c r="B4786" t="s">
        <v>38</v>
      </c>
      <c r="C4786" s="2">
        <v>44440</v>
      </c>
      <c r="D4786" t="s">
        <v>26</v>
      </c>
      <c r="E4786">
        <v>1653</v>
      </c>
    </row>
    <row r="4787" spans="1:5" x14ac:dyDescent="0.55000000000000004">
      <c r="A4787" t="s">
        <v>4868</v>
      </c>
      <c r="B4787" t="s">
        <v>118</v>
      </c>
      <c r="C4787" s="2">
        <v>43632</v>
      </c>
      <c r="D4787" t="s">
        <v>29</v>
      </c>
      <c r="E4787">
        <v>1721</v>
      </c>
    </row>
    <row r="4788" spans="1:5" x14ac:dyDescent="0.55000000000000004">
      <c r="A4788" t="s">
        <v>4869</v>
      </c>
      <c r="B4788" t="s">
        <v>74</v>
      </c>
      <c r="C4788" s="2">
        <v>44264</v>
      </c>
      <c r="D4788" t="s">
        <v>29</v>
      </c>
      <c r="E4788">
        <v>1102</v>
      </c>
    </row>
    <row r="4789" spans="1:5" x14ac:dyDescent="0.55000000000000004">
      <c r="A4789" t="s">
        <v>4870</v>
      </c>
      <c r="B4789" t="s">
        <v>78</v>
      </c>
      <c r="C4789" s="2">
        <v>43679</v>
      </c>
      <c r="D4789" t="s">
        <v>26</v>
      </c>
      <c r="E4789">
        <v>281</v>
      </c>
    </row>
    <row r="4790" spans="1:5" x14ac:dyDescent="0.55000000000000004">
      <c r="A4790" t="s">
        <v>4871</v>
      </c>
      <c r="B4790" t="s">
        <v>115</v>
      </c>
      <c r="C4790" s="2">
        <v>44121</v>
      </c>
      <c r="D4790" t="s">
        <v>26</v>
      </c>
      <c r="E4790">
        <v>437</v>
      </c>
    </row>
    <row r="4791" spans="1:5" x14ac:dyDescent="0.55000000000000004">
      <c r="A4791" t="s">
        <v>4872</v>
      </c>
      <c r="B4791" t="s">
        <v>94</v>
      </c>
      <c r="C4791" s="2">
        <v>45419</v>
      </c>
      <c r="D4791" t="s">
        <v>26</v>
      </c>
      <c r="E4791">
        <v>1921</v>
      </c>
    </row>
    <row r="4792" spans="1:5" x14ac:dyDescent="0.55000000000000004">
      <c r="A4792" t="s">
        <v>4873</v>
      </c>
      <c r="B4792" t="s">
        <v>137</v>
      </c>
      <c r="C4792" s="2">
        <v>44945</v>
      </c>
      <c r="D4792" t="s">
        <v>29</v>
      </c>
      <c r="E4792">
        <v>2219</v>
      </c>
    </row>
    <row r="4793" spans="1:5" x14ac:dyDescent="0.55000000000000004">
      <c r="A4793" t="s">
        <v>4874</v>
      </c>
      <c r="B4793" t="s">
        <v>115</v>
      </c>
      <c r="C4793" s="2">
        <v>43458</v>
      </c>
      <c r="D4793" t="s">
        <v>26</v>
      </c>
      <c r="E4793">
        <v>2420</v>
      </c>
    </row>
    <row r="4794" spans="1:5" x14ac:dyDescent="0.55000000000000004">
      <c r="A4794" t="s">
        <v>4875</v>
      </c>
      <c r="B4794" t="s">
        <v>99</v>
      </c>
      <c r="C4794" s="2">
        <v>44480</v>
      </c>
      <c r="D4794" t="s">
        <v>26</v>
      </c>
      <c r="E4794">
        <v>1368</v>
      </c>
    </row>
    <row r="4795" spans="1:5" x14ac:dyDescent="0.55000000000000004">
      <c r="A4795" t="s">
        <v>4876</v>
      </c>
      <c r="B4795" t="s">
        <v>105</v>
      </c>
      <c r="C4795" s="2">
        <v>43296</v>
      </c>
      <c r="D4795" t="s">
        <v>26</v>
      </c>
      <c r="E4795">
        <v>2583</v>
      </c>
    </row>
    <row r="4796" spans="1:5" x14ac:dyDescent="0.55000000000000004">
      <c r="A4796" t="s">
        <v>4877</v>
      </c>
      <c r="B4796" t="s">
        <v>137</v>
      </c>
      <c r="C4796" s="2">
        <v>43534</v>
      </c>
      <c r="D4796" t="s">
        <v>29</v>
      </c>
      <c r="E4796">
        <v>894</v>
      </c>
    </row>
    <row r="4797" spans="1:5" x14ac:dyDescent="0.55000000000000004">
      <c r="A4797" t="s">
        <v>4878</v>
      </c>
      <c r="B4797" t="s">
        <v>78</v>
      </c>
      <c r="C4797" s="2">
        <v>43984</v>
      </c>
      <c r="D4797" t="s">
        <v>26</v>
      </c>
      <c r="E4797">
        <v>2795</v>
      </c>
    </row>
    <row r="4798" spans="1:5" x14ac:dyDescent="0.55000000000000004">
      <c r="A4798" t="s">
        <v>4879</v>
      </c>
      <c r="B4798" t="s">
        <v>67</v>
      </c>
      <c r="C4798" s="2">
        <v>44443</v>
      </c>
      <c r="D4798" t="s">
        <v>29</v>
      </c>
      <c r="E4798">
        <v>21</v>
      </c>
    </row>
    <row r="4799" spans="1:5" x14ac:dyDescent="0.55000000000000004">
      <c r="A4799" t="s">
        <v>4880</v>
      </c>
      <c r="B4799" t="s">
        <v>38</v>
      </c>
      <c r="C4799" s="2">
        <v>44902</v>
      </c>
      <c r="D4799" t="s">
        <v>29</v>
      </c>
      <c r="E4799">
        <v>2362</v>
      </c>
    </row>
    <row r="4800" spans="1:5" x14ac:dyDescent="0.55000000000000004">
      <c r="A4800" t="s">
        <v>4881</v>
      </c>
      <c r="B4800" t="s">
        <v>137</v>
      </c>
      <c r="C4800" s="2">
        <v>44234</v>
      </c>
      <c r="D4800" t="s">
        <v>29</v>
      </c>
      <c r="E4800">
        <v>2242</v>
      </c>
    </row>
    <row r="4801" spans="1:5" x14ac:dyDescent="0.55000000000000004">
      <c r="A4801" t="s">
        <v>4882</v>
      </c>
      <c r="B4801" t="s">
        <v>63</v>
      </c>
      <c r="C4801" s="2">
        <v>43038</v>
      </c>
      <c r="D4801" t="s">
        <v>29</v>
      </c>
      <c r="E4801">
        <v>864</v>
      </c>
    </row>
    <row r="4802" spans="1:5" x14ac:dyDescent="0.55000000000000004">
      <c r="A4802" t="s">
        <v>4883</v>
      </c>
      <c r="B4802" t="s">
        <v>32</v>
      </c>
      <c r="C4802" s="2">
        <v>44626</v>
      </c>
      <c r="D4802" t="s">
        <v>26</v>
      </c>
      <c r="E4802">
        <v>2161</v>
      </c>
    </row>
    <row r="4803" spans="1:5" x14ac:dyDescent="0.55000000000000004">
      <c r="A4803" t="s">
        <v>4884</v>
      </c>
      <c r="B4803" t="s">
        <v>156</v>
      </c>
      <c r="C4803" s="2">
        <v>43622</v>
      </c>
      <c r="D4803" t="s">
        <v>26</v>
      </c>
      <c r="E4803">
        <v>1656</v>
      </c>
    </row>
    <row r="4804" spans="1:5" x14ac:dyDescent="0.55000000000000004">
      <c r="A4804" t="s">
        <v>4885</v>
      </c>
      <c r="B4804" t="s">
        <v>23</v>
      </c>
      <c r="C4804" s="2">
        <v>44673</v>
      </c>
      <c r="D4804" t="s">
        <v>29</v>
      </c>
      <c r="E4804">
        <v>1103</v>
      </c>
    </row>
    <row r="4805" spans="1:5" x14ac:dyDescent="0.55000000000000004">
      <c r="A4805" t="s">
        <v>4886</v>
      </c>
      <c r="B4805" t="s">
        <v>63</v>
      </c>
      <c r="C4805" s="2">
        <v>44179</v>
      </c>
      <c r="D4805" t="s">
        <v>26</v>
      </c>
      <c r="E4805">
        <v>2895</v>
      </c>
    </row>
    <row r="4806" spans="1:5" x14ac:dyDescent="0.55000000000000004">
      <c r="A4806" t="s">
        <v>4887</v>
      </c>
      <c r="B4806" t="s">
        <v>140</v>
      </c>
      <c r="C4806" s="2">
        <v>43439</v>
      </c>
      <c r="D4806" t="s">
        <v>29</v>
      </c>
      <c r="E4806">
        <v>5</v>
      </c>
    </row>
    <row r="4807" spans="1:5" x14ac:dyDescent="0.55000000000000004">
      <c r="A4807" t="s">
        <v>4888</v>
      </c>
      <c r="B4807" t="s">
        <v>115</v>
      </c>
      <c r="C4807" s="2">
        <v>43747</v>
      </c>
      <c r="D4807" t="s">
        <v>26</v>
      </c>
      <c r="E4807">
        <v>1036</v>
      </c>
    </row>
    <row r="4808" spans="1:5" x14ac:dyDescent="0.55000000000000004">
      <c r="A4808" t="s">
        <v>4889</v>
      </c>
      <c r="B4808" t="s">
        <v>41</v>
      </c>
      <c r="C4808" s="2">
        <v>44093</v>
      </c>
      <c r="D4808" t="s">
        <v>26</v>
      </c>
      <c r="E4808">
        <v>2624</v>
      </c>
    </row>
    <row r="4809" spans="1:5" x14ac:dyDescent="0.55000000000000004">
      <c r="A4809" t="s">
        <v>4890</v>
      </c>
      <c r="B4809" t="s">
        <v>23</v>
      </c>
      <c r="C4809" s="2">
        <v>44076</v>
      </c>
      <c r="D4809" t="s">
        <v>26</v>
      </c>
      <c r="E4809">
        <v>542</v>
      </c>
    </row>
    <row r="4810" spans="1:5" x14ac:dyDescent="0.55000000000000004">
      <c r="A4810" t="s">
        <v>4891</v>
      </c>
      <c r="B4810" t="s">
        <v>41</v>
      </c>
      <c r="C4810" s="2">
        <v>43913</v>
      </c>
      <c r="D4810" t="s">
        <v>26</v>
      </c>
      <c r="E4810">
        <v>1023</v>
      </c>
    </row>
    <row r="4811" spans="1:5" x14ac:dyDescent="0.55000000000000004">
      <c r="A4811" t="s">
        <v>4892</v>
      </c>
      <c r="B4811" t="s">
        <v>78</v>
      </c>
      <c r="C4811" s="2">
        <v>43656</v>
      </c>
      <c r="D4811" t="s">
        <v>26</v>
      </c>
      <c r="E4811">
        <v>2801</v>
      </c>
    </row>
    <row r="4812" spans="1:5" x14ac:dyDescent="0.55000000000000004">
      <c r="A4812" t="s">
        <v>4893</v>
      </c>
      <c r="B4812" t="s">
        <v>101</v>
      </c>
      <c r="C4812" s="2">
        <v>43189</v>
      </c>
      <c r="D4812" t="s">
        <v>26</v>
      </c>
      <c r="E4812">
        <v>1132</v>
      </c>
    </row>
    <row r="4813" spans="1:5" x14ac:dyDescent="0.55000000000000004">
      <c r="A4813" t="s">
        <v>4894</v>
      </c>
      <c r="B4813" t="s">
        <v>115</v>
      </c>
      <c r="C4813" s="2">
        <v>44093</v>
      </c>
      <c r="D4813" t="s">
        <v>26</v>
      </c>
      <c r="E4813">
        <v>2669</v>
      </c>
    </row>
    <row r="4814" spans="1:5" x14ac:dyDescent="0.55000000000000004">
      <c r="A4814" t="s">
        <v>4895</v>
      </c>
      <c r="B4814" t="s">
        <v>151</v>
      </c>
      <c r="C4814" s="2">
        <v>44385</v>
      </c>
      <c r="D4814" t="s">
        <v>26</v>
      </c>
      <c r="E4814">
        <v>2851</v>
      </c>
    </row>
    <row r="4815" spans="1:5" x14ac:dyDescent="0.55000000000000004">
      <c r="A4815" t="s">
        <v>4896</v>
      </c>
      <c r="B4815" t="s">
        <v>14</v>
      </c>
      <c r="C4815" s="2">
        <v>43763</v>
      </c>
      <c r="D4815" t="s">
        <v>26</v>
      </c>
      <c r="E4815">
        <v>1398</v>
      </c>
    </row>
    <row r="4816" spans="1:5" x14ac:dyDescent="0.55000000000000004">
      <c r="A4816" t="s">
        <v>4897</v>
      </c>
      <c r="B4816" t="s">
        <v>151</v>
      </c>
      <c r="C4816" s="2">
        <v>43832</v>
      </c>
      <c r="D4816" t="s">
        <v>26</v>
      </c>
      <c r="E4816">
        <v>602</v>
      </c>
    </row>
    <row r="4817" spans="1:5" x14ac:dyDescent="0.55000000000000004">
      <c r="A4817" t="s">
        <v>4898</v>
      </c>
      <c r="B4817" t="s">
        <v>78</v>
      </c>
      <c r="C4817" s="2">
        <v>43970</v>
      </c>
      <c r="D4817" t="s">
        <v>29</v>
      </c>
      <c r="E4817">
        <v>1331</v>
      </c>
    </row>
    <row r="4818" spans="1:5" x14ac:dyDescent="0.55000000000000004">
      <c r="A4818" t="s">
        <v>4899</v>
      </c>
      <c r="B4818" t="s">
        <v>140</v>
      </c>
      <c r="C4818" s="2">
        <v>43692</v>
      </c>
      <c r="D4818" t="s">
        <v>29</v>
      </c>
      <c r="E4818">
        <v>1816</v>
      </c>
    </row>
    <row r="4819" spans="1:5" x14ac:dyDescent="0.55000000000000004">
      <c r="A4819" t="s">
        <v>4900</v>
      </c>
      <c r="B4819" t="s">
        <v>38</v>
      </c>
      <c r="C4819" s="2">
        <v>44243</v>
      </c>
      <c r="D4819" t="s">
        <v>26</v>
      </c>
      <c r="E4819">
        <v>846</v>
      </c>
    </row>
    <row r="4820" spans="1:5" x14ac:dyDescent="0.55000000000000004">
      <c r="A4820" t="s">
        <v>4901</v>
      </c>
      <c r="B4820" t="s">
        <v>101</v>
      </c>
      <c r="C4820" s="2">
        <v>43640</v>
      </c>
      <c r="D4820" t="s">
        <v>26</v>
      </c>
      <c r="E4820">
        <v>2727</v>
      </c>
    </row>
    <row r="4821" spans="1:5" x14ac:dyDescent="0.55000000000000004">
      <c r="A4821" t="s">
        <v>4902</v>
      </c>
      <c r="B4821" t="s">
        <v>76</v>
      </c>
      <c r="C4821" s="2">
        <v>44460</v>
      </c>
      <c r="D4821" t="s">
        <v>29</v>
      </c>
      <c r="E4821">
        <v>2002</v>
      </c>
    </row>
    <row r="4822" spans="1:5" x14ac:dyDescent="0.55000000000000004">
      <c r="A4822" t="s">
        <v>4903</v>
      </c>
      <c r="B4822" t="s">
        <v>84</v>
      </c>
      <c r="C4822" s="2">
        <v>43812</v>
      </c>
      <c r="D4822" t="s">
        <v>26</v>
      </c>
      <c r="E4822">
        <v>1032</v>
      </c>
    </row>
    <row r="4823" spans="1:5" x14ac:dyDescent="0.55000000000000004">
      <c r="A4823" t="s">
        <v>4904</v>
      </c>
      <c r="B4823" t="s">
        <v>14</v>
      </c>
      <c r="C4823" s="2">
        <v>43804</v>
      </c>
      <c r="D4823" t="s">
        <v>29</v>
      </c>
      <c r="E4823">
        <v>649</v>
      </c>
    </row>
    <row r="4824" spans="1:5" x14ac:dyDescent="0.55000000000000004">
      <c r="A4824" t="s">
        <v>4905</v>
      </c>
      <c r="B4824" t="s">
        <v>142</v>
      </c>
      <c r="C4824" s="2">
        <v>44517</v>
      </c>
      <c r="D4824" t="s">
        <v>26</v>
      </c>
      <c r="E4824">
        <v>1879</v>
      </c>
    </row>
    <row r="4825" spans="1:5" x14ac:dyDescent="0.55000000000000004">
      <c r="A4825" t="s">
        <v>4906</v>
      </c>
      <c r="B4825" t="s">
        <v>67</v>
      </c>
      <c r="C4825" s="2">
        <v>44650</v>
      </c>
      <c r="D4825" t="s">
        <v>26</v>
      </c>
      <c r="E4825">
        <v>1693</v>
      </c>
    </row>
    <row r="4826" spans="1:5" x14ac:dyDescent="0.55000000000000004">
      <c r="A4826" t="s">
        <v>4907</v>
      </c>
      <c r="B4826" t="s">
        <v>115</v>
      </c>
      <c r="C4826" s="2">
        <v>43505</v>
      </c>
      <c r="D4826" t="s">
        <v>26</v>
      </c>
      <c r="E4826">
        <v>1160</v>
      </c>
    </row>
    <row r="4827" spans="1:5" x14ac:dyDescent="0.55000000000000004">
      <c r="A4827" t="s">
        <v>4908</v>
      </c>
      <c r="B4827" t="s">
        <v>84</v>
      </c>
      <c r="C4827" s="2">
        <v>43279</v>
      </c>
      <c r="D4827" t="s">
        <v>29</v>
      </c>
      <c r="E4827">
        <v>56</v>
      </c>
    </row>
    <row r="4828" spans="1:5" x14ac:dyDescent="0.55000000000000004">
      <c r="A4828" t="s">
        <v>4909</v>
      </c>
      <c r="B4828" t="s">
        <v>96</v>
      </c>
      <c r="C4828" s="2">
        <v>45635</v>
      </c>
      <c r="D4828" t="s">
        <v>26</v>
      </c>
      <c r="E4828">
        <v>2402</v>
      </c>
    </row>
    <row r="4829" spans="1:5" x14ac:dyDescent="0.55000000000000004">
      <c r="A4829" t="s">
        <v>4910</v>
      </c>
      <c r="B4829" t="s">
        <v>15</v>
      </c>
      <c r="C4829" s="2">
        <v>43629</v>
      </c>
      <c r="D4829" t="s">
        <v>29</v>
      </c>
      <c r="E4829">
        <v>2638</v>
      </c>
    </row>
    <row r="4830" spans="1:5" x14ac:dyDescent="0.55000000000000004">
      <c r="A4830" t="s">
        <v>4911</v>
      </c>
      <c r="B4830" t="s">
        <v>63</v>
      </c>
      <c r="C4830" s="2">
        <v>43837</v>
      </c>
      <c r="D4830" t="s">
        <v>26</v>
      </c>
      <c r="E4830">
        <v>2819</v>
      </c>
    </row>
    <row r="4831" spans="1:5" x14ac:dyDescent="0.55000000000000004">
      <c r="A4831" t="s">
        <v>4912</v>
      </c>
      <c r="B4831" t="s">
        <v>76</v>
      </c>
      <c r="C4831" s="2">
        <v>44594</v>
      </c>
      <c r="D4831" t="s">
        <v>29</v>
      </c>
      <c r="E4831">
        <v>1599</v>
      </c>
    </row>
    <row r="4832" spans="1:5" x14ac:dyDescent="0.55000000000000004">
      <c r="A4832" t="s">
        <v>4913</v>
      </c>
      <c r="B4832" t="s">
        <v>84</v>
      </c>
      <c r="C4832" s="2">
        <v>43245</v>
      </c>
      <c r="D4832" t="s">
        <v>29</v>
      </c>
      <c r="E4832">
        <v>903</v>
      </c>
    </row>
    <row r="4833" spans="1:5" x14ac:dyDescent="0.55000000000000004">
      <c r="A4833" t="s">
        <v>4914</v>
      </c>
      <c r="B4833" t="s">
        <v>15</v>
      </c>
      <c r="C4833" s="2">
        <v>43190</v>
      </c>
      <c r="D4833" t="s">
        <v>26</v>
      </c>
      <c r="E4833">
        <v>960</v>
      </c>
    </row>
    <row r="4834" spans="1:5" x14ac:dyDescent="0.55000000000000004">
      <c r="A4834" t="s">
        <v>4915</v>
      </c>
      <c r="B4834" t="s">
        <v>35</v>
      </c>
      <c r="C4834" s="2">
        <v>44826</v>
      </c>
      <c r="D4834" t="s">
        <v>29</v>
      </c>
      <c r="E4834">
        <v>896</v>
      </c>
    </row>
    <row r="4835" spans="1:5" x14ac:dyDescent="0.55000000000000004">
      <c r="A4835" t="s">
        <v>4916</v>
      </c>
      <c r="B4835" t="s">
        <v>99</v>
      </c>
      <c r="C4835" s="2">
        <v>45553</v>
      </c>
      <c r="D4835" t="s">
        <v>26</v>
      </c>
      <c r="E4835">
        <v>449</v>
      </c>
    </row>
    <row r="4836" spans="1:5" x14ac:dyDescent="0.55000000000000004">
      <c r="A4836" t="s">
        <v>4917</v>
      </c>
      <c r="B4836" t="s">
        <v>84</v>
      </c>
      <c r="C4836" s="2">
        <v>44394</v>
      </c>
      <c r="D4836" t="s">
        <v>29</v>
      </c>
      <c r="E4836">
        <v>2138</v>
      </c>
    </row>
    <row r="4837" spans="1:5" x14ac:dyDescent="0.55000000000000004">
      <c r="A4837" t="s">
        <v>4918</v>
      </c>
      <c r="B4837" t="s">
        <v>84</v>
      </c>
      <c r="C4837" s="2">
        <v>44329</v>
      </c>
      <c r="D4837" t="s">
        <v>26</v>
      </c>
      <c r="E4837">
        <v>1113</v>
      </c>
    </row>
    <row r="4838" spans="1:5" x14ac:dyDescent="0.55000000000000004">
      <c r="A4838" t="s">
        <v>4919</v>
      </c>
      <c r="B4838" t="s">
        <v>76</v>
      </c>
      <c r="C4838" s="2">
        <v>45581</v>
      </c>
      <c r="D4838" t="s">
        <v>29</v>
      </c>
      <c r="E4838">
        <v>1653</v>
      </c>
    </row>
    <row r="4839" spans="1:5" x14ac:dyDescent="0.55000000000000004">
      <c r="A4839" t="s">
        <v>4920</v>
      </c>
      <c r="B4839" t="s">
        <v>14</v>
      </c>
      <c r="C4839" s="2">
        <v>43045</v>
      </c>
      <c r="D4839" t="s">
        <v>26</v>
      </c>
      <c r="E4839">
        <v>988</v>
      </c>
    </row>
    <row r="4840" spans="1:5" x14ac:dyDescent="0.55000000000000004">
      <c r="A4840" t="s">
        <v>4921</v>
      </c>
      <c r="B4840" t="s">
        <v>94</v>
      </c>
      <c r="C4840" s="2">
        <v>44624</v>
      </c>
      <c r="D4840" t="s">
        <v>29</v>
      </c>
      <c r="E4840">
        <v>1000</v>
      </c>
    </row>
    <row r="4841" spans="1:5" x14ac:dyDescent="0.55000000000000004">
      <c r="A4841" t="s">
        <v>4922</v>
      </c>
      <c r="B4841" t="s">
        <v>118</v>
      </c>
      <c r="C4841" s="2">
        <v>45743</v>
      </c>
      <c r="D4841" t="s">
        <v>26</v>
      </c>
      <c r="E4841">
        <v>2570</v>
      </c>
    </row>
    <row r="4842" spans="1:5" x14ac:dyDescent="0.55000000000000004">
      <c r="A4842" t="s">
        <v>4923</v>
      </c>
      <c r="B4842" t="s">
        <v>96</v>
      </c>
      <c r="C4842" s="2">
        <v>45630</v>
      </c>
      <c r="D4842" t="s">
        <v>26</v>
      </c>
      <c r="E4842">
        <v>610</v>
      </c>
    </row>
    <row r="4843" spans="1:5" x14ac:dyDescent="0.55000000000000004">
      <c r="A4843" t="s">
        <v>4924</v>
      </c>
      <c r="B4843" t="s">
        <v>14</v>
      </c>
      <c r="C4843" s="2">
        <v>43587</v>
      </c>
      <c r="D4843" t="s">
        <v>29</v>
      </c>
      <c r="E4843">
        <v>2326</v>
      </c>
    </row>
    <row r="4844" spans="1:5" x14ac:dyDescent="0.55000000000000004">
      <c r="A4844" t="s">
        <v>4925</v>
      </c>
      <c r="B4844" t="s">
        <v>111</v>
      </c>
      <c r="C4844" s="2">
        <v>42919</v>
      </c>
      <c r="D4844" t="s">
        <v>29</v>
      </c>
      <c r="E4844">
        <v>792</v>
      </c>
    </row>
    <row r="4845" spans="1:5" x14ac:dyDescent="0.55000000000000004">
      <c r="A4845" t="s">
        <v>4926</v>
      </c>
      <c r="B4845" t="s">
        <v>105</v>
      </c>
      <c r="C4845" s="2">
        <v>43139</v>
      </c>
      <c r="D4845" t="s">
        <v>29</v>
      </c>
      <c r="E4845">
        <v>2952</v>
      </c>
    </row>
    <row r="4846" spans="1:5" x14ac:dyDescent="0.55000000000000004">
      <c r="A4846" t="s">
        <v>4927</v>
      </c>
      <c r="B4846" t="s">
        <v>118</v>
      </c>
      <c r="C4846" s="2">
        <v>45206</v>
      </c>
      <c r="D4846" t="s">
        <v>29</v>
      </c>
      <c r="E4846">
        <v>2850</v>
      </c>
    </row>
    <row r="4847" spans="1:5" x14ac:dyDescent="0.55000000000000004">
      <c r="A4847" t="s">
        <v>4928</v>
      </c>
      <c r="B4847" t="s">
        <v>137</v>
      </c>
      <c r="C4847" s="2">
        <v>44579</v>
      </c>
      <c r="D4847" t="s">
        <v>26</v>
      </c>
      <c r="E4847">
        <v>2575</v>
      </c>
    </row>
    <row r="4848" spans="1:5" x14ac:dyDescent="0.55000000000000004">
      <c r="A4848" t="s">
        <v>4929</v>
      </c>
      <c r="B4848" t="s">
        <v>101</v>
      </c>
      <c r="C4848" s="2">
        <v>44288</v>
      </c>
      <c r="D4848" t="s">
        <v>29</v>
      </c>
      <c r="E4848">
        <v>393</v>
      </c>
    </row>
    <row r="4849" spans="1:5" x14ac:dyDescent="0.55000000000000004">
      <c r="A4849" t="s">
        <v>4930</v>
      </c>
      <c r="B4849" t="s">
        <v>101</v>
      </c>
      <c r="C4849" s="2">
        <v>43883</v>
      </c>
      <c r="D4849" t="s">
        <v>26</v>
      </c>
      <c r="E4849">
        <v>1003</v>
      </c>
    </row>
    <row r="4850" spans="1:5" x14ac:dyDescent="0.55000000000000004">
      <c r="A4850" t="s">
        <v>4931</v>
      </c>
      <c r="B4850" t="s">
        <v>111</v>
      </c>
      <c r="C4850" s="2">
        <v>43010</v>
      </c>
      <c r="D4850" t="s">
        <v>29</v>
      </c>
      <c r="E4850">
        <v>1461</v>
      </c>
    </row>
    <row r="4851" spans="1:5" x14ac:dyDescent="0.55000000000000004">
      <c r="A4851" t="s">
        <v>4932</v>
      </c>
      <c r="B4851" t="s">
        <v>96</v>
      </c>
      <c r="C4851" s="2">
        <v>44453</v>
      </c>
      <c r="D4851" t="s">
        <v>29</v>
      </c>
      <c r="E4851">
        <v>2019</v>
      </c>
    </row>
    <row r="4852" spans="1:5" x14ac:dyDescent="0.55000000000000004">
      <c r="A4852" t="s">
        <v>4933</v>
      </c>
      <c r="B4852" t="s">
        <v>63</v>
      </c>
      <c r="C4852" s="2">
        <v>43799</v>
      </c>
      <c r="D4852" t="s">
        <v>26</v>
      </c>
      <c r="E4852">
        <v>2825</v>
      </c>
    </row>
    <row r="4853" spans="1:5" x14ac:dyDescent="0.55000000000000004">
      <c r="A4853" t="s">
        <v>4934</v>
      </c>
      <c r="B4853" t="s">
        <v>74</v>
      </c>
      <c r="C4853" s="2">
        <v>43128</v>
      </c>
      <c r="D4853" t="s">
        <v>26</v>
      </c>
      <c r="E4853">
        <v>947</v>
      </c>
    </row>
    <row r="4854" spans="1:5" x14ac:dyDescent="0.55000000000000004">
      <c r="A4854" t="s">
        <v>4935</v>
      </c>
      <c r="B4854" t="s">
        <v>140</v>
      </c>
      <c r="C4854" s="2">
        <v>43006</v>
      </c>
      <c r="D4854" t="s">
        <v>26</v>
      </c>
      <c r="E4854">
        <v>1913</v>
      </c>
    </row>
    <row r="4855" spans="1:5" x14ac:dyDescent="0.55000000000000004">
      <c r="A4855" t="s">
        <v>4936</v>
      </c>
      <c r="B4855" t="s">
        <v>140</v>
      </c>
      <c r="C4855" s="2">
        <v>44012</v>
      </c>
      <c r="D4855" t="s">
        <v>26</v>
      </c>
      <c r="E4855">
        <v>420</v>
      </c>
    </row>
    <row r="4856" spans="1:5" x14ac:dyDescent="0.55000000000000004">
      <c r="A4856" t="s">
        <v>4937</v>
      </c>
      <c r="B4856" t="s">
        <v>38</v>
      </c>
      <c r="C4856" s="2">
        <v>44734</v>
      </c>
      <c r="D4856" t="s">
        <v>26</v>
      </c>
      <c r="E4856">
        <v>904</v>
      </c>
    </row>
    <row r="4857" spans="1:5" x14ac:dyDescent="0.55000000000000004">
      <c r="A4857" t="s">
        <v>4938</v>
      </c>
      <c r="B4857" t="s">
        <v>78</v>
      </c>
      <c r="C4857" s="2">
        <v>44344</v>
      </c>
      <c r="D4857" t="s">
        <v>26</v>
      </c>
      <c r="E4857">
        <v>1519</v>
      </c>
    </row>
    <row r="4858" spans="1:5" x14ac:dyDescent="0.55000000000000004">
      <c r="A4858" t="s">
        <v>4939</v>
      </c>
      <c r="B4858" t="s">
        <v>115</v>
      </c>
      <c r="C4858" s="2">
        <v>42991</v>
      </c>
      <c r="D4858" t="s">
        <v>29</v>
      </c>
      <c r="E4858">
        <v>47</v>
      </c>
    </row>
    <row r="4859" spans="1:5" x14ac:dyDescent="0.55000000000000004">
      <c r="A4859" t="s">
        <v>4940</v>
      </c>
      <c r="B4859" t="s">
        <v>23</v>
      </c>
      <c r="C4859" s="2">
        <v>44668</v>
      </c>
      <c r="D4859" t="s">
        <v>26</v>
      </c>
      <c r="E4859">
        <v>1148</v>
      </c>
    </row>
    <row r="4860" spans="1:5" x14ac:dyDescent="0.55000000000000004">
      <c r="A4860" t="s">
        <v>4941</v>
      </c>
      <c r="B4860" t="s">
        <v>35</v>
      </c>
      <c r="C4860" s="2">
        <v>44752</v>
      </c>
      <c r="D4860" t="s">
        <v>26</v>
      </c>
      <c r="E4860">
        <v>382</v>
      </c>
    </row>
    <row r="4861" spans="1:5" x14ac:dyDescent="0.55000000000000004">
      <c r="A4861" t="s">
        <v>4942</v>
      </c>
      <c r="B4861" t="s">
        <v>111</v>
      </c>
      <c r="C4861" s="2">
        <v>43401</v>
      </c>
      <c r="D4861" t="s">
        <v>26</v>
      </c>
      <c r="E4861">
        <v>383</v>
      </c>
    </row>
    <row r="4862" spans="1:5" x14ac:dyDescent="0.55000000000000004">
      <c r="A4862" t="s">
        <v>4943</v>
      </c>
      <c r="B4862" t="s">
        <v>137</v>
      </c>
      <c r="C4862" s="2">
        <v>44491</v>
      </c>
      <c r="D4862" t="s">
        <v>26</v>
      </c>
      <c r="E4862">
        <v>180</v>
      </c>
    </row>
    <row r="4863" spans="1:5" x14ac:dyDescent="0.55000000000000004">
      <c r="A4863" t="s">
        <v>4944</v>
      </c>
      <c r="B4863" t="s">
        <v>96</v>
      </c>
      <c r="C4863" s="2">
        <v>44600</v>
      </c>
      <c r="D4863" t="s">
        <v>26</v>
      </c>
      <c r="E4863">
        <v>2692</v>
      </c>
    </row>
    <row r="4864" spans="1:5" x14ac:dyDescent="0.55000000000000004">
      <c r="A4864" t="s">
        <v>4945</v>
      </c>
      <c r="B4864" t="s">
        <v>118</v>
      </c>
      <c r="C4864" s="2">
        <v>43492</v>
      </c>
      <c r="D4864" t="s">
        <v>29</v>
      </c>
      <c r="E4864">
        <v>886</v>
      </c>
    </row>
    <row r="4865" spans="1:5" x14ac:dyDescent="0.55000000000000004">
      <c r="A4865" t="s">
        <v>4946</v>
      </c>
      <c r="B4865" t="s">
        <v>137</v>
      </c>
      <c r="C4865" s="2">
        <v>45152</v>
      </c>
      <c r="D4865" t="s">
        <v>29</v>
      </c>
      <c r="E4865">
        <v>409</v>
      </c>
    </row>
    <row r="4866" spans="1:5" x14ac:dyDescent="0.55000000000000004">
      <c r="A4866" t="s">
        <v>4947</v>
      </c>
      <c r="B4866" t="s">
        <v>74</v>
      </c>
      <c r="C4866" s="2">
        <v>43948</v>
      </c>
      <c r="D4866" t="s">
        <v>26</v>
      </c>
      <c r="E4866">
        <v>2357</v>
      </c>
    </row>
    <row r="4867" spans="1:5" x14ac:dyDescent="0.55000000000000004">
      <c r="A4867" t="s">
        <v>4948</v>
      </c>
      <c r="B4867" t="s">
        <v>84</v>
      </c>
      <c r="C4867" s="2">
        <v>42917</v>
      </c>
      <c r="D4867" t="s">
        <v>29</v>
      </c>
      <c r="E4867">
        <v>2852</v>
      </c>
    </row>
    <row r="4868" spans="1:5" x14ac:dyDescent="0.55000000000000004">
      <c r="A4868" t="s">
        <v>4949</v>
      </c>
      <c r="B4868" t="s">
        <v>86</v>
      </c>
      <c r="C4868" s="2">
        <v>43647</v>
      </c>
      <c r="D4868" t="s">
        <v>29</v>
      </c>
      <c r="E4868">
        <v>2278</v>
      </c>
    </row>
    <row r="4869" spans="1:5" x14ac:dyDescent="0.55000000000000004">
      <c r="A4869" t="s">
        <v>4950</v>
      </c>
      <c r="B4869" t="s">
        <v>41</v>
      </c>
      <c r="C4869" s="2">
        <v>44167</v>
      </c>
      <c r="D4869" t="s">
        <v>26</v>
      </c>
      <c r="E4869">
        <v>399</v>
      </c>
    </row>
    <row r="4870" spans="1:5" x14ac:dyDescent="0.55000000000000004">
      <c r="A4870" t="s">
        <v>4951</v>
      </c>
      <c r="B4870" t="s">
        <v>35</v>
      </c>
      <c r="C4870" s="2">
        <v>43874</v>
      </c>
      <c r="D4870" t="s">
        <v>29</v>
      </c>
      <c r="E4870">
        <v>788</v>
      </c>
    </row>
    <row r="4871" spans="1:5" x14ac:dyDescent="0.55000000000000004">
      <c r="A4871" t="s">
        <v>4952</v>
      </c>
      <c r="B4871" t="s">
        <v>105</v>
      </c>
      <c r="C4871" s="2">
        <v>43238</v>
      </c>
      <c r="D4871" t="s">
        <v>26</v>
      </c>
      <c r="E4871">
        <v>185</v>
      </c>
    </row>
    <row r="4872" spans="1:5" x14ac:dyDescent="0.55000000000000004">
      <c r="A4872" t="s">
        <v>4953</v>
      </c>
      <c r="B4872" t="s">
        <v>78</v>
      </c>
      <c r="C4872" s="2">
        <v>44200</v>
      </c>
      <c r="D4872" t="s">
        <v>26</v>
      </c>
      <c r="E4872">
        <v>856</v>
      </c>
    </row>
    <row r="4873" spans="1:5" x14ac:dyDescent="0.55000000000000004">
      <c r="A4873" t="s">
        <v>4954</v>
      </c>
      <c r="B4873" t="s">
        <v>151</v>
      </c>
      <c r="C4873" s="2">
        <v>43188</v>
      </c>
      <c r="D4873" t="s">
        <v>29</v>
      </c>
      <c r="E4873">
        <v>1887</v>
      </c>
    </row>
    <row r="4874" spans="1:5" x14ac:dyDescent="0.55000000000000004">
      <c r="A4874" t="s">
        <v>4955</v>
      </c>
      <c r="B4874" t="s">
        <v>142</v>
      </c>
      <c r="C4874" s="2">
        <v>44272</v>
      </c>
      <c r="D4874" t="s">
        <v>29</v>
      </c>
      <c r="E4874">
        <v>924</v>
      </c>
    </row>
    <row r="4875" spans="1:5" x14ac:dyDescent="0.55000000000000004">
      <c r="A4875" t="s">
        <v>4956</v>
      </c>
      <c r="B4875" t="s">
        <v>32</v>
      </c>
      <c r="C4875" s="2">
        <v>44106</v>
      </c>
      <c r="D4875" t="s">
        <v>26</v>
      </c>
      <c r="E4875">
        <v>482</v>
      </c>
    </row>
    <row r="4876" spans="1:5" x14ac:dyDescent="0.55000000000000004">
      <c r="A4876" t="s">
        <v>4957</v>
      </c>
      <c r="B4876" t="s">
        <v>78</v>
      </c>
      <c r="C4876" s="2">
        <v>44302</v>
      </c>
      <c r="D4876" t="s">
        <v>29</v>
      </c>
      <c r="E4876">
        <v>2568</v>
      </c>
    </row>
    <row r="4877" spans="1:5" x14ac:dyDescent="0.55000000000000004">
      <c r="A4877" t="s">
        <v>4958</v>
      </c>
      <c r="B4877" t="s">
        <v>118</v>
      </c>
      <c r="C4877" s="2">
        <v>44693</v>
      </c>
      <c r="D4877" t="s">
        <v>29</v>
      </c>
      <c r="E4877">
        <v>630</v>
      </c>
    </row>
    <row r="4878" spans="1:5" x14ac:dyDescent="0.55000000000000004">
      <c r="A4878" t="s">
        <v>4959</v>
      </c>
      <c r="B4878" t="s">
        <v>41</v>
      </c>
      <c r="C4878" s="2">
        <v>43960</v>
      </c>
      <c r="D4878" t="s">
        <v>26</v>
      </c>
      <c r="E4878">
        <v>1940</v>
      </c>
    </row>
    <row r="4879" spans="1:5" x14ac:dyDescent="0.55000000000000004">
      <c r="A4879" t="s">
        <v>4960</v>
      </c>
      <c r="B4879" t="s">
        <v>101</v>
      </c>
      <c r="C4879" s="2">
        <v>42932</v>
      </c>
      <c r="D4879" t="s">
        <v>26</v>
      </c>
      <c r="E4879">
        <v>1534</v>
      </c>
    </row>
    <row r="4880" spans="1:5" x14ac:dyDescent="0.55000000000000004">
      <c r="A4880" t="s">
        <v>4961</v>
      </c>
      <c r="B4880" t="s">
        <v>142</v>
      </c>
      <c r="C4880" s="2">
        <v>44008</v>
      </c>
      <c r="D4880" t="s">
        <v>26</v>
      </c>
      <c r="E4880">
        <v>2803</v>
      </c>
    </row>
    <row r="4881" spans="1:5" x14ac:dyDescent="0.55000000000000004">
      <c r="A4881" t="s">
        <v>4962</v>
      </c>
      <c r="B4881" t="s">
        <v>175</v>
      </c>
      <c r="C4881" s="2">
        <v>45187</v>
      </c>
      <c r="D4881" t="s">
        <v>26</v>
      </c>
      <c r="E4881">
        <v>347</v>
      </c>
    </row>
    <row r="4882" spans="1:5" x14ac:dyDescent="0.55000000000000004">
      <c r="A4882" t="s">
        <v>4963</v>
      </c>
      <c r="B4882" t="s">
        <v>118</v>
      </c>
      <c r="C4882" s="2">
        <v>44111</v>
      </c>
      <c r="D4882" t="s">
        <v>26</v>
      </c>
      <c r="E4882">
        <v>299</v>
      </c>
    </row>
    <row r="4883" spans="1:5" x14ac:dyDescent="0.55000000000000004">
      <c r="A4883" t="s">
        <v>4964</v>
      </c>
      <c r="B4883" t="s">
        <v>72</v>
      </c>
      <c r="C4883" s="2">
        <v>43767</v>
      </c>
      <c r="D4883" t="s">
        <v>26</v>
      </c>
      <c r="E4883">
        <v>1780</v>
      </c>
    </row>
    <row r="4884" spans="1:5" x14ac:dyDescent="0.55000000000000004">
      <c r="A4884" t="s">
        <v>4965</v>
      </c>
      <c r="B4884" t="s">
        <v>63</v>
      </c>
      <c r="C4884" s="2">
        <v>44349</v>
      </c>
      <c r="D4884" t="s">
        <v>26</v>
      </c>
      <c r="E4884">
        <v>1090</v>
      </c>
    </row>
    <row r="4885" spans="1:5" x14ac:dyDescent="0.55000000000000004">
      <c r="A4885" t="s">
        <v>4966</v>
      </c>
      <c r="B4885" t="s">
        <v>41</v>
      </c>
      <c r="C4885" s="2">
        <v>44896</v>
      </c>
      <c r="D4885" t="s">
        <v>29</v>
      </c>
      <c r="E4885">
        <v>1855</v>
      </c>
    </row>
    <row r="4886" spans="1:5" x14ac:dyDescent="0.55000000000000004">
      <c r="A4886" t="s">
        <v>4967</v>
      </c>
      <c r="B4886" t="s">
        <v>105</v>
      </c>
      <c r="C4886" s="2">
        <v>44134</v>
      </c>
      <c r="D4886" t="s">
        <v>26</v>
      </c>
      <c r="E4886">
        <v>1839</v>
      </c>
    </row>
    <row r="4887" spans="1:5" x14ac:dyDescent="0.55000000000000004">
      <c r="A4887" t="s">
        <v>4968</v>
      </c>
      <c r="B4887" t="s">
        <v>140</v>
      </c>
      <c r="C4887" s="2">
        <v>43269</v>
      </c>
      <c r="D4887" t="s">
        <v>29</v>
      </c>
      <c r="E4887">
        <v>1143</v>
      </c>
    </row>
    <row r="4888" spans="1:5" x14ac:dyDescent="0.55000000000000004">
      <c r="A4888" t="s">
        <v>4969</v>
      </c>
      <c r="B4888" t="s">
        <v>111</v>
      </c>
      <c r="C4888" s="2">
        <v>43449</v>
      </c>
      <c r="D4888" t="s">
        <v>26</v>
      </c>
      <c r="E4888">
        <v>82</v>
      </c>
    </row>
    <row r="4889" spans="1:5" x14ac:dyDescent="0.55000000000000004">
      <c r="A4889" t="s">
        <v>4970</v>
      </c>
      <c r="B4889" t="s">
        <v>151</v>
      </c>
      <c r="C4889" s="2">
        <v>43748</v>
      </c>
      <c r="D4889" t="s">
        <v>29</v>
      </c>
      <c r="E4889">
        <v>1538</v>
      </c>
    </row>
    <row r="4890" spans="1:5" x14ac:dyDescent="0.55000000000000004">
      <c r="A4890" t="s">
        <v>4971</v>
      </c>
      <c r="B4890" t="s">
        <v>118</v>
      </c>
      <c r="C4890" s="2">
        <v>45659</v>
      </c>
      <c r="D4890" t="s">
        <v>29</v>
      </c>
      <c r="E4890">
        <v>372</v>
      </c>
    </row>
    <row r="4891" spans="1:5" x14ac:dyDescent="0.55000000000000004">
      <c r="A4891" t="s">
        <v>4972</v>
      </c>
      <c r="B4891" t="s">
        <v>76</v>
      </c>
      <c r="C4891" s="2">
        <v>43938</v>
      </c>
      <c r="D4891" t="s">
        <v>26</v>
      </c>
      <c r="E4891">
        <v>220</v>
      </c>
    </row>
    <row r="4892" spans="1:5" x14ac:dyDescent="0.55000000000000004">
      <c r="A4892" t="s">
        <v>4973</v>
      </c>
      <c r="B4892" t="s">
        <v>63</v>
      </c>
      <c r="C4892" s="2">
        <v>44426</v>
      </c>
      <c r="D4892" t="s">
        <v>26</v>
      </c>
      <c r="E4892">
        <v>2294</v>
      </c>
    </row>
    <row r="4893" spans="1:5" x14ac:dyDescent="0.55000000000000004">
      <c r="A4893" t="s">
        <v>4974</v>
      </c>
      <c r="B4893" t="s">
        <v>96</v>
      </c>
      <c r="C4893" s="2">
        <v>45082</v>
      </c>
      <c r="D4893" t="s">
        <v>26</v>
      </c>
      <c r="E4893">
        <v>216</v>
      </c>
    </row>
    <row r="4894" spans="1:5" x14ac:dyDescent="0.55000000000000004">
      <c r="A4894" t="s">
        <v>4975</v>
      </c>
      <c r="B4894" t="s">
        <v>67</v>
      </c>
      <c r="C4894" s="2">
        <v>44202</v>
      </c>
      <c r="D4894" t="s">
        <v>26</v>
      </c>
      <c r="E4894">
        <v>517</v>
      </c>
    </row>
    <row r="4895" spans="1:5" x14ac:dyDescent="0.55000000000000004">
      <c r="A4895" t="s">
        <v>4976</v>
      </c>
      <c r="B4895" t="s">
        <v>63</v>
      </c>
      <c r="C4895" s="2">
        <v>43020</v>
      </c>
      <c r="D4895" t="s">
        <v>26</v>
      </c>
      <c r="E4895">
        <v>989</v>
      </c>
    </row>
    <row r="4896" spans="1:5" x14ac:dyDescent="0.55000000000000004">
      <c r="A4896" t="s">
        <v>4977</v>
      </c>
      <c r="B4896" t="s">
        <v>99</v>
      </c>
      <c r="C4896" s="2">
        <v>45728</v>
      </c>
      <c r="D4896" t="s">
        <v>26</v>
      </c>
      <c r="E4896">
        <v>1389</v>
      </c>
    </row>
    <row r="4897" spans="1:5" x14ac:dyDescent="0.55000000000000004">
      <c r="A4897" t="s">
        <v>4978</v>
      </c>
      <c r="B4897" t="s">
        <v>67</v>
      </c>
      <c r="C4897" s="2">
        <v>45667</v>
      </c>
      <c r="D4897" t="s">
        <v>26</v>
      </c>
      <c r="E4897">
        <v>1063</v>
      </c>
    </row>
    <row r="4898" spans="1:5" x14ac:dyDescent="0.55000000000000004">
      <c r="A4898" t="s">
        <v>4979</v>
      </c>
      <c r="B4898" t="s">
        <v>84</v>
      </c>
      <c r="C4898" s="2">
        <v>43597</v>
      </c>
      <c r="D4898" t="s">
        <v>26</v>
      </c>
      <c r="E4898">
        <v>730</v>
      </c>
    </row>
    <row r="4899" spans="1:5" x14ac:dyDescent="0.55000000000000004">
      <c r="A4899" t="s">
        <v>4980</v>
      </c>
      <c r="B4899" t="s">
        <v>142</v>
      </c>
      <c r="C4899" s="2">
        <v>43792</v>
      </c>
      <c r="D4899" t="s">
        <v>29</v>
      </c>
      <c r="E4899">
        <v>840</v>
      </c>
    </row>
    <row r="4900" spans="1:5" x14ac:dyDescent="0.55000000000000004">
      <c r="A4900" t="s">
        <v>4981</v>
      </c>
      <c r="B4900" t="s">
        <v>72</v>
      </c>
      <c r="C4900" s="2">
        <v>44561</v>
      </c>
      <c r="D4900" t="s">
        <v>26</v>
      </c>
      <c r="E4900">
        <v>2862</v>
      </c>
    </row>
    <row r="4901" spans="1:5" x14ac:dyDescent="0.55000000000000004">
      <c r="A4901" t="s">
        <v>4982</v>
      </c>
      <c r="B4901" t="s">
        <v>35</v>
      </c>
      <c r="C4901" s="2">
        <v>44014</v>
      </c>
      <c r="D4901" t="s">
        <v>26</v>
      </c>
      <c r="E4901">
        <v>2559</v>
      </c>
    </row>
    <row r="4902" spans="1:5" x14ac:dyDescent="0.55000000000000004">
      <c r="A4902" t="s">
        <v>4983</v>
      </c>
      <c r="B4902" t="s">
        <v>15</v>
      </c>
      <c r="C4902" s="2">
        <v>43063</v>
      </c>
      <c r="D4902" t="s">
        <v>29</v>
      </c>
      <c r="E4902">
        <v>2952</v>
      </c>
    </row>
    <row r="4903" spans="1:5" x14ac:dyDescent="0.55000000000000004">
      <c r="A4903" t="s">
        <v>4984</v>
      </c>
      <c r="B4903" t="s">
        <v>35</v>
      </c>
      <c r="C4903" s="2">
        <v>43995</v>
      </c>
      <c r="D4903" t="s">
        <v>29</v>
      </c>
      <c r="E4903">
        <v>1887</v>
      </c>
    </row>
    <row r="4904" spans="1:5" x14ac:dyDescent="0.55000000000000004">
      <c r="A4904" t="s">
        <v>4985</v>
      </c>
      <c r="B4904" t="s">
        <v>105</v>
      </c>
      <c r="C4904" s="2">
        <v>44312</v>
      </c>
      <c r="D4904" t="s">
        <v>29</v>
      </c>
      <c r="E4904">
        <v>1383</v>
      </c>
    </row>
    <row r="4905" spans="1:5" x14ac:dyDescent="0.55000000000000004">
      <c r="A4905" t="s">
        <v>4986</v>
      </c>
      <c r="B4905" t="s">
        <v>14</v>
      </c>
      <c r="C4905" s="2">
        <v>42984</v>
      </c>
      <c r="D4905" t="s">
        <v>26</v>
      </c>
      <c r="E4905">
        <v>111</v>
      </c>
    </row>
    <row r="4906" spans="1:5" x14ac:dyDescent="0.55000000000000004">
      <c r="A4906" t="s">
        <v>4987</v>
      </c>
      <c r="B4906" t="s">
        <v>118</v>
      </c>
      <c r="C4906" s="2">
        <v>43565</v>
      </c>
      <c r="D4906" t="s">
        <v>26</v>
      </c>
      <c r="E4906">
        <v>342</v>
      </c>
    </row>
    <row r="4907" spans="1:5" x14ac:dyDescent="0.55000000000000004">
      <c r="A4907" t="s">
        <v>4988</v>
      </c>
      <c r="B4907" t="s">
        <v>111</v>
      </c>
      <c r="C4907" s="2">
        <v>43254</v>
      </c>
      <c r="D4907" t="s">
        <v>26</v>
      </c>
      <c r="E4907">
        <v>338</v>
      </c>
    </row>
    <row r="4908" spans="1:5" x14ac:dyDescent="0.55000000000000004">
      <c r="A4908" t="s">
        <v>4989</v>
      </c>
      <c r="B4908" t="s">
        <v>41</v>
      </c>
      <c r="C4908" s="2">
        <v>44220</v>
      </c>
      <c r="D4908" t="s">
        <v>29</v>
      </c>
      <c r="E4908">
        <v>402</v>
      </c>
    </row>
    <row r="4909" spans="1:5" x14ac:dyDescent="0.55000000000000004">
      <c r="A4909" t="s">
        <v>4990</v>
      </c>
      <c r="B4909" t="s">
        <v>15</v>
      </c>
      <c r="C4909" s="2">
        <v>44521</v>
      </c>
      <c r="D4909" t="s">
        <v>29</v>
      </c>
      <c r="E4909">
        <v>234</v>
      </c>
    </row>
    <row r="4910" spans="1:5" x14ac:dyDescent="0.55000000000000004">
      <c r="A4910" t="s">
        <v>4991</v>
      </c>
      <c r="B4910" t="s">
        <v>137</v>
      </c>
      <c r="C4910" s="2">
        <v>43571</v>
      </c>
      <c r="D4910" t="s">
        <v>26</v>
      </c>
      <c r="E4910">
        <v>1447</v>
      </c>
    </row>
    <row r="4911" spans="1:5" x14ac:dyDescent="0.55000000000000004">
      <c r="A4911" t="s">
        <v>4992</v>
      </c>
      <c r="B4911" t="s">
        <v>111</v>
      </c>
      <c r="C4911" s="2">
        <v>43693</v>
      </c>
      <c r="D4911" t="s">
        <v>26</v>
      </c>
      <c r="E4911">
        <v>2064</v>
      </c>
    </row>
    <row r="4912" spans="1:5" x14ac:dyDescent="0.55000000000000004">
      <c r="A4912" t="s">
        <v>4993</v>
      </c>
      <c r="B4912" t="s">
        <v>35</v>
      </c>
      <c r="C4912" s="2">
        <v>44424</v>
      </c>
      <c r="D4912" t="s">
        <v>29</v>
      </c>
      <c r="E4912">
        <v>1068</v>
      </c>
    </row>
    <row r="4913" spans="1:5" x14ac:dyDescent="0.55000000000000004">
      <c r="A4913" t="s">
        <v>4994</v>
      </c>
      <c r="B4913" t="s">
        <v>105</v>
      </c>
      <c r="C4913" s="2">
        <v>43091</v>
      </c>
      <c r="D4913" t="s">
        <v>26</v>
      </c>
      <c r="E4913">
        <v>2459</v>
      </c>
    </row>
    <row r="4914" spans="1:5" x14ac:dyDescent="0.55000000000000004">
      <c r="A4914" t="s">
        <v>4995</v>
      </c>
      <c r="B4914" t="s">
        <v>38</v>
      </c>
      <c r="C4914" s="2">
        <v>44807</v>
      </c>
      <c r="D4914" t="s">
        <v>29</v>
      </c>
      <c r="E4914">
        <v>2011</v>
      </c>
    </row>
    <row r="4915" spans="1:5" x14ac:dyDescent="0.55000000000000004">
      <c r="A4915" t="s">
        <v>4996</v>
      </c>
      <c r="B4915" t="s">
        <v>67</v>
      </c>
      <c r="C4915" s="2">
        <v>43779</v>
      </c>
      <c r="D4915" t="s">
        <v>26</v>
      </c>
      <c r="E4915">
        <v>719</v>
      </c>
    </row>
    <row r="4916" spans="1:5" x14ac:dyDescent="0.55000000000000004">
      <c r="A4916" t="s">
        <v>4997</v>
      </c>
      <c r="B4916" t="s">
        <v>175</v>
      </c>
      <c r="C4916" s="2">
        <v>44649</v>
      </c>
      <c r="D4916" t="s">
        <v>26</v>
      </c>
      <c r="E4916">
        <v>1286</v>
      </c>
    </row>
    <row r="4917" spans="1:5" x14ac:dyDescent="0.55000000000000004">
      <c r="A4917" t="s">
        <v>4998</v>
      </c>
      <c r="B4917" t="s">
        <v>101</v>
      </c>
      <c r="C4917" s="2">
        <v>43877</v>
      </c>
      <c r="D4917" t="s">
        <v>26</v>
      </c>
      <c r="E4917">
        <v>2077</v>
      </c>
    </row>
    <row r="4918" spans="1:5" x14ac:dyDescent="0.55000000000000004">
      <c r="A4918" t="s">
        <v>4999</v>
      </c>
      <c r="B4918" t="s">
        <v>140</v>
      </c>
      <c r="C4918" s="2">
        <v>43874</v>
      </c>
      <c r="D4918" t="s">
        <v>26</v>
      </c>
      <c r="E4918">
        <v>180</v>
      </c>
    </row>
    <row r="4919" spans="1:5" x14ac:dyDescent="0.55000000000000004">
      <c r="A4919" t="s">
        <v>5000</v>
      </c>
      <c r="B4919" t="s">
        <v>32</v>
      </c>
      <c r="C4919" s="2">
        <v>43931</v>
      </c>
      <c r="D4919" t="s">
        <v>26</v>
      </c>
      <c r="E4919">
        <v>2711</v>
      </c>
    </row>
    <row r="4920" spans="1:5" x14ac:dyDescent="0.55000000000000004">
      <c r="A4920" t="s">
        <v>5001</v>
      </c>
      <c r="B4920" t="s">
        <v>84</v>
      </c>
      <c r="C4920" s="2">
        <v>43420</v>
      </c>
      <c r="D4920" t="s">
        <v>29</v>
      </c>
      <c r="E4920">
        <v>1414</v>
      </c>
    </row>
    <row r="4921" spans="1:5" x14ac:dyDescent="0.55000000000000004">
      <c r="A4921" t="s">
        <v>5002</v>
      </c>
      <c r="B4921" t="s">
        <v>35</v>
      </c>
      <c r="C4921" s="2">
        <v>44530</v>
      </c>
      <c r="D4921" t="s">
        <v>26</v>
      </c>
      <c r="E4921">
        <v>1480</v>
      </c>
    </row>
    <row r="4922" spans="1:5" x14ac:dyDescent="0.55000000000000004">
      <c r="A4922" t="s">
        <v>5003</v>
      </c>
      <c r="B4922" t="s">
        <v>78</v>
      </c>
      <c r="C4922" s="2">
        <v>45579</v>
      </c>
      <c r="D4922" t="s">
        <v>29</v>
      </c>
      <c r="E4922">
        <v>2171</v>
      </c>
    </row>
    <row r="4923" spans="1:5" x14ac:dyDescent="0.55000000000000004">
      <c r="A4923" t="s">
        <v>5004</v>
      </c>
      <c r="B4923" t="s">
        <v>72</v>
      </c>
      <c r="C4923" s="2">
        <v>43746</v>
      </c>
      <c r="D4923" t="s">
        <v>29</v>
      </c>
      <c r="E4923">
        <v>2306</v>
      </c>
    </row>
    <row r="4924" spans="1:5" x14ac:dyDescent="0.55000000000000004">
      <c r="A4924" t="s">
        <v>5005</v>
      </c>
      <c r="B4924" t="s">
        <v>115</v>
      </c>
      <c r="C4924" s="2">
        <v>43399</v>
      </c>
      <c r="D4924" t="s">
        <v>29</v>
      </c>
      <c r="E4924">
        <v>611</v>
      </c>
    </row>
    <row r="4925" spans="1:5" x14ac:dyDescent="0.55000000000000004">
      <c r="A4925" t="s">
        <v>5006</v>
      </c>
      <c r="B4925" t="s">
        <v>137</v>
      </c>
      <c r="C4925" s="2">
        <v>44569</v>
      </c>
      <c r="D4925" t="s">
        <v>26</v>
      </c>
      <c r="E4925">
        <v>1317</v>
      </c>
    </row>
    <row r="4926" spans="1:5" x14ac:dyDescent="0.55000000000000004">
      <c r="A4926" t="s">
        <v>5007</v>
      </c>
      <c r="B4926" t="s">
        <v>86</v>
      </c>
      <c r="C4926" s="2">
        <v>44271</v>
      </c>
      <c r="D4926" t="s">
        <v>26</v>
      </c>
      <c r="E4926">
        <v>1499</v>
      </c>
    </row>
    <row r="4927" spans="1:5" x14ac:dyDescent="0.55000000000000004">
      <c r="A4927" t="s">
        <v>5008</v>
      </c>
      <c r="B4927" t="s">
        <v>156</v>
      </c>
      <c r="C4927" s="2">
        <v>43265</v>
      </c>
      <c r="D4927" t="s">
        <v>29</v>
      </c>
      <c r="E4927">
        <v>2988</v>
      </c>
    </row>
    <row r="4928" spans="1:5" x14ac:dyDescent="0.55000000000000004">
      <c r="A4928" t="s">
        <v>5009</v>
      </c>
      <c r="B4928" t="s">
        <v>142</v>
      </c>
      <c r="C4928" s="2">
        <v>44048</v>
      </c>
      <c r="D4928" t="s">
        <v>26</v>
      </c>
      <c r="E4928">
        <v>2560</v>
      </c>
    </row>
    <row r="4929" spans="1:5" x14ac:dyDescent="0.55000000000000004">
      <c r="A4929" t="s">
        <v>5010</v>
      </c>
      <c r="B4929" t="s">
        <v>96</v>
      </c>
      <c r="C4929" s="2">
        <v>43683</v>
      </c>
      <c r="D4929" t="s">
        <v>29</v>
      </c>
      <c r="E4929">
        <v>851</v>
      </c>
    </row>
    <row r="4930" spans="1:5" x14ac:dyDescent="0.55000000000000004">
      <c r="A4930" t="s">
        <v>5011</v>
      </c>
      <c r="B4930" t="s">
        <v>63</v>
      </c>
      <c r="C4930" s="2">
        <v>43757</v>
      </c>
      <c r="D4930" t="s">
        <v>29</v>
      </c>
      <c r="E4930">
        <v>2531</v>
      </c>
    </row>
    <row r="4931" spans="1:5" x14ac:dyDescent="0.55000000000000004">
      <c r="A4931" t="s">
        <v>5012</v>
      </c>
      <c r="B4931" t="s">
        <v>86</v>
      </c>
      <c r="C4931" s="2">
        <v>44527</v>
      </c>
      <c r="D4931" t="s">
        <v>26</v>
      </c>
      <c r="E4931">
        <v>2557</v>
      </c>
    </row>
    <row r="4932" spans="1:5" x14ac:dyDescent="0.55000000000000004">
      <c r="A4932" t="s">
        <v>5013</v>
      </c>
      <c r="B4932" t="s">
        <v>118</v>
      </c>
      <c r="C4932" s="2">
        <v>45619</v>
      </c>
      <c r="D4932" t="s">
        <v>26</v>
      </c>
      <c r="E4932">
        <v>515</v>
      </c>
    </row>
    <row r="4933" spans="1:5" x14ac:dyDescent="0.55000000000000004">
      <c r="A4933" t="s">
        <v>5014</v>
      </c>
      <c r="B4933" t="s">
        <v>74</v>
      </c>
      <c r="C4933" s="2">
        <v>43041</v>
      </c>
      <c r="D4933" t="s">
        <v>29</v>
      </c>
      <c r="E4933">
        <v>192</v>
      </c>
    </row>
    <row r="4934" spans="1:5" x14ac:dyDescent="0.55000000000000004">
      <c r="A4934" t="s">
        <v>5015</v>
      </c>
      <c r="B4934" t="s">
        <v>115</v>
      </c>
      <c r="C4934" s="2">
        <v>43719</v>
      </c>
      <c r="D4934" t="s">
        <v>29</v>
      </c>
      <c r="E4934">
        <v>2165</v>
      </c>
    </row>
    <row r="4935" spans="1:5" x14ac:dyDescent="0.55000000000000004">
      <c r="A4935" t="s">
        <v>5016</v>
      </c>
      <c r="B4935" t="s">
        <v>115</v>
      </c>
      <c r="C4935" s="2">
        <v>44055</v>
      </c>
      <c r="D4935" t="s">
        <v>26</v>
      </c>
      <c r="E4935">
        <v>1071</v>
      </c>
    </row>
    <row r="4936" spans="1:5" x14ac:dyDescent="0.55000000000000004">
      <c r="A4936" t="s">
        <v>5017</v>
      </c>
      <c r="B4936" t="s">
        <v>35</v>
      </c>
      <c r="C4936" s="2">
        <v>44360</v>
      </c>
      <c r="D4936" t="s">
        <v>26</v>
      </c>
      <c r="E4936">
        <v>2242</v>
      </c>
    </row>
    <row r="4937" spans="1:5" x14ac:dyDescent="0.55000000000000004">
      <c r="A4937" t="s">
        <v>5018</v>
      </c>
      <c r="B4937" t="s">
        <v>96</v>
      </c>
      <c r="C4937" s="2">
        <v>45507</v>
      </c>
      <c r="D4937" t="s">
        <v>26</v>
      </c>
      <c r="E4937">
        <v>2112</v>
      </c>
    </row>
    <row r="4938" spans="1:5" x14ac:dyDescent="0.55000000000000004">
      <c r="A4938" t="s">
        <v>5019</v>
      </c>
      <c r="B4938" t="s">
        <v>151</v>
      </c>
      <c r="C4938" s="2">
        <v>43691</v>
      </c>
      <c r="D4938" t="s">
        <v>26</v>
      </c>
      <c r="E4938">
        <v>2164</v>
      </c>
    </row>
    <row r="4939" spans="1:5" x14ac:dyDescent="0.55000000000000004">
      <c r="A4939" t="s">
        <v>5020</v>
      </c>
      <c r="B4939" t="s">
        <v>35</v>
      </c>
      <c r="C4939" s="2">
        <v>43962</v>
      </c>
      <c r="D4939" t="s">
        <v>29</v>
      </c>
      <c r="E4939">
        <v>1096</v>
      </c>
    </row>
    <row r="4940" spans="1:5" x14ac:dyDescent="0.55000000000000004">
      <c r="A4940" t="s">
        <v>5021</v>
      </c>
      <c r="B4940" t="s">
        <v>63</v>
      </c>
      <c r="C4940" s="2">
        <v>43234</v>
      </c>
      <c r="D4940" t="s">
        <v>26</v>
      </c>
      <c r="E4940">
        <v>579</v>
      </c>
    </row>
    <row r="4941" spans="1:5" x14ac:dyDescent="0.55000000000000004">
      <c r="A4941" t="s">
        <v>5022</v>
      </c>
      <c r="B4941" t="s">
        <v>41</v>
      </c>
      <c r="C4941" s="2">
        <v>44650</v>
      </c>
      <c r="D4941" t="s">
        <v>29</v>
      </c>
      <c r="E4941">
        <v>2973</v>
      </c>
    </row>
    <row r="4942" spans="1:5" x14ac:dyDescent="0.55000000000000004">
      <c r="A4942" t="s">
        <v>5023</v>
      </c>
      <c r="B4942" t="s">
        <v>105</v>
      </c>
      <c r="C4942" s="2">
        <v>43985</v>
      </c>
      <c r="D4942" t="s">
        <v>29</v>
      </c>
      <c r="E4942">
        <v>1669</v>
      </c>
    </row>
    <row r="4943" spans="1:5" x14ac:dyDescent="0.55000000000000004">
      <c r="A4943" t="s">
        <v>5024</v>
      </c>
      <c r="B4943" t="s">
        <v>156</v>
      </c>
      <c r="C4943" s="2">
        <v>43241</v>
      </c>
      <c r="D4943" t="s">
        <v>26</v>
      </c>
      <c r="E4943">
        <v>994</v>
      </c>
    </row>
    <row r="4944" spans="1:5" x14ac:dyDescent="0.55000000000000004">
      <c r="A4944" t="s">
        <v>5025</v>
      </c>
      <c r="B4944" t="s">
        <v>94</v>
      </c>
      <c r="C4944" s="2">
        <v>45185</v>
      </c>
      <c r="D4944" t="s">
        <v>26</v>
      </c>
      <c r="E4944">
        <v>1508</v>
      </c>
    </row>
    <row r="4945" spans="1:5" x14ac:dyDescent="0.55000000000000004">
      <c r="A4945" t="s">
        <v>5026</v>
      </c>
      <c r="B4945" t="s">
        <v>78</v>
      </c>
      <c r="C4945" s="2">
        <v>45630</v>
      </c>
      <c r="D4945" t="s">
        <v>29</v>
      </c>
      <c r="E4945">
        <v>876</v>
      </c>
    </row>
    <row r="4946" spans="1:5" x14ac:dyDescent="0.55000000000000004">
      <c r="A4946" t="s">
        <v>5027</v>
      </c>
      <c r="B4946" t="s">
        <v>115</v>
      </c>
      <c r="C4946" s="2">
        <v>43551</v>
      </c>
      <c r="D4946" t="s">
        <v>29</v>
      </c>
      <c r="E4946">
        <v>336</v>
      </c>
    </row>
    <row r="4947" spans="1:5" x14ac:dyDescent="0.55000000000000004">
      <c r="A4947" t="s">
        <v>5028</v>
      </c>
      <c r="B4947" t="s">
        <v>15</v>
      </c>
      <c r="C4947" s="2">
        <v>43000</v>
      </c>
      <c r="D4947" t="s">
        <v>29</v>
      </c>
      <c r="E4947">
        <v>1194</v>
      </c>
    </row>
    <row r="4948" spans="1:5" x14ac:dyDescent="0.55000000000000004">
      <c r="A4948" t="s">
        <v>5029</v>
      </c>
      <c r="B4948" t="s">
        <v>35</v>
      </c>
      <c r="C4948" s="2">
        <v>44629</v>
      </c>
      <c r="D4948" t="s">
        <v>26</v>
      </c>
      <c r="E4948">
        <v>1452</v>
      </c>
    </row>
    <row r="4949" spans="1:5" x14ac:dyDescent="0.55000000000000004">
      <c r="A4949" t="s">
        <v>5030</v>
      </c>
      <c r="B4949" t="s">
        <v>118</v>
      </c>
      <c r="C4949" s="2">
        <v>44996</v>
      </c>
      <c r="D4949" t="s">
        <v>29</v>
      </c>
      <c r="E4949">
        <v>173</v>
      </c>
    </row>
    <row r="4950" spans="1:5" x14ac:dyDescent="0.55000000000000004">
      <c r="A4950" t="s">
        <v>5031</v>
      </c>
      <c r="B4950" t="s">
        <v>105</v>
      </c>
      <c r="C4950" s="2">
        <v>43742</v>
      </c>
      <c r="D4950" t="s">
        <v>26</v>
      </c>
      <c r="E4950">
        <v>2953</v>
      </c>
    </row>
    <row r="4951" spans="1:5" x14ac:dyDescent="0.55000000000000004">
      <c r="A4951" t="s">
        <v>5032</v>
      </c>
      <c r="B4951" t="s">
        <v>38</v>
      </c>
      <c r="C4951" s="2">
        <v>44586</v>
      </c>
      <c r="D4951" t="s">
        <v>29</v>
      </c>
      <c r="E4951">
        <v>2226</v>
      </c>
    </row>
    <row r="4952" spans="1:5" x14ac:dyDescent="0.55000000000000004">
      <c r="A4952" t="s">
        <v>5033</v>
      </c>
      <c r="B4952" t="s">
        <v>38</v>
      </c>
      <c r="C4952" s="2">
        <v>44213</v>
      </c>
      <c r="D4952" t="s">
        <v>29</v>
      </c>
      <c r="E4952">
        <v>785</v>
      </c>
    </row>
    <row r="4953" spans="1:5" x14ac:dyDescent="0.55000000000000004">
      <c r="A4953" t="s">
        <v>5034</v>
      </c>
      <c r="B4953" t="s">
        <v>76</v>
      </c>
      <c r="C4953" s="2">
        <v>43561</v>
      </c>
      <c r="D4953" t="s">
        <v>26</v>
      </c>
      <c r="E4953">
        <v>1924</v>
      </c>
    </row>
    <row r="4954" spans="1:5" x14ac:dyDescent="0.55000000000000004">
      <c r="A4954" t="s">
        <v>5035</v>
      </c>
      <c r="B4954" t="s">
        <v>101</v>
      </c>
      <c r="C4954" s="2">
        <v>43547</v>
      </c>
      <c r="D4954" t="s">
        <v>29</v>
      </c>
      <c r="E4954">
        <v>1146</v>
      </c>
    </row>
    <row r="4955" spans="1:5" x14ac:dyDescent="0.55000000000000004">
      <c r="A4955" t="s">
        <v>5036</v>
      </c>
      <c r="B4955" t="s">
        <v>76</v>
      </c>
      <c r="C4955" s="2">
        <v>44656</v>
      </c>
      <c r="D4955" t="s">
        <v>26</v>
      </c>
      <c r="E4955">
        <v>925</v>
      </c>
    </row>
    <row r="4956" spans="1:5" x14ac:dyDescent="0.55000000000000004">
      <c r="A4956" t="s">
        <v>5037</v>
      </c>
      <c r="B4956" t="s">
        <v>78</v>
      </c>
      <c r="C4956" s="2">
        <v>43912</v>
      </c>
      <c r="D4956" t="s">
        <v>29</v>
      </c>
      <c r="E4956">
        <v>988</v>
      </c>
    </row>
    <row r="4957" spans="1:5" x14ac:dyDescent="0.55000000000000004">
      <c r="A4957" t="s">
        <v>5038</v>
      </c>
      <c r="B4957" t="s">
        <v>99</v>
      </c>
      <c r="C4957" s="2">
        <v>45517</v>
      </c>
      <c r="D4957" t="s">
        <v>26</v>
      </c>
      <c r="E4957">
        <v>1128</v>
      </c>
    </row>
    <row r="4958" spans="1:5" x14ac:dyDescent="0.55000000000000004">
      <c r="A4958" t="s">
        <v>5039</v>
      </c>
      <c r="B4958" t="s">
        <v>111</v>
      </c>
      <c r="C4958" s="2">
        <v>44402</v>
      </c>
      <c r="D4958" t="s">
        <v>26</v>
      </c>
      <c r="E4958">
        <v>1907</v>
      </c>
    </row>
    <row r="4959" spans="1:5" x14ac:dyDescent="0.55000000000000004">
      <c r="A4959" t="s">
        <v>5040</v>
      </c>
      <c r="B4959" t="s">
        <v>32</v>
      </c>
      <c r="C4959" s="2">
        <v>43957</v>
      </c>
      <c r="D4959" t="s">
        <v>29</v>
      </c>
      <c r="E4959">
        <v>153</v>
      </c>
    </row>
    <row r="4960" spans="1:5" x14ac:dyDescent="0.55000000000000004">
      <c r="A4960" t="s">
        <v>5041</v>
      </c>
      <c r="B4960" t="s">
        <v>156</v>
      </c>
      <c r="C4960" s="2">
        <v>44323</v>
      </c>
      <c r="D4960" t="s">
        <v>26</v>
      </c>
      <c r="E4960">
        <v>1193</v>
      </c>
    </row>
    <row r="4961" spans="1:5" x14ac:dyDescent="0.55000000000000004">
      <c r="A4961" t="s">
        <v>5042</v>
      </c>
      <c r="B4961" t="s">
        <v>63</v>
      </c>
      <c r="C4961" s="2">
        <v>43336</v>
      </c>
      <c r="D4961" t="s">
        <v>26</v>
      </c>
      <c r="E4961">
        <v>855</v>
      </c>
    </row>
    <row r="4962" spans="1:5" x14ac:dyDescent="0.55000000000000004">
      <c r="A4962" t="s">
        <v>5043</v>
      </c>
      <c r="B4962" t="s">
        <v>118</v>
      </c>
      <c r="C4962" s="2">
        <v>44920</v>
      </c>
      <c r="D4962" t="s">
        <v>26</v>
      </c>
      <c r="E4962">
        <v>2155</v>
      </c>
    </row>
    <row r="4963" spans="1:5" x14ac:dyDescent="0.55000000000000004">
      <c r="A4963" t="s">
        <v>5044</v>
      </c>
      <c r="B4963" t="s">
        <v>84</v>
      </c>
      <c r="C4963" s="2">
        <v>44119</v>
      </c>
      <c r="D4963" t="s">
        <v>29</v>
      </c>
      <c r="E4963">
        <v>2903</v>
      </c>
    </row>
    <row r="4964" spans="1:5" x14ac:dyDescent="0.55000000000000004">
      <c r="A4964" t="s">
        <v>5045</v>
      </c>
      <c r="B4964" t="s">
        <v>115</v>
      </c>
      <c r="C4964" s="2">
        <v>43725</v>
      </c>
      <c r="D4964" t="s">
        <v>26</v>
      </c>
      <c r="E4964">
        <v>579</v>
      </c>
    </row>
    <row r="4965" spans="1:5" x14ac:dyDescent="0.55000000000000004">
      <c r="A4965" t="s">
        <v>5046</v>
      </c>
      <c r="B4965" t="s">
        <v>137</v>
      </c>
      <c r="C4965" s="2">
        <v>43884</v>
      </c>
      <c r="D4965" t="s">
        <v>26</v>
      </c>
      <c r="E4965">
        <v>387</v>
      </c>
    </row>
    <row r="4966" spans="1:5" x14ac:dyDescent="0.55000000000000004">
      <c r="A4966" t="s">
        <v>5047</v>
      </c>
      <c r="B4966" t="s">
        <v>41</v>
      </c>
      <c r="C4966" s="2">
        <v>44762</v>
      </c>
      <c r="D4966" t="s">
        <v>29</v>
      </c>
      <c r="E4966">
        <v>2954</v>
      </c>
    </row>
    <row r="4967" spans="1:5" x14ac:dyDescent="0.55000000000000004">
      <c r="A4967" t="s">
        <v>5048</v>
      </c>
      <c r="B4967" t="s">
        <v>94</v>
      </c>
      <c r="C4967" s="2">
        <v>43972</v>
      </c>
      <c r="D4967" t="s">
        <v>26</v>
      </c>
      <c r="E4967">
        <v>2484</v>
      </c>
    </row>
    <row r="4968" spans="1:5" x14ac:dyDescent="0.55000000000000004">
      <c r="A4968" t="s">
        <v>5049</v>
      </c>
      <c r="B4968" t="s">
        <v>151</v>
      </c>
      <c r="C4968" s="2">
        <v>43410</v>
      </c>
      <c r="D4968" t="s">
        <v>26</v>
      </c>
      <c r="E4968">
        <v>2584</v>
      </c>
    </row>
    <row r="4969" spans="1:5" x14ac:dyDescent="0.55000000000000004">
      <c r="A4969" t="s">
        <v>5050</v>
      </c>
      <c r="B4969" t="s">
        <v>38</v>
      </c>
      <c r="C4969" s="2">
        <v>44236</v>
      </c>
      <c r="D4969" t="s">
        <v>29</v>
      </c>
      <c r="E4969">
        <v>887</v>
      </c>
    </row>
    <row r="4970" spans="1:5" x14ac:dyDescent="0.55000000000000004">
      <c r="A4970" t="s">
        <v>5051</v>
      </c>
      <c r="B4970" t="s">
        <v>72</v>
      </c>
      <c r="C4970" s="2">
        <v>43746</v>
      </c>
      <c r="D4970" t="s">
        <v>29</v>
      </c>
      <c r="E4970">
        <v>924</v>
      </c>
    </row>
    <row r="4971" spans="1:5" x14ac:dyDescent="0.55000000000000004">
      <c r="A4971" t="s">
        <v>5052</v>
      </c>
      <c r="B4971" t="s">
        <v>142</v>
      </c>
      <c r="C4971" s="2">
        <v>43749</v>
      </c>
      <c r="D4971" t="s">
        <v>26</v>
      </c>
      <c r="E4971">
        <v>2962</v>
      </c>
    </row>
    <row r="4972" spans="1:5" x14ac:dyDescent="0.55000000000000004">
      <c r="A4972" t="s">
        <v>5053</v>
      </c>
      <c r="B4972" t="s">
        <v>74</v>
      </c>
      <c r="C4972" s="2">
        <v>43088</v>
      </c>
      <c r="D4972" t="s">
        <v>29</v>
      </c>
      <c r="E4972">
        <v>1341</v>
      </c>
    </row>
    <row r="4973" spans="1:5" x14ac:dyDescent="0.55000000000000004">
      <c r="A4973" t="s">
        <v>5054</v>
      </c>
      <c r="B4973" t="s">
        <v>101</v>
      </c>
      <c r="C4973" s="2">
        <v>43112</v>
      </c>
      <c r="D4973" t="s">
        <v>29</v>
      </c>
      <c r="E4973">
        <v>2050</v>
      </c>
    </row>
    <row r="4974" spans="1:5" x14ac:dyDescent="0.55000000000000004">
      <c r="A4974" t="s">
        <v>5055</v>
      </c>
      <c r="B4974" t="s">
        <v>76</v>
      </c>
      <c r="C4974" s="2">
        <v>45133</v>
      </c>
      <c r="D4974" t="s">
        <v>26</v>
      </c>
      <c r="E4974">
        <v>43</v>
      </c>
    </row>
    <row r="4975" spans="1:5" x14ac:dyDescent="0.55000000000000004">
      <c r="A4975" t="s">
        <v>5056</v>
      </c>
      <c r="B4975" t="s">
        <v>105</v>
      </c>
      <c r="C4975" s="2">
        <v>43344</v>
      </c>
      <c r="D4975" t="s">
        <v>26</v>
      </c>
      <c r="E4975">
        <v>120</v>
      </c>
    </row>
    <row r="4976" spans="1:5" x14ac:dyDescent="0.55000000000000004">
      <c r="A4976" t="s">
        <v>5057</v>
      </c>
      <c r="B4976" t="s">
        <v>23</v>
      </c>
      <c r="C4976" s="2">
        <v>44049</v>
      </c>
      <c r="D4976" t="s">
        <v>29</v>
      </c>
      <c r="E4976">
        <v>1699</v>
      </c>
    </row>
    <row r="4977" spans="1:5" x14ac:dyDescent="0.55000000000000004">
      <c r="A4977" t="s">
        <v>5058</v>
      </c>
      <c r="B4977" t="s">
        <v>115</v>
      </c>
      <c r="C4977" s="2">
        <v>44042</v>
      </c>
      <c r="D4977" t="s">
        <v>26</v>
      </c>
      <c r="E4977">
        <v>2446</v>
      </c>
    </row>
    <row r="4978" spans="1:5" x14ac:dyDescent="0.55000000000000004">
      <c r="A4978" t="s">
        <v>5059</v>
      </c>
      <c r="B4978" t="s">
        <v>67</v>
      </c>
      <c r="C4978" s="2">
        <v>43519</v>
      </c>
      <c r="D4978" t="s">
        <v>26</v>
      </c>
      <c r="E4978">
        <v>2819</v>
      </c>
    </row>
    <row r="4979" spans="1:5" x14ac:dyDescent="0.55000000000000004">
      <c r="A4979" t="s">
        <v>5060</v>
      </c>
      <c r="B4979" t="s">
        <v>101</v>
      </c>
      <c r="C4979" s="2">
        <v>43600</v>
      </c>
      <c r="D4979" t="s">
        <v>29</v>
      </c>
      <c r="E4979">
        <v>2608</v>
      </c>
    </row>
    <row r="4980" spans="1:5" x14ac:dyDescent="0.55000000000000004">
      <c r="A4980" t="s">
        <v>5061</v>
      </c>
      <c r="B4980" t="s">
        <v>41</v>
      </c>
      <c r="C4980" s="2">
        <v>44849</v>
      </c>
      <c r="D4980" t="s">
        <v>29</v>
      </c>
      <c r="E4980">
        <v>2987</v>
      </c>
    </row>
    <row r="4981" spans="1:5" x14ac:dyDescent="0.55000000000000004">
      <c r="A4981" t="s">
        <v>5062</v>
      </c>
      <c r="B4981" t="s">
        <v>156</v>
      </c>
      <c r="C4981" s="2">
        <v>44137</v>
      </c>
      <c r="D4981" t="s">
        <v>26</v>
      </c>
      <c r="E4981">
        <v>2968</v>
      </c>
    </row>
    <row r="4982" spans="1:5" x14ac:dyDescent="0.55000000000000004">
      <c r="A4982" t="s">
        <v>5063</v>
      </c>
      <c r="B4982" t="s">
        <v>140</v>
      </c>
      <c r="C4982" s="2">
        <v>42923</v>
      </c>
      <c r="D4982" t="s">
        <v>26</v>
      </c>
      <c r="E4982">
        <v>1604</v>
      </c>
    </row>
    <row r="4983" spans="1:5" x14ac:dyDescent="0.55000000000000004">
      <c r="A4983" t="s">
        <v>5064</v>
      </c>
      <c r="B4983" t="s">
        <v>86</v>
      </c>
      <c r="C4983" s="2">
        <v>44165</v>
      </c>
      <c r="D4983" t="s">
        <v>29</v>
      </c>
      <c r="E4983">
        <v>548</v>
      </c>
    </row>
    <row r="4984" spans="1:5" x14ac:dyDescent="0.55000000000000004">
      <c r="A4984" t="s">
        <v>5065</v>
      </c>
      <c r="B4984" t="s">
        <v>94</v>
      </c>
      <c r="C4984" s="2">
        <v>43703</v>
      </c>
      <c r="D4984" t="s">
        <v>26</v>
      </c>
      <c r="E4984">
        <v>1274</v>
      </c>
    </row>
    <row r="4985" spans="1:5" x14ac:dyDescent="0.55000000000000004">
      <c r="A4985" t="s">
        <v>5066</v>
      </c>
      <c r="B4985" t="s">
        <v>32</v>
      </c>
      <c r="C4985" s="2">
        <v>43976</v>
      </c>
      <c r="D4985" t="s">
        <v>26</v>
      </c>
      <c r="E4985">
        <v>2154</v>
      </c>
    </row>
    <row r="4986" spans="1:5" x14ac:dyDescent="0.55000000000000004">
      <c r="A4986" t="s">
        <v>5067</v>
      </c>
      <c r="B4986" t="s">
        <v>35</v>
      </c>
      <c r="C4986" s="2">
        <v>44418</v>
      </c>
      <c r="D4986" t="s">
        <v>26</v>
      </c>
      <c r="E4986">
        <v>2208</v>
      </c>
    </row>
    <row r="4987" spans="1:5" x14ac:dyDescent="0.55000000000000004">
      <c r="A4987" t="s">
        <v>5068</v>
      </c>
      <c r="B4987" t="s">
        <v>156</v>
      </c>
      <c r="C4987" s="2">
        <v>43379</v>
      </c>
      <c r="D4987" t="s">
        <v>26</v>
      </c>
      <c r="E4987">
        <v>1626</v>
      </c>
    </row>
    <row r="4988" spans="1:5" x14ac:dyDescent="0.55000000000000004">
      <c r="A4988" t="s">
        <v>5069</v>
      </c>
      <c r="B4988" t="s">
        <v>67</v>
      </c>
      <c r="C4988" s="2">
        <v>45421</v>
      </c>
      <c r="D4988" t="s">
        <v>29</v>
      </c>
      <c r="E4988">
        <v>108</v>
      </c>
    </row>
    <row r="4989" spans="1:5" x14ac:dyDescent="0.55000000000000004">
      <c r="A4989" t="s">
        <v>5070</v>
      </c>
      <c r="B4989" t="s">
        <v>23</v>
      </c>
      <c r="C4989" s="2">
        <v>44116</v>
      </c>
      <c r="D4989" t="s">
        <v>29</v>
      </c>
      <c r="E4989">
        <v>797</v>
      </c>
    </row>
    <row r="4990" spans="1:5" x14ac:dyDescent="0.55000000000000004">
      <c r="A4990" t="s">
        <v>5071</v>
      </c>
      <c r="B4990" t="s">
        <v>105</v>
      </c>
      <c r="C4990" s="2">
        <v>44397</v>
      </c>
      <c r="D4990" t="s">
        <v>26</v>
      </c>
      <c r="E4990">
        <v>883</v>
      </c>
    </row>
    <row r="4991" spans="1:5" x14ac:dyDescent="0.55000000000000004">
      <c r="A4991" t="s">
        <v>5072</v>
      </c>
      <c r="B4991" t="s">
        <v>32</v>
      </c>
      <c r="C4991" s="2">
        <v>44866</v>
      </c>
      <c r="D4991" t="s">
        <v>26</v>
      </c>
      <c r="E4991">
        <v>301</v>
      </c>
    </row>
    <row r="4992" spans="1:5" x14ac:dyDescent="0.55000000000000004">
      <c r="A4992" t="s">
        <v>5073</v>
      </c>
      <c r="B4992" t="s">
        <v>63</v>
      </c>
      <c r="C4992" s="2">
        <v>43841</v>
      </c>
      <c r="D4992" t="s">
        <v>29</v>
      </c>
      <c r="E4992">
        <v>1372</v>
      </c>
    </row>
    <row r="4993" spans="1:5" x14ac:dyDescent="0.55000000000000004">
      <c r="A4993" t="s">
        <v>5074</v>
      </c>
      <c r="B4993" t="s">
        <v>111</v>
      </c>
      <c r="C4993" s="2">
        <v>43773</v>
      </c>
      <c r="D4993" t="s">
        <v>26</v>
      </c>
      <c r="E4993">
        <v>377</v>
      </c>
    </row>
    <row r="4994" spans="1:5" x14ac:dyDescent="0.55000000000000004">
      <c r="A4994" t="s">
        <v>5075</v>
      </c>
      <c r="B4994" t="s">
        <v>84</v>
      </c>
      <c r="C4994" s="2">
        <v>42991</v>
      </c>
      <c r="D4994" t="s">
        <v>29</v>
      </c>
      <c r="E4994">
        <v>532</v>
      </c>
    </row>
    <row r="4995" spans="1:5" x14ac:dyDescent="0.55000000000000004">
      <c r="A4995" t="s">
        <v>5076</v>
      </c>
      <c r="B4995" t="s">
        <v>67</v>
      </c>
      <c r="C4995" s="2">
        <v>45661</v>
      </c>
      <c r="D4995" t="s">
        <v>29</v>
      </c>
      <c r="E4995">
        <v>175</v>
      </c>
    </row>
    <row r="4996" spans="1:5" x14ac:dyDescent="0.55000000000000004">
      <c r="A4996" t="s">
        <v>5077</v>
      </c>
      <c r="B4996" t="s">
        <v>175</v>
      </c>
      <c r="C4996" s="2">
        <v>44968</v>
      </c>
      <c r="D4996" t="s">
        <v>26</v>
      </c>
      <c r="E4996">
        <v>1382</v>
      </c>
    </row>
    <row r="4997" spans="1:5" x14ac:dyDescent="0.55000000000000004">
      <c r="A4997" t="s">
        <v>5078</v>
      </c>
      <c r="B4997" t="s">
        <v>63</v>
      </c>
      <c r="C4997" s="2">
        <v>43925</v>
      </c>
      <c r="D4997" t="s">
        <v>29</v>
      </c>
      <c r="E4997">
        <v>1755</v>
      </c>
    </row>
    <row r="4998" spans="1:5" x14ac:dyDescent="0.55000000000000004">
      <c r="A4998" t="s">
        <v>5079</v>
      </c>
      <c r="B4998" t="s">
        <v>140</v>
      </c>
      <c r="C4998" s="2">
        <v>44536</v>
      </c>
      <c r="D4998" t="s">
        <v>26</v>
      </c>
      <c r="E4998">
        <v>2127</v>
      </c>
    </row>
    <row r="4999" spans="1:5" x14ac:dyDescent="0.55000000000000004">
      <c r="A4999" t="s">
        <v>5080</v>
      </c>
      <c r="B4999" t="s">
        <v>41</v>
      </c>
      <c r="C4999" s="2">
        <v>44027</v>
      </c>
      <c r="D4999" t="s">
        <v>26</v>
      </c>
      <c r="E4999">
        <v>527</v>
      </c>
    </row>
    <row r="5000" spans="1:5" x14ac:dyDescent="0.55000000000000004">
      <c r="A5000" t="s">
        <v>5081</v>
      </c>
      <c r="B5000" t="s">
        <v>140</v>
      </c>
      <c r="C5000" s="2">
        <v>44515</v>
      </c>
      <c r="D5000" t="s">
        <v>26</v>
      </c>
      <c r="E5000">
        <v>172</v>
      </c>
    </row>
    <row r="5001" spans="1:5" x14ac:dyDescent="0.55000000000000004">
      <c r="A5001" t="s">
        <v>5082</v>
      </c>
      <c r="B5001" t="s">
        <v>151</v>
      </c>
      <c r="C5001" s="2">
        <v>43030</v>
      </c>
      <c r="D5001" t="s">
        <v>26</v>
      </c>
      <c r="E5001">
        <v>1479</v>
      </c>
    </row>
    <row r="5002" spans="1:5" x14ac:dyDescent="0.55000000000000004">
      <c r="A5002" t="s">
        <v>5083</v>
      </c>
      <c r="B5002" t="s">
        <v>101</v>
      </c>
      <c r="C5002" s="2">
        <v>43731</v>
      </c>
      <c r="D5002" t="s">
        <v>26</v>
      </c>
      <c r="E5002">
        <v>111</v>
      </c>
    </row>
    <row r="5003" spans="1:5" x14ac:dyDescent="0.55000000000000004">
      <c r="A5003" t="s">
        <v>5084</v>
      </c>
      <c r="B5003" t="s">
        <v>101</v>
      </c>
      <c r="C5003" s="2">
        <v>43232</v>
      </c>
      <c r="D5003" t="s">
        <v>29</v>
      </c>
      <c r="E5003">
        <v>297</v>
      </c>
    </row>
    <row r="5004" spans="1:5" x14ac:dyDescent="0.55000000000000004">
      <c r="A5004" t="s">
        <v>5085</v>
      </c>
      <c r="B5004" t="s">
        <v>111</v>
      </c>
      <c r="C5004" s="2">
        <v>44443</v>
      </c>
      <c r="D5004" t="s">
        <v>26</v>
      </c>
      <c r="E5004">
        <v>409</v>
      </c>
    </row>
    <row r="5005" spans="1:5" x14ac:dyDescent="0.55000000000000004">
      <c r="A5005" t="s">
        <v>5086</v>
      </c>
      <c r="B5005" t="s">
        <v>105</v>
      </c>
      <c r="C5005" s="2">
        <v>44489</v>
      </c>
      <c r="D5005" t="s">
        <v>26</v>
      </c>
      <c r="E5005">
        <v>1040</v>
      </c>
    </row>
    <row r="5006" spans="1:5" x14ac:dyDescent="0.55000000000000004">
      <c r="A5006" t="s">
        <v>5087</v>
      </c>
      <c r="B5006" t="s">
        <v>94</v>
      </c>
      <c r="C5006" s="2">
        <v>44860</v>
      </c>
      <c r="D5006" t="s">
        <v>29</v>
      </c>
      <c r="E5006">
        <v>213</v>
      </c>
    </row>
    <row r="5007" spans="1:5" x14ac:dyDescent="0.55000000000000004">
      <c r="A5007" t="s">
        <v>5088</v>
      </c>
      <c r="B5007" t="s">
        <v>175</v>
      </c>
      <c r="C5007" s="2">
        <v>45226</v>
      </c>
      <c r="D5007" t="s">
        <v>26</v>
      </c>
      <c r="E5007">
        <v>1786</v>
      </c>
    </row>
    <row r="5008" spans="1:5" x14ac:dyDescent="0.55000000000000004">
      <c r="A5008" t="s">
        <v>5089</v>
      </c>
      <c r="B5008" t="s">
        <v>23</v>
      </c>
      <c r="C5008" s="2">
        <v>44053</v>
      </c>
      <c r="D5008" t="s">
        <v>29</v>
      </c>
      <c r="E5008">
        <v>2565</v>
      </c>
    </row>
    <row r="5009" spans="1:5" x14ac:dyDescent="0.55000000000000004">
      <c r="A5009" t="s">
        <v>5090</v>
      </c>
      <c r="B5009" t="s">
        <v>76</v>
      </c>
      <c r="C5009" s="2">
        <v>45453</v>
      </c>
      <c r="D5009" t="s">
        <v>29</v>
      </c>
      <c r="E5009">
        <v>2299</v>
      </c>
    </row>
    <row r="5010" spans="1:5" x14ac:dyDescent="0.55000000000000004">
      <c r="A5010" t="s">
        <v>5091</v>
      </c>
      <c r="B5010" t="s">
        <v>35</v>
      </c>
      <c r="C5010" s="2">
        <v>44123</v>
      </c>
      <c r="D5010" t="s">
        <v>26</v>
      </c>
      <c r="E5010">
        <v>2148</v>
      </c>
    </row>
    <row r="5011" spans="1:5" x14ac:dyDescent="0.55000000000000004">
      <c r="A5011" t="s">
        <v>5092</v>
      </c>
      <c r="B5011" t="s">
        <v>175</v>
      </c>
      <c r="C5011" s="2">
        <v>44546</v>
      </c>
      <c r="D5011" t="s">
        <v>29</v>
      </c>
      <c r="E5011">
        <v>165</v>
      </c>
    </row>
    <row r="5012" spans="1:5" x14ac:dyDescent="0.55000000000000004">
      <c r="A5012" t="s">
        <v>5093</v>
      </c>
      <c r="B5012" t="s">
        <v>115</v>
      </c>
      <c r="C5012" s="2">
        <v>43412</v>
      </c>
      <c r="D5012" t="s">
        <v>29</v>
      </c>
      <c r="E5012">
        <v>2271</v>
      </c>
    </row>
    <row r="5013" spans="1:5" x14ac:dyDescent="0.55000000000000004">
      <c r="A5013" t="s">
        <v>5094</v>
      </c>
      <c r="B5013" t="s">
        <v>14</v>
      </c>
      <c r="C5013" s="2">
        <v>44542</v>
      </c>
      <c r="D5013" t="s">
        <v>29</v>
      </c>
      <c r="E5013">
        <v>794</v>
      </c>
    </row>
    <row r="5014" spans="1:5" x14ac:dyDescent="0.55000000000000004">
      <c r="A5014" t="s">
        <v>5095</v>
      </c>
      <c r="B5014" t="s">
        <v>111</v>
      </c>
      <c r="C5014" s="2">
        <v>43528</v>
      </c>
      <c r="D5014" t="s">
        <v>26</v>
      </c>
      <c r="E5014">
        <v>1953</v>
      </c>
    </row>
    <row r="5015" spans="1:5" x14ac:dyDescent="0.55000000000000004">
      <c r="A5015" t="s">
        <v>5096</v>
      </c>
      <c r="B5015" t="s">
        <v>76</v>
      </c>
      <c r="C5015" s="2">
        <v>45719</v>
      </c>
      <c r="D5015" t="s">
        <v>26</v>
      </c>
      <c r="E5015">
        <v>1668</v>
      </c>
    </row>
    <row r="5016" spans="1:5" x14ac:dyDescent="0.55000000000000004">
      <c r="A5016" t="s">
        <v>5097</v>
      </c>
      <c r="B5016" t="s">
        <v>142</v>
      </c>
      <c r="C5016" s="2">
        <v>43351</v>
      </c>
      <c r="D5016" t="s">
        <v>26</v>
      </c>
      <c r="E5016">
        <v>2642</v>
      </c>
    </row>
    <row r="5017" spans="1:5" x14ac:dyDescent="0.55000000000000004">
      <c r="A5017" t="s">
        <v>5098</v>
      </c>
      <c r="B5017" t="s">
        <v>86</v>
      </c>
      <c r="C5017" s="2">
        <v>44175</v>
      </c>
      <c r="D5017" t="s">
        <v>26</v>
      </c>
      <c r="E5017">
        <v>218</v>
      </c>
    </row>
    <row r="5018" spans="1:5" x14ac:dyDescent="0.55000000000000004">
      <c r="A5018" t="s">
        <v>5099</v>
      </c>
      <c r="B5018" t="s">
        <v>115</v>
      </c>
      <c r="C5018" s="2">
        <v>44283</v>
      </c>
      <c r="D5018" t="s">
        <v>29</v>
      </c>
      <c r="E5018">
        <v>1849</v>
      </c>
    </row>
    <row r="5019" spans="1:5" x14ac:dyDescent="0.55000000000000004">
      <c r="A5019" t="s">
        <v>5100</v>
      </c>
      <c r="B5019" t="s">
        <v>41</v>
      </c>
      <c r="C5019" s="2">
        <v>43867</v>
      </c>
      <c r="D5019" t="s">
        <v>26</v>
      </c>
      <c r="E5019">
        <v>2078</v>
      </c>
    </row>
    <row r="5020" spans="1:5" x14ac:dyDescent="0.55000000000000004">
      <c r="A5020" t="s">
        <v>5101</v>
      </c>
      <c r="B5020" t="s">
        <v>86</v>
      </c>
      <c r="C5020" s="2">
        <v>44073</v>
      </c>
      <c r="D5020" t="s">
        <v>26</v>
      </c>
      <c r="E5020">
        <v>1185</v>
      </c>
    </row>
    <row r="5021" spans="1:5" x14ac:dyDescent="0.55000000000000004">
      <c r="A5021" t="s">
        <v>5102</v>
      </c>
      <c r="B5021" t="s">
        <v>156</v>
      </c>
      <c r="C5021" s="2">
        <v>44092</v>
      </c>
      <c r="D5021" t="s">
        <v>26</v>
      </c>
      <c r="E5021">
        <v>64</v>
      </c>
    </row>
    <row r="5022" spans="1:5" x14ac:dyDescent="0.55000000000000004">
      <c r="A5022" t="s">
        <v>5103</v>
      </c>
      <c r="B5022" t="s">
        <v>41</v>
      </c>
      <c r="C5022" s="2">
        <v>44758</v>
      </c>
      <c r="D5022" t="s">
        <v>29</v>
      </c>
      <c r="E5022">
        <v>2387</v>
      </c>
    </row>
    <row r="5023" spans="1:5" x14ac:dyDescent="0.55000000000000004">
      <c r="A5023" t="s">
        <v>5104</v>
      </c>
      <c r="B5023" t="s">
        <v>137</v>
      </c>
      <c r="C5023" s="2">
        <v>44144</v>
      </c>
      <c r="D5023" t="s">
        <v>29</v>
      </c>
      <c r="E5023">
        <v>2448</v>
      </c>
    </row>
    <row r="5024" spans="1:5" x14ac:dyDescent="0.55000000000000004">
      <c r="A5024" t="s">
        <v>5105</v>
      </c>
      <c r="B5024" t="s">
        <v>41</v>
      </c>
      <c r="C5024" s="2">
        <v>44692</v>
      </c>
      <c r="D5024" t="s">
        <v>29</v>
      </c>
      <c r="E5024">
        <v>2690</v>
      </c>
    </row>
    <row r="5025" spans="1:5" x14ac:dyDescent="0.55000000000000004">
      <c r="A5025" t="s">
        <v>5106</v>
      </c>
      <c r="B5025" t="s">
        <v>156</v>
      </c>
      <c r="C5025" s="2">
        <v>44048</v>
      </c>
      <c r="D5025" t="s">
        <v>29</v>
      </c>
      <c r="E5025">
        <v>367</v>
      </c>
    </row>
    <row r="5026" spans="1:5" x14ac:dyDescent="0.55000000000000004">
      <c r="A5026" t="s">
        <v>5107</v>
      </c>
      <c r="B5026" t="s">
        <v>94</v>
      </c>
      <c r="C5026" s="2">
        <v>45604</v>
      </c>
      <c r="D5026" t="s">
        <v>29</v>
      </c>
      <c r="E5026">
        <v>594</v>
      </c>
    </row>
    <row r="5027" spans="1:5" x14ac:dyDescent="0.55000000000000004">
      <c r="A5027" t="s">
        <v>5108</v>
      </c>
      <c r="B5027" t="s">
        <v>99</v>
      </c>
      <c r="C5027" s="2">
        <v>44965</v>
      </c>
      <c r="D5027" t="s">
        <v>29</v>
      </c>
      <c r="E5027">
        <v>2608</v>
      </c>
    </row>
    <row r="5028" spans="1:5" x14ac:dyDescent="0.55000000000000004">
      <c r="A5028" t="s">
        <v>5109</v>
      </c>
      <c r="B5028" t="s">
        <v>23</v>
      </c>
      <c r="C5028" s="2">
        <v>44339</v>
      </c>
      <c r="D5028" t="s">
        <v>26</v>
      </c>
      <c r="E5028">
        <v>1353</v>
      </c>
    </row>
    <row r="5029" spans="1:5" x14ac:dyDescent="0.55000000000000004">
      <c r="A5029" t="s">
        <v>5110</v>
      </c>
      <c r="B5029" t="s">
        <v>23</v>
      </c>
      <c r="C5029" s="2">
        <v>44041</v>
      </c>
      <c r="D5029" t="s">
        <v>29</v>
      </c>
      <c r="E5029">
        <v>87</v>
      </c>
    </row>
    <row r="5030" spans="1:5" x14ac:dyDescent="0.55000000000000004">
      <c r="A5030" t="s">
        <v>5111</v>
      </c>
      <c r="B5030" t="s">
        <v>118</v>
      </c>
      <c r="C5030" s="2">
        <v>45515</v>
      </c>
      <c r="D5030" t="s">
        <v>29</v>
      </c>
      <c r="E5030">
        <v>2332</v>
      </c>
    </row>
    <row r="5031" spans="1:5" x14ac:dyDescent="0.55000000000000004">
      <c r="A5031" t="s">
        <v>5112</v>
      </c>
      <c r="B5031" t="s">
        <v>32</v>
      </c>
      <c r="C5031" s="2">
        <v>44229</v>
      </c>
      <c r="D5031" t="s">
        <v>26</v>
      </c>
      <c r="E5031">
        <v>779</v>
      </c>
    </row>
    <row r="5032" spans="1:5" x14ac:dyDescent="0.55000000000000004">
      <c r="A5032" t="s">
        <v>5113</v>
      </c>
      <c r="B5032" t="s">
        <v>115</v>
      </c>
      <c r="C5032" s="2">
        <v>43295</v>
      </c>
      <c r="D5032" t="s">
        <v>26</v>
      </c>
      <c r="E5032">
        <v>1205</v>
      </c>
    </row>
    <row r="5033" spans="1:5" x14ac:dyDescent="0.55000000000000004">
      <c r="A5033" t="s">
        <v>5114</v>
      </c>
      <c r="B5033" t="s">
        <v>118</v>
      </c>
      <c r="C5033" s="2">
        <v>44044</v>
      </c>
      <c r="D5033" t="s">
        <v>29</v>
      </c>
      <c r="E5033">
        <v>1655</v>
      </c>
    </row>
    <row r="5034" spans="1:5" x14ac:dyDescent="0.55000000000000004">
      <c r="A5034" t="s">
        <v>5115</v>
      </c>
      <c r="B5034" t="s">
        <v>23</v>
      </c>
      <c r="C5034" s="2">
        <v>43943</v>
      </c>
      <c r="D5034" t="s">
        <v>29</v>
      </c>
      <c r="E5034">
        <v>2548</v>
      </c>
    </row>
    <row r="5035" spans="1:5" x14ac:dyDescent="0.55000000000000004">
      <c r="A5035" t="s">
        <v>5116</v>
      </c>
      <c r="B5035" t="s">
        <v>41</v>
      </c>
      <c r="C5035" s="2">
        <v>43878</v>
      </c>
      <c r="D5035" t="s">
        <v>29</v>
      </c>
      <c r="E5035">
        <v>634</v>
      </c>
    </row>
    <row r="5036" spans="1:5" x14ac:dyDescent="0.55000000000000004">
      <c r="A5036" t="s">
        <v>5117</v>
      </c>
      <c r="B5036" t="s">
        <v>101</v>
      </c>
      <c r="C5036" s="2">
        <v>44228</v>
      </c>
      <c r="D5036" t="s">
        <v>26</v>
      </c>
      <c r="E5036">
        <v>1872</v>
      </c>
    </row>
    <row r="5037" spans="1:5" x14ac:dyDescent="0.55000000000000004">
      <c r="A5037" t="s">
        <v>5118</v>
      </c>
      <c r="B5037" t="s">
        <v>118</v>
      </c>
      <c r="C5037" s="2">
        <v>45176</v>
      </c>
      <c r="D5037" t="s">
        <v>26</v>
      </c>
      <c r="E5037">
        <v>2629</v>
      </c>
    </row>
    <row r="5038" spans="1:5" x14ac:dyDescent="0.55000000000000004">
      <c r="A5038" t="s">
        <v>5119</v>
      </c>
      <c r="B5038" t="s">
        <v>15</v>
      </c>
      <c r="C5038" s="2">
        <v>43273</v>
      </c>
      <c r="D5038" t="s">
        <v>26</v>
      </c>
      <c r="E5038">
        <v>1267</v>
      </c>
    </row>
    <row r="5039" spans="1:5" x14ac:dyDescent="0.55000000000000004">
      <c r="A5039" t="s">
        <v>5120</v>
      </c>
      <c r="B5039" t="s">
        <v>99</v>
      </c>
      <c r="C5039" s="2">
        <v>44400</v>
      </c>
      <c r="D5039" t="s">
        <v>26</v>
      </c>
      <c r="E5039">
        <v>1334</v>
      </c>
    </row>
    <row r="5040" spans="1:5" x14ac:dyDescent="0.55000000000000004">
      <c r="A5040" t="s">
        <v>5121</v>
      </c>
      <c r="B5040" t="s">
        <v>38</v>
      </c>
      <c r="C5040" s="2">
        <v>44571</v>
      </c>
      <c r="D5040" t="s">
        <v>26</v>
      </c>
      <c r="E5040">
        <v>2130</v>
      </c>
    </row>
    <row r="5041" spans="1:5" x14ac:dyDescent="0.55000000000000004">
      <c r="A5041" t="s">
        <v>5122</v>
      </c>
      <c r="B5041" t="s">
        <v>72</v>
      </c>
      <c r="C5041" s="2">
        <v>44263</v>
      </c>
      <c r="D5041" t="s">
        <v>26</v>
      </c>
      <c r="E5041">
        <v>1166</v>
      </c>
    </row>
    <row r="5042" spans="1:5" x14ac:dyDescent="0.55000000000000004">
      <c r="A5042" t="s">
        <v>5123</v>
      </c>
      <c r="B5042" t="s">
        <v>175</v>
      </c>
      <c r="C5042" s="2">
        <v>43478</v>
      </c>
      <c r="D5042" t="s">
        <v>29</v>
      </c>
      <c r="E5042">
        <v>1669</v>
      </c>
    </row>
    <row r="5043" spans="1:5" x14ac:dyDescent="0.55000000000000004">
      <c r="A5043" t="s">
        <v>5124</v>
      </c>
      <c r="B5043" t="s">
        <v>94</v>
      </c>
      <c r="C5043" s="2">
        <v>43948</v>
      </c>
      <c r="D5043" t="s">
        <v>26</v>
      </c>
      <c r="E5043">
        <v>2847</v>
      </c>
    </row>
    <row r="5044" spans="1:5" x14ac:dyDescent="0.55000000000000004">
      <c r="A5044" t="s">
        <v>5125</v>
      </c>
      <c r="B5044" t="s">
        <v>23</v>
      </c>
      <c r="C5044" s="2">
        <v>44720</v>
      </c>
      <c r="D5044" t="s">
        <v>29</v>
      </c>
      <c r="E5044">
        <v>122</v>
      </c>
    </row>
    <row r="5045" spans="1:5" x14ac:dyDescent="0.55000000000000004">
      <c r="A5045" t="s">
        <v>5126</v>
      </c>
      <c r="B5045" t="s">
        <v>99</v>
      </c>
      <c r="C5045" s="2">
        <v>44069</v>
      </c>
      <c r="D5045" t="s">
        <v>29</v>
      </c>
      <c r="E5045">
        <v>2418</v>
      </c>
    </row>
    <row r="5046" spans="1:5" x14ac:dyDescent="0.55000000000000004">
      <c r="A5046" t="s">
        <v>5127</v>
      </c>
      <c r="B5046" t="s">
        <v>118</v>
      </c>
      <c r="C5046" s="2">
        <v>44935</v>
      </c>
      <c r="D5046" t="s">
        <v>26</v>
      </c>
      <c r="E5046">
        <v>1778</v>
      </c>
    </row>
    <row r="5047" spans="1:5" x14ac:dyDescent="0.55000000000000004">
      <c r="A5047" t="s">
        <v>5128</v>
      </c>
      <c r="B5047" t="s">
        <v>38</v>
      </c>
      <c r="C5047" s="2">
        <v>44375</v>
      </c>
      <c r="D5047" t="s">
        <v>26</v>
      </c>
      <c r="E5047">
        <v>2255</v>
      </c>
    </row>
    <row r="5048" spans="1:5" x14ac:dyDescent="0.55000000000000004">
      <c r="A5048" t="s">
        <v>5129</v>
      </c>
      <c r="B5048" t="s">
        <v>101</v>
      </c>
      <c r="C5048" s="2">
        <v>44090</v>
      </c>
      <c r="D5048" t="s">
        <v>29</v>
      </c>
      <c r="E5048">
        <v>1411</v>
      </c>
    </row>
    <row r="5049" spans="1:5" x14ac:dyDescent="0.55000000000000004">
      <c r="A5049" t="s">
        <v>5130</v>
      </c>
      <c r="B5049" t="s">
        <v>140</v>
      </c>
      <c r="C5049" s="2">
        <v>44207</v>
      </c>
      <c r="D5049" t="s">
        <v>26</v>
      </c>
      <c r="E5049">
        <v>887</v>
      </c>
    </row>
    <row r="5050" spans="1:5" x14ac:dyDescent="0.55000000000000004">
      <c r="A5050" t="s">
        <v>5131</v>
      </c>
      <c r="B5050" t="s">
        <v>14</v>
      </c>
      <c r="C5050" s="2">
        <v>44067</v>
      </c>
      <c r="D5050" t="s">
        <v>29</v>
      </c>
      <c r="E5050">
        <v>1744</v>
      </c>
    </row>
    <row r="5051" spans="1:5" x14ac:dyDescent="0.55000000000000004">
      <c r="A5051" t="s">
        <v>5132</v>
      </c>
      <c r="B5051" t="s">
        <v>115</v>
      </c>
      <c r="C5051" s="2">
        <v>44293</v>
      </c>
      <c r="D5051" t="s">
        <v>26</v>
      </c>
      <c r="E5051">
        <v>779</v>
      </c>
    </row>
    <row r="5052" spans="1:5" x14ac:dyDescent="0.55000000000000004">
      <c r="A5052" t="s">
        <v>5133</v>
      </c>
      <c r="B5052" t="s">
        <v>137</v>
      </c>
      <c r="C5052" s="2">
        <v>45630</v>
      </c>
      <c r="D5052" t="s">
        <v>29</v>
      </c>
      <c r="E5052">
        <v>2340</v>
      </c>
    </row>
    <row r="5053" spans="1:5" x14ac:dyDescent="0.55000000000000004">
      <c r="A5053" t="s">
        <v>5134</v>
      </c>
      <c r="B5053" t="s">
        <v>111</v>
      </c>
      <c r="C5053" s="2">
        <v>44453</v>
      </c>
      <c r="D5053" t="s">
        <v>26</v>
      </c>
      <c r="E5053">
        <v>1031</v>
      </c>
    </row>
    <row r="5054" spans="1:5" x14ac:dyDescent="0.55000000000000004">
      <c r="A5054" t="s">
        <v>5135</v>
      </c>
      <c r="B5054" t="s">
        <v>175</v>
      </c>
      <c r="C5054" s="2">
        <v>44252</v>
      </c>
      <c r="D5054" t="s">
        <v>29</v>
      </c>
      <c r="E5054">
        <v>1632</v>
      </c>
    </row>
    <row r="5055" spans="1:5" x14ac:dyDescent="0.55000000000000004">
      <c r="A5055" t="s">
        <v>5136</v>
      </c>
      <c r="B5055" t="s">
        <v>99</v>
      </c>
      <c r="C5055" s="2">
        <v>44076</v>
      </c>
      <c r="D5055" t="s">
        <v>26</v>
      </c>
      <c r="E5055">
        <v>2406</v>
      </c>
    </row>
    <row r="5056" spans="1:5" x14ac:dyDescent="0.55000000000000004">
      <c r="A5056" t="s">
        <v>5137</v>
      </c>
      <c r="B5056" t="s">
        <v>137</v>
      </c>
      <c r="C5056" s="2">
        <v>44738</v>
      </c>
      <c r="D5056" t="s">
        <v>29</v>
      </c>
      <c r="E5056">
        <v>2564</v>
      </c>
    </row>
    <row r="5057" spans="1:5" x14ac:dyDescent="0.55000000000000004">
      <c r="A5057" t="s">
        <v>5138</v>
      </c>
      <c r="B5057" t="s">
        <v>94</v>
      </c>
      <c r="C5057" s="2">
        <v>43632</v>
      </c>
      <c r="D5057" t="s">
        <v>26</v>
      </c>
      <c r="E5057">
        <v>672</v>
      </c>
    </row>
    <row r="5058" spans="1:5" x14ac:dyDescent="0.55000000000000004">
      <c r="A5058" t="s">
        <v>5139</v>
      </c>
      <c r="B5058" t="s">
        <v>96</v>
      </c>
      <c r="C5058" s="2">
        <v>44382</v>
      </c>
      <c r="D5058" t="s">
        <v>26</v>
      </c>
      <c r="E5058">
        <v>26</v>
      </c>
    </row>
    <row r="5059" spans="1:5" x14ac:dyDescent="0.55000000000000004">
      <c r="A5059" t="s">
        <v>5140</v>
      </c>
      <c r="B5059" t="s">
        <v>38</v>
      </c>
      <c r="C5059" s="2">
        <v>44883</v>
      </c>
      <c r="D5059" t="s">
        <v>29</v>
      </c>
      <c r="E5059">
        <v>2459</v>
      </c>
    </row>
    <row r="5060" spans="1:5" x14ac:dyDescent="0.55000000000000004">
      <c r="A5060" t="s">
        <v>5141</v>
      </c>
      <c r="B5060" t="s">
        <v>101</v>
      </c>
      <c r="C5060" s="2">
        <v>43714</v>
      </c>
      <c r="D5060" t="s">
        <v>26</v>
      </c>
      <c r="E5060">
        <v>225</v>
      </c>
    </row>
    <row r="5061" spans="1:5" x14ac:dyDescent="0.55000000000000004">
      <c r="A5061" t="s">
        <v>5142</v>
      </c>
      <c r="B5061" t="s">
        <v>115</v>
      </c>
      <c r="C5061" s="2">
        <v>44480</v>
      </c>
      <c r="D5061" t="s">
        <v>29</v>
      </c>
      <c r="E5061">
        <v>2063</v>
      </c>
    </row>
    <row r="5062" spans="1:5" x14ac:dyDescent="0.55000000000000004">
      <c r="A5062" t="s">
        <v>5143</v>
      </c>
      <c r="B5062" t="s">
        <v>151</v>
      </c>
      <c r="C5062" s="2">
        <v>43070</v>
      </c>
      <c r="D5062" t="s">
        <v>26</v>
      </c>
      <c r="E5062">
        <v>2737</v>
      </c>
    </row>
    <row r="5063" spans="1:5" x14ac:dyDescent="0.55000000000000004">
      <c r="A5063" t="s">
        <v>5144</v>
      </c>
      <c r="B5063" t="s">
        <v>151</v>
      </c>
      <c r="C5063" s="2">
        <v>44170</v>
      </c>
      <c r="D5063" t="s">
        <v>29</v>
      </c>
      <c r="E5063">
        <v>104</v>
      </c>
    </row>
    <row r="5064" spans="1:5" x14ac:dyDescent="0.55000000000000004">
      <c r="A5064" t="s">
        <v>5145</v>
      </c>
      <c r="B5064" t="s">
        <v>142</v>
      </c>
      <c r="C5064" s="2">
        <v>43052</v>
      </c>
      <c r="D5064" t="s">
        <v>29</v>
      </c>
      <c r="E5064">
        <v>2161</v>
      </c>
    </row>
    <row r="5065" spans="1:5" x14ac:dyDescent="0.55000000000000004">
      <c r="A5065" t="s">
        <v>5146</v>
      </c>
      <c r="B5065" t="s">
        <v>142</v>
      </c>
      <c r="C5065" s="2">
        <v>44170</v>
      </c>
      <c r="D5065" t="s">
        <v>29</v>
      </c>
      <c r="E5065">
        <v>328</v>
      </c>
    </row>
    <row r="5066" spans="1:5" x14ac:dyDescent="0.55000000000000004">
      <c r="A5066" t="s">
        <v>5147</v>
      </c>
      <c r="B5066" t="s">
        <v>156</v>
      </c>
      <c r="C5066" s="2">
        <v>44206</v>
      </c>
      <c r="D5066" t="s">
        <v>26</v>
      </c>
      <c r="E5066">
        <v>1316</v>
      </c>
    </row>
    <row r="5067" spans="1:5" x14ac:dyDescent="0.55000000000000004">
      <c r="A5067" t="s">
        <v>5148</v>
      </c>
      <c r="B5067" t="s">
        <v>142</v>
      </c>
      <c r="C5067" s="2">
        <v>43845</v>
      </c>
      <c r="D5067" t="s">
        <v>29</v>
      </c>
      <c r="E5067">
        <v>725</v>
      </c>
    </row>
    <row r="5068" spans="1:5" x14ac:dyDescent="0.55000000000000004">
      <c r="A5068" t="s">
        <v>5149</v>
      </c>
      <c r="B5068" t="s">
        <v>76</v>
      </c>
      <c r="C5068" s="2">
        <v>45603</v>
      </c>
      <c r="D5068" t="s">
        <v>26</v>
      </c>
      <c r="E5068">
        <v>2385</v>
      </c>
    </row>
    <row r="5069" spans="1:5" x14ac:dyDescent="0.55000000000000004">
      <c r="A5069" t="s">
        <v>5150</v>
      </c>
      <c r="B5069" t="s">
        <v>15</v>
      </c>
      <c r="C5069" s="2">
        <v>44231</v>
      </c>
      <c r="D5069" t="s">
        <v>29</v>
      </c>
      <c r="E5069">
        <v>2568</v>
      </c>
    </row>
    <row r="5070" spans="1:5" x14ac:dyDescent="0.55000000000000004">
      <c r="A5070" t="s">
        <v>5151</v>
      </c>
      <c r="B5070" t="s">
        <v>72</v>
      </c>
      <c r="C5070" s="2">
        <v>43020</v>
      </c>
      <c r="D5070" t="s">
        <v>29</v>
      </c>
      <c r="E5070">
        <v>903</v>
      </c>
    </row>
    <row r="5071" spans="1:5" x14ac:dyDescent="0.55000000000000004">
      <c r="A5071" t="s">
        <v>5152</v>
      </c>
      <c r="B5071" t="s">
        <v>35</v>
      </c>
      <c r="C5071" s="2">
        <v>44404</v>
      </c>
      <c r="D5071" t="s">
        <v>29</v>
      </c>
      <c r="E5071">
        <v>68</v>
      </c>
    </row>
    <row r="5072" spans="1:5" x14ac:dyDescent="0.55000000000000004">
      <c r="A5072" t="s">
        <v>5153</v>
      </c>
      <c r="B5072" t="s">
        <v>94</v>
      </c>
      <c r="C5072" s="2">
        <v>45494</v>
      </c>
      <c r="D5072" t="s">
        <v>29</v>
      </c>
      <c r="E5072">
        <v>1813</v>
      </c>
    </row>
    <row r="5073" spans="1:5" x14ac:dyDescent="0.55000000000000004">
      <c r="A5073" t="s">
        <v>5154</v>
      </c>
      <c r="B5073" t="s">
        <v>32</v>
      </c>
      <c r="C5073" s="2">
        <v>44407</v>
      </c>
      <c r="D5073" t="s">
        <v>29</v>
      </c>
      <c r="E5073">
        <v>664</v>
      </c>
    </row>
    <row r="5074" spans="1:5" x14ac:dyDescent="0.55000000000000004">
      <c r="A5074" t="s">
        <v>5155</v>
      </c>
      <c r="B5074" t="s">
        <v>142</v>
      </c>
      <c r="C5074" s="2">
        <v>44379</v>
      </c>
      <c r="D5074" t="s">
        <v>29</v>
      </c>
      <c r="E5074">
        <v>572</v>
      </c>
    </row>
    <row r="5075" spans="1:5" x14ac:dyDescent="0.55000000000000004">
      <c r="A5075" t="s">
        <v>5156</v>
      </c>
      <c r="B5075" t="s">
        <v>78</v>
      </c>
      <c r="C5075" s="2">
        <v>45117</v>
      </c>
      <c r="D5075" t="s">
        <v>29</v>
      </c>
      <c r="E5075">
        <v>2750</v>
      </c>
    </row>
    <row r="5076" spans="1:5" x14ac:dyDescent="0.55000000000000004">
      <c r="A5076" t="s">
        <v>5157</v>
      </c>
      <c r="B5076" t="s">
        <v>72</v>
      </c>
      <c r="C5076" s="2">
        <v>44138</v>
      </c>
      <c r="D5076" t="s">
        <v>26</v>
      </c>
      <c r="E5076">
        <v>1411</v>
      </c>
    </row>
    <row r="5077" spans="1:5" x14ac:dyDescent="0.55000000000000004">
      <c r="A5077" t="s">
        <v>5158</v>
      </c>
      <c r="B5077" t="s">
        <v>14</v>
      </c>
      <c r="C5077" s="2">
        <v>44054</v>
      </c>
      <c r="D5077" t="s">
        <v>26</v>
      </c>
      <c r="E5077">
        <v>2015</v>
      </c>
    </row>
    <row r="5078" spans="1:5" x14ac:dyDescent="0.55000000000000004">
      <c r="A5078" t="s">
        <v>5159</v>
      </c>
      <c r="B5078" t="s">
        <v>78</v>
      </c>
      <c r="C5078" s="2">
        <v>45408</v>
      </c>
      <c r="D5078" t="s">
        <v>29</v>
      </c>
      <c r="E5078">
        <v>195</v>
      </c>
    </row>
    <row r="5079" spans="1:5" x14ac:dyDescent="0.55000000000000004">
      <c r="A5079" t="s">
        <v>5160</v>
      </c>
      <c r="B5079" t="s">
        <v>105</v>
      </c>
      <c r="C5079" s="2">
        <v>44074</v>
      </c>
      <c r="D5079" t="s">
        <v>26</v>
      </c>
      <c r="E5079">
        <v>1079</v>
      </c>
    </row>
    <row r="5080" spans="1:5" x14ac:dyDescent="0.55000000000000004">
      <c r="A5080" t="s">
        <v>5161</v>
      </c>
      <c r="B5080" t="s">
        <v>14</v>
      </c>
      <c r="C5080" s="2">
        <v>43730</v>
      </c>
      <c r="D5080" t="s">
        <v>29</v>
      </c>
      <c r="E5080">
        <v>275</v>
      </c>
    </row>
    <row r="5081" spans="1:5" x14ac:dyDescent="0.55000000000000004">
      <c r="A5081" t="s">
        <v>5162</v>
      </c>
      <c r="B5081" t="s">
        <v>151</v>
      </c>
      <c r="C5081" s="2">
        <v>43323</v>
      </c>
      <c r="D5081" t="s">
        <v>26</v>
      </c>
      <c r="E5081">
        <v>1859</v>
      </c>
    </row>
    <row r="5082" spans="1:5" x14ac:dyDescent="0.55000000000000004">
      <c r="A5082" t="s">
        <v>5163</v>
      </c>
      <c r="B5082" t="s">
        <v>63</v>
      </c>
      <c r="C5082" s="2">
        <v>43099</v>
      </c>
      <c r="D5082" t="s">
        <v>26</v>
      </c>
      <c r="E5082">
        <v>1286</v>
      </c>
    </row>
    <row r="5083" spans="1:5" x14ac:dyDescent="0.55000000000000004">
      <c r="A5083" t="s">
        <v>5164</v>
      </c>
      <c r="B5083" t="s">
        <v>86</v>
      </c>
      <c r="C5083" s="2">
        <v>44381</v>
      </c>
      <c r="D5083" t="s">
        <v>26</v>
      </c>
      <c r="E5083">
        <v>829</v>
      </c>
    </row>
    <row r="5084" spans="1:5" x14ac:dyDescent="0.55000000000000004">
      <c r="A5084" t="s">
        <v>5165</v>
      </c>
      <c r="B5084" t="s">
        <v>86</v>
      </c>
      <c r="C5084" s="2">
        <v>43738</v>
      </c>
      <c r="D5084" t="s">
        <v>26</v>
      </c>
      <c r="E5084">
        <v>1913</v>
      </c>
    </row>
    <row r="5085" spans="1:5" x14ac:dyDescent="0.55000000000000004">
      <c r="A5085" t="s">
        <v>5166</v>
      </c>
      <c r="B5085" t="s">
        <v>99</v>
      </c>
      <c r="C5085" s="2">
        <v>43790</v>
      </c>
      <c r="D5085" t="s">
        <v>29</v>
      </c>
      <c r="E5085">
        <v>43</v>
      </c>
    </row>
    <row r="5086" spans="1:5" x14ac:dyDescent="0.55000000000000004">
      <c r="A5086" t="s">
        <v>5167</v>
      </c>
      <c r="B5086" t="s">
        <v>151</v>
      </c>
      <c r="C5086" s="2">
        <v>43253</v>
      </c>
      <c r="D5086" t="s">
        <v>26</v>
      </c>
      <c r="E5086">
        <v>321</v>
      </c>
    </row>
    <row r="5087" spans="1:5" x14ac:dyDescent="0.55000000000000004">
      <c r="A5087" t="s">
        <v>5168</v>
      </c>
      <c r="B5087" t="s">
        <v>32</v>
      </c>
      <c r="C5087" s="2">
        <v>44165</v>
      </c>
      <c r="D5087" t="s">
        <v>26</v>
      </c>
      <c r="E5087">
        <v>1555</v>
      </c>
    </row>
    <row r="5088" spans="1:5" x14ac:dyDescent="0.55000000000000004">
      <c r="A5088" t="s">
        <v>5169</v>
      </c>
      <c r="B5088" t="s">
        <v>115</v>
      </c>
      <c r="C5088" s="2">
        <v>43365</v>
      </c>
      <c r="D5088" t="s">
        <v>29</v>
      </c>
      <c r="E5088">
        <v>974</v>
      </c>
    </row>
    <row r="5089" spans="1:5" x14ac:dyDescent="0.55000000000000004">
      <c r="A5089" t="s">
        <v>5170</v>
      </c>
      <c r="B5089" t="s">
        <v>175</v>
      </c>
      <c r="C5089" s="2">
        <v>45568</v>
      </c>
      <c r="D5089" t="s">
        <v>29</v>
      </c>
      <c r="E5089">
        <v>542</v>
      </c>
    </row>
    <row r="5090" spans="1:5" x14ac:dyDescent="0.55000000000000004">
      <c r="A5090" t="s">
        <v>5171</v>
      </c>
      <c r="B5090" t="s">
        <v>15</v>
      </c>
      <c r="C5090" s="2">
        <v>43932</v>
      </c>
      <c r="D5090" t="s">
        <v>29</v>
      </c>
      <c r="E5090">
        <v>1540</v>
      </c>
    </row>
    <row r="5091" spans="1:5" x14ac:dyDescent="0.55000000000000004">
      <c r="A5091" t="s">
        <v>5172</v>
      </c>
      <c r="B5091" t="s">
        <v>115</v>
      </c>
      <c r="C5091" s="2">
        <v>43306</v>
      </c>
      <c r="D5091" t="s">
        <v>26</v>
      </c>
      <c r="E5091">
        <v>1832</v>
      </c>
    </row>
    <row r="5092" spans="1:5" x14ac:dyDescent="0.55000000000000004">
      <c r="A5092" t="s">
        <v>5173</v>
      </c>
      <c r="B5092" t="s">
        <v>74</v>
      </c>
      <c r="C5092" s="2">
        <v>44284</v>
      </c>
      <c r="D5092" t="s">
        <v>29</v>
      </c>
      <c r="E5092">
        <v>1257</v>
      </c>
    </row>
    <row r="5093" spans="1:5" x14ac:dyDescent="0.55000000000000004">
      <c r="A5093" t="s">
        <v>5174</v>
      </c>
      <c r="B5093" t="s">
        <v>84</v>
      </c>
      <c r="C5093" s="2">
        <v>44130</v>
      </c>
      <c r="D5093" t="s">
        <v>26</v>
      </c>
      <c r="E5093">
        <v>2973</v>
      </c>
    </row>
    <row r="5094" spans="1:5" x14ac:dyDescent="0.55000000000000004">
      <c r="A5094" t="s">
        <v>5175</v>
      </c>
      <c r="B5094" t="s">
        <v>105</v>
      </c>
      <c r="C5094" s="2">
        <v>44102</v>
      </c>
      <c r="D5094" t="s">
        <v>29</v>
      </c>
      <c r="E5094">
        <v>195</v>
      </c>
    </row>
    <row r="5095" spans="1:5" x14ac:dyDescent="0.55000000000000004">
      <c r="A5095" t="s">
        <v>5176</v>
      </c>
      <c r="B5095" t="s">
        <v>72</v>
      </c>
      <c r="C5095" s="2">
        <v>43727</v>
      </c>
      <c r="D5095" t="s">
        <v>29</v>
      </c>
      <c r="E5095">
        <v>2090</v>
      </c>
    </row>
    <row r="5096" spans="1:5" x14ac:dyDescent="0.55000000000000004">
      <c r="A5096" t="s">
        <v>5177</v>
      </c>
      <c r="B5096" t="s">
        <v>142</v>
      </c>
      <c r="C5096" s="2">
        <v>43110</v>
      </c>
      <c r="D5096" t="s">
        <v>29</v>
      </c>
      <c r="E5096">
        <v>1128</v>
      </c>
    </row>
    <row r="5097" spans="1:5" x14ac:dyDescent="0.55000000000000004">
      <c r="A5097" t="s">
        <v>5178</v>
      </c>
      <c r="B5097" t="s">
        <v>156</v>
      </c>
      <c r="C5097" s="2">
        <v>43025</v>
      </c>
      <c r="D5097" t="s">
        <v>26</v>
      </c>
      <c r="E5097">
        <v>1850</v>
      </c>
    </row>
    <row r="5098" spans="1:5" x14ac:dyDescent="0.55000000000000004">
      <c r="A5098" t="s">
        <v>5179</v>
      </c>
      <c r="B5098" t="s">
        <v>151</v>
      </c>
      <c r="C5098" s="2">
        <v>44313</v>
      </c>
      <c r="D5098" t="s">
        <v>29</v>
      </c>
      <c r="E5098">
        <v>416</v>
      </c>
    </row>
    <row r="5099" spans="1:5" x14ac:dyDescent="0.55000000000000004">
      <c r="A5099" t="s">
        <v>5180</v>
      </c>
      <c r="B5099" t="s">
        <v>101</v>
      </c>
      <c r="C5099" s="2">
        <v>43880</v>
      </c>
      <c r="D5099" t="s">
        <v>26</v>
      </c>
      <c r="E5099">
        <v>580</v>
      </c>
    </row>
    <row r="5100" spans="1:5" x14ac:dyDescent="0.55000000000000004">
      <c r="A5100" t="s">
        <v>5181</v>
      </c>
      <c r="B5100" t="s">
        <v>94</v>
      </c>
      <c r="C5100" s="2">
        <v>45363</v>
      </c>
      <c r="D5100" t="s">
        <v>29</v>
      </c>
      <c r="E5100">
        <v>2733</v>
      </c>
    </row>
    <row r="5101" spans="1:5" x14ac:dyDescent="0.55000000000000004">
      <c r="A5101" t="s">
        <v>5182</v>
      </c>
      <c r="B5101" t="s">
        <v>67</v>
      </c>
      <c r="C5101" s="2">
        <v>44163</v>
      </c>
      <c r="D5101" t="s">
        <v>26</v>
      </c>
      <c r="E5101">
        <v>307</v>
      </c>
    </row>
    <row r="5102" spans="1:5" x14ac:dyDescent="0.55000000000000004">
      <c r="A5102" t="s">
        <v>5183</v>
      </c>
      <c r="B5102" t="s">
        <v>14</v>
      </c>
      <c r="C5102" s="2">
        <v>43247</v>
      </c>
      <c r="D5102" t="s">
        <v>26</v>
      </c>
      <c r="E5102">
        <v>2013</v>
      </c>
    </row>
    <row r="5103" spans="1:5" x14ac:dyDescent="0.55000000000000004">
      <c r="A5103" t="s">
        <v>5184</v>
      </c>
      <c r="B5103" t="s">
        <v>94</v>
      </c>
      <c r="C5103" s="2">
        <v>45662</v>
      </c>
      <c r="D5103" t="s">
        <v>26</v>
      </c>
      <c r="E5103">
        <v>419</v>
      </c>
    </row>
    <row r="5104" spans="1:5" x14ac:dyDescent="0.55000000000000004">
      <c r="A5104" t="s">
        <v>5185</v>
      </c>
      <c r="B5104" t="s">
        <v>35</v>
      </c>
      <c r="C5104" s="2">
        <v>44227</v>
      </c>
      <c r="D5104" t="s">
        <v>29</v>
      </c>
      <c r="E5104">
        <v>2127</v>
      </c>
    </row>
    <row r="5105" spans="1:5" x14ac:dyDescent="0.55000000000000004">
      <c r="A5105" t="s">
        <v>5186</v>
      </c>
      <c r="B5105" t="s">
        <v>140</v>
      </c>
      <c r="C5105" s="2">
        <v>43268</v>
      </c>
      <c r="D5105" t="s">
        <v>29</v>
      </c>
      <c r="E5105">
        <v>2012</v>
      </c>
    </row>
    <row r="5106" spans="1:5" x14ac:dyDescent="0.55000000000000004">
      <c r="A5106" t="s">
        <v>5187</v>
      </c>
      <c r="B5106" t="s">
        <v>137</v>
      </c>
      <c r="C5106" s="2">
        <v>45259</v>
      </c>
      <c r="D5106" t="s">
        <v>26</v>
      </c>
      <c r="E5106">
        <v>1744</v>
      </c>
    </row>
    <row r="5107" spans="1:5" x14ac:dyDescent="0.55000000000000004">
      <c r="A5107" t="s">
        <v>5188</v>
      </c>
      <c r="B5107" t="s">
        <v>76</v>
      </c>
      <c r="C5107" s="2">
        <v>44414</v>
      </c>
      <c r="D5107" t="s">
        <v>26</v>
      </c>
      <c r="E5107">
        <v>470</v>
      </c>
    </row>
    <row r="5108" spans="1:5" x14ac:dyDescent="0.55000000000000004">
      <c r="A5108" t="s">
        <v>5189</v>
      </c>
      <c r="B5108" t="s">
        <v>76</v>
      </c>
      <c r="C5108" s="2">
        <v>45576</v>
      </c>
      <c r="D5108" t="s">
        <v>26</v>
      </c>
      <c r="E5108">
        <v>2226</v>
      </c>
    </row>
    <row r="5109" spans="1:5" x14ac:dyDescent="0.55000000000000004">
      <c r="A5109" t="s">
        <v>5190</v>
      </c>
      <c r="B5109" t="s">
        <v>38</v>
      </c>
      <c r="C5109" s="2">
        <v>44483</v>
      </c>
      <c r="D5109" t="s">
        <v>29</v>
      </c>
      <c r="E5109">
        <v>119</v>
      </c>
    </row>
    <row r="5110" spans="1:5" x14ac:dyDescent="0.55000000000000004">
      <c r="A5110" t="s">
        <v>5191</v>
      </c>
      <c r="B5110" t="s">
        <v>111</v>
      </c>
      <c r="C5110" s="2">
        <v>43385</v>
      </c>
      <c r="D5110" t="s">
        <v>29</v>
      </c>
      <c r="E5110">
        <v>93</v>
      </c>
    </row>
    <row r="5111" spans="1:5" x14ac:dyDescent="0.55000000000000004">
      <c r="A5111" t="s">
        <v>5192</v>
      </c>
      <c r="B5111" t="s">
        <v>96</v>
      </c>
      <c r="C5111" s="2">
        <v>45696</v>
      </c>
      <c r="D5111" t="s">
        <v>29</v>
      </c>
      <c r="E5111">
        <v>1649</v>
      </c>
    </row>
    <row r="5112" spans="1:5" x14ac:dyDescent="0.55000000000000004">
      <c r="A5112" t="s">
        <v>5193</v>
      </c>
      <c r="B5112" t="s">
        <v>38</v>
      </c>
      <c r="C5112" s="2">
        <v>44074</v>
      </c>
      <c r="D5112" t="s">
        <v>29</v>
      </c>
      <c r="E5112">
        <v>1959</v>
      </c>
    </row>
    <row r="5113" spans="1:5" x14ac:dyDescent="0.55000000000000004">
      <c r="A5113" t="s">
        <v>5194</v>
      </c>
      <c r="B5113" t="s">
        <v>41</v>
      </c>
      <c r="C5113" s="2">
        <v>43956</v>
      </c>
      <c r="D5113" t="s">
        <v>29</v>
      </c>
      <c r="E5113">
        <v>2033</v>
      </c>
    </row>
    <row r="5114" spans="1:5" x14ac:dyDescent="0.55000000000000004">
      <c r="A5114" t="s">
        <v>5195</v>
      </c>
      <c r="B5114" t="s">
        <v>63</v>
      </c>
      <c r="C5114" s="2">
        <v>43746</v>
      </c>
      <c r="D5114" t="s">
        <v>26</v>
      </c>
      <c r="E5114">
        <v>63</v>
      </c>
    </row>
    <row r="5115" spans="1:5" x14ac:dyDescent="0.55000000000000004">
      <c r="A5115" t="s">
        <v>5196</v>
      </c>
      <c r="B5115" t="s">
        <v>86</v>
      </c>
      <c r="C5115" s="2">
        <v>44482</v>
      </c>
      <c r="D5115" t="s">
        <v>26</v>
      </c>
      <c r="E5115">
        <v>1540</v>
      </c>
    </row>
    <row r="5116" spans="1:5" x14ac:dyDescent="0.55000000000000004">
      <c r="A5116" t="s">
        <v>5197</v>
      </c>
      <c r="B5116" t="s">
        <v>99</v>
      </c>
      <c r="C5116" s="2">
        <v>44054</v>
      </c>
      <c r="D5116" t="s">
        <v>26</v>
      </c>
      <c r="E5116">
        <v>2698</v>
      </c>
    </row>
    <row r="5117" spans="1:5" x14ac:dyDescent="0.55000000000000004">
      <c r="A5117" t="s">
        <v>5198</v>
      </c>
      <c r="B5117" t="s">
        <v>175</v>
      </c>
      <c r="C5117" s="2">
        <v>44166</v>
      </c>
      <c r="D5117" t="s">
        <v>26</v>
      </c>
      <c r="E5117">
        <v>917</v>
      </c>
    </row>
    <row r="5118" spans="1:5" x14ac:dyDescent="0.55000000000000004">
      <c r="A5118" t="s">
        <v>5199</v>
      </c>
      <c r="B5118" t="s">
        <v>35</v>
      </c>
      <c r="C5118" s="2">
        <v>44546</v>
      </c>
      <c r="D5118" t="s">
        <v>29</v>
      </c>
      <c r="E5118">
        <v>2760</v>
      </c>
    </row>
    <row r="5119" spans="1:5" x14ac:dyDescent="0.55000000000000004">
      <c r="A5119" t="s">
        <v>5200</v>
      </c>
      <c r="B5119" t="s">
        <v>105</v>
      </c>
      <c r="C5119" s="2">
        <v>43093</v>
      </c>
      <c r="D5119" t="s">
        <v>29</v>
      </c>
      <c r="E5119">
        <v>2780</v>
      </c>
    </row>
    <row r="5120" spans="1:5" x14ac:dyDescent="0.55000000000000004">
      <c r="A5120" t="s">
        <v>5201</v>
      </c>
      <c r="B5120" t="s">
        <v>76</v>
      </c>
      <c r="C5120" s="2">
        <v>44965</v>
      </c>
      <c r="D5120" t="s">
        <v>26</v>
      </c>
      <c r="E5120">
        <v>1372</v>
      </c>
    </row>
    <row r="5121" spans="1:5" x14ac:dyDescent="0.55000000000000004">
      <c r="A5121" t="s">
        <v>5202</v>
      </c>
      <c r="B5121" t="s">
        <v>99</v>
      </c>
      <c r="C5121" s="2">
        <v>45298</v>
      </c>
      <c r="D5121" t="s">
        <v>26</v>
      </c>
      <c r="E5121">
        <v>2812</v>
      </c>
    </row>
    <row r="5122" spans="1:5" x14ac:dyDescent="0.55000000000000004">
      <c r="A5122" t="s">
        <v>5203</v>
      </c>
      <c r="B5122" t="s">
        <v>84</v>
      </c>
      <c r="C5122" s="2">
        <v>43746</v>
      </c>
      <c r="D5122" t="s">
        <v>26</v>
      </c>
      <c r="E5122">
        <v>3000</v>
      </c>
    </row>
    <row r="5123" spans="1:5" x14ac:dyDescent="0.55000000000000004">
      <c r="A5123" t="s">
        <v>5204</v>
      </c>
      <c r="B5123" t="s">
        <v>74</v>
      </c>
      <c r="C5123" s="2">
        <v>43987</v>
      </c>
      <c r="D5123" t="s">
        <v>26</v>
      </c>
      <c r="E5123">
        <v>297</v>
      </c>
    </row>
    <row r="5124" spans="1:5" x14ac:dyDescent="0.55000000000000004">
      <c r="A5124" t="s">
        <v>5205</v>
      </c>
      <c r="B5124" t="s">
        <v>23</v>
      </c>
      <c r="C5124" s="2">
        <v>44115</v>
      </c>
      <c r="D5124" t="s">
        <v>29</v>
      </c>
      <c r="E5124">
        <v>2325</v>
      </c>
    </row>
    <row r="5125" spans="1:5" x14ac:dyDescent="0.55000000000000004">
      <c r="A5125" t="s">
        <v>5206</v>
      </c>
      <c r="B5125" t="s">
        <v>101</v>
      </c>
      <c r="C5125" s="2">
        <v>43852</v>
      </c>
      <c r="D5125" t="s">
        <v>26</v>
      </c>
      <c r="E5125">
        <v>2283</v>
      </c>
    </row>
    <row r="5126" spans="1:5" x14ac:dyDescent="0.55000000000000004">
      <c r="A5126" t="s">
        <v>5207</v>
      </c>
      <c r="B5126" t="s">
        <v>23</v>
      </c>
      <c r="C5126" s="2">
        <v>44925</v>
      </c>
      <c r="D5126" t="s">
        <v>29</v>
      </c>
      <c r="E5126">
        <v>963</v>
      </c>
    </row>
    <row r="5127" spans="1:5" x14ac:dyDescent="0.55000000000000004">
      <c r="A5127" t="s">
        <v>5208</v>
      </c>
      <c r="B5127" t="s">
        <v>140</v>
      </c>
      <c r="C5127" s="2">
        <v>44193</v>
      </c>
      <c r="D5127" t="s">
        <v>29</v>
      </c>
      <c r="E5127">
        <v>2239</v>
      </c>
    </row>
    <row r="5128" spans="1:5" x14ac:dyDescent="0.55000000000000004">
      <c r="A5128" t="s">
        <v>5209</v>
      </c>
      <c r="B5128" t="s">
        <v>76</v>
      </c>
      <c r="C5128" s="2">
        <v>43532</v>
      </c>
      <c r="D5128" t="s">
        <v>26</v>
      </c>
      <c r="E5128">
        <v>519</v>
      </c>
    </row>
    <row r="5129" spans="1:5" x14ac:dyDescent="0.55000000000000004">
      <c r="A5129" t="s">
        <v>5210</v>
      </c>
      <c r="B5129" t="s">
        <v>94</v>
      </c>
      <c r="C5129" s="2">
        <v>43620</v>
      </c>
      <c r="D5129" t="s">
        <v>29</v>
      </c>
      <c r="E5129">
        <v>138</v>
      </c>
    </row>
    <row r="5130" spans="1:5" x14ac:dyDescent="0.55000000000000004">
      <c r="A5130" t="s">
        <v>5211</v>
      </c>
      <c r="B5130" t="s">
        <v>32</v>
      </c>
      <c r="C5130" s="2">
        <v>44301</v>
      </c>
      <c r="D5130" t="s">
        <v>29</v>
      </c>
      <c r="E5130">
        <v>2945</v>
      </c>
    </row>
    <row r="5131" spans="1:5" x14ac:dyDescent="0.55000000000000004">
      <c r="A5131" t="s">
        <v>5212</v>
      </c>
      <c r="B5131" t="s">
        <v>32</v>
      </c>
      <c r="C5131" s="2">
        <v>44344</v>
      </c>
      <c r="D5131" t="s">
        <v>29</v>
      </c>
      <c r="E5131">
        <v>2655</v>
      </c>
    </row>
    <row r="5132" spans="1:5" x14ac:dyDescent="0.55000000000000004">
      <c r="A5132" t="s">
        <v>5213</v>
      </c>
      <c r="B5132" t="s">
        <v>72</v>
      </c>
      <c r="C5132" s="2">
        <v>43527</v>
      </c>
      <c r="D5132" t="s">
        <v>29</v>
      </c>
      <c r="E5132">
        <v>2497</v>
      </c>
    </row>
    <row r="5133" spans="1:5" x14ac:dyDescent="0.55000000000000004">
      <c r="A5133" t="s">
        <v>5214</v>
      </c>
      <c r="B5133" t="s">
        <v>67</v>
      </c>
      <c r="C5133" s="2">
        <v>45733</v>
      </c>
      <c r="D5133" t="s">
        <v>26</v>
      </c>
      <c r="E5133">
        <v>2651</v>
      </c>
    </row>
    <row r="5134" spans="1:5" x14ac:dyDescent="0.55000000000000004">
      <c r="A5134" t="s">
        <v>5215</v>
      </c>
      <c r="B5134" t="s">
        <v>74</v>
      </c>
      <c r="C5134" s="2">
        <v>43497</v>
      </c>
      <c r="D5134" t="s">
        <v>29</v>
      </c>
      <c r="E5134">
        <v>1850</v>
      </c>
    </row>
    <row r="5135" spans="1:5" x14ac:dyDescent="0.55000000000000004">
      <c r="A5135" t="s">
        <v>5216</v>
      </c>
      <c r="B5135" t="s">
        <v>35</v>
      </c>
      <c r="C5135" s="2">
        <v>44870</v>
      </c>
      <c r="D5135" t="s">
        <v>29</v>
      </c>
      <c r="E5135">
        <v>146</v>
      </c>
    </row>
    <row r="5136" spans="1:5" x14ac:dyDescent="0.55000000000000004">
      <c r="A5136" t="s">
        <v>5217</v>
      </c>
      <c r="B5136" t="s">
        <v>41</v>
      </c>
      <c r="C5136" s="2">
        <v>44734</v>
      </c>
      <c r="D5136" t="s">
        <v>26</v>
      </c>
      <c r="E5136">
        <v>1462</v>
      </c>
    </row>
    <row r="5137" spans="1:5" x14ac:dyDescent="0.55000000000000004">
      <c r="A5137" t="s">
        <v>5218</v>
      </c>
      <c r="B5137" t="s">
        <v>105</v>
      </c>
      <c r="C5137" s="2">
        <v>43398</v>
      </c>
      <c r="D5137" t="s">
        <v>29</v>
      </c>
      <c r="E5137">
        <v>1833</v>
      </c>
    </row>
    <row r="5138" spans="1:5" x14ac:dyDescent="0.55000000000000004">
      <c r="A5138" t="s">
        <v>5219</v>
      </c>
      <c r="B5138" t="s">
        <v>101</v>
      </c>
      <c r="C5138" s="2">
        <v>43895</v>
      </c>
      <c r="D5138" t="s">
        <v>26</v>
      </c>
      <c r="E5138">
        <v>2208</v>
      </c>
    </row>
    <row r="5139" spans="1:5" x14ac:dyDescent="0.55000000000000004">
      <c r="A5139" t="s">
        <v>5220</v>
      </c>
      <c r="B5139" t="s">
        <v>118</v>
      </c>
      <c r="C5139" s="2">
        <v>44230</v>
      </c>
      <c r="D5139" t="s">
        <v>26</v>
      </c>
      <c r="E5139">
        <v>2521</v>
      </c>
    </row>
    <row r="5140" spans="1:5" x14ac:dyDescent="0.55000000000000004">
      <c r="A5140" t="s">
        <v>5221</v>
      </c>
      <c r="B5140" t="s">
        <v>15</v>
      </c>
      <c r="C5140" s="2">
        <v>43479</v>
      </c>
      <c r="D5140" t="s">
        <v>29</v>
      </c>
      <c r="E5140">
        <v>319</v>
      </c>
    </row>
    <row r="5141" spans="1:5" x14ac:dyDescent="0.55000000000000004">
      <c r="A5141" t="s">
        <v>5222</v>
      </c>
      <c r="B5141" t="s">
        <v>32</v>
      </c>
      <c r="C5141" s="2">
        <v>43961</v>
      </c>
      <c r="D5141" t="s">
        <v>29</v>
      </c>
      <c r="E5141">
        <v>2027</v>
      </c>
    </row>
    <row r="5142" spans="1:5" x14ac:dyDescent="0.55000000000000004">
      <c r="A5142" t="s">
        <v>5223</v>
      </c>
      <c r="B5142" t="s">
        <v>32</v>
      </c>
      <c r="C5142" s="2">
        <v>44920</v>
      </c>
      <c r="D5142" t="s">
        <v>29</v>
      </c>
      <c r="E5142">
        <v>1574</v>
      </c>
    </row>
    <row r="5143" spans="1:5" x14ac:dyDescent="0.55000000000000004">
      <c r="A5143" t="s">
        <v>5224</v>
      </c>
      <c r="B5143" t="s">
        <v>99</v>
      </c>
      <c r="C5143" s="2">
        <v>44080</v>
      </c>
      <c r="D5143" t="s">
        <v>29</v>
      </c>
      <c r="E5143">
        <v>2071</v>
      </c>
    </row>
    <row r="5144" spans="1:5" x14ac:dyDescent="0.55000000000000004">
      <c r="A5144" t="s">
        <v>5225</v>
      </c>
      <c r="B5144" t="s">
        <v>96</v>
      </c>
      <c r="C5144" s="2">
        <v>44096</v>
      </c>
      <c r="D5144" t="s">
        <v>26</v>
      </c>
      <c r="E5144">
        <v>1311</v>
      </c>
    </row>
    <row r="5145" spans="1:5" x14ac:dyDescent="0.55000000000000004">
      <c r="A5145" t="s">
        <v>5226</v>
      </c>
      <c r="B5145" t="s">
        <v>67</v>
      </c>
      <c r="C5145" s="2">
        <v>45828</v>
      </c>
      <c r="D5145" t="s">
        <v>26</v>
      </c>
      <c r="E5145">
        <v>2023</v>
      </c>
    </row>
    <row r="5146" spans="1:5" x14ac:dyDescent="0.55000000000000004">
      <c r="A5146" t="s">
        <v>5227</v>
      </c>
      <c r="B5146" t="s">
        <v>78</v>
      </c>
      <c r="C5146" s="2">
        <v>43622</v>
      </c>
      <c r="D5146" t="s">
        <v>29</v>
      </c>
      <c r="E5146">
        <v>2791</v>
      </c>
    </row>
    <row r="5147" spans="1:5" x14ac:dyDescent="0.55000000000000004">
      <c r="A5147" t="s">
        <v>5228</v>
      </c>
      <c r="B5147" t="s">
        <v>67</v>
      </c>
      <c r="C5147" s="2">
        <v>43468</v>
      </c>
      <c r="D5147" t="s">
        <v>29</v>
      </c>
      <c r="E5147">
        <v>2635</v>
      </c>
    </row>
    <row r="5148" spans="1:5" x14ac:dyDescent="0.55000000000000004">
      <c r="A5148" t="s">
        <v>5229</v>
      </c>
      <c r="B5148" t="s">
        <v>105</v>
      </c>
      <c r="C5148" s="2">
        <v>44314</v>
      </c>
      <c r="D5148" t="s">
        <v>26</v>
      </c>
      <c r="E5148">
        <v>1510</v>
      </c>
    </row>
    <row r="5149" spans="1:5" x14ac:dyDescent="0.55000000000000004">
      <c r="A5149" t="s">
        <v>5230</v>
      </c>
      <c r="B5149" t="s">
        <v>142</v>
      </c>
      <c r="C5149" s="2">
        <v>44341</v>
      </c>
      <c r="D5149" t="s">
        <v>29</v>
      </c>
      <c r="E5149">
        <v>122</v>
      </c>
    </row>
    <row r="5150" spans="1:5" x14ac:dyDescent="0.55000000000000004">
      <c r="A5150" t="s">
        <v>5231</v>
      </c>
      <c r="B5150" t="s">
        <v>38</v>
      </c>
      <c r="C5150" s="2">
        <v>44569</v>
      </c>
      <c r="D5150" t="s">
        <v>29</v>
      </c>
      <c r="E5150">
        <v>1560</v>
      </c>
    </row>
    <row r="5151" spans="1:5" x14ac:dyDescent="0.55000000000000004">
      <c r="A5151" t="s">
        <v>5232</v>
      </c>
      <c r="B5151" t="s">
        <v>78</v>
      </c>
      <c r="C5151" s="2">
        <v>44825</v>
      </c>
      <c r="D5151" t="s">
        <v>29</v>
      </c>
      <c r="E5151">
        <v>2331</v>
      </c>
    </row>
    <row r="5152" spans="1:5" x14ac:dyDescent="0.55000000000000004">
      <c r="A5152" t="s">
        <v>5233</v>
      </c>
      <c r="B5152" t="s">
        <v>142</v>
      </c>
      <c r="C5152" s="2">
        <v>42979</v>
      </c>
      <c r="D5152" t="s">
        <v>26</v>
      </c>
      <c r="E5152">
        <v>687</v>
      </c>
    </row>
    <row r="5153" spans="1:5" x14ac:dyDescent="0.55000000000000004">
      <c r="A5153" t="s">
        <v>5234</v>
      </c>
      <c r="B5153" t="s">
        <v>84</v>
      </c>
      <c r="C5153" s="2">
        <v>44026</v>
      </c>
      <c r="D5153" t="s">
        <v>26</v>
      </c>
      <c r="E5153">
        <v>1403</v>
      </c>
    </row>
    <row r="5154" spans="1:5" x14ac:dyDescent="0.55000000000000004">
      <c r="A5154" t="s">
        <v>5235</v>
      </c>
      <c r="B5154" t="s">
        <v>76</v>
      </c>
      <c r="C5154" s="2">
        <v>45000</v>
      </c>
      <c r="D5154" t="s">
        <v>29</v>
      </c>
      <c r="E5154">
        <v>1028</v>
      </c>
    </row>
    <row r="5155" spans="1:5" x14ac:dyDescent="0.55000000000000004">
      <c r="A5155" t="s">
        <v>5236</v>
      </c>
      <c r="B5155" t="s">
        <v>105</v>
      </c>
      <c r="C5155" s="2">
        <v>43989</v>
      </c>
      <c r="D5155" t="s">
        <v>29</v>
      </c>
      <c r="E5155">
        <v>1886</v>
      </c>
    </row>
    <row r="5156" spans="1:5" x14ac:dyDescent="0.55000000000000004">
      <c r="A5156" t="s">
        <v>5237</v>
      </c>
      <c r="B5156" t="s">
        <v>23</v>
      </c>
      <c r="C5156" s="2">
        <v>44638</v>
      </c>
      <c r="D5156" t="s">
        <v>26</v>
      </c>
      <c r="E5156">
        <v>574</v>
      </c>
    </row>
    <row r="5157" spans="1:5" x14ac:dyDescent="0.55000000000000004">
      <c r="A5157" t="s">
        <v>5238</v>
      </c>
      <c r="B5157" t="s">
        <v>86</v>
      </c>
      <c r="C5157" s="2">
        <v>44169</v>
      </c>
      <c r="D5157" t="s">
        <v>29</v>
      </c>
      <c r="E5157">
        <v>760</v>
      </c>
    </row>
    <row r="5158" spans="1:5" x14ac:dyDescent="0.55000000000000004">
      <c r="A5158" t="s">
        <v>5239</v>
      </c>
      <c r="B5158" t="s">
        <v>35</v>
      </c>
      <c r="C5158" s="2">
        <v>44336</v>
      </c>
      <c r="D5158" t="s">
        <v>26</v>
      </c>
      <c r="E5158">
        <v>2799</v>
      </c>
    </row>
    <row r="5159" spans="1:5" x14ac:dyDescent="0.55000000000000004">
      <c r="A5159" t="s">
        <v>5240</v>
      </c>
      <c r="B5159" t="s">
        <v>99</v>
      </c>
      <c r="C5159" s="2">
        <v>45825</v>
      </c>
      <c r="D5159" t="s">
        <v>29</v>
      </c>
      <c r="E5159">
        <v>1603</v>
      </c>
    </row>
    <row r="5160" spans="1:5" x14ac:dyDescent="0.55000000000000004">
      <c r="A5160" t="s">
        <v>5241</v>
      </c>
      <c r="B5160" t="s">
        <v>175</v>
      </c>
      <c r="C5160" s="2">
        <v>44376</v>
      </c>
      <c r="D5160" t="s">
        <v>26</v>
      </c>
      <c r="E5160">
        <v>2237</v>
      </c>
    </row>
    <row r="5161" spans="1:5" x14ac:dyDescent="0.55000000000000004">
      <c r="A5161" t="s">
        <v>5242</v>
      </c>
      <c r="B5161" t="s">
        <v>94</v>
      </c>
      <c r="C5161" s="2">
        <v>45811</v>
      </c>
      <c r="D5161" t="s">
        <v>26</v>
      </c>
      <c r="E5161">
        <v>1393</v>
      </c>
    </row>
    <row r="5162" spans="1:5" x14ac:dyDescent="0.55000000000000004">
      <c r="A5162" t="s">
        <v>5243</v>
      </c>
      <c r="B5162" t="s">
        <v>101</v>
      </c>
      <c r="C5162" s="2">
        <v>43253</v>
      </c>
      <c r="D5162" t="s">
        <v>29</v>
      </c>
      <c r="E5162">
        <v>326</v>
      </c>
    </row>
    <row r="5163" spans="1:5" x14ac:dyDescent="0.55000000000000004">
      <c r="A5163" t="s">
        <v>5244</v>
      </c>
      <c r="B5163" t="s">
        <v>38</v>
      </c>
      <c r="C5163" s="2">
        <v>44502</v>
      </c>
      <c r="D5163" t="s">
        <v>26</v>
      </c>
      <c r="E5163">
        <v>2183</v>
      </c>
    </row>
    <row r="5164" spans="1:5" x14ac:dyDescent="0.55000000000000004">
      <c r="A5164" t="s">
        <v>5245</v>
      </c>
      <c r="B5164" t="s">
        <v>118</v>
      </c>
      <c r="C5164" s="2">
        <v>44849</v>
      </c>
      <c r="D5164" t="s">
        <v>29</v>
      </c>
      <c r="E5164">
        <v>728</v>
      </c>
    </row>
    <row r="5165" spans="1:5" x14ac:dyDescent="0.55000000000000004">
      <c r="A5165" t="s">
        <v>5246</v>
      </c>
      <c r="B5165" t="s">
        <v>111</v>
      </c>
      <c r="C5165" s="2">
        <v>43713</v>
      </c>
      <c r="D5165" t="s">
        <v>26</v>
      </c>
      <c r="E5165">
        <v>2357</v>
      </c>
    </row>
    <row r="5166" spans="1:5" x14ac:dyDescent="0.55000000000000004">
      <c r="A5166" t="s">
        <v>5247</v>
      </c>
      <c r="B5166" t="s">
        <v>105</v>
      </c>
      <c r="C5166" s="2">
        <v>43743</v>
      </c>
      <c r="D5166" t="s">
        <v>26</v>
      </c>
      <c r="E5166">
        <v>2845</v>
      </c>
    </row>
    <row r="5167" spans="1:5" x14ac:dyDescent="0.55000000000000004">
      <c r="A5167" t="s">
        <v>5248</v>
      </c>
      <c r="B5167" t="s">
        <v>63</v>
      </c>
      <c r="C5167" s="2">
        <v>43620</v>
      </c>
      <c r="D5167" t="s">
        <v>29</v>
      </c>
      <c r="E5167">
        <v>418</v>
      </c>
    </row>
    <row r="5168" spans="1:5" x14ac:dyDescent="0.55000000000000004">
      <c r="A5168" t="s">
        <v>5249</v>
      </c>
      <c r="B5168" t="s">
        <v>63</v>
      </c>
      <c r="C5168" s="2">
        <v>43950</v>
      </c>
      <c r="D5168" t="s">
        <v>26</v>
      </c>
      <c r="E5168">
        <v>2293</v>
      </c>
    </row>
    <row r="5169" spans="1:5" x14ac:dyDescent="0.55000000000000004">
      <c r="A5169" t="s">
        <v>5250</v>
      </c>
      <c r="B5169" t="s">
        <v>41</v>
      </c>
      <c r="C5169" s="2">
        <v>44632</v>
      </c>
      <c r="D5169" t="s">
        <v>29</v>
      </c>
      <c r="E5169">
        <v>1498</v>
      </c>
    </row>
    <row r="5170" spans="1:5" x14ac:dyDescent="0.55000000000000004">
      <c r="A5170" t="s">
        <v>5251</v>
      </c>
      <c r="B5170" t="s">
        <v>14</v>
      </c>
      <c r="C5170" s="2">
        <v>44239</v>
      </c>
      <c r="D5170" t="s">
        <v>29</v>
      </c>
      <c r="E5170">
        <v>2125</v>
      </c>
    </row>
    <row r="5171" spans="1:5" x14ac:dyDescent="0.55000000000000004">
      <c r="A5171" t="s">
        <v>5252</v>
      </c>
      <c r="B5171" t="s">
        <v>84</v>
      </c>
      <c r="C5171" s="2">
        <v>43708</v>
      </c>
      <c r="D5171" t="s">
        <v>29</v>
      </c>
      <c r="E5171">
        <v>64</v>
      </c>
    </row>
    <row r="5172" spans="1:5" x14ac:dyDescent="0.55000000000000004">
      <c r="A5172" t="s">
        <v>5253</v>
      </c>
      <c r="B5172" t="s">
        <v>32</v>
      </c>
      <c r="C5172" s="2">
        <v>44487</v>
      </c>
      <c r="D5172" t="s">
        <v>29</v>
      </c>
      <c r="E5172">
        <v>2785</v>
      </c>
    </row>
    <row r="5173" spans="1:5" x14ac:dyDescent="0.55000000000000004">
      <c r="A5173" t="s">
        <v>5254</v>
      </c>
      <c r="B5173" t="s">
        <v>156</v>
      </c>
      <c r="C5173" s="2">
        <v>43452</v>
      </c>
      <c r="D5173" t="s">
        <v>26</v>
      </c>
      <c r="E5173">
        <v>31</v>
      </c>
    </row>
    <row r="5174" spans="1:5" x14ac:dyDescent="0.55000000000000004">
      <c r="A5174" t="s">
        <v>5255</v>
      </c>
      <c r="B5174" t="s">
        <v>151</v>
      </c>
      <c r="C5174" s="2">
        <v>43544</v>
      </c>
      <c r="D5174" t="s">
        <v>26</v>
      </c>
      <c r="E5174">
        <v>2766</v>
      </c>
    </row>
    <row r="5175" spans="1:5" x14ac:dyDescent="0.55000000000000004">
      <c r="A5175" t="s">
        <v>5256</v>
      </c>
      <c r="B5175" t="s">
        <v>94</v>
      </c>
      <c r="C5175" s="2">
        <v>45564</v>
      </c>
      <c r="D5175" t="s">
        <v>26</v>
      </c>
      <c r="E5175">
        <v>463</v>
      </c>
    </row>
    <row r="5176" spans="1:5" x14ac:dyDescent="0.55000000000000004">
      <c r="A5176" t="s">
        <v>5257</v>
      </c>
      <c r="B5176" t="s">
        <v>96</v>
      </c>
      <c r="C5176" s="2">
        <v>45449</v>
      </c>
      <c r="D5176" t="s">
        <v>26</v>
      </c>
      <c r="E5176">
        <v>192</v>
      </c>
    </row>
    <row r="5177" spans="1:5" x14ac:dyDescent="0.55000000000000004">
      <c r="A5177" t="s">
        <v>5258</v>
      </c>
      <c r="B5177" t="s">
        <v>151</v>
      </c>
      <c r="C5177" s="2">
        <v>43985</v>
      </c>
      <c r="D5177" t="s">
        <v>29</v>
      </c>
      <c r="E5177">
        <v>2383</v>
      </c>
    </row>
    <row r="5178" spans="1:5" x14ac:dyDescent="0.55000000000000004">
      <c r="A5178" t="s">
        <v>5259</v>
      </c>
      <c r="B5178" t="s">
        <v>63</v>
      </c>
      <c r="C5178" s="2">
        <v>43468</v>
      </c>
      <c r="D5178" t="s">
        <v>26</v>
      </c>
      <c r="E5178">
        <v>352</v>
      </c>
    </row>
    <row r="5179" spans="1:5" x14ac:dyDescent="0.55000000000000004">
      <c r="A5179" t="s">
        <v>5260</v>
      </c>
      <c r="B5179" t="s">
        <v>175</v>
      </c>
      <c r="C5179" s="2">
        <v>44957</v>
      </c>
      <c r="D5179" t="s">
        <v>26</v>
      </c>
      <c r="E5179">
        <v>1615</v>
      </c>
    </row>
    <row r="5180" spans="1:5" x14ac:dyDescent="0.55000000000000004">
      <c r="A5180" t="s">
        <v>5261</v>
      </c>
      <c r="B5180" t="s">
        <v>156</v>
      </c>
      <c r="C5180" s="2">
        <v>43097</v>
      </c>
      <c r="D5180" t="s">
        <v>29</v>
      </c>
      <c r="E5180">
        <v>1202</v>
      </c>
    </row>
    <row r="5181" spans="1:5" x14ac:dyDescent="0.55000000000000004">
      <c r="A5181" t="s">
        <v>5262</v>
      </c>
      <c r="B5181" t="s">
        <v>15</v>
      </c>
      <c r="C5181" s="2">
        <v>43137</v>
      </c>
      <c r="D5181" t="s">
        <v>29</v>
      </c>
      <c r="E5181">
        <v>1342</v>
      </c>
    </row>
    <row r="5182" spans="1:5" x14ac:dyDescent="0.55000000000000004">
      <c r="A5182" t="s">
        <v>5263</v>
      </c>
      <c r="B5182" t="s">
        <v>151</v>
      </c>
      <c r="C5182" s="2">
        <v>43136</v>
      </c>
      <c r="D5182" t="s">
        <v>26</v>
      </c>
      <c r="E5182">
        <v>2985</v>
      </c>
    </row>
    <row r="5183" spans="1:5" x14ac:dyDescent="0.55000000000000004">
      <c r="A5183" t="s">
        <v>5264</v>
      </c>
      <c r="B5183" t="s">
        <v>105</v>
      </c>
      <c r="C5183" s="2">
        <v>43666</v>
      </c>
      <c r="D5183" t="s">
        <v>26</v>
      </c>
      <c r="E5183">
        <v>1718</v>
      </c>
    </row>
    <row r="5184" spans="1:5" x14ac:dyDescent="0.55000000000000004">
      <c r="A5184" t="s">
        <v>5265</v>
      </c>
      <c r="B5184" t="s">
        <v>96</v>
      </c>
      <c r="C5184" s="2">
        <v>45614</v>
      </c>
      <c r="D5184" t="s">
        <v>26</v>
      </c>
      <c r="E5184">
        <v>975</v>
      </c>
    </row>
    <row r="5185" spans="1:5" x14ac:dyDescent="0.55000000000000004">
      <c r="A5185" t="s">
        <v>5266</v>
      </c>
      <c r="B5185" t="s">
        <v>137</v>
      </c>
      <c r="C5185" s="2">
        <v>45211</v>
      </c>
      <c r="D5185" t="s">
        <v>29</v>
      </c>
      <c r="E5185">
        <v>1299</v>
      </c>
    </row>
    <row r="5186" spans="1:5" x14ac:dyDescent="0.55000000000000004">
      <c r="A5186" t="s">
        <v>5267</v>
      </c>
      <c r="B5186" t="s">
        <v>142</v>
      </c>
      <c r="C5186" s="2">
        <v>42949</v>
      </c>
      <c r="D5186" t="s">
        <v>29</v>
      </c>
      <c r="E5186">
        <v>613</v>
      </c>
    </row>
    <row r="5187" spans="1:5" x14ac:dyDescent="0.55000000000000004">
      <c r="A5187" t="s">
        <v>5268</v>
      </c>
      <c r="B5187" t="s">
        <v>41</v>
      </c>
      <c r="C5187" s="2">
        <v>44054</v>
      </c>
      <c r="D5187" t="s">
        <v>29</v>
      </c>
      <c r="E5187">
        <v>356</v>
      </c>
    </row>
    <row r="5188" spans="1:5" x14ac:dyDescent="0.55000000000000004">
      <c r="A5188" t="s">
        <v>5269</v>
      </c>
      <c r="B5188" t="s">
        <v>142</v>
      </c>
      <c r="C5188" s="2">
        <v>44506</v>
      </c>
      <c r="D5188" t="s">
        <v>29</v>
      </c>
      <c r="E5188">
        <v>726</v>
      </c>
    </row>
    <row r="5189" spans="1:5" x14ac:dyDescent="0.55000000000000004">
      <c r="A5189" t="s">
        <v>5270</v>
      </c>
      <c r="B5189" t="s">
        <v>15</v>
      </c>
      <c r="C5189" s="2">
        <v>43701</v>
      </c>
      <c r="D5189" t="s">
        <v>26</v>
      </c>
      <c r="E5189">
        <v>2851</v>
      </c>
    </row>
    <row r="5190" spans="1:5" x14ac:dyDescent="0.55000000000000004">
      <c r="A5190" t="s">
        <v>5271</v>
      </c>
      <c r="B5190" t="s">
        <v>23</v>
      </c>
      <c r="C5190" s="2">
        <v>44903</v>
      </c>
      <c r="D5190" t="s">
        <v>29</v>
      </c>
      <c r="E5190">
        <v>2299</v>
      </c>
    </row>
    <row r="5191" spans="1:5" x14ac:dyDescent="0.55000000000000004">
      <c r="A5191" t="s">
        <v>5272</v>
      </c>
      <c r="B5191" t="s">
        <v>142</v>
      </c>
      <c r="C5191" s="2">
        <v>44156</v>
      </c>
      <c r="D5191" t="s">
        <v>26</v>
      </c>
      <c r="E5191">
        <v>1957</v>
      </c>
    </row>
    <row r="5192" spans="1:5" x14ac:dyDescent="0.55000000000000004">
      <c r="A5192" t="s">
        <v>5273</v>
      </c>
      <c r="B5192" t="s">
        <v>14</v>
      </c>
      <c r="C5192" s="2">
        <v>43473</v>
      </c>
      <c r="D5192" t="s">
        <v>29</v>
      </c>
      <c r="E5192">
        <v>531</v>
      </c>
    </row>
    <row r="5193" spans="1:5" x14ac:dyDescent="0.55000000000000004">
      <c r="A5193" t="s">
        <v>5274</v>
      </c>
      <c r="B5193" t="s">
        <v>63</v>
      </c>
      <c r="C5193" s="2">
        <v>43970</v>
      </c>
      <c r="D5193" t="s">
        <v>29</v>
      </c>
      <c r="E5193">
        <v>1647</v>
      </c>
    </row>
    <row r="5194" spans="1:5" x14ac:dyDescent="0.55000000000000004">
      <c r="A5194" t="s">
        <v>5275</v>
      </c>
      <c r="B5194" t="s">
        <v>105</v>
      </c>
      <c r="C5194" s="2">
        <v>43197</v>
      </c>
      <c r="D5194" t="s">
        <v>29</v>
      </c>
      <c r="E5194">
        <v>2283</v>
      </c>
    </row>
    <row r="5195" spans="1:5" x14ac:dyDescent="0.55000000000000004">
      <c r="A5195" t="s">
        <v>5276</v>
      </c>
      <c r="B5195" t="s">
        <v>137</v>
      </c>
      <c r="C5195" s="2">
        <v>45219</v>
      </c>
      <c r="D5195" t="s">
        <v>29</v>
      </c>
      <c r="E5195">
        <v>239</v>
      </c>
    </row>
    <row r="5196" spans="1:5" x14ac:dyDescent="0.55000000000000004">
      <c r="A5196" t="s">
        <v>5277</v>
      </c>
      <c r="B5196" t="s">
        <v>111</v>
      </c>
      <c r="C5196" s="2">
        <v>44499</v>
      </c>
      <c r="D5196" t="s">
        <v>29</v>
      </c>
      <c r="E5196">
        <v>1842</v>
      </c>
    </row>
    <row r="5197" spans="1:5" x14ac:dyDescent="0.55000000000000004">
      <c r="A5197" t="s">
        <v>5278</v>
      </c>
      <c r="B5197" t="s">
        <v>99</v>
      </c>
      <c r="C5197" s="2">
        <v>45277</v>
      </c>
      <c r="D5197" t="s">
        <v>29</v>
      </c>
      <c r="E5197">
        <v>1223</v>
      </c>
    </row>
    <row r="5198" spans="1:5" x14ac:dyDescent="0.55000000000000004">
      <c r="A5198" t="s">
        <v>5279</v>
      </c>
      <c r="B5198" t="s">
        <v>76</v>
      </c>
      <c r="C5198" s="2">
        <v>44152</v>
      </c>
      <c r="D5198" t="s">
        <v>26</v>
      </c>
      <c r="E5198">
        <v>2018</v>
      </c>
    </row>
    <row r="5199" spans="1:5" x14ac:dyDescent="0.55000000000000004">
      <c r="A5199" t="s">
        <v>5280</v>
      </c>
      <c r="B5199" t="s">
        <v>41</v>
      </c>
      <c r="C5199" s="2">
        <v>44522</v>
      </c>
      <c r="D5199" t="s">
        <v>29</v>
      </c>
      <c r="E5199">
        <v>2741</v>
      </c>
    </row>
    <row r="5200" spans="1:5" x14ac:dyDescent="0.55000000000000004">
      <c r="A5200" t="s">
        <v>5281</v>
      </c>
      <c r="B5200" t="s">
        <v>84</v>
      </c>
      <c r="C5200" s="2">
        <v>44025</v>
      </c>
      <c r="D5200" t="s">
        <v>29</v>
      </c>
      <c r="E5200">
        <v>2409</v>
      </c>
    </row>
    <row r="5201" spans="1:5" x14ac:dyDescent="0.55000000000000004">
      <c r="A5201" t="s">
        <v>5282</v>
      </c>
      <c r="B5201" t="s">
        <v>140</v>
      </c>
      <c r="C5201" s="2">
        <v>43661</v>
      </c>
      <c r="D5201" t="s">
        <v>29</v>
      </c>
      <c r="E5201">
        <v>2919</v>
      </c>
    </row>
    <row r="5202" spans="1:5" x14ac:dyDescent="0.55000000000000004">
      <c r="A5202" t="s">
        <v>5283</v>
      </c>
      <c r="B5202" t="s">
        <v>175</v>
      </c>
      <c r="C5202" s="2">
        <v>44645</v>
      </c>
      <c r="D5202" t="s">
        <v>26</v>
      </c>
      <c r="E5202">
        <v>2056</v>
      </c>
    </row>
    <row r="5203" spans="1:5" x14ac:dyDescent="0.55000000000000004">
      <c r="A5203" t="s">
        <v>5284</v>
      </c>
      <c r="B5203" t="s">
        <v>72</v>
      </c>
      <c r="C5203" s="2">
        <v>43540</v>
      </c>
      <c r="D5203" t="s">
        <v>26</v>
      </c>
      <c r="E5203">
        <v>339</v>
      </c>
    </row>
    <row r="5204" spans="1:5" x14ac:dyDescent="0.55000000000000004">
      <c r="A5204" t="s">
        <v>5285</v>
      </c>
      <c r="B5204" t="s">
        <v>137</v>
      </c>
      <c r="C5204" s="2">
        <v>45219</v>
      </c>
      <c r="D5204" t="s">
        <v>29</v>
      </c>
      <c r="E5204">
        <v>104</v>
      </c>
    </row>
    <row r="5205" spans="1:5" x14ac:dyDescent="0.55000000000000004">
      <c r="A5205" t="s">
        <v>5286</v>
      </c>
      <c r="B5205" t="s">
        <v>72</v>
      </c>
      <c r="C5205" s="2">
        <v>42929</v>
      </c>
      <c r="D5205" t="s">
        <v>26</v>
      </c>
      <c r="E5205">
        <v>175</v>
      </c>
    </row>
    <row r="5206" spans="1:5" x14ac:dyDescent="0.55000000000000004">
      <c r="A5206" t="s">
        <v>5287</v>
      </c>
      <c r="B5206" t="s">
        <v>72</v>
      </c>
      <c r="C5206" s="2">
        <v>44558</v>
      </c>
      <c r="D5206" t="s">
        <v>29</v>
      </c>
      <c r="E5206">
        <v>1525</v>
      </c>
    </row>
    <row r="5207" spans="1:5" x14ac:dyDescent="0.55000000000000004">
      <c r="A5207" t="s">
        <v>5288</v>
      </c>
      <c r="B5207" t="s">
        <v>35</v>
      </c>
      <c r="C5207" s="2">
        <v>44301</v>
      </c>
      <c r="D5207" t="s">
        <v>26</v>
      </c>
      <c r="E5207">
        <v>297</v>
      </c>
    </row>
    <row r="5208" spans="1:5" x14ac:dyDescent="0.55000000000000004">
      <c r="A5208" t="s">
        <v>5289</v>
      </c>
      <c r="B5208" t="s">
        <v>63</v>
      </c>
      <c r="C5208" s="2">
        <v>43185</v>
      </c>
      <c r="D5208" t="s">
        <v>26</v>
      </c>
      <c r="E5208">
        <v>1335</v>
      </c>
    </row>
    <row r="5209" spans="1:5" x14ac:dyDescent="0.55000000000000004">
      <c r="A5209" t="s">
        <v>5290</v>
      </c>
      <c r="B5209" t="s">
        <v>76</v>
      </c>
      <c r="C5209" s="2">
        <v>44765</v>
      </c>
      <c r="D5209" t="s">
        <v>26</v>
      </c>
      <c r="E5209">
        <v>853</v>
      </c>
    </row>
    <row r="5210" spans="1:5" x14ac:dyDescent="0.55000000000000004">
      <c r="A5210" t="s">
        <v>5291</v>
      </c>
      <c r="B5210" t="s">
        <v>14</v>
      </c>
      <c r="C5210" s="2">
        <v>43580</v>
      </c>
      <c r="D5210" t="s">
        <v>29</v>
      </c>
      <c r="E5210">
        <v>1968</v>
      </c>
    </row>
    <row r="5211" spans="1:5" x14ac:dyDescent="0.55000000000000004">
      <c r="A5211" t="s">
        <v>5292</v>
      </c>
      <c r="B5211" t="s">
        <v>142</v>
      </c>
      <c r="C5211" s="2">
        <v>43985</v>
      </c>
      <c r="D5211" t="s">
        <v>26</v>
      </c>
      <c r="E5211">
        <v>2594</v>
      </c>
    </row>
    <row r="5212" spans="1:5" x14ac:dyDescent="0.55000000000000004">
      <c r="A5212" t="s">
        <v>5293</v>
      </c>
      <c r="B5212" t="s">
        <v>35</v>
      </c>
      <c r="C5212" s="2">
        <v>44702</v>
      </c>
      <c r="D5212" t="s">
        <v>26</v>
      </c>
      <c r="E5212">
        <v>2793</v>
      </c>
    </row>
    <row r="5213" spans="1:5" x14ac:dyDescent="0.55000000000000004">
      <c r="A5213" t="s">
        <v>5294</v>
      </c>
      <c r="B5213" t="s">
        <v>115</v>
      </c>
      <c r="C5213" s="2">
        <v>43498</v>
      </c>
      <c r="D5213" t="s">
        <v>29</v>
      </c>
      <c r="E5213">
        <v>1164</v>
      </c>
    </row>
    <row r="5214" spans="1:5" x14ac:dyDescent="0.55000000000000004">
      <c r="A5214" t="s">
        <v>5295</v>
      </c>
      <c r="B5214" t="s">
        <v>76</v>
      </c>
      <c r="C5214" s="2">
        <v>45595</v>
      </c>
      <c r="D5214" t="s">
        <v>29</v>
      </c>
      <c r="E5214">
        <v>1580</v>
      </c>
    </row>
    <row r="5215" spans="1:5" x14ac:dyDescent="0.55000000000000004">
      <c r="A5215" t="s">
        <v>5296</v>
      </c>
      <c r="B5215" t="s">
        <v>23</v>
      </c>
      <c r="C5215" s="2">
        <v>44835</v>
      </c>
      <c r="D5215" t="s">
        <v>26</v>
      </c>
      <c r="E5215">
        <v>2046</v>
      </c>
    </row>
    <row r="5216" spans="1:5" x14ac:dyDescent="0.55000000000000004">
      <c r="A5216" t="s">
        <v>5297</v>
      </c>
      <c r="B5216" t="s">
        <v>76</v>
      </c>
      <c r="C5216" s="2">
        <v>44375</v>
      </c>
      <c r="D5216" t="s">
        <v>29</v>
      </c>
      <c r="E5216">
        <v>1839</v>
      </c>
    </row>
    <row r="5217" spans="1:5" x14ac:dyDescent="0.55000000000000004">
      <c r="A5217" t="s">
        <v>5298</v>
      </c>
      <c r="B5217" t="s">
        <v>94</v>
      </c>
      <c r="C5217" s="2">
        <v>45272</v>
      </c>
      <c r="D5217" t="s">
        <v>29</v>
      </c>
      <c r="E5217">
        <v>2634</v>
      </c>
    </row>
    <row r="5218" spans="1:5" x14ac:dyDescent="0.55000000000000004">
      <c r="A5218" t="s">
        <v>5299</v>
      </c>
      <c r="B5218" t="s">
        <v>140</v>
      </c>
      <c r="C5218" s="2">
        <v>43223</v>
      </c>
      <c r="D5218" t="s">
        <v>26</v>
      </c>
      <c r="E5218">
        <v>531</v>
      </c>
    </row>
    <row r="5219" spans="1:5" x14ac:dyDescent="0.55000000000000004">
      <c r="A5219" t="s">
        <v>5300</v>
      </c>
      <c r="B5219" t="s">
        <v>86</v>
      </c>
      <c r="C5219" s="2">
        <v>43972</v>
      </c>
      <c r="D5219" t="s">
        <v>26</v>
      </c>
      <c r="E5219">
        <v>1510</v>
      </c>
    </row>
    <row r="5220" spans="1:5" x14ac:dyDescent="0.55000000000000004">
      <c r="A5220" t="s">
        <v>5301</v>
      </c>
      <c r="B5220" t="s">
        <v>156</v>
      </c>
      <c r="C5220" s="2">
        <v>43345</v>
      </c>
      <c r="D5220" t="s">
        <v>26</v>
      </c>
      <c r="E5220">
        <v>2153</v>
      </c>
    </row>
    <row r="5221" spans="1:5" x14ac:dyDescent="0.55000000000000004">
      <c r="A5221" t="s">
        <v>5302</v>
      </c>
      <c r="B5221" t="s">
        <v>151</v>
      </c>
      <c r="C5221" s="2">
        <v>43271</v>
      </c>
      <c r="D5221" t="s">
        <v>26</v>
      </c>
      <c r="E5221">
        <v>547</v>
      </c>
    </row>
    <row r="5222" spans="1:5" x14ac:dyDescent="0.55000000000000004">
      <c r="A5222" t="s">
        <v>5303</v>
      </c>
      <c r="B5222" t="s">
        <v>151</v>
      </c>
      <c r="C5222" s="2">
        <v>43045</v>
      </c>
      <c r="D5222" t="s">
        <v>26</v>
      </c>
      <c r="E5222">
        <v>819</v>
      </c>
    </row>
    <row r="5223" spans="1:5" x14ac:dyDescent="0.55000000000000004">
      <c r="A5223" t="s">
        <v>5304</v>
      </c>
      <c r="B5223" t="s">
        <v>32</v>
      </c>
      <c r="C5223" s="2">
        <v>44124</v>
      </c>
      <c r="D5223" t="s">
        <v>26</v>
      </c>
      <c r="E5223">
        <v>2567</v>
      </c>
    </row>
    <row r="5224" spans="1:5" x14ac:dyDescent="0.55000000000000004">
      <c r="A5224" t="s">
        <v>5305</v>
      </c>
      <c r="B5224" t="s">
        <v>156</v>
      </c>
      <c r="C5224" s="2">
        <v>44195</v>
      </c>
      <c r="D5224" t="s">
        <v>26</v>
      </c>
      <c r="E5224">
        <v>241</v>
      </c>
    </row>
    <row r="5225" spans="1:5" x14ac:dyDescent="0.55000000000000004">
      <c r="A5225" t="s">
        <v>5306</v>
      </c>
      <c r="B5225" t="s">
        <v>101</v>
      </c>
      <c r="C5225" s="2">
        <v>44429</v>
      </c>
      <c r="D5225" t="s">
        <v>26</v>
      </c>
      <c r="E5225">
        <v>368</v>
      </c>
    </row>
    <row r="5226" spans="1:5" x14ac:dyDescent="0.55000000000000004">
      <c r="A5226" t="s">
        <v>5307</v>
      </c>
      <c r="B5226" t="s">
        <v>67</v>
      </c>
      <c r="C5226" s="2">
        <v>44468</v>
      </c>
      <c r="D5226" t="s">
        <v>29</v>
      </c>
      <c r="E5226">
        <v>1074</v>
      </c>
    </row>
    <row r="5227" spans="1:5" x14ac:dyDescent="0.55000000000000004">
      <c r="A5227" t="s">
        <v>5308</v>
      </c>
      <c r="B5227" t="s">
        <v>96</v>
      </c>
      <c r="C5227" s="2">
        <v>44121</v>
      </c>
      <c r="D5227" t="s">
        <v>26</v>
      </c>
      <c r="E5227">
        <v>2939</v>
      </c>
    </row>
    <row r="5228" spans="1:5" x14ac:dyDescent="0.55000000000000004">
      <c r="A5228" t="s">
        <v>5309</v>
      </c>
      <c r="B5228" t="s">
        <v>99</v>
      </c>
      <c r="C5228" s="2">
        <v>45363</v>
      </c>
      <c r="D5228" t="s">
        <v>29</v>
      </c>
      <c r="E5228">
        <v>99</v>
      </c>
    </row>
    <row r="5229" spans="1:5" x14ac:dyDescent="0.55000000000000004">
      <c r="A5229" t="s">
        <v>5310</v>
      </c>
      <c r="B5229" t="s">
        <v>99</v>
      </c>
      <c r="C5229" s="2">
        <v>44142</v>
      </c>
      <c r="D5229" t="s">
        <v>29</v>
      </c>
      <c r="E5229">
        <v>1654</v>
      </c>
    </row>
    <row r="5230" spans="1:5" x14ac:dyDescent="0.55000000000000004">
      <c r="A5230" t="s">
        <v>5311</v>
      </c>
      <c r="B5230" t="s">
        <v>67</v>
      </c>
      <c r="C5230" s="2">
        <v>43822</v>
      </c>
      <c r="D5230" t="s">
        <v>29</v>
      </c>
      <c r="E5230">
        <v>724</v>
      </c>
    </row>
    <row r="5231" spans="1:5" x14ac:dyDescent="0.55000000000000004">
      <c r="A5231" t="s">
        <v>5312</v>
      </c>
      <c r="B5231" t="s">
        <v>137</v>
      </c>
      <c r="C5231" s="2">
        <v>44206</v>
      </c>
      <c r="D5231" t="s">
        <v>29</v>
      </c>
      <c r="E5231">
        <v>1966</v>
      </c>
    </row>
    <row r="5232" spans="1:5" x14ac:dyDescent="0.55000000000000004">
      <c r="A5232" t="s">
        <v>5313</v>
      </c>
      <c r="B5232" t="s">
        <v>15</v>
      </c>
      <c r="C5232" s="2">
        <v>43574</v>
      </c>
      <c r="D5232" t="s">
        <v>29</v>
      </c>
      <c r="E5232">
        <v>1487</v>
      </c>
    </row>
    <row r="5233" spans="1:5" x14ac:dyDescent="0.55000000000000004">
      <c r="A5233" t="s">
        <v>5314</v>
      </c>
      <c r="B5233" t="s">
        <v>99</v>
      </c>
      <c r="C5233" s="2">
        <v>44554</v>
      </c>
      <c r="D5233" t="s">
        <v>29</v>
      </c>
      <c r="E5233">
        <v>555</v>
      </c>
    </row>
    <row r="5234" spans="1:5" x14ac:dyDescent="0.55000000000000004">
      <c r="A5234" t="s">
        <v>5315</v>
      </c>
      <c r="B5234" t="s">
        <v>101</v>
      </c>
      <c r="C5234" s="2">
        <v>43233</v>
      </c>
      <c r="D5234" t="s">
        <v>26</v>
      </c>
      <c r="E5234">
        <v>1332</v>
      </c>
    </row>
    <row r="5235" spans="1:5" x14ac:dyDescent="0.55000000000000004">
      <c r="A5235" t="s">
        <v>5316</v>
      </c>
      <c r="B5235" t="s">
        <v>72</v>
      </c>
      <c r="C5235" s="2">
        <v>44183</v>
      </c>
      <c r="D5235" t="s">
        <v>26</v>
      </c>
      <c r="E5235">
        <v>2092</v>
      </c>
    </row>
    <row r="5236" spans="1:5" x14ac:dyDescent="0.55000000000000004">
      <c r="A5236" t="s">
        <v>5317</v>
      </c>
      <c r="B5236" t="s">
        <v>175</v>
      </c>
      <c r="C5236" s="2">
        <v>45323</v>
      </c>
      <c r="D5236" t="s">
        <v>29</v>
      </c>
      <c r="E5236">
        <v>2693</v>
      </c>
    </row>
    <row r="5237" spans="1:5" x14ac:dyDescent="0.55000000000000004">
      <c r="A5237" t="s">
        <v>5318</v>
      </c>
      <c r="B5237" t="s">
        <v>99</v>
      </c>
      <c r="C5237" s="2">
        <v>44453</v>
      </c>
      <c r="D5237" t="s">
        <v>26</v>
      </c>
      <c r="E5237">
        <v>1607</v>
      </c>
    </row>
    <row r="5238" spans="1:5" x14ac:dyDescent="0.55000000000000004">
      <c r="A5238" t="s">
        <v>5319</v>
      </c>
      <c r="B5238" t="s">
        <v>142</v>
      </c>
      <c r="C5238" s="2">
        <v>44042</v>
      </c>
      <c r="D5238" t="s">
        <v>26</v>
      </c>
      <c r="E5238">
        <v>2942</v>
      </c>
    </row>
    <row r="5239" spans="1:5" x14ac:dyDescent="0.55000000000000004">
      <c r="A5239" t="s">
        <v>5320</v>
      </c>
      <c r="B5239" t="s">
        <v>15</v>
      </c>
      <c r="C5239" s="2">
        <v>43164</v>
      </c>
      <c r="D5239" t="s">
        <v>29</v>
      </c>
      <c r="E5239">
        <v>719</v>
      </c>
    </row>
    <row r="5240" spans="1:5" x14ac:dyDescent="0.55000000000000004">
      <c r="A5240" t="s">
        <v>5321</v>
      </c>
      <c r="B5240" t="s">
        <v>74</v>
      </c>
      <c r="C5240" s="2">
        <v>43853</v>
      </c>
      <c r="D5240" t="s">
        <v>26</v>
      </c>
      <c r="E5240">
        <v>812</v>
      </c>
    </row>
    <row r="5241" spans="1:5" x14ac:dyDescent="0.55000000000000004">
      <c r="A5241" t="s">
        <v>5322</v>
      </c>
      <c r="B5241" t="s">
        <v>15</v>
      </c>
      <c r="C5241" s="2">
        <v>44529</v>
      </c>
      <c r="D5241" t="s">
        <v>26</v>
      </c>
      <c r="E5241">
        <v>2312</v>
      </c>
    </row>
    <row r="5242" spans="1:5" x14ac:dyDescent="0.55000000000000004">
      <c r="A5242" t="s">
        <v>5323</v>
      </c>
      <c r="B5242" t="s">
        <v>35</v>
      </c>
      <c r="C5242" s="2">
        <v>44212</v>
      </c>
      <c r="D5242" t="s">
        <v>26</v>
      </c>
      <c r="E5242">
        <v>1334</v>
      </c>
    </row>
    <row r="5243" spans="1:5" x14ac:dyDescent="0.55000000000000004">
      <c r="A5243" t="s">
        <v>5324</v>
      </c>
      <c r="B5243" t="s">
        <v>105</v>
      </c>
      <c r="C5243" s="2">
        <v>43270</v>
      </c>
      <c r="D5243" t="s">
        <v>26</v>
      </c>
      <c r="E5243">
        <v>2361</v>
      </c>
    </row>
    <row r="5244" spans="1:5" x14ac:dyDescent="0.55000000000000004">
      <c r="A5244" t="s">
        <v>5325</v>
      </c>
      <c r="B5244" t="s">
        <v>23</v>
      </c>
      <c r="C5244" s="2">
        <v>44269</v>
      </c>
      <c r="D5244" t="s">
        <v>29</v>
      </c>
      <c r="E5244">
        <v>701</v>
      </c>
    </row>
    <row r="5245" spans="1:5" x14ac:dyDescent="0.55000000000000004">
      <c r="A5245" t="s">
        <v>5326</v>
      </c>
      <c r="B5245" t="s">
        <v>115</v>
      </c>
      <c r="C5245" s="2">
        <v>44417</v>
      </c>
      <c r="D5245" t="s">
        <v>29</v>
      </c>
      <c r="E5245">
        <v>1339</v>
      </c>
    </row>
    <row r="5246" spans="1:5" x14ac:dyDescent="0.55000000000000004">
      <c r="A5246" t="s">
        <v>5327</v>
      </c>
      <c r="B5246" t="s">
        <v>38</v>
      </c>
      <c r="C5246" s="2">
        <v>43985</v>
      </c>
      <c r="D5246" t="s">
        <v>29</v>
      </c>
      <c r="E5246">
        <v>967</v>
      </c>
    </row>
    <row r="5247" spans="1:5" x14ac:dyDescent="0.55000000000000004">
      <c r="A5247" t="s">
        <v>5328</v>
      </c>
      <c r="B5247" t="s">
        <v>99</v>
      </c>
      <c r="C5247" s="2">
        <v>45721</v>
      </c>
      <c r="D5247" t="s">
        <v>26</v>
      </c>
      <c r="E5247">
        <v>968</v>
      </c>
    </row>
    <row r="5248" spans="1:5" x14ac:dyDescent="0.55000000000000004">
      <c r="A5248" t="s">
        <v>5329</v>
      </c>
      <c r="B5248" t="s">
        <v>94</v>
      </c>
      <c r="C5248" s="2">
        <v>44148</v>
      </c>
      <c r="D5248" t="s">
        <v>29</v>
      </c>
      <c r="E5248">
        <v>2675</v>
      </c>
    </row>
    <row r="5249" spans="1:5" x14ac:dyDescent="0.55000000000000004">
      <c r="A5249" t="s">
        <v>5330</v>
      </c>
      <c r="B5249" t="s">
        <v>86</v>
      </c>
      <c r="C5249" s="2">
        <v>44355</v>
      </c>
      <c r="D5249" t="s">
        <v>26</v>
      </c>
      <c r="E5249">
        <v>2365</v>
      </c>
    </row>
    <row r="5250" spans="1:5" x14ac:dyDescent="0.55000000000000004">
      <c r="A5250" t="s">
        <v>5331</v>
      </c>
      <c r="B5250" t="s">
        <v>76</v>
      </c>
      <c r="C5250" s="2">
        <v>45678</v>
      </c>
      <c r="D5250" t="s">
        <v>26</v>
      </c>
      <c r="E5250">
        <v>1311</v>
      </c>
    </row>
    <row r="5251" spans="1:5" x14ac:dyDescent="0.55000000000000004">
      <c r="A5251" t="s">
        <v>5332</v>
      </c>
      <c r="B5251" t="s">
        <v>99</v>
      </c>
      <c r="C5251" s="2">
        <v>44727</v>
      </c>
      <c r="D5251" t="s">
        <v>29</v>
      </c>
      <c r="E5251">
        <v>1711</v>
      </c>
    </row>
    <row r="5252" spans="1:5" x14ac:dyDescent="0.55000000000000004">
      <c r="A5252" t="s">
        <v>5333</v>
      </c>
      <c r="B5252" t="s">
        <v>115</v>
      </c>
      <c r="C5252" s="2">
        <v>43918</v>
      </c>
      <c r="D5252" t="s">
        <v>29</v>
      </c>
      <c r="E5252">
        <v>2019</v>
      </c>
    </row>
    <row r="5253" spans="1:5" x14ac:dyDescent="0.55000000000000004">
      <c r="A5253" t="s">
        <v>5334</v>
      </c>
      <c r="B5253" t="s">
        <v>63</v>
      </c>
      <c r="C5253" s="2">
        <v>43247</v>
      </c>
      <c r="D5253" t="s">
        <v>29</v>
      </c>
      <c r="E5253">
        <v>1187</v>
      </c>
    </row>
    <row r="5254" spans="1:5" x14ac:dyDescent="0.55000000000000004">
      <c r="A5254" t="s">
        <v>5335</v>
      </c>
      <c r="B5254" t="s">
        <v>63</v>
      </c>
      <c r="C5254" s="2">
        <v>42957</v>
      </c>
      <c r="D5254" t="s">
        <v>29</v>
      </c>
      <c r="E5254">
        <v>1069</v>
      </c>
    </row>
    <row r="5255" spans="1:5" x14ac:dyDescent="0.55000000000000004">
      <c r="A5255" t="s">
        <v>5336</v>
      </c>
      <c r="B5255" t="s">
        <v>76</v>
      </c>
      <c r="C5255" s="2">
        <v>44505</v>
      </c>
      <c r="D5255" t="s">
        <v>29</v>
      </c>
      <c r="E5255">
        <v>2503</v>
      </c>
    </row>
    <row r="5256" spans="1:5" x14ac:dyDescent="0.55000000000000004">
      <c r="A5256" t="s">
        <v>5337</v>
      </c>
      <c r="B5256" t="s">
        <v>41</v>
      </c>
      <c r="C5256" s="2">
        <v>44069</v>
      </c>
      <c r="D5256" t="s">
        <v>26</v>
      </c>
      <c r="E5256">
        <v>1830</v>
      </c>
    </row>
    <row r="5257" spans="1:5" x14ac:dyDescent="0.55000000000000004">
      <c r="A5257" t="s">
        <v>5338</v>
      </c>
      <c r="B5257" t="s">
        <v>32</v>
      </c>
      <c r="C5257" s="2">
        <v>44729</v>
      </c>
      <c r="D5257" t="s">
        <v>26</v>
      </c>
      <c r="E5257">
        <v>765</v>
      </c>
    </row>
    <row r="5258" spans="1:5" x14ac:dyDescent="0.55000000000000004">
      <c r="A5258" t="s">
        <v>5339</v>
      </c>
      <c r="B5258" t="s">
        <v>23</v>
      </c>
      <c r="C5258" s="2">
        <v>44188</v>
      </c>
      <c r="D5258" t="s">
        <v>29</v>
      </c>
      <c r="E5258">
        <v>286</v>
      </c>
    </row>
    <row r="5259" spans="1:5" x14ac:dyDescent="0.55000000000000004">
      <c r="A5259" t="s">
        <v>5340</v>
      </c>
      <c r="B5259" t="s">
        <v>105</v>
      </c>
      <c r="C5259" s="2">
        <v>43030</v>
      </c>
      <c r="D5259" t="s">
        <v>29</v>
      </c>
      <c r="E5259">
        <v>1009</v>
      </c>
    </row>
    <row r="5260" spans="1:5" x14ac:dyDescent="0.55000000000000004">
      <c r="A5260" t="s">
        <v>5341</v>
      </c>
      <c r="B5260" t="s">
        <v>38</v>
      </c>
      <c r="C5260" s="2">
        <v>44790</v>
      </c>
      <c r="D5260" t="s">
        <v>29</v>
      </c>
      <c r="E5260">
        <v>2944</v>
      </c>
    </row>
    <row r="5261" spans="1:5" x14ac:dyDescent="0.55000000000000004">
      <c r="A5261" t="s">
        <v>5342</v>
      </c>
      <c r="B5261" t="s">
        <v>115</v>
      </c>
      <c r="C5261" s="2">
        <v>43355</v>
      </c>
      <c r="D5261" t="s">
        <v>29</v>
      </c>
      <c r="E5261">
        <v>2899</v>
      </c>
    </row>
    <row r="5262" spans="1:5" x14ac:dyDescent="0.55000000000000004">
      <c r="A5262" t="s">
        <v>5343</v>
      </c>
      <c r="B5262" t="s">
        <v>94</v>
      </c>
      <c r="C5262" s="2">
        <v>44804</v>
      </c>
      <c r="D5262" t="s">
        <v>26</v>
      </c>
      <c r="E5262">
        <v>2373</v>
      </c>
    </row>
    <row r="5263" spans="1:5" x14ac:dyDescent="0.55000000000000004">
      <c r="A5263" t="s">
        <v>5344</v>
      </c>
      <c r="B5263" t="s">
        <v>99</v>
      </c>
      <c r="C5263" s="2">
        <v>45591</v>
      </c>
      <c r="D5263" t="s">
        <v>26</v>
      </c>
      <c r="E5263">
        <v>535</v>
      </c>
    </row>
    <row r="5264" spans="1:5" x14ac:dyDescent="0.55000000000000004">
      <c r="A5264" t="s">
        <v>5345</v>
      </c>
      <c r="B5264" t="s">
        <v>72</v>
      </c>
      <c r="C5264" s="2">
        <v>42974</v>
      </c>
      <c r="D5264" t="s">
        <v>26</v>
      </c>
      <c r="E5264">
        <v>551</v>
      </c>
    </row>
    <row r="5265" spans="1:5" x14ac:dyDescent="0.55000000000000004">
      <c r="A5265" t="s">
        <v>5346</v>
      </c>
      <c r="B5265" t="s">
        <v>137</v>
      </c>
      <c r="C5265" s="2">
        <v>44958</v>
      </c>
      <c r="D5265" t="s">
        <v>29</v>
      </c>
      <c r="E5265">
        <v>2986</v>
      </c>
    </row>
    <row r="5266" spans="1:5" x14ac:dyDescent="0.55000000000000004">
      <c r="A5266" t="s">
        <v>5347</v>
      </c>
      <c r="B5266" t="s">
        <v>137</v>
      </c>
      <c r="C5266" s="2">
        <v>43688</v>
      </c>
      <c r="D5266" t="s">
        <v>26</v>
      </c>
      <c r="E5266">
        <v>709</v>
      </c>
    </row>
    <row r="5267" spans="1:5" x14ac:dyDescent="0.55000000000000004">
      <c r="A5267" t="s">
        <v>5348</v>
      </c>
      <c r="B5267" t="s">
        <v>142</v>
      </c>
      <c r="C5267" s="2">
        <v>43008</v>
      </c>
      <c r="D5267" t="s">
        <v>29</v>
      </c>
      <c r="E5267">
        <v>2270</v>
      </c>
    </row>
    <row r="5268" spans="1:5" x14ac:dyDescent="0.55000000000000004">
      <c r="A5268" t="s">
        <v>5349</v>
      </c>
      <c r="B5268" t="s">
        <v>96</v>
      </c>
      <c r="C5268" s="2">
        <v>45373</v>
      </c>
      <c r="D5268" t="s">
        <v>29</v>
      </c>
      <c r="E5268">
        <v>1430</v>
      </c>
    </row>
    <row r="5269" spans="1:5" x14ac:dyDescent="0.55000000000000004">
      <c r="A5269" t="s">
        <v>5350</v>
      </c>
      <c r="B5269" t="s">
        <v>38</v>
      </c>
      <c r="C5269" s="2">
        <v>44262</v>
      </c>
      <c r="D5269" t="s">
        <v>29</v>
      </c>
      <c r="E5269">
        <v>2733</v>
      </c>
    </row>
    <row r="5270" spans="1:5" x14ac:dyDescent="0.55000000000000004">
      <c r="A5270" t="s">
        <v>5351</v>
      </c>
      <c r="B5270" t="s">
        <v>67</v>
      </c>
      <c r="C5270" s="2">
        <v>44929</v>
      </c>
      <c r="D5270" t="s">
        <v>26</v>
      </c>
      <c r="E5270">
        <v>969</v>
      </c>
    </row>
    <row r="5271" spans="1:5" x14ac:dyDescent="0.55000000000000004">
      <c r="A5271" t="s">
        <v>5352</v>
      </c>
      <c r="B5271" t="s">
        <v>35</v>
      </c>
      <c r="C5271" s="2">
        <v>44926</v>
      </c>
      <c r="D5271" t="s">
        <v>29</v>
      </c>
      <c r="E5271">
        <v>249</v>
      </c>
    </row>
    <row r="5272" spans="1:5" x14ac:dyDescent="0.55000000000000004">
      <c r="A5272" t="s">
        <v>5353</v>
      </c>
      <c r="B5272" t="s">
        <v>137</v>
      </c>
      <c r="C5272" s="2">
        <v>43631</v>
      </c>
      <c r="D5272" t="s">
        <v>26</v>
      </c>
      <c r="E5272">
        <v>71</v>
      </c>
    </row>
    <row r="5273" spans="1:5" x14ac:dyDescent="0.55000000000000004">
      <c r="A5273" t="s">
        <v>5354</v>
      </c>
      <c r="B5273" t="s">
        <v>84</v>
      </c>
      <c r="C5273" s="2">
        <v>43535</v>
      </c>
      <c r="D5273" t="s">
        <v>26</v>
      </c>
      <c r="E5273">
        <v>1588</v>
      </c>
    </row>
    <row r="5274" spans="1:5" x14ac:dyDescent="0.55000000000000004">
      <c r="A5274" t="s">
        <v>5355</v>
      </c>
      <c r="B5274" t="s">
        <v>35</v>
      </c>
      <c r="C5274" s="2">
        <v>43998</v>
      </c>
      <c r="D5274" t="s">
        <v>29</v>
      </c>
      <c r="E5274">
        <v>448</v>
      </c>
    </row>
    <row r="5275" spans="1:5" x14ac:dyDescent="0.55000000000000004">
      <c r="A5275" t="s">
        <v>5356</v>
      </c>
      <c r="B5275" t="s">
        <v>15</v>
      </c>
      <c r="C5275" s="2">
        <v>43053</v>
      </c>
      <c r="D5275" t="s">
        <v>29</v>
      </c>
      <c r="E5275">
        <v>667</v>
      </c>
    </row>
    <row r="5276" spans="1:5" x14ac:dyDescent="0.55000000000000004">
      <c r="A5276" t="s">
        <v>5357</v>
      </c>
      <c r="B5276" t="s">
        <v>151</v>
      </c>
      <c r="C5276" s="2">
        <v>44407</v>
      </c>
      <c r="D5276" t="s">
        <v>26</v>
      </c>
      <c r="E5276">
        <v>93</v>
      </c>
    </row>
    <row r="5277" spans="1:5" x14ac:dyDescent="0.55000000000000004">
      <c r="A5277" t="s">
        <v>5358</v>
      </c>
      <c r="B5277" t="s">
        <v>118</v>
      </c>
      <c r="C5277" s="2">
        <v>44077</v>
      </c>
      <c r="D5277" t="s">
        <v>26</v>
      </c>
      <c r="E5277">
        <v>2989</v>
      </c>
    </row>
    <row r="5278" spans="1:5" x14ac:dyDescent="0.55000000000000004">
      <c r="A5278" t="s">
        <v>5359</v>
      </c>
      <c r="B5278" t="s">
        <v>23</v>
      </c>
      <c r="C5278" s="2">
        <v>44544</v>
      </c>
      <c r="D5278" t="s">
        <v>26</v>
      </c>
      <c r="E5278">
        <v>378</v>
      </c>
    </row>
    <row r="5279" spans="1:5" x14ac:dyDescent="0.55000000000000004">
      <c r="A5279" t="s">
        <v>5360</v>
      </c>
      <c r="B5279" t="s">
        <v>156</v>
      </c>
      <c r="C5279" s="2">
        <v>43324</v>
      </c>
      <c r="D5279" t="s">
        <v>29</v>
      </c>
      <c r="E5279">
        <v>1135</v>
      </c>
    </row>
    <row r="5280" spans="1:5" x14ac:dyDescent="0.55000000000000004">
      <c r="A5280" t="s">
        <v>5361</v>
      </c>
      <c r="B5280" t="s">
        <v>35</v>
      </c>
      <c r="C5280" s="2">
        <v>44878</v>
      </c>
      <c r="D5280" t="s">
        <v>26</v>
      </c>
      <c r="E5280">
        <v>232</v>
      </c>
    </row>
    <row r="5281" spans="1:5" x14ac:dyDescent="0.55000000000000004">
      <c r="A5281" t="s">
        <v>5362</v>
      </c>
      <c r="B5281" t="s">
        <v>32</v>
      </c>
      <c r="C5281" s="2">
        <v>44233</v>
      </c>
      <c r="D5281" t="s">
        <v>26</v>
      </c>
      <c r="E5281">
        <v>2361</v>
      </c>
    </row>
    <row r="5282" spans="1:5" x14ac:dyDescent="0.55000000000000004">
      <c r="A5282" t="s">
        <v>5363</v>
      </c>
      <c r="B5282" t="s">
        <v>140</v>
      </c>
      <c r="C5282" s="2">
        <v>43879</v>
      </c>
      <c r="D5282" t="s">
        <v>26</v>
      </c>
      <c r="E5282">
        <v>861</v>
      </c>
    </row>
    <row r="5283" spans="1:5" x14ac:dyDescent="0.55000000000000004">
      <c r="A5283" t="s">
        <v>5364</v>
      </c>
      <c r="B5283" t="s">
        <v>38</v>
      </c>
      <c r="C5283" s="2">
        <v>44854</v>
      </c>
      <c r="D5283" t="s">
        <v>26</v>
      </c>
      <c r="E5283">
        <v>2493</v>
      </c>
    </row>
    <row r="5284" spans="1:5" x14ac:dyDescent="0.55000000000000004">
      <c r="A5284" t="s">
        <v>5365</v>
      </c>
      <c r="B5284" t="s">
        <v>115</v>
      </c>
      <c r="C5284" s="2">
        <v>43214</v>
      </c>
      <c r="D5284" t="s">
        <v>29</v>
      </c>
      <c r="E5284">
        <v>198</v>
      </c>
    </row>
    <row r="5285" spans="1:5" x14ac:dyDescent="0.55000000000000004">
      <c r="A5285" t="s">
        <v>5366</v>
      </c>
      <c r="B5285" t="s">
        <v>35</v>
      </c>
      <c r="C5285" s="2">
        <v>44140</v>
      </c>
      <c r="D5285" t="s">
        <v>26</v>
      </c>
      <c r="E5285">
        <v>473</v>
      </c>
    </row>
    <row r="5286" spans="1:5" x14ac:dyDescent="0.55000000000000004">
      <c r="A5286" t="s">
        <v>5367</v>
      </c>
      <c r="B5286" t="s">
        <v>151</v>
      </c>
      <c r="C5286" s="2">
        <v>43239</v>
      </c>
      <c r="D5286" t="s">
        <v>26</v>
      </c>
      <c r="E5286">
        <v>2813</v>
      </c>
    </row>
    <row r="5287" spans="1:5" x14ac:dyDescent="0.55000000000000004">
      <c r="A5287" t="s">
        <v>5368</v>
      </c>
      <c r="B5287" t="s">
        <v>41</v>
      </c>
      <c r="C5287" s="2">
        <v>44773</v>
      </c>
      <c r="D5287" t="s">
        <v>29</v>
      </c>
      <c r="E5287">
        <v>1911</v>
      </c>
    </row>
    <row r="5288" spans="1:5" x14ac:dyDescent="0.55000000000000004">
      <c r="A5288" t="s">
        <v>5369</v>
      </c>
      <c r="B5288" t="s">
        <v>118</v>
      </c>
      <c r="C5288" s="2">
        <v>44037</v>
      </c>
      <c r="D5288" t="s">
        <v>26</v>
      </c>
      <c r="E5288">
        <v>471</v>
      </c>
    </row>
    <row r="5289" spans="1:5" x14ac:dyDescent="0.55000000000000004">
      <c r="A5289" t="s">
        <v>5370</v>
      </c>
      <c r="B5289" t="s">
        <v>32</v>
      </c>
      <c r="C5289" s="2">
        <v>44013</v>
      </c>
      <c r="D5289" t="s">
        <v>26</v>
      </c>
      <c r="E5289">
        <v>461</v>
      </c>
    </row>
    <row r="5290" spans="1:5" x14ac:dyDescent="0.55000000000000004">
      <c r="A5290" t="s">
        <v>5371</v>
      </c>
      <c r="B5290" t="s">
        <v>101</v>
      </c>
      <c r="C5290" s="2">
        <v>43741</v>
      </c>
      <c r="D5290" t="s">
        <v>26</v>
      </c>
      <c r="E5290">
        <v>530</v>
      </c>
    </row>
    <row r="5291" spans="1:5" x14ac:dyDescent="0.55000000000000004">
      <c r="A5291" t="s">
        <v>5372</v>
      </c>
      <c r="B5291" t="s">
        <v>105</v>
      </c>
      <c r="C5291" s="2">
        <v>43002</v>
      </c>
      <c r="D5291" t="s">
        <v>26</v>
      </c>
      <c r="E5291">
        <v>2529</v>
      </c>
    </row>
    <row r="5292" spans="1:5" x14ac:dyDescent="0.55000000000000004">
      <c r="A5292" t="s">
        <v>5373</v>
      </c>
      <c r="B5292" t="s">
        <v>78</v>
      </c>
      <c r="C5292" s="2">
        <v>43596</v>
      </c>
      <c r="D5292" t="s">
        <v>29</v>
      </c>
      <c r="E5292">
        <v>557</v>
      </c>
    </row>
    <row r="5293" spans="1:5" x14ac:dyDescent="0.55000000000000004">
      <c r="A5293" t="s">
        <v>5374</v>
      </c>
      <c r="B5293" t="s">
        <v>78</v>
      </c>
      <c r="C5293" s="2">
        <v>44870</v>
      </c>
      <c r="D5293" t="s">
        <v>29</v>
      </c>
      <c r="E5293">
        <v>1018</v>
      </c>
    </row>
    <row r="5294" spans="1:5" x14ac:dyDescent="0.55000000000000004">
      <c r="A5294" t="s">
        <v>5375</v>
      </c>
      <c r="B5294" t="s">
        <v>151</v>
      </c>
      <c r="C5294" s="2">
        <v>44192</v>
      </c>
      <c r="D5294" t="s">
        <v>26</v>
      </c>
      <c r="E5294">
        <v>151</v>
      </c>
    </row>
    <row r="5295" spans="1:5" x14ac:dyDescent="0.55000000000000004">
      <c r="A5295" t="s">
        <v>5376</v>
      </c>
      <c r="B5295" t="s">
        <v>156</v>
      </c>
      <c r="C5295" s="2">
        <v>44088</v>
      </c>
      <c r="D5295" t="s">
        <v>26</v>
      </c>
      <c r="E5295">
        <v>1767</v>
      </c>
    </row>
    <row r="5296" spans="1:5" x14ac:dyDescent="0.55000000000000004">
      <c r="A5296" t="s">
        <v>5377</v>
      </c>
      <c r="B5296" t="s">
        <v>101</v>
      </c>
      <c r="C5296" s="2">
        <v>43607</v>
      </c>
      <c r="D5296" t="s">
        <v>26</v>
      </c>
      <c r="E5296">
        <v>2196</v>
      </c>
    </row>
    <row r="5297" spans="1:5" x14ac:dyDescent="0.55000000000000004">
      <c r="A5297" t="s">
        <v>5378</v>
      </c>
      <c r="B5297" t="s">
        <v>14</v>
      </c>
      <c r="C5297" s="2">
        <v>44269</v>
      </c>
      <c r="D5297" t="s">
        <v>26</v>
      </c>
      <c r="E5297">
        <v>1865</v>
      </c>
    </row>
    <row r="5298" spans="1:5" x14ac:dyDescent="0.55000000000000004">
      <c r="A5298" t="s">
        <v>5379</v>
      </c>
      <c r="B5298" t="s">
        <v>35</v>
      </c>
      <c r="C5298" s="2">
        <v>44448</v>
      </c>
      <c r="D5298" t="s">
        <v>26</v>
      </c>
      <c r="E5298">
        <v>612</v>
      </c>
    </row>
    <row r="5299" spans="1:5" x14ac:dyDescent="0.55000000000000004">
      <c r="A5299" t="s">
        <v>5380</v>
      </c>
      <c r="B5299" t="s">
        <v>118</v>
      </c>
      <c r="C5299" s="2">
        <v>44621</v>
      </c>
      <c r="D5299" t="s">
        <v>26</v>
      </c>
      <c r="E5299">
        <v>411</v>
      </c>
    </row>
    <row r="5300" spans="1:5" x14ac:dyDescent="0.55000000000000004">
      <c r="A5300" t="s">
        <v>5381</v>
      </c>
      <c r="B5300" t="s">
        <v>74</v>
      </c>
      <c r="C5300" s="2">
        <v>43499</v>
      </c>
      <c r="D5300" t="s">
        <v>26</v>
      </c>
      <c r="E5300">
        <v>2287</v>
      </c>
    </row>
    <row r="5301" spans="1:5" x14ac:dyDescent="0.55000000000000004">
      <c r="A5301" t="s">
        <v>5382</v>
      </c>
      <c r="B5301" t="s">
        <v>38</v>
      </c>
      <c r="C5301" s="2">
        <v>44639</v>
      </c>
      <c r="D5301" t="s">
        <v>26</v>
      </c>
      <c r="E5301">
        <v>1380</v>
      </c>
    </row>
    <row r="5302" spans="1:5" x14ac:dyDescent="0.55000000000000004">
      <c r="A5302" t="s">
        <v>5383</v>
      </c>
      <c r="B5302" t="s">
        <v>76</v>
      </c>
      <c r="C5302" s="2">
        <v>43501</v>
      </c>
      <c r="D5302" t="s">
        <v>29</v>
      </c>
      <c r="E5302">
        <v>551</v>
      </c>
    </row>
    <row r="5303" spans="1:5" x14ac:dyDescent="0.55000000000000004">
      <c r="A5303" t="s">
        <v>5384</v>
      </c>
      <c r="B5303" t="s">
        <v>72</v>
      </c>
      <c r="C5303" s="2">
        <v>44138</v>
      </c>
      <c r="D5303" t="s">
        <v>29</v>
      </c>
      <c r="E5303">
        <v>1538</v>
      </c>
    </row>
    <row r="5304" spans="1:5" x14ac:dyDescent="0.55000000000000004">
      <c r="A5304" t="s">
        <v>5385</v>
      </c>
      <c r="B5304" t="s">
        <v>72</v>
      </c>
      <c r="C5304" s="2">
        <v>42952</v>
      </c>
      <c r="D5304" t="s">
        <v>26</v>
      </c>
      <c r="E5304">
        <v>2869</v>
      </c>
    </row>
    <row r="5305" spans="1:5" x14ac:dyDescent="0.55000000000000004">
      <c r="A5305" t="s">
        <v>5386</v>
      </c>
      <c r="B5305" t="s">
        <v>76</v>
      </c>
      <c r="C5305" s="2">
        <v>44968</v>
      </c>
      <c r="D5305" t="s">
        <v>29</v>
      </c>
      <c r="E5305">
        <v>2955</v>
      </c>
    </row>
    <row r="5306" spans="1:5" x14ac:dyDescent="0.55000000000000004">
      <c r="A5306" t="s">
        <v>5387</v>
      </c>
      <c r="B5306" t="s">
        <v>101</v>
      </c>
      <c r="C5306" s="2">
        <v>44536</v>
      </c>
      <c r="D5306" t="s">
        <v>26</v>
      </c>
      <c r="E5306">
        <v>2683</v>
      </c>
    </row>
    <row r="5307" spans="1:5" x14ac:dyDescent="0.55000000000000004">
      <c r="A5307" t="s">
        <v>5388</v>
      </c>
      <c r="B5307" t="s">
        <v>14</v>
      </c>
      <c r="C5307" s="2">
        <v>43356</v>
      </c>
      <c r="D5307" t="s">
        <v>29</v>
      </c>
      <c r="E5307">
        <v>525</v>
      </c>
    </row>
    <row r="5308" spans="1:5" x14ac:dyDescent="0.55000000000000004">
      <c r="A5308" t="s">
        <v>5389</v>
      </c>
      <c r="B5308" t="s">
        <v>118</v>
      </c>
      <c r="C5308" s="2">
        <v>45499</v>
      </c>
      <c r="D5308" t="s">
        <v>26</v>
      </c>
      <c r="E5308">
        <v>398</v>
      </c>
    </row>
    <row r="5309" spans="1:5" x14ac:dyDescent="0.55000000000000004">
      <c r="A5309" t="s">
        <v>5390</v>
      </c>
      <c r="B5309" t="s">
        <v>63</v>
      </c>
      <c r="C5309" s="2">
        <v>43846</v>
      </c>
      <c r="D5309" t="s">
        <v>26</v>
      </c>
      <c r="E5309">
        <v>581</v>
      </c>
    </row>
    <row r="5310" spans="1:5" x14ac:dyDescent="0.55000000000000004">
      <c r="A5310" t="s">
        <v>5391</v>
      </c>
      <c r="B5310" t="s">
        <v>84</v>
      </c>
      <c r="C5310" s="2">
        <v>43307</v>
      </c>
      <c r="D5310" t="s">
        <v>29</v>
      </c>
      <c r="E5310">
        <v>1470</v>
      </c>
    </row>
    <row r="5311" spans="1:5" x14ac:dyDescent="0.55000000000000004">
      <c r="A5311" t="s">
        <v>5392</v>
      </c>
      <c r="B5311" t="s">
        <v>99</v>
      </c>
      <c r="C5311" s="2">
        <v>44803</v>
      </c>
      <c r="D5311" t="s">
        <v>29</v>
      </c>
      <c r="E5311">
        <v>1586</v>
      </c>
    </row>
    <row r="5312" spans="1:5" x14ac:dyDescent="0.55000000000000004">
      <c r="A5312" t="s">
        <v>5393</v>
      </c>
      <c r="B5312" t="s">
        <v>156</v>
      </c>
      <c r="C5312" s="2">
        <v>44478</v>
      </c>
      <c r="D5312" t="s">
        <v>26</v>
      </c>
      <c r="E5312">
        <v>868</v>
      </c>
    </row>
    <row r="5313" spans="1:5" x14ac:dyDescent="0.55000000000000004">
      <c r="A5313" t="s">
        <v>5394</v>
      </c>
      <c r="B5313" t="s">
        <v>76</v>
      </c>
      <c r="C5313" s="2">
        <v>43576</v>
      </c>
      <c r="D5313" t="s">
        <v>29</v>
      </c>
      <c r="E5313">
        <v>306</v>
      </c>
    </row>
    <row r="5314" spans="1:5" x14ac:dyDescent="0.55000000000000004">
      <c r="A5314" t="s">
        <v>5395</v>
      </c>
      <c r="B5314" t="s">
        <v>94</v>
      </c>
      <c r="C5314" s="2">
        <v>44105</v>
      </c>
      <c r="D5314" t="s">
        <v>26</v>
      </c>
      <c r="E5314">
        <v>576</v>
      </c>
    </row>
    <row r="5315" spans="1:5" x14ac:dyDescent="0.55000000000000004">
      <c r="A5315" t="s">
        <v>5396</v>
      </c>
      <c r="B5315" t="s">
        <v>96</v>
      </c>
      <c r="C5315" s="2">
        <v>43686</v>
      </c>
      <c r="D5315" t="s">
        <v>29</v>
      </c>
      <c r="E5315">
        <v>504</v>
      </c>
    </row>
    <row r="5316" spans="1:5" x14ac:dyDescent="0.55000000000000004">
      <c r="A5316" t="s">
        <v>5397</v>
      </c>
      <c r="B5316" t="s">
        <v>86</v>
      </c>
      <c r="C5316" s="2">
        <v>44174</v>
      </c>
      <c r="D5316" t="s">
        <v>26</v>
      </c>
      <c r="E5316">
        <v>1963</v>
      </c>
    </row>
    <row r="5317" spans="1:5" x14ac:dyDescent="0.55000000000000004">
      <c r="A5317" t="s">
        <v>5398</v>
      </c>
      <c r="B5317" t="s">
        <v>63</v>
      </c>
      <c r="C5317" s="2">
        <v>44058</v>
      </c>
      <c r="D5317" t="s">
        <v>29</v>
      </c>
      <c r="E5317">
        <v>1138</v>
      </c>
    </row>
    <row r="5318" spans="1:5" x14ac:dyDescent="0.55000000000000004">
      <c r="A5318" t="s">
        <v>5399</v>
      </c>
      <c r="B5318" t="s">
        <v>142</v>
      </c>
      <c r="C5318" s="2">
        <v>43257</v>
      </c>
      <c r="D5318" t="s">
        <v>26</v>
      </c>
      <c r="E5318">
        <v>1814</v>
      </c>
    </row>
    <row r="5319" spans="1:5" x14ac:dyDescent="0.55000000000000004">
      <c r="A5319" t="s">
        <v>5400</v>
      </c>
      <c r="B5319" t="s">
        <v>78</v>
      </c>
      <c r="C5319" s="2">
        <v>43815</v>
      </c>
      <c r="D5319" t="s">
        <v>29</v>
      </c>
      <c r="E5319">
        <v>1745</v>
      </c>
    </row>
    <row r="5320" spans="1:5" x14ac:dyDescent="0.55000000000000004">
      <c r="A5320" t="s">
        <v>5401</v>
      </c>
      <c r="B5320" t="s">
        <v>76</v>
      </c>
      <c r="C5320" s="2">
        <v>43557</v>
      </c>
      <c r="D5320" t="s">
        <v>29</v>
      </c>
      <c r="E5320">
        <v>934</v>
      </c>
    </row>
    <row r="5321" spans="1:5" x14ac:dyDescent="0.55000000000000004">
      <c r="A5321" t="s">
        <v>5402</v>
      </c>
      <c r="B5321" t="s">
        <v>72</v>
      </c>
      <c r="C5321" s="2">
        <v>43176</v>
      </c>
      <c r="D5321" t="s">
        <v>29</v>
      </c>
      <c r="E5321">
        <v>2175</v>
      </c>
    </row>
    <row r="5322" spans="1:5" x14ac:dyDescent="0.55000000000000004">
      <c r="A5322" t="s">
        <v>5403</v>
      </c>
      <c r="B5322" t="s">
        <v>35</v>
      </c>
      <c r="C5322" s="2">
        <v>44050</v>
      </c>
      <c r="D5322" t="s">
        <v>29</v>
      </c>
      <c r="E5322">
        <v>1308</v>
      </c>
    </row>
    <row r="5323" spans="1:5" x14ac:dyDescent="0.55000000000000004">
      <c r="A5323" t="s">
        <v>5404</v>
      </c>
      <c r="B5323" t="s">
        <v>84</v>
      </c>
      <c r="C5323" s="2">
        <v>43241</v>
      </c>
      <c r="D5323" t="s">
        <v>26</v>
      </c>
      <c r="E5323">
        <v>908</v>
      </c>
    </row>
    <row r="5324" spans="1:5" x14ac:dyDescent="0.55000000000000004">
      <c r="A5324" t="s">
        <v>5405</v>
      </c>
      <c r="B5324" t="s">
        <v>41</v>
      </c>
      <c r="C5324" s="2">
        <v>44415</v>
      </c>
      <c r="D5324" t="s">
        <v>26</v>
      </c>
      <c r="E5324">
        <v>1022</v>
      </c>
    </row>
    <row r="5325" spans="1:5" x14ac:dyDescent="0.55000000000000004">
      <c r="A5325" t="s">
        <v>5406</v>
      </c>
      <c r="B5325" t="s">
        <v>142</v>
      </c>
      <c r="C5325" s="2">
        <v>43172</v>
      </c>
      <c r="D5325" t="s">
        <v>26</v>
      </c>
      <c r="E5325">
        <v>2523</v>
      </c>
    </row>
    <row r="5326" spans="1:5" x14ac:dyDescent="0.55000000000000004">
      <c r="A5326" t="s">
        <v>5407</v>
      </c>
      <c r="B5326" t="s">
        <v>86</v>
      </c>
      <c r="C5326" s="2">
        <v>43747</v>
      </c>
      <c r="D5326" t="s">
        <v>29</v>
      </c>
      <c r="E5326">
        <v>2311</v>
      </c>
    </row>
    <row r="5327" spans="1:5" x14ac:dyDescent="0.55000000000000004">
      <c r="A5327" t="s">
        <v>5408</v>
      </c>
      <c r="B5327" t="s">
        <v>118</v>
      </c>
      <c r="C5327" s="2">
        <v>45315</v>
      </c>
      <c r="D5327" t="s">
        <v>29</v>
      </c>
      <c r="E5327">
        <v>1733</v>
      </c>
    </row>
    <row r="5328" spans="1:5" x14ac:dyDescent="0.55000000000000004">
      <c r="A5328" t="s">
        <v>5409</v>
      </c>
      <c r="B5328" t="s">
        <v>94</v>
      </c>
      <c r="C5328" s="2">
        <v>44728</v>
      </c>
      <c r="D5328" t="s">
        <v>26</v>
      </c>
      <c r="E5328">
        <v>1519</v>
      </c>
    </row>
    <row r="5329" spans="1:5" x14ac:dyDescent="0.55000000000000004">
      <c r="A5329" t="s">
        <v>5410</v>
      </c>
      <c r="B5329" t="s">
        <v>15</v>
      </c>
      <c r="C5329" s="2">
        <v>44125</v>
      </c>
      <c r="D5329" t="s">
        <v>29</v>
      </c>
      <c r="E5329">
        <v>1523</v>
      </c>
    </row>
    <row r="5330" spans="1:5" x14ac:dyDescent="0.55000000000000004">
      <c r="A5330" t="s">
        <v>5411</v>
      </c>
      <c r="B5330" t="s">
        <v>156</v>
      </c>
      <c r="C5330" s="2">
        <v>43787</v>
      </c>
      <c r="D5330" t="s">
        <v>26</v>
      </c>
      <c r="E5330">
        <v>1008</v>
      </c>
    </row>
    <row r="5331" spans="1:5" x14ac:dyDescent="0.55000000000000004">
      <c r="A5331" t="s">
        <v>5412</v>
      </c>
      <c r="B5331" t="s">
        <v>84</v>
      </c>
      <c r="C5331" s="2">
        <v>43899</v>
      </c>
      <c r="D5331" t="s">
        <v>26</v>
      </c>
      <c r="E5331">
        <v>560</v>
      </c>
    </row>
    <row r="5332" spans="1:5" x14ac:dyDescent="0.55000000000000004">
      <c r="A5332" t="s">
        <v>5413</v>
      </c>
      <c r="B5332" t="s">
        <v>175</v>
      </c>
      <c r="C5332" s="2">
        <v>44494</v>
      </c>
      <c r="D5332" t="s">
        <v>29</v>
      </c>
      <c r="E5332">
        <v>1778</v>
      </c>
    </row>
    <row r="5333" spans="1:5" x14ac:dyDescent="0.55000000000000004">
      <c r="A5333" t="s">
        <v>5414</v>
      </c>
      <c r="B5333" t="s">
        <v>14</v>
      </c>
      <c r="C5333" s="2">
        <v>43143</v>
      </c>
      <c r="D5333" t="s">
        <v>26</v>
      </c>
      <c r="E5333">
        <v>2273</v>
      </c>
    </row>
    <row r="5334" spans="1:5" x14ac:dyDescent="0.55000000000000004">
      <c r="A5334" t="s">
        <v>5415</v>
      </c>
      <c r="B5334" t="s">
        <v>142</v>
      </c>
      <c r="C5334" s="2">
        <v>44492</v>
      </c>
      <c r="D5334" t="s">
        <v>26</v>
      </c>
      <c r="E5334">
        <v>2106</v>
      </c>
    </row>
    <row r="5335" spans="1:5" x14ac:dyDescent="0.55000000000000004">
      <c r="A5335" t="s">
        <v>5416</v>
      </c>
      <c r="B5335" t="s">
        <v>115</v>
      </c>
      <c r="C5335" s="2">
        <v>42996</v>
      </c>
      <c r="D5335" t="s">
        <v>26</v>
      </c>
      <c r="E5335">
        <v>109</v>
      </c>
    </row>
    <row r="5336" spans="1:5" x14ac:dyDescent="0.55000000000000004">
      <c r="A5336" t="s">
        <v>5417</v>
      </c>
      <c r="B5336" t="s">
        <v>137</v>
      </c>
      <c r="C5336" s="2">
        <v>45155</v>
      </c>
      <c r="D5336" t="s">
        <v>26</v>
      </c>
      <c r="E5336">
        <v>411</v>
      </c>
    </row>
    <row r="5337" spans="1:5" x14ac:dyDescent="0.55000000000000004">
      <c r="A5337" t="s">
        <v>5418</v>
      </c>
      <c r="B5337" t="s">
        <v>15</v>
      </c>
      <c r="C5337" s="2">
        <v>43733</v>
      </c>
      <c r="D5337" t="s">
        <v>29</v>
      </c>
      <c r="E5337">
        <v>368</v>
      </c>
    </row>
    <row r="5338" spans="1:5" x14ac:dyDescent="0.55000000000000004">
      <c r="A5338" t="s">
        <v>5419</v>
      </c>
      <c r="B5338" t="s">
        <v>96</v>
      </c>
      <c r="C5338" s="2">
        <v>44129</v>
      </c>
      <c r="D5338" t="s">
        <v>29</v>
      </c>
      <c r="E5338">
        <v>2114</v>
      </c>
    </row>
    <row r="5339" spans="1:5" x14ac:dyDescent="0.55000000000000004">
      <c r="A5339" t="s">
        <v>5420</v>
      </c>
      <c r="B5339" t="s">
        <v>142</v>
      </c>
      <c r="C5339" s="2">
        <v>44031</v>
      </c>
      <c r="D5339" t="s">
        <v>26</v>
      </c>
      <c r="E5339">
        <v>2117</v>
      </c>
    </row>
    <row r="5340" spans="1:5" x14ac:dyDescent="0.55000000000000004">
      <c r="A5340" t="s">
        <v>5421</v>
      </c>
      <c r="B5340" t="s">
        <v>115</v>
      </c>
      <c r="C5340" s="2">
        <v>44405</v>
      </c>
      <c r="D5340" t="s">
        <v>29</v>
      </c>
      <c r="E5340">
        <v>1834</v>
      </c>
    </row>
    <row r="5341" spans="1:5" x14ac:dyDescent="0.55000000000000004">
      <c r="A5341" t="s">
        <v>5422</v>
      </c>
      <c r="B5341" t="s">
        <v>115</v>
      </c>
      <c r="C5341" s="2">
        <v>43220</v>
      </c>
      <c r="D5341" t="s">
        <v>26</v>
      </c>
      <c r="E5341">
        <v>2948</v>
      </c>
    </row>
    <row r="5342" spans="1:5" x14ac:dyDescent="0.55000000000000004">
      <c r="A5342" t="s">
        <v>5423</v>
      </c>
      <c r="B5342" t="s">
        <v>115</v>
      </c>
      <c r="C5342" s="2">
        <v>43618</v>
      </c>
      <c r="D5342" t="s">
        <v>26</v>
      </c>
      <c r="E5342">
        <v>1898</v>
      </c>
    </row>
    <row r="5343" spans="1:5" x14ac:dyDescent="0.55000000000000004">
      <c r="A5343" t="s">
        <v>5424</v>
      </c>
      <c r="B5343" t="s">
        <v>74</v>
      </c>
      <c r="C5343" s="2">
        <v>43317</v>
      </c>
      <c r="D5343" t="s">
        <v>26</v>
      </c>
      <c r="E5343">
        <v>1673</v>
      </c>
    </row>
    <row r="5344" spans="1:5" x14ac:dyDescent="0.55000000000000004">
      <c r="A5344" t="s">
        <v>5425</v>
      </c>
      <c r="B5344" t="s">
        <v>15</v>
      </c>
      <c r="C5344" s="2">
        <v>43125</v>
      </c>
      <c r="D5344" t="s">
        <v>26</v>
      </c>
      <c r="E5344">
        <v>220</v>
      </c>
    </row>
    <row r="5345" spans="1:5" x14ac:dyDescent="0.55000000000000004">
      <c r="A5345" t="s">
        <v>5426</v>
      </c>
      <c r="B5345" t="s">
        <v>15</v>
      </c>
      <c r="C5345" s="2">
        <v>44376</v>
      </c>
      <c r="D5345" t="s">
        <v>26</v>
      </c>
      <c r="E5345">
        <v>1360</v>
      </c>
    </row>
    <row r="5346" spans="1:5" x14ac:dyDescent="0.55000000000000004">
      <c r="A5346" t="s">
        <v>5427</v>
      </c>
      <c r="B5346" t="s">
        <v>74</v>
      </c>
      <c r="C5346" s="2">
        <v>43014</v>
      </c>
      <c r="D5346" t="s">
        <v>29</v>
      </c>
      <c r="E5346">
        <v>1479</v>
      </c>
    </row>
    <row r="5347" spans="1:5" x14ac:dyDescent="0.55000000000000004">
      <c r="A5347" t="s">
        <v>5428</v>
      </c>
      <c r="B5347" t="s">
        <v>67</v>
      </c>
      <c r="C5347" s="2">
        <v>44594</v>
      </c>
      <c r="D5347" t="s">
        <v>29</v>
      </c>
      <c r="E5347">
        <v>1229</v>
      </c>
    </row>
    <row r="5348" spans="1:5" x14ac:dyDescent="0.55000000000000004">
      <c r="A5348" t="s">
        <v>5429</v>
      </c>
      <c r="B5348" t="s">
        <v>151</v>
      </c>
      <c r="C5348" s="2">
        <v>44557</v>
      </c>
      <c r="D5348" t="s">
        <v>29</v>
      </c>
      <c r="E5348">
        <v>716</v>
      </c>
    </row>
    <row r="5349" spans="1:5" x14ac:dyDescent="0.55000000000000004">
      <c r="A5349" t="s">
        <v>5430</v>
      </c>
      <c r="B5349" t="s">
        <v>115</v>
      </c>
      <c r="C5349" s="2">
        <v>44358</v>
      </c>
      <c r="D5349" t="s">
        <v>26</v>
      </c>
      <c r="E5349">
        <v>101</v>
      </c>
    </row>
    <row r="5350" spans="1:5" x14ac:dyDescent="0.55000000000000004">
      <c r="A5350" t="s">
        <v>5431</v>
      </c>
      <c r="B5350" t="s">
        <v>14</v>
      </c>
      <c r="C5350" s="2">
        <v>44074</v>
      </c>
      <c r="D5350" t="s">
        <v>29</v>
      </c>
      <c r="E5350">
        <v>744</v>
      </c>
    </row>
    <row r="5351" spans="1:5" x14ac:dyDescent="0.55000000000000004">
      <c r="A5351" t="s">
        <v>5432</v>
      </c>
      <c r="B5351" t="s">
        <v>86</v>
      </c>
      <c r="C5351" s="2">
        <v>44005</v>
      </c>
      <c r="D5351" t="s">
        <v>29</v>
      </c>
      <c r="E5351">
        <v>1830</v>
      </c>
    </row>
    <row r="5352" spans="1:5" x14ac:dyDescent="0.55000000000000004">
      <c r="A5352" t="s">
        <v>5433</v>
      </c>
      <c r="B5352" t="s">
        <v>140</v>
      </c>
      <c r="C5352" s="2">
        <v>44357</v>
      </c>
      <c r="D5352" t="s">
        <v>29</v>
      </c>
      <c r="E5352">
        <v>2441</v>
      </c>
    </row>
    <row r="5353" spans="1:5" x14ac:dyDescent="0.55000000000000004">
      <c r="A5353" t="s">
        <v>5434</v>
      </c>
      <c r="B5353" t="s">
        <v>84</v>
      </c>
      <c r="C5353" s="2">
        <v>43933</v>
      </c>
      <c r="D5353" t="s">
        <v>26</v>
      </c>
      <c r="E5353">
        <v>837</v>
      </c>
    </row>
    <row r="5354" spans="1:5" x14ac:dyDescent="0.55000000000000004">
      <c r="A5354" t="s">
        <v>5435</v>
      </c>
      <c r="B5354" t="s">
        <v>115</v>
      </c>
      <c r="C5354" s="2">
        <v>44066</v>
      </c>
      <c r="D5354" t="s">
        <v>26</v>
      </c>
      <c r="E5354">
        <v>1367</v>
      </c>
    </row>
    <row r="5355" spans="1:5" x14ac:dyDescent="0.55000000000000004">
      <c r="A5355" t="s">
        <v>5436</v>
      </c>
      <c r="B5355" t="s">
        <v>151</v>
      </c>
      <c r="C5355" s="2">
        <v>44291</v>
      </c>
      <c r="D5355" t="s">
        <v>26</v>
      </c>
      <c r="E5355">
        <v>2486</v>
      </c>
    </row>
    <row r="5356" spans="1:5" x14ac:dyDescent="0.55000000000000004">
      <c r="A5356" t="s">
        <v>5437</v>
      </c>
      <c r="B5356" t="s">
        <v>101</v>
      </c>
      <c r="C5356" s="2">
        <v>43237</v>
      </c>
      <c r="D5356" t="s">
        <v>29</v>
      </c>
      <c r="E5356">
        <v>1041</v>
      </c>
    </row>
    <row r="5357" spans="1:5" x14ac:dyDescent="0.55000000000000004">
      <c r="A5357" t="s">
        <v>5438</v>
      </c>
      <c r="B5357" t="s">
        <v>175</v>
      </c>
      <c r="C5357" s="2">
        <v>45257</v>
      </c>
      <c r="D5357" t="s">
        <v>29</v>
      </c>
      <c r="E5357">
        <v>1789</v>
      </c>
    </row>
    <row r="5358" spans="1:5" x14ac:dyDescent="0.55000000000000004">
      <c r="A5358" t="s">
        <v>5439</v>
      </c>
      <c r="B5358" t="s">
        <v>175</v>
      </c>
      <c r="C5358" s="2">
        <v>44075</v>
      </c>
      <c r="D5358" t="s">
        <v>26</v>
      </c>
      <c r="E5358">
        <v>1446</v>
      </c>
    </row>
    <row r="5359" spans="1:5" x14ac:dyDescent="0.55000000000000004">
      <c r="A5359" t="s">
        <v>5440</v>
      </c>
      <c r="B5359" t="s">
        <v>23</v>
      </c>
      <c r="C5359" s="2">
        <v>43962</v>
      </c>
      <c r="D5359" t="s">
        <v>26</v>
      </c>
      <c r="E5359">
        <v>566</v>
      </c>
    </row>
    <row r="5360" spans="1:5" x14ac:dyDescent="0.55000000000000004">
      <c r="A5360" t="s">
        <v>5441</v>
      </c>
      <c r="B5360" t="s">
        <v>41</v>
      </c>
      <c r="C5360" s="2">
        <v>44803</v>
      </c>
      <c r="D5360" t="s">
        <v>26</v>
      </c>
      <c r="E5360">
        <v>131</v>
      </c>
    </row>
    <row r="5361" spans="1:5" x14ac:dyDescent="0.55000000000000004">
      <c r="A5361" t="s">
        <v>5442</v>
      </c>
      <c r="B5361" t="s">
        <v>142</v>
      </c>
      <c r="C5361" s="2">
        <v>43461</v>
      </c>
      <c r="D5361" t="s">
        <v>29</v>
      </c>
      <c r="E5361">
        <v>1699</v>
      </c>
    </row>
    <row r="5362" spans="1:5" x14ac:dyDescent="0.55000000000000004">
      <c r="A5362" t="s">
        <v>5443</v>
      </c>
      <c r="B5362" t="s">
        <v>140</v>
      </c>
      <c r="C5362" s="2">
        <v>43122</v>
      </c>
      <c r="D5362" t="s">
        <v>29</v>
      </c>
      <c r="E5362">
        <v>1353</v>
      </c>
    </row>
    <row r="5363" spans="1:5" x14ac:dyDescent="0.55000000000000004">
      <c r="A5363" t="s">
        <v>5444</v>
      </c>
      <c r="B5363" t="s">
        <v>35</v>
      </c>
      <c r="C5363" s="2">
        <v>43882</v>
      </c>
      <c r="D5363" t="s">
        <v>26</v>
      </c>
      <c r="E5363">
        <v>477</v>
      </c>
    </row>
    <row r="5364" spans="1:5" x14ac:dyDescent="0.55000000000000004">
      <c r="A5364" t="s">
        <v>5445</v>
      </c>
      <c r="B5364" t="s">
        <v>142</v>
      </c>
      <c r="C5364" s="2">
        <v>43832</v>
      </c>
      <c r="D5364" t="s">
        <v>29</v>
      </c>
      <c r="E5364">
        <v>2730</v>
      </c>
    </row>
    <row r="5365" spans="1:5" x14ac:dyDescent="0.55000000000000004">
      <c r="A5365" t="s">
        <v>5446</v>
      </c>
      <c r="B5365" t="s">
        <v>15</v>
      </c>
      <c r="C5365" s="2">
        <v>43171</v>
      </c>
      <c r="D5365" t="s">
        <v>29</v>
      </c>
      <c r="E5365">
        <v>152</v>
      </c>
    </row>
    <row r="5366" spans="1:5" x14ac:dyDescent="0.55000000000000004">
      <c r="A5366" t="s">
        <v>5447</v>
      </c>
      <c r="B5366" t="s">
        <v>14</v>
      </c>
      <c r="C5366" s="2">
        <v>44450</v>
      </c>
      <c r="D5366" t="s">
        <v>29</v>
      </c>
      <c r="E5366">
        <v>2398</v>
      </c>
    </row>
    <row r="5367" spans="1:5" x14ac:dyDescent="0.55000000000000004">
      <c r="A5367" t="s">
        <v>5448</v>
      </c>
      <c r="B5367" t="s">
        <v>63</v>
      </c>
      <c r="C5367" s="2">
        <v>44030</v>
      </c>
      <c r="D5367" t="s">
        <v>26</v>
      </c>
      <c r="E5367">
        <v>2928</v>
      </c>
    </row>
    <row r="5368" spans="1:5" x14ac:dyDescent="0.55000000000000004">
      <c r="A5368" t="s">
        <v>5449</v>
      </c>
      <c r="B5368" t="s">
        <v>23</v>
      </c>
      <c r="C5368" s="2">
        <v>44383</v>
      </c>
      <c r="D5368" t="s">
        <v>26</v>
      </c>
      <c r="E5368">
        <v>1290</v>
      </c>
    </row>
    <row r="5369" spans="1:5" x14ac:dyDescent="0.55000000000000004">
      <c r="A5369" t="s">
        <v>5450</v>
      </c>
      <c r="B5369" t="s">
        <v>63</v>
      </c>
      <c r="C5369" s="2">
        <v>44284</v>
      </c>
      <c r="D5369" t="s">
        <v>26</v>
      </c>
      <c r="E5369">
        <v>1297</v>
      </c>
    </row>
    <row r="5370" spans="1:5" x14ac:dyDescent="0.55000000000000004">
      <c r="A5370" t="s">
        <v>5451</v>
      </c>
      <c r="B5370" t="s">
        <v>137</v>
      </c>
      <c r="C5370" s="2">
        <v>44171</v>
      </c>
      <c r="D5370" t="s">
        <v>26</v>
      </c>
      <c r="E5370">
        <v>1046</v>
      </c>
    </row>
    <row r="5371" spans="1:5" x14ac:dyDescent="0.55000000000000004">
      <c r="A5371" t="s">
        <v>5452</v>
      </c>
      <c r="B5371" t="s">
        <v>32</v>
      </c>
      <c r="C5371" s="2">
        <v>44858</v>
      </c>
      <c r="D5371" t="s">
        <v>26</v>
      </c>
      <c r="E5371">
        <v>2415</v>
      </c>
    </row>
    <row r="5372" spans="1:5" x14ac:dyDescent="0.55000000000000004">
      <c r="A5372" t="s">
        <v>5453</v>
      </c>
      <c r="B5372" t="s">
        <v>156</v>
      </c>
      <c r="C5372" s="2">
        <v>44241</v>
      </c>
      <c r="D5372" t="s">
        <v>29</v>
      </c>
      <c r="E5372">
        <v>1617</v>
      </c>
    </row>
    <row r="5373" spans="1:5" x14ac:dyDescent="0.55000000000000004">
      <c r="A5373" t="s">
        <v>5454</v>
      </c>
      <c r="B5373" t="s">
        <v>137</v>
      </c>
      <c r="C5373" s="2">
        <v>45633</v>
      </c>
      <c r="D5373" t="s">
        <v>29</v>
      </c>
      <c r="E5373">
        <v>2616</v>
      </c>
    </row>
    <row r="5374" spans="1:5" x14ac:dyDescent="0.55000000000000004">
      <c r="A5374" t="s">
        <v>5455</v>
      </c>
      <c r="B5374" t="s">
        <v>63</v>
      </c>
      <c r="C5374" s="2">
        <v>44244</v>
      </c>
      <c r="D5374" t="s">
        <v>26</v>
      </c>
      <c r="E5374">
        <v>813</v>
      </c>
    </row>
    <row r="5375" spans="1:5" x14ac:dyDescent="0.55000000000000004">
      <c r="A5375" t="s">
        <v>5456</v>
      </c>
      <c r="B5375" t="s">
        <v>15</v>
      </c>
      <c r="C5375" s="2">
        <v>44125</v>
      </c>
      <c r="D5375" t="s">
        <v>29</v>
      </c>
      <c r="E5375">
        <v>2806</v>
      </c>
    </row>
    <row r="5376" spans="1:5" x14ac:dyDescent="0.55000000000000004">
      <c r="A5376" t="s">
        <v>5457</v>
      </c>
      <c r="B5376" t="s">
        <v>115</v>
      </c>
      <c r="C5376" s="2">
        <v>43766</v>
      </c>
      <c r="D5376" t="s">
        <v>29</v>
      </c>
      <c r="E5376">
        <v>2469</v>
      </c>
    </row>
    <row r="5377" spans="1:5" x14ac:dyDescent="0.55000000000000004">
      <c r="A5377" t="s">
        <v>5458</v>
      </c>
      <c r="B5377" t="s">
        <v>99</v>
      </c>
      <c r="C5377" s="2">
        <v>44664</v>
      </c>
      <c r="D5377" t="s">
        <v>26</v>
      </c>
      <c r="E5377">
        <v>1682</v>
      </c>
    </row>
    <row r="5378" spans="1:5" x14ac:dyDescent="0.55000000000000004">
      <c r="A5378" t="s">
        <v>5459</v>
      </c>
      <c r="B5378" t="s">
        <v>101</v>
      </c>
      <c r="C5378" s="2">
        <v>43120</v>
      </c>
      <c r="D5378" t="s">
        <v>26</v>
      </c>
      <c r="E5378">
        <v>885</v>
      </c>
    </row>
    <row r="5379" spans="1:5" x14ac:dyDescent="0.55000000000000004">
      <c r="A5379" t="s">
        <v>5460</v>
      </c>
      <c r="B5379" t="s">
        <v>96</v>
      </c>
      <c r="C5379" s="2">
        <v>44640</v>
      </c>
      <c r="D5379" t="s">
        <v>26</v>
      </c>
      <c r="E5379">
        <v>1986</v>
      </c>
    </row>
    <row r="5380" spans="1:5" x14ac:dyDescent="0.55000000000000004">
      <c r="A5380" t="s">
        <v>5461</v>
      </c>
      <c r="B5380" t="s">
        <v>96</v>
      </c>
      <c r="C5380" s="2">
        <v>45804</v>
      </c>
      <c r="D5380" t="s">
        <v>29</v>
      </c>
      <c r="E5380">
        <v>1016</v>
      </c>
    </row>
    <row r="5381" spans="1:5" x14ac:dyDescent="0.55000000000000004">
      <c r="A5381" t="s">
        <v>5462</v>
      </c>
      <c r="B5381" t="s">
        <v>63</v>
      </c>
      <c r="C5381" s="2">
        <v>43273</v>
      </c>
      <c r="D5381" t="s">
        <v>29</v>
      </c>
      <c r="E5381">
        <v>1789</v>
      </c>
    </row>
    <row r="5382" spans="1:5" x14ac:dyDescent="0.55000000000000004">
      <c r="A5382" t="s">
        <v>5463</v>
      </c>
      <c r="B5382" t="s">
        <v>105</v>
      </c>
      <c r="C5382" s="2">
        <v>43348</v>
      </c>
      <c r="D5382" t="s">
        <v>29</v>
      </c>
      <c r="E5382">
        <v>2387</v>
      </c>
    </row>
    <row r="5383" spans="1:5" x14ac:dyDescent="0.55000000000000004">
      <c r="A5383" t="s">
        <v>5464</v>
      </c>
      <c r="B5383" t="s">
        <v>23</v>
      </c>
      <c r="C5383" s="2">
        <v>44064</v>
      </c>
      <c r="D5383" t="s">
        <v>29</v>
      </c>
      <c r="E5383">
        <v>60</v>
      </c>
    </row>
    <row r="5384" spans="1:5" x14ac:dyDescent="0.55000000000000004">
      <c r="A5384" t="s">
        <v>5465</v>
      </c>
      <c r="B5384" t="s">
        <v>74</v>
      </c>
      <c r="C5384" s="2">
        <v>44374</v>
      </c>
      <c r="D5384" t="s">
        <v>29</v>
      </c>
      <c r="E5384">
        <v>676</v>
      </c>
    </row>
    <row r="5385" spans="1:5" x14ac:dyDescent="0.55000000000000004">
      <c r="A5385" t="s">
        <v>5466</v>
      </c>
      <c r="B5385" t="s">
        <v>94</v>
      </c>
      <c r="C5385" s="2">
        <v>45230</v>
      </c>
      <c r="D5385" t="s">
        <v>26</v>
      </c>
      <c r="E5385">
        <v>107</v>
      </c>
    </row>
    <row r="5386" spans="1:5" x14ac:dyDescent="0.55000000000000004">
      <c r="A5386" t="s">
        <v>5467</v>
      </c>
      <c r="B5386" t="s">
        <v>151</v>
      </c>
      <c r="C5386" s="2">
        <v>43873</v>
      </c>
      <c r="D5386" t="s">
        <v>26</v>
      </c>
      <c r="E5386">
        <v>2111</v>
      </c>
    </row>
    <row r="5387" spans="1:5" x14ac:dyDescent="0.55000000000000004">
      <c r="A5387" t="s">
        <v>5468</v>
      </c>
      <c r="B5387" t="s">
        <v>15</v>
      </c>
      <c r="C5387" s="2">
        <v>44024</v>
      </c>
      <c r="D5387" t="s">
        <v>26</v>
      </c>
      <c r="E5387">
        <v>432</v>
      </c>
    </row>
    <row r="5388" spans="1:5" x14ac:dyDescent="0.55000000000000004">
      <c r="A5388" t="s">
        <v>5469</v>
      </c>
      <c r="B5388" t="s">
        <v>74</v>
      </c>
      <c r="C5388" s="2">
        <v>43758</v>
      </c>
      <c r="D5388" t="s">
        <v>26</v>
      </c>
      <c r="E5388">
        <v>648</v>
      </c>
    </row>
    <row r="5389" spans="1:5" x14ac:dyDescent="0.55000000000000004">
      <c r="A5389" t="s">
        <v>5470</v>
      </c>
      <c r="B5389" t="s">
        <v>38</v>
      </c>
      <c r="C5389" s="2">
        <v>43887</v>
      </c>
      <c r="D5389" t="s">
        <v>29</v>
      </c>
      <c r="E5389">
        <v>389</v>
      </c>
    </row>
    <row r="5390" spans="1:5" x14ac:dyDescent="0.55000000000000004">
      <c r="A5390" t="s">
        <v>5471</v>
      </c>
      <c r="B5390" t="s">
        <v>76</v>
      </c>
      <c r="C5390" s="2">
        <v>45701</v>
      </c>
      <c r="D5390" t="s">
        <v>26</v>
      </c>
      <c r="E5390">
        <v>963</v>
      </c>
    </row>
    <row r="5391" spans="1:5" x14ac:dyDescent="0.55000000000000004">
      <c r="A5391" t="s">
        <v>5472</v>
      </c>
      <c r="B5391" t="s">
        <v>86</v>
      </c>
      <c r="C5391" s="2">
        <v>44318</v>
      </c>
      <c r="D5391" t="s">
        <v>29</v>
      </c>
      <c r="E5391">
        <v>600</v>
      </c>
    </row>
    <row r="5392" spans="1:5" x14ac:dyDescent="0.55000000000000004">
      <c r="A5392" t="s">
        <v>5473</v>
      </c>
      <c r="B5392" t="s">
        <v>94</v>
      </c>
      <c r="C5392" s="2">
        <v>43924</v>
      </c>
      <c r="D5392" t="s">
        <v>26</v>
      </c>
      <c r="E5392">
        <v>1820</v>
      </c>
    </row>
    <row r="5393" spans="1:5" x14ac:dyDescent="0.55000000000000004">
      <c r="A5393" t="s">
        <v>5474</v>
      </c>
      <c r="B5393" t="s">
        <v>14</v>
      </c>
      <c r="C5393" s="2">
        <v>44413</v>
      </c>
      <c r="D5393" t="s">
        <v>29</v>
      </c>
      <c r="E5393">
        <v>2709</v>
      </c>
    </row>
    <row r="5394" spans="1:5" x14ac:dyDescent="0.55000000000000004">
      <c r="A5394" t="s">
        <v>5475</v>
      </c>
      <c r="B5394" t="s">
        <v>67</v>
      </c>
      <c r="C5394" s="2">
        <v>43591</v>
      </c>
      <c r="D5394" t="s">
        <v>26</v>
      </c>
      <c r="E5394">
        <v>2238</v>
      </c>
    </row>
    <row r="5395" spans="1:5" x14ac:dyDescent="0.55000000000000004">
      <c r="A5395" t="s">
        <v>5476</v>
      </c>
      <c r="B5395" t="s">
        <v>101</v>
      </c>
      <c r="C5395" s="2">
        <v>43449</v>
      </c>
      <c r="D5395" t="s">
        <v>29</v>
      </c>
      <c r="E5395">
        <v>2191</v>
      </c>
    </row>
    <row r="5396" spans="1:5" x14ac:dyDescent="0.55000000000000004">
      <c r="A5396" t="s">
        <v>5477</v>
      </c>
      <c r="B5396" t="s">
        <v>72</v>
      </c>
      <c r="C5396" s="2">
        <v>43246</v>
      </c>
      <c r="D5396" t="s">
        <v>26</v>
      </c>
      <c r="E5396">
        <v>1848</v>
      </c>
    </row>
    <row r="5397" spans="1:5" x14ac:dyDescent="0.55000000000000004">
      <c r="A5397" t="s">
        <v>5478</v>
      </c>
      <c r="B5397" t="s">
        <v>94</v>
      </c>
      <c r="C5397" s="2">
        <v>44924</v>
      </c>
      <c r="D5397" t="s">
        <v>26</v>
      </c>
      <c r="E5397">
        <v>2339</v>
      </c>
    </row>
    <row r="5398" spans="1:5" x14ac:dyDescent="0.55000000000000004">
      <c r="A5398" t="s">
        <v>5479</v>
      </c>
      <c r="B5398" t="s">
        <v>15</v>
      </c>
      <c r="C5398" s="2">
        <v>43955</v>
      </c>
      <c r="D5398" t="s">
        <v>29</v>
      </c>
      <c r="E5398">
        <v>1792</v>
      </c>
    </row>
    <row r="5399" spans="1:5" x14ac:dyDescent="0.55000000000000004">
      <c r="A5399" t="s">
        <v>5480</v>
      </c>
      <c r="B5399" t="s">
        <v>14</v>
      </c>
      <c r="C5399" s="2">
        <v>44021</v>
      </c>
      <c r="D5399" t="s">
        <v>26</v>
      </c>
      <c r="E5399">
        <v>252</v>
      </c>
    </row>
    <row r="5400" spans="1:5" x14ac:dyDescent="0.55000000000000004">
      <c r="A5400" t="s">
        <v>5481</v>
      </c>
      <c r="B5400" t="s">
        <v>137</v>
      </c>
      <c r="C5400" s="2">
        <v>43571</v>
      </c>
      <c r="D5400" t="s">
        <v>29</v>
      </c>
      <c r="E5400">
        <v>2212</v>
      </c>
    </row>
    <row r="5401" spans="1:5" x14ac:dyDescent="0.55000000000000004">
      <c r="A5401" t="s">
        <v>5482</v>
      </c>
      <c r="B5401" t="s">
        <v>142</v>
      </c>
      <c r="C5401" s="2">
        <v>43774</v>
      </c>
      <c r="D5401" t="s">
        <v>29</v>
      </c>
      <c r="E5401">
        <v>1311</v>
      </c>
    </row>
    <row r="5402" spans="1:5" x14ac:dyDescent="0.55000000000000004">
      <c r="A5402" t="s">
        <v>5483</v>
      </c>
      <c r="B5402" t="s">
        <v>96</v>
      </c>
      <c r="C5402" s="2">
        <v>43849</v>
      </c>
      <c r="D5402" t="s">
        <v>26</v>
      </c>
      <c r="E5402">
        <v>773</v>
      </c>
    </row>
    <row r="5403" spans="1:5" x14ac:dyDescent="0.55000000000000004">
      <c r="A5403" t="s">
        <v>5484</v>
      </c>
      <c r="B5403" t="s">
        <v>101</v>
      </c>
      <c r="C5403" s="2">
        <v>44070</v>
      </c>
      <c r="D5403" t="s">
        <v>26</v>
      </c>
      <c r="E5403">
        <v>1226</v>
      </c>
    </row>
    <row r="5404" spans="1:5" x14ac:dyDescent="0.55000000000000004">
      <c r="A5404" t="s">
        <v>5485</v>
      </c>
      <c r="B5404" t="s">
        <v>32</v>
      </c>
      <c r="C5404" s="2">
        <v>44656</v>
      </c>
      <c r="D5404" t="s">
        <v>26</v>
      </c>
      <c r="E5404">
        <v>2654</v>
      </c>
    </row>
    <row r="5405" spans="1:5" x14ac:dyDescent="0.55000000000000004">
      <c r="A5405" t="s">
        <v>5486</v>
      </c>
      <c r="B5405" t="s">
        <v>38</v>
      </c>
      <c r="C5405" s="2">
        <v>44003</v>
      </c>
      <c r="D5405" t="s">
        <v>26</v>
      </c>
      <c r="E5405">
        <v>2092</v>
      </c>
    </row>
    <row r="5406" spans="1:5" x14ac:dyDescent="0.55000000000000004">
      <c r="A5406" t="s">
        <v>5487</v>
      </c>
      <c r="B5406" t="s">
        <v>94</v>
      </c>
      <c r="C5406" s="2">
        <v>45512</v>
      </c>
      <c r="D5406" t="s">
        <v>29</v>
      </c>
      <c r="E5406">
        <v>677</v>
      </c>
    </row>
    <row r="5407" spans="1:5" x14ac:dyDescent="0.55000000000000004">
      <c r="A5407" t="s">
        <v>5488</v>
      </c>
      <c r="B5407" t="s">
        <v>32</v>
      </c>
      <c r="C5407" s="2">
        <v>44698</v>
      </c>
      <c r="D5407" t="s">
        <v>26</v>
      </c>
      <c r="E5407">
        <v>1897</v>
      </c>
    </row>
    <row r="5408" spans="1:5" x14ac:dyDescent="0.55000000000000004">
      <c r="A5408" t="s">
        <v>5489</v>
      </c>
      <c r="B5408" t="s">
        <v>78</v>
      </c>
      <c r="C5408" s="2">
        <v>45072</v>
      </c>
      <c r="D5408" t="s">
        <v>29</v>
      </c>
      <c r="E5408">
        <v>2722</v>
      </c>
    </row>
    <row r="5409" spans="1:5" x14ac:dyDescent="0.55000000000000004">
      <c r="A5409" t="s">
        <v>5490</v>
      </c>
      <c r="B5409" t="s">
        <v>35</v>
      </c>
      <c r="C5409" s="2">
        <v>43933</v>
      </c>
      <c r="D5409" t="s">
        <v>29</v>
      </c>
      <c r="E5409">
        <v>176</v>
      </c>
    </row>
    <row r="5410" spans="1:5" x14ac:dyDescent="0.55000000000000004">
      <c r="A5410" t="s">
        <v>5491</v>
      </c>
      <c r="B5410" t="s">
        <v>23</v>
      </c>
      <c r="C5410" s="2">
        <v>44557</v>
      </c>
      <c r="D5410" t="s">
        <v>26</v>
      </c>
      <c r="E5410">
        <v>2922</v>
      </c>
    </row>
    <row r="5411" spans="1:5" x14ac:dyDescent="0.55000000000000004">
      <c r="A5411" t="s">
        <v>5492</v>
      </c>
      <c r="B5411" t="s">
        <v>115</v>
      </c>
      <c r="C5411" s="2">
        <v>43446</v>
      </c>
      <c r="D5411" t="s">
        <v>26</v>
      </c>
      <c r="E5411">
        <v>2379</v>
      </c>
    </row>
    <row r="5412" spans="1:5" x14ac:dyDescent="0.55000000000000004">
      <c r="A5412" t="s">
        <v>5493</v>
      </c>
      <c r="B5412" t="s">
        <v>140</v>
      </c>
      <c r="C5412" s="2">
        <v>43147</v>
      </c>
      <c r="D5412" t="s">
        <v>29</v>
      </c>
      <c r="E5412">
        <v>1749</v>
      </c>
    </row>
    <row r="5413" spans="1:5" x14ac:dyDescent="0.55000000000000004">
      <c r="A5413" t="s">
        <v>5494</v>
      </c>
      <c r="B5413" t="s">
        <v>142</v>
      </c>
      <c r="C5413" s="2">
        <v>43929</v>
      </c>
      <c r="D5413" t="s">
        <v>26</v>
      </c>
      <c r="E5413">
        <v>725</v>
      </c>
    </row>
    <row r="5414" spans="1:5" x14ac:dyDescent="0.55000000000000004">
      <c r="A5414" t="s">
        <v>5495</v>
      </c>
      <c r="B5414" t="s">
        <v>96</v>
      </c>
      <c r="C5414" s="2">
        <v>44629</v>
      </c>
      <c r="D5414" t="s">
        <v>26</v>
      </c>
      <c r="E5414">
        <v>1365</v>
      </c>
    </row>
    <row r="5415" spans="1:5" x14ac:dyDescent="0.55000000000000004">
      <c r="A5415" t="s">
        <v>5496</v>
      </c>
      <c r="B5415" t="s">
        <v>78</v>
      </c>
      <c r="C5415" s="2">
        <v>45011</v>
      </c>
      <c r="D5415" t="s">
        <v>29</v>
      </c>
      <c r="E5415">
        <v>438</v>
      </c>
    </row>
    <row r="5416" spans="1:5" x14ac:dyDescent="0.55000000000000004">
      <c r="A5416" t="s">
        <v>5497</v>
      </c>
      <c r="B5416" t="s">
        <v>118</v>
      </c>
      <c r="C5416" s="2">
        <v>45351</v>
      </c>
      <c r="D5416" t="s">
        <v>29</v>
      </c>
      <c r="E5416">
        <v>744</v>
      </c>
    </row>
    <row r="5417" spans="1:5" x14ac:dyDescent="0.55000000000000004">
      <c r="A5417" t="s">
        <v>5498</v>
      </c>
      <c r="B5417" t="s">
        <v>156</v>
      </c>
      <c r="C5417" s="2">
        <v>44227</v>
      </c>
      <c r="D5417" t="s">
        <v>26</v>
      </c>
      <c r="E5417">
        <v>2477</v>
      </c>
    </row>
    <row r="5418" spans="1:5" x14ac:dyDescent="0.55000000000000004">
      <c r="A5418" t="s">
        <v>5499</v>
      </c>
      <c r="B5418" t="s">
        <v>140</v>
      </c>
      <c r="C5418" s="2">
        <v>44354</v>
      </c>
      <c r="D5418" t="s">
        <v>29</v>
      </c>
      <c r="E5418">
        <v>2497</v>
      </c>
    </row>
    <row r="5419" spans="1:5" x14ac:dyDescent="0.55000000000000004">
      <c r="A5419" t="s">
        <v>5500</v>
      </c>
      <c r="B5419" t="s">
        <v>101</v>
      </c>
      <c r="C5419" s="2">
        <v>43702</v>
      </c>
      <c r="D5419" t="s">
        <v>26</v>
      </c>
      <c r="E5419">
        <v>2950</v>
      </c>
    </row>
    <row r="5420" spans="1:5" x14ac:dyDescent="0.55000000000000004">
      <c r="A5420" t="s">
        <v>5501</v>
      </c>
      <c r="B5420" t="s">
        <v>84</v>
      </c>
      <c r="C5420" s="2">
        <v>44169</v>
      </c>
      <c r="D5420" t="s">
        <v>29</v>
      </c>
      <c r="E5420">
        <v>104</v>
      </c>
    </row>
    <row r="5421" spans="1:5" x14ac:dyDescent="0.55000000000000004">
      <c r="A5421" t="s">
        <v>5502</v>
      </c>
      <c r="B5421" t="s">
        <v>84</v>
      </c>
      <c r="C5421" s="2">
        <v>43844</v>
      </c>
      <c r="D5421" t="s">
        <v>29</v>
      </c>
      <c r="E5421">
        <v>621</v>
      </c>
    </row>
    <row r="5422" spans="1:5" x14ac:dyDescent="0.55000000000000004">
      <c r="A5422" t="s">
        <v>5503</v>
      </c>
      <c r="B5422" t="s">
        <v>74</v>
      </c>
      <c r="C5422" s="2">
        <v>43826</v>
      </c>
      <c r="D5422" t="s">
        <v>26</v>
      </c>
      <c r="E5422">
        <v>626</v>
      </c>
    </row>
    <row r="5423" spans="1:5" x14ac:dyDescent="0.55000000000000004">
      <c r="A5423" t="s">
        <v>5504</v>
      </c>
      <c r="B5423" t="s">
        <v>99</v>
      </c>
      <c r="C5423" s="2">
        <v>44850</v>
      </c>
      <c r="D5423" t="s">
        <v>26</v>
      </c>
      <c r="E5423">
        <v>1580</v>
      </c>
    </row>
    <row r="5424" spans="1:5" x14ac:dyDescent="0.55000000000000004">
      <c r="A5424" t="s">
        <v>5505</v>
      </c>
      <c r="B5424" t="s">
        <v>72</v>
      </c>
      <c r="C5424" s="2">
        <v>43244</v>
      </c>
      <c r="D5424" t="s">
        <v>29</v>
      </c>
      <c r="E5424">
        <v>2375</v>
      </c>
    </row>
    <row r="5425" spans="1:5" x14ac:dyDescent="0.55000000000000004">
      <c r="A5425" t="s">
        <v>5506</v>
      </c>
      <c r="B5425" t="s">
        <v>118</v>
      </c>
      <c r="C5425" s="2">
        <v>44461</v>
      </c>
      <c r="D5425" t="s">
        <v>29</v>
      </c>
      <c r="E5425">
        <v>1127</v>
      </c>
    </row>
    <row r="5426" spans="1:5" x14ac:dyDescent="0.55000000000000004">
      <c r="A5426" t="s">
        <v>5507</v>
      </c>
      <c r="B5426" t="s">
        <v>99</v>
      </c>
      <c r="C5426" s="2">
        <v>45705</v>
      </c>
      <c r="D5426" t="s">
        <v>26</v>
      </c>
      <c r="E5426">
        <v>1</v>
      </c>
    </row>
    <row r="5427" spans="1:5" x14ac:dyDescent="0.55000000000000004">
      <c r="A5427" t="s">
        <v>5508</v>
      </c>
      <c r="B5427" t="s">
        <v>67</v>
      </c>
      <c r="C5427" s="2">
        <v>45816</v>
      </c>
      <c r="D5427" t="s">
        <v>26</v>
      </c>
      <c r="E5427">
        <v>1089</v>
      </c>
    </row>
    <row r="5428" spans="1:5" x14ac:dyDescent="0.55000000000000004">
      <c r="A5428" t="s">
        <v>5509</v>
      </c>
      <c r="B5428" t="s">
        <v>99</v>
      </c>
      <c r="C5428" s="2">
        <v>45104</v>
      </c>
      <c r="D5428" t="s">
        <v>26</v>
      </c>
      <c r="E5428">
        <v>2515</v>
      </c>
    </row>
    <row r="5429" spans="1:5" x14ac:dyDescent="0.55000000000000004">
      <c r="A5429" t="s">
        <v>5510</v>
      </c>
      <c r="B5429" t="s">
        <v>142</v>
      </c>
      <c r="C5429" s="2">
        <v>43809</v>
      </c>
      <c r="D5429" t="s">
        <v>26</v>
      </c>
      <c r="E5429">
        <v>1058</v>
      </c>
    </row>
    <row r="5430" spans="1:5" x14ac:dyDescent="0.55000000000000004">
      <c r="A5430" t="s">
        <v>5511</v>
      </c>
      <c r="B5430" t="s">
        <v>101</v>
      </c>
      <c r="C5430" s="2">
        <v>43899</v>
      </c>
      <c r="D5430" t="s">
        <v>26</v>
      </c>
      <c r="E5430">
        <v>2159</v>
      </c>
    </row>
    <row r="5431" spans="1:5" x14ac:dyDescent="0.55000000000000004">
      <c r="A5431" t="s">
        <v>5512</v>
      </c>
      <c r="B5431" t="s">
        <v>15</v>
      </c>
      <c r="C5431" s="2">
        <v>44149</v>
      </c>
      <c r="D5431" t="s">
        <v>26</v>
      </c>
      <c r="E5431">
        <v>1740</v>
      </c>
    </row>
    <row r="5432" spans="1:5" x14ac:dyDescent="0.55000000000000004">
      <c r="A5432" t="s">
        <v>5513</v>
      </c>
      <c r="B5432" t="s">
        <v>14</v>
      </c>
      <c r="C5432" s="2">
        <v>44193</v>
      </c>
      <c r="D5432" t="s">
        <v>26</v>
      </c>
      <c r="E5432">
        <v>365</v>
      </c>
    </row>
    <row r="5433" spans="1:5" x14ac:dyDescent="0.55000000000000004">
      <c r="A5433" t="s">
        <v>5514</v>
      </c>
      <c r="B5433" t="s">
        <v>156</v>
      </c>
      <c r="C5433" s="2">
        <v>43068</v>
      </c>
      <c r="D5433" t="s">
        <v>26</v>
      </c>
      <c r="E5433">
        <v>462</v>
      </c>
    </row>
    <row r="5434" spans="1:5" x14ac:dyDescent="0.55000000000000004">
      <c r="A5434" t="s">
        <v>5515</v>
      </c>
      <c r="B5434" t="s">
        <v>23</v>
      </c>
      <c r="C5434" s="2">
        <v>44339</v>
      </c>
      <c r="D5434" t="s">
        <v>29</v>
      </c>
      <c r="E5434">
        <v>2708</v>
      </c>
    </row>
    <row r="5435" spans="1:5" x14ac:dyDescent="0.55000000000000004">
      <c r="A5435" t="s">
        <v>5516</v>
      </c>
      <c r="B5435" t="s">
        <v>118</v>
      </c>
      <c r="C5435" s="2">
        <v>44134</v>
      </c>
      <c r="D5435" t="s">
        <v>26</v>
      </c>
      <c r="E5435">
        <v>2927</v>
      </c>
    </row>
    <row r="5436" spans="1:5" x14ac:dyDescent="0.55000000000000004">
      <c r="A5436" t="s">
        <v>5517</v>
      </c>
      <c r="B5436" t="s">
        <v>140</v>
      </c>
      <c r="C5436" s="2">
        <v>43138</v>
      </c>
      <c r="D5436" t="s">
        <v>26</v>
      </c>
      <c r="E5436">
        <v>873</v>
      </c>
    </row>
    <row r="5437" spans="1:5" x14ac:dyDescent="0.55000000000000004">
      <c r="A5437" t="s">
        <v>5518</v>
      </c>
      <c r="B5437" t="s">
        <v>96</v>
      </c>
      <c r="C5437" s="2">
        <v>45135</v>
      </c>
      <c r="D5437" t="s">
        <v>26</v>
      </c>
      <c r="E5437">
        <v>1399</v>
      </c>
    </row>
    <row r="5438" spans="1:5" x14ac:dyDescent="0.55000000000000004">
      <c r="A5438" t="s">
        <v>5519</v>
      </c>
      <c r="B5438" t="s">
        <v>105</v>
      </c>
      <c r="C5438" s="2">
        <v>43426</v>
      </c>
      <c r="D5438" t="s">
        <v>26</v>
      </c>
      <c r="E5438">
        <v>1042</v>
      </c>
    </row>
    <row r="5439" spans="1:5" x14ac:dyDescent="0.55000000000000004">
      <c r="A5439" t="s">
        <v>5520</v>
      </c>
      <c r="B5439" t="s">
        <v>111</v>
      </c>
      <c r="C5439" s="2">
        <v>44056</v>
      </c>
      <c r="D5439" t="s">
        <v>26</v>
      </c>
      <c r="E5439">
        <v>1640</v>
      </c>
    </row>
    <row r="5440" spans="1:5" x14ac:dyDescent="0.55000000000000004">
      <c r="A5440" t="s">
        <v>5521</v>
      </c>
      <c r="B5440" t="s">
        <v>111</v>
      </c>
      <c r="C5440" s="2">
        <v>44513</v>
      </c>
      <c r="D5440" t="s">
        <v>26</v>
      </c>
      <c r="E5440">
        <v>678</v>
      </c>
    </row>
    <row r="5441" spans="1:5" x14ac:dyDescent="0.55000000000000004">
      <c r="A5441" t="s">
        <v>5522</v>
      </c>
      <c r="B5441" t="s">
        <v>86</v>
      </c>
      <c r="C5441" s="2">
        <v>43487</v>
      </c>
      <c r="D5441" t="s">
        <v>29</v>
      </c>
      <c r="E5441">
        <v>2029</v>
      </c>
    </row>
    <row r="5442" spans="1:5" x14ac:dyDescent="0.55000000000000004">
      <c r="A5442" t="s">
        <v>5523</v>
      </c>
      <c r="B5442" t="s">
        <v>72</v>
      </c>
      <c r="C5442" s="2">
        <v>43453</v>
      </c>
      <c r="D5442" t="s">
        <v>26</v>
      </c>
      <c r="E5442">
        <v>2524</v>
      </c>
    </row>
    <row r="5443" spans="1:5" x14ac:dyDescent="0.55000000000000004">
      <c r="A5443" t="s">
        <v>5524</v>
      </c>
      <c r="B5443" t="s">
        <v>115</v>
      </c>
      <c r="C5443" s="2">
        <v>43795</v>
      </c>
      <c r="D5443" t="s">
        <v>29</v>
      </c>
      <c r="E5443">
        <v>2663</v>
      </c>
    </row>
    <row r="5444" spans="1:5" x14ac:dyDescent="0.55000000000000004">
      <c r="A5444" t="s">
        <v>5525</v>
      </c>
      <c r="B5444" t="s">
        <v>142</v>
      </c>
      <c r="C5444" s="2">
        <v>43312</v>
      </c>
      <c r="D5444" t="s">
        <v>29</v>
      </c>
      <c r="E5444">
        <v>1120</v>
      </c>
    </row>
    <row r="5445" spans="1:5" x14ac:dyDescent="0.55000000000000004">
      <c r="A5445" t="s">
        <v>5526</v>
      </c>
      <c r="B5445" t="s">
        <v>14</v>
      </c>
      <c r="C5445" s="2">
        <v>44530</v>
      </c>
      <c r="D5445" t="s">
        <v>29</v>
      </c>
      <c r="E5445">
        <v>1646</v>
      </c>
    </row>
    <row r="5446" spans="1:5" x14ac:dyDescent="0.55000000000000004">
      <c r="A5446" t="s">
        <v>5527</v>
      </c>
      <c r="B5446" t="s">
        <v>76</v>
      </c>
      <c r="C5446" s="2">
        <v>43724</v>
      </c>
      <c r="D5446" t="s">
        <v>29</v>
      </c>
      <c r="E5446">
        <v>1983</v>
      </c>
    </row>
    <row r="5447" spans="1:5" x14ac:dyDescent="0.55000000000000004">
      <c r="A5447" t="s">
        <v>5528</v>
      </c>
      <c r="B5447" t="s">
        <v>94</v>
      </c>
      <c r="C5447" s="2">
        <v>43733</v>
      </c>
      <c r="D5447" t="s">
        <v>26</v>
      </c>
      <c r="E5447">
        <v>2867</v>
      </c>
    </row>
    <row r="5448" spans="1:5" x14ac:dyDescent="0.55000000000000004">
      <c r="A5448" t="s">
        <v>5529</v>
      </c>
      <c r="B5448" t="s">
        <v>84</v>
      </c>
      <c r="C5448" s="2">
        <v>44134</v>
      </c>
      <c r="D5448" t="s">
        <v>26</v>
      </c>
      <c r="E5448">
        <v>2239</v>
      </c>
    </row>
    <row r="5449" spans="1:5" x14ac:dyDescent="0.55000000000000004">
      <c r="A5449" t="s">
        <v>5530</v>
      </c>
      <c r="B5449" t="s">
        <v>99</v>
      </c>
      <c r="C5449" s="2">
        <v>43477</v>
      </c>
      <c r="D5449" t="s">
        <v>29</v>
      </c>
      <c r="E5449">
        <v>1891</v>
      </c>
    </row>
    <row r="5450" spans="1:5" x14ac:dyDescent="0.55000000000000004">
      <c r="A5450" t="s">
        <v>5531</v>
      </c>
      <c r="B5450" t="s">
        <v>175</v>
      </c>
      <c r="C5450" s="2">
        <v>45723</v>
      </c>
      <c r="D5450" t="s">
        <v>26</v>
      </c>
      <c r="E5450">
        <v>396</v>
      </c>
    </row>
    <row r="5451" spans="1:5" x14ac:dyDescent="0.55000000000000004">
      <c r="A5451" t="s">
        <v>5532</v>
      </c>
      <c r="B5451" t="s">
        <v>84</v>
      </c>
      <c r="C5451" s="2">
        <v>43080</v>
      </c>
      <c r="D5451" t="s">
        <v>29</v>
      </c>
      <c r="E5451">
        <v>1109</v>
      </c>
    </row>
    <row r="5452" spans="1:5" x14ac:dyDescent="0.55000000000000004">
      <c r="A5452" t="s">
        <v>5533</v>
      </c>
      <c r="B5452" t="s">
        <v>140</v>
      </c>
      <c r="C5452" s="2">
        <v>43975</v>
      </c>
      <c r="D5452" t="s">
        <v>26</v>
      </c>
      <c r="E5452">
        <v>927</v>
      </c>
    </row>
    <row r="5453" spans="1:5" x14ac:dyDescent="0.55000000000000004">
      <c r="A5453" t="s">
        <v>5534</v>
      </c>
      <c r="B5453" t="s">
        <v>175</v>
      </c>
      <c r="C5453" s="2">
        <v>44803</v>
      </c>
      <c r="D5453" t="s">
        <v>26</v>
      </c>
      <c r="E5453">
        <v>1615</v>
      </c>
    </row>
    <row r="5454" spans="1:5" x14ac:dyDescent="0.55000000000000004">
      <c r="A5454" t="s">
        <v>5535</v>
      </c>
      <c r="B5454" t="s">
        <v>35</v>
      </c>
      <c r="C5454" s="2">
        <v>44602</v>
      </c>
      <c r="D5454" t="s">
        <v>29</v>
      </c>
      <c r="E5454">
        <v>2236</v>
      </c>
    </row>
    <row r="5455" spans="1:5" x14ac:dyDescent="0.55000000000000004">
      <c r="A5455" t="s">
        <v>5536</v>
      </c>
      <c r="B5455" t="s">
        <v>140</v>
      </c>
      <c r="C5455" s="2">
        <v>44179</v>
      </c>
      <c r="D5455" t="s">
        <v>26</v>
      </c>
      <c r="E5455">
        <v>2862</v>
      </c>
    </row>
    <row r="5456" spans="1:5" x14ac:dyDescent="0.55000000000000004">
      <c r="A5456" t="s">
        <v>5537</v>
      </c>
      <c r="B5456" t="s">
        <v>23</v>
      </c>
      <c r="C5456" s="2">
        <v>44641</v>
      </c>
      <c r="D5456" t="s">
        <v>29</v>
      </c>
      <c r="E5456">
        <v>1276</v>
      </c>
    </row>
    <row r="5457" spans="1:5" x14ac:dyDescent="0.55000000000000004">
      <c r="A5457" t="s">
        <v>5538</v>
      </c>
      <c r="B5457" t="s">
        <v>67</v>
      </c>
      <c r="C5457" s="2">
        <v>45027</v>
      </c>
      <c r="D5457" t="s">
        <v>29</v>
      </c>
      <c r="E5457">
        <v>2820</v>
      </c>
    </row>
    <row r="5458" spans="1:5" x14ac:dyDescent="0.55000000000000004">
      <c r="A5458" t="s">
        <v>5539</v>
      </c>
      <c r="B5458" t="s">
        <v>94</v>
      </c>
      <c r="C5458" s="2">
        <v>43835</v>
      </c>
      <c r="D5458" t="s">
        <v>29</v>
      </c>
      <c r="E5458">
        <v>1393</v>
      </c>
    </row>
    <row r="5459" spans="1:5" x14ac:dyDescent="0.55000000000000004">
      <c r="A5459" t="s">
        <v>5540</v>
      </c>
      <c r="B5459" t="s">
        <v>23</v>
      </c>
      <c r="C5459" s="2">
        <v>44365</v>
      </c>
      <c r="D5459" t="s">
        <v>29</v>
      </c>
      <c r="E5459">
        <v>2702</v>
      </c>
    </row>
    <row r="5460" spans="1:5" x14ac:dyDescent="0.55000000000000004">
      <c r="A5460" t="s">
        <v>5541</v>
      </c>
      <c r="B5460" t="s">
        <v>142</v>
      </c>
      <c r="C5460" s="2">
        <v>43143</v>
      </c>
      <c r="D5460" t="s">
        <v>26</v>
      </c>
      <c r="E5460">
        <v>2513</v>
      </c>
    </row>
    <row r="5461" spans="1:5" x14ac:dyDescent="0.55000000000000004">
      <c r="A5461" t="s">
        <v>5542</v>
      </c>
      <c r="B5461" t="s">
        <v>72</v>
      </c>
      <c r="C5461" s="2">
        <v>44396</v>
      </c>
      <c r="D5461" t="s">
        <v>26</v>
      </c>
      <c r="E5461">
        <v>239</v>
      </c>
    </row>
    <row r="5462" spans="1:5" x14ac:dyDescent="0.55000000000000004">
      <c r="A5462" t="s">
        <v>5543</v>
      </c>
      <c r="B5462" t="s">
        <v>76</v>
      </c>
      <c r="C5462" s="2">
        <v>45422</v>
      </c>
      <c r="D5462" t="s">
        <v>29</v>
      </c>
      <c r="E5462">
        <v>1009</v>
      </c>
    </row>
    <row r="5463" spans="1:5" x14ac:dyDescent="0.55000000000000004">
      <c r="A5463" t="s">
        <v>5544</v>
      </c>
      <c r="B5463" t="s">
        <v>41</v>
      </c>
      <c r="C5463" s="2">
        <v>44612</v>
      </c>
      <c r="D5463" t="s">
        <v>26</v>
      </c>
      <c r="E5463">
        <v>1438</v>
      </c>
    </row>
    <row r="5464" spans="1:5" x14ac:dyDescent="0.55000000000000004">
      <c r="A5464" t="s">
        <v>5545</v>
      </c>
      <c r="B5464" t="s">
        <v>115</v>
      </c>
      <c r="C5464" s="2">
        <v>43061</v>
      </c>
      <c r="D5464" t="s">
        <v>29</v>
      </c>
      <c r="E5464">
        <v>321</v>
      </c>
    </row>
    <row r="5465" spans="1:5" x14ac:dyDescent="0.55000000000000004">
      <c r="A5465" t="s">
        <v>5546</v>
      </c>
      <c r="B5465" t="s">
        <v>140</v>
      </c>
      <c r="C5465" s="2">
        <v>44315</v>
      </c>
      <c r="D5465" t="s">
        <v>26</v>
      </c>
      <c r="E5465">
        <v>930</v>
      </c>
    </row>
    <row r="5466" spans="1:5" x14ac:dyDescent="0.55000000000000004">
      <c r="A5466" t="s">
        <v>5547</v>
      </c>
      <c r="B5466" t="s">
        <v>175</v>
      </c>
      <c r="C5466" s="2">
        <v>45668</v>
      </c>
      <c r="D5466" t="s">
        <v>29</v>
      </c>
      <c r="E5466">
        <v>848</v>
      </c>
    </row>
    <row r="5467" spans="1:5" x14ac:dyDescent="0.55000000000000004">
      <c r="A5467" t="s">
        <v>5548</v>
      </c>
      <c r="B5467" t="s">
        <v>140</v>
      </c>
      <c r="C5467" s="2">
        <v>43560</v>
      </c>
      <c r="D5467" t="s">
        <v>26</v>
      </c>
      <c r="E5467">
        <v>1682</v>
      </c>
    </row>
    <row r="5468" spans="1:5" x14ac:dyDescent="0.55000000000000004">
      <c r="A5468" t="s">
        <v>5549</v>
      </c>
      <c r="B5468" t="s">
        <v>41</v>
      </c>
      <c r="C5468" s="2">
        <v>44088</v>
      </c>
      <c r="D5468" t="s">
        <v>26</v>
      </c>
      <c r="E5468">
        <v>2108</v>
      </c>
    </row>
    <row r="5469" spans="1:5" x14ac:dyDescent="0.55000000000000004">
      <c r="A5469" t="s">
        <v>5550</v>
      </c>
      <c r="B5469" t="s">
        <v>23</v>
      </c>
      <c r="C5469" s="2">
        <v>44363</v>
      </c>
      <c r="D5469" t="s">
        <v>29</v>
      </c>
      <c r="E5469">
        <v>1525</v>
      </c>
    </row>
    <row r="5470" spans="1:5" x14ac:dyDescent="0.55000000000000004">
      <c r="A5470" t="s">
        <v>5551</v>
      </c>
      <c r="B5470" t="s">
        <v>32</v>
      </c>
      <c r="C5470" s="2">
        <v>43945</v>
      </c>
      <c r="D5470" t="s">
        <v>29</v>
      </c>
      <c r="E5470">
        <v>1988</v>
      </c>
    </row>
    <row r="5471" spans="1:5" x14ac:dyDescent="0.55000000000000004">
      <c r="A5471" t="s">
        <v>5552</v>
      </c>
      <c r="B5471" t="s">
        <v>14</v>
      </c>
      <c r="C5471" s="2">
        <v>43017</v>
      </c>
      <c r="D5471" t="s">
        <v>26</v>
      </c>
      <c r="E5471">
        <v>2433</v>
      </c>
    </row>
    <row r="5472" spans="1:5" x14ac:dyDescent="0.55000000000000004">
      <c r="A5472" t="s">
        <v>5553</v>
      </c>
      <c r="B5472" t="s">
        <v>35</v>
      </c>
      <c r="C5472" s="2">
        <v>44447</v>
      </c>
      <c r="D5472" t="s">
        <v>26</v>
      </c>
      <c r="E5472">
        <v>1223</v>
      </c>
    </row>
    <row r="5473" spans="1:5" x14ac:dyDescent="0.55000000000000004">
      <c r="A5473" t="s">
        <v>5554</v>
      </c>
      <c r="B5473" t="s">
        <v>67</v>
      </c>
      <c r="C5473" s="2">
        <v>44490</v>
      </c>
      <c r="D5473" t="s">
        <v>26</v>
      </c>
      <c r="E5473">
        <v>192</v>
      </c>
    </row>
    <row r="5474" spans="1:5" x14ac:dyDescent="0.55000000000000004">
      <c r="A5474" t="s">
        <v>5555</v>
      </c>
      <c r="B5474" t="s">
        <v>156</v>
      </c>
      <c r="C5474" s="2">
        <v>43687</v>
      </c>
      <c r="D5474" t="s">
        <v>29</v>
      </c>
      <c r="E5474">
        <v>2795</v>
      </c>
    </row>
    <row r="5475" spans="1:5" x14ac:dyDescent="0.55000000000000004">
      <c r="A5475" t="s">
        <v>5556</v>
      </c>
      <c r="B5475" t="s">
        <v>76</v>
      </c>
      <c r="C5475" s="2">
        <v>44588</v>
      </c>
      <c r="D5475" t="s">
        <v>29</v>
      </c>
      <c r="E5475">
        <v>1766</v>
      </c>
    </row>
    <row r="5476" spans="1:5" x14ac:dyDescent="0.55000000000000004">
      <c r="A5476" t="s">
        <v>5557</v>
      </c>
      <c r="B5476" t="s">
        <v>96</v>
      </c>
      <c r="C5476" s="2">
        <v>45147</v>
      </c>
      <c r="D5476" t="s">
        <v>26</v>
      </c>
      <c r="E5476">
        <v>1338</v>
      </c>
    </row>
    <row r="5477" spans="1:5" x14ac:dyDescent="0.55000000000000004">
      <c r="A5477" t="s">
        <v>5558</v>
      </c>
      <c r="B5477" t="s">
        <v>137</v>
      </c>
      <c r="C5477" s="2">
        <v>45251</v>
      </c>
      <c r="D5477" t="s">
        <v>29</v>
      </c>
      <c r="E5477">
        <v>662</v>
      </c>
    </row>
    <row r="5478" spans="1:5" x14ac:dyDescent="0.55000000000000004">
      <c r="A5478" t="s">
        <v>5559</v>
      </c>
      <c r="B5478" t="s">
        <v>14</v>
      </c>
      <c r="C5478" s="2">
        <v>44535</v>
      </c>
      <c r="D5478" t="s">
        <v>29</v>
      </c>
      <c r="E5478">
        <v>1289</v>
      </c>
    </row>
    <row r="5479" spans="1:5" x14ac:dyDescent="0.55000000000000004">
      <c r="A5479" t="s">
        <v>5560</v>
      </c>
      <c r="B5479" t="s">
        <v>140</v>
      </c>
      <c r="C5479" s="2">
        <v>43662</v>
      </c>
      <c r="D5479" t="s">
        <v>29</v>
      </c>
      <c r="E5479">
        <v>1814</v>
      </c>
    </row>
    <row r="5480" spans="1:5" x14ac:dyDescent="0.55000000000000004">
      <c r="A5480" t="s">
        <v>5561</v>
      </c>
      <c r="B5480" t="s">
        <v>111</v>
      </c>
      <c r="C5480" s="2">
        <v>44017</v>
      </c>
      <c r="D5480" t="s">
        <v>26</v>
      </c>
      <c r="E5480">
        <v>2339</v>
      </c>
    </row>
    <row r="5481" spans="1:5" x14ac:dyDescent="0.55000000000000004">
      <c r="A5481" t="s">
        <v>5562</v>
      </c>
      <c r="B5481" t="s">
        <v>15</v>
      </c>
      <c r="C5481" s="2">
        <v>44519</v>
      </c>
      <c r="D5481" t="s">
        <v>29</v>
      </c>
      <c r="E5481">
        <v>1306</v>
      </c>
    </row>
    <row r="5482" spans="1:5" x14ac:dyDescent="0.55000000000000004">
      <c r="A5482" t="s">
        <v>5563</v>
      </c>
      <c r="B5482" t="s">
        <v>63</v>
      </c>
      <c r="C5482" s="2">
        <v>43310</v>
      </c>
      <c r="D5482" t="s">
        <v>26</v>
      </c>
      <c r="E5482">
        <v>1741</v>
      </c>
    </row>
    <row r="5483" spans="1:5" x14ac:dyDescent="0.55000000000000004">
      <c r="A5483" t="s">
        <v>5564</v>
      </c>
      <c r="B5483" t="s">
        <v>72</v>
      </c>
      <c r="C5483" s="2">
        <v>43413</v>
      </c>
      <c r="D5483" t="s">
        <v>29</v>
      </c>
      <c r="E5483">
        <v>1057</v>
      </c>
    </row>
    <row r="5484" spans="1:5" x14ac:dyDescent="0.55000000000000004">
      <c r="A5484" t="s">
        <v>5565</v>
      </c>
      <c r="B5484" t="s">
        <v>137</v>
      </c>
      <c r="C5484" s="2">
        <v>45122</v>
      </c>
      <c r="D5484" t="s">
        <v>29</v>
      </c>
      <c r="E5484">
        <v>535</v>
      </c>
    </row>
    <row r="5485" spans="1:5" x14ac:dyDescent="0.55000000000000004">
      <c r="A5485" t="s">
        <v>5566</v>
      </c>
      <c r="B5485" t="s">
        <v>76</v>
      </c>
      <c r="C5485" s="2">
        <v>44220</v>
      </c>
      <c r="D5485" t="s">
        <v>29</v>
      </c>
      <c r="E5485">
        <v>1378</v>
      </c>
    </row>
    <row r="5486" spans="1:5" x14ac:dyDescent="0.55000000000000004">
      <c r="A5486" t="s">
        <v>5567</v>
      </c>
      <c r="B5486" t="s">
        <v>41</v>
      </c>
      <c r="C5486" s="2">
        <v>44423</v>
      </c>
      <c r="D5486" t="s">
        <v>26</v>
      </c>
      <c r="E5486">
        <v>444</v>
      </c>
    </row>
    <row r="5487" spans="1:5" x14ac:dyDescent="0.55000000000000004">
      <c r="A5487" t="s">
        <v>5568</v>
      </c>
      <c r="B5487" t="s">
        <v>101</v>
      </c>
      <c r="C5487" s="2">
        <v>44212</v>
      </c>
      <c r="D5487" t="s">
        <v>29</v>
      </c>
      <c r="E5487">
        <v>2472</v>
      </c>
    </row>
    <row r="5488" spans="1:5" x14ac:dyDescent="0.55000000000000004">
      <c r="A5488" t="s">
        <v>5569</v>
      </c>
      <c r="B5488" t="s">
        <v>32</v>
      </c>
      <c r="C5488" s="2">
        <v>44541</v>
      </c>
      <c r="D5488" t="s">
        <v>26</v>
      </c>
      <c r="E5488">
        <v>219</v>
      </c>
    </row>
    <row r="5489" spans="1:5" x14ac:dyDescent="0.55000000000000004">
      <c r="A5489" t="s">
        <v>5570</v>
      </c>
      <c r="B5489" t="s">
        <v>14</v>
      </c>
      <c r="C5489" s="2">
        <v>44339</v>
      </c>
      <c r="D5489" t="s">
        <v>29</v>
      </c>
      <c r="E5489">
        <v>656</v>
      </c>
    </row>
    <row r="5490" spans="1:5" x14ac:dyDescent="0.55000000000000004">
      <c r="A5490" t="s">
        <v>5571</v>
      </c>
      <c r="B5490" t="s">
        <v>76</v>
      </c>
      <c r="C5490" s="2">
        <v>44230</v>
      </c>
      <c r="D5490" t="s">
        <v>26</v>
      </c>
      <c r="E5490">
        <v>716</v>
      </c>
    </row>
    <row r="5491" spans="1:5" x14ac:dyDescent="0.55000000000000004">
      <c r="A5491" t="s">
        <v>5572</v>
      </c>
      <c r="B5491" t="s">
        <v>72</v>
      </c>
      <c r="C5491" s="2">
        <v>43519</v>
      </c>
      <c r="D5491" t="s">
        <v>26</v>
      </c>
      <c r="E5491">
        <v>1851</v>
      </c>
    </row>
    <row r="5492" spans="1:5" x14ac:dyDescent="0.55000000000000004">
      <c r="A5492" t="s">
        <v>5573</v>
      </c>
      <c r="B5492" t="s">
        <v>140</v>
      </c>
      <c r="C5492" s="2">
        <v>43896</v>
      </c>
      <c r="D5492" t="s">
        <v>29</v>
      </c>
      <c r="E5492">
        <v>1272</v>
      </c>
    </row>
    <row r="5493" spans="1:5" x14ac:dyDescent="0.55000000000000004">
      <c r="A5493" t="s">
        <v>5574</v>
      </c>
      <c r="B5493" t="s">
        <v>101</v>
      </c>
      <c r="C5493" s="2">
        <v>43192</v>
      </c>
      <c r="D5493" t="s">
        <v>29</v>
      </c>
      <c r="E5493">
        <v>2511</v>
      </c>
    </row>
    <row r="5494" spans="1:5" x14ac:dyDescent="0.55000000000000004">
      <c r="A5494" t="s">
        <v>5575</v>
      </c>
      <c r="B5494" t="s">
        <v>74</v>
      </c>
      <c r="C5494" s="2">
        <v>43716</v>
      </c>
      <c r="D5494" t="s">
        <v>26</v>
      </c>
      <c r="E5494">
        <v>424</v>
      </c>
    </row>
    <row r="5495" spans="1:5" x14ac:dyDescent="0.55000000000000004">
      <c r="A5495" t="s">
        <v>5576</v>
      </c>
      <c r="B5495" t="s">
        <v>74</v>
      </c>
      <c r="C5495" s="2">
        <v>43279</v>
      </c>
      <c r="D5495" t="s">
        <v>29</v>
      </c>
      <c r="E5495">
        <v>2904</v>
      </c>
    </row>
    <row r="5496" spans="1:5" x14ac:dyDescent="0.55000000000000004">
      <c r="A5496" t="s">
        <v>5577</v>
      </c>
      <c r="B5496" t="s">
        <v>115</v>
      </c>
      <c r="C5496" s="2">
        <v>43106</v>
      </c>
      <c r="D5496" t="s">
        <v>29</v>
      </c>
      <c r="E5496">
        <v>2061</v>
      </c>
    </row>
    <row r="5497" spans="1:5" x14ac:dyDescent="0.55000000000000004">
      <c r="A5497" t="s">
        <v>5578</v>
      </c>
      <c r="B5497" t="s">
        <v>175</v>
      </c>
      <c r="C5497" s="2">
        <v>44494</v>
      </c>
      <c r="D5497" t="s">
        <v>29</v>
      </c>
      <c r="E5497">
        <v>245</v>
      </c>
    </row>
    <row r="5498" spans="1:5" x14ac:dyDescent="0.55000000000000004">
      <c r="A5498" t="s">
        <v>5579</v>
      </c>
      <c r="B5498" t="s">
        <v>14</v>
      </c>
      <c r="C5498" s="2">
        <v>44474</v>
      </c>
      <c r="D5498" t="s">
        <v>26</v>
      </c>
      <c r="E5498">
        <v>443</v>
      </c>
    </row>
    <row r="5499" spans="1:5" x14ac:dyDescent="0.55000000000000004">
      <c r="A5499" t="s">
        <v>5580</v>
      </c>
      <c r="B5499" t="s">
        <v>96</v>
      </c>
      <c r="C5499" s="2">
        <v>45580</v>
      </c>
      <c r="D5499" t="s">
        <v>29</v>
      </c>
      <c r="E5499">
        <v>1970</v>
      </c>
    </row>
    <row r="5500" spans="1:5" x14ac:dyDescent="0.55000000000000004">
      <c r="A5500" t="s">
        <v>5581</v>
      </c>
      <c r="B5500" t="s">
        <v>41</v>
      </c>
      <c r="C5500" s="2">
        <v>44843</v>
      </c>
      <c r="D5500" t="s">
        <v>26</v>
      </c>
      <c r="E5500">
        <v>802</v>
      </c>
    </row>
    <row r="5501" spans="1:5" x14ac:dyDescent="0.55000000000000004">
      <c r="A5501" t="s">
        <v>5582</v>
      </c>
      <c r="B5501" t="s">
        <v>76</v>
      </c>
      <c r="C5501" s="2">
        <v>43790</v>
      </c>
      <c r="D5501" t="s">
        <v>26</v>
      </c>
      <c r="E5501">
        <v>2366</v>
      </c>
    </row>
    <row r="5502" spans="1:5" x14ac:dyDescent="0.55000000000000004">
      <c r="A5502" t="s">
        <v>5583</v>
      </c>
      <c r="B5502" t="s">
        <v>32</v>
      </c>
      <c r="C5502" s="2">
        <v>44564</v>
      </c>
      <c r="D5502" t="s">
        <v>29</v>
      </c>
      <c r="E5502">
        <v>55</v>
      </c>
    </row>
    <row r="5503" spans="1:5" x14ac:dyDescent="0.55000000000000004">
      <c r="A5503" t="s">
        <v>5584</v>
      </c>
      <c r="B5503" t="s">
        <v>137</v>
      </c>
      <c r="C5503" s="2">
        <v>44585</v>
      </c>
      <c r="D5503" t="s">
        <v>29</v>
      </c>
      <c r="E5503">
        <v>552</v>
      </c>
    </row>
    <row r="5504" spans="1:5" x14ac:dyDescent="0.55000000000000004">
      <c r="A5504" t="s">
        <v>5585</v>
      </c>
      <c r="B5504" t="s">
        <v>41</v>
      </c>
      <c r="C5504" s="2">
        <v>44667</v>
      </c>
      <c r="D5504" t="s">
        <v>29</v>
      </c>
      <c r="E5504">
        <v>672</v>
      </c>
    </row>
    <row r="5505" spans="1:5" x14ac:dyDescent="0.55000000000000004">
      <c r="A5505" t="s">
        <v>5586</v>
      </c>
      <c r="B5505" t="s">
        <v>35</v>
      </c>
      <c r="C5505" s="2">
        <v>44701</v>
      </c>
      <c r="D5505" t="s">
        <v>26</v>
      </c>
      <c r="E5505">
        <v>603</v>
      </c>
    </row>
    <row r="5506" spans="1:5" x14ac:dyDescent="0.55000000000000004">
      <c r="A5506" t="s">
        <v>5587</v>
      </c>
      <c r="B5506" t="s">
        <v>78</v>
      </c>
      <c r="C5506" s="2">
        <v>43920</v>
      </c>
      <c r="D5506" t="s">
        <v>26</v>
      </c>
      <c r="E5506">
        <v>219</v>
      </c>
    </row>
    <row r="5507" spans="1:5" x14ac:dyDescent="0.55000000000000004">
      <c r="A5507" t="s">
        <v>5588</v>
      </c>
      <c r="B5507" t="s">
        <v>151</v>
      </c>
      <c r="C5507" s="2">
        <v>43999</v>
      </c>
      <c r="D5507" t="s">
        <v>29</v>
      </c>
      <c r="E5507">
        <v>937</v>
      </c>
    </row>
    <row r="5508" spans="1:5" x14ac:dyDescent="0.55000000000000004">
      <c r="A5508" t="s">
        <v>5589</v>
      </c>
      <c r="B5508" t="s">
        <v>78</v>
      </c>
      <c r="C5508" s="2">
        <v>45426</v>
      </c>
      <c r="D5508" t="s">
        <v>29</v>
      </c>
      <c r="E5508">
        <v>933</v>
      </c>
    </row>
    <row r="5509" spans="1:5" x14ac:dyDescent="0.55000000000000004">
      <c r="A5509" t="s">
        <v>5590</v>
      </c>
      <c r="B5509" t="s">
        <v>140</v>
      </c>
      <c r="C5509" s="2">
        <v>43625</v>
      </c>
      <c r="D5509" t="s">
        <v>29</v>
      </c>
      <c r="E5509">
        <v>2180</v>
      </c>
    </row>
    <row r="5510" spans="1:5" x14ac:dyDescent="0.55000000000000004">
      <c r="A5510" t="s">
        <v>5591</v>
      </c>
      <c r="B5510" t="s">
        <v>142</v>
      </c>
      <c r="C5510" s="2">
        <v>43861</v>
      </c>
      <c r="D5510" t="s">
        <v>29</v>
      </c>
      <c r="E5510">
        <v>2603</v>
      </c>
    </row>
    <row r="5511" spans="1:5" x14ac:dyDescent="0.55000000000000004">
      <c r="A5511" t="s">
        <v>5592</v>
      </c>
      <c r="B5511" t="s">
        <v>105</v>
      </c>
      <c r="C5511" s="2">
        <v>43671</v>
      </c>
      <c r="D5511" t="s">
        <v>29</v>
      </c>
      <c r="E5511">
        <v>2105</v>
      </c>
    </row>
    <row r="5512" spans="1:5" x14ac:dyDescent="0.55000000000000004">
      <c r="A5512" t="s">
        <v>5593</v>
      </c>
      <c r="B5512" t="s">
        <v>105</v>
      </c>
      <c r="C5512" s="2">
        <v>43551</v>
      </c>
      <c r="D5512" t="s">
        <v>26</v>
      </c>
      <c r="E5512">
        <v>505</v>
      </c>
    </row>
    <row r="5513" spans="1:5" x14ac:dyDescent="0.55000000000000004">
      <c r="A5513" t="s">
        <v>5594</v>
      </c>
      <c r="B5513" t="s">
        <v>38</v>
      </c>
      <c r="C5513" s="2">
        <v>44307</v>
      </c>
      <c r="D5513" t="s">
        <v>29</v>
      </c>
      <c r="E5513">
        <v>1037</v>
      </c>
    </row>
    <row r="5514" spans="1:5" x14ac:dyDescent="0.55000000000000004">
      <c r="A5514" t="s">
        <v>5595</v>
      </c>
      <c r="B5514" t="s">
        <v>86</v>
      </c>
      <c r="C5514" s="2">
        <v>44549</v>
      </c>
      <c r="D5514" t="s">
        <v>29</v>
      </c>
      <c r="E5514">
        <v>193</v>
      </c>
    </row>
    <row r="5515" spans="1:5" x14ac:dyDescent="0.55000000000000004">
      <c r="A5515" t="s">
        <v>5596</v>
      </c>
      <c r="B5515" t="s">
        <v>142</v>
      </c>
      <c r="C5515" s="2">
        <v>44301</v>
      </c>
      <c r="D5515" t="s">
        <v>29</v>
      </c>
      <c r="E5515">
        <v>1042</v>
      </c>
    </row>
    <row r="5516" spans="1:5" x14ac:dyDescent="0.55000000000000004">
      <c r="A5516" t="s">
        <v>5597</v>
      </c>
      <c r="B5516" t="s">
        <v>156</v>
      </c>
      <c r="C5516" s="2">
        <v>44253</v>
      </c>
      <c r="D5516" t="s">
        <v>29</v>
      </c>
      <c r="E5516">
        <v>1168</v>
      </c>
    </row>
    <row r="5517" spans="1:5" x14ac:dyDescent="0.55000000000000004">
      <c r="A5517" t="s">
        <v>5598</v>
      </c>
      <c r="B5517" t="s">
        <v>35</v>
      </c>
      <c r="C5517" s="2">
        <v>44787</v>
      </c>
      <c r="D5517" t="s">
        <v>29</v>
      </c>
      <c r="E5517">
        <v>596</v>
      </c>
    </row>
    <row r="5518" spans="1:5" x14ac:dyDescent="0.55000000000000004">
      <c r="A5518" t="s">
        <v>5599</v>
      </c>
      <c r="B5518" t="s">
        <v>76</v>
      </c>
      <c r="C5518" s="2">
        <v>44272</v>
      </c>
      <c r="D5518" t="s">
        <v>26</v>
      </c>
      <c r="E5518">
        <v>456</v>
      </c>
    </row>
    <row r="5519" spans="1:5" x14ac:dyDescent="0.55000000000000004">
      <c r="A5519" t="s">
        <v>5600</v>
      </c>
      <c r="B5519" t="s">
        <v>72</v>
      </c>
      <c r="C5519" s="2">
        <v>43313</v>
      </c>
      <c r="D5519" t="s">
        <v>26</v>
      </c>
      <c r="E5519">
        <v>2920</v>
      </c>
    </row>
    <row r="5520" spans="1:5" x14ac:dyDescent="0.55000000000000004">
      <c r="A5520" t="s">
        <v>5601</v>
      </c>
      <c r="B5520" t="s">
        <v>15</v>
      </c>
      <c r="C5520" s="2">
        <v>43501</v>
      </c>
      <c r="D5520" t="s">
        <v>29</v>
      </c>
      <c r="E5520">
        <v>2794</v>
      </c>
    </row>
    <row r="5521" spans="1:5" x14ac:dyDescent="0.55000000000000004">
      <c r="A5521" t="s">
        <v>5602</v>
      </c>
      <c r="B5521" t="s">
        <v>32</v>
      </c>
      <c r="C5521" s="2">
        <v>44004</v>
      </c>
      <c r="D5521" t="s">
        <v>29</v>
      </c>
      <c r="E5521">
        <v>1795</v>
      </c>
    </row>
    <row r="5522" spans="1:5" x14ac:dyDescent="0.55000000000000004">
      <c r="A5522" t="s">
        <v>5603</v>
      </c>
      <c r="B5522" t="s">
        <v>94</v>
      </c>
      <c r="C5522" s="2">
        <v>45096</v>
      </c>
      <c r="D5522" t="s">
        <v>26</v>
      </c>
      <c r="E5522">
        <v>994</v>
      </c>
    </row>
    <row r="5523" spans="1:5" x14ac:dyDescent="0.55000000000000004">
      <c r="A5523" t="s">
        <v>5604</v>
      </c>
      <c r="B5523" t="s">
        <v>38</v>
      </c>
      <c r="C5523" s="2">
        <v>44432</v>
      </c>
      <c r="D5523" t="s">
        <v>26</v>
      </c>
      <c r="E5523">
        <v>2004</v>
      </c>
    </row>
    <row r="5524" spans="1:5" x14ac:dyDescent="0.55000000000000004">
      <c r="A5524" t="s">
        <v>5605</v>
      </c>
      <c r="B5524" t="s">
        <v>105</v>
      </c>
      <c r="C5524" s="2">
        <v>42979</v>
      </c>
      <c r="D5524" t="s">
        <v>26</v>
      </c>
      <c r="E5524">
        <v>2273</v>
      </c>
    </row>
    <row r="5525" spans="1:5" x14ac:dyDescent="0.55000000000000004">
      <c r="A5525" t="s">
        <v>5606</v>
      </c>
      <c r="B5525" t="s">
        <v>99</v>
      </c>
      <c r="C5525" s="2">
        <v>45020</v>
      </c>
      <c r="D5525" t="s">
        <v>26</v>
      </c>
      <c r="E5525">
        <v>298</v>
      </c>
    </row>
    <row r="5526" spans="1:5" x14ac:dyDescent="0.55000000000000004">
      <c r="A5526" t="s">
        <v>5607</v>
      </c>
      <c r="B5526" t="s">
        <v>94</v>
      </c>
      <c r="C5526" s="2">
        <v>45410</v>
      </c>
      <c r="D5526" t="s">
        <v>29</v>
      </c>
      <c r="E5526">
        <v>2925</v>
      </c>
    </row>
    <row r="5527" spans="1:5" x14ac:dyDescent="0.55000000000000004">
      <c r="A5527" t="s">
        <v>5608</v>
      </c>
      <c r="B5527" t="s">
        <v>14</v>
      </c>
      <c r="C5527" s="2">
        <v>44258</v>
      </c>
      <c r="D5527" t="s">
        <v>26</v>
      </c>
      <c r="E5527">
        <v>275</v>
      </c>
    </row>
    <row r="5528" spans="1:5" x14ac:dyDescent="0.55000000000000004">
      <c r="A5528" t="s">
        <v>5609</v>
      </c>
      <c r="B5528" t="s">
        <v>32</v>
      </c>
      <c r="C5528" s="2">
        <v>44623</v>
      </c>
      <c r="D5528" t="s">
        <v>26</v>
      </c>
      <c r="E5528">
        <v>170</v>
      </c>
    </row>
    <row r="5529" spans="1:5" x14ac:dyDescent="0.55000000000000004">
      <c r="A5529" t="s">
        <v>5610</v>
      </c>
      <c r="B5529" t="s">
        <v>84</v>
      </c>
      <c r="C5529" s="2">
        <v>43590</v>
      </c>
      <c r="D5529" t="s">
        <v>26</v>
      </c>
      <c r="E5529">
        <v>135</v>
      </c>
    </row>
    <row r="5530" spans="1:5" x14ac:dyDescent="0.55000000000000004">
      <c r="A5530" t="s">
        <v>5611</v>
      </c>
      <c r="B5530" t="s">
        <v>101</v>
      </c>
      <c r="C5530" s="2">
        <v>44163</v>
      </c>
      <c r="D5530" t="s">
        <v>26</v>
      </c>
      <c r="E5530">
        <v>1331</v>
      </c>
    </row>
    <row r="5531" spans="1:5" x14ac:dyDescent="0.55000000000000004">
      <c r="A5531" t="s">
        <v>5612</v>
      </c>
      <c r="B5531" t="s">
        <v>78</v>
      </c>
      <c r="C5531" s="2">
        <v>45699</v>
      </c>
      <c r="D5531" t="s">
        <v>26</v>
      </c>
      <c r="E5531">
        <v>1092</v>
      </c>
    </row>
    <row r="5532" spans="1:5" x14ac:dyDescent="0.55000000000000004">
      <c r="A5532" t="s">
        <v>5613</v>
      </c>
      <c r="B5532" t="s">
        <v>32</v>
      </c>
      <c r="C5532" s="2">
        <v>44300</v>
      </c>
      <c r="D5532" t="s">
        <v>29</v>
      </c>
      <c r="E5532">
        <v>940</v>
      </c>
    </row>
    <row r="5533" spans="1:5" x14ac:dyDescent="0.55000000000000004">
      <c r="A5533" t="s">
        <v>5614</v>
      </c>
      <c r="B5533" t="s">
        <v>94</v>
      </c>
      <c r="C5533" s="2">
        <v>44717</v>
      </c>
      <c r="D5533" t="s">
        <v>26</v>
      </c>
      <c r="E5533">
        <v>146</v>
      </c>
    </row>
    <row r="5534" spans="1:5" x14ac:dyDescent="0.55000000000000004">
      <c r="A5534" t="s">
        <v>5615</v>
      </c>
      <c r="B5534" t="s">
        <v>76</v>
      </c>
      <c r="C5534" s="2">
        <v>43891</v>
      </c>
      <c r="D5534" t="s">
        <v>26</v>
      </c>
      <c r="E5534">
        <v>2929</v>
      </c>
    </row>
    <row r="5535" spans="1:5" x14ac:dyDescent="0.55000000000000004">
      <c r="A5535" t="s">
        <v>5616</v>
      </c>
      <c r="B5535" t="s">
        <v>76</v>
      </c>
      <c r="C5535" s="2">
        <v>45089</v>
      </c>
      <c r="D5535" t="s">
        <v>29</v>
      </c>
      <c r="E5535">
        <v>1942</v>
      </c>
    </row>
    <row r="5536" spans="1:5" x14ac:dyDescent="0.55000000000000004">
      <c r="A5536" t="s">
        <v>5617</v>
      </c>
      <c r="B5536" t="s">
        <v>67</v>
      </c>
      <c r="C5536" s="2">
        <v>44639</v>
      </c>
      <c r="D5536" t="s">
        <v>26</v>
      </c>
      <c r="E5536">
        <v>1740</v>
      </c>
    </row>
    <row r="5537" spans="1:5" x14ac:dyDescent="0.55000000000000004">
      <c r="A5537" t="s">
        <v>5618</v>
      </c>
      <c r="B5537" t="s">
        <v>86</v>
      </c>
      <c r="C5537" s="2">
        <v>43269</v>
      </c>
      <c r="D5537" t="s">
        <v>29</v>
      </c>
      <c r="E5537">
        <v>1040</v>
      </c>
    </row>
    <row r="5538" spans="1:5" x14ac:dyDescent="0.55000000000000004">
      <c r="A5538" t="s">
        <v>5619</v>
      </c>
      <c r="B5538" t="s">
        <v>84</v>
      </c>
      <c r="C5538" s="2">
        <v>44289</v>
      </c>
      <c r="D5538" t="s">
        <v>29</v>
      </c>
      <c r="E5538">
        <v>1071</v>
      </c>
    </row>
    <row r="5539" spans="1:5" x14ac:dyDescent="0.55000000000000004">
      <c r="A5539" t="s">
        <v>5620</v>
      </c>
      <c r="B5539" t="s">
        <v>84</v>
      </c>
      <c r="C5539" s="2">
        <v>43792</v>
      </c>
      <c r="D5539" t="s">
        <v>26</v>
      </c>
      <c r="E5539">
        <v>2177</v>
      </c>
    </row>
    <row r="5540" spans="1:5" x14ac:dyDescent="0.55000000000000004">
      <c r="A5540" t="s">
        <v>5621</v>
      </c>
      <c r="B5540" t="s">
        <v>151</v>
      </c>
      <c r="C5540" s="2">
        <v>44012</v>
      </c>
      <c r="D5540" t="s">
        <v>29</v>
      </c>
      <c r="E5540">
        <v>2819</v>
      </c>
    </row>
    <row r="5541" spans="1:5" x14ac:dyDescent="0.55000000000000004">
      <c r="A5541" t="s">
        <v>5622</v>
      </c>
      <c r="B5541" t="s">
        <v>74</v>
      </c>
      <c r="C5541" s="2">
        <v>43890</v>
      </c>
      <c r="D5541" t="s">
        <v>26</v>
      </c>
      <c r="E5541">
        <v>1844</v>
      </c>
    </row>
    <row r="5542" spans="1:5" x14ac:dyDescent="0.55000000000000004">
      <c r="A5542" t="s">
        <v>5623</v>
      </c>
      <c r="B5542" t="s">
        <v>41</v>
      </c>
      <c r="C5542" s="2">
        <v>44050</v>
      </c>
      <c r="D5542" t="s">
        <v>26</v>
      </c>
      <c r="E5542">
        <v>2628</v>
      </c>
    </row>
    <row r="5543" spans="1:5" x14ac:dyDescent="0.55000000000000004">
      <c r="A5543" t="s">
        <v>5624</v>
      </c>
      <c r="B5543" t="s">
        <v>38</v>
      </c>
      <c r="C5543" s="2">
        <v>44487</v>
      </c>
      <c r="D5543" t="s">
        <v>26</v>
      </c>
      <c r="E5543">
        <v>2636</v>
      </c>
    </row>
    <row r="5544" spans="1:5" x14ac:dyDescent="0.55000000000000004">
      <c r="A5544" t="s">
        <v>5625</v>
      </c>
      <c r="B5544" t="s">
        <v>32</v>
      </c>
      <c r="C5544" s="2">
        <v>44083</v>
      </c>
      <c r="D5544" t="s">
        <v>26</v>
      </c>
      <c r="E5544">
        <v>2198</v>
      </c>
    </row>
    <row r="5545" spans="1:5" x14ac:dyDescent="0.55000000000000004">
      <c r="A5545" t="s">
        <v>5626</v>
      </c>
      <c r="B5545" t="s">
        <v>15</v>
      </c>
      <c r="C5545" s="2">
        <v>43945</v>
      </c>
      <c r="D5545" t="s">
        <v>29</v>
      </c>
      <c r="E5545">
        <v>2207</v>
      </c>
    </row>
    <row r="5546" spans="1:5" x14ac:dyDescent="0.55000000000000004">
      <c r="A5546" t="s">
        <v>5627</v>
      </c>
      <c r="B5546" t="s">
        <v>78</v>
      </c>
      <c r="C5546" s="2">
        <v>45047</v>
      </c>
      <c r="D5546" t="s">
        <v>29</v>
      </c>
      <c r="E5546">
        <v>2401</v>
      </c>
    </row>
    <row r="5547" spans="1:5" x14ac:dyDescent="0.55000000000000004">
      <c r="A5547" t="s">
        <v>5628</v>
      </c>
      <c r="B5547" t="s">
        <v>67</v>
      </c>
      <c r="C5547" s="2">
        <v>45573</v>
      </c>
      <c r="D5547" t="s">
        <v>26</v>
      </c>
      <c r="E5547">
        <v>2828</v>
      </c>
    </row>
    <row r="5548" spans="1:5" x14ac:dyDescent="0.55000000000000004">
      <c r="A5548" t="s">
        <v>5629</v>
      </c>
      <c r="B5548" t="s">
        <v>32</v>
      </c>
      <c r="C5548" s="2">
        <v>43955</v>
      </c>
      <c r="D5548" t="s">
        <v>29</v>
      </c>
      <c r="E5548">
        <v>1288</v>
      </c>
    </row>
    <row r="5549" spans="1:5" x14ac:dyDescent="0.55000000000000004">
      <c r="A5549" t="s">
        <v>5630</v>
      </c>
      <c r="B5549" t="s">
        <v>96</v>
      </c>
      <c r="C5549" s="2">
        <v>45836</v>
      </c>
      <c r="D5549" t="s">
        <v>26</v>
      </c>
      <c r="E5549">
        <v>1963</v>
      </c>
    </row>
    <row r="5550" spans="1:5" x14ac:dyDescent="0.55000000000000004">
      <c r="A5550" t="s">
        <v>5631</v>
      </c>
      <c r="B5550" t="s">
        <v>115</v>
      </c>
      <c r="C5550" s="2">
        <v>43478</v>
      </c>
      <c r="D5550" t="s">
        <v>29</v>
      </c>
      <c r="E5550">
        <v>2789</v>
      </c>
    </row>
    <row r="5551" spans="1:5" x14ac:dyDescent="0.55000000000000004">
      <c r="A5551" t="s">
        <v>5632</v>
      </c>
      <c r="B5551" t="s">
        <v>72</v>
      </c>
      <c r="C5551" s="2">
        <v>43436</v>
      </c>
      <c r="D5551" t="s">
        <v>29</v>
      </c>
      <c r="E5551">
        <v>952</v>
      </c>
    </row>
    <row r="5552" spans="1:5" x14ac:dyDescent="0.55000000000000004">
      <c r="A5552" t="s">
        <v>5633</v>
      </c>
      <c r="B5552" t="s">
        <v>142</v>
      </c>
      <c r="C5552" s="2">
        <v>43100</v>
      </c>
      <c r="D5552" t="s">
        <v>29</v>
      </c>
      <c r="E5552">
        <v>2910</v>
      </c>
    </row>
    <row r="5553" spans="1:5" x14ac:dyDescent="0.55000000000000004">
      <c r="A5553" t="s">
        <v>5634</v>
      </c>
      <c r="B5553" t="s">
        <v>84</v>
      </c>
      <c r="C5553" s="2">
        <v>43275</v>
      </c>
      <c r="D5553" t="s">
        <v>29</v>
      </c>
      <c r="E5553">
        <v>541</v>
      </c>
    </row>
    <row r="5554" spans="1:5" x14ac:dyDescent="0.55000000000000004">
      <c r="A5554" t="s">
        <v>5635</v>
      </c>
      <c r="B5554" t="s">
        <v>94</v>
      </c>
      <c r="C5554" s="2">
        <v>44300</v>
      </c>
      <c r="D5554" t="s">
        <v>26</v>
      </c>
      <c r="E5554">
        <v>2426</v>
      </c>
    </row>
    <row r="5555" spans="1:5" x14ac:dyDescent="0.55000000000000004">
      <c r="A5555" t="s">
        <v>5636</v>
      </c>
      <c r="B5555" t="s">
        <v>15</v>
      </c>
      <c r="C5555" s="2">
        <v>43250</v>
      </c>
      <c r="D5555" t="s">
        <v>26</v>
      </c>
      <c r="E5555">
        <v>975</v>
      </c>
    </row>
    <row r="5556" spans="1:5" x14ac:dyDescent="0.55000000000000004">
      <c r="A5556" t="s">
        <v>5637</v>
      </c>
      <c r="B5556" t="s">
        <v>23</v>
      </c>
      <c r="C5556" s="2">
        <v>44042</v>
      </c>
      <c r="D5556" t="s">
        <v>26</v>
      </c>
      <c r="E5556">
        <v>461</v>
      </c>
    </row>
    <row r="5557" spans="1:5" x14ac:dyDescent="0.55000000000000004">
      <c r="A5557" t="s">
        <v>5638</v>
      </c>
      <c r="B5557" t="s">
        <v>35</v>
      </c>
      <c r="C5557" s="2">
        <v>44854</v>
      </c>
      <c r="D5557" t="s">
        <v>26</v>
      </c>
      <c r="E5557">
        <v>1605</v>
      </c>
    </row>
    <row r="5558" spans="1:5" x14ac:dyDescent="0.55000000000000004">
      <c r="A5558" t="s">
        <v>5639</v>
      </c>
      <c r="B5558" t="s">
        <v>175</v>
      </c>
      <c r="C5558" s="2">
        <v>44109</v>
      </c>
      <c r="D5558" t="s">
        <v>26</v>
      </c>
      <c r="E5558">
        <v>706</v>
      </c>
    </row>
    <row r="5559" spans="1:5" x14ac:dyDescent="0.55000000000000004">
      <c r="A5559" t="s">
        <v>5640</v>
      </c>
      <c r="B5559" t="s">
        <v>67</v>
      </c>
      <c r="C5559" s="2">
        <v>45574</v>
      </c>
      <c r="D5559" t="s">
        <v>26</v>
      </c>
      <c r="E5559">
        <v>2915</v>
      </c>
    </row>
    <row r="5560" spans="1:5" x14ac:dyDescent="0.55000000000000004">
      <c r="A5560" t="s">
        <v>5641</v>
      </c>
      <c r="B5560" t="s">
        <v>23</v>
      </c>
      <c r="C5560" s="2">
        <v>44265</v>
      </c>
      <c r="D5560" t="s">
        <v>26</v>
      </c>
      <c r="E5560">
        <v>596</v>
      </c>
    </row>
    <row r="5561" spans="1:5" x14ac:dyDescent="0.55000000000000004">
      <c r="A5561" t="s">
        <v>5642</v>
      </c>
      <c r="B5561" t="s">
        <v>115</v>
      </c>
      <c r="C5561" s="2">
        <v>43008</v>
      </c>
      <c r="D5561" t="s">
        <v>26</v>
      </c>
      <c r="E5561">
        <v>61</v>
      </c>
    </row>
    <row r="5562" spans="1:5" x14ac:dyDescent="0.55000000000000004">
      <c r="A5562" t="s">
        <v>5643</v>
      </c>
      <c r="B5562" t="s">
        <v>105</v>
      </c>
      <c r="C5562" s="2">
        <v>43388</v>
      </c>
      <c r="D5562" t="s">
        <v>26</v>
      </c>
      <c r="E5562">
        <v>8</v>
      </c>
    </row>
    <row r="5563" spans="1:5" x14ac:dyDescent="0.55000000000000004">
      <c r="A5563" t="s">
        <v>5644</v>
      </c>
      <c r="B5563" t="s">
        <v>14</v>
      </c>
      <c r="C5563" s="2">
        <v>43046</v>
      </c>
      <c r="D5563" t="s">
        <v>29</v>
      </c>
      <c r="E5563">
        <v>1889</v>
      </c>
    </row>
    <row r="5564" spans="1:5" x14ac:dyDescent="0.55000000000000004">
      <c r="A5564" t="s">
        <v>5645</v>
      </c>
      <c r="B5564" t="s">
        <v>140</v>
      </c>
      <c r="C5564" s="2">
        <v>43694</v>
      </c>
      <c r="D5564" t="s">
        <v>26</v>
      </c>
      <c r="E5564">
        <v>185</v>
      </c>
    </row>
    <row r="5565" spans="1:5" x14ac:dyDescent="0.55000000000000004">
      <c r="A5565" t="s">
        <v>5646</v>
      </c>
      <c r="B5565" t="s">
        <v>14</v>
      </c>
      <c r="C5565" s="2">
        <v>43957</v>
      </c>
      <c r="D5565" t="s">
        <v>29</v>
      </c>
      <c r="E5565">
        <v>2928</v>
      </c>
    </row>
    <row r="5566" spans="1:5" x14ac:dyDescent="0.55000000000000004">
      <c r="A5566" t="s">
        <v>5647</v>
      </c>
      <c r="B5566" t="s">
        <v>101</v>
      </c>
      <c r="C5566" s="2">
        <v>43166</v>
      </c>
      <c r="D5566" t="s">
        <v>26</v>
      </c>
      <c r="E5566">
        <v>2243</v>
      </c>
    </row>
    <row r="5567" spans="1:5" x14ac:dyDescent="0.55000000000000004">
      <c r="A5567" t="s">
        <v>5648</v>
      </c>
      <c r="B5567" t="s">
        <v>74</v>
      </c>
      <c r="C5567" s="2">
        <v>43522</v>
      </c>
      <c r="D5567" t="s">
        <v>26</v>
      </c>
      <c r="E5567">
        <v>1526</v>
      </c>
    </row>
    <row r="5568" spans="1:5" x14ac:dyDescent="0.55000000000000004">
      <c r="A5568" t="s">
        <v>5649</v>
      </c>
      <c r="B5568" t="s">
        <v>101</v>
      </c>
      <c r="C5568" s="2">
        <v>44548</v>
      </c>
      <c r="D5568" t="s">
        <v>26</v>
      </c>
      <c r="E5568">
        <v>1182</v>
      </c>
    </row>
    <row r="5569" spans="1:5" x14ac:dyDescent="0.55000000000000004">
      <c r="A5569" t="s">
        <v>5650</v>
      </c>
      <c r="B5569" t="s">
        <v>142</v>
      </c>
      <c r="C5569" s="2">
        <v>44400</v>
      </c>
      <c r="D5569" t="s">
        <v>26</v>
      </c>
      <c r="E5569">
        <v>2265</v>
      </c>
    </row>
    <row r="5570" spans="1:5" x14ac:dyDescent="0.55000000000000004">
      <c r="A5570" t="s">
        <v>5651</v>
      </c>
      <c r="B5570" t="s">
        <v>156</v>
      </c>
      <c r="C5570" s="2">
        <v>43570</v>
      </c>
      <c r="D5570" t="s">
        <v>26</v>
      </c>
      <c r="E5570">
        <v>2626</v>
      </c>
    </row>
    <row r="5571" spans="1:5" x14ac:dyDescent="0.55000000000000004">
      <c r="A5571" t="s">
        <v>5652</v>
      </c>
      <c r="B5571" t="s">
        <v>74</v>
      </c>
      <c r="C5571" s="2">
        <v>44124</v>
      </c>
      <c r="D5571" t="s">
        <v>26</v>
      </c>
      <c r="E5571">
        <v>1976</v>
      </c>
    </row>
    <row r="5572" spans="1:5" x14ac:dyDescent="0.55000000000000004">
      <c r="A5572" t="s">
        <v>5653</v>
      </c>
      <c r="B5572" t="s">
        <v>84</v>
      </c>
      <c r="C5572" s="2">
        <v>43779</v>
      </c>
      <c r="D5572" t="s">
        <v>26</v>
      </c>
      <c r="E5572">
        <v>798</v>
      </c>
    </row>
    <row r="5573" spans="1:5" x14ac:dyDescent="0.55000000000000004">
      <c r="A5573" t="s">
        <v>5654</v>
      </c>
      <c r="B5573" t="s">
        <v>111</v>
      </c>
      <c r="C5573" s="2">
        <v>43550</v>
      </c>
      <c r="D5573" t="s">
        <v>29</v>
      </c>
      <c r="E5573">
        <v>2411</v>
      </c>
    </row>
    <row r="5574" spans="1:5" x14ac:dyDescent="0.55000000000000004">
      <c r="A5574" t="s">
        <v>5655</v>
      </c>
      <c r="B5574" t="s">
        <v>111</v>
      </c>
      <c r="C5574" s="2">
        <v>44302</v>
      </c>
      <c r="D5574" t="s">
        <v>26</v>
      </c>
      <c r="E5574">
        <v>142</v>
      </c>
    </row>
    <row r="5575" spans="1:5" x14ac:dyDescent="0.55000000000000004">
      <c r="A5575" t="s">
        <v>5656</v>
      </c>
      <c r="B5575" t="s">
        <v>14</v>
      </c>
      <c r="C5575" s="2">
        <v>43323</v>
      </c>
      <c r="D5575" t="s">
        <v>26</v>
      </c>
      <c r="E5575">
        <v>1872</v>
      </c>
    </row>
    <row r="5576" spans="1:5" x14ac:dyDescent="0.55000000000000004">
      <c r="A5576" t="s">
        <v>5657</v>
      </c>
      <c r="B5576" t="s">
        <v>175</v>
      </c>
      <c r="C5576" s="2">
        <v>45121</v>
      </c>
      <c r="D5576" t="s">
        <v>26</v>
      </c>
      <c r="E5576">
        <v>14</v>
      </c>
    </row>
    <row r="5577" spans="1:5" x14ac:dyDescent="0.55000000000000004">
      <c r="A5577" t="s">
        <v>5658</v>
      </c>
      <c r="B5577" t="s">
        <v>86</v>
      </c>
      <c r="C5577" s="2">
        <v>43488</v>
      </c>
      <c r="D5577" t="s">
        <v>29</v>
      </c>
      <c r="E5577">
        <v>2409</v>
      </c>
    </row>
    <row r="5578" spans="1:5" x14ac:dyDescent="0.55000000000000004">
      <c r="A5578" t="s">
        <v>5659</v>
      </c>
      <c r="B5578" t="s">
        <v>101</v>
      </c>
      <c r="C5578" s="2">
        <v>43813</v>
      </c>
      <c r="D5578" t="s">
        <v>26</v>
      </c>
      <c r="E5578">
        <v>1357</v>
      </c>
    </row>
    <row r="5579" spans="1:5" x14ac:dyDescent="0.55000000000000004">
      <c r="A5579" t="s">
        <v>5660</v>
      </c>
      <c r="B5579" t="s">
        <v>14</v>
      </c>
      <c r="C5579" s="2">
        <v>44328</v>
      </c>
      <c r="D5579" t="s">
        <v>26</v>
      </c>
      <c r="E5579">
        <v>1785</v>
      </c>
    </row>
    <row r="5580" spans="1:5" x14ac:dyDescent="0.55000000000000004">
      <c r="A5580" t="s">
        <v>5661</v>
      </c>
      <c r="B5580" t="s">
        <v>140</v>
      </c>
      <c r="C5580" s="2">
        <v>44285</v>
      </c>
      <c r="D5580" t="s">
        <v>29</v>
      </c>
      <c r="E5580">
        <v>1728</v>
      </c>
    </row>
    <row r="5581" spans="1:5" x14ac:dyDescent="0.55000000000000004">
      <c r="A5581" t="s">
        <v>5662</v>
      </c>
      <c r="B5581" t="s">
        <v>84</v>
      </c>
      <c r="C5581" s="2">
        <v>43105</v>
      </c>
      <c r="D5581" t="s">
        <v>26</v>
      </c>
      <c r="E5581">
        <v>53</v>
      </c>
    </row>
    <row r="5582" spans="1:5" x14ac:dyDescent="0.55000000000000004">
      <c r="A5582" t="s">
        <v>5663</v>
      </c>
      <c r="B5582" t="s">
        <v>94</v>
      </c>
      <c r="C5582" s="2">
        <v>45075</v>
      </c>
      <c r="D5582" t="s">
        <v>29</v>
      </c>
      <c r="E5582">
        <v>1225</v>
      </c>
    </row>
    <row r="5583" spans="1:5" x14ac:dyDescent="0.55000000000000004">
      <c r="A5583" t="s">
        <v>5664</v>
      </c>
      <c r="B5583" t="s">
        <v>76</v>
      </c>
      <c r="C5583" s="2">
        <v>43820</v>
      </c>
      <c r="D5583" t="s">
        <v>26</v>
      </c>
      <c r="E5583">
        <v>2883</v>
      </c>
    </row>
    <row r="5584" spans="1:5" x14ac:dyDescent="0.55000000000000004">
      <c r="A5584" t="s">
        <v>5665</v>
      </c>
      <c r="B5584" t="s">
        <v>175</v>
      </c>
      <c r="C5584" s="2">
        <v>44386</v>
      </c>
      <c r="D5584" t="s">
        <v>29</v>
      </c>
      <c r="E5584">
        <v>6</v>
      </c>
    </row>
    <row r="5585" spans="1:5" x14ac:dyDescent="0.55000000000000004">
      <c r="A5585" t="s">
        <v>5666</v>
      </c>
      <c r="B5585" t="s">
        <v>137</v>
      </c>
      <c r="C5585" s="2">
        <v>45296</v>
      </c>
      <c r="D5585" t="s">
        <v>29</v>
      </c>
      <c r="E5585">
        <v>411</v>
      </c>
    </row>
    <row r="5586" spans="1:5" x14ac:dyDescent="0.55000000000000004">
      <c r="A5586" t="s">
        <v>5667</v>
      </c>
      <c r="B5586" t="s">
        <v>101</v>
      </c>
      <c r="C5586" s="2">
        <v>44174</v>
      </c>
      <c r="D5586" t="s">
        <v>29</v>
      </c>
      <c r="E5586">
        <v>2533</v>
      </c>
    </row>
    <row r="5587" spans="1:5" x14ac:dyDescent="0.55000000000000004">
      <c r="A5587" t="s">
        <v>5668</v>
      </c>
      <c r="B5587" t="s">
        <v>96</v>
      </c>
      <c r="C5587" s="2">
        <v>43637</v>
      </c>
      <c r="D5587" t="s">
        <v>26</v>
      </c>
      <c r="E5587">
        <v>1504</v>
      </c>
    </row>
    <row r="5588" spans="1:5" x14ac:dyDescent="0.55000000000000004">
      <c r="A5588" t="s">
        <v>5669</v>
      </c>
      <c r="B5588" t="s">
        <v>118</v>
      </c>
      <c r="C5588" s="2">
        <v>45766</v>
      </c>
      <c r="D5588" t="s">
        <v>26</v>
      </c>
      <c r="E5588">
        <v>1760</v>
      </c>
    </row>
    <row r="5589" spans="1:5" x14ac:dyDescent="0.55000000000000004">
      <c r="A5589" t="s">
        <v>5670</v>
      </c>
      <c r="B5589" t="s">
        <v>140</v>
      </c>
      <c r="C5589" s="2">
        <v>44039</v>
      </c>
      <c r="D5589" t="s">
        <v>26</v>
      </c>
      <c r="E5589">
        <v>1205</v>
      </c>
    </row>
    <row r="5590" spans="1:5" x14ac:dyDescent="0.55000000000000004">
      <c r="A5590" t="s">
        <v>5671</v>
      </c>
      <c r="B5590" t="s">
        <v>99</v>
      </c>
      <c r="C5590" s="2">
        <v>44042</v>
      </c>
      <c r="D5590" t="s">
        <v>29</v>
      </c>
      <c r="E5590">
        <v>2188</v>
      </c>
    </row>
    <row r="5591" spans="1:5" x14ac:dyDescent="0.55000000000000004">
      <c r="A5591" t="s">
        <v>5672</v>
      </c>
      <c r="B5591" t="s">
        <v>78</v>
      </c>
      <c r="C5591" s="2">
        <v>45790</v>
      </c>
      <c r="D5591" t="s">
        <v>29</v>
      </c>
      <c r="E5591">
        <v>652</v>
      </c>
    </row>
    <row r="5592" spans="1:5" x14ac:dyDescent="0.55000000000000004">
      <c r="A5592" t="s">
        <v>5673</v>
      </c>
      <c r="B5592" t="s">
        <v>101</v>
      </c>
      <c r="C5592" s="2">
        <v>44159</v>
      </c>
      <c r="D5592" t="s">
        <v>29</v>
      </c>
      <c r="E5592">
        <v>63</v>
      </c>
    </row>
    <row r="5593" spans="1:5" x14ac:dyDescent="0.55000000000000004">
      <c r="A5593" t="s">
        <v>5674</v>
      </c>
      <c r="B5593" t="s">
        <v>67</v>
      </c>
      <c r="C5593" s="2">
        <v>44424</v>
      </c>
      <c r="D5593" t="s">
        <v>29</v>
      </c>
      <c r="E5593">
        <v>2285</v>
      </c>
    </row>
    <row r="5594" spans="1:5" x14ac:dyDescent="0.55000000000000004">
      <c r="A5594" t="s">
        <v>5675</v>
      </c>
      <c r="B5594" t="s">
        <v>99</v>
      </c>
      <c r="C5594" s="2">
        <v>45596</v>
      </c>
      <c r="D5594" t="s">
        <v>26</v>
      </c>
      <c r="E5594">
        <v>1935</v>
      </c>
    </row>
    <row r="5595" spans="1:5" x14ac:dyDescent="0.55000000000000004">
      <c r="A5595" t="s">
        <v>5676</v>
      </c>
      <c r="B5595" t="s">
        <v>67</v>
      </c>
      <c r="C5595" s="2">
        <v>45453</v>
      </c>
      <c r="D5595" t="s">
        <v>26</v>
      </c>
      <c r="E5595">
        <v>1491</v>
      </c>
    </row>
    <row r="5596" spans="1:5" x14ac:dyDescent="0.55000000000000004">
      <c r="A5596" t="s">
        <v>5677</v>
      </c>
      <c r="B5596" t="s">
        <v>14</v>
      </c>
      <c r="C5596" s="2">
        <v>43676</v>
      </c>
      <c r="D5596" t="s">
        <v>29</v>
      </c>
      <c r="E5596">
        <v>739</v>
      </c>
    </row>
    <row r="5597" spans="1:5" x14ac:dyDescent="0.55000000000000004">
      <c r="A5597" t="s">
        <v>5678</v>
      </c>
      <c r="B5597" t="s">
        <v>86</v>
      </c>
      <c r="C5597" s="2">
        <v>43845</v>
      </c>
      <c r="D5597" t="s">
        <v>26</v>
      </c>
      <c r="E5597">
        <v>2332</v>
      </c>
    </row>
    <row r="5598" spans="1:5" x14ac:dyDescent="0.55000000000000004">
      <c r="A5598" t="s">
        <v>5679</v>
      </c>
      <c r="B5598" t="s">
        <v>15</v>
      </c>
      <c r="C5598" s="2">
        <v>43689</v>
      </c>
      <c r="D5598" t="s">
        <v>26</v>
      </c>
      <c r="E5598">
        <v>2839</v>
      </c>
    </row>
    <row r="5599" spans="1:5" x14ac:dyDescent="0.55000000000000004">
      <c r="A5599" t="s">
        <v>5680</v>
      </c>
      <c r="B5599" t="s">
        <v>32</v>
      </c>
      <c r="C5599" s="2">
        <v>44315</v>
      </c>
      <c r="D5599" t="s">
        <v>26</v>
      </c>
      <c r="E5599">
        <v>91</v>
      </c>
    </row>
    <row r="5600" spans="1:5" x14ac:dyDescent="0.55000000000000004">
      <c r="A5600" t="s">
        <v>5681</v>
      </c>
      <c r="B5600" t="s">
        <v>74</v>
      </c>
      <c r="C5600" s="2">
        <v>43188</v>
      </c>
      <c r="D5600" t="s">
        <v>29</v>
      </c>
      <c r="E5600">
        <v>2873</v>
      </c>
    </row>
    <row r="5601" spans="1:5" x14ac:dyDescent="0.55000000000000004">
      <c r="A5601" t="s">
        <v>5682</v>
      </c>
      <c r="B5601" t="s">
        <v>118</v>
      </c>
      <c r="C5601" s="2">
        <v>44934</v>
      </c>
      <c r="D5601" t="s">
        <v>29</v>
      </c>
      <c r="E5601">
        <v>2584</v>
      </c>
    </row>
    <row r="5602" spans="1:5" x14ac:dyDescent="0.55000000000000004">
      <c r="A5602" t="s">
        <v>5683</v>
      </c>
      <c r="B5602" t="s">
        <v>67</v>
      </c>
      <c r="C5602" s="2">
        <v>45830</v>
      </c>
      <c r="D5602" t="s">
        <v>26</v>
      </c>
      <c r="E5602">
        <v>1557</v>
      </c>
    </row>
    <row r="5603" spans="1:5" x14ac:dyDescent="0.55000000000000004">
      <c r="A5603" t="s">
        <v>5684</v>
      </c>
      <c r="B5603" t="s">
        <v>14</v>
      </c>
      <c r="C5603" s="2">
        <v>43536</v>
      </c>
      <c r="D5603" t="s">
        <v>26</v>
      </c>
      <c r="E5603">
        <v>2266</v>
      </c>
    </row>
    <row r="5604" spans="1:5" x14ac:dyDescent="0.55000000000000004">
      <c r="A5604" t="s">
        <v>5685</v>
      </c>
      <c r="B5604" t="s">
        <v>76</v>
      </c>
      <c r="C5604" s="2">
        <v>43489</v>
      </c>
      <c r="D5604" t="s">
        <v>29</v>
      </c>
      <c r="E5604">
        <v>570</v>
      </c>
    </row>
    <row r="5605" spans="1:5" x14ac:dyDescent="0.55000000000000004">
      <c r="A5605" t="s">
        <v>5686</v>
      </c>
      <c r="B5605" t="s">
        <v>74</v>
      </c>
      <c r="C5605" s="2">
        <v>44522</v>
      </c>
      <c r="D5605" t="s">
        <v>29</v>
      </c>
      <c r="E5605">
        <v>1479</v>
      </c>
    </row>
    <row r="5606" spans="1:5" x14ac:dyDescent="0.55000000000000004">
      <c r="A5606" t="s">
        <v>5687</v>
      </c>
      <c r="B5606" t="s">
        <v>111</v>
      </c>
      <c r="C5606" s="2">
        <v>43962</v>
      </c>
      <c r="D5606" t="s">
        <v>29</v>
      </c>
      <c r="E5606">
        <v>482</v>
      </c>
    </row>
    <row r="5607" spans="1:5" x14ac:dyDescent="0.55000000000000004">
      <c r="A5607" t="s">
        <v>5688</v>
      </c>
      <c r="B5607" t="s">
        <v>15</v>
      </c>
      <c r="C5607" s="2">
        <v>43913</v>
      </c>
      <c r="D5607" t="s">
        <v>29</v>
      </c>
      <c r="E5607">
        <v>1191</v>
      </c>
    </row>
    <row r="5608" spans="1:5" x14ac:dyDescent="0.55000000000000004">
      <c r="A5608" t="s">
        <v>5689</v>
      </c>
      <c r="B5608" t="s">
        <v>41</v>
      </c>
      <c r="C5608" s="2">
        <v>44015</v>
      </c>
      <c r="D5608" t="s">
        <v>26</v>
      </c>
      <c r="E5608">
        <v>1999</v>
      </c>
    </row>
    <row r="5609" spans="1:5" x14ac:dyDescent="0.55000000000000004">
      <c r="A5609" t="s">
        <v>5690</v>
      </c>
      <c r="B5609" t="s">
        <v>156</v>
      </c>
      <c r="C5609" s="2">
        <v>43705</v>
      </c>
      <c r="D5609" t="s">
        <v>26</v>
      </c>
      <c r="E5609">
        <v>305</v>
      </c>
    </row>
    <row r="5610" spans="1:5" x14ac:dyDescent="0.55000000000000004">
      <c r="A5610" t="s">
        <v>5691</v>
      </c>
      <c r="B5610" t="s">
        <v>115</v>
      </c>
      <c r="C5610" s="2">
        <v>44026</v>
      </c>
      <c r="D5610" t="s">
        <v>26</v>
      </c>
      <c r="E5610">
        <v>1148</v>
      </c>
    </row>
    <row r="5611" spans="1:5" x14ac:dyDescent="0.55000000000000004">
      <c r="A5611" t="s">
        <v>5692</v>
      </c>
      <c r="B5611" t="s">
        <v>74</v>
      </c>
      <c r="C5611" s="2">
        <v>44163</v>
      </c>
      <c r="D5611" t="s">
        <v>29</v>
      </c>
      <c r="E5611">
        <v>564</v>
      </c>
    </row>
    <row r="5612" spans="1:5" x14ac:dyDescent="0.55000000000000004">
      <c r="A5612" t="s">
        <v>5693</v>
      </c>
      <c r="B5612" t="s">
        <v>140</v>
      </c>
      <c r="C5612" s="2">
        <v>43462</v>
      </c>
      <c r="D5612" t="s">
        <v>26</v>
      </c>
      <c r="E5612">
        <v>666</v>
      </c>
    </row>
    <row r="5613" spans="1:5" x14ac:dyDescent="0.55000000000000004">
      <c r="A5613" t="s">
        <v>5694</v>
      </c>
      <c r="B5613" t="s">
        <v>72</v>
      </c>
      <c r="C5613" s="2">
        <v>44152</v>
      </c>
      <c r="D5613" t="s">
        <v>29</v>
      </c>
      <c r="E5613">
        <v>1369</v>
      </c>
    </row>
    <row r="5614" spans="1:5" x14ac:dyDescent="0.55000000000000004">
      <c r="A5614" t="s">
        <v>5695</v>
      </c>
      <c r="B5614" t="s">
        <v>67</v>
      </c>
      <c r="C5614" s="2">
        <v>43770</v>
      </c>
      <c r="D5614" t="s">
        <v>29</v>
      </c>
      <c r="E5614">
        <v>218</v>
      </c>
    </row>
    <row r="5615" spans="1:5" x14ac:dyDescent="0.55000000000000004">
      <c r="A5615" t="s">
        <v>5696</v>
      </c>
      <c r="B5615" t="s">
        <v>137</v>
      </c>
      <c r="C5615" s="2">
        <v>44548</v>
      </c>
      <c r="D5615" t="s">
        <v>29</v>
      </c>
      <c r="E5615">
        <v>1091</v>
      </c>
    </row>
    <row r="5616" spans="1:5" x14ac:dyDescent="0.55000000000000004">
      <c r="A5616" t="s">
        <v>5697</v>
      </c>
      <c r="B5616" t="s">
        <v>72</v>
      </c>
      <c r="C5616" s="2">
        <v>43132</v>
      </c>
      <c r="D5616" t="s">
        <v>29</v>
      </c>
      <c r="E5616">
        <v>2789</v>
      </c>
    </row>
    <row r="5617" spans="1:5" x14ac:dyDescent="0.55000000000000004">
      <c r="A5617" t="s">
        <v>5698</v>
      </c>
      <c r="B5617" t="s">
        <v>156</v>
      </c>
      <c r="C5617" s="2">
        <v>43680</v>
      </c>
      <c r="D5617" t="s">
        <v>29</v>
      </c>
      <c r="E5617">
        <v>185</v>
      </c>
    </row>
    <row r="5618" spans="1:5" x14ac:dyDescent="0.55000000000000004">
      <c r="A5618" t="s">
        <v>5699</v>
      </c>
      <c r="B5618" t="s">
        <v>111</v>
      </c>
      <c r="C5618" s="2">
        <v>43808</v>
      </c>
      <c r="D5618" t="s">
        <v>26</v>
      </c>
      <c r="E5618">
        <v>11</v>
      </c>
    </row>
    <row r="5619" spans="1:5" x14ac:dyDescent="0.55000000000000004">
      <c r="A5619" t="s">
        <v>5700</v>
      </c>
      <c r="B5619" t="s">
        <v>76</v>
      </c>
      <c r="C5619" s="2">
        <v>45833</v>
      </c>
      <c r="D5619" t="s">
        <v>26</v>
      </c>
      <c r="E5619">
        <v>517</v>
      </c>
    </row>
    <row r="5620" spans="1:5" x14ac:dyDescent="0.55000000000000004">
      <c r="A5620" t="s">
        <v>5701</v>
      </c>
      <c r="B5620" t="s">
        <v>76</v>
      </c>
      <c r="C5620" s="2">
        <v>44969</v>
      </c>
      <c r="D5620" t="s">
        <v>29</v>
      </c>
      <c r="E5620">
        <v>0</v>
      </c>
    </row>
    <row r="5621" spans="1:5" x14ac:dyDescent="0.55000000000000004">
      <c r="A5621" t="s">
        <v>5702</v>
      </c>
      <c r="B5621" t="s">
        <v>41</v>
      </c>
      <c r="C5621" s="2">
        <v>43867</v>
      </c>
      <c r="D5621" t="s">
        <v>26</v>
      </c>
      <c r="E5621">
        <v>259</v>
      </c>
    </row>
    <row r="5622" spans="1:5" x14ac:dyDescent="0.55000000000000004">
      <c r="A5622" t="s">
        <v>5703</v>
      </c>
      <c r="B5622" t="s">
        <v>35</v>
      </c>
      <c r="C5622" s="2">
        <v>44648</v>
      </c>
      <c r="D5622" t="s">
        <v>26</v>
      </c>
      <c r="E5622">
        <v>2884</v>
      </c>
    </row>
    <row r="5623" spans="1:5" x14ac:dyDescent="0.55000000000000004">
      <c r="A5623" t="s">
        <v>5704</v>
      </c>
      <c r="B5623" t="s">
        <v>94</v>
      </c>
      <c r="C5623" s="2">
        <v>44867</v>
      </c>
      <c r="D5623" t="s">
        <v>29</v>
      </c>
      <c r="E5623">
        <v>1126</v>
      </c>
    </row>
    <row r="5624" spans="1:5" x14ac:dyDescent="0.55000000000000004">
      <c r="A5624" t="s">
        <v>5705</v>
      </c>
      <c r="B5624" t="s">
        <v>142</v>
      </c>
      <c r="C5624" s="2">
        <v>43857</v>
      </c>
      <c r="D5624" t="s">
        <v>26</v>
      </c>
      <c r="E5624">
        <v>865</v>
      </c>
    </row>
    <row r="5625" spans="1:5" x14ac:dyDescent="0.55000000000000004">
      <c r="A5625" t="s">
        <v>5706</v>
      </c>
      <c r="B5625" t="s">
        <v>175</v>
      </c>
      <c r="C5625" s="2">
        <v>44023</v>
      </c>
      <c r="D5625" t="s">
        <v>29</v>
      </c>
      <c r="E5625">
        <v>1925</v>
      </c>
    </row>
    <row r="5626" spans="1:5" x14ac:dyDescent="0.55000000000000004">
      <c r="A5626" t="s">
        <v>5707</v>
      </c>
      <c r="B5626" t="s">
        <v>105</v>
      </c>
      <c r="C5626" s="2">
        <v>43947</v>
      </c>
      <c r="D5626" t="s">
        <v>26</v>
      </c>
      <c r="E5626">
        <v>2293</v>
      </c>
    </row>
    <row r="5627" spans="1:5" x14ac:dyDescent="0.55000000000000004">
      <c r="A5627" t="s">
        <v>5708</v>
      </c>
      <c r="B5627" t="s">
        <v>32</v>
      </c>
      <c r="C5627" s="2">
        <v>44502</v>
      </c>
      <c r="D5627" t="s">
        <v>29</v>
      </c>
      <c r="E5627">
        <v>20</v>
      </c>
    </row>
    <row r="5628" spans="1:5" x14ac:dyDescent="0.55000000000000004">
      <c r="A5628" t="s">
        <v>5709</v>
      </c>
      <c r="B5628" t="s">
        <v>142</v>
      </c>
      <c r="C5628" s="2">
        <v>43099</v>
      </c>
      <c r="D5628" t="s">
        <v>29</v>
      </c>
      <c r="E5628">
        <v>2130</v>
      </c>
    </row>
    <row r="5629" spans="1:5" x14ac:dyDescent="0.55000000000000004">
      <c r="A5629" t="s">
        <v>5710</v>
      </c>
      <c r="B5629" t="s">
        <v>35</v>
      </c>
      <c r="C5629" s="2">
        <v>44889</v>
      </c>
      <c r="D5629" t="s">
        <v>26</v>
      </c>
      <c r="E5629">
        <v>659</v>
      </c>
    </row>
    <row r="5630" spans="1:5" x14ac:dyDescent="0.55000000000000004">
      <c r="A5630" t="s">
        <v>5711</v>
      </c>
      <c r="B5630" t="s">
        <v>41</v>
      </c>
      <c r="C5630" s="2">
        <v>44367</v>
      </c>
      <c r="D5630" t="s">
        <v>29</v>
      </c>
      <c r="E5630">
        <v>984</v>
      </c>
    </row>
    <row r="5631" spans="1:5" x14ac:dyDescent="0.55000000000000004">
      <c r="A5631" t="s">
        <v>5712</v>
      </c>
      <c r="B5631" t="s">
        <v>74</v>
      </c>
      <c r="C5631" s="2">
        <v>43196</v>
      </c>
      <c r="D5631" t="s">
        <v>29</v>
      </c>
      <c r="E5631">
        <v>296</v>
      </c>
    </row>
    <row r="5632" spans="1:5" x14ac:dyDescent="0.55000000000000004">
      <c r="A5632" t="s">
        <v>5713</v>
      </c>
      <c r="B5632" t="s">
        <v>101</v>
      </c>
      <c r="C5632" s="2">
        <v>44027</v>
      </c>
      <c r="D5632" t="s">
        <v>29</v>
      </c>
      <c r="E5632">
        <v>25</v>
      </c>
    </row>
    <row r="5633" spans="1:5" x14ac:dyDescent="0.55000000000000004">
      <c r="A5633" t="s">
        <v>5714</v>
      </c>
      <c r="B5633" t="s">
        <v>96</v>
      </c>
      <c r="C5633" s="2">
        <v>43735</v>
      </c>
      <c r="D5633" t="s">
        <v>26</v>
      </c>
      <c r="E5633">
        <v>1439</v>
      </c>
    </row>
    <row r="5634" spans="1:5" x14ac:dyDescent="0.55000000000000004">
      <c r="A5634" t="s">
        <v>5715</v>
      </c>
      <c r="B5634" t="s">
        <v>99</v>
      </c>
      <c r="C5634" s="2">
        <v>43707</v>
      </c>
      <c r="D5634" t="s">
        <v>26</v>
      </c>
      <c r="E5634">
        <v>475</v>
      </c>
    </row>
    <row r="5635" spans="1:5" x14ac:dyDescent="0.55000000000000004">
      <c r="A5635" t="s">
        <v>5716</v>
      </c>
      <c r="B5635" t="s">
        <v>23</v>
      </c>
      <c r="C5635" s="2">
        <v>44592</v>
      </c>
      <c r="D5635" t="s">
        <v>26</v>
      </c>
      <c r="E5635">
        <v>2500</v>
      </c>
    </row>
    <row r="5636" spans="1:5" x14ac:dyDescent="0.55000000000000004">
      <c r="A5636" t="s">
        <v>5717</v>
      </c>
      <c r="B5636" t="s">
        <v>105</v>
      </c>
      <c r="C5636" s="2">
        <v>43866</v>
      </c>
      <c r="D5636" t="s">
        <v>26</v>
      </c>
      <c r="E5636">
        <v>2690</v>
      </c>
    </row>
    <row r="5637" spans="1:5" x14ac:dyDescent="0.55000000000000004">
      <c r="A5637" t="s">
        <v>5718</v>
      </c>
      <c r="B5637" t="s">
        <v>74</v>
      </c>
      <c r="C5637" s="2">
        <v>43562</v>
      </c>
      <c r="D5637" t="s">
        <v>26</v>
      </c>
      <c r="E5637">
        <v>1750</v>
      </c>
    </row>
    <row r="5638" spans="1:5" x14ac:dyDescent="0.55000000000000004">
      <c r="A5638" t="s">
        <v>5719</v>
      </c>
      <c r="B5638" t="s">
        <v>74</v>
      </c>
      <c r="C5638" s="2">
        <v>44447</v>
      </c>
      <c r="D5638" t="s">
        <v>26</v>
      </c>
      <c r="E5638">
        <v>1485</v>
      </c>
    </row>
    <row r="5639" spans="1:5" x14ac:dyDescent="0.55000000000000004">
      <c r="A5639" t="s">
        <v>5720</v>
      </c>
      <c r="B5639" t="s">
        <v>63</v>
      </c>
      <c r="C5639" s="2">
        <v>44542</v>
      </c>
      <c r="D5639" t="s">
        <v>29</v>
      </c>
      <c r="E5639">
        <v>218</v>
      </c>
    </row>
    <row r="5640" spans="1:5" x14ac:dyDescent="0.55000000000000004">
      <c r="A5640" t="s">
        <v>5721</v>
      </c>
      <c r="B5640" t="s">
        <v>175</v>
      </c>
      <c r="C5640" s="2">
        <v>45798</v>
      </c>
      <c r="D5640" t="s">
        <v>26</v>
      </c>
      <c r="E5640">
        <v>817</v>
      </c>
    </row>
    <row r="5641" spans="1:5" x14ac:dyDescent="0.55000000000000004">
      <c r="A5641" t="s">
        <v>5722</v>
      </c>
      <c r="B5641" t="s">
        <v>142</v>
      </c>
      <c r="C5641" s="2">
        <v>42984</v>
      </c>
      <c r="D5641" t="s">
        <v>29</v>
      </c>
      <c r="E5641">
        <v>290</v>
      </c>
    </row>
    <row r="5642" spans="1:5" x14ac:dyDescent="0.55000000000000004">
      <c r="A5642" t="s">
        <v>5723</v>
      </c>
      <c r="B5642" t="s">
        <v>137</v>
      </c>
      <c r="C5642" s="2">
        <v>45228</v>
      </c>
      <c r="D5642" t="s">
        <v>29</v>
      </c>
      <c r="E5642">
        <v>2787</v>
      </c>
    </row>
    <row r="5643" spans="1:5" x14ac:dyDescent="0.55000000000000004">
      <c r="A5643" t="s">
        <v>5724</v>
      </c>
      <c r="B5643" t="s">
        <v>14</v>
      </c>
      <c r="C5643" s="2">
        <v>42926</v>
      </c>
      <c r="D5643" t="s">
        <v>29</v>
      </c>
      <c r="E5643">
        <v>1050</v>
      </c>
    </row>
    <row r="5644" spans="1:5" x14ac:dyDescent="0.55000000000000004">
      <c r="A5644" t="s">
        <v>5725</v>
      </c>
      <c r="B5644" t="s">
        <v>94</v>
      </c>
      <c r="C5644" s="2">
        <v>43820</v>
      </c>
      <c r="D5644" t="s">
        <v>29</v>
      </c>
      <c r="E5644">
        <v>2301</v>
      </c>
    </row>
    <row r="5645" spans="1:5" x14ac:dyDescent="0.55000000000000004">
      <c r="A5645" t="s">
        <v>5726</v>
      </c>
      <c r="B5645" t="s">
        <v>41</v>
      </c>
      <c r="C5645" s="2">
        <v>44501</v>
      </c>
      <c r="D5645" t="s">
        <v>29</v>
      </c>
      <c r="E5645">
        <v>929</v>
      </c>
    </row>
    <row r="5646" spans="1:5" x14ac:dyDescent="0.55000000000000004">
      <c r="A5646" t="s">
        <v>5727</v>
      </c>
      <c r="B5646" t="s">
        <v>137</v>
      </c>
      <c r="C5646" s="2">
        <v>44042</v>
      </c>
      <c r="D5646" t="s">
        <v>29</v>
      </c>
      <c r="E5646">
        <v>1692</v>
      </c>
    </row>
    <row r="5647" spans="1:5" x14ac:dyDescent="0.55000000000000004">
      <c r="A5647" t="s">
        <v>5728</v>
      </c>
      <c r="B5647" t="s">
        <v>23</v>
      </c>
      <c r="C5647" s="2">
        <v>44267</v>
      </c>
      <c r="D5647" t="s">
        <v>29</v>
      </c>
      <c r="E5647">
        <v>1411</v>
      </c>
    </row>
    <row r="5648" spans="1:5" x14ac:dyDescent="0.55000000000000004">
      <c r="A5648" t="s">
        <v>5729</v>
      </c>
      <c r="B5648" t="s">
        <v>72</v>
      </c>
      <c r="C5648" s="2">
        <v>44135</v>
      </c>
      <c r="D5648" t="s">
        <v>29</v>
      </c>
      <c r="E5648">
        <v>1142</v>
      </c>
    </row>
    <row r="5649" spans="1:5" x14ac:dyDescent="0.55000000000000004">
      <c r="A5649" t="s">
        <v>5730</v>
      </c>
      <c r="B5649" t="s">
        <v>96</v>
      </c>
      <c r="C5649" s="2">
        <v>43939</v>
      </c>
      <c r="D5649" t="s">
        <v>29</v>
      </c>
      <c r="E5649">
        <v>360</v>
      </c>
    </row>
    <row r="5650" spans="1:5" x14ac:dyDescent="0.55000000000000004">
      <c r="A5650" t="s">
        <v>5731</v>
      </c>
      <c r="B5650" t="s">
        <v>32</v>
      </c>
      <c r="C5650" s="2">
        <v>44885</v>
      </c>
      <c r="D5650" t="s">
        <v>26</v>
      </c>
      <c r="E5650">
        <v>1942</v>
      </c>
    </row>
    <row r="5651" spans="1:5" x14ac:dyDescent="0.55000000000000004">
      <c r="A5651" t="s">
        <v>5732</v>
      </c>
      <c r="B5651" t="s">
        <v>151</v>
      </c>
      <c r="C5651" s="2">
        <v>43553</v>
      </c>
      <c r="D5651" t="s">
        <v>26</v>
      </c>
      <c r="E5651">
        <v>873</v>
      </c>
    </row>
    <row r="5652" spans="1:5" x14ac:dyDescent="0.55000000000000004">
      <c r="A5652" t="s">
        <v>5733</v>
      </c>
      <c r="B5652" t="s">
        <v>94</v>
      </c>
      <c r="C5652" s="2">
        <v>43755</v>
      </c>
      <c r="D5652" t="s">
        <v>26</v>
      </c>
      <c r="E5652">
        <v>1056</v>
      </c>
    </row>
    <row r="5653" spans="1:5" x14ac:dyDescent="0.55000000000000004">
      <c r="A5653" t="s">
        <v>5734</v>
      </c>
      <c r="B5653" t="s">
        <v>111</v>
      </c>
      <c r="C5653" s="2">
        <v>43009</v>
      </c>
      <c r="D5653" t="s">
        <v>26</v>
      </c>
      <c r="E5653">
        <v>1440</v>
      </c>
    </row>
    <row r="5654" spans="1:5" x14ac:dyDescent="0.55000000000000004">
      <c r="A5654" t="s">
        <v>5735</v>
      </c>
      <c r="B5654" t="s">
        <v>118</v>
      </c>
      <c r="C5654" s="2">
        <v>45765</v>
      </c>
      <c r="D5654" t="s">
        <v>29</v>
      </c>
      <c r="E5654">
        <v>908</v>
      </c>
    </row>
    <row r="5655" spans="1:5" x14ac:dyDescent="0.55000000000000004">
      <c r="A5655" t="s">
        <v>5736</v>
      </c>
      <c r="B5655" t="s">
        <v>38</v>
      </c>
      <c r="C5655" s="2">
        <v>44206</v>
      </c>
      <c r="D5655" t="s">
        <v>26</v>
      </c>
      <c r="E5655">
        <v>1918</v>
      </c>
    </row>
    <row r="5656" spans="1:5" x14ac:dyDescent="0.55000000000000004">
      <c r="A5656" t="s">
        <v>5737</v>
      </c>
      <c r="B5656" t="s">
        <v>94</v>
      </c>
      <c r="C5656" s="2">
        <v>44681</v>
      </c>
      <c r="D5656" t="s">
        <v>26</v>
      </c>
      <c r="E5656">
        <v>2983</v>
      </c>
    </row>
    <row r="5657" spans="1:5" x14ac:dyDescent="0.55000000000000004">
      <c r="A5657" t="s">
        <v>5738</v>
      </c>
      <c r="B5657" t="s">
        <v>86</v>
      </c>
      <c r="C5657" s="2">
        <v>43813</v>
      </c>
      <c r="D5657" t="s">
        <v>29</v>
      </c>
      <c r="E5657">
        <v>2146</v>
      </c>
    </row>
    <row r="5658" spans="1:5" x14ac:dyDescent="0.55000000000000004">
      <c r="A5658" t="s">
        <v>5739</v>
      </c>
      <c r="B5658" t="s">
        <v>118</v>
      </c>
      <c r="C5658" s="2">
        <v>44457</v>
      </c>
      <c r="D5658" t="s">
        <v>29</v>
      </c>
      <c r="E5658">
        <v>620</v>
      </c>
    </row>
    <row r="5659" spans="1:5" x14ac:dyDescent="0.55000000000000004">
      <c r="A5659" t="s">
        <v>5740</v>
      </c>
      <c r="B5659" t="s">
        <v>140</v>
      </c>
      <c r="C5659" s="2">
        <v>44002</v>
      </c>
      <c r="D5659" t="s">
        <v>26</v>
      </c>
      <c r="E5659">
        <v>1661</v>
      </c>
    </row>
    <row r="5660" spans="1:5" x14ac:dyDescent="0.55000000000000004">
      <c r="A5660" t="s">
        <v>5741</v>
      </c>
      <c r="B5660" t="s">
        <v>76</v>
      </c>
      <c r="C5660" s="2">
        <v>44584</v>
      </c>
      <c r="D5660" t="s">
        <v>29</v>
      </c>
      <c r="E5660">
        <v>159</v>
      </c>
    </row>
    <row r="5661" spans="1:5" x14ac:dyDescent="0.55000000000000004">
      <c r="A5661" t="s">
        <v>5742</v>
      </c>
      <c r="B5661" t="s">
        <v>78</v>
      </c>
      <c r="C5661" s="2">
        <v>45224</v>
      </c>
      <c r="D5661" t="s">
        <v>29</v>
      </c>
      <c r="E5661">
        <v>793</v>
      </c>
    </row>
    <row r="5662" spans="1:5" x14ac:dyDescent="0.55000000000000004">
      <c r="A5662" t="s">
        <v>5743</v>
      </c>
      <c r="B5662" t="s">
        <v>23</v>
      </c>
      <c r="C5662" s="2">
        <v>44279</v>
      </c>
      <c r="D5662" t="s">
        <v>29</v>
      </c>
      <c r="E5662">
        <v>1227</v>
      </c>
    </row>
    <row r="5663" spans="1:5" x14ac:dyDescent="0.55000000000000004">
      <c r="A5663" t="s">
        <v>5744</v>
      </c>
      <c r="B5663" t="s">
        <v>99</v>
      </c>
      <c r="C5663" s="2">
        <v>45527</v>
      </c>
      <c r="D5663" t="s">
        <v>26</v>
      </c>
      <c r="E5663">
        <v>2241</v>
      </c>
    </row>
    <row r="5664" spans="1:5" x14ac:dyDescent="0.55000000000000004">
      <c r="A5664" t="s">
        <v>5745</v>
      </c>
      <c r="B5664" t="s">
        <v>156</v>
      </c>
      <c r="C5664" s="2">
        <v>43279</v>
      </c>
      <c r="D5664" t="s">
        <v>29</v>
      </c>
      <c r="E5664">
        <v>933</v>
      </c>
    </row>
    <row r="5665" spans="1:5" x14ac:dyDescent="0.55000000000000004">
      <c r="A5665" t="s">
        <v>5746</v>
      </c>
      <c r="B5665" t="s">
        <v>101</v>
      </c>
      <c r="C5665" s="2">
        <v>44550</v>
      </c>
      <c r="D5665" t="s">
        <v>29</v>
      </c>
      <c r="E5665">
        <v>1662</v>
      </c>
    </row>
    <row r="5666" spans="1:5" x14ac:dyDescent="0.55000000000000004">
      <c r="A5666" t="s">
        <v>5747</v>
      </c>
      <c r="B5666" t="s">
        <v>72</v>
      </c>
      <c r="C5666" s="2">
        <v>44023</v>
      </c>
      <c r="D5666" t="s">
        <v>26</v>
      </c>
      <c r="E5666">
        <v>1355</v>
      </c>
    </row>
    <row r="5667" spans="1:5" x14ac:dyDescent="0.55000000000000004">
      <c r="A5667" t="s">
        <v>5748</v>
      </c>
      <c r="B5667" t="s">
        <v>111</v>
      </c>
      <c r="C5667" s="2">
        <v>43025</v>
      </c>
      <c r="D5667" t="s">
        <v>29</v>
      </c>
      <c r="E5667">
        <v>1819</v>
      </c>
    </row>
    <row r="5668" spans="1:5" x14ac:dyDescent="0.55000000000000004">
      <c r="A5668" t="s">
        <v>5749</v>
      </c>
      <c r="B5668" t="s">
        <v>84</v>
      </c>
      <c r="C5668" s="2">
        <v>44360</v>
      </c>
      <c r="D5668" t="s">
        <v>26</v>
      </c>
      <c r="E5668">
        <v>1611</v>
      </c>
    </row>
    <row r="5669" spans="1:5" x14ac:dyDescent="0.55000000000000004">
      <c r="A5669" t="s">
        <v>5750</v>
      </c>
      <c r="B5669" t="s">
        <v>86</v>
      </c>
      <c r="C5669" s="2">
        <v>43836</v>
      </c>
      <c r="D5669" t="s">
        <v>29</v>
      </c>
      <c r="E5669">
        <v>1443</v>
      </c>
    </row>
    <row r="5670" spans="1:5" x14ac:dyDescent="0.55000000000000004">
      <c r="A5670" t="s">
        <v>5751</v>
      </c>
      <c r="B5670" t="s">
        <v>74</v>
      </c>
      <c r="C5670" s="2">
        <v>43662</v>
      </c>
      <c r="D5670" t="s">
        <v>29</v>
      </c>
      <c r="E5670">
        <v>653</v>
      </c>
    </row>
    <row r="5671" spans="1:5" x14ac:dyDescent="0.55000000000000004">
      <c r="A5671" t="s">
        <v>5752</v>
      </c>
      <c r="B5671" t="s">
        <v>151</v>
      </c>
      <c r="C5671" s="2">
        <v>44073</v>
      </c>
      <c r="D5671" t="s">
        <v>26</v>
      </c>
      <c r="E5671">
        <v>2986</v>
      </c>
    </row>
    <row r="5672" spans="1:5" x14ac:dyDescent="0.55000000000000004">
      <c r="A5672" t="s">
        <v>5753</v>
      </c>
      <c r="B5672" t="s">
        <v>175</v>
      </c>
      <c r="C5672" s="2">
        <v>43505</v>
      </c>
      <c r="D5672" t="s">
        <v>26</v>
      </c>
      <c r="E5672">
        <v>2215</v>
      </c>
    </row>
    <row r="5673" spans="1:5" x14ac:dyDescent="0.55000000000000004">
      <c r="A5673" t="s">
        <v>5754</v>
      </c>
      <c r="B5673" t="s">
        <v>111</v>
      </c>
      <c r="C5673" s="2">
        <v>44485</v>
      </c>
      <c r="D5673" t="s">
        <v>29</v>
      </c>
      <c r="E5673">
        <v>438</v>
      </c>
    </row>
    <row r="5674" spans="1:5" x14ac:dyDescent="0.55000000000000004">
      <c r="A5674" t="s">
        <v>5755</v>
      </c>
      <c r="B5674" t="s">
        <v>142</v>
      </c>
      <c r="C5674" s="2">
        <v>43927</v>
      </c>
      <c r="D5674" t="s">
        <v>29</v>
      </c>
      <c r="E5674">
        <v>2992</v>
      </c>
    </row>
    <row r="5675" spans="1:5" x14ac:dyDescent="0.55000000000000004">
      <c r="A5675" t="s">
        <v>5756</v>
      </c>
      <c r="B5675" t="s">
        <v>14</v>
      </c>
      <c r="C5675" s="2">
        <v>44281</v>
      </c>
      <c r="D5675" t="s">
        <v>26</v>
      </c>
      <c r="E5675">
        <v>956</v>
      </c>
    </row>
    <row r="5676" spans="1:5" x14ac:dyDescent="0.55000000000000004">
      <c r="A5676" t="s">
        <v>5757</v>
      </c>
      <c r="B5676" t="s">
        <v>115</v>
      </c>
      <c r="C5676" s="2">
        <v>43087</v>
      </c>
      <c r="D5676" t="s">
        <v>26</v>
      </c>
      <c r="E5676">
        <v>1895</v>
      </c>
    </row>
    <row r="5677" spans="1:5" x14ac:dyDescent="0.55000000000000004">
      <c r="A5677" t="s">
        <v>5758</v>
      </c>
      <c r="B5677" t="s">
        <v>118</v>
      </c>
      <c r="C5677" s="2">
        <v>45544</v>
      </c>
      <c r="D5677" t="s">
        <v>29</v>
      </c>
      <c r="E5677">
        <v>388</v>
      </c>
    </row>
    <row r="5678" spans="1:5" x14ac:dyDescent="0.55000000000000004">
      <c r="A5678" t="s">
        <v>5759</v>
      </c>
      <c r="B5678" t="s">
        <v>32</v>
      </c>
      <c r="C5678" s="2">
        <v>43870</v>
      </c>
      <c r="D5678" t="s">
        <v>26</v>
      </c>
      <c r="E5678">
        <v>1345</v>
      </c>
    </row>
    <row r="5679" spans="1:5" x14ac:dyDescent="0.55000000000000004">
      <c r="A5679" t="s">
        <v>5760</v>
      </c>
      <c r="B5679" t="s">
        <v>137</v>
      </c>
      <c r="C5679" s="2">
        <v>44674</v>
      </c>
      <c r="D5679" t="s">
        <v>29</v>
      </c>
      <c r="E5679">
        <v>2793</v>
      </c>
    </row>
    <row r="5680" spans="1:5" x14ac:dyDescent="0.55000000000000004">
      <c r="A5680" t="s">
        <v>5761</v>
      </c>
      <c r="B5680" t="s">
        <v>101</v>
      </c>
      <c r="C5680" s="2">
        <v>43027</v>
      </c>
      <c r="D5680" t="s">
        <v>26</v>
      </c>
      <c r="E5680">
        <v>688</v>
      </c>
    </row>
    <row r="5681" spans="1:5" x14ac:dyDescent="0.55000000000000004">
      <c r="A5681" t="s">
        <v>5762</v>
      </c>
      <c r="B5681" t="s">
        <v>35</v>
      </c>
      <c r="C5681" s="2">
        <v>43879</v>
      </c>
      <c r="D5681" t="s">
        <v>29</v>
      </c>
      <c r="E5681">
        <v>2937</v>
      </c>
    </row>
    <row r="5682" spans="1:5" x14ac:dyDescent="0.55000000000000004">
      <c r="A5682" t="s">
        <v>5763</v>
      </c>
      <c r="B5682" t="s">
        <v>32</v>
      </c>
      <c r="C5682" s="2">
        <v>44590</v>
      </c>
      <c r="D5682" t="s">
        <v>26</v>
      </c>
      <c r="E5682">
        <v>1290</v>
      </c>
    </row>
    <row r="5683" spans="1:5" x14ac:dyDescent="0.55000000000000004">
      <c r="A5683" t="s">
        <v>5764</v>
      </c>
      <c r="B5683" t="s">
        <v>175</v>
      </c>
      <c r="C5683" s="2">
        <v>44563</v>
      </c>
      <c r="D5683" t="s">
        <v>26</v>
      </c>
      <c r="E5683">
        <v>2795</v>
      </c>
    </row>
    <row r="5684" spans="1:5" x14ac:dyDescent="0.55000000000000004">
      <c r="A5684" t="s">
        <v>5765</v>
      </c>
      <c r="B5684" t="s">
        <v>105</v>
      </c>
      <c r="C5684" s="2">
        <v>42918</v>
      </c>
      <c r="D5684" t="s">
        <v>26</v>
      </c>
      <c r="E5684">
        <v>2731</v>
      </c>
    </row>
    <row r="5685" spans="1:5" x14ac:dyDescent="0.55000000000000004">
      <c r="A5685" t="s">
        <v>5766</v>
      </c>
      <c r="B5685" t="s">
        <v>72</v>
      </c>
      <c r="C5685" s="2">
        <v>43290</v>
      </c>
      <c r="D5685" t="s">
        <v>29</v>
      </c>
      <c r="E5685">
        <v>1285</v>
      </c>
    </row>
    <row r="5686" spans="1:5" x14ac:dyDescent="0.55000000000000004">
      <c r="A5686" t="s">
        <v>5767</v>
      </c>
      <c r="B5686" t="s">
        <v>137</v>
      </c>
      <c r="C5686" s="2">
        <v>45783</v>
      </c>
      <c r="D5686" t="s">
        <v>29</v>
      </c>
      <c r="E5686">
        <v>243</v>
      </c>
    </row>
    <row r="5687" spans="1:5" x14ac:dyDescent="0.55000000000000004">
      <c r="A5687" t="s">
        <v>5768</v>
      </c>
      <c r="B5687" t="s">
        <v>14</v>
      </c>
      <c r="C5687" s="2">
        <v>43240</v>
      </c>
      <c r="D5687" t="s">
        <v>29</v>
      </c>
      <c r="E5687">
        <v>2865</v>
      </c>
    </row>
    <row r="5688" spans="1:5" x14ac:dyDescent="0.55000000000000004">
      <c r="A5688" t="s">
        <v>5769</v>
      </c>
      <c r="B5688" t="s">
        <v>142</v>
      </c>
      <c r="C5688" s="2">
        <v>43078</v>
      </c>
      <c r="D5688" t="s">
        <v>29</v>
      </c>
      <c r="E5688">
        <v>454</v>
      </c>
    </row>
    <row r="5689" spans="1:5" x14ac:dyDescent="0.55000000000000004">
      <c r="A5689" t="s">
        <v>5770</v>
      </c>
      <c r="B5689" t="s">
        <v>111</v>
      </c>
      <c r="C5689" s="2">
        <v>43356</v>
      </c>
      <c r="D5689" t="s">
        <v>26</v>
      </c>
      <c r="E5689">
        <v>1421</v>
      </c>
    </row>
    <row r="5690" spans="1:5" x14ac:dyDescent="0.55000000000000004">
      <c r="A5690" t="s">
        <v>5771</v>
      </c>
      <c r="B5690" t="s">
        <v>137</v>
      </c>
      <c r="C5690" s="2">
        <v>44529</v>
      </c>
      <c r="D5690" t="s">
        <v>29</v>
      </c>
      <c r="E5690">
        <v>2595</v>
      </c>
    </row>
    <row r="5691" spans="1:5" x14ac:dyDescent="0.55000000000000004">
      <c r="A5691" t="s">
        <v>5772</v>
      </c>
      <c r="B5691" t="s">
        <v>94</v>
      </c>
      <c r="C5691" s="2">
        <v>44857</v>
      </c>
      <c r="D5691" t="s">
        <v>26</v>
      </c>
      <c r="E5691">
        <v>1794</v>
      </c>
    </row>
    <row r="5692" spans="1:5" x14ac:dyDescent="0.55000000000000004">
      <c r="A5692" t="s">
        <v>5773</v>
      </c>
      <c r="B5692" t="s">
        <v>156</v>
      </c>
      <c r="C5692" s="2">
        <v>43006</v>
      </c>
      <c r="D5692" t="s">
        <v>29</v>
      </c>
      <c r="E5692">
        <v>409</v>
      </c>
    </row>
    <row r="5693" spans="1:5" x14ac:dyDescent="0.55000000000000004">
      <c r="A5693" t="s">
        <v>5774</v>
      </c>
      <c r="B5693" t="s">
        <v>118</v>
      </c>
      <c r="C5693" s="2">
        <v>45280</v>
      </c>
      <c r="D5693" t="s">
        <v>26</v>
      </c>
      <c r="E5693">
        <v>528</v>
      </c>
    </row>
    <row r="5694" spans="1:5" x14ac:dyDescent="0.55000000000000004">
      <c r="A5694" t="s">
        <v>5775</v>
      </c>
      <c r="B5694" t="s">
        <v>15</v>
      </c>
      <c r="C5694" s="2">
        <v>44135</v>
      </c>
      <c r="D5694" t="s">
        <v>26</v>
      </c>
      <c r="E5694">
        <v>1449</v>
      </c>
    </row>
    <row r="5695" spans="1:5" x14ac:dyDescent="0.55000000000000004">
      <c r="A5695" t="s">
        <v>5776</v>
      </c>
      <c r="B5695" t="s">
        <v>41</v>
      </c>
      <c r="C5695" s="2">
        <v>44580</v>
      </c>
      <c r="D5695" t="s">
        <v>26</v>
      </c>
      <c r="E5695">
        <v>944</v>
      </c>
    </row>
    <row r="5696" spans="1:5" x14ac:dyDescent="0.55000000000000004">
      <c r="A5696" t="s">
        <v>5777</v>
      </c>
      <c r="B5696" t="s">
        <v>38</v>
      </c>
      <c r="C5696" s="2">
        <v>43965</v>
      </c>
      <c r="D5696" t="s">
        <v>26</v>
      </c>
      <c r="E5696">
        <v>39</v>
      </c>
    </row>
    <row r="5697" spans="1:5" x14ac:dyDescent="0.55000000000000004">
      <c r="A5697" t="s">
        <v>5778</v>
      </c>
      <c r="B5697" t="s">
        <v>101</v>
      </c>
      <c r="C5697" s="2">
        <v>43506</v>
      </c>
      <c r="D5697" t="s">
        <v>26</v>
      </c>
      <c r="E5697">
        <v>1245</v>
      </c>
    </row>
    <row r="5698" spans="1:5" x14ac:dyDescent="0.55000000000000004">
      <c r="A5698" t="s">
        <v>5779</v>
      </c>
      <c r="B5698" t="s">
        <v>118</v>
      </c>
      <c r="C5698" s="2">
        <v>43515</v>
      </c>
      <c r="D5698" t="s">
        <v>26</v>
      </c>
      <c r="E5698">
        <v>2826</v>
      </c>
    </row>
    <row r="5699" spans="1:5" x14ac:dyDescent="0.55000000000000004">
      <c r="A5699" t="s">
        <v>5780</v>
      </c>
      <c r="B5699" t="s">
        <v>94</v>
      </c>
      <c r="C5699" s="2">
        <v>45837</v>
      </c>
      <c r="D5699" t="s">
        <v>26</v>
      </c>
      <c r="E5699">
        <v>12</v>
      </c>
    </row>
    <row r="5700" spans="1:5" x14ac:dyDescent="0.55000000000000004">
      <c r="A5700" t="s">
        <v>5781</v>
      </c>
      <c r="B5700" t="s">
        <v>84</v>
      </c>
      <c r="C5700" s="2">
        <v>43630</v>
      </c>
      <c r="D5700" t="s">
        <v>26</v>
      </c>
      <c r="E5700">
        <v>128</v>
      </c>
    </row>
    <row r="5701" spans="1:5" x14ac:dyDescent="0.55000000000000004">
      <c r="A5701" t="s">
        <v>5782</v>
      </c>
      <c r="B5701" t="s">
        <v>94</v>
      </c>
      <c r="C5701" s="2">
        <v>44344</v>
      </c>
      <c r="D5701" t="s">
        <v>29</v>
      </c>
      <c r="E5701">
        <v>186</v>
      </c>
    </row>
    <row r="5702" spans="1:5" x14ac:dyDescent="0.55000000000000004">
      <c r="A5702" t="s">
        <v>5783</v>
      </c>
      <c r="B5702" t="s">
        <v>67</v>
      </c>
      <c r="C5702" s="2">
        <v>44630</v>
      </c>
      <c r="D5702" t="s">
        <v>26</v>
      </c>
      <c r="E5702">
        <v>294</v>
      </c>
    </row>
    <row r="5703" spans="1:5" x14ac:dyDescent="0.55000000000000004">
      <c r="A5703" t="s">
        <v>5784</v>
      </c>
      <c r="B5703" t="s">
        <v>99</v>
      </c>
      <c r="C5703" s="2">
        <v>44694</v>
      </c>
      <c r="D5703" t="s">
        <v>26</v>
      </c>
      <c r="E5703">
        <v>906</v>
      </c>
    </row>
    <row r="5704" spans="1:5" x14ac:dyDescent="0.55000000000000004">
      <c r="A5704" t="s">
        <v>5785</v>
      </c>
      <c r="B5704" t="s">
        <v>35</v>
      </c>
      <c r="C5704" s="2">
        <v>44520</v>
      </c>
      <c r="D5704" t="s">
        <v>26</v>
      </c>
      <c r="E5704">
        <v>2234</v>
      </c>
    </row>
    <row r="5705" spans="1:5" x14ac:dyDescent="0.55000000000000004">
      <c r="A5705" t="s">
        <v>5786</v>
      </c>
      <c r="B5705" t="s">
        <v>86</v>
      </c>
      <c r="C5705" s="2">
        <v>43625</v>
      </c>
      <c r="D5705" t="s">
        <v>26</v>
      </c>
      <c r="E5705">
        <v>1531</v>
      </c>
    </row>
    <row r="5706" spans="1:5" x14ac:dyDescent="0.55000000000000004">
      <c r="A5706" t="s">
        <v>5787</v>
      </c>
      <c r="B5706" t="s">
        <v>38</v>
      </c>
      <c r="C5706" s="2">
        <v>44528</v>
      </c>
      <c r="D5706" t="s">
        <v>26</v>
      </c>
      <c r="E5706">
        <v>187</v>
      </c>
    </row>
    <row r="5707" spans="1:5" x14ac:dyDescent="0.55000000000000004">
      <c r="A5707" t="s">
        <v>5788</v>
      </c>
      <c r="B5707" t="s">
        <v>86</v>
      </c>
      <c r="C5707" s="2">
        <v>43711</v>
      </c>
      <c r="D5707" t="s">
        <v>26</v>
      </c>
      <c r="E5707">
        <v>136</v>
      </c>
    </row>
    <row r="5708" spans="1:5" x14ac:dyDescent="0.55000000000000004">
      <c r="A5708" t="s">
        <v>5789</v>
      </c>
      <c r="B5708" t="s">
        <v>142</v>
      </c>
      <c r="C5708" s="2">
        <v>43751</v>
      </c>
      <c r="D5708" t="s">
        <v>29</v>
      </c>
      <c r="E5708">
        <v>2332</v>
      </c>
    </row>
    <row r="5709" spans="1:5" x14ac:dyDescent="0.55000000000000004">
      <c r="A5709" t="s">
        <v>5790</v>
      </c>
      <c r="B5709" t="s">
        <v>23</v>
      </c>
      <c r="C5709" s="2">
        <v>43857</v>
      </c>
      <c r="D5709" t="s">
        <v>26</v>
      </c>
      <c r="E5709">
        <v>1629</v>
      </c>
    </row>
    <row r="5710" spans="1:5" x14ac:dyDescent="0.55000000000000004">
      <c r="A5710" t="s">
        <v>5791</v>
      </c>
      <c r="B5710" t="s">
        <v>23</v>
      </c>
      <c r="C5710" s="2">
        <v>44708</v>
      </c>
      <c r="D5710" t="s">
        <v>26</v>
      </c>
      <c r="E5710">
        <v>301</v>
      </c>
    </row>
    <row r="5711" spans="1:5" x14ac:dyDescent="0.55000000000000004">
      <c r="A5711" t="s">
        <v>5792</v>
      </c>
      <c r="B5711" t="s">
        <v>99</v>
      </c>
      <c r="C5711" s="2">
        <v>45050</v>
      </c>
      <c r="D5711" t="s">
        <v>29</v>
      </c>
      <c r="E5711">
        <v>1955</v>
      </c>
    </row>
    <row r="5712" spans="1:5" x14ac:dyDescent="0.55000000000000004">
      <c r="A5712" t="s">
        <v>5793</v>
      </c>
      <c r="B5712" t="s">
        <v>84</v>
      </c>
      <c r="C5712" s="2">
        <v>43007</v>
      </c>
      <c r="D5712" t="s">
        <v>26</v>
      </c>
      <c r="E5712">
        <v>1961</v>
      </c>
    </row>
    <row r="5713" spans="1:5" x14ac:dyDescent="0.55000000000000004">
      <c r="A5713" t="s">
        <v>5794</v>
      </c>
      <c r="B5713" t="s">
        <v>67</v>
      </c>
      <c r="C5713" s="2">
        <v>44559</v>
      </c>
      <c r="D5713" t="s">
        <v>26</v>
      </c>
      <c r="E5713">
        <v>2935</v>
      </c>
    </row>
    <row r="5714" spans="1:5" x14ac:dyDescent="0.55000000000000004">
      <c r="A5714" t="s">
        <v>5795</v>
      </c>
      <c r="B5714" t="s">
        <v>94</v>
      </c>
      <c r="C5714" s="2">
        <v>44358</v>
      </c>
      <c r="D5714" t="s">
        <v>26</v>
      </c>
      <c r="E5714">
        <v>2335</v>
      </c>
    </row>
    <row r="5715" spans="1:5" x14ac:dyDescent="0.55000000000000004">
      <c r="A5715" t="s">
        <v>5796</v>
      </c>
      <c r="B5715" t="s">
        <v>76</v>
      </c>
      <c r="C5715" s="2">
        <v>44649</v>
      </c>
      <c r="D5715" t="s">
        <v>29</v>
      </c>
      <c r="E5715">
        <v>2379</v>
      </c>
    </row>
    <row r="5716" spans="1:5" x14ac:dyDescent="0.55000000000000004">
      <c r="A5716" t="s">
        <v>5797</v>
      </c>
      <c r="B5716" t="s">
        <v>41</v>
      </c>
      <c r="C5716" s="2">
        <v>44598</v>
      </c>
      <c r="D5716" t="s">
        <v>26</v>
      </c>
      <c r="E5716">
        <v>84</v>
      </c>
    </row>
    <row r="5717" spans="1:5" x14ac:dyDescent="0.55000000000000004">
      <c r="A5717" t="s">
        <v>5798</v>
      </c>
      <c r="B5717" t="s">
        <v>14</v>
      </c>
      <c r="C5717" s="2">
        <v>43721</v>
      </c>
      <c r="D5717" t="s">
        <v>29</v>
      </c>
      <c r="E5717">
        <v>1877</v>
      </c>
    </row>
    <row r="5718" spans="1:5" x14ac:dyDescent="0.55000000000000004">
      <c r="A5718" t="s">
        <v>5799</v>
      </c>
      <c r="B5718" t="s">
        <v>101</v>
      </c>
      <c r="C5718" s="2">
        <v>44470</v>
      </c>
      <c r="D5718" t="s">
        <v>26</v>
      </c>
      <c r="E5718">
        <v>1368</v>
      </c>
    </row>
    <row r="5719" spans="1:5" x14ac:dyDescent="0.55000000000000004">
      <c r="A5719" t="s">
        <v>5800</v>
      </c>
      <c r="B5719" t="s">
        <v>111</v>
      </c>
      <c r="C5719" s="2">
        <v>42933</v>
      </c>
      <c r="D5719" t="s">
        <v>26</v>
      </c>
      <c r="E5719">
        <v>658</v>
      </c>
    </row>
    <row r="5720" spans="1:5" x14ac:dyDescent="0.55000000000000004">
      <c r="A5720" t="s">
        <v>5801</v>
      </c>
      <c r="B5720" t="s">
        <v>35</v>
      </c>
      <c r="C5720" s="2">
        <v>44543</v>
      </c>
      <c r="D5720" t="s">
        <v>26</v>
      </c>
      <c r="E5720">
        <v>298</v>
      </c>
    </row>
    <row r="5721" spans="1:5" x14ac:dyDescent="0.55000000000000004">
      <c r="A5721" t="s">
        <v>5802</v>
      </c>
      <c r="B5721" t="s">
        <v>96</v>
      </c>
      <c r="C5721" s="2">
        <v>44336</v>
      </c>
      <c r="D5721" t="s">
        <v>29</v>
      </c>
      <c r="E5721">
        <v>1282</v>
      </c>
    </row>
    <row r="5722" spans="1:5" x14ac:dyDescent="0.55000000000000004">
      <c r="A5722" t="s">
        <v>5803</v>
      </c>
      <c r="B5722" t="s">
        <v>84</v>
      </c>
      <c r="C5722" s="2">
        <v>43183</v>
      </c>
      <c r="D5722" t="s">
        <v>29</v>
      </c>
      <c r="E5722">
        <v>752</v>
      </c>
    </row>
    <row r="5723" spans="1:5" x14ac:dyDescent="0.55000000000000004">
      <c r="A5723" t="s">
        <v>5804</v>
      </c>
      <c r="B5723" t="s">
        <v>156</v>
      </c>
      <c r="C5723" s="2">
        <v>43133</v>
      </c>
      <c r="D5723" t="s">
        <v>29</v>
      </c>
      <c r="E5723">
        <v>2200</v>
      </c>
    </row>
    <row r="5724" spans="1:5" x14ac:dyDescent="0.55000000000000004">
      <c r="A5724" t="s">
        <v>5805</v>
      </c>
      <c r="B5724" t="s">
        <v>84</v>
      </c>
      <c r="C5724" s="2">
        <v>43293</v>
      </c>
      <c r="D5724" t="s">
        <v>26</v>
      </c>
      <c r="E5724">
        <v>2571</v>
      </c>
    </row>
    <row r="5725" spans="1:5" x14ac:dyDescent="0.55000000000000004">
      <c r="A5725" t="s">
        <v>5806</v>
      </c>
      <c r="B5725" t="s">
        <v>105</v>
      </c>
      <c r="C5725" s="2">
        <v>44271</v>
      </c>
      <c r="D5725" t="s">
        <v>26</v>
      </c>
      <c r="E5725">
        <v>896</v>
      </c>
    </row>
    <row r="5726" spans="1:5" x14ac:dyDescent="0.55000000000000004">
      <c r="A5726" t="s">
        <v>5807</v>
      </c>
      <c r="B5726" t="s">
        <v>137</v>
      </c>
      <c r="C5726" s="2">
        <v>44372</v>
      </c>
      <c r="D5726" t="s">
        <v>29</v>
      </c>
      <c r="E5726">
        <v>1355</v>
      </c>
    </row>
    <row r="5727" spans="1:5" x14ac:dyDescent="0.55000000000000004">
      <c r="A5727" t="s">
        <v>5808</v>
      </c>
      <c r="B5727" t="s">
        <v>76</v>
      </c>
      <c r="C5727" s="2">
        <v>43856</v>
      </c>
      <c r="D5727" t="s">
        <v>26</v>
      </c>
      <c r="E5727">
        <v>62</v>
      </c>
    </row>
    <row r="5728" spans="1:5" x14ac:dyDescent="0.55000000000000004">
      <c r="A5728" t="s">
        <v>5809</v>
      </c>
      <c r="B5728" t="s">
        <v>78</v>
      </c>
      <c r="C5728" s="2">
        <v>43596</v>
      </c>
      <c r="D5728" t="s">
        <v>26</v>
      </c>
      <c r="E5728">
        <v>2634</v>
      </c>
    </row>
    <row r="5729" spans="1:5" x14ac:dyDescent="0.55000000000000004">
      <c r="A5729" t="s">
        <v>5810</v>
      </c>
      <c r="B5729" t="s">
        <v>94</v>
      </c>
      <c r="C5729" s="2">
        <v>45193</v>
      </c>
      <c r="D5729" t="s">
        <v>26</v>
      </c>
      <c r="E5729">
        <v>1458</v>
      </c>
    </row>
    <row r="5730" spans="1:5" x14ac:dyDescent="0.55000000000000004">
      <c r="A5730" t="s">
        <v>5811</v>
      </c>
      <c r="B5730" t="s">
        <v>63</v>
      </c>
      <c r="C5730" s="2">
        <v>42928</v>
      </c>
      <c r="D5730" t="s">
        <v>29</v>
      </c>
      <c r="E5730">
        <v>2090</v>
      </c>
    </row>
    <row r="5731" spans="1:5" x14ac:dyDescent="0.55000000000000004">
      <c r="A5731" t="s">
        <v>5812</v>
      </c>
      <c r="B5731" t="s">
        <v>84</v>
      </c>
      <c r="C5731" s="2">
        <v>43414</v>
      </c>
      <c r="D5731" t="s">
        <v>26</v>
      </c>
      <c r="E5731">
        <v>620</v>
      </c>
    </row>
    <row r="5732" spans="1:5" x14ac:dyDescent="0.55000000000000004">
      <c r="A5732" t="s">
        <v>5813</v>
      </c>
      <c r="B5732" t="s">
        <v>94</v>
      </c>
      <c r="C5732" s="2">
        <v>43943</v>
      </c>
      <c r="D5732" t="s">
        <v>26</v>
      </c>
      <c r="E5732">
        <v>1572</v>
      </c>
    </row>
    <row r="5733" spans="1:5" x14ac:dyDescent="0.55000000000000004">
      <c r="A5733" t="s">
        <v>5814</v>
      </c>
      <c r="B5733" t="s">
        <v>101</v>
      </c>
      <c r="C5733" s="2">
        <v>43826</v>
      </c>
      <c r="D5733" t="s">
        <v>26</v>
      </c>
      <c r="E5733">
        <v>557</v>
      </c>
    </row>
    <row r="5734" spans="1:5" x14ac:dyDescent="0.55000000000000004">
      <c r="A5734" t="s">
        <v>5815</v>
      </c>
      <c r="B5734" t="s">
        <v>32</v>
      </c>
      <c r="C5734" s="2">
        <v>43844</v>
      </c>
      <c r="D5734" t="s">
        <v>29</v>
      </c>
      <c r="E5734">
        <v>2778</v>
      </c>
    </row>
    <row r="5735" spans="1:5" x14ac:dyDescent="0.55000000000000004">
      <c r="A5735" t="s">
        <v>5816</v>
      </c>
      <c r="B5735" t="s">
        <v>111</v>
      </c>
      <c r="C5735" s="2">
        <v>43851</v>
      </c>
      <c r="D5735" t="s">
        <v>29</v>
      </c>
      <c r="E5735">
        <v>2304</v>
      </c>
    </row>
    <row r="5736" spans="1:5" x14ac:dyDescent="0.55000000000000004">
      <c r="A5736" t="s">
        <v>5817</v>
      </c>
      <c r="B5736" t="s">
        <v>99</v>
      </c>
      <c r="C5736" s="2">
        <v>45690</v>
      </c>
      <c r="D5736" t="s">
        <v>29</v>
      </c>
      <c r="E5736">
        <v>1324</v>
      </c>
    </row>
    <row r="5737" spans="1:5" x14ac:dyDescent="0.55000000000000004">
      <c r="A5737" t="s">
        <v>5818</v>
      </c>
      <c r="B5737" t="s">
        <v>76</v>
      </c>
      <c r="C5737" s="2">
        <v>45782</v>
      </c>
      <c r="D5737" t="s">
        <v>26</v>
      </c>
      <c r="E5737">
        <v>359</v>
      </c>
    </row>
    <row r="5738" spans="1:5" x14ac:dyDescent="0.55000000000000004">
      <c r="A5738" t="s">
        <v>5819</v>
      </c>
      <c r="B5738" t="s">
        <v>105</v>
      </c>
      <c r="C5738" s="2">
        <v>44132</v>
      </c>
      <c r="D5738" t="s">
        <v>29</v>
      </c>
      <c r="E5738">
        <v>1276</v>
      </c>
    </row>
    <row r="5739" spans="1:5" x14ac:dyDescent="0.55000000000000004">
      <c r="A5739" t="s">
        <v>5820</v>
      </c>
      <c r="B5739" t="s">
        <v>105</v>
      </c>
      <c r="C5739" s="2">
        <v>43726</v>
      </c>
      <c r="D5739" t="s">
        <v>26</v>
      </c>
      <c r="E5739">
        <v>945</v>
      </c>
    </row>
    <row r="5740" spans="1:5" x14ac:dyDescent="0.55000000000000004">
      <c r="A5740" t="s">
        <v>5821</v>
      </c>
      <c r="B5740" t="s">
        <v>175</v>
      </c>
      <c r="C5740" s="2">
        <v>44450</v>
      </c>
      <c r="D5740" t="s">
        <v>29</v>
      </c>
      <c r="E5740">
        <v>2748</v>
      </c>
    </row>
    <row r="5741" spans="1:5" x14ac:dyDescent="0.55000000000000004">
      <c r="A5741" t="s">
        <v>5822</v>
      </c>
      <c r="B5741" t="s">
        <v>137</v>
      </c>
      <c r="C5741" s="2">
        <v>44199</v>
      </c>
      <c r="D5741" t="s">
        <v>26</v>
      </c>
      <c r="E5741">
        <v>2843</v>
      </c>
    </row>
    <row r="5742" spans="1:5" x14ac:dyDescent="0.55000000000000004">
      <c r="A5742" t="s">
        <v>5823</v>
      </c>
      <c r="B5742" t="s">
        <v>72</v>
      </c>
      <c r="C5742" s="2">
        <v>43854</v>
      </c>
      <c r="D5742" t="s">
        <v>29</v>
      </c>
      <c r="E5742">
        <v>1448</v>
      </c>
    </row>
    <row r="5743" spans="1:5" x14ac:dyDescent="0.55000000000000004">
      <c r="A5743" t="s">
        <v>5824</v>
      </c>
      <c r="B5743" t="s">
        <v>67</v>
      </c>
      <c r="C5743" s="2">
        <v>44230</v>
      </c>
      <c r="D5743" t="s">
        <v>26</v>
      </c>
      <c r="E5743">
        <v>1047</v>
      </c>
    </row>
    <row r="5744" spans="1:5" x14ac:dyDescent="0.55000000000000004">
      <c r="A5744" t="s">
        <v>5825</v>
      </c>
      <c r="B5744" t="s">
        <v>15</v>
      </c>
      <c r="C5744" s="2">
        <v>43865</v>
      </c>
      <c r="D5744" t="s">
        <v>26</v>
      </c>
      <c r="E5744">
        <v>2846</v>
      </c>
    </row>
    <row r="5745" spans="1:5" x14ac:dyDescent="0.55000000000000004">
      <c r="A5745" t="s">
        <v>5826</v>
      </c>
      <c r="B5745" t="s">
        <v>32</v>
      </c>
      <c r="C5745" s="2">
        <v>44089</v>
      </c>
      <c r="D5745" t="s">
        <v>26</v>
      </c>
      <c r="E5745">
        <v>1822</v>
      </c>
    </row>
    <row r="5746" spans="1:5" x14ac:dyDescent="0.55000000000000004">
      <c r="A5746" t="s">
        <v>5827</v>
      </c>
      <c r="B5746" t="s">
        <v>115</v>
      </c>
      <c r="C5746" s="2">
        <v>43103</v>
      </c>
      <c r="D5746" t="s">
        <v>29</v>
      </c>
      <c r="E5746">
        <v>663</v>
      </c>
    </row>
    <row r="5747" spans="1:5" x14ac:dyDescent="0.55000000000000004">
      <c r="A5747" t="s">
        <v>5828</v>
      </c>
      <c r="B5747" t="s">
        <v>63</v>
      </c>
      <c r="C5747" s="2">
        <v>44378</v>
      </c>
      <c r="D5747" t="s">
        <v>26</v>
      </c>
      <c r="E5747">
        <v>741</v>
      </c>
    </row>
    <row r="5748" spans="1:5" x14ac:dyDescent="0.55000000000000004">
      <c r="A5748" t="s">
        <v>5829</v>
      </c>
      <c r="B5748" t="s">
        <v>151</v>
      </c>
      <c r="C5748" s="2">
        <v>43800</v>
      </c>
      <c r="D5748" t="s">
        <v>26</v>
      </c>
      <c r="E5748">
        <v>405</v>
      </c>
    </row>
    <row r="5749" spans="1:5" x14ac:dyDescent="0.55000000000000004">
      <c r="A5749" t="s">
        <v>5830</v>
      </c>
      <c r="B5749" t="s">
        <v>35</v>
      </c>
      <c r="C5749" s="2">
        <v>44181</v>
      </c>
      <c r="D5749" t="s">
        <v>26</v>
      </c>
      <c r="E5749">
        <v>1444</v>
      </c>
    </row>
    <row r="5750" spans="1:5" x14ac:dyDescent="0.55000000000000004">
      <c r="A5750" t="s">
        <v>5831</v>
      </c>
      <c r="B5750" t="s">
        <v>67</v>
      </c>
      <c r="C5750" s="2">
        <v>43975</v>
      </c>
      <c r="D5750" t="s">
        <v>29</v>
      </c>
      <c r="E5750">
        <v>2960</v>
      </c>
    </row>
    <row r="5751" spans="1:5" x14ac:dyDescent="0.55000000000000004">
      <c r="A5751" t="s">
        <v>5832</v>
      </c>
      <c r="B5751" t="s">
        <v>14</v>
      </c>
      <c r="C5751" s="2">
        <v>44322</v>
      </c>
      <c r="D5751" t="s">
        <v>29</v>
      </c>
      <c r="E5751">
        <v>2316</v>
      </c>
    </row>
    <row r="5752" spans="1:5" x14ac:dyDescent="0.55000000000000004">
      <c r="A5752" t="s">
        <v>5833</v>
      </c>
      <c r="B5752" t="s">
        <v>115</v>
      </c>
      <c r="C5752" s="2">
        <v>43805</v>
      </c>
      <c r="D5752" t="s">
        <v>26</v>
      </c>
      <c r="E5752">
        <v>459</v>
      </c>
    </row>
    <row r="5753" spans="1:5" x14ac:dyDescent="0.55000000000000004">
      <c r="A5753" t="s">
        <v>5834</v>
      </c>
      <c r="B5753" t="s">
        <v>67</v>
      </c>
      <c r="C5753" s="2">
        <v>45254</v>
      </c>
      <c r="D5753" t="s">
        <v>26</v>
      </c>
      <c r="E5753">
        <v>2193</v>
      </c>
    </row>
    <row r="5754" spans="1:5" x14ac:dyDescent="0.55000000000000004">
      <c r="A5754" t="s">
        <v>5835</v>
      </c>
      <c r="B5754" t="s">
        <v>86</v>
      </c>
      <c r="C5754" s="2">
        <v>43597</v>
      </c>
      <c r="D5754" t="s">
        <v>26</v>
      </c>
      <c r="E5754">
        <v>2991</v>
      </c>
    </row>
    <row r="5755" spans="1:5" x14ac:dyDescent="0.55000000000000004">
      <c r="A5755" t="s">
        <v>5836</v>
      </c>
      <c r="B5755" t="s">
        <v>23</v>
      </c>
      <c r="C5755" s="2">
        <v>44471</v>
      </c>
      <c r="D5755" t="s">
        <v>29</v>
      </c>
      <c r="E5755">
        <v>2827</v>
      </c>
    </row>
    <row r="5756" spans="1:5" x14ac:dyDescent="0.55000000000000004">
      <c r="A5756" t="s">
        <v>5837</v>
      </c>
      <c r="B5756" t="s">
        <v>96</v>
      </c>
      <c r="C5756" s="2">
        <v>44151</v>
      </c>
      <c r="D5756" t="s">
        <v>26</v>
      </c>
      <c r="E5756">
        <v>1563</v>
      </c>
    </row>
    <row r="5757" spans="1:5" x14ac:dyDescent="0.55000000000000004">
      <c r="A5757" t="s">
        <v>5838</v>
      </c>
      <c r="B5757" t="s">
        <v>99</v>
      </c>
      <c r="C5757" s="2">
        <v>45582</v>
      </c>
      <c r="D5757" t="s">
        <v>26</v>
      </c>
      <c r="E5757">
        <v>2903</v>
      </c>
    </row>
    <row r="5758" spans="1:5" x14ac:dyDescent="0.55000000000000004">
      <c r="A5758" t="s">
        <v>5839</v>
      </c>
      <c r="B5758" t="s">
        <v>142</v>
      </c>
      <c r="C5758" s="2">
        <v>44453</v>
      </c>
      <c r="D5758" t="s">
        <v>29</v>
      </c>
      <c r="E5758">
        <v>968</v>
      </c>
    </row>
    <row r="5759" spans="1:5" x14ac:dyDescent="0.55000000000000004">
      <c r="A5759" t="s">
        <v>5840</v>
      </c>
      <c r="B5759" t="s">
        <v>96</v>
      </c>
      <c r="C5759" s="2">
        <v>45657</v>
      </c>
      <c r="D5759" t="s">
        <v>26</v>
      </c>
      <c r="E5759">
        <v>275</v>
      </c>
    </row>
    <row r="5760" spans="1:5" x14ac:dyDescent="0.55000000000000004">
      <c r="A5760" t="s">
        <v>5841</v>
      </c>
      <c r="B5760" t="s">
        <v>99</v>
      </c>
      <c r="C5760" s="2">
        <v>45003</v>
      </c>
      <c r="D5760" t="s">
        <v>26</v>
      </c>
      <c r="E5760">
        <v>2082</v>
      </c>
    </row>
    <row r="5761" spans="1:5" x14ac:dyDescent="0.55000000000000004">
      <c r="A5761" t="s">
        <v>5842</v>
      </c>
      <c r="B5761" t="s">
        <v>23</v>
      </c>
      <c r="C5761" s="2">
        <v>44813</v>
      </c>
      <c r="D5761" t="s">
        <v>26</v>
      </c>
      <c r="E5761">
        <v>2085</v>
      </c>
    </row>
    <row r="5762" spans="1:5" x14ac:dyDescent="0.55000000000000004">
      <c r="A5762" t="s">
        <v>5843</v>
      </c>
      <c r="B5762" t="s">
        <v>84</v>
      </c>
      <c r="C5762" s="2">
        <v>43596</v>
      </c>
      <c r="D5762" t="s">
        <v>29</v>
      </c>
      <c r="E5762">
        <v>218</v>
      </c>
    </row>
    <row r="5763" spans="1:5" x14ac:dyDescent="0.55000000000000004">
      <c r="A5763" t="s">
        <v>5844</v>
      </c>
      <c r="B5763" t="s">
        <v>38</v>
      </c>
      <c r="C5763" s="2">
        <v>44027</v>
      </c>
      <c r="D5763" t="s">
        <v>26</v>
      </c>
      <c r="E5763">
        <v>688</v>
      </c>
    </row>
    <row r="5764" spans="1:5" x14ac:dyDescent="0.55000000000000004">
      <c r="A5764" t="s">
        <v>5845</v>
      </c>
      <c r="B5764" t="s">
        <v>78</v>
      </c>
      <c r="C5764" s="2">
        <v>45418</v>
      </c>
      <c r="D5764" t="s">
        <v>26</v>
      </c>
      <c r="E5764">
        <v>4</v>
      </c>
    </row>
    <row r="5765" spans="1:5" x14ac:dyDescent="0.55000000000000004">
      <c r="A5765" t="s">
        <v>5846</v>
      </c>
      <c r="B5765" t="s">
        <v>142</v>
      </c>
      <c r="C5765" s="2">
        <v>43280</v>
      </c>
      <c r="D5765" t="s">
        <v>26</v>
      </c>
      <c r="E5765">
        <v>2519</v>
      </c>
    </row>
    <row r="5766" spans="1:5" x14ac:dyDescent="0.55000000000000004">
      <c r="A5766" t="s">
        <v>5847</v>
      </c>
      <c r="B5766" t="s">
        <v>156</v>
      </c>
      <c r="C5766" s="2">
        <v>44016</v>
      </c>
      <c r="D5766" t="s">
        <v>26</v>
      </c>
      <c r="E5766">
        <v>2561</v>
      </c>
    </row>
    <row r="5767" spans="1:5" x14ac:dyDescent="0.55000000000000004">
      <c r="A5767" t="s">
        <v>5848</v>
      </c>
      <c r="B5767" t="s">
        <v>175</v>
      </c>
      <c r="C5767" s="2">
        <v>44402</v>
      </c>
      <c r="D5767" t="s">
        <v>26</v>
      </c>
      <c r="E5767">
        <v>2713</v>
      </c>
    </row>
    <row r="5768" spans="1:5" x14ac:dyDescent="0.55000000000000004">
      <c r="A5768" t="s">
        <v>5849</v>
      </c>
      <c r="B5768" t="s">
        <v>72</v>
      </c>
      <c r="C5768" s="2">
        <v>43038</v>
      </c>
      <c r="D5768" t="s">
        <v>29</v>
      </c>
      <c r="E5768">
        <v>363</v>
      </c>
    </row>
    <row r="5769" spans="1:5" x14ac:dyDescent="0.55000000000000004">
      <c r="A5769" t="s">
        <v>5850</v>
      </c>
      <c r="B5769" t="s">
        <v>84</v>
      </c>
      <c r="C5769" s="2">
        <v>43487</v>
      </c>
      <c r="D5769" t="s">
        <v>29</v>
      </c>
      <c r="E5769">
        <v>1141</v>
      </c>
    </row>
    <row r="5770" spans="1:5" x14ac:dyDescent="0.55000000000000004">
      <c r="A5770" t="s">
        <v>5851</v>
      </c>
      <c r="B5770" t="s">
        <v>35</v>
      </c>
      <c r="C5770" s="2">
        <v>44263</v>
      </c>
      <c r="D5770" t="s">
        <v>26</v>
      </c>
      <c r="E5770">
        <v>2149</v>
      </c>
    </row>
    <row r="5771" spans="1:5" x14ac:dyDescent="0.55000000000000004">
      <c r="A5771" t="s">
        <v>5852</v>
      </c>
      <c r="B5771" t="s">
        <v>78</v>
      </c>
      <c r="C5771" s="2">
        <v>43915</v>
      </c>
      <c r="D5771" t="s">
        <v>26</v>
      </c>
      <c r="E5771">
        <v>1726</v>
      </c>
    </row>
    <row r="5772" spans="1:5" x14ac:dyDescent="0.55000000000000004">
      <c r="A5772" t="s">
        <v>5853</v>
      </c>
      <c r="B5772" t="s">
        <v>86</v>
      </c>
      <c r="C5772" s="2">
        <v>44099</v>
      </c>
      <c r="D5772" t="s">
        <v>26</v>
      </c>
      <c r="E5772">
        <v>2871</v>
      </c>
    </row>
    <row r="5773" spans="1:5" x14ac:dyDescent="0.55000000000000004">
      <c r="A5773" t="s">
        <v>5854</v>
      </c>
      <c r="B5773" t="s">
        <v>14</v>
      </c>
      <c r="C5773" s="2">
        <v>44295</v>
      </c>
      <c r="D5773" t="s">
        <v>26</v>
      </c>
      <c r="E5773">
        <v>2569</v>
      </c>
    </row>
    <row r="5774" spans="1:5" x14ac:dyDescent="0.55000000000000004">
      <c r="A5774" t="s">
        <v>5855</v>
      </c>
      <c r="B5774" t="s">
        <v>78</v>
      </c>
      <c r="C5774" s="2">
        <v>43519</v>
      </c>
      <c r="D5774" t="s">
        <v>26</v>
      </c>
      <c r="E5774">
        <v>147</v>
      </c>
    </row>
    <row r="5775" spans="1:5" x14ac:dyDescent="0.55000000000000004">
      <c r="A5775" t="s">
        <v>5856</v>
      </c>
      <c r="B5775" t="s">
        <v>35</v>
      </c>
      <c r="C5775" s="2">
        <v>44256</v>
      </c>
      <c r="D5775" t="s">
        <v>26</v>
      </c>
      <c r="E5775">
        <v>1134</v>
      </c>
    </row>
    <row r="5776" spans="1:5" x14ac:dyDescent="0.55000000000000004">
      <c r="A5776" t="s">
        <v>5857</v>
      </c>
      <c r="B5776" t="s">
        <v>41</v>
      </c>
      <c r="C5776" s="2">
        <v>44136</v>
      </c>
      <c r="D5776" t="s">
        <v>26</v>
      </c>
      <c r="E5776">
        <v>537</v>
      </c>
    </row>
    <row r="5777" spans="1:5" x14ac:dyDescent="0.55000000000000004">
      <c r="A5777" t="s">
        <v>5858</v>
      </c>
      <c r="B5777" t="s">
        <v>72</v>
      </c>
      <c r="C5777" s="2">
        <v>44385</v>
      </c>
      <c r="D5777" t="s">
        <v>29</v>
      </c>
      <c r="E5777">
        <v>2039</v>
      </c>
    </row>
    <row r="5778" spans="1:5" x14ac:dyDescent="0.55000000000000004">
      <c r="A5778" t="s">
        <v>5859</v>
      </c>
      <c r="B5778" t="s">
        <v>86</v>
      </c>
      <c r="C5778" s="2">
        <v>43177</v>
      </c>
      <c r="D5778" t="s">
        <v>26</v>
      </c>
      <c r="E5778">
        <v>998</v>
      </c>
    </row>
    <row r="5779" spans="1:5" x14ac:dyDescent="0.55000000000000004">
      <c r="A5779" t="s">
        <v>5860</v>
      </c>
      <c r="B5779" t="s">
        <v>86</v>
      </c>
      <c r="C5779" s="2">
        <v>44387</v>
      </c>
      <c r="D5779" t="s">
        <v>26</v>
      </c>
      <c r="E5779">
        <v>169</v>
      </c>
    </row>
    <row r="5780" spans="1:5" x14ac:dyDescent="0.55000000000000004">
      <c r="A5780" t="s">
        <v>5861</v>
      </c>
      <c r="B5780" t="s">
        <v>94</v>
      </c>
      <c r="C5780" s="2">
        <v>44001</v>
      </c>
      <c r="D5780" t="s">
        <v>26</v>
      </c>
      <c r="E5780">
        <v>1711</v>
      </c>
    </row>
    <row r="5781" spans="1:5" x14ac:dyDescent="0.55000000000000004">
      <c r="A5781" t="s">
        <v>5862</v>
      </c>
      <c r="B5781" t="s">
        <v>111</v>
      </c>
      <c r="C5781" s="2">
        <v>43013</v>
      </c>
      <c r="D5781" t="s">
        <v>29</v>
      </c>
      <c r="E5781">
        <v>1038</v>
      </c>
    </row>
    <row r="5782" spans="1:5" x14ac:dyDescent="0.55000000000000004">
      <c r="A5782" t="s">
        <v>5863</v>
      </c>
      <c r="B5782" t="s">
        <v>101</v>
      </c>
      <c r="C5782" s="2">
        <v>43320</v>
      </c>
      <c r="D5782" t="s">
        <v>26</v>
      </c>
      <c r="E5782">
        <v>2794</v>
      </c>
    </row>
    <row r="5783" spans="1:5" x14ac:dyDescent="0.55000000000000004">
      <c r="A5783" t="s">
        <v>5864</v>
      </c>
      <c r="B5783" t="s">
        <v>175</v>
      </c>
      <c r="C5783" s="2">
        <v>43701</v>
      </c>
      <c r="D5783" t="s">
        <v>29</v>
      </c>
      <c r="E5783">
        <v>2929</v>
      </c>
    </row>
    <row r="5784" spans="1:5" x14ac:dyDescent="0.55000000000000004">
      <c r="A5784" t="s">
        <v>5865</v>
      </c>
      <c r="B5784" t="s">
        <v>137</v>
      </c>
      <c r="C5784" s="2">
        <v>44411</v>
      </c>
      <c r="D5784" t="s">
        <v>29</v>
      </c>
      <c r="E5784">
        <v>1871</v>
      </c>
    </row>
    <row r="5785" spans="1:5" x14ac:dyDescent="0.55000000000000004">
      <c r="A5785" t="s">
        <v>5866</v>
      </c>
      <c r="B5785" t="s">
        <v>15</v>
      </c>
      <c r="C5785" s="2">
        <v>43645</v>
      </c>
      <c r="D5785" t="s">
        <v>29</v>
      </c>
      <c r="E5785">
        <v>2394</v>
      </c>
    </row>
    <row r="5786" spans="1:5" x14ac:dyDescent="0.55000000000000004">
      <c r="A5786" t="s">
        <v>5867</v>
      </c>
      <c r="B5786" t="s">
        <v>115</v>
      </c>
      <c r="C5786" s="2">
        <v>44168</v>
      </c>
      <c r="D5786" t="s">
        <v>26</v>
      </c>
      <c r="E5786">
        <v>540</v>
      </c>
    </row>
    <row r="5787" spans="1:5" x14ac:dyDescent="0.55000000000000004">
      <c r="A5787" t="s">
        <v>5868</v>
      </c>
      <c r="B5787" t="s">
        <v>118</v>
      </c>
      <c r="C5787" s="2">
        <v>43756</v>
      </c>
      <c r="D5787" t="s">
        <v>26</v>
      </c>
      <c r="E5787">
        <v>2669</v>
      </c>
    </row>
    <row r="5788" spans="1:5" x14ac:dyDescent="0.55000000000000004">
      <c r="A5788" t="s">
        <v>5869</v>
      </c>
      <c r="B5788" t="s">
        <v>105</v>
      </c>
      <c r="C5788" s="2">
        <v>44142</v>
      </c>
      <c r="D5788" t="s">
        <v>26</v>
      </c>
      <c r="E5788">
        <v>1702</v>
      </c>
    </row>
    <row r="5789" spans="1:5" x14ac:dyDescent="0.55000000000000004">
      <c r="A5789" t="s">
        <v>5870</v>
      </c>
      <c r="B5789" t="s">
        <v>38</v>
      </c>
      <c r="C5789" s="2">
        <v>43982</v>
      </c>
      <c r="D5789" t="s">
        <v>29</v>
      </c>
      <c r="E5789">
        <v>1222</v>
      </c>
    </row>
    <row r="5790" spans="1:5" x14ac:dyDescent="0.55000000000000004">
      <c r="A5790" t="s">
        <v>5871</v>
      </c>
      <c r="B5790" t="s">
        <v>101</v>
      </c>
      <c r="C5790" s="2">
        <v>44162</v>
      </c>
      <c r="D5790" t="s">
        <v>26</v>
      </c>
      <c r="E5790">
        <v>651</v>
      </c>
    </row>
    <row r="5791" spans="1:5" x14ac:dyDescent="0.55000000000000004">
      <c r="A5791" t="s">
        <v>5872</v>
      </c>
      <c r="B5791" t="s">
        <v>23</v>
      </c>
      <c r="C5791" s="2">
        <v>44918</v>
      </c>
      <c r="D5791" t="s">
        <v>26</v>
      </c>
      <c r="E5791">
        <v>488</v>
      </c>
    </row>
    <row r="5792" spans="1:5" x14ac:dyDescent="0.55000000000000004">
      <c r="A5792" t="s">
        <v>5873</v>
      </c>
      <c r="B5792" t="s">
        <v>137</v>
      </c>
      <c r="C5792" s="2">
        <v>43585</v>
      </c>
      <c r="D5792" t="s">
        <v>29</v>
      </c>
      <c r="E5792">
        <v>1015</v>
      </c>
    </row>
    <row r="5793" spans="1:5" x14ac:dyDescent="0.55000000000000004">
      <c r="A5793" t="s">
        <v>5874</v>
      </c>
      <c r="B5793" t="s">
        <v>175</v>
      </c>
      <c r="C5793" s="2">
        <v>45682</v>
      </c>
      <c r="D5793" t="s">
        <v>29</v>
      </c>
      <c r="E5793">
        <v>273</v>
      </c>
    </row>
    <row r="5794" spans="1:5" x14ac:dyDescent="0.55000000000000004">
      <c r="A5794" t="s">
        <v>5875</v>
      </c>
      <c r="B5794" t="s">
        <v>32</v>
      </c>
      <c r="C5794" s="2">
        <v>44623</v>
      </c>
      <c r="D5794" t="s">
        <v>29</v>
      </c>
      <c r="E5794">
        <v>664</v>
      </c>
    </row>
    <row r="5795" spans="1:5" x14ac:dyDescent="0.55000000000000004">
      <c r="A5795" t="s">
        <v>5876</v>
      </c>
      <c r="B5795" t="s">
        <v>72</v>
      </c>
      <c r="C5795" s="2">
        <v>44079</v>
      </c>
      <c r="D5795" t="s">
        <v>26</v>
      </c>
      <c r="E5795">
        <v>831</v>
      </c>
    </row>
    <row r="5796" spans="1:5" x14ac:dyDescent="0.55000000000000004">
      <c r="A5796" t="s">
        <v>5877</v>
      </c>
      <c r="B5796" t="s">
        <v>115</v>
      </c>
      <c r="C5796" s="2">
        <v>43776</v>
      </c>
      <c r="D5796" t="s">
        <v>29</v>
      </c>
      <c r="E5796">
        <v>57</v>
      </c>
    </row>
    <row r="5797" spans="1:5" x14ac:dyDescent="0.55000000000000004">
      <c r="A5797" t="s">
        <v>5878</v>
      </c>
      <c r="B5797" t="s">
        <v>67</v>
      </c>
      <c r="C5797" s="2">
        <v>43694</v>
      </c>
      <c r="D5797" t="s">
        <v>29</v>
      </c>
      <c r="E5797">
        <v>1662</v>
      </c>
    </row>
    <row r="5798" spans="1:5" x14ac:dyDescent="0.55000000000000004">
      <c r="A5798" t="s">
        <v>5879</v>
      </c>
      <c r="B5798" t="s">
        <v>99</v>
      </c>
      <c r="C5798" s="2">
        <v>44975</v>
      </c>
      <c r="D5798" t="s">
        <v>29</v>
      </c>
      <c r="E5798">
        <v>1610</v>
      </c>
    </row>
    <row r="5799" spans="1:5" x14ac:dyDescent="0.55000000000000004">
      <c r="A5799" t="s">
        <v>5880</v>
      </c>
      <c r="B5799" t="s">
        <v>15</v>
      </c>
      <c r="C5799" s="2">
        <v>44459</v>
      </c>
      <c r="D5799" t="s">
        <v>26</v>
      </c>
      <c r="E5799">
        <v>1569</v>
      </c>
    </row>
    <row r="5800" spans="1:5" x14ac:dyDescent="0.55000000000000004">
      <c r="A5800" t="s">
        <v>5881</v>
      </c>
      <c r="B5800" t="s">
        <v>63</v>
      </c>
      <c r="C5800" s="2">
        <v>44351</v>
      </c>
      <c r="D5800" t="s">
        <v>29</v>
      </c>
      <c r="E5800">
        <v>626</v>
      </c>
    </row>
    <row r="5801" spans="1:5" x14ac:dyDescent="0.55000000000000004">
      <c r="A5801" t="s">
        <v>5882</v>
      </c>
      <c r="B5801" t="s">
        <v>74</v>
      </c>
      <c r="C5801" s="2">
        <v>44085</v>
      </c>
      <c r="D5801" t="s">
        <v>29</v>
      </c>
      <c r="E5801">
        <v>1482</v>
      </c>
    </row>
    <row r="5802" spans="1:5" x14ac:dyDescent="0.55000000000000004">
      <c r="A5802" t="s">
        <v>5883</v>
      </c>
      <c r="B5802" t="s">
        <v>86</v>
      </c>
      <c r="C5802" s="2">
        <v>43040</v>
      </c>
      <c r="D5802" t="s">
        <v>29</v>
      </c>
      <c r="E5802">
        <v>2380</v>
      </c>
    </row>
    <row r="5803" spans="1:5" x14ac:dyDescent="0.55000000000000004">
      <c r="A5803" t="s">
        <v>5884</v>
      </c>
      <c r="B5803" t="s">
        <v>156</v>
      </c>
      <c r="C5803" s="2">
        <v>44511</v>
      </c>
      <c r="D5803" t="s">
        <v>29</v>
      </c>
      <c r="E5803">
        <v>1230</v>
      </c>
    </row>
    <row r="5804" spans="1:5" x14ac:dyDescent="0.55000000000000004">
      <c r="A5804" t="s">
        <v>5885</v>
      </c>
      <c r="B5804" t="s">
        <v>35</v>
      </c>
      <c r="C5804" s="2">
        <v>43905</v>
      </c>
      <c r="D5804" t="s">
        <v>29</v>
      </c>
      <c r="E5804">
        <v>1767</v>
      </c>
    </row>
    <row r="5805" spans="1:5" x14ac:dyDescent="0.55000000000000004">
      <c r="A5805" t="s">
        <v>5886</v>
      </c>
      <c r="B5805" t="s">
        <v>101</v>
      </c>
      <c r="C5805" s="2">
        <v>43319</v>
      </c>
      <c r="D5805" t="s">
        <v>29</v>
      </c>
      <c r="E5805">
        <v>2476</v>
      </c>
    </row>
    <row r="5806" spans="1:5" x14ac:dyDescent="0.55000000000000004">
      <c r="A5806" t="s">
        <v>5887</v>
      </c>
      <c r="B5806" t="s">
        <v>118</v>
      </c>
      <c r="C5806" s="2">
        <v>44238</v>
      </c>
      <c r="D5806" t="s">
        <v>26</v>
      </c>
      <c r="E5806">
        <v>2324</v>
      </c>
    </row>
    <row r="5807" spans="1:5" x14ac:dyDescent="0.55000000000000004">
      <c r="A5807" t="s">
        <v>5888</v>
      </c>
      <c r="B5807" t="s">
        <v>140</v>
      </c>
      <c r="C5807" s="2">
        <v>43621</v>
      </c>
      <c r="D5807" t="s">
        <v>26</v>
      </c>
      <c r="E5807">
        <v>1238</v>
      </c>
    </row>
    <row r="5808" spans="1:5" x14ac:dyDescent="0.55000000000000004">
      <c r="A5808" t="s">
        <v>5889</v>
      </c>
      <c r="B5808" t="s">
        <v>35</v>
      </c>
      <c r="C5808" s="2">
        <v>44602</v>
      </c>
      <c r="D5808" t="s">
        <v>26</v>
      </c>
      <c r="E5808">
        <v>1858</v>
      </c>
    </row>
    <row r="5809" spans="1:5" x14ac:dyDescent="0.55000000000000004">
      <c r="A5809" t="s">
        <v>5890</v>
      </c>
      <c r="B5809" t="s">
        <v>151</v>
      </c>
      <c r="C5809" s="2">
        <v>43182</v>
      </c>
      <c r="D5809" t="s">
        <v>26</v>
      </c>
      <c r="E5809">
        <v>1578</v>
      </c>
    </row>
    <row r="5810" spans="1:5" x14ac:dyDescent="0.55000000000000004">
      <c r="A5810" t="s">
        <v>5891</v>
      </c>
      <c r="B5810" t="s">
        <v>72</v>
      </c>
      <c r="C5810" s="2">
        <v>43805</v>
      </c>
      <c r="D5810" t="s">
        <v>26</v>
      </c>
      <c r="E5810">
        <v>362</v>
      </c>
    </row>
    <row r="5811" spans="1:5" x14ac:dyDescent="0.55000000000000004">
      <c r="A5811" t="s">
        <v>5892</v>
      </c>
      <c r="B5811" t="s">
        <v>156</v>
      </c>
      <c r="C5811" s="2">
        <v>43217</v>
      </c>
      <c r="D5811" t="s">
        <v>29</v>
      </c>
      <c r="E5811">
        <v>886</v>
      </c>
    </row>
    <row r="5812" spans="1:5" x14ac:dyDescent="0.55000000000000004">
      <c r="A5812" t="s">
        <v>5893</v>
      </c>
      <c r="B5812" t="s">
        <v>137</v>
      </c>
      <c r="C5812" s="2">
        <v>45149</v>
      </c>
      <c r="D5812" t="s">
        <v>26</v>
      </c>
      <c r="E5812">
        <v>1407</v>
      </c>
    </row>
    <row r="5813" spans="1:5" x14ac:dyDescent="0.55000000000000004">
      <c r="A5813" t="s">
        <v>5894</v>
      </c>
      <c r="B5813" t="s">
        <v>35</v>
      </c>
      <c r="C5813" s="2">
        <v>44487</v>
      </c>
      <c r="D5813" t="s">
        <v>29</v>
      </c>
      <c r="E5813">
        <v>2758</v>
      </c>
    </row>
    <row r="5814" spans="1:5" x14ac:dyDescent="0.55000000000000004">
      <c r="A5814" t="s">
        <v>5895</v>
      </c>
      <c r="B5814" t="s">
        <v>72</v>
      </c>
      <c r="C5814" s="2">
        <v>43124</v>
      </c>
      <c r="D5814" t="s">
        <v>26</v>
      </c>
      <c r="E5814">
        <v>2186</v>
      </c>
    </row>
    <row r="5815" spans="1:5" x14ac:dyDescent="0.55000000000000004">
      <c r="A5815" t="s">
        <v>5896</v>
      </c>
      <c r="B5815" t="s">
        <v>78</v>
      </c>
      <c r="C5815" s="2">
        <v>45485</v>
      </c>
      <c r="D5815" t="s">
        <v>26</v>
      </c>
      <c r="E5815">
        <v>2550</v>
      </c>
    </row>
    <row r="5816" spans="1:5" x14ac:dyDescent="0.55000000000000004">
      <c r="A5816" t="s">
        <v>5897</v>
      </c>
      <c r="B5816" t="s">
        <v>140</v>
      </c>
      <c r="C5816" s="2">
        <v>43219</v>
      </c>
      <c r="D5816" t="s">
        <v>26</v>
      </c>
      <c r="E5816">
        <v>2966</v>
      </c>
    </row>
    <row r="5817" spans="1:5" x14ac:dyDescent="0.55000000000000004">
      <c r="A5817" t="s">
        <v>5898</v>
      </c>
      <c r="B5817" t="s">
        <v>156</v>
      </c>
      <c r="C5817" s="2">
        <v>44373</v>
      </c>
      <c r="D5817" t="s">
        <v>26</v>
      </c>
      <c r="E5817">
        <v>2695</v>
      </c>
    </row>
    <row r="5818" spans="1:5" x14ac:dyDescent="0.55000000000000004">
      <c r="A5818" t="s">
        <v>5899</v>
      </c>
      <c r="B5818" t="s">
        <v>32</v>
      </c>
      <c r="C5818" s="2">
        <v>44609</v>
      </c>
      <c r="D5818" t="s">
        <v>29</v>
      </c>
      <c r="E5818">
        <v>903</v>
      </c>
    </row>
    <row r="5819" spans="1:5" x14ac:dyDescent="0.55000000000000004">
      <c r="A5819" t="s">
        <v>5900</v>
      </c>
      <c r="B5819" t="s">
        <v>151</v>
      </c>
      <c r="C5819" s="2">
        <v>44063</v>
      </c>
      <c r="D5819" t="s">
        <v>29</v>
      </c>
      <c r="E5819">
        <v>980</v>
      </c>
    </row>
    <row r="5820" spans="1:5" x14ac:dyDescent="0.55000000000000004">
      <c r="A5820" t="s">
        <v>5901</v>
      </c>
      <c r="B5820" t="s">
        <v>94</v>
      </c>
      <c r="C5820" s="2">
        <v>44014</v>
      </c>
      <c r="D5820" t="s">
        <v>29</v>
      </c>
      <c r="E5820">
        <v>1887</v>
      </c>
    </row>
    <row r="5821" spans="1:5" x14ac:dyDescent="0.55000000000000004">
      <c r="A5821" t="s">
        <v>5902</v>
      </c>
      <c r="B5821" t="s">
        <v>105</v>
      </c>
      <c r="C5821" s="2">
        <v>43665</v>
      </c>
      <c r="D5821" t="s">
        <v>26</v>
      </c>
      <c r="E5821">
        <v>1493</v>
      </c>
    </row>
    <row r="5822" spans="1:5" x14ac:dyDescent="0.55000000000000004">
      <c r="A5822" t="s">
        <v>5903</v>
      </c>
      <c r="B5822" t="s">
        <v>99</v>
      </c>
      <c r="C5822" s="2">
        <v>44432</v>
      </c>
      <c r="D5822" t="s">
        <v>26</v>
      </c>
      <c r="E5822">
        <v>1005</v>
      </c>
    </row>
    <row r="5823" spans="1:5" x14ac:dyDescent="0.55000000000000004">
      <c r="A5823" t="s">
        <v>5904</v>
      </c>
      <c r="B5823" t="s">
        <v>84</v>
      </c>
      <c r="C5823" s="2">
        <v>43331</v>
      </c>
      <c r="D5823" t="s">
        <v>26</v>
      </c>
      <c r="E5823">
        <v>2824</v>
      </c>
    </row>
    <row r="5824" spans="1:5" x14ac:dyDescent="0.55000000000000004">
      <c r="A5824" t="s">
        <v>5905</v>
      </c>
      <c r="B5824" t="s">
        <v>63</v>
      </c>
      <c r="C5824" s="2">
        <v>43075</v>
      </c>
      <c r="D5824" t="s">
        <v>26</v>
      </c>
      <c r="E5824">
        <v>2893</v>
      </c>
    </row>
    <row r="5825" spans="1:5" x14ac:dyDescent="0.55000000000000004">
      <c r="A5825" t="s">
        <v>5906</v>
      </c>
      <c r="B5825" t="s">
        <v>175</v>
      </c>
      <c r="C5825" s="2">
        <v>44964</v>
      </c>
      <c r="D5825" t="s">
        <v>29</v>
      </c>
      <c r="E5825">
        <v>1661</v>
      </c>
    </row>
    <row r="5826" spans="1:5" x14ac:dyDescent="0.55000000000000004">
      <c r="A5826" t="s">
        <v>5907</v>
      </c>
      <c r="B5826" t="s">
        <v>14</v>
      </c>
      <c r="C5826" s="2">
        <v>43682</v>
      </c>
      <c r="D5826" t="s">
        <v>29</v>
      </c>
      <c r="E5826">
        <v>1514</v>
      </c>
    </row>
    <row r="5827" spans="1:5" x14ac:dyDescent="0.55000000000000004">
      <c r="A5827" t="s">
        <v>5908</v>
      </c>
      <c r="B5827" t="s">
        <v>76</v>
      </c>
      <c r="C5827" s="2">
        <v>45378</v>
      </c>
      <c r="D5827" t="s">
        <v>29</v>
      </c>
      <c r="E5827">
        <v>2825</v>
      </c>
    </row>
    <row r="5828" spans="1:5" x14ac:dyDescent="0.55000000000000004">
      <c r="A5828" t="s">
        <v>5909</v>
      </c>
      <c r="B5828" t="s">
        <v>23</v>
      </c>
      <c r="C5828" s="2">
        <v>44381</v>
      </c>
      <c r="D5828" t="s">
        <v>29</v>
      </c>
      <c r="E5828">
        <v>1355</v>
      </c>
    </row>
    <row r="5829" spans="1:5" x14ac:dyDescent="0.55000000000000004">
      <c r="A5829" t="s">
        <v>5910</v>
      </c>
      <c r="B5829" t="s">
        <v>137</v>
      </c>
      <c r="C5829" s="2">
        <v>45323</v>
      </c>
      <c r="D5829" t="s">
        <v>29</v>
      </c>
      <c r="E5829">
        <v>2403</v>
      </c>
    </row>
    <row r="5830" spans="1:5" x14ac:dyDescent="0.55000000000000004">
      <c r="A5830" t="s">
        <v>5911</v>
      </c>
      <c r="B5830" t="s">
        <v>41</v>
      </c>
      <c r="C5830" s="2">
        <v>44380</v>
      </c>
      <c r="D5830" t="s">
        <v>29</v>
      </c>
      <c r="E5830">
        <v>816</v>
      </c>
    </row>
    <row r="5831" spans="1:5" x14ac:dyDescent="0.55000000000000004">
      <c r="A5831" t="s">
        <v>5912</v>
      </c>
      <c r="B5831" t="s">
        <v>86</v>
      </c>
      <c r="C5831" s="2">
        <v>43408</v>
      </c>
      <c r="D5831" t="s">
        <v>29</v>
      </c>
      <c r="E5831">
        <v>1518</v>
      </c>
    </row>
    <row r="5832" spans="1:5" x14ac:dyDescent="0.55000000000000004">
      <c r="A5832" t="s">
        <v>5913</v>
      </c>
      <c r="B5832" t="s">
        <v>23</v>
      </c>
      <c r="C5832" s="2">
        <v>44798</v>
      </c>
      <c r="D5832" t="s">
        <v>29</v>
      </c>
      <c r="E5832">
        <v>1609</v>
      </c>
    </row>
    <row r="5833" spans="1:5" x14ac:dyDescent="0.55000000000000004">
      <c r="A5833" t="s">
        <v>5914</v>
      </c>
      <c r="B5833" t="s">
        <v>101</v>
      </c>
      <c r="C5833" s="2">
        <v>44408</v>
      </c>
      <c r="D5833" t="s">
        <v>29</v>
      </c>
      <c r="E5833">
        <v>260</v>
      </c>
    </row>
    <row r="5834" spans="1:5" x14ac:dyDescent="0.55000000000000004">
      <c r="A5834" t="s">
        <v>5915</v>
      </c>
      <c r="B5834" t="s">
        <v>140</v>
      </c>
      <c r="C5834" s="2">
        <v>43344</v>
      </c>
      <c r="D5834" t="s">
        <v>29</v>
      </c>
      <c r="E5834">
        <v>518</v>
      </c>
    </row>
    <row r="5835" spans="1:5" x14ac:dyDescent="0.55000000000000004">
      <c r="A5835" t="s">
        <v>5916</v>
      </c>
      <c r="B5835" t="s">
        <v>74</v>
      </c>
      <c r="C5835" s="2">
        <v>43279</v>
      </c>
      <c r="D5835" t="s">
        <v>29</v>
      </c>
      <c r="E5835">
        <v>1169</v>
      </c>
    </row>
    <row r="5836" spans="1:5" x14ac:dyDescent="0.55000000000000004">
      <c r="A5836" t="s">
        <v>5917</v>
      </c>
      <c r="B5836" t="s">
        <v>86</v>
      </c>
      <c r="C5836" s="2">
        <v>42962</v>
      </c>
      <c r="D5836" t="s">
        <v>26</v>
      </c>
      <c r="E5836">
        <v>2345</v>
      </c>
    </row>
    <row r="5837" spans="1:5" x14ac:dyDescent="0.55000000000000004">
      <c r="A5837" t="s">
        <v>5918</v>
      </c>
      <c r="B5837" t="s">
        <v>111</v>
      </c>
      <c r="C5837" s="2">
        <v>44183</v>
      </c>
      <c r="D5837" t="s">
        <v>29</v>
      </c>
      <c r="E5837">
        <v>2080</v>
      </c>
    </row>
    <row r="5838" spans="1:5" x14ac:dyDescent="0.55000000000000004">
      <c r="A5838" t="s">
        <v>5919</v>
      </c>
      <c r="B5838" t="s">
        <v>74</v>
      </c>
      <c r="C5838" s="2">
        <v>43616</v>
      </c>
      <c r="D5838" t="s">
        <v>26</v>
      </c>
      <c r="E5838">
        <v>1634</v>
      </c>
    </row>
    <row r="5839" spans="1:5" x14ac:dyDescent="0.55000000000000004">
      <c r="A5839" t="s">
        <v>5920</v>
      </c>
      <c r="B5839" t="s">
        <v>32</v>
      </c>
      <c r="C5839" s="2">
        <v>44123</v>
      </c>
      <c r="D5839" t="s">
        <v>29</v>
      </c>
      <c r="E5839">
        <v>1520</v>
      </c>
    </row>
    <row r="5840" spans="1:5" x14ac:dyDescent="0.55000000000000004">
      <c r="A5840" t="s">
        <v>5921</v>
      </c>
      <c r="B5840" t="s">
        <v>23</v>
      </c>
      <c r="C5840" s="2">
        <v>44611</v>
      </c>
      <c r="D5840" t="s">
        <v>29</v>
      </c>
      <c r="E5840">
        <v>1237</v>
      </c>
    </row>
    <row r="5841" spans="1:5" x14ac:dyDescent="0.55000000000000004">
      <c r="A5841" t="s">
        <v>5922</v>
      </c>
      <c r="B5841" t="s">
        <v>76</v>
      </c>
      <c r="C5841" s="2">
        <v>45295</v>
      </c>
      <c r="D5841" t="s">
        <v>26</v>
      </c>
      <c r="E5841">
        <v>462</v>
      </c>
    </row>
    <row r="5842" spans="1:5" x14ac:dyDescent="0.55000000000000004">
      <c r="A5842" t="s">
        <v>5923</v>
      </c>
      <c r="B5842" t="s">
        <v>76</v>
      </c>
      <c r="C5842" s="2">
        <v>44447</v>
      </c>
      <c r="D5842" t="s">
        <v>26</v>
      </c>
      <c r="E5842">
        <v>1856</v>
      </c>
    </row>
    <row r="5843" spans="1:5" x14ac:dyDescent="0.55000000000000004">
      <c r="A5843" t="s">
        <v>5924</v>
      </c>
      <c r="B5843" t="s">
        <v>76</v>
      </c>
      <c r="C5843" s="2">
        <v>44597</v>
      </c>
      <c r="D5843" t="s">
        <v>26</v>
      </c>
      <c r="E5843">
        <v>981</v>
      </c>
    </row>
    <row r="5844" spans="1:5" x14ac:dyDescent="0.55000000000000004">
      <c r="A5844" t="s">
        <v>5925</v>
      </c>
      <c r="B5844" t="s">
        <v>86</v>
      </c>
      <c r="C5844" s="2">
        <v>44508</v>
      </c>
      <c r="D5844" t="s">
        <v>26</v>
      </c>
      <c r="E5844">
        <v>1088</v>
      </c>
    </row>
    <row r="5845" spans="1:5" x14ac:dyDescent="0.55000000000000004">
      <c r="A5845" t="s">
        <v>5926</v>
      </c>
      <c r="B5845" t="s">
        <v>105</v>
      </c>
      <c r="C5845" s="2">
        <v>43705</v>
      </c>
      <c r="D5845" t="s">
        <v>26</v>
      </c>
      <c r="E5845">
        <v>1171</v>
      </c>
    </row>
    <row r="5846" spans="1:5" x14ac:dyDescent="0.55000000000000004">
      <c r="A5846" t="s">
        <v>5927</v>
      </c>
      <c r="B5846" t="s">
        <v>142</v>
      </c>
      <c r="C5846" s="2">
        <v>44284</v>
      </c>
      <c r="D5846" t="s">
        <v>29</v>
      </c>
      <c r="E5846">
        <v>2665</v>
      </c>
    </row>
    <row r="5847" spans="1:5" x14ac:dyDescent="0.55000000000000004">
      <c r="A5847" t="s">
        <v>5928</v>
      </c>
      <c r="B5847" t="s">
        <v>99</v>
      </c>
      <c r="C5847" s="2">
        <v>44266</v>
      </c>
      <c r="D5847" t="s">
        <v>26</v>
      </c>
      <c r="E5847">
        <v>644</v>
      </c>
    </row>
    <row r="5848" spans="1:5" x14ac:dyDescent="0.55000000000000004">
      <c r="A5848" t="s">
        <v>5929</v>
      </c>
      <c r="B5848" t="s">
        <v>140</v>
      </c>
      <c r="C5848" s="2">
        <v>43155</v>
      </c>
      <c r="D5848" t="s">
        <v>29</v>
      </c>
      <c r="E5848">
        <v>1297</v>
      </c>
    </row>
    <row r="5849" spans="1:5" x14ac:dyDescent="0.55000000000000004">
      <c r="A5849" t="s">
        <v>5930</v>
      </c>
      <c r="B5849" t="s">
        <v>94</v>
      </c>
      <c r="C5849" s="2">
        <v>44731</v>
      </c>
      <c r="D5849" t="s">
        <v>26</v>
      </c>
      <c r="E5849">
        <v>2942</v>
      </c>
    </row>
    <row r="5850" spans="1:5" x14ac:dyDescent="0.55000000000000004">
      <c r="A5850" t="s">
        <v>5931</v>
      </c>
      <c r="B5850" t="s">
        <v>137</v>
      </c>
      <c r="C5850" s="2">
        <v>43694</v>
      </c>
      <c r="D5850" t="s">
        <v>29</v>
      </c>
      <c r="E5850">
        <v>2320</v>
      </c>
    </row>
    <row r="5851" spans="1:5" x14ac:dyDescent="0.55000000000000004">
      <c r="A5851" t="s">
        <v>5932</v>
      </c>
      <c r="B5851" t="s">
        <v>140</v>
      </c>
      <c r="C5851" s="2">
        <v>43367</v>
      </c>
      <c r="D5851" t="s">
        <v>29</v>
      </c>
      <c r="E5851">
        <v>925</v>
      </c>
    </row>
    <row r="5852" spans="1:5" x14ac:dyDescent="0.55000000000000004">
      <c r="A5852" t="s">
        <v>5933</v>
      </c>
      <c r="B5852" t="s">
        <v>115</v>
      </c>
      <c r="C5852" s="2">
        <v>44311</v>
      </c>
      <c r="D5852" t="s">
        <v>26</v>
      </c>
      <c r="E5852">
        <v>122</v>
      </c>
    </row>
    <row r="5853" spans="1:5" x14ac:dyDescent="0.55000000000000004">
      <c r="A5853" t="s">
        <v>5934</v>
      </c>
      <c r="B5853" t="s">
        <v>99</v>
      </c>
      <c r="C5853" s="2">
        <v>43965</v>
      </c>
      <c r="D5853" t="s">
        <v>29</v>
      </c>
      <c r="E5853">
        <v>2174</v>
      </c>
    </row>
    <row r="5854" spans="1:5" x14ac:dyDescent="0.55000000000000004">
      <c r="A5854" t="s">
        <v>5935</v>
      </c>
      <c r="B5854" t="s">
        <v>175</v>
      </c>
      <c r="C5854" s="2">
        <v>44925</v>
      </c>
      <c r="D5854" t="s">
        <v>26</v>
      </c>
      <c r="E5854">
        <v>581</v>
      </c>
    </row>
    <row r="5855" spans="1:5" x14ac:dyDescent="0.55000000000000004">
      <c r="A5855" t="s">
        <v>5936</v>
      </c>
      <c r="B5855" t="s">
        <v>115</v>
      </c>
      <c r="C5855" s="2">
        <v>43079</v>
      </c>
      <c r="D5855" t="s">
        <v>29</v>
      </c>
      <c r="E5855">
        <v>2989</v>
      </c>
    </row>
    <row r="5856" spans="1:5" x14ac:dyDescent="0.55000000000000004">
      <c r="A5856" t="s">
        <v>5937</v>
      </c>
      <c r="B5856" t="s">
        <v>99</v>
      </c>
      <c r="C5856" s="2">
        <v>45295</v>
      </c>
      <c r="D5856" t="s">
        <v>26</v>
      </c>
      <c r="E5856">
        <v>2281</v>
      </c>
    </row>
    <row r="5857" spans="1:5" x14ac:dyDescent="0.55000000000000004">
      <c r="A5857" t="s">
        <v>5938</v>
      </c>
      <c r="B5857" t="s">
        <v>84</v>
      </c>
      <c r="C5857" s="2">
        <v>43568</v>
      </c>
      <c r="D5857" t="s">
        <v>26</v>
      </c>
      <c r="E5857">
        <v>856</v>
      </c>
    </row>
    <row r="5858" spans="1:5" x14ac:dyDescent="0.55000000000000004">
      <c r="A5858" t="s">
        <v>5939</v>
      </c>
      <c r="B5858" t="s">
        <v>86</v>
      </c>
      <c r="C5858" s="2">
        <v>44264</v>
      </c>
      <c r="D5858" t="s">
        <v>29</v>
      </c>
      <c r="E5858">
        <v>721</v>
      </c>
    </row>
    <row r="5859" spans="1:5" x14ac:dyDescent="0.55000000000000004">
      <c r="A5859" t="s">
        <v>5940</v>
      </c>
      <c r="B5859" t="s">
        <v>140</v>
      </c>
      <c r="C5859" s="2">
        <v>43952</v>
      </c>
      <c r="D5859" t="s">
        <v>29</v>
      </c>
      <c r="E5859">
        <v>1063</v>
      </c>
    </row>
    <row r="5860" spans="1:5" x14ac:dyDescent="0.55000000000000004">
      <c r="A5860" t="s">
        <v>5941</v>
      </c>
      <c r="B5860" t="s">
        <v>84</v>
      </c>
      <c r="C5860" s="2">
        <v>44310</v>
      </c>
      <c r="D5860" t="s">
        <v>29</v>
      </c>
      <c r="E5860">
        <v>199</v>
      </c>
    </row>
    <row r="5861" spans="1:5" x14ac:dyDescent="0.55000000000000004">
      <c r="A5861" t="s">
        <v>5942</v>
      </c>
      <c r="B5861" t="s">
        <v>115</v>
      </c>
      <c r="C5861" s="2">
        <v>43935</v>
      </c>
      <c r="D5861" t="s">
        <v>26</v>
      </c>
      <c r="E5861">
        <v>2632</v>
      </c>
    </row>
    <row r="5862" spans="1:5" x14ac:dyDescent="0.55000000000000004">
      <c r="A5862" t="s">
        <v>5943</v>
      </c>
      <c r="B5862" t="s">
        <v>105</v>
      </c>
      <c r="C5862" s="2">
        <v>44244</v>
      </c>
      <c r="D5862" t="s">
        <v>26</v>
      </c>
      <c r="E5862">
        <v>2832</v>
      </c>
    </row>
    <row r="5863" spans="1:5" x14ac:dyDescent="0.55000000000000004">
      <c r="A5863" t="s">
        <v>5944</v>
      </c>
      <c r="B5863" t="s">
        <v>67</v>
      </c>
      <c r="C5863" s="2">
        <v>45149</v>
      </c>
      <c r="D5863" t="s">
        <v>29</v>
      </c>
      <c r="E5863">
        <v>604</v>
      </c>
    </row>
    <row r="5864" spans="1:5" x14ac:dyDescent="0.55000000000000004">
      <c r="A5864" t="s">
        <v>5945</v>
      </c>
      <c r="B5864" t="s">
        <v>63</v>
      </c>
      <c r="C5864" s="2">
        <v>43827</v>
      </c>
      <c r="D5864" t="s">
        <v>29</v>
      </c>
      <c r="E5864">
        <v>1855</v>
      </c>
    </row>
    <row r="5865" spans="1:5" x14ac:dyDescent="0.55000000000000004">
      <c r="A5865" t="s">
        <v>5946</v>
      </c>
      <c r="B5865" t="s">
        <v>72</v>
      </c>
      <c r="C5865" s="2">
        <v>44099</v>
      </c>
      <c r="D5865" t="s">
        <v>29</v>
      </c>
      <c r="E5865">
        <v>1639</v>
      </c>
    </row>
    <row r="5866" spans="1:5" x14ac:dyDescent="0.55000000000000004">
      <c r="A5866" t="s">
        <v>5947</v>
      </c>
      <c r="B5866" t="s">
        <v>38</v>
      </c>
      <c r="C5866" s="2">
        <v>44494</v>
      </c>
      <c r="D5866" t="s">
        <v>29</v>
      </c>
      <c r="E5866">
        <v>771</v>
      </c>
    </row>
    <row r="5867" spans="1:5" x14ac:dyDescent="0.55000000000000004">
      <c r="A5867" t="s">
        <v>5948</v>
      </c>
      <c r="B5867" t="s">
        <v>151</v>
      </c>
      <c r="C5867" s="2">
        <v>43875</v>
      </c>
      <c r="D5867" t="s">
        <v>26</v>
      </c>
      <c r="E5867">
        <v>456</v>
      </c>
    </row>
    <row r="5868" spans="1:5" x14ac:dyDescent="0.55000000000000004">
      <c r="A5868" t="s">
        <v>5949</v>
      </c>
      <c r="B5868" t="s">
        <v>84</v>
      </c>
      <c r="C5868" s="2">
        <v>43043</v>
      </c>
      <c r="D5868" t="s">
        <v>26</v>
      </c>
      <c r="E5868">
        <v>2577</v>
      </c>
    </row>
    <row r="5869" spans="1:5" x14ac:dyDescent="0.55000000000000004">
      <c r="A5869" t="s">
        <v>5950</v>
      </c>
      <c r="B5869" t="s">
        <v>41</v>
      </c>
      <c r="C5869" s="2">
        <v>44562</v>
      </c>
      <c r="D5869" t="s">
        <v>26</v>
      </c>
      <c r="E5869">
        <v>1799</v>
      </c>
    </row>
    <row r="5870" spans="1:5" x14ac:dyDescent="0.55000000000000004">
      <c r="A5870" t="s">
        <v>5951</v>
      </c>
      <c r="B5870" t="s">
        <v>99</v>
      </c>
      <c r="C5870" s="2">
        <v>43723</v>
      </c>
      <c r="D5870" t="s">
        <v>26</v>
      </c>
      <c r="E5870">
        <v>1505</v>
      </c>
    </row>
    <row r="5871" spans="1:5" x14ac:dyDescent="0.55000000000000004">
      <c r="A5871" t="s">
        <v>5952</v>
      </c>
      <c r="B5871" t="s">
        <v>111</v>
      </c>
      <c r="C5871" s="2">
        <v>44246</v>
      </c>
      <c r="D5871" t="s">
        <v>26</v>
      </c>
      <c r="E5871">
        <v>148</v>
      </c>
    </row>
    <row r="5872" spans="1:5" x14ac:dyDescent="0.55000000000000004">
      <c r="A5872" t="s">
        <v>5953</v>
      </c>
      <c r="B5872" t="s">
        <v>14</v>
      </c>
      <c r="C5872" s="2">
        <v>43228</v>
      </c>
      <c r="D5872" t="s">
        <v>29</v>
      </c>
      <c r="E5872">
        <v>2795</v>
      </c>
    </row>
    <row r="5873" spans="1:5" x14ac:dyDescent="0.55000000000000004">
      <c r="A5873" t="s">
        <v>5954</v>
      </c>
      <c r="B5873" t="s">
        <v>105</v>
      </c>
      <c r="C5873" s="2">
        <v>44410</v>
      </c>
      <c r="D5873" t="s">
        <v>26</v>
      </c>
      <c r="E5873">
        <v>269</v>
      </c>
    </row>
    <row r="5874" spans="1:5" x14ac:dyDescent="0.55000000000000004">
      <c r="A5874" t="s">
        <v>5955</v>
      </c>
      <c r="B5874" t="s">
        <v>156</v>
      </c>
      <c r="C5874" s="2">
        <v>43298</v>
      </c>
      <c r="D5874" t="s">
        <v>29</v>
      </c>
      <c r="E5874">
        <v>1896</v>
      </c>
    </row>
    <row r="5875" spans="1:5" x14ac:dyDescent="0.55000000000000004">
      <c r="A5875" t="s">
        <v>5956</v>
      </c>
      <c r="B5875" t="s">
        <v>38</v>
      </c>
      <c r="C5875" s="2">
        <v>44230</v>
      </c>
      <c r="D5875" t="s">
        <v>26</v>
      </c>
      <c r="E5875">
        <v>1742</v>
      </c>
    </row>
    <row r="5876" spans="1:5" x14ac:dyDescent="0.55000000000000004">
      <c r="A5876" t="s">
        <v>5957</v>
      </c>
      <c r="B5876" t="s">
        <v>14</v>
      </c>
      <c r="C5876" s="2">
        <v>44154</v>
      </c>
      <c r="D5876" t="s">
        <v>29</v>
      </c>
      <c r="E5876">
        <v>928</v>
      </c>
    </row>
    <row r="5877" spans="1:5" x14ac:dyDescent="0.55000000000000004">
      <c r="A5877" t="s">
        <v>5958</v>
      </c>
      <c r="B5877" t="s">
        <v>23</v>
      </c>
      <c r="C5877" s="2">
        <v>44083</v>
      </c>
      <c r="D5877" t="s">
        <v>26</v>
      </c>
      <c r="E5877">
        <v>1630</v>
      </c>
    </row>
    <row r="5878" spans="1:5" x14ac:dyDescent="0.55000000000000004">
      <c r="A5878" t="s">
        <v>5959</v>
      </c>
      <c r="B5878" t="s">
        <v>67</v>
      </c>
      <c r="C5878" s="2">
        <v>43821</v>
      </c>
      <c r="D5878" t="s">
        <v>29</v>
      </c>
      <c r="E5878">
        <v>673</v>
      </c>
    </row>
    <row r="5879" spans="1:5" x14ac:dyDescent="0.55000000000000004">
      <c r="A5879" t="s">
        <v>5960</v>
      </c>
      <c r="B5879" t="s">
        <v>142</v>
      </c>
      <c r="C5879" s="2">
        <v>43323</v>
      </c>
      <c r="D5879" t="s">
        <v>26</v>
      </c>
      <c r="E5879">
        <v>811</v>
      </c>
    </row>
    <row r="5880" spans="1:5" x14ac:dyDescent="0.55000000000000004">
      <c r="A5880" t="s">
        <v>5961</v>
      </c>
      <c r="B5880" t="s">
        <v>101</v>
      </c>
      <c r="C5880" s="2">
        <v>44191</v>
      </c>
      <c r="D5880" t="s">
        <v>29</v>
      </c>
      <c r="E5880">
        <v>1437</v>
      </c>
    </row>
    <row r="5881" spans="1:5" x14ac:dyDescent="0.55000000000000004">
      <c r="A5881" t="s">
        <v>5962</v>
      </c>
      <c r="B5881" t="s">
        <v>41</v>
      </c>
      <c r="C5881" s="2">
        <v>44146</v>
      </c>
      <c r="D5881" t="s">
        <v>29</v>
      </c>
      <c r="E5881">
        <v>720</v>
      </c>
    </row>
    <row r="5882" spans="1:5" x14ac:dyDescent="0.55000000000000004">
      <c r="A5882" t="s">
        <v>5963</v>
      </c>
      <c r="B5882" t="s">
        <v>78</v>
      </c>
      <c r="C5882" s="2">
        <v>43575</v>
      </c>
      <c r="D5882" t="s">
        <v>26</v>
      </c>
      <c r="E5882">
        <v>2357</v>
      </c>
    </row>
    <row r="5883" spans="1:5" x14ac:dyDescent="0.55000000000000004">
      <c r="A5883" t="s">
        <v>5964</v>
      </c>
      <c r="B5883" t="s">
        <v>78</v>
      </c>
      <c r="C5883" s="2">
        <v>45451</v>
      </c>
      <c r="D5883" t="s">
        <v>26</v>
      </c>
      <c r="E5883">
        <v>1408</v>
      </c>
    </row>
    <row r="5884" spans="1:5" x14ac:dyDescent="0.55000000000000004">
      <c r="A5884" t="s">
        <v>5965</v>
      </c>
      <c r="B5884" t="s">
        <v>72</v>
      </c>
      <c r="C5884" s="2">
        <v>44389</v>
      </c>
      <c r="D5884" t="s">
        <v>29</v>
      </c>
      <c r="E5884">
        <v>2520</v>
      </c>
    </row>
    <row r="5885" spans="1:5" x14ac:dyDescent="0.55000000000000004">
      <c r="A5885" t="s">
        <v>5966</v>
      </c>
      <c r="B5885" t="s">
        <v>86</v>
      </c>
      <c r="C5885" s="2">
        <v>44267</v>
      </c>
      <c r="D5885" t="s">
        <v>26</v>
      </c>
      <c r="E5885">
        <v>961</v>
      </c>
    </row>
    <row r="5886" spans="1:5" x14ac:dyDescent="0.55000000000000004">
      <c r="A5886" t="s">
        <v>5967</v>
      </c>
      <c r="B5886" t="s">
        <v>72</v>
      </c>
      <c r="C5886" s="2">
        <v>43263</v>
      </c>
      <c r="D5886" t="s">
        <v>26</v>
      </c>
      <c r="E5886">
        <v>2621</v>
      </c>
    </row>
    <row r="5887" spans="1:5" x14ac:dyDescent="0.55000000000000004">
      <c r="A5887" t="s">
        <v>5968</v>
      </c>
      <c r="B5887" t="s">
        <v>41</v>
      </c>
      <c r="C5887" s="2">
        <v>44737</v>
      </c>
      <c r="D5887" t="s">
        <v>26</v>
      </c>
      <c r="E5887">
        <v>2864</v>
      </c>
    </row>
    <row r="5888" spans="1:5" x14ac:dyDescent="0.55000000000000004">
      <c r="A5888" t="s">
        <v>5969</v>
      </c>
      <c r="B5888" t="s">
        <v>32</v>
      </c>
      <c r="C5888" s="2">
        <v>44220</v>
      </c>
      <c r="D5888" t="s">
        <v>26</v>
      </c>
      <c r="E5888">
        <v>5</v>
      </c>
    </row>
    <row r="5889" spans="1:5" x14ac:dyDescent="0.55000000000000004">
      <c r="A5889" t="s">
        <v>5970</v>
      </c>
      <c r="B5889" t="s">
        <v>156</v>
      </c>
      <c r="C5889" s="2">
        <v>43661</v>
      </c>
      <c r="D5889" t="s">
        <v>29</v>
      </c>
      <c r="E5889">
        <v>2831</v>
      </c>
    </row>
    <row r="5890" spans="1:5" x14ac:dyDescent="0.55000000000000004">
      <c r="A5890" t="s">
        <v>5971</v>
      </c>
      <c r="B5890" t="s">
        <v>41</v>
      </c>
      <c r="C5890" s="2">
        <v>44285</v>
      </c>
      <c r="D5890" t="s">
        <v>29</v>
      </c>
      <c r="E5890">
        <v>923</v>
      </c>
    </row>
    <row r="5891" spans="1:5" x14ac:dyDescent="0.55000000000000004">
      <c r="A5891" t="s">
        <v>5972</v>
      </c>
      <c r="B5891" t="s">
        <v>72</v>
      </c>
      <c r="C5891" s="2">
        <v>43381</v>
      </c>
      <c r="D5891" t="s">
        <v>29</v>
      </c>
      <c r="E5891">
        <v>1748</v>
      </c>
    </row>
    <row r="5892" spans="1:5" x14ac:dyDescent="0.55000000000000004">
      <c r="A5892" t="s">
        <v>5973</v>
      </c>
      <c r="B5892" t="s">
        <v>74</v>
      </c>
      <c r="C5892" s="2">
        <v>43955</v>
      </c>
      <c r="D5892" t="s">
        <v>29</v>
      </c>
      <c r="E5892">
        <v>142</v>
      </c>
    </row>
    <row r="5893" spans="1:5" x14ac:dyDescent="0.55000000000000004">
      <c r="A5893" t="s">
        <v>5974</v>
      </c>
      <c r="B5893" t="s">
        <v>96</v>
      </c>
      <c r="C5893" s="2">
        <v>45092</v>
      </c>
      <c r="D5893" t="s">
        <v>26</v>
      </c>
      <c r="E5893">
        <v>200</v>
      </c>
    </row>
    <row r="5894" spans="1:5" x14ac:dyDescent="0.55000000000000004">
      <c r="A5894" t="s">
        <v>5975</v>
      </c>
      <c r="B5894" t="s">
        <v>99</v>
      </c>
      <c r="C5894" s="2">
        <v>45346</v>
      </c>
      <c r="D5894" t="s">
        <v>26</v>
      </c>
      <c r="E5894">
        <v>2094</v>
      </c>
    </row>
    <row r="5895" spans="1:5" x14ac:dyDescent="0.55000000000000004">
      <c r="A5895" t="s">
        <v>5976</v>
      </c>
      <c r="B5895" t="s">
        <v>105</v>
      </c>
      <c r="C5895" s="2">
        <v>43713</v>
      </c>
      <c r="D5895" t="s">
        <v>29</v>
      </c>
      <c r="E5895">
        <v>494</v>
      </c>
    </row>
    <row r="5896" spans="1:5" x14ac:dyDescent="0.55000000000000004">
      <c r="A5896" t="s">
        <v>5977</v>
      </c>
      <c r="B5896" t="s">
        <v>118</v>
      </c>
      <c r="C5896" s="2">
        <v>45537</v>
      </c>
      <c r="D5896" t="s">
        <v>26</v>
      </c>
      <c r="E5896">
        <v>818</v>
      </c>
    </row>
    <row r="5897" spans="1:5" x14ac:dyDescent="0.55000000000000004">
      <c r="A5897" t="s">
        <v>5978</v>
      </c>
      <c r="B5897" t="s">
        <v>101</v>
      </c>
      <c r="C5897" s="2">
        <v>42996</v>
      </c>
      <c r="D5897" t="s">
        <v>26</v>
      </c>
      <c r="E5897">
        <v>57</v>
      </c>
    </row>
    <row r="5898" spans="1:5" x14ac:dyDescent="0.55000000000000004">
      <c r="A5898" t="s">
        <v>5979</v>
      </c>
      <c r="B5898" t="s">
        <v>96</v>
      </c>
      <c r="C5898" s="2">
        <v>43976</v>
      </c>
      <c r="D5898" t="s">
        <v>26</v>
      </c>
      <c r="E5898">
        <v>1623</v>
      </c>
    </row>
    <row r="5899" spans="1:5" x14ac:dyDescent="0.55000000000000004">
      <c r="A5899" t="s">
        <v>5980</v>
      </c>
      <c r="B5899" t="s">
        <v>115</v>
      </c>
      <c r="C5899" s="2">
        <v>43642</v>
      </c>
      <c r="D5899" t="s">
        <v>26</v>
      </c>
      <c r="E5899">
        <v>2286</v>
      </c>
    </row>
    <row r="5900" spans="1:5" x14ac:dyDescent="0.55000000000000004">
      <c r="A5900" t="s">
        <v>5981</v>
      </c>
      <c r="B5900" t="s">
        <v>38</v>
      </c>
      <c r="C5900" s="2">
        <v>44205</v>
      </c>
      <c r="D5900" t="s">
        <v>26</v>
      </c>
      <c r="E5900">
        <v>2019</v>
      </c>
    </row>
    <row r="5901" spans="1:5" x14ac:dyDescent="0.55000000000000004">
      <c r="A5901" t="s">
        <v>5982</v>
      </c>
      <c r="B5901" t="s">
        <v>38</v>
      </c>
      <c r="C5901" s="2">
        <v>44721</v>
      </c>
      <c r="D5901" t="s">
        <v>29</v>
      </c>
      <c r="E5901">
        <v>2187</v>
      </c>
    </row>
    <row r="5902" spans="1:5" x14ac:dyDescent="0.55000000000000004">
      <c r="A5902" t="s">
        <v>5983</v>
      </c>
      <c r="B5902" t="s">
        <v>76</v>
      </c>
      <c r="C5902" s="2">
        <v>44523</v>
      </c>
      <c r="D5902" t="s">
        <v>29</v>
      </c>
      <c r="E5902">
        <v>1959</v>
      </c>
    </row>
    <row r="5903" spans="1:5" x14ac:dyDescent="0.55000000000000004">
      <c r="A5903" t="s">
        <v>5984</v>
      </c>
      <c r="B5903" t="s">
        <v>151</v>
      </c>
      <c r="C5903" s="2">
        <v>43581</v>
      </c>
      <c r="D5903" t="s">
        <v>29</v>
      </c>
      <c r="E5903">
        <v>1075</v>
      </c>
    </row>
    <row r="5904" spans="1:5" x14ac:dyDescent="0.55000000000000004">
      <c r="A5904" t="s">
        <v>5985</v>
      </c>
      <c r="B5904" t="s">
        <v>72</v>
      </c>
      <c r="C5904" s="2">
        <v>43214</v>
      </c>
      <c r="D5904" t="s">
        <v>26</v>
      </c>
      <c r="E5904">
        <v>887</v>
      </c>
    </row>
    <row r="5905" spans="1:5" x14ac:dyDescent="0.55000000000000004">
      <c r="A5905" t="s">
        <v>5986</v>
      </c>
      <c r="B5905" t="s">
        <v>41</v>
      </c>
      <c r="C5905" s="2">
        <v>44143</v>
      </c>
      <c r="D5905" t="s">
        <v>26</v>
      </c>
      <c r="E5905">
        <v>661</v>
      </c>
    </row>
    <row r="5906" spans="1:5" x14ac:dyDescent="0.55000000000000004">
      <c r="A5906" t="s">
        <v>5987</v>
      </c>
      <c r="B5906" t="s">
        <v>41</v>
      </c>
      <c r="C5906" s="2">
        <v>44872</v>
      </c>
      <c r="D5906" t="s">
        <v>26</v>
      </c>
      <c r="E5906">
        <v>2599</v>
      </c>
    </row>
    <row r="5907" spans="1:5" x14ac:dyDescent="0.55000000000000004">
      <c r="A5907" t="s">
        <v>5988</v>
      </c>
      <c r="B5907" t="s">
        <v>115</v>
      </c>
      <c r="C5907" s="2">
        <v>44461</v>
      </c>
      <c r="D5907" t="s">
        <v>29</v>
      </c>
      <c r="E5907">
        <v>1039</v>
      </c>
    </row>
    <row r="5908" spans="1:5" x14ac:dyDescent="0.55000000000000004">
      <c r="A5908" t="s">
        <v>5989</v>
      </c>
      <c r="B5908" t="s">
        <v>72</v>
      </c>
      <c r="C5908" s="2">
        <v>43625</v>
      </c>
      <c r="D5908" t="s">
        <v>26</v>
      </c>
      <c r="E5908">
        <v>2938</v>
      </c>
    </row>
    <row r="5909" spans="1:5" x14ac:dyDescent="0.55000000000000004">
      <c r="A5909" t="s">
        <v>5990</v>
      </c>
      <c r="B5909" t="s">
        <v>175</v>
      </c>
      <c r="C5909" s="2">
        <v>44220</v>
      </c>
      <c r="D5909" t="s">
        <v>26</v>
      </c>
      <c r="E5909">
        <v>1448</v>
      </c>
    </row>
    <row r="5910" spans="1:5" x14ac:dyDescent="0.55000000000000004">
      <c r="A5910" t="s">
        <v>5991</v>
      </c>
      <c r="B5910" t="s">
        <v>101</v>
      </c>
      <c r="C5910" s="2">
        <v>43034</v>
      </c>
      <c r="D5910" t="s">
        <v>29</v>
      </c>
      <c r="E5910">
        <v>749</v>
      </c>
    </row>
    <row r="5911" spans="1:5" x14ac:dyDescent="0.55000000000000004">
      <c r="A5911" t="s">
        <v>5992</v>
      </c>
      <c r="B5911" t="s">
        <v>175</v>
      </c>
      <c r="C5911" s="2">
        <v>44848</v>
      </c>
      <c r="D5911" t="s">
        <v>26</v>
      </c>
      <c r="E5911">
        <v>1522</v>
      </c>
    </row>
    <row r="5912" spans="1:5" x14ac:dyDescent="0.55000000000000004">
      <c r="A5912" t="s">
        <v>5993</v>
      </c>
      <c r="B5912" t="s">
        <v>35</v>
      </c>
      <c r="C5912" s="2">
        <v>43931</v>
      </c>
      <c r="D5912" t="s">
        <v>29</v>
      </c>
      <c r="E5912">
        <v>992</v>
      </c>
    </row>
    <row r="5913" spans="1:5" x14ac:dyDescent="0.55000000000000004">
      <c r="A5913" t="s">
        <v>5994</v>
      </c>
      <c r="B5913" t="s">
        <v>175</v>
      </c>
      <c r="C5913" s="2">
        <v>45427</v>
      </c>
      <c r="D5913" t="s">
        <v>26</v>
      </c>
      <c r="E5913">
        <v>273</v>
      </c>
    </row>
    <row r="5914" spans="1:5" x14ac:dyDescent="0.55000000000000004">
      <c r="A5914" t="s">
        <v>5995</v>
      </c>
      <c r="B5914" t="s">
        <v>76</v>
      </c>
      <c r="C5914" s="2">
        <v>43935</v>
      </c>
      <c r="D5914" t="s">
        <v>26</v>
      </c>
      <c r="E5914">
        <v>1112</v>
      </c>
    </row>
    <row r="5915" spans="1:5" x14ac:dyDescent="0.55000000000000004">
      <c r="A5915" t="s">
        <v>5996</v>
      </c>
      <c r="B5915" t="s">
        <v>101</v>
      </c>
      <c r="C5915" s="2">
        <v>44317</v>
      </c>
      <c r="D5915" t="s">
        <v>29</v>
      </c>
      <c r="E5915">
        <v>1129</v>
      </c>
    </row>
    <row r="5916" spans="1:5" x14ac:dyDescent="0.55000000000000004">
      <c r="A5916" t="s">
        <v>5997</v>
      </c>
      <c r="B5916" t="s">
        <v>115</v>
      </c>
      <c r="C5916" s="2">
        <v>43400</v>
      </c>
      <c r="D5916" t="s">
        <v>26</v>
      </c>
      <c r="E5916">
        <v>1988</v>
      </c>
    </row>
    <row r="5917" spans="1:5" x14ac:dyDescent="0.55000000000000004">
      <c r="A5917" t="s">
        <v>5998</v>
      </c>
      <c r="B5917" t="s">
        <v>38</v>
      </c>
      <c r="C5917" s="2">
        <v>44476</v>
      </c>
      <c r="D5917" t="s">
        <v>26</v>
      </c>
      <c r="E5917">
        <v>2289</v>
      </c>
    </row>
    <row r="5918" spans="1:5" x14ac:dyDescent="0.55000000000000004">
      <c r="A5918" t="s">
        <v>5999</v>
      </c>
      <c r="B5918" t="s">
        <v>156</v>
      </c>
      <c r="C5918" s="2">
        <v>44498</v>
      </c>
      <c r="D5918" t="s">
        <v>26</v>
      </c>
      <c r="E5918">
        <v>2675</v>
      </c>
    </row>
    <row r="5919" spans="1:5" x14ac:dyDescent="0.55000000000000004">
      <c r="A5919" t="s">
        <v>6000</v>
      </c>
      <c r="B5919" t="s">
        <v>99</v>
      </c>
      <c r="C5919" s="2">
        <v>44792</v>
      </c>
      <c r="D5919" t="s">
        <v>26</v>
      </c>
      <c r="E5919">
        <v>55</v>
      </c>
    </row>
    <row r="5920" spans="1:5" x14ac:dyDescent="0.55000000000000004">
      <c r="A5920" t="s">
        <v>6001</v>
      </c>
      <c r="B5920" t="s">
        <v>94</v>
      </c>
      <c r="C5920" s="2">
        <v>43759</v>
      </c>
      <c r="D5920" t="s">
        <v>26</v>
      </c>
      <c r="E5920">
        <v>1578</v>
      </c>
    </row>
    <row r="5921" spans="1:5" x14ac:dyDescent="0.55000000000000004">
      <c r="A5921" t="s">
        <v>6002</v>
      </c>
      <c r="B5921" t="s">
        <v>105</v>
      </c>
      <c r="C5921" s="2">
        <v>43738</v>
      </c>
      <c r="D5921" t="s">
        <v>26</v>
      </c>
      <c r="E5921">
        <v>2083</v>
      </c>
    </row>
    <row r="5922" spans="1:5" x14ac:dyDescent="0.55000000000000004">
      <c r="A5922" t="s">
        <v>6003</v>
      </c>
      <c r="B5922" t="s">
        <v>137</v>
      </c>
      <c r="C5922" s="2">
        <v>44640</v>
      </c>
      <c r="D5922" t="s">
        <v>29</v>
      </c>
      <c r="E5922">
        <v>938</v>
      </c>
    </row>
    <row r="5923" spans="1:5" x14ac:dyDescent="0.55000000000000004">
      <c r="A5923" t="s">
        <v>6004</v>
      </c>
      <c r="B5923" t="s">
        <v>23</v>
      </c>
      <c r="C5923" s="2">
        <v>44800</v>
      </c>
      <c r="D5923" t="s">
        <v>29</v>
      </c>
      <c r="E5923">
        <v>1581</v>
      </c>
    </row>
    <row r="5924" spans="1:5" x14ac:dyDescent="0.55000000000000004">
      <c r="A5924" t="s">
        <v>6005</v>
      </c>
      <c r="B5924" t="s">
        <v>74</v>
      </c>
      <c r="C5924" s="2">
        <v>43559</v>
      </c>
      <c r="D5924" t="s">
        <v>29</v>
      </c>
      <c r="E5924">
        <v>1950</v>
      </c>
    </row>
    <row r="5925" spans="1:5" x14ac:dyDescent="0.55000000000000004">
      <c r="A5925" t="s">
        <v>6006</v>
      </c>
      <c r="B5925" t="s">
        <v>142</v>
      </c>
      <c r="C5925" s="2">
        <v>43657</v>
      </c>
      <c r="D5925" t="s">
        <v>29</v>
      </c>
      <c r="E5925">
        <v>1029</v>
      </c>
    </row>
    <row r="5926" spans="1:5" x14ac:dyDescent="0.55000000000000004">
      <c r="A5926" t="s">
        <v>6007</v>
      </c>
      <c r="B5926" t="s">
        <v>23</v>
      </c>
      <c r="C5926" s="2">
        <v>43979</v>
      </c>
      <c r="D5926" t="s">
        <v>26</v>
      </c>
      <c r="E5926">
        <v>2564</v>
      </c>
    </row>
    <row r="5927" spans="1:5" x14ac:dyDescent="0.55000000000000004">
      <c r="A5927" t="s">
        <v>6008</v>
      </c>
      <c r="B5927" t="s">
        <v>38</v>
      </c>
      <c r="C5927" s="2">
        <v>43968</v>
      </c>
      <c r="D5927" t="s">
        <v>29</v>
      </c>
      <c r="E5927">
        <v>354</v>
      </c>
    </row>
    <row r="5928" spans="1:5" x14ac:dyDescent="0.55000000000000004">
      <c r="A5928" t="s">
        <v>6009</v>
      </c>
      <c r="B5928" t="s">
        <v>140</v>
      </c>
      <c r="C5928" s="2">
        <v>44392</v>
      </c>
      <c r="D5928" t="s">
        <v>29</v>
      </c>
      <c r="E5928">
        <v>294</v>
      </c>
    </row>
    <row r="5929" spans="1:5" x14ac:dyDescent="0.55000000000000004">
      <c r="A5929" t="s">
        <v>6010</v>
      </c>
      <c r="B5929" t="s">
        <v>74</v>
      </c>
      <c r="C5929" s="2">
        <v>44076</v>
      </c>
      <c r="D5929" t="s">
        <v>29</v>
      </c>
      <c r="E5929">
        <v>1351</v>
      </c>
    </row>
    <row r="5930" spans="1:5" x14ac:dyDescent="0.55000000000000004">
      <c r="A5930" t="s">
        <v>6011</v>
      </c>
      <c r="B5930" t="s">
        <v>140</v>
      </c>
      <c r="C5930" s="2">
        <v>43473</v>
      </c>
      <c r="D5930" t="s">
        <v>26</v>
      </c>
      <c r="E5930">
        <v>2332</v>
      </c>
    </row>
    <row r="5931" spans="1:5" x14ac:dyDescent="0.55000000000000004">
      <c r="A5931" t="s">
        <v>6012</v>
      </c>
      <c r="B5931" t="s">
        <v>38</v>
      </c>
      <c r="C5931" s="2">
        <v>44018</v>
      </c>
      <c r="D5931" t="s">
        <v>29</v>
      </c>
      <c r="E5931">
        <v>2426</v>
      </c>
    </row>
    <row r="5932" spans="1:5" x14ac:dyDescent="0.55000000000000004">
      <c r="A5932" t="s">
        <v>6013</v>
      </c>
      <c r="B5932" t="s">
        <v>151</v>
      </c>
      <c r="C5932" s="2">
        <v>44127</v>
      </c>
      <c r="D5932" t="s">
        <v>29</v>
      </c>
      <c r="E5932">
        <v>1846</v>
      </c>
    </row>
    <row r="5933" spans="1:5" x14ac:dyDescent="0.55000000000000004">
      <c r="A5933" t="s">
        <v>6014</v>
      </c>
      <c r="B5933" t="s">
        <v>99</v>
      </c>
      <c r="C5933" s="2">
        <v>45500</v>
      </c>
      <c r="D5933" t="s">
        <v>29</v>
      </c>
      <c r="E5933">
        <v>757</v>
      </c>
    </row>
    <row r="5934" spans="1:5" x14ac:dyDescent="0.55000000000000004">
      <c r="A5934" t="s">
        <v>6015</v>
      </c>
      <c r="B5934" t="s">
        <v>142</v>
      </c>
      <c r="C5934" s="2">
        <v>43894</v>
      </c>
      <c r="D5934" t="s">
        <v>26</v>
      </c>
      <c r="E5934">
        <v>561</v>
      </c>
    </row>
    <row r="5935" spans="1:5" x14ac:dyDescent="0.55000000000000004">
      <c r="A5935" t="s">
        <v>6016</v>
      </c>
      <c r="B5935" t="s">
        <v>14</v>
      </c>
      <c r="C5935" s="2">
        <v>43436</v>
      </c>
      <c r="D5935" t="s">
        <v>26</v>
      </c>
      <c r="E5935">
        <v>1780</v>
      </c>
    </row>
    <row r="5936" spans="1:5" x14ac:dyDescent="0.55000000000000004">
      <c r="A5936" t="s">
        <v>6017</v>
      </c>
      <c r="B5936" t="s">
        <v>105</v>
      </c>
      <c r="C5936" s="2">
        <v>44282</v>
      </c>
      <c r="D5936" t="s">
        <v>26</v>
      </c>
      <c r="E5936">
        <v>291</v>
      </c>
    </row>
    <row r="5937" spans="1:5" x14ac:dyDescent="0.55000000000000004">
      <c r="A5937" t="s">
        <v>6018</v>
      </c>
      <c r="B5937" t="s">
        <v>32</v>
      </c>
      <c r="C5937" s="2">
        <v>44847</v>
      </c>
      <c r="D5937" t="s">
        <v>26</v>
      </c>
      <c r="E5937">
        <v>556</v>
      </c>
    </row>
    <row r="5938" spans="1:5" x14ac:dyDescent="0.55000000000000004">
      <c r="A5938" t="s">
        <v>6019</v>
      </c>
      <c r="B5938" t="s">
        <v>78</v>
      </c>
      <c r="C5938" s="2">
        <v>43833</v>
      </c>
      <c r="D5938" t="s">
        <v>26</v>
      </c>
      <c r="E5938">
        <v>1259</v>
      </c>
    </row>
    <row r="5939" spans="1:5" x14ac:dyDescent="0.55000000000000004">
      <c r="A5939" t="s">
        <v>6020</v>
      </c>
      <c r="B5939" t="s">
        <v>74</v>
      </c>
      <c r="C5939" s="2">
        <v>43330</v>
      </c>
      <c r="D5939" t="s">
        <v>26</v>
      </c>
      <c r="E5939">
        <v>2934</v>
      </c>
    </row>
    <row r="5940" spans="1:5" x14ac:dyDescent="0.55000000000000004">
      <c r="A5940" t="s">
        <v>6021</v>
      </c>
      <c r="B5940" t="s">
        <v>140</v>
      </c>
      <c r="C5940" s="2">
        <v>44187</v>
      </c>
      <c r="D5940" t="s">
        <v>29</v>
      </c>
      <c r="E5940">
        <v>1895</v>
      </c>
    </row>
    <row r="5941" spans="1:5" x14ac:dyDescent="0.55000000000000004">
      <c r="A5941" t="s">
        <v>6022</v>
      </c>
      <c r="B5941" t="s">
        <v>99</v>
      </c>
      <c r="C5941" s="2">
        <v>45786</v>
      </c>
      <c r="D5941" t="s">
        <v>29</v>
      </c>
      <c r="E5941">
        <v>1662</v>
      </c>
    </row>
    <row r="5942" spans="1:5" x14ac:dyDescent="0.55000000000000004">
      <c r="A5942" t="s">
        <v>6023</v>
      </c>
      <c r="B5942" t="s">
        <v>142</v>
      </c>
      <c r="C5942" s="2">
        <v>44076</v>
      </c>
      <c r="D5942" t="s">
        <v>29</v>
      </c>
      <c r="E5942">
        <v>883</v>
      </c>
    </row>
    <row r="5943" spans="1:5" x14ac:dyDescent="0.55000000000000004">
      <c r="A5943" t="s">
        <v>6024</v>
      </c>
      <c r="B5943" t="s">
        <v>74</v>
      </c>
      <c r="C5943" s="2">
        <v>43254</v>
      </c>
      <c r="D5943" t="s">
        <v>29</v>
      </c>
      <c r="E5943">
        <v>2009</v>
      </c>
    </row>
    <row r="5944" spans="1:5" x14ac:dyDescent="0.55000000000000004">
      <c r="A5944" t="s">
        <v>6025</v>
      </c>
      <c r="B5944" t="s">
        <v>94</v>
      </c>
      <c r="C5944" s="2">
        <v>45447</v>
      </c>
      <c r="D5944" t="s">
        <v>26</v>
      </c>
      <c r="E5944">
        <v>327</v>
      </c>
    </row>
    <row r="5945" spans="1:5" x14ac:dyDescent="0.55000000000000004">
      <c r="A5945" t="s">
        <v>6026</v>
      </c>
      <c r="B5945" t="s">
        <v>137</v>
      </c>
      <c r="C5945" s="2">
        <v>44225</v>
      </c>
      <c r="D5945" t="s">
        <v>26</v>
      </c>
      <c r="E5945">
        <v>1793</v>
      </c>
    </row>
    <row r="5946" spans="1:5" x14ac:dyDescent="0.55000000000000004">
      <c r="A5946" t="s">
        <v>6027</v>
      </c>
      <c r="B5946" t="s">
        <v>35</v>
      </c>
      <c r="C5946" s="2">
        <v>44628</v>
      </c>
      <c r="D5946" t="s">
        <v>26</v>
      </c>
      <c r="E5946">
        <v>1885</v>
      </c>
    </row>
    <row r="5947" spans="1:5" x14ac:dyDescent="0.55000000000000004">
      <c r="A5947" t="s">
        <v>6028</v>
      </c>
      <c r="B5947" t="s">
        <v>111</v>
      </c>
      <c r="C5947" s="2">
        <v>44341</v>
      </c>
      <c r="D5947" t="s">
        <v>29</v>
      </c>
      <c r="E5947">
        <v>2657</v>
      </c>
    </row>
    <row r="5948" spans="1:5" x14ac:dyDescent="0.55000000000000004">
      <c r="A5948" t="s">
        <v>6029</v>
      </c>
      <c r="B5948" t="s">
        <v>99</v>
      </c>
      <c r="C5948" s="2">
        <v>45187</v>
      </c>
      <c r="D5948" t="s">
        <v>29</v>
      </c>
      <c r="E5948">
        <v>971</v>
      </c>
    </row>
    <row r="5949" spans="1:5" x14ac:dyDescent="0.55000000000000004">
      <c r="A5949" t="s">
        <v>6030</v>
      </c>
      <c r="B5949" t="s">
        <v>175</v>
      </c>
      <c r="C5949" s="2">
        <v>44317</v>
      </c>
      <c r="D5949" t="s">
        <v>29</v>
      </c>
      <c r="E5949">
        <v>831</v>
      </c>
    </row>
    <row r="5950" spans="1:5" x14ac:dyDescent="0.55000000000000004">
      <c r="A5950" t="s">
        <v>6031</v>
      </c>
      <c r="B5950" t="s">
        <v>115</v>
      </c>
      <c r="C5950" s="2">
        <v>44151</v>
      </c>
      <c r="D5950" t="s">
        <v>26</v>
      </c>
      <c r="E5950">
        <v>2580</v>
      </c>
    </row>
    <row r="5951" spans="1:5" x14ac:dyDescent="0.55000000000000004">
      <c r="A5951" t="s">
        <v>6032</v>
      </c>
      <c r="B5951" t="s">
        <v>118</v>
      </c>
      <c r="C5951" s="2">
        <v>45031</v>
      </c>
      <c r="D5951" t="s">
        <v>29</v>
      </c>
      <c r="E5951">
        <v>1264</v>
      </c>
    </row>
    <row r="5952" spans="1:5" x14ac:dyDescent="0.55000000000000004">
      <c r="A5952" t="s">
        <v>6033</v>
      </c>
      <c r="B5952" t="s">
        <v>151</v>
      </c>
      <c r="C5952" s="2">
        <v>42980</v>
      </c>
      <c r="D5952" t="s">
        <v>29</v>
      </c>
      <c r="E5952">
        <v>744</v>
      </c>
    </row>
    <row r="5953" spans="1:5" x14ac:dyDescent="0.55000000000000004">
      <c r="A5953" t="s">
        <v>6034</v>
      </c>
      <c r="B5953" t="s">
        <v>63</v>
      </c>
      <c r="C5953" s="2">
        <v>43172</v>
      </c>
      <c r="D5953" t="s">
        <v>26</v>
      </c>
      <c r="E5953">
        <v>187</v>
      </c>
    </row>
    <row r="5954" spans="1:5" x14ac:dyDescent="0.55000000000000004">
      <c r="A5954" t="s">
        <v>6035</v>
      </c>
      <c r="B5954" t="s">
        <v>105</v>
      </c>
      <c r="C5954" s="2">
        <v>43164</v>
      </c>
      <c r="D5954" t="s">
        <v>26</v>
      </c>
      <c r="E5954">
        <v>1441</v>
      </c>
    </row>
    <row r="5955" spans="1:5" x14ac:dyDescent="0.55000000000000004">
      <c r="A5955" t="s">
        <v>6036</v>
      </c>
      <c r="B5955" t="s">
        <v>175</v>
      </c>
      <c r="C5955" s="2">
        <v>43562</v>
      </c>
      <c r="D5955" t="s">
        <v>29</v>
      </c>
      <c r="E5955">
        <v>1991</v>
      </c>
    </row>
    <row r="5956" spans="1:5" x14ac:dyDescent="0.55000000000000004">
      <c r="A5956" t="s">
        <v>6037</v>
      </c>
      <c r="B5956" t="s">
        <v>137</v>
      </c>
      <c r="C5956" s="2">
        <v>45014</v>
      </c>
      <c r="D5956" t="s">
        <v>29</v>
      </c>
      <c r="E5956">
        <v>1158</v>
      </c>
    </row>
    <row r="5957" spans="1:5" x14ac:dyDescent="0.55000000000000004">
      <c r="A5957" t="s">
        <v>6038</v>
      </c>
      <c r="B5957" t="s">
        <v>23</v>
      </c>
      <c r="C5957" s="2">
        <v>44765</v>
      </c>
      <c r="D5957" t="s">
        <v>29</v>
      </c>
      <c r="E5957">
        <v>1965</v>
      </c>
    </row>
    <row r="5958" spans="1:5" x14ac:dyDescent="0.55000000000000004">
      <c r="A5958" t="s">
        <v>6039</v>
      </c>
      <c r="B5958" t="s">
        <v>14</v>
      </c>
      <c r="C5958" s="2">
        <v>44373</v>
      </c>
      <c r="D5958" t="s">
        <v>26</v>
      </c>
      <c r="E5958">
        <v>4</v>
      </c>
    </row>
    <row r="5959" spans="1:5" x14ac:dyDescent="0.55000000000000004">
      <c r="A5959" t="s">
        <v>6040</v>
      </c>
      <c r="B5959" t="s">
        <v>72</v>
      </c>
      <c r="C5959" s="2">
        <v>43778</v>
      </c>
      <c r="D5959" t="s">
        <v>29</v>
      </c>
      <c r="E5959">
        <v>1620</v>
      </c>
    </row>
    <row r="5960" spans="1:5" x14ac:dyDescent="0.55000000000000004">
      <c r="A5960" t="s">
        <v>6041</v>
      </c>
      <c r="B5960" t="s">
        <v>156</v>
      </c>
      <c r="C5960" s="2">
        <v>43550</v>
      </c>
      <c r="D5960" t="s">
        <v>29</v>
      </c>
      <c r="E5960">
        <v>2033</v>
      </c>
    </row>
    <row r="5961" spans="1:5" x14ac:dyDescent="0.55000000000000004">
      <c r="A5961" t="s">
        <v>6042</v>
      </c>
      <c r="B5961" t="s">
        <v>101</v>
      </c>
      <c r="C5961" s="2">
        <v>43526</v>
      </c>
      <c r="D5961" t="s">
        <v>29</v>
      </c>
      <c r="E5961">
        <v>2429</v>
      </c>
    </row>
    <row r="5962" spans="1:5" x14ac:dyDescent="0.55000000000000004">
      <c r="A5962" t="s">
        <v>6043</v>
      </c>
      <c r="B5962" t="s">
        <v>15</v>
      </c>
      <c r="C5962" s="2">
        <v>43550</v>
      </c>
      <c r="D5962" t="s">
        <v>26</v>
      </c>
      <c r="E5962">
        <v>1719</v>
      </c>
    </row>
    <row r="5963" spans="1:5" x14ac:dyDescent="0.55000000000000004">
      <c r="A5963" t="s">
        <v>6044</v>
      </c>
      <c r="B5963" t="s">
        <v>175</v>
      </c>
      <c r="C5963" s="2">
        <v>44290</v>
      </c>
      <c r="D5963" t="s">
        <v>29</v>
      </c>
      <c r="E5963">
        <v>1423</v>
      </c>
    </row>
    <row r="5964" spans="1:5" x14ac:dyDescent="0.55000000000000004">
      <c r="A5964" t="s">
        <v>6045</v>
      </c>
      <c r="B5964" t="s">
        <v>140</v>
      </c>
      <c r="C5964" s="2">
        <v>44331</v>
      </c>
      <c r="D5964" t="s">
        <v>26</v>
      </c>
      <c r="E5964">
        <v>1052</v>
      </c>
    </row>
    <row r="5965" spans="1:5" x14ac:dyDescent="0.55000000000000004">
      <c r="A5965" t="s">
        <v>6046</v>
      </c>
      <c r="B5965" t="s">
        <v>76</v>
      </c>
      <c r="C5965" s="2">
        <v>44820</v>
      </c>
      <c r="D5965" t="s">
        <v>26</v>
      </c>
      <c r="E5965">
        <v>94</v>
      </c>
    </row>
    <row r="5966" spans="1:5" x14ac:dyDescent="0.55000000000000004">
      <c r="A5966" t="s">
        <v>6047</v>
      </c>
      <c r="B5966" t="s">
        <v>140</v>
      </c>
      <c r="C5966" s="2">
        <v>43417</v>
      </c>
      <c r="D5966" t="s">
        <v>29</v>
      </c>
      <c r="E5966">
        <v>1289</v>
      </c>
    </row>
    <row r="5967" spans="1:5" x14ac:dyDescent="0.55000000000000004">
      <c r="A5967" t="s">
        <v>6048</v>
      </c>
      <c r="B5967" t="s">
        <v>41</v>
      </c>
      <c r="C5967" s="2">
        <v>44282</v>
      </c>
      <c r="D5967" t="s">
        <v>29</v>
      </c>
      <c r="E5967">
        <v>815</v>
      </c>
    </row>
    <row r="5968" spans="1:5" x14ac:dyDescent="0.55000000000000004">
      <c r="A5968" t="s">
        <v>6049</v>
      </c>
      <c r="B5968" t="s">
        <v>142</v>
      </c>
      <c r="C5968" s="2">
        <v>44122</v>
      </c>
      <c r="D5968" t="s">
        <v>29</v>
      </c>
      <c r="E5968">
        <v>1115</v>
      </c>
    </row>
    <row r="5969" spans="1:5" x14ac:dyDescent="0.55000000000000004">
      <c r="A5969" t="s">
        <v>6050</v>
      </c>
      <c r="B5969" t="s">
        <v>23</v>
      </c>
      <c r="C5969" s="2">
        <v>44704</v>
      </c>
      <c r="D5969" t="s">
        <v>26</v>
      </c>
      <c r="E5969">
        <v>1902</v>
      </c>
    </row>
    <row r="5970" spans="1:5" x14ac:dyDescent="0.55000000000000004">
      <c r="A5970" t="s">
        <v>6051</v>
      </c>
      <c r="B5970" t="s">
        <v>15</v>
      </c>
      <c r="C5970" s="2">
        <v>43078</v>
      </c>
      <c r="D5970" t="s">
        <v>26</v>
      </c>
      <c r="E5970">
        <v>2600</v>
      </c>
    </row>
    <row r="5971" spans="1:5" x14ac:dyDescent="0.55000000000000004">
      <c r="A5971" t="s">
        <v>6052</v>
      </c>
      <c r="B5971" t="s">
        <v>23</v>
      </c>
      <c r="C5971" s="2">
        <v>44564</v>
      </c>
      <c r="D5971" t="s">
        <v>26</v>
      </c>
      <c r="E5971">
        <v>2331</v>
      </c>
    </row>
    <row r="5972" spans="1:5" x14ac:dyDescent="0.55000000000000004">
      <c r="A5972" t="s">
        <v>6053</v>
      </c>
      <c r="B5972" t="s">
        <v>41</v>
      </c>
      <c r="C5972" s="2">
        <v>44609</v>
      </c>
      <c r="D5972" t="s">
        <v>26</v>
      </c>
      <c r="E5972">
        <v>1315</v>
      </c>
    </row>
    <row r="5973" spans="1:5" x14ac:dyDescent="0.55000000000000004">
      <c r="A5973" t="s">
        <v>6054</v>
      </c>
      <c r="B5973" t="s">
        <v>151</v>
      </c>
      <c r="C5973" s="2">
        <v>43018</v>
      </c>
      <c r="D5973" t="s">
        <v>29</v>
      </c>
      <c r="E5973">
        <v>2431</v>
      </c>
    </row>
    <row r="5974" spans="1:5" x14ac:dyDescent="0.55000000000000004">
      <c r="A5974" t="s">
        <v>6055</v>
      </c>
      <c r="B5974" t="s">
        <v>15</v>
      </c>
      <c r="C5974" s="2">
        <v>44389</v>
      </c>
      <c r="D5974" t="s">
        <v>26</v>
      </c>
      <c r="E5974">
        <v>734</v>
      </c>
    </row>
    <row r="5975" spans="1:5" x14ac:dyDescent="0.55000000000000004">
      <c r="A5975" t="s">
        <v>6056</v>
      </c>
      <c r="B5975" t="s">
        <v>86</v>
      </c>
      <c r="C5975" s="2">
        <v>43633</v>
      </c>
      <c r="D5975" t="s">
        <v>26</v>
      </c>
      <c r="E5975">
        <v>661</v>
      </c>
    </row>
    <row r="5976" spans="1:5" x14ac:dyDescent="0.55000000000000004">
      <c r="A5976" t="s">
        <v>6057</v>
      </c>
      <c r="B5976" t="s">
        <v>67</v>
      </c>
      <c r="C5976" s="2">
        <v>44125</v>
      </c>
      <c r="D5976" t="s">
        <v>29</v>
      </c>
      <c r="E5976">
        <v>1693</v>
      </c>
    </row>
    <row r="5977" spans="1:5" x14ac:dyDescent="0.55000000000000004">
      <c r="A5977" t="s">
        <v>6058</v>
      </c>
      <c r="B5977" t="s">
        <v>38</v>
      </c>
      <c r="C5977" s="2">
        <v>44253</v>
      </c>
      <c r="D5977" t="s">
        <v>29</v>
      </c>
      <c r="E5977">
        <v>1227</v>
      </c>
    </row>
    <row r="5978" spans="1:5" x14ac:dyDescent="0.55000000000000004">
      <c r="A5978" t="s">
        <v>6059</v>
      </c>
      <c r="B5978" t="s">
        <v>63</v>
      </c>
      <c r="C5978" s="2">
        <v>43077</v>
      </c>
      <c r="D5978" t="s">
        <v>29</v>
      </c>
      <c r="E5978">
        <v>2515</v>
      </c>
    </row>
    <row r="5979" spans="1:5" x14ac:dyDescent="0.55000000000000004">
      <c r="A5979" t="s">
        <v>6060</v>
      </c>
      <c r="B5979" t="s">
        <v>156</v>
      </c>
      <c r="C5979" s="2">
        <v>43991</v>
      </c>
      <c r="D5979" t="s">
        <v>29</v>
      </c>
      <c r="E5979">
        <v>2505</v>
      </c>
    </row>
    <row r="5980" spans="1:5" x14ac:dyDescent="0.55000000000000004">
      <c r="A5980" t="s">
        <v>6061</v>
      </c>
      <c r="B5980" t="s">
        <v>101</v>
      </c>
      <c r="C5980" s="2">
        <v>43631</v>
      </c>
      <c r="D5980" t="s">
        <v>29</v>
      </c>
      <c r="E5980">
        <v>1695</v>
      </c>
    </row>
    <row r="5981" spans="1:5" x14ac:dyDescent="0.55000000000000004">
      <c r="A5981" t="s">
        <v>6062</v>
      </c>
      <c r="B5981" t="s">
        <v>38</v>
      </c>
      <c r="C5981" s="2">
        <v>44721</v>
      </c>
      <c r="D5981" t="s">
        <v>26</v>
      </c>
      <c r="E5981">
        <v>1222</v>
      </c>
    </row>
    <row r="5982" spans="1:5" x14ac:dyDescent="0.55000000000000004">
      <c r="A5982" t="s">
        <v>6063</v>
      </c>
      <c r="B5982" t="s">
        <v>111</v>
      </c>
      <c r="C5982" s="2">
        <v>44460</v>
      </c>
      <c r="D5982" t="s">
        <v>29</v>
      </c>
      <c r="E5982">
        <v>1196</v>
      </c>
    </row>
    <row r="5983" spans="1:5" x14ac:dyDescent="0.55000000000000004">
      <c r="A5983" t="s">
        <v>6064</v>
      </c>
      <c r="B5983" t="s">
        <v>78</v>
      </c>
      <c r="C5983" s="2">
        <v>44372</v>
      </c>
      <c r="D5983" t="s">
        <v>29</v>
      </c>
      <c r="E5983">
        <v>2904</v>
      </c>
    </row>
    <row r="5984" spans="1:5" x14ac:dyDescent="0.55000000000000004">
      <c r="A5984" t="s">
        <v>6065</v>
      </c>
      <c r="B5984" t="s">
        <v>84</v>
      </c>
      <c r="C5984" s="2">
        <v>44525</v>
      </c>
      <c r="D5984" t="s">
        <v>26</v>
      </c>
      <c r="E5984">
        <v>1250</v>
      </c>
    </row>
    <row r="5985" spans="1:5" x14ac:dyDescent="0.55000000000000004">
      <c r="A5985" t="s">
        <v>6066</v>
      </c>
      <c r="B5985" t="s">
        <v>32</v>
      </c>
      <c r="C5985" s="2">
        <v>44079</v>
      </c>
      <c r="D5985" t="s">
        <v>29</v>
      </c>
      <c r="E5985">
        <v>2332</v>
      </c>
    </row>
    <row r="5986" spans="1:5" x14ac:dyDescent="0.55000000000000004">
      <c r="A5986" t="s">
        <v>6067</v>
      </c>
      <c r="B5986" t="s">
        <v>32</v>
      </c>
      <c r="C5986" s="2">
        <v>44331</v>
      </c>
      <c r="D5986" t="s">
        <v>26</v>
      </c>
      <c r="E5986">
        <v>2890</v>
      </c>
    </row>
    <row r="5987" spans="1:5" x14ac:dyDescent="0.55000000000000004">
      <c r="A5987" t="s">
        <v>6068</v>
      </c>
      <c r="B5987" t="s">
        <v>76</v>
      </c>
      <c r="C5987" s="2">
        <v>44524</v>
      </c>
      <c r="D5987" t="s">
        <v>29</v>
      </c>
      <c r="E5987">
        <v>2368</v>
      </c>
    </row>
    <row r="5988" spans="1:5" x14ac:dyDescent="0.55000000000000004">
      <c r="A5988" t="s">
        <v>6069</v>
      </c>
      <c r="B5988" t="s">
        <v>15</v>
      </c>
      <c r="C5988" s="2">
        <v>43500</v>
      </c>
      <c r="D5988" t="s">
        <v>26</v>
      </c>
      <c r="E5988">
        <v>2354</v>
      </c>
    </row>
    <row r="5989" spans="1:5" x14ac:dyDescent="0.55000000000000004">
      <c r="A5989" t="s">
        <v>6070</v>
      </c>
      <c r="B5989" t="s">
        <v>94</v>
      </c>
      <c r="C5989" s="2">
        <v>44570</v>
      </c>
      <c r="D5989" t="s">
        <v>29</v>
      </c>
      <c r="E5989">
        <v>1080</v>
      </c>
    </row>
    <row r="5990" spans="1:5" x14ac:dyDescent="0.55000000000000004">
      <c r="A5990" t="s">
        <v>6071</v>
      </c>
      <c r="B5990" t="s">
        <v>14</v>
      </c>
      <c r="C5990" s="2">
        <v>43993</v>
      </c>
      <c r="D5990" t="s">
        <v>26</v>
      </c>
      <c r="E5990">
        <v>598</v>
      </c>
    </row>
    <row r="5991" spans="1:5" x14ac:dyDescent="0.55000000000000004">
      <c r="A5991" t="s">
        <v>6072</v>
      </c>
      <c r="B5991" t="s">
        <v>63</v>
      </c>
      <c r="C5991" s="2">
        <v>43014</v>
      </c>
      <c r="D5991" t="s">
        <v>29</v>
      </c>
      <c r="E5991">
        <v>2050</v>
      </c>
    </row>
    <row r="5992" spans="1:5" x14ac:dyDescent="0.55000000000000004">
      <c r="A5992" t="s">
        <v>6073</v>
      </c>
      <c r="B5992" t="s">
        <v>140</v>
      </c>
      <c r="C5992" s="2">
        <v>43179</v>
      </c>
      <c r="D5992" t="s">
        <v>29</v>
      </c>
      <c r="E5992">
        <v>2963</v>
      </c>
    </row>
    <row r="5993" spans="1:5" x14ac:dyDescent="0.55000000000000004">
      <c r="A5993" t="s">
        <v>6074</v>
      </c>
      <c r="B5993" t="s">
        <v>151</v>
      </c>
      <c r="C5993" s="2">
        <v>44095</v>
      </c>
      <c r="D5993" t="s">
        <v>29</v>
      </c>
      <c r="E5993">
        <v>408</v>
      </c>
    </row>
    <row r="5994" spans="1:5" x14ac:dyDescent="0.55000000000000004">
      <c r="A5994" t="s">
        <v>6075</v>
      </c>
      <c r="B5994" t="s">
        <v>63</v>
      </c>
      <c r="C5994" s="2">
        <v>43239</v>
      </c>
      <c r="D5994" t="s">
        <v>26</v>
      </c>
      <c r="E5994">
        <v>32</v>
      </c>
    </row>
    <row r="5995" spans="1:5" x14ac:dyDescent="0.55000000000000004">
      <c r="A5995" t="s">
        <v>6076</v>
      </c>
      <c r="B5995" t="s">
        <v>94</v>
      </c>
      <c r="C5995" s="2">
        <v>45804</v>
      </c>
      <c r="D5995" t="s">
        <v>29</v>
      </c>
      <c r="E5995">
        <v>528</v>
      </c>
    </row>
    <row r="5996" spans="1:5" x14ac:dyDescent="0.55000000000000004">
      <c r="A5996" t="s">
        <v>6077</v>
      </c>
      <c r="B5996" t="s">
        <v>142</v>
      </c>
      <c r="C5996" s="2">
        <v>44332</v>
      </c>
      <c r="D5996" t="s">
        <v>26</v>
      </c>
      <c r="E5996">
        <v>471</v>
      </c>
    </row>
    <row r="5997" spans="1:5" x14ac:dyDescent="0.55000000000000004">
      <c r="A5997" t="s">
        <v>6078</v>
      </c>
      <c r="B5997" t="s">
        <v>76</v>
      </c>
      <c r="C5997" s="2">
        <v>45426</v>
      </c>
      <c r="D5997" t="s">
        <v>26</v>
      </c>
      <c r="E5997">
        <v>1961</v>
      </c>
    </row>
    <row r="5998" spans="1:5" x14ac:dyDescent="0.55000000000000004">
      <c r="A5998" t="s">
        <v>6079</v>
      </c>
      <c r="B5998" t="s">
        <v>111</v>
      </c>
      <c r="C5998" s="2">
        <v>43534</v>
      </c>
      <c r="D5998" t="s">
        <v>29</v>
      </c>
      <c r="E5998">
        <v>789</v>
      </c>
    </row>
    <row r="5999" spans="1:5" x14ac:dyDescent="0.55000000000000004">
      <c r="A5999" t="s">
        <v>6080</v>
      </c>
      <c r="B5999" t="s">
        <v>156</v>
      </c>
      <c r="C5999" s="2">
        <v>44207</v>
      </c>
      <c r="D5999" t="s">
        <v>29</v>
      </c>
      <c r="E5999">
        <v>1517</v>
      </c>
    </row>
    <row r="6000" spans="1:5" x14ac:dyDescent="0.55000000000000004">
      <c r="A6000" t="s">
        <v>6081</v>
      </c>
      <c r="B6000" t="s">
        <v>111</v>
      </c>
      <c r="C6000" s="2">
        <v>43884</v>
      </c>
      <c r="D6000" t="s">
        <v>26</v>
      </c>
      <c r="E6000">
        <v>514</v>
      </c>
    </row>
    <row r="6001" spans="1:5" x14ac:dyDescent="0.55000000000000004">
      <c r="A6001" t="s">
        <v>6082</v>
      </c>
      <c r="B6001" t="s">
        <v>142</v>
      </c>
      <c r="C6001" s="2">
        <v>43417</v>
      </c>
      <c r="D6001" t="s">
        <v>26</v>
      </c>
      <c r="E6001">
        <v>175</v>
      </c>
    </row>
    <row r="6002" spans="1:5" x14ac:dyDescent="0.55000000000000004">
      <c r="A6002" t="s">
        <v>6083</v>
      </c>
      <c r="B6002" t="s">
        <v>156</v>
      </c>
      <c r="C6002" s="2">
        <v>43486</v>
      </c>
      <c r="D6002" t="s">
        <v>29</v>
      </c>
      <c r="E6002">
        <v>1246</v>
      </c>
    </row>
    <row r="6003" spans="1:5" x14ac:dyDescent="0.55000000000000004">
      <c r="A6003" t="s">
        <v>6084</v>
      </c>
      <c r="B6003" t="s">
        <v>101</v>
      </c>
      <c r="C6003" s="2">
        <v>43048</v>
      </c>
      <c r="D6003" t="s">
        <v>26</v>
      </c>
      <c r="E6003">
        <v>2963</v>
      </c>
    </row>
    <row r="6004" spans="1:5" x14ac:dyDescent="0.55000000000000004">
      <c r="A6004" t="s">
        <v>6085</v>
      </c>
      <c r="B6004" t="s">
        <v>32</v>
      </c>
      <c r="C6004" s="2">
        <v>44288</v>
      </c>
      <c r="D6004" t="s">
        <v>26</v>
      </c>
      <c r="E6004">
        <v>112</v>
      </c>
    </row>
    <row r="6005" spans="1:5" x14ac:dyDescent="0.55000000000000004">
      <c r="A6005" t="s">
        <v>6086</v>
      </c>
      <c r="B6005" t="s">
        <v>72</v>
      </c>
      <c r="C6005" s="2">
        <v>44426</v>
      </c>
      <c r="D6005" t="s">
        <v>29</v>
      </c>
      <c r="E6005">
        <v>436</v>
      </c>
    </row>
    <row r="6006" spans="1:5" x14ac:dyDescent="0.55000000000000004">
      <c r="A6006" t="s">
        <v>6087</v>
      </c>
      <c r="B6006" t="s">
        <v>72</v>
      </c>
      <c r="C6006" s="2">
        <v>44511</v>
      </c>
      <c r="D6006" t="s">
        <v>26</v>
      </c>
      <c r="E6006">
        <v>835</v>
      </c>
    </row>
    <row r="6007" spans="1:5" x14ac:dyDescent="0.55000000000000004">
      <c r="A6007" t="s">
        <v>6088</v>
      </c>
      <c r="B6007" t="s">
        <v>78</v>
      </c>
      <c r="C6007" s="2">
        <v>45356</v>
      </c>
      <c r="D6007" t="s">
        <v>29</v>
      </c>
      <c r="E6007">
        <v>1611</v>
      </c>
    </row>
    <row r="6008" spans="1:5" x14ac:dyDescent="0.55000000000000004">
      <c r="A6008" t="s">
        <v>6089</v>
      </c>
      <c r="B6008" t="s">
        <v>76</v>
      </c>
      <c r="C6008" s="2">
        <v>44925</v>
      </c>
      <c r="D6008" t="s">
        <v>29</v>
      </c>
      <c r="E6008">
        <v>779</v>
      </c>
    </row>
    <row r="6009" spans="1:5" x14ac:dyDescent="0.55000000000000004">
      <c r="A6009" t="s">
        <v>6090</v>
      </c>
      <c r="B6009" t="s">
        <v>111</v>
      </c>
      <c r="C6009" s="2">
        <v>44109</v>
      </c>
      <c r="D6009" t="s">
        <v>29</v>
      </c>
      <c r="E6009">
        <v>2572</v>
      </c>
    </row>
    <row r="6010" spans="1:5" x14ac:dyDescent="0.55000000000000004">
      <c r="A6010" t="s">
        <v>6091</v>
      </c>
      <c r="B6010" t="s">
        <v>38</v>
      </c>
      <c r="C6010" s="2">
        <v>44796</v>
      </c>
      <c r="D6010" t="s">
        <v>26</v>
      </c>
      <c r="E6010">
        <v>2274</v>
      </c>
    </row>
    <row r="6011" spans="1:5" x14ac:dyDescent="0.55000000000000004">
      <c r="A6011" t="s">
        <v>6092</v>
      </c>
      <c r="B6011" t="s">
        <v>140</v>
      </c>
      <c r="C6011" s="2">
        <v>43078</v>
      </c>
      <c r="D6011" t="s">
        <v>26</v>
      </c>
      <c r="E6011">
        <v>281</v>
      </c>
    </row>
    <row r="6012" spans="1:5" x14ac:dyDescent="0.55000000000000004">
      <c r="A6012" t="s">
        <v>6093</v>
      </c>
      <c r="B6012" t="s">
        <v>84</v>
      </c>
      <c r="C6012" s="2">
        <v>44362</v>
      </c>
      <c r="D6012" t="s">
        <v>29</v>
      </c>
      <c r="E6012">
        <v>2263</v>
      </c>
    </row>
    <row r="6013" spans="1:5" x14ac:dyDescent="0.55000000000000004">
      <c r="A6013" t="s">
        <v>6094</v>
      </c>
      <c r="B6013" t="s">
        <v>156</v>
      </c>
      <c r="C6013" s="2">
        <v>43304</v>
      </c>
      <c r="D6013" t="s">
        <v>29</v>
      </c>
      <c r="E6013">
        <v>2849</v>
      </c>
    </row>
    <row r="6014" spans="1:5" x14ac:dyDescent="0.55000000000000004">
      <c r="A6014" t="s">
        <v>6095</v>
      </c>
      <c r="B6014" t="s">
        <v>111</v>
      </c>
      <c r="C6014" s="2">
        <v>43729</v>
      </c>
      <c r="D6014" t="s">
        <v>29</v>
      </c>
      <c r="E6014">
        <v>906</v>
      </c>
    </row>
    <row r="6015" spans="1:5" x14ac:dyDescent="0.55000000000000004">
      <c r="A6015" t="s">
        <v>6096</v>
      </c>
      <c r="B6015" t="s">
        <v>74</v>
      </c>
      <c r="C6015" s="2">
        <v>43065</v>
      </c>
      <c r="D6015" t="s">
        <v>26</v>
      </c>
      <c r="E6015">
        <v>2220</v>
      </c>
    </row>
    <row r="6016" spans="1:5" x14ac:dyDescent="0.55000000000000004">
      <c r="A6016" t="s">
        <v>6097</v>
      </c>
      <c r="B6016" t="s">
        <v>99</v>
      </c>
      <c r="C6016" s="2">
        <v>44985</v>
      </c>
      <c r="D6016" t="s">
        <v>26</v>
      </c>
      <c r="E6016">
        <v>838</v>
      </c>
    </row>
    <row r="6017" spans="1:5" x14ac:dyDescent="0.55000000000000004">
      <c r="A6017" t="s">
        <v>6098</v>
      </c>
      <c r="B6017" t="s">
        <v>156</v>
      </c>
      <c r="C6017" s="2">
        <v>43292</v>
      </c>
      <c r="D6017" t="s">
        <v>26</v>
      </c>
      <c r="E6017">
        <v>1668</v>
      </c>
    </row>
    <row r="6018" spans="1:5" x14ac:dyDescent="0.55000000000000004">
      <c r="A6018" t="s">
        <v>6099</v>
      </c>
      <c r="B6018" t="s">
        <v>105</v>
      </c>
      <c r="C6018" s="2">
        <v>44290</v>
      </c>
      <c r="D6018" t="s">
        <v>26</v>
      </c>
      <c r="E6018">
        <v>137</v>
      </c>
    </row>
    <row r="6019" spans="1:5" x14ac:dyDescent="0.55000000000000004">
      <c r="A6019" t="s">
        <v>6100</v>
      </c>
      <c r="B6019" t="s">
        <v>76</v>
      </c>
      <c r="C6019" s="2">
        <v>44484</v>
      </c>
      <c r="D6019" t="s">
        <v>26</v>
      </c>
      <c r="E6019">
        <v>1269</v>
      </c>
    </row>
    <row r="6020" spans="1:5" x14ac:dyDescent="0.55000000000000004">
      <c r="A6020" t="s">
        <v>6101</v>
      </c>
      <c r="B6020" t="s">
        <v>15</v>
      </c>
      <c r="C6020" s="2">
        <v>43516</v>
      </c>
      <c r="D6020" t="s">
        <v>26</v>
      </c>
      <c r="E6020">
        <v>1085</v>
      </c>
    </row>
    <row r="6021" spans="1:5" x14ac:dyDescent="0.55000000000000004">
      <c r="A6021" t="s">
        <v>6102</v>
      </c>
      <c r="B6021" t="s">
        <v>140</v>
      </c>
      <c r="C6021" s="2">
        <v>43342</v>
      </c>
      <c r="D6021" t="s">
        <v>26</v>
      </c>
      <c r="E6021">
        <v>76</v>
      </c>
    </row>
    <row r="6022" spans="1:5" x14ac:dyDescent="0.55000000000000004">
      <c r="A6022" t="s">
        <v>6103</v>
      </c>
      <c r="B6022" t="s">
        <v>156</v>
      </c>
      <c r="C6022" s="2">
        <v>43392</v>
      </c>
      <c r="D6022" t="s">
        <v>29</v>
      </c>
      <c r="E6022">
        <v>2925</v>
      </c>
    </row>
    <row r="6023" spans="1:5" x14ac:dyDescent="0.55000000000000004">
      <c r="A6023" t="s">
        <v>6104</v>
      </c>
      <c r="B6023" t="s">
        <v>23</v>
      </c>
      <c r="C6023" s="2">
        <v>44682</v>
      </c>
      <c r="D6023" t="s">
        <v>29</v>
      </c>
      <c r="E6023">
        <v>2212</v>
      </c>
    </row>
    <row r="6024" spans="1:5" x14ac:dyDescent="0.55000000000000004">
      <c r="A6024" t="s">
        <v>6105</v>
      </c>
      <c r="B6024" t="s">
        <v>175</v>
      </c>
      <c r="C6024" s="2">
        <v>43580</v>
      </c>
      <c r="D6024" t="s">
        <v>26</v>
      </c>
      <c r="E6024">
        <v>2261</v>
      </c>
    </row>
    <row r="6025" spans="1:5" x14ac:dyDescent="0.55000000000000004">
      <c r="A6025" t="s">
        <v>6106</v>
      </c>
      <c r="B6025" t="s">
        <v>137</v>
      </c>
      <c r="C6025" s="2">
        <v>44751</v>
      </c>
      <c r="D6025" t="s">
        <v>26</v>
      </c>
      <c r="E6025">
        <v>2330</v>
      </c>
    </row>
    <row r="6026" spans="1:5" x14ac:dyDescent="0.55000000000000004">
      <c r="A6026" t="s">
        <v>6107</v>
      </c>
      <c r="B6026" t="s">
        <v>76</v>
      </c>
      <c r="C6026" s="2">
        <v>44615</v>
      </c>
      <c r="D6026" t="s">
        <v>29</v>
      </c>
      <c r="E6026">
        <v>2386</v>
      </c>
    </row>
    <row r="6027" spans="1:5" x14ac:dyDescent="0.55000000000000004">
      <c r="A6027" t="s">
        <v>6108</v>
      </c>
      <c r="B6027" t="s">
        <v>142</v>
      </c>
      <c r="C6027" s="2">
        <v>43230</v>
      </c>
      <c r="D6027" t="s">
        <v>26</v>
      </c>
      <c r="E6027">
        <v>2648</v>
      </c>
    </row>
    <row r="6028" spans="1:5" x14ac:dyDescent="0.55000000000000004">
      <c r="A6028" t="s">
        <v>6109</v>
      </c>
      <c r="B6028" t="s">
        <v>38</v>
      </c>
      <c r="C6028" s="2">
        <v>44828</v>
      </c>
      <c r="D6028" t="s">
        <v>29</v>
      </c>
      <c r="E6028">
        <v>1171</v>
      </c>
    </row>
    <row r="6029" spans="1:5" x14ac:dyDescent="0.55000000000000004">
      <c r="A6029" t="s">
        <v>6110</v>
      </c>
      <c r="B6029" t="s">
        <v>74</v>
      </c>
      <c r="C6029" s="2">
        <v>43870</v>
      </c>
      <c r="D6029" t="s">
        <v>29</v>
      </c>
      <c r="E6029">
        <v>771</v>
      </c>
    </row>
    <row r="6030" spans="1:5" x14ac:dyDescent="0.55000000000000004">
      <c r="A6030" t="s">
        <v>6111</v>
      </c>
      <c r="B6030" t="s">
        <v>142</v>
      </c>
      <c r="C6030" s="2">
        <v>43535</v>
      </c>
      <c r="D6030" t="s">
        <v>26</v>
      </c>
      <c r="E6030">
        <v>1304</v>
      </c>
    </row>
    <row r="6031" spans="1:5" x14ac:dyDescent="0.55000000000000004">
      <c r="A6031" t="s">
        <v>6112</v>
      </c>
      <c r="B6031" t="s">
        <v>142</v>
      </c>
      <c r="C6031" s="2">
        <v>43234</v>
      </c>
      <c r="D6031" t="s">
        <v>26</v>
      </c>
      <c r="E6031">
        <v>2197</v>
      </c>
    </row>
    <row r="6032" spans="1:5" x14ac:dyDescent="0.55000000000000004">
      <c r="A6032" t="s">
        <v>6113</v>
      </c>
      <c r="B6032" t="s">
        <v>137</v>
      </c>
      <c r="C6032" s="2">
        <v>44967</v>
      </c>
      <c r="D6032" t="s">
        <v>26</v>
      </c>
      <c r="E6032">
        <v>669</v>
      </c>
    </row>
    <row r="6033" spans="1:5" x14ac:dyDescent="0.55000000000000004">
      <c r="A6033" t="s">
        <v>6114</v>
      </c>
      <c r="B6033" t="s">
        <v>105</v>
      </c>
      <c r="C6033" s="2">
        <v>44062</v>
      </c>
      <c r="D6033" t="s">
        <v>29</v>
      </c>
      <c r="E6033">
        <v>1729</v>
      </c>
    </row>
    <row r="6034" spans="1:5" x14ac:dyDescent="0.55000000000000004">
      <c r="A6034" t="s">
        <v>6115</v>
      </c>
      <c r="B6034" t="s">
        <v>101</v>
      </c>
      <c r="C6034" s="2">
        <v>43609</v>
      </c>
      <c r="D6034" t="s">
        <v>26</v>
      </c>
      <c r="E6034">
        <v>1836</v>
      </c>
    </row>
    <row r="6035" spans="1:5" x14ac:dyDescent="0.55000000000000004">
      <c r="A6035" t="s">
        <v>6116</v>
      </c>
      <c r="B6035" t="s">
        <v>118</v>
      </c>
      <c r="C6035" s="2">
        <v>44845</v>
      </c>
      <c r="D6035" t="s">
        <v>26</v>
      </c>
      <c r="E6035">
        <v>814</v>
      </c>
    </row>
    <row r="6036" spans="1:5" x14ac:dyDescent="0.55000000000000004">
      <c r="A6036" t="s">
        <v>6117</v>
      </c>
      <c r="B6036" t="s">
        <v>151</v>
      </c>
      <c r="C6036" s="2">
        <v>43190</v>
      </c>
      <c r="D6036" t="s">
        <v>26</v>
      </c>
      <c r="E6036">
        <v>2554</v>
      </c>
    </row>
    <row r="6037" spans="1:5" x14ac:dyDescent="0.55000000000000004">
      <c r="A6037" t="s">
        <v>6118</v>
      </c>
      <c r="B6037" t="s">
        <v>137</v>
      </c>
      <c r="C6037" s="2">
        <v>44423</v>
      </c>
      <c r="D6037" t="s">
        <v>26</v>
      </c>
      <c r="E6037">
        <v>558</v>
      </c>
    </row>
    <row r="6038" spans="1:5" x14ac:dyDescent="0.55000000000000004">
      <c r="A6038" t="s">
        <v>6119</v>
      </c>
      <c r="B6038" t="s">
        <v>14</v>
      </c>
      <c r="C6038" s="2">
        <v>43192</v>
      </c>
      <c r="D6038" t="s">
        <v>29</v>
      </c>
      <c r="E6038">
        <v>1643</v>
      </c>
    </row>
    <row r="6039" spans="1:5" x14ac:dyDescent="0.55000000000000004">
      <c r="A6039" t="s">
        <v>6120</v>
      </c>
      <c r="B6039" t="s">
        <v>23</v>
      </c>
      <c r="C6039" s="2">
        <v>44051</v>
      </c>
      <c r="D6039" t="s">
        <v>26</v>
      </c>
      <c r="E6039">
        <v>837</v>
      </c>
    </row>
    <row r="6040" spans="1:5" x14ac:dyDescent="0.55000000000000004">
      <c r="A6040" t="s">
        <v>6121</v>
      </c>
      <c r="B6040" t="s">
        <v>94</v>
      </c>
      <c r="C6040" s="2">
        <v>43506</v>
      </c>
      <c r="D6040" t="s">
        <v>26</v>
      </c>
      <c r="E6040">
        <v>89</v>
      </c>
    </row>
    <row r="6041" spans="1:5" x14ac:dyDescent="0.55000000000000004">
      <c r="A6041" t="s">
        <v>6122</v>
      </c>
      <c r="B6041" t="s">
        <v>63</v>
      </c>
      <c r="C6041" s="2">
        <v>43321</v>
      </c>
      <c r="D6041" t="s">
        <v>29</v>
      </c>
      <c r="E6041">
        <v>1672</v>
      </c>
    </row>
    <row r="6042" spans="1:5" x14ac:dyDescent="0.55000000000000004">
      <c r="A6042" t="s">
        <v>6123</v>
      </c>
      <c r="B6042" t="s">
        <v>15</v>
      </c>
      <c r="C6042" s="2">
        <v>43820</v>
      </c>
      <c r="D6042" t="s">
        <v>26</v>
      </c>
      <c r="E6042">
        <v>2835</v>
      </c>
    </row>
    <row r="6043" spans="1:5" x14ac:dyDescent="0.55000000000000004">
      <c r="A6043" t="s">
        <v>6124</v>
      </c>
      <c r="B6043" t="s">
        <v>115</v>
      </c>
      <c r="C6043" s="2">
        <v>44289</v>
      </c>
      <c r="D6043" t="s">
        <v>29</v>
      </c>
      <c r="E6043">
        <v>1868</v>
      </c>
    </row>
    <row r="6044" spans="1:5" x14ac:dyDescent="0.55000000000000004">
      <c r="A6044" t="s">
        <v>6125</v>
      </c>
      <c r="B6044" t="s">
        <v>86</v>
      </c>
      <c r="C6044" s="2">
        <v>42938</v>
      </c>
      <c r="D6044" t="s">
        <v>29</v>
      </c>
      <c r="E6044">
        <v>1748</v>
      </c>
    </row>
    <row r="6045" spans="1:5" x14ac:dyDescent="0.55000000000000004">
      <c r="A6045" t="s">
        <v>6126</v>
      </c>
      <c r="B6045" t="s">
        <v>72</v>
      </c>
      <c r="C6045" s="2">
        <v>44506</v>
      </c>
      <c r="D6045" t="s">
        <v>29</v>
      </c>
      <c r="E6045">
        <v>2497</v>
      </c>
    </row>
    <row r="6046" spans="1:5" x14ac:dyDescent="0.55000000000000004">
      <c r="A6046" t="s">
        <v>6127</v>
      </c>
      <c r="B6046" t="s">
        <v>32</v>
      </c>
      <c r="C6046" s="2">
        <v>44542</v>
      </c>
      <c r="D6046" t="s">
        <v>29</v>
      </c>
      <c r="E6046">
        <v>1020</v>
      </c>
    </row>
    <row r="6047" spans="1:5" x14ac:dyDescent="0.55000000000000004">
      <c r="A6047" t="s">
        <v>6128</v>
      </c>
      <c r="B6047" t="s">
        <v>94</v>
      </c>
      <c r="C6047" s="2">
        <v>43698</v>
      </c>
      <c r="D6047" t="s">
        <v>26</v>
      </c>
      <c r="E6047">
        <v>1138</v>
      </c>
    </row>
    <row r="6048" spans="1:5" x14ac:dyDescent="0.55000000000000004">
      <c r="A6048" t="s">
        <v>6129</v>
      </c>
      <c r="B6048" t="s">
        <v>35</v>
      </c>
      <c r="C6048" s="2">
        <v>44589</v>
      </c>
      <c r="D6048" t="s">
        <v>26</v>
      </c>
      <c r="E6048">
        <v>229</v>
      </c>
    </row>
    <row r="6049" spans="1:5" x14ac:dyDescent="0.55000000000000004">
      <c r="A6049" t="s">
        <v>6130</v>
      </c>
      <c r="B6049" t="s">
        <v>74</v>
      </c>
      <c r="C6049" s="2">
        <v>43271</v>
      </c>
      <c r="D6049" t="s">
        <v>26</v>
      </c>
      <c r="E6049">
        <v>2382</v>
      </c>
    </row>
    <row r="6050" spans="1:5" x14ac:dyDescent="0.55000000000000004">
      <c r="A6050" t="s">
        <v>6131</v>
      </c>
      <c r="B6050" t="s">
        <v>99</v>
      </c>
      <c r="C6050" s="2">
        <v>44524</v>
      </c>
      <c r="D6050" t="s">
        <v>29</v>
      </c>
      <c r="E6050">
        <v>698</v>
      </c>
    </row>
    <row r="6051" spans="1:5" x14ac:dyDescent="0.55000000000000004">
      <c r="A6051" t="s">
        <v>6132</v>
      </c>
      <c r="B6051" t="s">
        <v>63</v>
      </c>
      <c r="C6051" s="2">
        <v>42976</v>
      </c>
      <c r="D6051" t="s">
        <v>26</v>
      </c>
      <c r="E6051">
        <v>1109</v>
      </c>
    </row>
    <row r="6052" spans="1:5" x14ac:dyDescent="0.55000000000000004">
      <c r="A6052" t="s">
        <v>6133</v>
      </c>
      <c r="B6052" t="s">
        <v>41</v>
      </c>
      <c r="C6052" s="2">
        <v>44100</v>
      </c>
      <c r="D6052" t="s">
        <v>26</v>
      </c>
      <c r="E6052">
        <v>520</v>
      </c>
    </row>
    <row r="6053" spans="1:5" x14ac:dyDescent="0.55000000000000004">
      <c r="A6053" t="s">
        <v>6134</v>
      </c>
      <c r="B6053" t="s">
        <v>99</v>
      </c>
      <c r="C6053" s="2">
        <v>44678</v>
      </c>
      <c r="D6053" t="s">
        <v>29</v>
      </c>
      <c r="E6053">
        <v>278</v>
      </c>
    </row>
    <row r="6054" spans="1:5" x14ac:dyDescent="0.55000000000000004">
      <c r="A6054" t="s">
        <v>6135</v>
      </c>
      <c r="B6054" t="s">
        <v>137</v>
      </c>
      <c r="C6054" s="2">
        <v>43533</v>
      </c>
      <c r="D6054" t="s">
        <v>26</v>
      </c>
      <c r="E6054">
        <v>1860</v>
      </c>
    </row>
    <row r="6055" spans="1:5" x14ac:dyDescent="0.55000000000000004">
      <c r="A6055" t="s">
        <v>6136</v>
      </c>
      <c r="B6055" t="s">
        <v>41</v>
      </c>
      <c r="C6055" s="2">
        <v>44164</v>
      </c>
      <c r="D6055" t="s">
        <v>26</v>
      </c>
      <c r="E6055">
        <v>2711</v>
      </c>
    </row>
    <row r="6056" spans="1:5" x14ac:dyDescent="0.55000000000000004">
      <c r="A6056" t="s">
        <v>6137</v>
      </c>
      <c r="B6056" t="s">
        <v>137</v>
      </c>
      <c r="C6056" s="2">
        <v>44008</v>
      </c>
      <c r="D6056" t="s">
        <v>29</v>
      </c>
      <c r="E6056">
        <v>213</v>
      </c>
    </row>
    <row r="6057" spans="1:5" x14ac:dyDescent="0.55000000000000004">
      <c r="A6057" t="s">
        <v>6138</v>
      </c>
      <c r="B6057" t="s">
        <v>94</v>
      </c>
      <c r="C6057" s="2">
        <v>44995</v>
      </c>
      <c r="D6057" t="s">
        <v>26</v>
      </c>
      <c r="E6057">
        <v>1799</v>
      </c>
    </row>
    <row r="6058" spans="1:5" x14ac:dyDescent="0.55000000000000004">
      <c r="A6058" t="s">
        <v>6139</v>
      </c>
      <c r="B6058" t="s">
        <v>175</v>
      </c>
      <c r="C6058" s="2">
        <v>45160</v>
      </c>
      <c r="D6058" t="s">
        <v>29</v>
      </c>
      <c r="E6058">
        <v>2705</v>
      </c>
    </row>
    <row r="6059" spans="1:5" x14ac:dyDescent="0.55000000000000004">
      <c r="A6059" t="s">
        <v>6140</v>
      </c>
      <c r="B6059" t="s">
        <v>94</v>
      </c>
      <c r="C6059" s="2">
        <v>45704</v>
      </c>
      <c r="D6059" t="s">
        <v>29</v>
      </c>
      <c r="E6059">
        <v>2988</v>
      </c>
    </row>
    <row r="6060" spans="1:5" x14ac:dyDescent="0.55000000000000004">
      <c r="A6060" t="s">
        <v>6141</v>
      </c>
      <c r="B6060" t="s">
        <v>118</v>
      </c>
      <c r="C6060" s="2">
        <v>43882</v>
      </c>
      <c r="D6060" t="s">
        <v>29</v>
      </c>
      <c r="E6060">
        <v>2630</v>
      </c>
    </row>
    <row r="6061" spans="1:5" x14ac:dyDescent="0.55000000000000004">
      <c r="A6061" t="s">
        <v>6142</v>
      </c>
      <c r="B6061" t="s">
        <v>35</v>
      </c>
      <c r="C6061" s="2">
        <v>44845</v>
      </c>
      <c r="D6061" t="s">
        <v>29</v>
      </c>
      <c r="E6061">
        <v>1066</v>
      </c>
    </row>
    <row r="6062" spans="1:5" x14ac:dyDescent="0.55000000000000004">
      <c r="A6062" t="s">
        <v>6143</v>
      </c>
      <c r="B6062" t="s">
        <v>140</v>
      </c>
      <c r="C6062" s="2">
        <v>43133</v>
      </c>
      <c r="D6062" t="s">
        <v>26</v>
      </c>
      <c r="E6062">
        <v>1080</v>
      </c>
    </row>
    <row r="6063" spans="1:5" x14ac:dyDescent="0.55000000000000004">
      <c r="A6063" t="s">
        <v>6144</v>
      </c>
      <c r="B6063" t="s">
        <v>142</v>
      </c>
      <c r="C6063" s="2">
        <v>43708</v>
      </c>
      <c r="D6063" t="s">
        <v>29</v>
      </c>
      <c r="E6063">
        <v>2620</v>
      </c>
    </row>
    <row r="6064" spans="1:5" x14ac:dyDescent="0.55000000000000004">
      <c r="A6064" t="s">
        <v>6145</v>
      </c>
      <c r="B6064" t="s">
        <v>99</v>
      </c>
      <c r="C6064" s="2">
        <v>44397</v>
      </c>
      <c r="D6064" t="s">
        <v>29</v>
      </c>
      <c r="E6064">
        <v>631</v>
      </c>
    </row>
    <row r="6065" spans="1:5" x14ac:dyDescent="0.55000000000000004">
      <c r="A6065" t="s">
        <v>6146</v>
      </c>
      <c r="B6065" t="s">
        <v>137</v>
      </c>
      <c r="C6065" s="2">
        <v>45387</v>
      </c>
      <c r="D6065" t="s">
        <v>26</v>
      </c>
      <c r="E6065">
        <v>1390</v>
      </c>
    </row>
    <row r="6066" spans="1:5" x14ac:dyDescent="0.55000000000000004">
      <c r="A6066" t="s">
        <v>6147</v>
      </c>
      <c r="B6066" t="s">
        <v>67</v>
      </c>
      <c r="C6066" s="2">
        <v>43728</v>
      </c>
      <c r="D6066" t="s">
        <v>26</v>
      </c>
      <c r="E6066">
        <v>637</v>
      </c>
    </row>
    <row r="6067" spans="1:5" x14ac:dyDescent="0.55000000000000004">
      <c r="A6067" t="s">
        <v>6148</v>
      </c>
      <c r="B6067" t="s">
        <v>111</v>
      </c>
      <c r="C6067" s="2">
        <v>44143</v>
      </c>
      <c r="D6067" t="s">
        <v>26</v>
      </c>
      <c r="E6067">
        <v>2395</v>
      </c>
    </row>
    <row r="6068" spans="1:5" x14ac:dyDescent="0.55000000000000004">
      <c r="A6068" t="s">
        <v>6149</v>
      </c>
      <c r="B6068" t="s">
        <v>137</v>
      </c>
      <c r="C6068" s="2">
        <v>44871</v>
      </c>
      <c r="D6068" t="s">
        <v>29</v>
      </c>
      <c r="E6068">
        <v>1614</v>
      </c>
    </row>
    <row r="6069" spans="1:5" x14ac:dyDescent="0.55000000000000004">
      <c r="A6069" t="s">
        <v>6150</v>
      </c>
      <c r="B6069" t="s">
        <v>118</v>
      </c>
      <c r="C6069" s="2">
        <v>45652</v>
      </c>
      <c r="D6069" t="s">
        <v>29</v>
      </c>
      <c r="E6069">
        <v>2918</v>
      </c>
    </row>
    <row r="6070" spans="1:5" x14ac:dyDescent="0.55000000000000004">
      <c r="A6070" t="s">
        <v>6151</v>
      </c>
      <c r="B6070" t="s">
        <v>84</v>
      </c>
      <c r="C6070" s="2">
        <v>43955</v>
      </c>
      <c r="D6070" t="s">
        <v>26</v>
      </c>
      <c r="E6070">
        <v>1013</v>
      </c>
    </row>
    <row r="6071" spans="1:5" x14ac:dyDescent="0.55000000000000004">
      <c r="A6071" t="s">
        <v>6152</v>
      </c>
      <c r="B6071" t="s">
        <v>96</v>
      </c>
      <c r="C6071" s="2">
        <v>44486</v>
      </c>
      <c r="D6071" t="s">
        <v>26</v>
      </c>
      <c r="E6071">
        <v>1848</v>
      </c>
    </row>
    <row r="6072" spans="1:5" x14ac:dyDescent="0.55000000000000004">
      <c r="A6072" t="s">
        <v>6153</v>
      </c>
      <c r="B6072" t="s">
        <v>23</v>
      </c>
      <c r="C6072" s="2">
        <v>43987</v>
      </c>
      <c r="D6072" t="s">
        <v>26</v>
      </c>
      <c r="E6072">
        <v>408</v>
      </c>
    </row>
    <row r="6073" spans="1:5" x14ac:dyDescent="0.55000000000000004">
      <c r="A6073" t="s">
        <v>6154</v>
      </c>
      <c r="B6073" t="s">
        <v>72</v>
      </c>
      <c r="C6073" s="2">
        <v>43090</v>
      </c>
      <c r="D6073" t="s">
        <v>26</v>
      </c>
      <c r="E6073">
        <v>193</v>
      </c>
    </row>
    <row r="6074" spans="1:5" x14ac:dyDescent="0.55000000000000004">
      <c r="A6074" t="s">
        <v>6155</v>
      </c>
      <c r="B6074" t="s">
        <v>115</v>
      </c>
      <c r="C6074" s="2">
        <v>44004</v>
      </c>
      <c r="D6074" t="s">
        <v>29</v>
      </c>
      <c r="E6074">
        <v>2103</v>
      </c>
    </row>
    <row r="6075" spans="1:5" x14ac:dyDescent="0.55000000000000004">
      <c r="A6075" t="s">
        <v>6156</v>
      </c>
      <c r="B6075" t="s">
        <v>142</v>
      </c>
      <c r="C6075" s="2">
        <v>43399</v>
      </c>
      <c r="D6075" t="s">
        <v>29</v>
      </c>
      <c r="E6075">
        <v>2819</v>
      </c>
    </row>
    <row r="6076" spans="1:5" x14ac:dyDescent="0.55000000000000004">
      <c r="A6076" t="s">
        <v>6157</v>
      </c>
      <c r="B6076" t="s">
        <v>99</v>
      </c>
      <c r="C6076" s="2">
        <v>45169</v>
      </c>
      <c r="D6076" t="s">
        <v>26</v>
      </c>
      <c r="E6076">
        <v>2742</v>
      </c>
    </row>
    <row r="6077" spans="1:5" x14ac:dyDescent="0.55000000000000004">
      <c r="A6077" t="s">
        <v>6158</v>
      </c>
      <c r="B6077" t="s">
        <v>94</v>
      </c>
      <c r="C6077" s="2">
        <v>43768</v>
      </c>
      <c r="D6077" t="s">
        <v>29</v>
      </c>
      <c r="E6077">
        <v>202</v>
      </c>
    </row>
    <row r="6078" spans="1:5" x14ac:dyDescent="0.55000000000000004">
      <c r="A6078" t="s">
        <v>6159</v>
      </c>
      <c r="B6078" t="s">
        <v>76</v>
      </c>
      <c r="C6078" s="2">
        <v>45451</v>
      </c>
      <c r="D6078" t="s">
        <v>29</v>
      </c>
      <c r="E6078">
        <v>2840</v>
      </c>
    </row>
    <row r="6079" spans="1:5" x14ac:dyDescent="0.55000000000000004">
      <c r="A6079" t="s">
        <v>6160</v>
      </c>
      <c r="B6079" t="s">
        <v>142</v>
      </c>
      <c r="C6079" s="2">
        <v>44551</v>
      </c>
      <c r="D6079" t="s">
        <v>26</v>
      </c>
      <c r="E6079">
        <v>2450</v>
      </c>
    </row>
    <row r="6080" spans="1:5" x14ac:dyDescent="0.55000000000000004">
      <c r="A6080" t="s">
        <v>6161</v>
      </c>
      <c r="B6080" t="s">
        <v>72</v>
      </c>
      <c r="C6080" s="2">
        <v>43638</v>
      </c>
      <c r="D6080" t="s">
        <v>26</v>
      </c>
      <c r="E6080">
        <v>2407</v>
      </c>
    </row>
    <row r="6081" spans="1:5" x14ac:dyDescent="0.55000000000000004">
      <c r="A6081" t="s">
        <v>6162</v>
      </c>
      <c r="B6081" t="s">
        <v>32</v>
      </c>
      <c r="C6081" s="2">
        <v>44346</v>
      </c>
      <c r="D6081" t="s">
        <v>29</v>
      </c>
      <c r="E6081">
        <v>729</v>
      </c>
    </row>
    <row r="6082" spans="1:5" x14ac:dyDescent="0.55000000000000004">
      <c r="A6082" t="s">
        <v>6163</v>
      </c>
      <c r="B6082" t="s">
        <v>32</v>
      </c>
      <c r="C6082" s="2">
        <v>44482</v>
      </c>
      <c r="D6082" t="s">
        <v>26</v>
      </c>
      <c r="E6082">
        <v>2023</v>
      </c>
    </row>
    <row r="6083" spans="1:5" x14ac:dyDescent="0.55000000000000004">
      <c r="A6083" t="s">
        <v>6164</v>
      </c>
      <c r="B6083" t="s">
        <v>115</v>
      </c>
      <c r="C6083" s="2">
        <v>43270</v>
      </c>
      <c r="D6083" t="s">
        <v>26</v>
      </c>
      <c r="E6083">
        <v>582</v>
      </c>
    </row>
    <row r="6084" spans="1:5" x14ac:dyDescent="0.55000000000000004">
      <c r="A6084" t="s">
        <v>6165</v>
      </c>
      <c r="B6084" t="s">
        <v>94</v>
      </c>
      <c r="C6084" s="2">
        <v>45482</v>
      </c>
      <c r="D6084" t="s">
        <v>29</v>
      </c>
      <c r="E6084">
        <v>1042</v>
      </c>
    </row>
    <row r="6085" spans="1:5" x14ac:dyDescent="0.55000000000000004">
      <c r="A6085" t="s">
        <v>6166</v>
      </c>
      <c r="B6085" t="s">
        <v>63</v>
      </c>
      <c r="C6085" s="2">
        <v>43368</v>
      </c>
      <c r="D6085" t="s">
        <v>29</v>
      </c>
      <c r="E6085">
        <v>744</v>
      </c>
    </row>
    <row r="6086" spans="1:5" x14ac:dyDescent="0.55000000000000004">
      <c r="A6086" t="s">
        <v>6167</v>
      </c>
      <c r="B6086" t="s">
        <v>105</v>
      </c>
      <c r="C6086" s="2">
        <v>42960</v>
      </c>
      <c r="D6086" t="s">
        <v>29</v>
      </c>
      <c r="E6086">
        <v>1184</v>
      </c>
    </row>
    <row r="6087" spans="1:5" x14ac:dyDescent="0.55000000000000004">
      <c r="A6087" t="s">
        <v>6168</v>
      </c>
      <c r="B6087" t="s">
        <v>72</v>
      </c>
      <c r="C6087" s="2">
        <v>43212</v>
      </c>
      <c r="D6087" t="s">
        <v>26</v>
      </c>
      <c r="E6087">
        <v>1538</v>
      </c>
    </row>
    <row r="6088" spans="1:5" x14ac:dyDescent="0.55000000000000004">
      <c r="A6088" t="s">
        <v>6169</v>
      </c>
      <c r="B6088" t="s">
        <v>105</v>
      </c>
      <c r="C6088" s="2">
        <v>43688</v>
      </c>
      <c r="D6088" t="s">
        <v>29</v>
      </c>
      <c r="E6088">
        <v>2806</v>
      </c>
    </row>
    <row r="6089" spans="1:5" x14ac:dyDescent="0.55000000000000004">
      <c r="A6089" t="s">
        <v>6170</v>
      </c>
      <c r="B6089" t="s">
        <v>137</v>
      </c>
      <c r="C6089" s="2">
        <v>44533</v>
      </c>
      <c r="D6089" t="s">
        <v>29</v>
      </c>
      <c r="E6089">
        <v>787</v>
      </c>
    </row>
    <row r="6090" spans="1:5" x14ac:dyDescent="0.55000000000000004">
      <c r="A6090" t="s">
        <v>6171</v>
      </c>
      <c r="B6090" t="s">
        <v>151</v>
      </c>
      <c r="C6090" s="2">
        <v>44432</v>
      </c>
      <c r="D6090" t="s">
        <v>26</v>
      </c>
      <c r="E6090">
        <v>2835</v>
      </c>
    </row>
    <row r="6091" spans="1:5" x14ac:dyDescent="0.55000000000000004">
      <c r="A6091" t="s">
        <v>6172</v>
      </c>
      <c r="B6091" t="s">
        <v>99</v>
      </c>
      <c r="C6091" s="2">
        <v>44266</v>
      </c>
      <c r="D6091" t="s">
        <v>26</v>
      </c>
      <c r="E6091">
        <v>1187</v>
      </c>
    </row>
    <row r="6092" spans="1:5" x14ac:dyDescent="0.55000000000000004">
      <c r="A6092" t="s">
        <v>6173</v>
      </c>
      <c r="B6092" t="s">
        <v>156</v>
      </c>
      <c r="C6092" s="2">
        <v>43535</v>
      </c>
      <c r="D6092" t="s">
        <v>29</v>
      </c>
      <c r="E6092">
        <v>75</v>
      </c>
    </row>
    <row r="6093" spans="1:5" x14ac:dyDescent="0.55000000000000004">
      <c r="A6093" t="s">
        <v>6174</v>
      </c>
      <c r="B6093" t="s">
        <v>156</v>
      </c>
      <c r="C6093" s="2">
        <v>43945</v>
      </c>
      <c r="D6093" t="s">
        <v>29</v>
      </c>
      <c r="E6093">
        <v>2083</v>
      </c>
    </row>
    <row r="6094" spans="1:5" x14ac:dyDescent="0.55000000000000004">
      <c r="A6094" t="s">
        <v>6175</v>
      </c>
      <c r="B6094" t="s">
        <v>32</v>
      </c>
      <c r="C6094" s="2">
        <v>44508</v>
      </c>
      <c r="D6094" t="s">
        <v>26</v>
      </c>
      <c r="E6094">
        <v>1109</v>
      </c>
    </row>
    <row r="6095" spans="1:5" x14ac:dyDescent="0.55000000000000004">
      <c r="A6095" t="s">
        <v>6176</v>
      </c>
      <c r="B6095" t="s">
        <v>15</v>
      </c>
      <c r="C6095" s="2">
        <v>42959</v>
      </c>
      <c r="D6095" t="s">
        <v>26</v>
      </c>
      <c r="E6095">
        <v>42</v>
      </c>
    </row>
    <row r="6096" spans="1:5" x14ac:dyDescent="0.55000000000000004">
      <c r="A6096" t="s">
        <v>6177</v>
      </c>
      <c r="B6096" t="s">
        <v>76</v>
      </c>
      <c r="C6096" s="2">
        <v>44998</v>
      </c>
      <c r="D6096" t="s">
        <v>29</v>
      </c>
      <c r="E6096">
        <v>2078</v>
      </c>
    </row>
    <row r="6097" spans="1:5" x14ac:dyDescent="0.55000000000000004">
      <c r="A6097" t="s">
        <v>6178</v>
      </c>
      <c r="B6097" t="s">
        <v>38</v>
      </c>
      <c r="C6097" s="2">
        <v>44546</v>
      </c>
      <c r="D6097" t="s">
        <v>26</v>
      </c>
      <c r="E6097">
        <v>2507</v>
      </c>
    </row>
    <row r="6098" spans="1:5" x14ac:dyDescent="0.55000000000000004">
      <c r="A6098" t="s">
        <v>6179</v>
      </c>
      <c r="B6098" t="s">
        <v>118</v>
      </c>
      <c r="C6098" s="2">
        <v>44748</v>
      </c>
      <c r="D6098" t="s">
        <v>26</v>
      </c>
      <c r="E6098">
        <v>2792</v>
      </c>
    </row>
    <row r="6099" spans="1:5" x14ac:dyDescent="0.55000000000000004">
      <c r="A6099" t="s">
        <v>6180</v>
      </c>
      <c r="B6099" t="s">
        <v>15</v>
      </c>
      <c r="C6099" s="2">
        <v>43934</v>
      </c>
      <c r="D6099" t="s">
        <v>29</v>
      </c>
      <c r="E6099">
        <v>2555</v>
      </c>
    </row>
    <row r="6100" spans="1:5" x14ac:dyDescent="0.55000000000000004">
      <c r="A6100" t="s">
        <v>6181</v>
      </c>
      <c r="B6100" t="s">
        <v>41</v>
      </c>
      <c r="C6100" s="2">
        <v>44203</v>
      </c>
      <c r="D6100" t="s">
        <v>29</v>
      </c>
      <c r="E6100">
        <v>1749</v>
      </c>
    </row>
    <row r="6101" spans="1:5" x14ac:dyDescent="0.55000000000000004">
      <c r="A6101" t="s">
        <v>6182</v>
      </c>
      <c r="B6101" t="s">
        <v>35</v>
      </c>
      <c r="C6101" s="2">
        <v>44259</v>
      </c>
      <c r="D6101" t="s">
        <v>26</v>
      </c>
      <c r="E6101">
        <v>2448</v>
      </c>
    </row>
    <row r="6102" spans="1:5" x14ac:dyDescent="0.55000000000000004">
      <c r="A6102" t="s">
        <v>6183</v>
      </c>
      <c r="B6102" t="s">
        <v>78</v>
      </c>
      <c r="C6102" s="2">
        <v>44762</v>
      </c>
      <c r="D6102" t="s">
        <v>29</v>
      </c>
      <c r="E6102">
        <v>955</v>
      </c>
    </row>
    <row r="6103" spans="1:5" x14ac:dyDescent="0.55000000000000004">
      <c r="A6103" t="s">
        <v>6184</v>
      </c>
      <c r="B6103" t="s">
        <v>84</v>
      </c>
      <c r="C6103" s="2">
        <v>43295</v>
      </c>
      <c r="D6103" t="s">
        <v>29</v>
      </c>
      <c r="E6103">
        <v>2039</v>
      </c>
    </row>
    <row r="6104" spans="1:5" x14ac:dyDescent="0.55000000000000004">
      <c r="A6104" t="s">
        <v>6185</v>
      </c>
      <c r="B6104" t="s">
        <v>96</v>
      </c>
      <c r="C6104" s="2">
        <v>44772</v>
      </c>
      <c r="D6104" t="s">
        <v>26</v>
      </c>
      <c r="E6104">
        <v>655</v>
      </c>
    </row>
    <row r="6105" spans="1:5" x14ac:dyDescent="0.55000000000000004">
      <c r="A6105" t="s">
        <v>6186</v>
      </c>
      <c r="B6105" t="s">
        <v>86</v>
      </c>
      <c r="C6105" s="2">
        <v>44078</v>
      </c>
      <c r="D6105" t="s">
        <v>26</v>
      </c>
      <c r="E6105">
        <v>71</v>
      </c>
    </row>
    <row r="6106" spans="1:5" x14ac:dyDescent="0.55000000000000004">
      <c r="A6106" t="s">
        <v>6187</v>
      </c>
      <c r="B6106" t="s">
        <v>140</v>
      </c>
      <c r="C6106" s="2">
        <v>43081</v>
      </c>
      <c r="D6106" t="s">
        <v>29</v>
      </c>
      <c r="E6106">
        <v>1430</v>
      </c>
    </row>
    <row r="6107" spans="1:5" x14ac:dyDescent="0.55000000000000004">
      <c r="A6107" t="s">
        <v>6188</v>
      </c>
      <c r="B6107" t="s">
        <v>99</v>
      </c>
      <c r="C6107" s="2">
        <v>43808</v>
      </c>
      <c r="D6107" t="s">
        <v>26</v>
      </c>
      <c r="E6107">
        <v>2476</v>
      </c>
    </row>
    <row r="6108" spans="1:5" x14ac:dyDescent="0.55000000000000004">
      <c r="A6108" t="s">
        <v>6189</v>
      </c>
      <c r="B6108" t="s">
        <v>72</v>
      </c>
      <c r="C6108" s="2">
        <v>42973</v>
      </c>
      <c r="D6108" t="s">
        <v>29</v>
      </c>
      <c r="E6108">
        <v>2345</v>
      </c>
    </row>
    <row r="6109" spans="1:5" x14ac:dyDescent="0.55000000000000004">
      <c r="A6109" t="s">
        <v>6190</v>
      </c>
      <c r="B6109" t="s">
        <v>78</v>
      </c>
      <c r="C6109" s="2">
        <v>44111</v>
      </c>
      <c r="D6109" t="s">
        <v>26</v>
      </c>
      <c r="E6109">
        <v>2426</v>
      </c>
    </row>
    <row r="6110" spans="1:5" x14ac:dyDescent="0.55000000000000004">
      <c r="A6110" t="s">
        <v>6191</v>
      </c>
      <c r="B6110" t="s">
        <v>156</v>
      </c>
      <c r="C6110" s="2">
        <v>43156</v>
      </c>
      <c r="D6110" t="s">
        <v>26</v>
      </c>
      <c r="E6110">
        <v>1321</v>
      </c>
    </row>
    <row r="6111" spans="1:5" x14ac:dyDescent="0.55000000000000004">
      <c r="A6111" t="s">
        <v>6192</v>
      </c>
      <c r="B6111" t="s">
        <v>76</v>
      </c>
      <c r="C6111" s="2">
        <v>45147</v>
      </c>
      <c r="D6111" t="s">
        <v>26</v>
      </c>
      <c r="E6111">
        <v>172</v>
      </c>
    </row>
    <row r="6112" spans="1:5" x14ac:dyDescent="0.55000000000000004">
      <c r="A6112" t="s">
        <v>6193</v>
      </c>
      <c r="B6112" t="s">
        <v>72</v>
      </c>
      <c r="C6112" s="2">
        <v>44128</v>
      </c>
      <c r="D6112" t="s">
        <v>29</v>
      </c>
      <c r="E6112">
        <v>1293</v>
      </c>
    </row>
    <row r="6113" spans="1:5" x14ac:dyDescent="0.55000000000000004">
      <c r="A6113" t="s">
        <v>6194</v>
      </c>
      <c r="B6113" t="s">
        <v>118</v>
      </c>
      <c r="C6113" s="2">
        <v>45113</v>
      </c>
      <c r="D6113" t="s">
        <v>26</v>
      </c>
      <c r="E6113">
        <v>1785</v>
      </c>
    </row>
    <row r="6114" spans="1:5" x14ac:dyDescent="0.55000000000000004">
      <c r="A6114" t="s">
        <v>6195</v>
      </c>
      <c r="B6114" t="s">
        <v>63</v>
      </c>
      <c r="C6114" s="2">
        <v>43865</v>
      </c>
      <c r="D6114" t="s">
        <v>26</v>
      </c>
      <c r="E6114">
        <v>2645</v>
      </c>
    </row>
    <row r="6115" spans="1:5" x14ac:dyDescent="0.55000000000000004">
      <c r="A6115" t="s">
        <v>6196</v>
      </c>
      <c r="B6115" t="s">
        <v>140</v>
      </c>
      <c r="C6115" s="2">
        <v>43269</v>
      </c>
      <c r="D6115" t="s">
        <v>29</v>
      </c>
      <c r="E6115">
        <v>2720</v>
      </c>
    </row>
    <row r="6116" spans="1:5" x14ac:dyDescent="0.55000000000000004">
      <c r="A6116" t="s">
        <v>6197</v>
      </c>
      <c r="B6116" t="s">
        <v>118</v>
      </c>
      <c r="C6116" s="2">
        <v>44202</v>
      </c>
      <c r="D6116" t="s">
        <v>26</v>
      </c>
      <c r="E6116">
        <v>1767</v>
      </c>
    </row>
    <row r="6117" spans="1:5" x14ac:dyDescent="0.55000000000000004">
      <c r="A6117" t="s">
        <v>6198</v>
      </c>
      <c r="B6117" t="s">
        <v>101</v>
      </c>
      <c r="C6117" s="2">
        <v>43072</v>
      </c>
      <c r="D6117" t="s">
        <v>29</v>
      </c>
      <c r="E6117">
        <v>2716</v>
      </c>
    </row>
    <row r="6118" spans="1:5" x14ac:dyDescent="0.55000000000000004">
      <c r="A6118" t="s">
        <v>6199</v>
      </c>
      <c r="B6118" t="s">
        <v>84</v>
      </c>
      <c r="C6118" s="2">
        <v>44193</v>
      </c>
      <c r="D6118" t="s">
        <v>26</v>
      </c>
      <c r="E6118">
        <v>2647</v>
      </c>
    </row>
    <row r="6119" spans="1:5" x14ac:dyDescent="0.55000000000000004">
      <c r="A6119" t="s">
        <v>6200</v>
      </c>
      <c r="B6119" t="s">
        <v>38</v>
      </c>
      <c r="C6119" s="2">
        <v>44526</v>
      </c>
      <c r="D6119" t="s">
        <v>26</v>
      </c>
      <c r="E6119">
        <v>796</v>
      </c>
    </row>
    <row r="6120" spans="1:5" x14ac:dyDescent="0.55000000000000004">
      <c r="A6120" t="s">
        <v>6201</v>
      </c>
      <c r="B6120" t="s">
        <v>151</v>
      </c>
      <c r="C6120" s="2">
        <v>44399</v>
      </c>
      <c r="D6120" t="s">
        <v>26</v>
      </c>
      <c r="E6120">
        <v>913</v>
      </c>
    </row>
    <row r="6121" spans="1:5" x14ac:dyDescent="0.55000000000000004">
      <c r="A6121" t="s">
        <v>6202</v>
      </c>
      <c r="B6121" t="s">
        <v>35</v>
      </c>
      <c r="C6121" s="2">
        <v>43913</v>
      </c>
      <c r="D6121" t="s">
        <v>26</v>
      </c>
      <c r="E6121">
        <v>1116</v>
      </c>
    </row>
    <row r="6122" spans="1:5" x14ac:dyDescent="0.55000000000000004">
      <c r="A6122" t="s">
        <v>6203</v>
      </c>
      <c r="B6122" t="s">
        <v>23</v>
      </c>
      <c r="C6122" s="2">
        <v>44925</v>
      </c>
      <c r="D6122" t="s">
        <v>26</v>
      </c>
      <c r="E6122">
        <v>2885</v>
      </c>
    </row>
    <row r="6123" spans="1:5" x14ac:dyDescent="0.55000000000000004">
      <c r="A6123" t="s">
        <v>6204</v>
      </c>
      <c r="B6123" t="s">
        <v>76</v>
      </c>
      <c r="C6123" s="2">
        <v>44109</v>
      </c>
      <c r="D6123" t="s">
        <v>26</v>
      </c>
      <c r="E6123">
        <v>2631</v>
      </c>
    </row>
    <row r="6124" spans="1:5" x14ac:dyDescent="0.55000000000000004">
      <c r="A6124" t="s">
        <v>6205</v>
      </c>
      <c r="B6124" t="s">
        <v>74</v>
      </c>
      <c r="C6124" s="2">
        <v>43279</v>
      </c>
      <c r="D6124" t="s">
        <v>26</v>
      </c>
      <c r="E6124">
        <v>386</v>
      </c>
    </row>
    <row r="6125" spans="1:5" x14ac:dyDescent="0.55000000000000004">
      <c r="A6125" t="s">
        <v>6206</v>
      </c>
      <c r="B6125" t="s">
        <v>175</v>
      </c>
      <c r="C6125" s="2">
        <v>44174</v>
      </c>
      <c r="D6125" t="s">
        <v>26</v>
      </c>
      <c r="E6125">
        <v>1524</v>
      </c>
    </row>
    <row r="6126" spans="1:5" x14ac:dyDescent="0.55000000000000004">
      <c r="A6126" t="s">
        <v>6207</v>
      </c>
      <c r="B6126" t="s">
        <v>78</v>
      </c>
      <c r="C6126" s="2">
        <v>44678</v>
      </c>
      <c r="D6126" t="s">
        <v>26</v>
      </c>
      <c r="E6126">
        <v>2913</v>
      </c>
    </row>
    <row r="6127" spans="1:5" x14ac:dyDescent="0.55000000000000004">
      <c r="A6127" t="s">
        <v>6208</v>
      </c>
      <c r="B6127" t="s">
        <v>86</v>
      </c>
      <c r="C6127" s="2">
        <v>44019</v>
      </c>
      <c r="D6127" t="s">
        <v>26</v>
      </c>
      <c r="E6127">
        <v>1783</v>
      </c>
    </row>
    <row r="6128" spans="1:5" x14ac:dyDescent="0.55000000000000004">
      <c r="A6128" t="s">
        <v>6209</v>
      </c>
      <c r="B6128" t="s">
        <v>99</v>
      </c>
      <c r="C6128" s="2">
        <v>45174</v>
      </c>
      <c r="D6128" t="s">
        <v>29</v>
      </c>
      <c r="E6128">
        <v>1644</v>
      </c>
    </row>
    <row r="6129" spans="1:5" x14ac:dyDescent="0.55000000000000004">
      <c r="A6129" t="s">
        <v>6210</v>
      </c>
      <c r="B6129" t="s">
        <v>156</v>
      </c>
      <c r="C6129" s="2">
        <v>42934</v>
      </c>
      <c r="D6129" t="s">
        <v>26</v>
      </c>
      <c r="E6129">
        <v>2387</v>
      </c>
    </row>
    <row r="6130" spans="1:5" x14ac:dyDescent="0.55000000000000004">
      <c r="A6130" t="s">
        <v>6211</v>
      </c>
      <c r="B6130" t="s">
        <v>115</v>
      </c>
      <c r="C6130" s="2">
        <v>44004</v>
      </c>
      <c r="D6130" t="s">
        <v>29</v>
      </c>
      <c r="E6130">
        <v>1073</v>
      </c>
    </row>
    <row r="6131" spans="1:5" x14ac:dyDescent="0.55000000000000004">
      <c r="A6131" t="s">
        <v>6212</v>
      </c>
      <c r="B6131" t="s">
        <v>99</v>
      </c>
      <c r="C6131" s="2">
        <v>45666</v>
      </c>
      <c r="D6131" t="s">
        <v>26</v>
      </c>
      <c r="E6131">
        <v>1595</v>
      </c>
    </row>
    <row r="6132" spans="1:5" x14ac:dyDescent="0.55000000000000004">
      <c r="A6132" t="s">
        <v>6213</v>
      </c>
      <c r="B6132" t="s">
        <v>156</v>
      </c>
      <c r="C6132" s="2">
        <v>43542</v>
      </c>
      <c r="D6132" t="s">
        <v>26</v>
      </c>
      <c r="E6132">
        <v>2759</v>
      </c>
    </row>
    <row r="6133" spans="1:5" x14ac:dyDescent="0.55000000000000004">
      <c r="A6133" t="s">
        <v>6214</v>
      </c>
      <c r="B6133" t="s">
        <v>14</v>
      </c>
      <c r="C6133" s="2">
        <v>43004</v>
      </c>
      <c r="D6133" t="s">
        <v>29</v>
      </c>
      <c r="E6133">
        <v>727</v>
      </c>
    </row>
    <row r="6134" spans="1:5" x14ac:dyDescent="0.55000000000000004">
      <c r="A6134" t="s">
        <v>6215</v>
      </c>
      <c r="B6134" t="s">
        <v>23</v>
      </c>
      <c r="C6134" s="2">
        <v>44860</v>
      </c>
      <c r="D6134" t="s">
        <v>29</v>
      </c>
      <c r="E6134">
        <v>1811</v>
      </c>
    </row>
    <row r="6135" spans="1:5" x14ac:dyDescent="0.55000000000000004">
      <c r="A6135" t="s">
        <v>6216</v>
      </c>
      <c r="B6135" t="s">
        <v>35</v>
      </c>
      <c r="C6135" s="2">
        <v>44905</v>
      </c>
      <c r="D6135" t="s">
        <v>29</v>
      </c>
      <c r="E6135">
        <v>1001</v>
      </c>
    </row>
    <row r="6136" spans="1:5" x14ac:dyDescent="0.55000000000000004">
      <c r="A6136" t="s">
        <v>6217</v>
      </c>
      <c r="B6136" t="s">
        <v>175</v>
      </c>
      <c r="C6136" s="2">
        <v>44750</v>
      </c>
      <c r="D6136" t="s">
        <v>29</v>
      </c>
      <c r="E6136">
        <v>1588</v>
      </c>
    </row>
    <row r="6137" spans="1:5" x14ac:dyDescent="0.55000000000000004">
      <c r="A6137" t="s">
        <v>6218</v>
      </c>
      <c r="B6137" t="s">
        <v>35</v>
      </c>
      <c r="C6137" s="2">
        <v>44653</v>
      </c>
      <c r="D6137" t="s">
        <v>29</v>
      </c>
      <c r="E6137">
        <v>1635</v>
      </c>
    </row>
    <row r="6138" spans="1:5" x14ac:dyDescent="0.55000000000000004">
      <c r="A6138" t="s">
        <v>6219</v>
      </c>
      <c r="B6138" t="s">
        <v>78</v>
      </c>
      <c r="C6138" s="2">
        <v>44739</v>
      </c>
      <c r="D6138" t="s">
        <v>26</v>
      </c>
      <c r="E6138">
        <v>2440</v>
      </c>
    </row>
    <row r="6139" spans="1:5" x14ac:dyDescent="0.55000000000000004">
      <c r="A6139" t="s">
        <v>6220</v>
      </c>
      <c r="B6139" t="s">
        <v>140</v>
      </c>
      <c r="C6139" s="2">
        <v>44400</v>
      </c>
      <c r="D6139" t="s">
        <v>26</v>
      </c>
      <c r="E6139">
        <v>891</v>
      </c>
    </row>
    <row r="6140" spans="1:5" x14ac:dyDescent="0.55000000000000004">
      <c r="A6140" t="s">
        <v>6221</v>
      </c>
      <c r="B6140" t="s">
        <v>156</v>
      </c>
      <c r="C6140" s="2">
        <v>44265</v>
      </c>
      <c r="D6140" t="s">
        <v>26</v>
      </c>
      <c r="E6140">
        <v>457</v>
      </c>
    </row>
    <row r="6141" spans="1:5" x14ac:dyDescent="0.55000000000000004">
      <c r="A6141" t="s">
        <v>6222</v>
      </c>
      <c r="B6141" t="s">
        <v>32</v>
      </c>
      <c r="C6141" s="2">
        <v>44119</v>
      </c>
      <c r="D6141" t="s">
        <v>29</v>
      </c>
      <c r="E6141">
        <v>593</v>
      </c>
    </row>
    <row r="6142" spans="1:5" x14ac:dyDescent="0.55000000000000004">
      <c r="A6142" t="s">
        <v>6223</v>
      </c>
      <c r="B6142" t="s">
        <v>105</v>
      </c>
      <c r="C6142" s="2">
        <v>43070</v>
      </c>
      <c r="D6142" t="s">
        <v>26</v>
      </c>
      <c r="E6142">
        <v>749</v>
      </c>
    </row>
    <row r="6143" spans="1:5" x14ac:dyDescent="0.55000000000000004">
      <c r="A6143" t="s">
        <v>6224</v>
      </c>
      <c r="B6143" t="s">
        <v>14</v>
      </c>
      <c r="C6143" s="2">
        <v>43542</v>
      </c>
      <c r="D6143" t="s">
        <v>26</v>
      </c>
      <c r="E6143">
        <v>186</v>
      </c>
    </row>
    <row r="6144" spans="1:5" x14ac:dyDescent="0.55000000000000004">
      <c r="A6144" t="s">
        <v>6225</v>
      </c>
      <c r="B6144" t="s">
        <v>156</v>
      </c>
      <c r="C6144" s="2">
        <v>43251</v>
      </c>
      <c r="D6144" t="s">
        <v>29</v>
      </c>
      <c r="E6144">
        <v>2178</v>
      </c>
    </row>
    <row r="6145" spans="1:5" x14ac:dyDescent="0.55000000000000004">
      <c r="A6145" t="s">
        <v>6226</v>
      </c>
      <c r="B6145" t="s">
        <v>151</v>
      </c>
      <c r="C6145" s="2">
        <v>44546</v>
      </c>
      <c r="D6145" t="s">
        <v>26</v>
      </c>
      <c r="E6145">
        <v>1152</v>
      </c>
    </row>
    <row r="6146" spans="1:5" x14ac:dyDescent="0.55000000000000004">
      <c r="A6146" t="s">
        <v>6227</v>
      </c>
      <c r="B6146" t="s">
        <v>78</v>
      </c>
      <c r="C6146" s="2">
        <v>45455</v>
      </c>
      <c r="D6146" t="s">
        <v>26</v>
      </c>
      <c r="E6146">
        <v>368</v>
      </c>
    </row>
    <row r="6147" spans="1:5" x14ac:dyDescent="0.55000000000000004">
      <c r="A6147" t="s">
        <v>6228</v>
      </c>
      <c r="B6147" t="s">
        <v>96</v>
      </c>
      <c r="C6147" s="2">
        <v>45294</v>
      </c>
      <c r="D6147" t="s">
        <v>26</v>
      </c>
      <c r="E6147">
        <v>1664</v>
      </c>
    </row>
    <row r="6148" spans="1:5" x14ac:dyDescent="0.55000000000000004">
      <c r="A6148" t="s">
        <v>6229</v>
      </c>
      <c r="B6148" t="s">
        <v>23</v>
      </c>
      <c r="C6148" s="2">
        <v>44399</v>
      </c>
      <c r="D6148" t="s">
        <v>26</v>
      </c>
      <c r="E6148">
        <v>2669</v>
      </c>
    </row>
    <row r="6149" spans="1:5" x14ac:dyDescent="0.55000000000000004">
      <c r="A6149" t="s">
        <v>6230</v>
      </c>
      <c r="B6149" t="s">
        <v>105</v>
      </c>
      <c r="C6149" s="2">
        <v>43969</v>
      </c>
      <c r="D6149" t="s">
        <v>26</v>
      </c>
      <c r="E6149">
        <v>454</v>
      </c>
    </row>
    <row r="6150" spans="1:5" x14ac:dyDescent="0.55000000000000004">
      <c r="A6150" t="s">
        <v>6231</v>
      </c>
      <c r="B6150" t="s">
        <v>78</v>
      </c>
      <c r="C6150" s="2">
        <v>45716</v>
      </c>
      <c r="D6150" t="s">
        <v>26</v>
      </c>
      <c r="E6150">
        <v>233</v>
      </c>
    </row>
    <row r="6151" spans="1:5" x14ac:dyDescent="0.55000000000000004">
      <c r="A6151" t="s">
        <v>6232</v>
      </c>
      <c r="B6151" t="s">
        <v>63</v>
      </c>
      <c r="C6151" s="2">
        <v>43801</v>
      </c>
      <c r="D6151" t="s">
        <v>29</v>
      </c>
      <c r="E6151">
        <v>1678</v>
      </c>
    </row>
    <row r="6152" spans="1:5" x14ac:dyDescent="0.55000000000000004">
      <c r="A6152" t="s">
        <v>6233</v>
      </c>
      <c r="B6152" t="s">
        <v>14</v>
      </c>
      <c r="C6152" s="2">
        <v>44427</v>
      </c>
      <c r="D6152" t="s">
        <v>26</v>
      </c>
      <c r="E6152">
        <v>2892</v>
      </c>
    </row>
    <row r="6153" spans="1:5" x14ac:dyDescent="0.55000000000000004">
      <c r="A6153" t="s">
        <v>6234</v>
      </c>
      <c r="B6153" t="s">
        <v>14</v>
      </c>
      <c r="C6153" s="2">
        <v>43044</v>
      </c>
      <c r="D6153" t="s">
        <v>26</v>
      </c>
      <c r="E6153">
        <v>1424</v>
      </c>
    </row>
    <row r="6154" spans="1:5" x14ac:dyDescent="0.55000000000000004">
      <c r="A6154" t="s">
        <v>6235</v>
      </c>
      <c r="B6154" t="s">
        <v>151</v>
      </c>
      <c r="C6154" s="2">
        <v>44448</v>
      </c>
      <c r="D6154" t="s">
        <v>26</v>
      </c>
      <c r="E6154">
        <v>2208</v>
      </c>
    </row>
    <row r="6155" spans="1:5" x14ac:dyDescent="0.55000000000000004">
      <c r="A6155" t="s">
        <v>6236</v>
      </c>
      <c r="B6155" t="s">
        <v>111</v>
      </c>
      <c r="C6155" s="2">
        <v>43313</v>
      </c>
      <c r="D6155" t="s">
        <v>29</v>
      </c>
      <c r="E6155">
        <v>772</v>
      </c>
    </row>
    <row r="6156" spans="1:5" x14ac:dyDescent="0.55000000000000004">
      <c r="A6156" t="s">
        <v>6237</v>
      </c>
      <c r="B6156" t="s">
        <v>76</v>
      </c>
      <c r="C6156" s="2">
        <v>43860</v>
      </c>
      <c r="D6156" t="s">
        <v>26</v>
      </c>
      <c r="E6156">
        <v>1317</v>
      </c>
    </row>
    <row r="6157" spans="1:5" x14ac:dyDescent="0.55000000000000004">
      <c r="A6157" t="s">
        <v>6238</v>
      </c>
      <c r="B6157" t="s">
        <v>35</v>
      </c>
      <c r="C6157" s="2">
        <v>43926</v>
      </c>
      <c r="D6157" t="s">
        <v>29</v>
      </c>
      <c r="E6157">
        <v>735</v>
      </c>
    </row>
    <row r="6158" spans="1:5" x14ac:dyDescent="0.55000000000000004">
      <c r="A6158" t="s">
        <v>6239</v>
      </c>
      <c r="B6158" t="s">
        <v>84</v>
      </c>
      <c r="C6158" s="2">
        <v>43417</v>
      </c>
      <c r="D6158" t="s">
        <v>26</v>
      </c>
      <c r="E6158">
        <v>2252</v>
      </c>
    </row>
    <row r="6159" spans="1:5" x14ac:dyDescent="0.55000000000000004">
      <c r="A6159" t="s">
        <v>6240</v>
      </c>
      <c r="B6159" t="s">
        <v>41</v>
      </c>
      <c r="C6159" s="2">
        <v>43834</v>
      </c>
      <c r="D6159" t="s">
        <v>29</v>
      </c>
      <c r="E6159">
        <v>2265</v>
      </c>
    </row>
    <row r="6160" spans="1:5" x14ac:dyDescent="0.55000000000000004">
      <c r="A6160" t="s">
        <v>6241</v>
      </c>
      <c r="B6160" t="s">
        <v>41</v>
      </c>
      <c r="C6160" s="2">
        <v>44162</v>
      </c>
      <c r="D6160" t="s">
        <v>29</v>
      </c>
      <c r="E6160">
        <v>2522</v>
      </c>
    </row>
    <row r="6161" spans="1:5" x14ac:dyDescent="0.55000000000000004">
      <c r="A6161" t="s">
        <v>6242</v>
      </c>
      <c r="B6161" t="s">
        <v>105</v>
      </c>
      <c r="C6161" s="2">
        <v>44268</v>
      </c>
      <c r="D6161" t="s">
        <v>26</v>
      </c>
      <c r="E6161">
        <v>244</v>
      </c>
    </row>
    <row r="6162" spans="1:5" x14ac:dyDescent="0.55000000000000004">
      <c r="A6162" t="s">
        <v>6243</v>
      </c>
      <c r="B6162" t="s">
        <v>15</v>
      </c>
      <c r="C6162" s="2">
        <v>43732</v>
      </c>
      <c r="D6162" t="s">
        <v>29</v>
      </c>
      <c r="E6162">
        <v>671</v>
      </c>
    </row>
    <row r="6163" spans="1:5" x14ac:dyDescent="0.55000000000000004">
      <c r="A6163" t="s">
        <v>6244</v>
      </c>
      <c r="B6163" t="s">
        <v>175</v>
      </c>
      <c r="C6163" s="2">
        <v>45339</v>
      </c>
      <c r="D6163" t="s">
        <v>29</v>
      </c>
      <c r="E6163">
        <v>999</v>
      </c>
    </row>
    <row r="6164" spans="1:5" x14ac:dyDescent="0.55000000000000004">
      <c r="A6164" t="s">
        <v>6245</v>
      </c>
      <c r="B6164" t="s">
        <v>76</v>
      </c>
      <c r="C6164" s="2">
        <v>44396</v>
      </c>
      <c r="D6164" t="s">
        <v>26</v>
      </c>
      <c r="E6164">
        <v>2276</v>
      </c>
    </row>
    <row r="6165" spans="1:5" x14ac:dyDescent="0.55000000000000004">
      <c r="A6165" t="s">
        <v>6246</v>
      </c>
      <c r="B6165" t="s">
        <v>94</v>
      </c>
      <c r="C6165" s="2">
        <v>44313</v>
      </c>
      <c r="D6165" t="s">
        <v>29</v>
      </c>
      <c r="E6165">
        <v>2757</v>
      </c>
    </row>
    <row r="6166" spans="1:5" x14ac:dyDescent="0.55000000000000004">
      <c r="A6166" t="s">
        <v>6247</v>
      </c>
      <c r="B6166" t="s">
        <v>137</v>
      </c>
      <c r="C6166" s="2">
        <v>44300</v>
      </c>
      <c r="D6166" t="s">
        <v>26</v>
      </c>
      <c r="E6166">
        <v>1981</v>
      </c>
    </row>
    <row r="6167" spans="1:5" x14ac:dyDescent="0.55000000000000004">
      <c r="A6167" t="s">
        <v>6248</v>
      </c>
      <c r="B6167" t="s">
        <v>140</v>
      </c>
      <c r="C6167" s="2">
        <v>44446</v>
      </c>
      <c r="D6167" t="s">
        <v>26</v>
      </c>
      <c r="E6167">
        <v>2071</v>
      </c>
    </row>
    <row r="6168" spans="1:5" x14ac:dyDescent="0.55000000000000004">
      <c r="A6168" t="s">
        <v>6249</v>
      </c>
      <c r="B6168" t="s">
        <v>111</v>
      </c>
      <c r="C6168" s="2">
        <v>44217</v>
      </c>
      <c r="D6168" t="s">
        <v>26</v>
      </c>
      <c r="E6168">
        <v>2585</v>
      </c>
    </row>
    <row r="6169" spans="1:5" x14ac:dyDescent="0.55000000000000004">
      <c r="A6169" t="s">
        <v>6250</v>
      </c>
      <c r="B6169" t="s">
        <v>99</v>
      </c>
      <c r="C6169" s="2">
        <v>45114</v>
      </c>
      <c r="D6169" t="s">
        <v>26</v>
      </c>
      <c r="E6169">
        <v>1628</v>
      </c>
    </row>
    <row r="6170" spans="1:5" x14ac:dyDescent="0.55000000000000004">
      <c r="A6170" t="s">
        <v>6251</v>
      </c>
      <c r="B6170" t="s">
        <v>15</v>
      </c>
      <c r="C6170" s="2">
        <v>43131</v>
      </c>
      <c r="D6170" t="s">
        <v>26</v>
      </c>
      <c r="E6170">
        <v>1777</v>
      </c>
    </row>
    <row r="6171" spans="1:5" x14ac:dyDescent="0.55000000000000004">
      <c r="A6171" t="s">
        <v>6252</v>
      </c>
      <c r="B6171" t="s">
        <v>99</v>
      </c>
      <c r="C6171" s="2">
        <v>44714</v>
      </c>
      <c r="D6171" t="s">
        <v>26</v>
      </c>
      <c r="E6171">
        <v>3</v>
      </c>
    </row>
    <row r="6172" spans="1:5" x14ac:dyDescent="0.55000000000000004">
      <c r="A6172" t="s">
        <v>6253</v>
      </c>
      <c r="B6172" t="s">
        <v>74</v>
      </c>
      <c r="C6172" s="2">
        <v>43305</v>
      </c>
      <c r="D6172" t="s">
        <v>26</v>
      </c>
      <c r="E6172">
        <v>2719</v>
      </c>
    </row>
    <row r="6173" spans="1:5" x14ac:dyDescent="0.55000000000000004">
      <c r="A6173" t="s">
        <v>6254</v>
      </c>
      <c r="B6173" t="s">
        <v>67</v>
      </c>
      <c r="C6173" s="2">
        <v>44108</v>
      </c>
      <c r="D6173" t="s">
        <v>26</v>
      </c>
      <c r="E6173">
        <v>924</v>
      </c>
    </row>
    <row r="6174" spans="1:5" x14ac:dyDescent="0.55000000000000004">
      <c r="A6174" t="s">
        <v>6255</v>
      </c>
      <c r="B6174" t="s">
        <v>41</v>
      </c>
      <c r="C6174" s="2">
        <v>44143</v>
      </c>
      <c r="D6174" t="s">
        <v>26</v>
      </c>
      <c r="E6174">
        <v>2756</v>
      </c>
    </row>
    <row r="6175" spans="1:5" x14ac:dyDescent="0.55000000000000004">
      <c r="A6175" t="s">
        <v>6256</v>
      </c>
      <c r="B6175" t="s">
        <v>99</v>
      </c>
      <c r="C6175" s="2">
        <v>45547</v>
      </c>
      <c r="D6175" t="s">
        <v>26</v>
      </c>
      <c r="E6175">
        <v>1430</v>
      </c>
    </row>
    <row r="6176" spans="1:5" x14ac:dyDescent="0.55000000000000004">
      <c r="A6176" t="s">
        <v>6257</v>
      </c>
      <c r="B6176" t="s">
        <v>94</v>
      </c>
      <c r="C6176" s="2">
        <v>44231</v>
      </c>
      <c r="D6176" t="s">
        <v>29</v>
      </c>
      <c r="E6176">
        <v>2457</v>
      </c>
    </row>
    <row r="6177" spans="1:5" x14ac:dyDescent="0.55000000000000004">
      <c r="A6177" t="s">
        <v>6258</v>
      </c>
      <c r="B6177" t="s">
        <v>78</v>
      </c>
      <c r="C6177" s="2">
        <v>43725</v>
      </c>
      <c r="D6177" t="s">
        <v>29</v>
      </c>
      <c r="E6177">
        <v>1332</v>
      </c>
    </row>
    <row r="6178" spans="1:5" x14ac:dyDescent="0.55000000000000004">
      <c r="A6178" t="s">
        <v>6259</v>
      </c>
      <c r="B6178" t="s">
        <v>41</v>
      </c>
      <c r="C6178" s="2">
        <v>43871</v>
      </c>
      <c r="D6178" t="s">
        <v>29</v>
      </c>
      <c r="E6178">
        <v>1975</v>
      </c>
    </row>
    <row r="6179" spans="1:5" x14ac:dyDescent="0.55000000000000004">
      <c r="A6179" t="s">
        <v>6260</v>
      </c>
      <c r="B6179" t="s">
        <v>96</v>
      </c>
      <c r="C6179" s="2">
        <v>45045</v>
      </c>
      <c r="D6179" t="s">
        <v>26</v>
      </c>
      <c r="E6179">
        <v>2665</v>
      </c>
    </row>
    <row r="6180" spans="1:5" x14ac:dyDescent="0.55000000000000004">
      <c r="A6180" t="s">
        <v>6261</v>
      </c>
      <c r="B6180" t="s">
        <v>142</v>
      </c>
      <c r="C6180" s="2">
        <v>43782</v>
      </c>
      <c r="D6180" t="s">
        <v>29</v>
      </c>
      <c r="E6180">
        <v>2383</v>
      </c>
    </row>
    <row r="6181" spans="1:5" x14ac:dyDescent="0.55000000000000004">
      <c r="A6181" t="s">
        <v>6262</v>
      </c>
      <c r="B6181" t="s">
        <v>105</v>
      </c>
      <c r="C6181" s="2">
        <v>42929</v>
      </c>
      <c r="D6181" t="s">
        <v>26</v>
      </c>
      <c r="E6181">
        <v>2679</v>
      </c>
    </row>
    <row r="6182" spans="1:5" x14ac:dyDescent="0.55000000000000004">
      <c r="A6182" t="s">
        <v>6263</v>
      </c>
      <c r="B6182" t="s">
        <v>175</v>
      </c>
      <c r="C6182" s="2">
        <v>44557</v>
      </c>
      <c r="D6182" t="s">
        <v>26</v>
      </c>
      <c r="E6182">
        <v>307</v>
      </c>
    </row>
    <row r="6183" spans="1:5" x14ac:dyDescent="0.55000000000000004">
      <c r="A6183" t="s">
        <v>6264</v>
      </c>
      <c r="B6183" t="s">
        <v>32</v>
      </c>
      <c r="C6183" s="2">
        <v>44091</v>
      </c>
      <c r="D6183" t="s">
        <v>29</v>
      </c>
      <c r="E6183">
        <v>2485</v>
      </c>
    </row>
    <row r="6184" spans="1:5" x14ac:dyDescent="0.55000000000000004">
      <c r="A6184" t="s">
        <v>6265</v>
      </c>
      <c r="B6184" t="s">
        <v>15</v>
      </c>
      <c r="C6184" s="2">
        <v>43756</v>
      </c>
      <c r="D6184" t="s">
        <v>26</v>
      </c>
      <c r="E6184">
        <v>1886</v>
      </c>
    </row>
    <row r="6185" spans="1:5" x14ac:dyDescent="0.55000000000000004">
      <c r="A6185" t="s">
        <v>6266</v>
      </c>
      <c r="B6185" t="s">
        <v>67</v>
      </c>
      <c r="C6185" s="2">
        <v>43919</v>
      </c>
      <c r="D6185" t="s">
        <v>29</v>
      </c>
      <c r="E6185">
        <v>2430</v>
      </c>
    </row>
    <row r="6186" spans="1:5" x14ac:dyDescent="0.55000000000000004">
      <c r="A6186" t="s">
        <v>6267</v>
      </c>
      <c r="B6186" t="s">
        <v>140</v>
      </c>
      <c r="C6186" s="2">
        <v>44103</v>
      </c>
      <c r="D6186" t="s">
        <v>26</v>
      </c>
      <c r="E6186">
        <v>2216</v>
      </c>
    </row>
    <row r="6187" spans="1:5" x14ac:dyDescent="0.55000000000000004">
      <c r="A6187" t="s">
        <v>6268</v>
      </c>
      <c r="B6187" t="s">
        <v>41</v>
      </c>
      <c r="C6187" s="2">
        <v>44443</v>
      </c>
      <c r="D6187" t="s">
        <v>29</v>
      </c>
      <c r="E6187">
        <v>2706</v>
      </c>
    </row>
    <row r="6188" spans="1:5" x14ac:dyDescent="0.55000000000000004">
      <c r="A6188" t="s">
        <v>6269</v>
      </c>
      <c r="B6188" t="s">
        <v>96</v>
      </c>
      <c r="C6188" s="2">
        <v>44195</v>
      </c>
      <c r="D6188" t="s">
        <v>26</v>
      </c>
      <c r="E6188">
        <v>2933</v>
      </c>
    </row>
    <row r="6189" spans="1:5" x14ac:dyDescent="0.55000000000000004">
      <c r="A6189" t="s">
        <v>6270</v>
      </c>
      <c r="B6189" t="s">
        <v>175</v>
      </c>
      <c r="C6189" s="2">
        <v>44083</v>
      </c>
      <c r="D6189" t="s">
        <v>29</v>
      </c>
      <c r="E6189">
        <v>1543</v>
      </c>
    </row>
    <row r="6190" spans="1:5" x14ac:dyDescent="0.55000000000000004">
      <c r="A6190" t="s">
        <v>6271</v>
      </c>
      <c r="B6190" t="s">
        <v>86</v>
      </c>
      <c r="C6190" s="2">
        <v>44342</v>
      </c>
      <c r="D6190" t="s">
        <v>29</v>
      </c>
      <c r="E6190">
        <v>2186</v>
      </c>
    </row>
    <row r="6191" spans="1:5" x14ac:dyDescent="0.55000000000000004">
      <c r="A6191" t="s">
        <v>6272</v>
      </c>
      <c r="B6191" t="s">
        <v>101</v>
      </c>
      <c r="C6191" s="2">
        <v>44481</v>
      </c>
      <c r="D6191" t="s">
        <v>26</v>
      </c>
      <c r="E6191">
        <v>2505</v>
      </c>
    </row>
    <row r="6192" spans="1:5" x14ac:dyDescent="0.55000000000000004">
      <c r="A6192" t="s">
        <v>6273</v>
      </c>
      <c r="B6192" t="s">
        <v>76</v>
      </c>
      <c r="C6192" s="2">
        <v>44915</v>
      </c>
      <c r="D6192" t="s">
        <v>26</v>
      </c>
      <c r="E6192">
        <v>566</v>
      </c>
    </row>
    <row r="6193" spans="1:5" x14ac:dyDescent="0.55000000000000004">
      <c r="A6193" t="s">
        <v>6274</v>
      </c>
      <c r="B6193" t="s">
        <v>111</v>
      </c>
      <c r="C6193" s="2">
        <v>43834</v>
      </c>
      <c r="D6193" t="s">
        <v>26</v>
      </c>
      <c r="E6193">
        <v>1261</v>
      </c>
    </row>
    <row r="6194" spans="1:5" x14ac:dyDescent="0.55000000000000004">
      <c r="A6194" t="s">
        <v>6275</v>
      </c>
      <c r="B6194" t="s">
        <v>32</v>
      </c>
      <c r="C6194" s="2">
        <v>44869</v>
      </c>
      <c r="D6194" t="s">
        <v>26</v>
      </c>
      <c r="E6194">
        <v>1406</v>
      </c>
    </row>
    <row r="6195" spans="1:5" x14ac:dyDescent="0.55000000000000004">
      <c r="A6195" t="s">
        <v>6276</v>
      </c>
      <c r="B6195" t="s">
        <v>111</v>
      </c>
      <c r="C6195" s="2">
        <v>43374</v>
      </c>
      <c r="D6195" t="s">
        <v>29</v>
      </c>
      <c r="E6195">
        <v>2749</v>
      </c>
    </row>
    <row r="6196" spans="1:5" x14ac:dyDescent="0.55000000000000004">
      <c r="A6196" t="s">
        <v>6277</v>
      </c>
      <c r="B6196" t="s">
        <v>140</v>
      </c>
      <c r="C6196" s="2">
        <v>44203</v>
      </c>
      <c r="D6196" t="s">
        <v>26</v>
      </c>
      <c r="E6196">
        <v>1820</v>
      </c>
    </row>
    <row r="6197" spans="1:5" x14ac:dyDescent="0.55000000000000004">
      <c r="A6197" t="s">
        <v>6278</v>
      </c>
      <c r="B6197" t="s">
        <v>78</v>
      </c>
      <c r="C6197" s="2">
        <v>44686</v>
      </c>
      <c r="D6197" t="s">
        <v>26</v>
      </c>
      <c r="E6197">
        <v>2372</v>
      </c>
    </row>
    <row r="6198" spans="1:5" x14ac:dyDescent="0.55000000000000004">
      <c r="A6198" t="s">
        <v>6279</v>
      </c>
      <c r="B6198" t="s">
        <v>76</v>
      </c>
      <c r="C6198" s="2">
        <v>43558</v>
      </c>
      <c r="D6198" t="s">
        <v>29</v>
      </c>
      <c r="E6198">
        <v>1098</v>
      </c>
    </row>
    <row r="6199" spans="1:5" x14ac:dyDescent="0.55000000000000004">
      <c r="A6199" t="s">
        <v>6280</v>
      </c>
      <c r="B6199" t="s">
        <v>35</v>
      </c>
      <c r="C6199" s="2">
        <v>44804</v>
      </c>
      <c r="D6199" t="s">
        <v>26</v>
      </c>
      <c r="E6199">
        <v>2528</v>
      </c>
    </row>
    <row r="6200" spans="1:5" x14ac:dyDescent="0.55000000000000004">
      <c r="A6200" t="s">
        <v>6281</v>
      </c>
      <c r="B6200" t="s">
        <v>140</v>
      </c>
      <c r="C6200" s="2">
        <v>43783</v>
      </c>
      <c r="D6200" t="s">
        <v>29</v>
      </c>
      <c r="E6200">
        <v>257</v>
      </c>
    </row>
    <row r="6201" spans="1:5" x14ac:dyDescent="0.55000000000000004">
      <c r="A6201" t="s">
        <v>6282</v>
      </c>
      <c r="B6201" t="s">
        <v>118</v>
      </c>
      <c r="C6201" s="2">
        <v>45259</v>
      </c>
      <c r="D6201" t="s">
        <v>29</v>
      </c>
      <c r="E6201">
        <v>1984</v>
      </c>
    </row>
    <row r="6202" spans="1:5" x14ac:dyDescent="0.55000000000000004">
      <c r="A6202" t="s">
        <v>6283</v>
      </c>
      <c r="B6202" t="s">
        <v>14</v>
      </c>
      <c r="C6202" s="2">
        <v>44068</v>
      </c>
      <c r="D6202" t="s">
        <v>26</v>
      </c>
      <c r="E6202">
        <v>2266</v>
      </c>
    </row>
    <row r="6203" spans="1:5" x14ac:dyDescent="0.55000000000000004">
      <c r="A6203" t="s">
        <v>6284</v>
      </c>
      <c r="B6203" t="s">
        <v>137</v>
      </c>
      <c r="C6203" s="2">
        <v>45339</v>
      </c>
      <c r="D6203" t="s">
        <v>29</v>
      </c>
      <c r="E6203">
        <v>2809</v>
      </c>
    </row>
    <row r="6204" spans="1:5" x14ac:dyDescent="0.55000000000000004">
      <c r="A6204" t="s">
        <v>6285</v>
      </c>
      <c r="B6204" t="s">
        <v>38</v>
      </c>
      <c r="C6204" s="2">
        <v>44850</v>
      </c>
      <c r="D6204" t="s">
        <v>29</v>
      </c>
      <c r="E6204">
        <v>2290</v>
      </c>
    </row>
    <row r="6205" spans="1:5" x14ac:dyDescent="0.55000000000000004">
      <c r="A6205" t="s">
        <v>6286</v>
      </c>
      <c r="B6205" t="s">
        <v>86</v>
      </c>
      <c r="C6205" s="2">
        <v>44321</v>
      </c>
      <c r="D6205" t="s">
        <v>29</v>
      </c>
      <c r="E6205">
        <v>1661</v>
      </c>
    </row>
    <row r="6206" spans="1:5" x14ac:dyDescent="0.55000000000000004">
      <c r="A6206" t="s">
        <v>6287</v>
      </c>
      <c r="B6206" t="s">
        <v>84</v>
      </c>
      <c r="C6206" s="2">
        <v>43071</v>
      </c>
      <c r="D6206" t="s">
        <v>26</v>
      </c>
      <c r="E6206">
        <v>2491</v>
      </c>
    </row>
    <row r="6207" spans="1:5" x14ac:dyDescent="0.55000000000000004">
      <c r="A6207" t="s">
        <v>6288</v>
      </c>
      <c r="B6207" t="s">
        <v>137</v>
      </c>
      <c r="C6207" s="2">
        <v>45530</v>
      </c>
      <c r="D6207" t="s">
        <v>29</v>
      </c>
      <c r="E6207">
        <v>460</v>
      </c>
    </row>
    <row r="6208" spans="1:5" x14ac:dyDescent="0.55000000000000004">
      <c r="A6208" t="s">
        <v>6289</v>
      </c>
      <c r="B6208" t="s">
        <v>140</v>
      </c>
      <c r="C6208" s="2">
        <v>43863</v>
      </c>
      <c r="D6208" t="s">
        <v>26</v>
      </c>
      <c r="E6208">
        <v>1183</v>
      </c>
    </row>
    <row r="6209" spans="1:5" x14ac:dyDescent="0.55000000000000004">
      <c r="A6209" t="s">
        <v>6290</v>
      </c>
      <c r="B6209" t="s">
        <v>175</v>
      </c>
      <c r="C6209" s="2">
        <v>45343</v>
      </c>
      <c r="D6209" t="s">
        <v>29</v>
      </c>
      <c r="E6209">
        <v>844</v>
      </c>
    </row>
    <row r="6210" spans="1:5" x14ac:dyDescent="0.55000000000000004">
      <c r="A6210" t="s">
        <v>6291</v>
      </c>
      <c r="B6210" t="s">
        <v>101</v>
      </c>
      <c r="C6210" s="2">
        <v>44418</v>
      </c>
      <c r="D6210" t="s">
        <v>26</v>
      </c>
      <c r="E6210">
        <v>1559</v>
      </c>
    </row>
    <row r="6211" spans="1:5" x14ac:dyDescent="0.55000000000000004">
      <c r="A6211" t="s">
        <v>6292</v>
      </c>
      <c r="B6211" t="s">
        <v>156</v>
      </c>
      <c r="C6211" s="2">
        <v>44507</v>
      </c>
      <c r="D6211" t="s">
        <v>26</v>
      </c>
      <c r="E6211">
        <v>1086</v>
      </c>
    </row>
    <row r="6212" spans="1:5" x14ac:dyDescent="0.55000000000000004">
      <c r="A6212" t="s">
        <v>6293</v>
      </c>
      <c r="B6212" t="s">
        <v>156</v>
      </c>
      <c r="C6212" s="2">
        <v>43564</v>
      </c>
      <c r="D6212" t="s">
        <v>26</v>
      </c>
      <c r="E6212">
        <v>2477</v>
      </c>
    </row>
    <row r="6213" spans="1:5" x14ac:dyDescent="0.55000000000000004">
      <c r="A6213" t="s">
        <v>6294</v>
      </c>
      <c r="B6213" t="s">
        <v>105</v>
      </c>
      <c r="C6213" s="2">
        <v>44274</v>
      </c>
      <c r="D6213" t="s">
        <v>29</v>
      </c>
      <c r="E6213">
        <v>40</v>
      </c>
    </row>
    <row r="6214" spans="1:5" x14ac:dyDescent="0.55000000000000004">
      <c r="A6214" t="s">
        <v>6295</v>
      </c>
      <c r="B6214" t="s">
        <v>111</v>
      </c>
      <c r="C6214" s="2">
        <v>43267</v>
      </c>
      <c r="D6214" t="s">
        <v>26</v>
      </c>
      <c r="E6214">
        <v>128</v>
      </c>
    </row>
    <row r="6215" spans="1:5" x14ac:dyDescent="0.55000000000000004">
      <c r="A6215" t="s">
        <v>6296</v>
      </c>
      <c r="B6215" t="s">
        <v>105</v>
      </c>
      <c r="C6215" s="2">
        <v>43733</v>
      </c>
      <c r="D6215" t="s">
        <v>26</v>
      </c>
      <c r="E6215">
        <v>1878</v>
      </c>
    </row>
    <row r="6216" spans="1:5" x14ac:dyDescent="0.55000000000000004">
      <c r="A6216" t="s">
        <v>6297</v>
      </c>
      <c r="B6216" t="s">
        <v>142</v>
      </c>
      <c r="C6216" s="2">
        <v>43729</v>
      </c>
      <c r="D6216" t="s">
        <v>29</v>
      </c>
      <c r="E6216">
        <v>1187</v>
      </c>
    </row>
    <row r="6217" spans="1:5" x14ac:dyDescent="0.55000000000000004">
      <c r="A6217" t="s">
        <v>6298</v>
      </c>
      <c r="B6217" t="s">
        <v>99</v>
      </c>
      <c r="C6217" s="2">
        <v>43716</v>
      </c>
      <c r="D6217" t="s">
        <v>26</v>
      </c>
      <c r="E6217">
        <v>2229</v>
      </c>
    </row>
    <row r="6218" spans="1:5" x14ac:dyDescent="0.55000000000000004">
      <c r="A6218" t="s">
        <v>6299</v>
      </c>
      <c r="B6218" t="s">
        <v>105</v>
      </c>
      <c r="C6218" s="2">
        <v>43471</v>
      </c>
      <c r="D6218" t="s">
        <v>29</v>
      </c>
      <c r="E6218">
        <v>1468</v>
      </c>
    </row>
    <row r="6219" spans="1:5" x14ac:dyDescent="0.55000000000000004">
      <c r="A6219" t="s">
        <v>6300</v>
      </c>
      <c r="B6219" t="s">
        <v>67</v>
      </c>
      <c r="C6219" s="2">
        <v>43893</v>
      </c>
      <c r="D6219" t="s">
        <v>26</v>
      </c>
      <c r="E6219">
        <v>2</v>
      </c>
    </row>
    <row r="6220" spans="1:5" x14ac:dyDescent="0.55000000000000004">
      <c r="A6220" t="s">
        <v>6301</v>
      </c>
      <c r="B6220" t="s">
        <v>99</v>
      </c>
      <c r="C6220" s="2">
        <v>45676</v>
      </c>
      <c r="D6220" t="s">
        <v>26</v>
      </c>
      <c r="E6220">
        <v>2726</v>
      </c>
    </row>
    <row r="6221" spans="1:5" x14ac:dyDescent="0.55000000000000004">
      <c r="A6221" t="s">
        <v>6302</v>
      </c>
      <c r="B6221" t="s">
        <v>137</v>
      </c>
      <c r="C6221" s="2">
        <v>43634</v>
      </c>
      <c r="D6221" t="s">
        <v>29</v>
      </c>
      <c r="E6221">
        <v>1976</v>
      </c>
    </row>
    <row r="6222" spans="1:5" x14ac:dyDescent="0.55000000000000004">
      <c r="A6222" t="s">
        <v>6303</v>
      </c>
      <c r="B6222" t="s">
        <v>156</v>
      </c>
      <c r="C6222" s="2">
        <v>44282</v>
      </c>
      <c r="D6222" t="s">
        <v>26</v>
      </c>
      <c r="E6222">
        <v>2534</v>
      </c>
    </row>
    <row r="6223" spans="1:5" x14ac:dyDescent="0.55000000000000004">
      <c r="A6223" t="s">
        <v>6304</v>
      </c>
      <c r="B6223" t="s">
        <v>32</v>
      </c>
      <c r="C6223" s="2">
        <v>44801</v>
      </c>
      <c r="D6223" t="s">
        <v>29</v>
      </c>
      <c r="E6223">
        <v>434</v>
      </c>
    </row>
    <row r="6224" spans="1:5" x14ac:dyDescent="0.55000000000000004">
      <c r="A6224" t="s">
        <v>6305</v>
      </c>
      <c r="B6224" t="s">
        <v>99</v>
      </c>
      <c r="C6224" s="2">
        <v>44889</v>
      </c>
      <c r="D6224" t="s">
        <v>29</v>
      </c>
      <c r="E6224">
        <v>968</v>
      </c>
    </row>
    <row r="6225" spans="1:5" x14ac:dyDescent="0.55000000000000004">
      <c r="A6225" t="s">
        <v>6306</v>
      </c>
      <c r="B6225" t="s">
        <v>14</v>
      </c>
      <c r="C6225" s="2">
        <v>43222</v>
      </c>
      <c r="D6225" t="s">
        <v>29</v>
      </c>
      <c r="E6225">
        <v>1517</v>
      </c>
    </row>
    <row r="6226" spans="1:5" x14ac:dyDescent="0.55000000000000004">
      <c r="A6226" t="s">
        <v>6307</v>
      </c>
      <c r="B6226" t="s">
        <v>14</v>
      </c>
      <c r="C6226" s="2">
        <v>43013</v>
      </c>
      <c r="D6226" t="s">
        <v>26</v>
      </c>
      <c r="E6226">
        <v>871</v>
      </c>
    </row>
    <row r="6227" spans="1:5" x14ac:dyDescent="0.55000000000000004">
      <c r="A6227" t="s">
        <v>6308</v>
      </c>
      <c r="B6227" t="s">
        <v>142</v>
      </c>
      <c r="C6227" s="2">
        <v>44308</v>
      </c>
      <c r="D6227" t="s">
        <v>29</v>
      </c>
      <c r="E6227">
        <v>2949</v>
      </c>
    </row>
    <row r="6228" spans="1:5" x14ac:dyDescent="0.55000000000000004">
      <c r="A6228" t="s">
        <v>6309</v>
      </c>
      <c r="B6228" t="s">
        <v>101</v>
      </c>
      <c r="C6228" s="2">
        <v>44473</v>
      </c>
      <c r="D6228" t="s">
        <v>29</v>
      </c>
      <c r="E6228">
        <v>417</v>
      </c>
    </row>
    <row r="6229" spans="1:5" x14ac:dyDescent="0.55000000000000004">
      <c r="A6229" t="s">
        <v>6310</v>
      </c>
      <c r="B6229" t="s">
        <v>23</v>
      </c>
      <c r="C6229" s="2">
        <v>44559</v>
      </c>
      <c r="D6229" t="s">
        <v>26</v>
      </c>
      <c r="E6229">
        <v>70</v>
      </c>
    </row>
    <row r="6230" spans="1:5" x14ac:dyDescent="0.55000000000000004">
      <c r="A6230" t="s">
        <v>6311</v>
      </c>
      <c r="B6230" t="s">
        <v>86</v>
      </c>
      <c r="C6230" s="2">
        <v>43710</v>
      </c>
      <c r="D6230" t="s">
        <v>29</v>
      </c>
      <c r="E6230">
        <v>397</v>
      </c>
    </row>
    <row r="6231" spans="1:5" x14ac:dyDescent="0.55000000000000004">
      <c r="A6231" t="s">
        <v>6312</v>
      </c>
      <c r="B6231" t="s">
        <v>99</v>
      </c>
      <c r="C6231" s="2">
        <v>44535</v>
      </c>
      <c r="D6231" t="s">
        <v>26</v>
      </c>
      <c r="E6231">
        <v>1795</v>
      </c>
    </row>
    <row r="6232" spans="1:5" x14ac:dyDescent="0.55000000000000004">
      <c r="A6232" t="s">
        <v>6313</v>
      </c>
      <c r="B6232" t="s">
        <v>99</v>
      </c>
      <c r="C6232" s="2">
        <v>44671</v>
      </c>
      <c r="D6232" t="s">
        <v>29</v>
      </c>
      <c r="E6232">
        <v>1838</v>
      </c>
    </row>
    <row r="6233" spans="1:5" x14ac:dyDescent="0.55000000000000004">
      <c r="A6233" t="s">
        <v>6314</v>
      </c>
      <c r="B6233" t="s">
        <v>23</v>
      </c>
      <c r="C6233" s="2">
        <v>43937</v>
      </c>
      <c r="D6233" t="s">
        <v>29</v>
      </c>
      <c r="E6233">
        <v>2953</v>
      </c>
    </row>
    <row r="6234" spans="1:5" x14ac:dyDescent="0.55000000000000004">
      <c r="A6234" t="s">
        <v>6315</v>
      </c>
      <c r="B6234" t="s">
        <v>14</v>
      </c>
      <c r="C6234" s="2">
        <v>44255</v>
      </c>
      <c r="D6234" t="s">
        <v>26</v>
      </c>
      <c r="E6234">
        <v>2174</v>
      </c>
    </row>
    <row r="6235" spans="1:5" x14ac:dyDescent="0.55000000000000004">
      <c r="A6235" t="s">
        <v>6316</v>
      </c>
      <c r="B6235" t="s">
        <v>96</v>
      </c>
      <c r="C6235" s="2">
        <v>44129</v>
      </c>
      <c r="D6235" t="s">
        <v>29</v>
      </c>
      <c r="E6235">
        <v>2632</v>
      </c>
    </row>
    <row r="6236" spans="1:5" x14ac:dyDescent="0.55000000000000004">
      <c r="A6236" t="s">
        <v>6317</v>
      </c>
      <c r="B6236" t="s">
        <v>137</v>
      </c>
      <c r="C6236" s="2">
        <v>43609</v>
      </c>
      <c r="D6236" t="s">
        <v>26</v>
      </c>
      <c r="E6236">
        <v>462</v>
      </c>
    </row>
    <row r="6237" spans="1:5" x14ac:dyDescent="0.55000000000000004">
      <c r="A6237" t="s">
        <v>6318</v>
      </c>
      <c r="B6237" t="s">
        <v>35</v>
      </c>
      <c r="C6237" s="2">
        <v>44248</v>
      </c>
      <c r="D6237" t="s">
        <v>29</v>
      </c>
      <c r="E6237">
        <v>1525</v>
      </c>
    </row>
    <row r="6238" spans="1:5" x14ac:dyDescent="0.55000000000000004">
      <c r="A6238" t="s">
        <v>6319</v>
      </c>
      <c r="B6238" t="s">
        <v>94</v>
      </c>
      <c r="C6238" s="2">
        <v>43969</v>
      </c>
      <c r="D6238" t="s">
        <v>26</v>
      </c>
      <c r="E6238">
        <v>945</v>
      </c>
    </row>
    <row r="6239" spans="1:5" x14ac:dyDescent="0.55000000000000004">
      <c r="A6239" t="s">
        <v>6320</v>
      </c>
      <c r="B6239" t="s">
        <v>84</v>
      </c>
      <c r="C6239" s="2">
        <v>43522</v>
      </c>
      <c r="D6239" t="s">
        <v>29</v>
      </c>
      <c r="E6239">
        <v>1032</v>
      </c>
    </row>
    <row r="6240" spans="1:5" x14ac:dyDescent="0.55000000000000004">
      <c r="A6240" t="s">
        <v>6321</v>
      </c>
      <c r="B6240" t="s">
        <v>72</v>
      </c>
      <c r="C6240" s="2">
        <v>44148</v>
      </c>
      <c r="D6240" t="s">
        <v>26</v>
      </c>
      <c r="E6240">
        <v>1611</v>
      </c>
    </row>
    <row r="6241" spans="1:5" x14ac:dyDescent="0.55000000000000004">
      <c r="A6241" t="s">
        <v>6322</v>
      </c>
      <c r="B6241" t="s">
        <v>96</v>
      </c>
      <c r="C6241" s="2">
        <v>44589</v>
      </c>
      <c r="D6241" t="s">
        <v>29</v>
      </c>
      <c r="E6241">
        <v>1728</v>
      </c>
    </row>
    <row r="6242" spans="1:5" x14ac:dyDescent="0.55000000000000004">
      <c r="A6242" t="s">
        <v>6323</v>
      </c>
      <c r="B6242" t="s">
        <v>99</v>
      </c>
      <c r="C6242" s="2">
        <v>45107</v>
      </c>
      <c r="D6242" t="s">
        <v>29</v>
      </c>
      <c r="E6242">
        <v>675</v>
      </c>
    </row>
    <row r="6243" spans="1:5" x14ac:dyDescent="0.55000000000000004">
      <c r="A6243" t="s">
        <v>6324</v>
      </c>
      <c r="B6243" t="s">
        <v>156</v>
      </c>
      <c r="C6243" s="2">
        <v>42996</v>
      </c>
      <c r="D6243" t="s">
        <v>29</v>
      </c>
      <c r="E6243">
        <v>580</v>
      </c>
    </row>
    <row r="6244" spans="1:5" x14ac:dyDescent="0.55000000000000004">
      <c r="A6244" t="s">
        <v>6325</v>
      </c>
      <c r="B6244" t="s">
        <v>137</v>
      </c>
      <c r="C6244" s="2">
        <v>43982</v>
      </c>
      <c r="D6244" t="s">
        <v>26</v>
      </c>
      <c r="E6244">
        <v>1325</v>
      </c>
    </row>
    <row r="6245" spans="1:5" x14ac:dyDescent="0.55000000000000004">
      <c r="A6245" t="s">
        <v>6326</v>
      </c>
      <c r="B6245" t="s">
        <v>86</v>
      </c>
      <c r="C6245" s="2">
        <v>44168</v>
      </c>
      <c r="D6245" t="s">
        <v>29</v>
      </c>
      <c r="E6245">
        <v>1956</v>
      </c>
    </row>
    <row r="6246" spans="1:5" x14ac:dyDescent="0.55000000000000004">
      <c r="A6246" t="s">
        <v>6327</v>
      </c>
      <c r="B6246" t="s">
        <v>72</v>
      </c>
      <c r="C6246" s="2">
        <v>43562</v>
      </c>
      <c r="D6246" t="s">
        <v>29</v>
      </c>
      <c r="E6246">
        <v>730</v>
      </c>
    </row>
    <row r="6247" spans="1:5" x14ac:dyDescent="0.55000000000000004">
      <c r="A6247" t="s">
        <v>6328</v>
      </c>
      <c r="B6247" t="s">
        <v>105</v>
      </c>
      <c r="C6247" s="2">
        <v>43287</v>
      </c>
      <c r="D6247" t="s">
        <v>26</v>
      </c>
      <c r="E6247">
        <v>2494</v>
      </c>
    </row>
    <row r="6248" spans="1:5" x14ac:dyDescent="0.55000000000000004">
      <c r="A6248" t="s">
        <v>6329</v>
      </c>
      <c r="B6248" t="s">
        <v>14</v>
      </c>
      <c r="C6248" s="2">
        <v>43596</v>
      </c>
      <c r="D6248" t="s">
        <v>26</v>
      </c>
      <c r="E6248">
        <v>882</v>
      </c>
    </row>
    <row r="6249" spans="1:5" x14ac:dyDescent="0.55000000000000004">
      <c r="A6249" t="s">
        <v>6330</v>
      </c>
      <c r="B6249" t="s">
        <v>35</v>
      </c>
      <c r="C6249" s="2">
        <v>44434</v>
      </c>
      <c r="D6249" t="s">
        <v>29</v>
      </c>
      <c r="E6249">
        <v>120</v>
      </c>
    </row>
    <row r="6250" spans="1:5" x14ac:dyDescent="0.55000000000000004">
      <c r="A6250" t="s">
        <v>6331</v>
      </c>
      <c r="B6250" t="s">
        <v>84</v>
      </c>
      <c r="C6250" s="2">
        <v>43938</v>
      </c>
      <c r="D6250" t="s">
        <v>29</v>
      </c>
      <c r="E6250">
        <v>1967</v>
      </c>
    </row>
    <row r="6251" spans="1:5" x14ac:dyDescent="0.55000000000000004">
      <c r="A6251" t="s">
        <v>6332</v>
      </c>
      <c r="B6251" t="s">
        <v>94</v>
      </c>
      <c r="C6251" s="2">
        <v>45058</v>
      </c>
      <c r="D6251" t="s">
        <v>29</v>
      </c>
      <c r="E6251">
        <v>2216</v>
      </c>
    </row>
    <row r="6252" spans="1:5" x14ac:dyDescent="0.55000000000000004">
      <c r="A6252" t="s">
        <v>6333</v>
      </c>
      <c r="B6252" t="s">
        <v>156</v>
      </c>
      <c r="C6252" s="2">
        <v>44319</v>
      </c>
      <c r="D6252" t="s">
        <v>29</v>
      </c>
      <c r="E6252">
        <v>1525</v>
      </c>
    </row>
    <row r="6253" spans="1:5" x14ac:dyDescent="0.55000000000000004">
      <c r="A6253" t="s">
        <v>6334</v>
      </c>
      <c r="B6253" t="s">
        <v>32</v>
      </c>
      <c r="C6253" s="2">
        <v>44287</v>
      </c>
      <c r="D6253" t="s">
        <v>29</v>
      </c>
      <c r="E6253">
        <v>1336</v>
      </c>
    </row>
    <row r="6254" spans="1:5" x14ac:dyDescent="0.55000000000000004">
      <c r="A6254" t="s">
        <v>6335</v>
      </c>
      <c r="B6254" t="s">
        <v>105</v>
      </c>
      <c r="C6254" s="2">
        <v>43114</v>
      </c>
      <c r="D6254" t="s">
        <v>26</v>
      </c>
      <c r="E6254">
        <v>2188</v>
      </c>
    </row>
    <row r="6255" spans="1:5" x14ac:dyDescent="0.55000000000000004">
      <c r="A6255" t="s">
        <v>6336</v>
      </c>
      <c r="B6255" t="s">
        <v>63</v>
      </c>
      <c r="C6255" s="2">
        <v>43557</v>
      </c>
      <c r="D6255" t="s">
        <v>26</v>
      </c>
      <c r="E6255">
        <v>2003</v>
      </c>
    </row>
    <row r="6256" spans="1:5" x14ac:dyDescent="0.55000000000000004">
      <c r="A6256" t="s">
        <v>6337</v>
      </c>
      <c r="B6256" t="s">
        <v>175</v>
      </c>
      <c r="C6256" s="2">
        <v>43801</v>
      </c>
      <c r="D6256" t="s">
        <v>26</v>
      </c>
      <c r="E6256">
        <v>1177</v>
      </c>
    </row>
    <row r="6257" spans="1:5" x14ac:dyDescent="0.55000000000000004">
      <c r="A6257" t="s">
        <v>6338</v>
      </c>
      <c r="B6257" t="s">
        <v>111</v>
      </c>
      <c r="C6257" s="2">
        <v>44409</v>
      </c>
      <c r="D6257" t="s">
        <v>29</v>
      </c>
      <c r="E6257">
        <v>893</v>
      </c>
    </row>
    <row r="6258" spans="1:5" x14ac:dyDescent="0.55000000000000004">
      <c r="A6258" t="s">
        <v>6339</v>
      </c>
      <c r="B6258" t="s">
        <v>115</v>
      </c>
      <c r="C6258" s="2">
        <v>43257</v>
      </c>
      <c r="D6258" t="s">
        <v>26</v>
      </c>
      <c r="E6258">
        <v>13</v>
      </c>
    </row>
    <row r="6259" spans="1:5" x14ac:dyDescent="0.55000000000000004">
      <c r="A6259" t="s">
        <v>6340</v>
      </c>
      <c r="B6259" t="s">
        <v>78</v>
      </c>
      <c r="C6259" s="2">
        <v>44486</v>
      </c>
      <c r="D6259" t="s">
        <v>29</v>
      </c>
      <c r="E6259">
        <v>523</v>
      </c>
    </row>
    <row r="6260" spans="1:5" x14ac:dyDescent="0.55000000000000004">
      <c r="A6260" t="s">
        <v>6341</v>
      </c>
      <c r="B6260" t="s">
        <v>38</v>
      </c>
      <c r="C6260" s="2">
        <v>44209</v>
      </c>
      <c r="D6260" t="s">
        <v>26</v>
      </c>
      <c r="E6260">
        <v>278</v>
      </c>
    </row>
    <row r="6261" spans="1:5" x14ac:dyDescent="0.55000000000000004">
      <c r="A6261" t="s">
        <v>6342</v>
      </c>
      <c r="B6261" t="s">
        <v>41</v>
      </c>
      <c r="C6261" s="2">
        <v>44798</v>
      </c>
      <c r="D6261" t="s">
        <v>26</v>
      </c>
      <c r="E6261">
        <v>2621</v>
      </c>
    </row>
    <row r="6262" spans="1:5" x14ac:dyDescent="0.55000000000000004">
      <c r="A6262" t="s">
        <v>6343</v>
      </c>
      <c r="B6262" t="s">
        <v>72</v>
      </c>
      <c r="C6262" s="2">
        <v>44214</v>
      </c>
      <c r="D6262" t="s">
        <v>29</v>
      </c>
      <c r="E6262">
        <v>2026</v>
      </c>
    </row>
    <row r="6263" spans="1:5" x14ac:dyDescent="0.55000000000000004">
      <c r="A6263" t="s">
        <v>6344</v>
      </c>
      <c r="B6263" t="s">
        <v>105</v>
      </c>
      <c r="C6263" s="2">
        <v>43788</v>
      </c>
      <c r="D6263" t="s">
        <v>29</v>
      </c>
      <c r="E6263">
        <v>2195</v>
      </c>
    </row>
    <row r="6264" spans="1:5" x14ac:dyDescent="0.55000000000000004">
      <c r="A6264" t="s">
        <v>6345</v>
      </c>
      <c r="B6264" t="s">
        <v>35</v>
      </c>
      <c r="C6264" s="2">
        <v>44335</v>
      </c>
      <c r="D6264" t="s">
        <v>29</v>
      </c>
      <c r="E6264">
        <v>2276</v>
      </c>
    </row>
    <row r="6265" spans="1:5" x14ac:dyDescent="0.55000000000000004">
      <c r="A6265" t="s">
        <v>6346</v>
      </c>
      <c r="B6265" t="s">
        <v>111</v>
      </c>
      <c r="C6265" s="2">
        <v>44375</v>
      </c>
      <c r="D6265" t="s">
        <v>29</v>
      </c>
      <c r="E6265">
        <v>2269</v>
      </c>
    </row>
    <row r="6266" spans="1:5" x14ac:dyDescent="0.55000000000000004">
      <c r="A6266" t="s">
        <v>6347</v>
      </c>
      <c r="B6266" t="s">
        <v>111</v>
      </c>
      <c r="C6266" s="2">
        <v>43267</v>
      </c>
      <c r="D6266" t="s">
        <v>26</v>
      </c>
      <c r="E6266">
        <v>2393</v>
      </c>
    </row>
    <row r="6267" spans="1:5" x14ac:dyDescent="0.55000000000000004">
      <c r="A6267" t="s">
        <v>6348</v>
      </c>
      <c r="B6267" t="s">
        <v>38</v>
      </c>
      <c r="C6267" s="2">
        <v>44456</v>
      </c>
      <c r="D6267" t="s">
        <v>26</v>
      </c>
      <c r="E6267">
        <v>2790</v>
      </c>
    </row>
    <row r="6268" spans="1:5" x14ac:dyDescent="0.55000000000000004">
      <c r="A6268" t="s">
        <v>6349</v>
      </c>
      <c r="B6268" t="s">
        <v>175</v>
      </c>
      <c r="C6268" s="2">
        <v>44884</v>
      </c>
      <c r="D6268" t="s">
        <v>26</v>
      </c>
      <c r="E6268">
        <v>2919</v>
      </c>
    </row>
    <row r="6269" spans="1:5" x14ac:dyDescent="0.55000000000000004">
      <c r="A6269" t="s">
        <v>6350</v>
      </c>
      <c r="B6269" t="s">
        <v>76</v>
      </c>
      <c r="C6269" s="2">
        <v>44746</v>
      </c>
      <c r="D6269" t="s">
        <v>26</v>
      </c>
      <c r="E6269">
        <v>1663</v>
      </c>
    </row>
    <row r="6270" spans="1:5" x14ac:dyDescent="0.55000000000000004">
      <c r="A6270" t="s">
        <v>6351</v>
      </c>
      <c r="B6270" t="s">
        <v>115</v>
      </c>
      <c r="C6270" s="2">
        <v>43945</v>
      </c>
      <c r="D6270" t="s">
        <v>29</v>
      </c>
      <c r="E6270">
        <v>2003</v>
      </c>
    </row>
    <row r="6271" spans="1:5" x14ac:dyDescent="0.55000000000000004">
      <c r="A6271" t="s">
        <v>6352</v>
      </c>
      <c r="B6271" t="s">
        <v>86</v>
      </c>
      <c r="C6271" s="2">
        <v>44176</v>
      </c>
      <c r="D6271" t="s">
        <v>26</v>
      </c>
      <c r="E6271">
        <v>1837</v>
      </c>
    </row>
    <row r="6272" spans="1:5" x14ac:dyDescent="0.55000000000000004">
      <c r="A6272" t="s">
        <v>6353</v>
      </c>
      <c r="B6272" t="s">
        <v>74</v>
      </c>
      <c r="C6272" s="2">
        <v>43029</v>
      </c>
      <c r="D6272" t="s">
        <v>29</v>
      </c>
      <c r="E6272">
        <v>213</v>
      </c>
    </row>
    <row r="6273" spans="1:5" x14ac:dyDescent="0.55000000000000004">
      <c r="A6273" t="s">
        <v>6354</v>
      </c>
      <c r="B6273" t="s">
        <v>67</v>
      </c>
      <c r="C6273" s="2">
        <v>43659</v>
      </c>
      <c r="D6273" t="s">
        <v>29</v>
      </c>
      <c r="E6273">
        <v>1263</v>
      </c>
    </row>
    <row r="6274" spans="1:5" x14ac:dyDescent="0.55000000000000004">
      <c r="A6274" t="s">
        <v>6355</v>
      </c>
      <c r="B6274" t="s">
        <v>32</v>
      </c>
      <c r="C6274" s="2">
        <v>44020</v>
      </c>
      <c r="D6274" t="s">
        <v>29</v>
      </c>
      <c r="E6274">
        <v>1835</v>
      </c>
    </row>
    <row r="6275" spans="1:5" x14ac:dyDescent="0.55000000000000004">
      <c r="A6275" t="s">
        <v>6356</v>
      </c>
      <c r="B6275" t="s">
        <v>15</v>
      </c>
      <c r="C6275" s="2">
        <v>43546</v>
      </c>
      <c r="D6275" t="s">
        <v>29</v>
      </c>
      <c r="E6275">
        <v>1931</v>
      </c>
    </row>
    <row r="6276" spans="1:5" x14ac:dyDescent="0.55000000000000004">
      <c r="A6276" t="s">
        <v>6357</v>
      </c>
      <c r="B6276" t="s">
        <v>63</v>
      </c>
      <c r="C6276" s="2">
        <v>44483</v>
      </c>
      <c r="D6276" t="s">
        <v>29</v>
      </c>
      <c r="E6276">
        <v>2615</v>
      </c>
    </row>
    <row r="6277" spans="1:5" x14ac:dyDescent="0.55000000000000004">
      <c r="A6277" t="s">
        <v>6358</v>
      </c>
      <c r="B6277" t="s">
        <v>151</v>
      </c>
      <c r="C6277" s="2">
        <v>43647</v>
      </c>
      <c r="D6277" t="s">
        <v>26</v>
      </c>
      <c r="E6277">
        <v>1218</v>
      </c>
    </row>
    <row r="6278" spans="1:5" x14ac:dyDescent="0.55000000000000004">
      <c r="A6278" t="s">
        <v>6359</v>
      </c>
      <c r="B6278" t="s">
        <v>15</v>
      </c>
      <c r="C6278" s="2">
        <v>44000</v>
      </c>
      <c r="D6278" t="s">
        <v>29</v>
      </c>
      <c r="E6278">
        <v>459</v>
      </c>
    </row>
    <row r="6279" spans="1:5" x14ac:dyDescent="0.55000000000000004">
      <c r="A6279" t="s">
        <v>6360</v>
      </c>
      <c r="B6279" t="s">
        <v>175</v>
      </c>
      <c r="C6279" s="2">
        <v>45355</v>
      </c>
      <c r="D6279" t="s">
        <v>26</v>
      </c>
      <c r="E6279">
        <v>1459</v>
      </c>
    </row>
    <row r="6280" spans="1:5" x14ac:dyDescent="0.55000000000000004">
      <c r="A6280" t="s">
        <v>6361</v>
      </c>
      <c r="B6280" t="s">
        <v>23</v>
      </c>
      <c r="C6280" s="2">
        <v>44445</v>
      </c>
      <c r="D6280" t="s">
        <v>29</v>
      </c>
      <c r="E6280">
        <v>816</v>
      </c>
    </row>
    <row r="6281" spans="1:5" x14ac:dyDescent="0.55000000000000004">
      <c r="A6281" t="s">
        <v>6362</v>
      </c>
      <c r="B6281" t="s">
        <v>84</v>
      </c>
      <c r="C6281" s="2">
        <v>43509</v>
      </c>
      <c r="D6281" t="s">
        <v>26</v>
      </c>
      <c r="E6281">
        <v>150</v>
      </c>
    </row>
    <row r="6282" spans="1:5" x14ac:dyDescent="0.55000000000000004">
      <c r="A6282" t="s">
        <v>6363</v>
      </c>
      <c r="B6282" t="s">
        <v>111</v>
      </c>
      <c r="C6282" s="2">
        <v>43390</v>
      </c>
      <c r="D6282" t="s">
        <v>29</v>
      </c>
      <c r="E6282">
        <v>2091</v>
      </c>
    </row>
    <row r="6283" spans="1:5" x14ac:dyDescent="0.55000000000000004">
      <c r="A6283" t="s">
        <v>6364</v>
      </c>
      <c r="B6283" t="s">
        <v>99</v>
      </c>
      <c r="C6283" s="2">
        <v>43590</v>
      </c>
      <c r="D6283" t="s">
        <v>26</v>
      </c>
      <c r="E6283">
        <v>799</v>
      </c>
    </row>
    <row r="6284" spans="1:5" x14ac:dyDescent="0.55000000000000004">
      <c r="A6284" t="s">
        <v>6365</v>
      </c>
      <c r="B6284" t="s">
        <v>115</v>
      </c>
      <c r="C6284" s="2">
        <v>44002</v>
      </c>
      <c r="D6284" t="s">
        <v>26</v>
      </c>
      <c r="E6284">
        <v>1725</v>
      </c>
    </row>
    <row r="6285" spans="1:5" x14ac:dyDescent="0.55000000000000004">
      <c r="A6285" t="s">
        <v>6366</v>
      </c>
      <c r="B6285" t="s">
        <v>74</v>
      </c>
      <c r="C6285" s="2">
        <v>44529</v>
      </c>
      <c r="D6285" t="s">
        <v>26</v>
      </c>
      <c r="E6285">
        <v>2819</v>
      </c>
    </row>
    <row r="6286" spans="1:5" x14ac:dyDescent="0.55000000000000004">
      <c r="A6286" t="s">
        <v>6367</v>
      </c>
      <c r="B6286" t="s">
        <v>151</v>
      </c>
      <c r="C6286" s="2">
        <v>43407</v>
      </c>
      <c r="D6286" t="s">
        <v>26</v>
      </c>
      <c r="E6286">
        <v>1749</v>
      </c>
    </row>
    <row r="6287" spans="1:5" x14ac:dyDescent="0.55000000000000004">
      <c r="A6287" t="s">
        <v>6368</v>
      </c>
      <c r="B6287" t="s">
        <v>142</v>
      </c>
      <c r="C6287" s="2">
        <v>43967</v>
      </c>
      <c r="D6287" t="s">
        <v>29</v>
      </c>
      <c r="E6287">
        <v>2072</v>
      </c>
    </row>
    <row r="6288" spans="1:5" x14ac:dyDescent="0.55000000000000004">
      <c r="A6288" t="s">
        <v>6369</v>
      </c>
      <c r="B6288" t="s">
        <v>99</v>
      </c>
      <c r="C6288" s="2">
        <v>44183</v>
      </c>
      <c r="D6288" t="s">
        <v>26</v>
      </c>
      <c r="E6288">
        <v>1444</v>
      </c>
    </row>
    <row r="6289" spans="1:5" x14ac:dyDescent="0.55000000000000004">
      <c r="A6289" t="s">
        <v>6370</v>
      </c>
      <c r="B6289" t="s">
        <v>137</v>
      </c>
      <c r="C6289" s="2">
        <v>44179</v>
      </c>
      <c r="D6289" t="s">
        <v>29</v>
      </c>
      <c r="E6289">
        <v>2225</v>
      </c>
    </row>
    <row r="6290" spans="1:5" x14ac:dyDescent="0.55000000000000004">
      <c r="A6290" t="s">
        <v>6371</v>
      </c>
      <c r="B6290" t="s">
        <v>96</v>
      </c>
      <c r="C6290" s="2">
        <v>44270</v>
      </c>
      <c r="D6290" t="s">
        <v>26</v>
      </c>
      <c r="E6290">
        <v>1168</v>
      </c>
    </row>
    <row r="6291" spans="1:5" x14ac:dyDescent="0.55000000000000004">
      <c r="A6291" t="s">
        <v>6372</v>
      </c>
      <c r="B6291" t="s">
        <v>175</v>
      </c>
      <c r="C6291" s="2">
        <v>45738</v>
      </c>
      <c r="D6291" t="s">
        <v>29</v>
      </c>
      <c r="E6291">
        <v>753</v>
      </c>
    </row>
    <row r="6292" spans="1:5" x14ac:dyDescent="0.55000000000000004">
      <c r="A6292" t="s">
        <v>6373</v>
      </c>
      <c r="B6292" t="s">
        <v>111</v>
      </c>
      <c r="C6292" s="2">
        <v>44318</v>
      </c>
      <c r="D6292" t="s">
        <v>26</v>
      </c>
      <c r="E6292">
        <v>1283</v>
      </c>
    </row>
    <row r="6293" spans="1:5" x14ac:dyDescent="0.55000000000000004">
      <c r="A6293" t="s">
        <v>6374</v>
      </c>
      <c r="B6293" t="s">
        <v>105</v>
      </c>
      <c r="C6293" s="2">
        <v>43167</v>
      </c>
      <c r="D6293" t="s">
        <v>29</v>
      </c>
      <c r="E6293">
        <v>2832</v>
      </c>
    </row>
    <row r="6294" spans="1:5" x14ac:dyDescent="0.55000000000000004">
      <c r="A6294" t="s">
        <v>6375</v>
      </c>
      <c r="B6294" t="s">
        <v>156</v>
      </c>
      <c r="C6294" s="2">
        <v>43753</v>
      </c>
      <c r="D6294" t="s">
        <v>29</v>
      </c>
      <c r="E6294">
        <v>2707</v>
      </c>
    </row>
    <row r="6295" spans="1:5" x14ac:dyDescent="0.55000000000000004">
      <c r="A6295" t="s">
        <v>6376</v>
      </c>
      <c r="B6295" t="s">
        <v>151</v>
      </c>
      <c r="C6295" s="2">
        <v>43587</v>
      </c>
      <c r="D6295" t="s">
        <v>26</v>
      </c>
      <c r="E6295">
        <v>1976</v>
      </c>
    </row>
    <row r="6296" spans="1:5" x14ac:dyDescent="0.55000000000000004">
      <c r="A6296" t="s">
        <v>6377</v>
      </c>
      <c r="B6296" t="s">
        <v>137</v>
      </c>
      <c r="C6296" s="2">
        <v>45562</v>
      </c>
      <c r="D6296" t="s">
        <v>26</v>
      </c>
      <c r="E6296">
        <v>415</v>
      </c>
    </row>
    <row r="6297" spans="1:5" x14ac:dyDescent="0.55000000000000004">
      <c r="A6297" t="s">
        <v>6378</v>
      </c>
      <c r="B6297" t="s">
        <v>67</v>
      </c>
      <c r="C6297" s="2">
        <v>45778</v>
      </c>
      <c r="D6297" t="s">
        <v>26</v>
      </c>
      <c r="E6297">
        <v>1459</v>
      </c>
    </row>
    <row r="6298" spans="1:5" x14ac:dyDescent="0.55000000000000004">
      <c r="A6298" t="s">
        <v>6379</v>
      </c>
      <c r="B6298" t="s">
        <v>140</v>
      </c>
      <c r="C6298" s="2">
        <v>44321</v>
      </c>
      <c r="D6298" t="s">
        <v>29</v>
      </c>
      <c r="E6298">
        <v>770</v>
      </c>
    </row>
    <row r="6299" spans="1:5" x14ac:dyDescent="0.55000000000000004">
      <c r="A6299" t="s">
        <v>6380</v>
      </c>
      <c r="B6299" t="s">
        <v>156</v>
      </c>
      <c r="C6299" s="2">
        <v>43488</v>
      </c>
      <c r="D6299" t="s">
        <v>29</v>
      </c>
      <c r="E6299">
        <v>2033</v>
      </c>
    </row>
    <row r="6300" spans="1:5" x14ac:dyDescent="0.55000000000000004">
      <c r="A6300" t="s">
        <v>6381</v>
      </c>
      <c r="B6300" t="s">
        <v>74</v>
      </c>
      <c r="C6300" s="2">
        <v>44422</v>
      </c>
      <c r="D6300" t="s">
        <v>29</v>
      </c>
      <c r="E6300">
        <v>1813</v>
      </c>
    </row>
    <row r="6301" spans="1:5" x14ac:dyDescent="0.55000000000000004">
      <c r="A6301" t="s">
        <v>6382</v>
      </c>
      <c r="B6301" t="s">
        <v>78</v>
      </c>
      <c r="C6301" s="2">
        <v>45017</v>
      </c>
      <c r="D6301" t="s">
        <v>26</v>
      </c>
      <c r="E6301">
        <v>2426</v>
      </c>
    </row>
    <row r="6302" spans="1:5" x14ac:dyDescent="0.55000000000000004">
      <c r="A6302" t="s">
        <v>6383</v>
      </c>
      <c r="B6302" t="s">
        <v>137</v>
      </c>
      <c r="C6302" s="2">
        <v>45094</v>
      </c>
      <c r="D6302" t="s">
        <v>26</v>
      </c>
      <c r="E6302">
        <v>1271</v>
      </c>
    </row>
    <row r="6303" spans="1:5" x14ac:dyDescent="0.55000000000000004">
      <c r="A6303" t="s">
        <v>6384</v>
      </c>
      <c r="B6303" t="s">
        <v>63</v>
      </c>
      <c r="C6303" s="2">
        <v>43346</v>
      </c>
      <c r="D6303" t="s">
        <v>29</v>
      </c>
      <c r="E6303">
        <v>559</v>
      </c>
    </row>
    <row r="6304" spans="1:5" x14ac:dyDescent="0.55000000000000004">
      <c r="A6304" t="s">
        <v>6385</v>
      </c>
      <c r="B6304" t="s">
        <v>23</v>
      </c>
      <c r="C6304" s="2">
        <v>44357</v>
      </c>
      <c r="D6304" t="s">
        <v>29</v>
      </c>
      <c r="E6304">
        <v>2576</v>
      </c>
    </row>
    <row r="6305" spans="1:5" x14ac:dyDescent="0.55000000000000004">
      <c r="A6305" t="s">
        <v>6386</v>
      </c>
      <c r="B6305" t="s">
        <v>137</v>
      </c>
      <c r="C6305" s="2">
        <v>45227</v>
      </c>
      <c r="D6305" t="s">
        <v>29</v>
      </c>
      <c r="E6305">
        <v>1398</v>
      </c>
    </row>
    <row r="6306" spans="1:5" x14ac:dyDescent="0.55000000000000004">
      <c r="A6306" t="s">
        <v>6387</v>
      </c>
      <c r="B6306" t="s">
        <v>142</v>
      </c>
      <c r="C6306" s="2">
        <v>44165</v>
      </c>
      <c r="D6306" t="s">
        <v>26</v>
      </c>
      <c r="E6306">
        <v>2824</v>
      </c>
    </row>
    <row r="6307" spans="1:5" x14ac:dyDescent="0.55000000000000004">
      <c r="A6307" t="s">
        <v>6388</v>
      </c>
      <c r="B6307" t="s">
        <v>142</v>
      </c>
      <c r="C6307" s="2">
        <v>43146</v>
      </c>
      <c r="D6307" t="s">
        <v>26</v>
      </c>
      <c r="E6307">
        <v>2180</v>
      </c>
    </row>
    <row r="6308" spans="1:5" x14ac:dyDescent="0.55000000000000004">
      <c r="A6308" t="s">
        <v>6389</v>
      </c>
      <c r="B6308" t="s">
        <v>32</v>
      </c>
      <c r="C6308" s="2">
        <v>44527</v>
      </c>
      <c r="D6308" t="s">
        <v>29</v>
      </c>
      <c r="E6308">
        <v>933</v>
      </c>
    </row>
    <row r="6309" spans="1:5" x14ac:dyDescent="0.55000000000000004">
      <c r="A6309" t="s">
        <v>6390</v>
      </c>
      <c r="B6309" t="s">
        <v>23</v>
      </c>
      <c r="C6309" s="2">
        <v>43865</v>
      </c>
      <c r="D6309" t="s">
        <v>26</v>
      </c>
      <c r="E6309">
        <v>2800</v>
      </c>
    </row>
    <row r="6310" spans="1:5" x14ac:dyDescent="0.55000000000000004">
      <c r="A6310" t="s">
        <v>6391</v>
      </c>
      <c r="B6310" t="s">
        <v>41</v>
      </c>
      <c r="C6310" s="2">
        <v>44528</v>
      </c>
      <c r="D6310" t="s">
        <v>26</v>
      </c>
      <c r="E6310">
        <v>389</v>
      </c>
    </row>
    <row r="6311" spans="1:5" x14ac:dyDescent="0.55000000000000004">
      <c r="A6311" t="s">
        <v>6392</v>
      </c>
      <c r="B6311" t="s">
        <v>41</v>
      </c>
      <c r="C6311" s="2">
        <v>44005</v>
      </c>
      <c r="D6311" t="s">
        <v>29</v>
      </c>
      <c r="E6311">
        <v>2717</v>
      </c>
    </row>
    <row r="6312" spans="1:5" x14ac:dyDescent="0.55000000000000004">
      <c r="A6312" t="s">
        <v>6393</v>
      </c>
      <c r="B6312" t="s">
        <v>67</v>
      </c>
      <c r="C6312" s="2">
        <v>44655</v>
      </c>
      <c r="D6312" t="s">
        <v>29</v>
      </c>
      <c r="E6312">
        <v>697</v>
      </c>
    </row>
    <row r="6313" spans="1:5" x14ac:dyDescent="0.55000000000000004">
      <c r="A6313" t="s">
        <v>6394</v>
      </c>
      <c r="B6313" t="s">
        <v>35</v>
      </c>
      <c r="C6313" s="2">
        <v>44434</v>
      </c>
      <c r="D6313" t="s">
        <v>29</v>
      </c>
      <c r="E6313">
        <v>1134</v>
      </c>
    </row>
    <row r="6314" spans="1:5" x14ac:dyDescent="0.55000000000000004">
      <c r="A6314" t="s">
        <v>6395</v>
      </c>
      <c r="B6314" t="s">
        <v>78</v>
      </c>
      <c r="C6314" s="2">
        <v>45573</v>
      </c>
      <c r="D6314" t="s">
        <v>29</v>
      </c>
      <c r="E6314">
        <v>2536</v>
      </c>
    </row>
    <row r="6315" spans="1:5" x14ac:dyDescent="0.55000000000000004">
      <c r="A6315" t="s">
        <v>6396</v>
      </c>
      <c r="B6315" t="s">
        <v>118</v>
      </c>
      <c r="C6315" s="2">
        <v>45341</v>
      </c>
      <c r="D6315" t="s">
        <v>29</v>
      </c>
      <c r="E6315">
        <v>1794</v>
      </c>
    </row>
    <row r="6316" spans="1:5" x14ac:dyDescent="0.55000000000000004">
      <c r="A6316" t="s">
        <v>6397</v>
      </c>
      <c r="B6316" t="s">
        <v>105</v>
      </c>
      <c r="C6316" s="2">
        <v>44066</v>
      </c>
      <c r="D6316" t="s">
        <v>29</v>
      </c>
      <c r="E6316">
        <v>2008</v>
      </c>
    </row>
    <row r="6317" spans="1:5" x14ac:dyDescent="0.55000000000000004">
      <c r="A6317" t="s">
        <v>6398</v>
      </c>
      <c r="B6317" t="s">
        <v>111</v>
      </c>
      <c r="C6317" s="2">
        <v>44217</v>
      </c>
      <c r="D6317" t="s">
        <v>29</v>
      </c>
      <c r="E6317">
        <v>2129</v>
      </c>
    </row>
    <row r="6318" spans="1:5" x14ac:dyDescent="0.55000000000000004">
      <c r="A6318" t="s">
        <v>6399</v>
      </c>
      <c r="B6318" t="s">
        <v>72</v>
      </c>
      <c r="C6318" s="2">
        <v>43978</v>
      </c>
      <c r="D6318" t="s">
        <v>26</v>
      </c>
      <c r="E6318">
        <v>2426</v>
      </c>
    </row>
    <row r="6319" spans="1:5" x14ac:dyDescent="0.55000000000000004">
      <c r="A6319" t="s">
        <v>6400</v>
      </c>
      <c r="B6319" t="s">
        <v>142</v>
      </c>
      <c r="C6319" s="2">
        <v>43283</v>
      </c>
      <c r="D6319" t="s">
        <v>26</v>
      </c>
      <c r="E6319">
        <v>292</v>
      </c>
    </row>
    <row r="6320" spans="1:5" x14ac:dyDescent="0.55000000000000004">
      <c r="A6320" t="s">
        <v>6401</v>
      </c>
      <c r="B6320" t="s">
        <v>15</v>
      </c>
      <c r="C6320" s="2">
        <v>44443</v>
      </c>
      <c r="D6320" t="s">
        <v>29</v>
      </c>
      <c r="E6320">
        <v>2994</v>
      </c>
    </row>
    <row r="6321" spans="1:5" x14ac:dyDescent="0.55000000000000004">
      <c r="A6321" t="s">
        <v>6402</v>
      </c>
      <c r="B6321" t="s">
        <v>99</v>
      </c>
      <c r="C6321" s="2">
        <v>43769</v>
      </c>
      <c r="D6321" t="s">
        <v>26</v>
      </c>
      <c r="E6321">
        <v>1225</v>
      </c>
    </row>
    <row r="6322" spans="1:5" x14ac:dyDescent="0.55000000000000004">
      <c r="A6322" t="s">
        <v>6403</v>
      </c>
      <c r="B6322" t="s">
        <v>67</v>
      </c>
      <c r="C6322" s="2">
        <v>45679</v>
      </c>
      <c r="D6322" t="s">
        <v>26</v>
      </c>
      <c r="E6322">
        <v>2618</v>
      </c>
    </row>
    <row r="6323" spans="1:5" x14ac:dyDescent="0.55000000000000004">
      <c r="A6323" t="s">
        <v>6404</v>
      </c>
      <c r="B6323" t="s">
        <v>32</v>
      </c>
      <c r="C6323" s="2">
        <v>44756</v>
      </c>
      <c r="D6323" t="s">
        <v>26</v>
      </c>
      <c r="E6323">
        <v>1892</v>
      </c>
    </row>
    <row r="6324" spans="1:5" x14ac:dyDescent="0.55000000000000004">
      <c r="A6324" t="s">
        <v>6405</v>
      </c>
      <c r="B6324" t="s">
        <v>14</v>
      </c>
      <c r="C6324" s="2">
        <v>43589</v>
      </c>
      <c r="D6324" t="s">
        <v>29</v>
      </c>
      <c r="E6324">
        <v>1075</v>
      </c>
    </row>
    <row r="6325" spans="1:5" x14ac:dyDescent="0.55000000000000004">
      <c r="A6325" t="s">
        <v>6406</v>
      </c>
      <c r="B6325" t="s">
        <v>111</v>
      </c>
      <c r="C6325" s="2">
        <v>43119</v>
      </c>
      <c r="D6325" t="s">
        <v>29</v>
      </c>
      <c r="E6325">
        <v>844</v>
      </c>
    </row>
    <row r="6326" spans="1:5" x14ac:dyDescent="0.55000000000000004">
      <c r="A6326" t="s">
        <v>6407</v>
      </c>
      <c r="B6326" t="s">
        <v>140</v>
      </c>
      <c r="C6326" s="2">
        <v>43933</v>
      </c>
      <c r="D6326" t="s">
        <v>26</v>
      </c>
      <c r="E6326">
        <v>2142</v>
      </c>
    </row>
    <row r="6327" spans="1:5" x14ac:dyDescent="0.55000000000000004">
      <c r="A6327" t="s">
        <v>6408</v>
      </c>
      <c r="B6327" t="s">
        <v>101</v>
      </c>
      <c r="C6327" s="2">
        <v>43988</v>
      </c>
      <c r="D6327" t="s">
        <v>26</v>
      </c>
      <c r="E6327">
        <v>339</v>
      </c>
    </row>
    <row r="6328" spans="1:5" x14ac:dyDescent="0.55000000000000004">
      <c r="A6328" t="s">
        <v>6409</v>
      </c>
      <c r="B6328" t="s">
        <v>105</v>
      </c>
      <c r="C6328" s="2">
        <v>44404</v>
      </c>
      <c r="D6328" t="s">
        <v>26</v>
      </c>
      <c r="E6328">
        <v>2614</v>
      </c>
    </row>
    <row r="6329" spans="1:5" x14ac:dyDescent="0.55000000000000004">
      <c r="A6329" t="s">
        <v>6410</v>
      </c>
      <c r="B6329" t="s">
        <v>14</v>
      </c>
      <c r="C6329" s="2">
        <v>43346</v>
      </c>
      <c r="D6329" t="s">
        <v>29</v>
      </c>
      <c r="E6329">
        <v>1779</v>
      </c>
    </row>
    <row r="6330" spans="1:5" x14ac:dyDescent="0.55000000000000004">
      <c r="A6330" t="s">
        <v>6411</v>
      </c>
      <c r="B6330" t="s">
        <v>76</v>
      </c>
      <c r="C6330" s="2">
        <v>45662</v>
      </c>
      <c r="D6330" t="s">
        <v>26</v>
      </c>
      <c r="E6330">
        <v>335</v>
      </c>
    </row>
    <row r="6331" spans="1:5" x14ac:dyDescent="0.55000000000000004">
      <c r="A6331" t="s">
        <v>6412</v>
      </c>
      <c r="B6331" t="s">
        <v>23</v>
      </c>
      <c r="C6331" s="2">
        <v>44334</v>
      </c>
      <c r="D6331" t="s">
        <v>29</v>
      </c>
      <c r="E6331">
        <v>2206</v>
      </c>
    </row>
    <row r="6332" spans="1:5" x14ac:dyDescent="0.55000000000000004">
      <c r="A6332" t="s">
        <v>6413</v>
      </c>
      <c r="B6332" t="s">
        <v>74</v>
      </c>
      <c r="C6332" s="2">
        <v>43480</v>
      </c>
      <c r="D6332" t="s">
        <v>29</v>
      </c>
      <c r="E6332">
        <v>2361</v>
      </c>
    </row>
    <row r="6333" spans="1:5" x14ac:dyDescent="0.55000000000000004">
      <c r="A6333" t="s">
        <v>6414</v>
      </c>
      <c r="B6333" t="s">
        <v>14</v>
      </c>
      <c r="C6333" s="2">
        <v>42963</v>
      </c>
      <c r="D6333" t="s">
        <v>26</v>
      </c>
      <c r="E6333">
        <v>431</v>
      </c>
    </row>
    <row r="6334" spans="1:5" x14ac:dyDescent="0.55000000000000004">
      <c r="A6334" t="s">
        <v>6415</v>
      </c>
      <c r="B6334" t="s">
        <v>15</v>
      </c>
      <c r="C6334" s="2">
        <v>43875</v>
      </c>
      <c r="D6334" t="s">
        <v>26</v>
      </c>
      <c r="E6334">
        <v>1517</v>
      </c>
    </row>
    <row r="6335" spans="1:5" x14ac:dyDescent="0.55000000000000004">
      <c r="A6335" t="s">
        <v>6416</v>
      </c>
      <c r="B6335" t="s">
        <v>111</v>
      </c>
      <c r="C6335" s="2">
        <v>43219</v>
      </c>
      <c r="D6335" t="s">
        <v>29</v>
      </c>
      <c r="E6335">
        <v>1732</v>
      </c>
    </row>
    <row r="6336" spans="1:5" x14ac:dyDescent="0.55000000000000004">
      <c r="A6336" t="s">
        <v>6417</v>
      </c>
      <c r="B6336" t="s">
        <v>23</v>
      </c>
      <c r="C6336" s="2">
        <v>44256</v>
      </c>
      <c r="D6336" t="s">
        <v>26</v>
      </c>
      <c r="E6336">
        <v>1530</v>
      </c>
    </row>
    <row r="6337" spans="1:5" x14ac:dyDescent="0.55000000000000004">
      <c r="A6337" t="s">
        <v>6418</v>
      </c>
      <c r="B6337" t="s">
        <v>74</v>
      </c>
      <c r="C6337" s="2">
        <v>44203</v>
      </c>
      <c r="D6337" t="s">
        <v>29</v>
      </c>
      <c r="E6337">
        <v>2066</v>
      </c>
    </row>
    <row r="6338" spans="1:5" x14ac:dyDescent="0.55000000000000004">
      <c r="A6338" t="s">
        <v>6419</v>
      </c>
      <c r="B6338" t="s">
        <v>99</v>
      </c>
      <c r="C6338" s="2">
        <v>43550</v>
      </c>
      <c r="D6338" t="s">
        <v>29</v>
      </c>
      <c r="E6338">
        <v>48</v>
      </c>
    </row>
    <row r="6339" spans="1:5" x14ac:dyDescent="0.55000000000000004">
      <c r="A6339" t="s">
        <v>6420</v>
      </c>
      <c r="B6339" t="s">
        <v>118</v>
      </c>
      <c r="C6339" s="2">
        <v>44770</v>
      </c>
      <c r="D6339" t="s">
        <v>26</v>
      </c>
      <c r="E6339">
        <v>518</v>
      </c>
    </row>
    <row r="6340" spans="1:5" x14ac:dyDescent="0.55000000000000004">
      <c r="A6340" t="s">
        <v>6421</v>
      </c>
      <c r="B6340" t="s">
        <v>38</v>
      </c>
      <c r="C6340" s="2">
        <v>44639</v>
      </c>
      <c r="D6340" t="s">
        <v>26</v>
      </c>
      <c r="E6340">
        <v>497</v>
      </c>
    </row>
    <row r="6341" spans="1:5" x14ac:dyDescent="0.55000000000000004">
      <c r="A6341" t="s">
        <v>6422</v>
      </c>
      <c r="B6341" t="s">
        <v>115</v>
      </c>
      <c r="C6341" s="2">
        <v>44095</v>
      </c>
      <c r="D6341" t="s">
        <v>26</v>
      </c>
      <c r="E6341">
        <v>2394</v>
      </c>
    </row>
    <row r="6342" spans="1:5" x14ac:dyDescent="0.55000000000000004">
      <c r="A6342" t="s">
        <v>6423</v>
      </c>
      <c r="B6342" t="s">
        <v>74</v>
      </c>
      <c r="C6342" s="2">
        <v>42938</v>
      </c>
      <c r="D6342" t="s">
        <v>26</v>
      </c>
      <c r="E6342">
        <v>2181</v>
      </c>
    </row>
    <row r="6343" spans="1:5" x14ac:dyDescent="0.55000000000000004">
      <c r="A6343" t="s">
        <v>6424</v>
      </c>
      <c r="B6343" t="s">
        <v>72</v>
      </c>
      <c r="C6343" s="2">
        <v>44091</v>
      </c>
      <c r="D6343" t="s">
        <v>29</v>
      </c>
      <c r="E6343">
        <v>1259</v>
      </c>
    </row>
    <row r="6344" spans="1:5" x14ac:dyDescent="0.55000000000000004">
      <c r="A6344" t="s">
        <v>6425</v>
      </c>
      <c r="B6344" t="s">
        <v>72</v>
      </c>
      <c r="C6344" s="2">
        <v>44240</v>
      </c>
      <c r="D6344" t="s">
        <v>29</v>
      </c>
      <c r="E6344">
        <v>1431</v>
      </c>
    </row>
    <row r="6345" spans="1:5" x14ac:dyDescent="0.55000000000000004">
      <c r="A6345" t="s">
        <v>6426</v>
      </c>
      <c r="B6345" t="s">
        <v>115</v>
      </c>
      <c r="C6345" s="2">
        <v>43415</v>
      </c>
      <c r="D6345" t="s">
        <v>29</v>
      </c>
      <c r="E6345">
        <v>173</v>
      </c>
    </row>
    <row r="6346" spans="1:5" x14ac:dyDescent="0.55000000000000004">
      <c r="A6346" t="s">
        <v>6427</v>
      </c>
      <c r="B6346" t="s">
        <v>23</v>
      </c>
      <c r="C6346" s="2">
        <v>43951</v>
      </c>
      <c r="D6346" t="s">
        <v>29</v>
      </c>
      <c r="E6346">
        <v>2191</v>
      </c>
    </row>
    <row r="6347" spans="1:5" x14ac:dyDescent="0.55000000000000004">
      <c r="A6347" t="s">
        <v>6428</v>
      </c>
      <c r="B6347" t="s">
        <v>137</v>
      </c>
      <c r="C6347" s="2">
        <v>43879</v>
      </c>
      <c r="D6347" t="s">
        <v>26</v>
      </c>
      <c r="E6347">
        <v>174</v>
      </c>
    </row>
    <row r="6348" spans="1:5" x14ac:dyDescent="0.55000000000000004">
      <c r="A6348" t="s">
        <v>6429</v>
      </c>
      <c r="B6348" t="s">
        <v>156</v>
      </c>
      <c r="C6348" s="2">
        <v>43588</v>
      </c>
      <c r="D6348" t="s">
        <v>26</v>
      </c>
      <c r="E6348">
        <v>555</v>
      </c>
    </row>
    <row r="6349" spans="1:5" x14ac:dyDescent="0.55000000000000004">
      <c r="A6349" t="s">
        <v>6430</v>
      </c>
      <c r="B6349" t="s">
        <v>156</v>
      </c>
      <c r="C6349" s="2">
        <v>43351</v>
      </c>
      <c r="D6349" t="s">
        <v>29</v>
      </c>
      <c r="E6349">
        <v>846</v>
      </c>
    </row>
    <row r="6350" spans="1:5" x14ac:dyDescent="0.55000000000000004">
      <c r="A6350" t="s">
        <v>6431</v>
      </c>
      <c r="B6350" t="s">
        <v>101</v>
      </c>
      <c r="C6350" s="2">
        <v>43059</v>
      </c>
      <c r="D6350" t="s">
        <v>29</v>
      </c>
      <c r="E6350">
        <v>2855</v>
      </c>
    </row>
    <row r="6351" spans="1:5" x14ac:dyDescent="0.55000000000000004">
      <c r="A6351" t="s">
        <v>6432</v>
      </c>
      <c r="B6351" t="s">
        <v>137</v>
      </c>
      <c r="C6351" s="2">
        <v>45640</v>
      </c>
      <c r="D6351" t="s">
        <v>29</v>
      </c>
      <c r="E6351">
        <v>842</v>
      </c>
    </row>
    <row r="6352" spans="1:5" x14ac:dyDescent="0.55000000000000004">
      <c r="A6352" t="s">
        <v>6433</v>
      </c>
      <c r="B6352" t="s">
        <v>101</v>
      </c>
      <c r="C6352" s="2">
        <v>44468</v>
      </c>
      <c r="D6352" t="s">
        <v>29</v>
      </c>
      <c r="E6352">
        <v>572</v>
      </c>
    </row>
    <row r="6353" spans="1:5" x14ac:dyDescent="0.55000000000000004">
      <c r="A6353" t="s">
        <v>6434</v>
      </c>
      <c r="B6353" t="s">
        <v>15</v>
      </c>
      <c r="C6353" s="2">
        <v>43078</v>
      </c>
      <c r="D6353" t="s">
        <v>26</v>
      </c>
      <c r="E6353">
        <v>2827</v>
      </c>
    </row>
    <row r="6354" spans="1:5" x14ac:dyDescent="0.55000000000000004">
      <c r="A6354" t="s">
        <v>6435</v>
      </c>
      <c r="B6354" t="s">
        <v>86</v>
      </c>
      <c r="C6354" s="2">
        <v>43960</v>
      </c>
      <c r="D6354" t="s">
        <v>29</v>
      </c>
      <c r="E6354">
        <v>2327</v>
      </c>
    </row>
    <row r="6355" spans="1:5" x14ac:dyDescent="0.55000000000000004">
      <c r="A6355" t="s">
        <v>6436</v>
      </c>
      <c r="B6355" t="s">
        <v>63</v>
      </c>
      <c r="C6355" s="2">
        <v>43345</v>
      </c>
      <c r="D6355" t="s">
        <v>29</v>
      </c>
      <c r="E6355">
        <v>991</v>
      </c>
    </row>
    <row r="6356" spans="1:5" x14ac:dyDescent="0.55000000000000004">
      <c r="A6356" t="s">
        <v>6437</v>
      </c>
      <c r="B6356" t="s">
        <v>137</v>
      </c>
      <c r="C6356" s="2">
        <v>43713</v>
      </c>
      <c r="D6356" t="s">
        <v>26</v>
      </c>
      <c r="E6356">
        <v>2566</v>
      </c>
    </row>
    <row r="6357" spans="1:5" x14ac:dyDescent="0.55000000000000004">
      <c r="A6357" t="s">
        <v>6438</v>
      </c>
      <c r="B6357" t="s">
        <v>111</v>
      </c>
      <c r="C6357" s="2">
        <v>44032</v>
      </c>
      <c r="D6357" t="s">
        <v>29</v>
      </c>
      <c r="E6357">
        <v>1762</v>
      </c>
    </row>
    <row r="6358" spans="1:5" x14ac:dyDescent="0.55000000000000004">
      <c r="A6358" t="s">
        <v>6439</v>
      </c>
      <c r="B6358" t="s">
        <v>74</v>
      </c>
      <c r="C6358" s="2">
        <v>43668</v>
      </c>
      <c r="D6358" t="s">
        <v>29</v>
      </c>
      <c r="E6358">
        <v>1844</v>
      </c>
    </row>
    <row r="6359" spans="1:5" x14ac:dyDescent="0.55000000000000004">
      <c r="A6359" t="s">
        <v>6440</v>
      </c>
      <c r="B6359" t="s">
        <v>38</v>
      </c>
      <c r="C6359" s="2">
        <v>44335</v>
      </c>
      <c r="D6359" t="s">
        <v>26</v>
      </c>
      <c r="E6359">
        <v>2665</v>
      </c>
    </row>
    <row r="6360" spans="1:5" x14ac:dyDescent="0.55000000000000004">
      <c r="A6360" t="s">
        <v>6441</v>
      </c>
      <c r="B6360" t="s">
        <v>111</v>
      </c>
      <c r="C6360" s="2">
        <v>43707</v>
      </c>
      <c r="D6360" t="s">
        <v>29</v>
      </c>
      <c r="E6360">
        <v>980</v>
      </c>
    </row>
    <row r="6361" spans="1:5" x14ac:dyDescent="0.55000000000000004">
      <c r="A6361" t="s">
        <v>6442</v>
      </c>
      <c r="B6361" t="s">
        <v>23</v>
      </c>
      <c r="C6361" s="2">
        <v>44829</v>
      </c>
      <c r="D6361" t="s">
        <v>26</v>
      </c>
      <c r="E6361">
        <v>1462</v>
      </c>
    </row>
    <row r="6362" spans="1:5" x14ac:dyDescent="0.55000000000000004">
      <c r="A6362" t="s">
        <v>6443</v>
      </c>
      <c r="B6362" t="s">
        <v>86</v>
      </c>
      <c r="C6362" s="2">
        <v>44534</v>
      </c>
      <c r="D6362" t="s">
        <v>26</v>
      </c>
      <c r="E6362">
        <v>414</v>
      </c>
    </row>
    <row r="6363" spans="1:5" x14ac:dyDescent="0.55000000000000004">
      <c r="A6363" t="s">
        <v>6444</v>
      </c>
      <c r="B6363" t="s">
        <v>101</v>
      </c>
      <c r="C6363" s="2">
        <v>43511</v>
      </c>
      <c r="D6363" t="s">
        <v>26</v>
      </c>
      <c r="E6363">
        <v>1609</v>
      </c>
    </row>
    <row r="6364" spans="1:5" x14ac:dyDescent="0.55000000000000004">
      <c r="A6364" t="s">
        <v>6445</v>
      </c>
      <c r="B6364" t="s">
        <v>38</v>
      </c>
      <c r="C6364" s="2">
        <v>43918</v>
      </c>
      <c r="D6364" t="s">
        <v>26</v>
      </c>
      <c r="E6364">
        <v>2081</v>
      </c>
    </row>
    <row r="6365" spans="1:5" x14ac:dyDescent="0.55000000000000004">
      <c r="A6365" t="s">
        <v>6446</v>
      </c>
      <c r="B6365" t="s">
        <v>63</v>
      </c>
      <c r="C6365" s="2">
        <v>43882</v>
      </c>
      <c r="D6365" t="s">
        <v>29</v>
      </c>
      <c r="E6365">
        <v>744</v>
      </c>
    </row>
    <row r="6366" spans="1:5" x14ac:dyDescent="0.55000000000000004">
      <c r="A6366" t="s">
        <v>6447</v>
      </c>
      <c r="B6366" t="s">
        <v>15</v>
      </c>
      <c r="C6366" s="2">
        <v>42974</v>
      </c>
      <c r="D6366" t="s">
        <v>26</v>
      </c>
      <c r="E6366">
        <v>2231</v>
      </c>
    </row>
    <row r="6367" spans="1:5" x14ac:dyDescent="0.55000000000000004">
      <c r="A6367" t="s">
        <v>6448</v>
      </c>
      <c r="B6367" t="s">
        <v>32</v>
      </c>
      <c r="C6367" s="2">
        <v>44694</v>
      </c>
      <c r="D6367" t="s">
        <v>29</v>
      </c>
      <c r="E6367">
        <v>1678</v>
      </c>
    </row>
    <row r="6368" spans="1:5" x14ac:dyDescent="0.55000000000000004">
      <c r="A6368" t="s">
        <v>6449</v>
      </c>
      <c r="B6368" t="s">
        <v>14</v>
      </c>
      <c r="C6368" s="2">
        <v>43619</v>
      </c>
      <c r="D6368" t="s">
        <v>26</v>
      </c>
      <c r="E6368">
        <v>1208</v>
      </c>
    </row>
    <row r="6369" spans="1:5" x14ac:dyDescent="0.55000000000000004">
      <c r="A6369" t="s">
        <v>6450</v>
      </c>
      <c r="B6369" t="s">
        <v>105</v>
      </c>
      <c r="C6369" s="2">
        <v>43984</v>
      </c>
      <c r="D6369" t="s">
        <v>26</v>
      </c>
      <c r="E6369">
        <v>1547</v>
      </c>
    </row>
    <row r="6370" spans="1:5" x14ac:dyDescent="0.55000000000000004">
      <c r="A6370" t="s">
        <v>6451</v>
      </c>
      <c r="B6370" t="s">
        <v>137</v>
      </c>
      <c r="C6370" s="2">
        <v>44510</v>
      </c>
      <c r="D6370" t="s">
        <v>29</v>
      </c>
      <c r="E6370">
        <v>281</v>
      </c>
    </row>
    <row r="6371" spans="1:5" x14ac:dyDescent="0.55000000000000004">
      <c r="A6371" t="s">
        <v>6452</v>
      </c>
      <c r="B6371" t="s">
        <v>175</v>
      </c>
      <c r="C6371" s="2">
        <v>45154</v>
      </c>
      <c r="D6371" t="s">
        <v>26</v>
      </c>
      <c r="E6371">
        <v>143</v>
      </c>
    </row>
    <row r="6372" spans="1:5" x14ac:dyDescent="0.55000000000000004">
      <c r="A6372" t="s">
        <v>6453</v>
      </c>
      <c r="B6372" t="s">
        <v>94</v>
      </c>
      <c r="C6372" s="2">
        <v>43895</v>
      </c>
      <c r="D6372" t="s">
        <v>29</v>
      </c>
      <c r="E6372">
        <v>1324</v>
      </c>
    </row>
    <row r="6373" spans="1:5" x14ac:dyDescent="0.55000000000000004">
      <c r="A6373" t="s">
        <v>6454</v>
      </c>
      <c r="B6373" t="s">
        <v>35</v>
      </c>
      <c r="C6373" s="2">
        <v>44250</v>
      </c>
      <c r="D6373" t="s">
        <v>29</v>
      </c>
      <c r="E6373">
        <v>2193</v>
      </c>
    </row>
    <row r="6374" spans="1:5" x14ac:dyDescent="0.55000000000000004">
      <c r="A6374" t="s">
        <v>6455</v>
      </c>
      <c r="B6374" t="s">
        <v>76</v>
      </c>
      <c r="C6374" s="2">
        <v>44693</v>
      </c>
      <c r="D6374" t="s">
        <v>29</v>
      </c>
      <c r="E6374">
        <v>1087</v>
      </c>
    </row>
    <row r="6375" spans="1:5" x14ac:dyDescent="0.55000000000000004">
      <c r="A6375" t="s">
        <v>6456</v>
      </c>
      <c r="B6375" t="s">
        <v>142</v>
      </c>
      <c r="C6375" s="2">
        <v>43681</v>
      </c>
      <c r="D6375" t="s">
        <v>26</v>
      </c>
      <c r="E6375">
        <v>153</v>
      </c>
    </row>
    <row r="6376" spans="1:5" x14ac:dyDescent="0.55000000000000004">
      <c r="A6376" t="s">
        <v>6457</v>
      </c>
      <c r="B6376" t="s">
        <v>151</v>
      </c>
      <c r="C6376" s="2">
        <v>44287</v>
      </c>
      <c r="D6376" t="s">
        <v>26</v>
      </c>
      <c r="E6376">
        <v>554</v>
      </c>
    </row>
    <row r="6377" spans="1:5" x14ac:dyDescent="0.55000000000000004">
      <c r="A6377" t="s">
        <v>6458</v>
      </c>
      <c r="B6377" t="s">
        <v>96</v>
      </c>
      <c r="C6377" s="2">
        <v>44342</v>
      </c>
      <c r="D6377" t="s">
        <v>26</v>
      </c>
      <c r="E6377">
        <v>1081</v>
      </c>
    </row>
    <row r="6378" spans="1:5" x14ac:dyDescent="0.55000000000000004">
      <c r="A6378" t="s">
        <v>6459</v>
      </c>
      <c r="B6378" t="s">
        <v>72</v>
      </c>
      <c r="C6378" s="2">
        <v>43913</v>
      </c>
      <c r="D6378" t="s">
        <v>29</v>
      </c>
      <c r="E6378">
        <v>854</v>
      </c>
    </row>
    <row r="6379" spans="1:5" x14ac:dyDescent="0.55000000000000004">
      <c r="A6379" t="s">
        <v>6460</v>
      </c>
      <c r="B6379" t="s">
        <v>140</v>
      </c>
      <c r="C6379" s="2">
        <v>43192</v>
      </c>
      <c r="D6379" t="s">
        <v>26</v>
      </c>
      <c r="E6379">
        <v>1078</v>
      </c>
    </row>
    <row r="6380" spans="1:5" x14ac:dyDescent="0.55000000000000004">
      <c r="A6380" t="s">
        <v>6461</v>
      </c>
      <c r="B6380" t="s">
        <v>35</v>
      </c>
      <c r="C6380" s="2">
        <v>44361</v>
      </c>
      <c r="D6380" t="s">
        <v>29</v>
      </c>
      <c r="E6380">
        <v>1856</v>
      </c>
    </row>
    <row r="6381" spans="1:5" x14ac:dyDescent="0.55000000000000004">
      <c r="A6381" t="s">
        <v>6462</v>
      </c>
      <c r="B6381" t="s">
        <v>115</v>
      </c>
      <c r="C6381" s="2">
        <v>44000</v>
      </c>
      <c r="D6381" t="s">
        <v>26</v>
      </c>
      <c r="E6381">
        <v>2424</v>
      </c>
    </row>
    <row r="6382" spans="1:5" x14ac:dyDescent="0.55000000000000004">
      <c r="A6382" t="s">
        <v>6463</v>
      </c>
      <c r="B6382" t="s">
        <v>111</v>
      </c>
      <c r="C6382" s="2">
        <v>44543</v>
      </c>
      <c r="D6382" t="s">
        <v>26</v>
      </c>
      <c r="E6382">
        <v>88</v>
      </c>
    </row>
    <row r="6383" spans="1:5" x14ac:dyDescent="0.55000000000000004">
      <c r="A6383" t="s">
        <v>6464</v>
      </c>
      <c r="B6383" t="s">
        <v>23</v>
      </c>
      <c r="C6383" s="2">
        <v>44674</v>
      </c>
      <c r="D6383" t="s">
        <v>26</v>
      </c>
      <c r="E6383">
        <v>1713</v>
      </c>
    </row>
    <row r="6384" spans="1:5" x14ac:dyDescent="0.55000000000000004">
      <c r="A6384" t="s">
        <v>6465</v>
      </c>
      <c r="B6384" t="s">
        <v>96</v>
      </c>
      <c r="C6384" s="2">
        <v>45113</v>
      </c>
      <c r="D6384" t="s">
        <v>29</v>
      </c>
      <c r="E6384">
        <v>2847</v>
      </c>
    </row>
    <row r="6385" spans="1:5" x14ac:dyDescent="0.55000000000000004">
      <c r="A6385" t="s">
        <v>6466</v>
      </c>
      <c r="B6385" t="s">
        <v>118</v>
      </c>
      <c r="C6385" s="2">
        <v>43480</v>
      </c>
      <c r="D6385" t="s">
        <v>26</v>
      </c>
      <c r="E6385">
        <v>709</v>
      </c>
    </row>
    <row r="6386" spans="1:5" x14ac:dyDescent="0.55000000000000004">
      <c r="A6386" t="s">
        <v>6467</v>
      </c>
      <c r="B6386" t="s">
        <v>67</v>
      </c>
      <c r="C6386" s="2">
        <v>45663</v>
      </c>
      <c r="D6386" t="s">
        <v>29</v>
      </c>
      <c r="E6386">
        <v>2513</v>
      </c>
    </row>
    <row r="6387" spans="1:5" x14ac:dyDescent="0.55000000000000004">
      <c r="A6387" t="s">
        <v>6468</v>
      </c>
      <c r="B6387" t="s">
        <v>67</v>
      </c>
      <c r="C6387" s="2">
        <v>45326</v>
      </c>
      <c r="D6387" t="s">
        <v>29</v>
      </c>
      <c r="E6387">
        <v>1310</v>
      </c>
    </row>
    <row r="6388" spans="1:5" x14ac:dyDescent="0.55000000000000004">
      <c r="A6388" t="s">
        <v>6469</v>
      </c>
      <c r="B6388" t="s">
        <v>118</v>
      </c>
      <c r="C6388" s="2">
        <v>44902</v>
      </c>
      <c r="D6388" t="s">
        <v>26</v>
      </c>
      <c r="E6388">
        <v>2895</v>
      </c>
    </row>
    <row r="6389" spans="1:5" x14ac:dyDescent="0.55000000000000004">
      <c r="A6389" t="s">
        <v>6470</v>
      </c>
      <c r="B6389" t="s">
        <v>63</v>
      </c>
      <c r="C6389" s="2">
        <v>44487</v>
      </c>
      <c r="D6389" t="s">
        <v>29</v>
      </c>
      <c r="E6389">
        <v>2202</v>
      </c>
    </row>
    <row r="6390" spans="1:5" x14ac:dyDescent="0.55000000000000004">
      <c r="A6390" t="s">
        <v>6471</v>
      </c>
      <c r="B6390" t="s">
        <v>78</v>
      </c>
      <c r="C6390" s="2">
        <v>45324</v>
      </c>
      <c r="D6390" t="s">
        <v>26</v>
      </c>
      <c r="E6390">
        <v>2010</v>
      </c>
    </row>
    <row r="6391" spans="1:5" x14ac:dyDescent="0.55000000000000004">
      <c r="A6391" t="s">
        <v>6472</v>
      </c>
      <c r="B6391" t="s">
        <v>115</v>
      </c>
      <c r="C6391" s="2">
        <v>43845</v>
      </c>
      <c r="D6391" t="s">
        <v>29</v>
      </c>
      <c r="E6391">
        <v>805</v>
      </c>
    </row>
    <row r="6392" spans="1:5" x14ac:dyDescent="0.55000000000000004">
      <c r="A6392" t="s">
        <v>6473</v>
      </c>
      <c r="B6392" t="s">
        <v>14</v>
      </c>
      <c r="C6392" s="2">
        <v>44231</v>
      </c>
      <c r="D6392" t="s">
        <v>29</v>
      </c>
      <c r="E6392">
        <v>2264</v>
      </c>
    </row>
    <row r="6393" spans="1:5" x14ac:dyDescent="0.55000000000000004">
      <c r="A6393" t="s">
        <v>6474</v>
      </c>
      <c r="B6393" t="s">
        <v>99</v>
      </c>
      <c r="C6393" s="2">
        <v>43956</v>
      </c>
      <c r="D6393" t="s">
        <v>26</v>
      </c>
      <c r="E6393">
        <v>1571</v>
      </c>
    </row>
    <row r="6394" spans="1:5" x14ac:dyDescent="0.55000000000000004">
      <c r="A6394" t="s">
        <v>6475</v>
      </c>
      <c r="B6394" t="s">
        <v>175</v>
      </c>
      <c r="C6394" s="2">
        <v>44575</v>
      </c>
      <c r="D6394" t="s">
        <v>26</v>
      </c>
      <c r="E6394">
        <v>831</v>
      </c>
    </row>
    <row r="6395" spans="1:5" x14ac:dyDescent="0.55000000000000004">
      <c r="A6395" t="s">
        <v>6476</v>
      </c>
      <c r="B6395" t="s">
        <v>156</v>
      </c>
      <c r="C6395" s="2">
        <v>43343</v>
      </c>
      <c r="D6395" t="s">
        <v>26</v>
      </c>
      <c r="E6395">
        <v>2077</v>
      </c>
    </row>
    <row r="6396" spans="1:5" x14ac:dyDescent="0.55000000000000004">
      <c r="A6396" t="s">
        <v>6477</v>
      </c>
      <c r="B6396" t="s">
        <v>96</v>
      </c>
      <c r="C6396" s="2">
        <v>44307</v>
      </c>
      <c r="D6396" t="s">
        <v>29</v>
      </c>
      <c r="E6396">
        <v>1815</v>
      </c>
    </row>
    <row r="6397" spans="1:5" x14ac:dyDescent="0.55000000000000004">
      <c r="A6397" t="s">
        <v>6478</v>
      </c>
      <c r="B6397" t="s">
        <v>35</v>
      </c>
      <c r="C6397" s="2">
        <v>44566</v>
      </c>
      <c r="D6397" t="s">
        <v>26</v>
      </c>
      <c r="E6397">
        <v>2999</v>
      </c>
    </row>
    <row r="6398" spans="1:5" x14ac:dyDescent="0.55000000000000004">
      <c r="A6398" t="s">
        <v>6479</v>
      </c>
      <c r="B6398" t="s">
        <v>63</v>
      </c>
      <c r="C6398" s="2">
        <v>43356</v>
      </c>
      <c r="D6398" t="s">
        <v>29</v>
      </c>
      <c r="E6398">
        <v>1163</v>
      </c>
    </row>
    <row r="6399" spans="1:5" x14ac:dyDescent="0.55000000000000004">
      <c r="A6399" t="s">
        <v>6480</v>
      </c>
      <c r="B6399" t="s">
        <v>118</v>
      </c>
      <c r="C6399" s="2">
        <v>45411</v>
      </c>
      <c r="D6399" t="s">
        <v>29</v>
      </c>
      <c r="E6399">
        <v>57</v>
      </c>
    </row>
    <row r="6400" spans="1:5" x14ac:dyDescent="0.55000000000000004">
      <c r="A6400" t="s">
        <v>6481</v>
      </c>
      <c r="B6400" t="s">
        <v>175</v>
      </c>
      <c r="C6400" s="2">
        <v>44494</v>
      </c>
      <c r="D6400" t="s">
        <v>26</v>
      </c>
      <c r="E6400">
        <v>952</v>
      </c>
    </row>
    <row r="6401" spans="1:5" x14ac:dyDescent="0.55000000000000004">
      <c r="A6401" t="s">
        <v>6482</v>
      </c>
      <c r="B6401" t="s">
        <v>41</v>
      </c>
      <c r="C6401" s="2">
        <v>43848</v>
      </c>
      <c r="D6401" t="s">
        <v>26</v>
      </c>
      <c r="E6401">
        <v>2550</v>
      </c>
    </row>
    <row r="6402" spans="1:5" x14ac:dyDescent="0.55000000000000004">
      <c r="A6402" t="s">
        <v>6483</v>
      </c>
      <c r="B6402" t="s">
        <v>115</v>
      </c>
      <c r="C6402" s="2">
        <v>43631</v>
      </c>
      <c r="D6402" t="s">
        <v>26</v>
      </c>
      <c r="E6402">
        <v>2099</v>
      </c>
    </row>
    <row r="6403" spans="1:5" x14ac:dyDescent="0.55000000000000004">
      <c r="A6403" t="s">
        <v>6484</v>
      </c>
      <c r="B6403" t="s">
        <v>175</v>
      </c>
      <c r="C6403" s="2">
        <v>45182</v>
      </c>
      <c r="D6403" t="s">
        <v>26</v>
      </c>
      <c r="E6403">
        <v>763</v>
      </c>
    </row>
    <row r="6404" spans="1:5" x14ac:dyDescent="0.55000000000000004">
      <c r="A6404" t="s">
        <v>6485</v>
      </c>
      <c r="B6404" t="s">
        <v>99</v>
      </c>
      <c r="C6404" s="2">
        <v>43989</v>
      </c>
      <c r="D6404" t="s">
        <v>29</v>
      </c>
      <c r="E6404">
        <v>545</v>
      </c>
    </row>
    <row r="6405" spans="1:5" x14ac:dyDescent="0.55000000000000004">
      <c r="A6405" t="s">
        <v>6486</v>
      </c>
      <c r="B6405" t="s">
        <v>86</v>
      </c>
      <c r="C6405" s="2">
        <v>43458</v>
      </c>
      <c r="D6405" t="s">
        <v>26</v>
      </c>
      <c r="E6405">
        <v>161</v>
      </c>
    </row>
    <row r="6406" spans="1:5" x14ac:dyDescent="0.55000000000000004">
      <c r="A6406" t="s">
        <v>6487</v>
      </c>
      <c r="B6406" t="s">
        <v>84</v>
      </c>
      <c r="C6406" s="2">
        <v>43055</v>
      </c>
      <c r="D6406" t="s">
        <v>26</v>
      </c>
      <c r="E6406">
        <v>952</v>
      </c>
    </row>
    <row r="6407" spans="1:5" x14ac:dyDescent="0.55000000000000004">
      <c r="A6407" t="s">
        <v>6488</v>
      </c>
      <c r="B6407" t="s">
        <v>94</v>
      </c>
      <c r="C6407" s="2">
        <v>43814</v>
      </c>
      <c r="D6407" t="s">
        <v>26</v>
      </c>
      <c r="E6407">
        <v>2966</v>
      </c>
    </row>
    <row r="6408" spans="1:5" x14ac:dyDescent="0.55000000000000004">
      <c r="A6408" t="s">
        <v>6489</v>
      </c>
      <c r="B6408" t="s">
        <v>35</v>
      </c>
      <c r="C6408" s="2">
        <v>44560</v>
      </c>
      <c r="D6408" t="s">
        <v>29</v>
      </c>
      <c r="E6408">
        <v>1891</v>
      </c>
    </row>
    <row r="6409" spans="1:5" x14ac:dyDescent="0.55000000000000004">
      <c r="A6409" t="s">
        <v>6490</v>
      </c>
      <c r="B6409" t="s">
        <v>72</v>
      </c>
      <c r="C6409" s="2">
        <v>42931</v>
      </c>
      <c r="D6409" t="s">
        <v>29</v>
      </c>
      <c r="E6409">
        <v>1144</v>
      </c>
    </row>
    <row r="6410" spans="1:5" x14ac:dyDescent="0.55000000000000004">
      <c r="A6410" t="s">
        <v>6491</v>
      </c>
      <c r="B6410" t="s">
        <v>74</v>
      </c>
      <c r="C6410" s="2">
        <v>42957</v>
      </c>
      <c r="D6410" t="s">
        <v>26</v>
      </c>
      <c r="E6410">
        <v>2897</v>
      </c>
    </row>
    <row r="6411" spans="1:5" x14ac:dyDescent="0.55000000000000004">
      <c r="A6411" t="s">
        <v>6492</v>
      </c>
      <c r="B6411" t="s">
        <v>41</v>
      </c>
      <c r="C6411" s="2">
        <v>44844</v>
      </c>
      <c r="D6411" t="s">
        <v>29</v>
      </c>
      <c r="E6411">
        <v>408</v>
      </c>
    </row>
    <row r="6412" spans="1:5" x14ac:dyDescent="0.55000000000000004">
      <c r="A6412" t="s">
        <v>6493</v>
      </c>
      <c r="B6412" t="s">
        <v>23</v>
      </c>
      <c r="C6412" s="2">
        <v>44271</v>
      </c>
      <c r="D6412" t="s">
        <v>26</v>
      </c>
      <c r="E6412">
        <v>1108</v>
      </c>
    </row>
    <row r="6413" spans="1:5" x14ac:dyDescent="0.55000000000000004">
      <c r="A6413" t="s">
        <v>6494</v>
      </c>
      <c r="B6413" t="s">
        <v>86</v>
      </c>
      <c r="C6413" s="2">
        <v>44516</v>
      </c>
      <c r="D6413" t="s">
        <v>26</v>
      </c>
      <c r="E6413">
        <v>2256</v>
      </c>
    </row>
    <row r="6414" spans="1:5" x14ac:dyDescent="0.55000000000000004">
      <c r="A6414" t="s">
        <v>6495</v>
      </c>
      <c r="B6414" t="s">
        <v>35</v>
      </c>
      <c r="C6414" s="2">
        <v>43985</v>
      </c>
      <c r="D6414" t="s">
        <v>26</v>
      </c>
      <c r="E6414">
        <v>2545</v>
      </c>
    </row>
    <row r="6415" spans="1:5" x14ac:dyDescent="0.55000000000000004">
      <c r="A6415" t="s">
        <v>6496</v>
      </c>
      <c r="B6415" t="s">
        <v>96</v>
      </c>
      <c r="C6415" s="2">
        <v>44733</v>
      </c>
      <c r="D6415" t="s">
        <v>26</v>
      </c>
      <c r="E6415">
        <v>2598</v>
      </c>
    </row>
    <row r="6416" spans="1:5" x14ac:dyDescent="0.55000000000000004">
      <c r="A6416" t="s">
        <v>6497</v>
      </c>
      <c r="B6416" t="s">
        <v>72</v>
      </c>
      <c r="C6416" s="2">
        <v>43212</v>
      </c>
      <c r="D6416" t="s">
        <v>29</v>
      </c>
      <c r="E6416">
        <v>2228</v>
      </c>
    </row>
    <row r="6417" spans="1:5" x14ac:dyDescent="0.55000000000000004">
      <c r="A6417" t="s">
        <v>6498</v>
      </c>
      <c r="B6417" t="s">
        <v>15</v>
      </c>
      <c r="C6417" s="2">
        <v>42974</v>
      </c>
      <c r="D6417" t="s">
        <v>29</v>
      </c>
      <c r="E6417">
        <v>618</v>
      </c>
    </row>
    <row r="6418" spans="1:5" x14ac:dyDescent="0.55000000000000004">
      <c r="A6418" t="s">
        <v>6499</v>
      </c>
      <c r="B6418" t="s">
        <v>78</v>
      </c>
      <c r="C6418" s="2">
        <v>45062</v>
      </c>
      <c r="D6418" t="s">
        <v>29</v>
      </c>
      <c r="E6418">
        <v>2352</v>
      </c>
    </row>
    <row r="6419" spans="1:5" x14ac:dyDescent="0.55000000000000004">
      <c r="A6419" t="s">
        <v>6500</v>
      </c>
      <c r="B6419" t="s">
        <v>140</v>
      </c>
      <c r="C6419" s="2">
        <v>43336</v>
      </c>
      <c r="D6419" t="s">
        <v>26</v>
      </c>
      <c r="E6419">
        <v>726</v>
      </c>
    </row>
    <row r="6420" spans="1:5" x14ac:dyDescent="0.55000000000000004">
      <c r="A6420" t="s">
        <v>6501</v>
      </c>
      <c r="B6420" t="s">
        <v>86</v>
      </c>
      <c r="C6420" s="2">
        <v>43077</v>
      </c>
      <c r="D6420" t="s">
        <v>29</v>
      </c>
      <c r="E6420">
        <v>1222</v>
      </c>
    </row>
    <row r="6421" spans="1:5" x14ac:dyDescent="0.55000000000000004">
      <c r="A6421" t="s">
        <v>6502</v>
      </c>
      <c r="B6421" t="s">
        <v>137</v>
      </c>
      <c r="C6421" s="2">
        <v>44056</v>
      </c>
      <c r="D6421" t="s">
        <v>26</v>
      </c>
      <c r="E6421">
        <v>1186</v>
      </c>
    </row>
    <row r="6422" spans="1:5" x14ac:dyDescent="0.55000000000000004">
      <c r="A6422" t="s">
        <v>6503</v>
      </c>
      <c r="B6422" t="s">
        <v>14</v>
      </c>
      <c r="C6422" s="2">
        <v>43459</v>
      </c>
      <c r="D6422" t="s">
        <v>26</v>
      </c>
      <c r="E6422">
        <v>706</v>
      </c>
    </row>
    <row r="6423" spans="1:5" x14ac:dyDescent="0.55000000000000004">
      <c r="A6423" t="s">
        <v>6504</v>
      </c>
      <c r="B6423" t="s">
        <v>140</v>
      </c>
      <c r="C6423" s="2">
        <v>43121</v>
      </c>
      <c r="D6423" t="s">
        <v>26</v>
      </c>
      <c r="E6423">
        <v>2185</v>
      </c>
    </row>
    <row r="6424" spans="1:5" x14ac:dyDescent="0.55000000000000004">
      <c r="A6424" t="s">
        <v>6505</v>
      </c>
      <c r="B6424" t="s">
        <v>175</v>
      </c>
      <c r="C6424" s="2">
        <v>43677</v>
      </c>
      <c r="D6424" t="s">
        <v>26</v>
      </c>
      <c r="E6424">
        <v>788</v>
      </c>
    </row>
    <row r="6425" spans="1:5" x14ac:dyDescent="0.55000000000000004">
      <c r="A6425" t="s">
        <v>6506</v>
      </c>
      <c r="B6425" t="s">
        <v>156</v>
      </c>
      <c r="C6425" s="2">
        <v>43700</v>
      </c>
      <c r="D6425" t="s">
        <v>29</v>
      </c>
      <c r="E6425">
        <v>406</v>
      </c>
    </row>
    <row r="6426" spans="1:5" x14ac:dyDescent="0.55000000000000004">
      <c r="A6426" t="s">
        <v>6507</v>
      </c>
      <c r="B6426" t="s">
        <v>41</v>
      </c>
      <c r="C6426" s="2">
        <v>44612</v>
      </c>
      <c r="D6426" t="s">
        <v>26</v>
      </c>
      <c r="E6426">
        <v>205</v>
      </c>
    </row>
    <row r="6427" spans="1:5" x14ac:dyDescent="0.55000000000000004">
      <c r="A6427" t="s">
        <v>6508</v>
      </c>
      <c r="B6427" t="s">
        <v>96</v>
      </c>
      <c r="C6427" s="2">
        <v>43515</v>
      </c>
      <c r="D6427" t="s">
        <v>26</v>
      </c>
      <c r="E6427">
        <v>2237</v>
      </c>
    </row>
    <row r="6428" spans="1:5" x14ac:dyDescent="0.55000000000000004">
      <c r="A6428" t="s">
        <v>6509</v>
      </c>
      <c r="B6428" t="s">
        <v>101</v>
      </c>
      <c r="C6428" s="2">
        <v>43835</v>
      </c>
      <c r="D6428" t="s">
        <v>26</v>
      </c>
      <c r="E6428">
        <v>229</v>
      </c>
    </row>
    <row r="6429" spans="1:5" x14ac:dyDescent="0.55000000000000004">
      <c r="A6429" t="s">
        <v>6510</v>
      </c>
      <c r="B6429" t="s">
        <v>72</v>
      </c>
      <c r="C6429" s="2">
        <v>44512</v>
      </c>
      <c r="D6429" t="s">
        <v>26</v>
      </c>
      <c r="E6429">
        <v>130</v>
      </c>
    </row>
    <row r="6430" spans="1:5" x14ac:dyDescent="0.55000000000000004">
      <c r="A6430" t="s">
        <v>6511</v>
      </c>
      <c r="B6430" t="s">
        <v>32</v>
      </c>
      <c r="C6430" s="2">
        <v>44517</v>
      </c>
      <c r="D6430" t="s">
        <v>26</v>
      </c>
      <c r="E6430">
        <v>1601</v>
      </c>
    </row>
    <row r="6431" spans="1:5" x14ac:dyDescent="0.55000000000000004">
      <c r="A6431" t="s">
        <v>6512</v>
      </c>
      <c r="B6431" t="s">
        <v>94</v>
      </c>
      <c r="C6431" s="2">
        <v>45162</v>
      </c>
      <c r="D6431" t="s">
        <v>26</v>
      </c>
      <c r="E6431">
        <v>287</v>
      </c>
    </row>
    <row r="6432" spans="1:5" x14ac:dyDescent="0.55000000000000004">
      <c r="A6432" t="s">
        <v>6513</v>
      </c>
      <c r="B6432" t="s">
        <v>23</v>
      </c>
      <c r="C6432" s="2">
        <v>44569</v>
      </c>
      <c r="D6432" t="s">
        <v>26</v>
      </c>
      <c r="E6432">
        <v>1676</v>
      </c>
    </row>
    <row r="6433" spans="1:5" x14ac:dyDescent="0.55000000000000004">
      <c r="A6433" t="s">
        <v>6514</v>
      </c>
      <c r="B6433" t="s">
        <v>99</v>
      </c>
      <c r="C6433" s="2">
        <v>43593</v>
      </c>
      <c r="D6433" t="s">
        <v>26</v>
      </c>
      <c r="E6433">
        <v>1388</v>
      </c>
    </row>
    <row r="6434" spans="1:5" x14ac:dyDescent="0.55000000000000004">
      <c r="A6434" t="s">
        <v>6515</v>
      </c>
      <c r="B6434" t="s">
        <v>15</v>
      </c>
      <c r="C6434" s="2">
        <v>43891</v>
      </c>
      <c r="D6434" t="s">
        <v>29</v>
      </c>
      <c r="E6434">
        <v>122</v>
      </c>
    </row>
    <row r="6435" spans="1:5" x14ac:dyDescent="0.55000000000000004">
      <c r="A6435" t="s">
        <v>6516</v>
      </c>
      <c r="B6435" t="s">
        <v>142</v>
      </c>
      <c r="C6435" s="2">
        <v>43113</v>
      </c>
      <c r="D6435" t="s">
        <v>29</v>
      </c>
      <c r="E6435">
        <v>996</v>
      </c>
    </row>
    <row r="6436" spans="1:5" x14ac:dyDescent="0.55000000000000004">
      <c r="A6436" t="s">
        <v>6517</v>
      </c>
      <c r="B6436" t="s">
        <v>72</v>
      </c>
      <c r="C6436" s="2">
        <v>43600</v>
      </c>
      <c r="D6436" t="s">
        <v>26</v>
      </c>
      <c r="E6436">
        <v>106</v>
      </c>
    </row>
    <row r="6437" spans="1:5" x14ac:dyDescent="0.55000000000000004">
      <c r="A6437" t="s">
        <v>6518</v>
      </c>
      <c r="B6437" t="s">
        <v>137</v>
      </c>
      <c r="C6437" s="2">
        <v>45355</v>
      </c>
      <c r="D6437" t="s">
        <v>26</v>
      </c>
      <c r="E6437">
        <v>2520</v>
      </c>
    </row>
    <row r="6438" spans="1:5" x14ac:dyDescent="0.55000000000000004">
      <c r="A6438" t="s">
        <v>6519</v>
      </c>
      <c r="B6438" t="s">
        <v>15</v>
      </c>
      <c r="C6438" s="2">
        <v>43100</v>
      </c>
      <c r="D6438" t="s">
        <v>26</v>
      </c>
      <c r="E6438">
        <v>141</v>
      </c>
    </row>
    <row r="6439" spans="1:5" x14ac:dyDescent="0.55000000000000004">
      <c r="A6439" t="s">
        <v>6520</v>
      </c>
      <c r="B6439" t="s">
        <v>35</v>
      </c>
      <c r="C6439" s="2">
        <v>44755</v>
      </c>
      <c r="D6439" t="s">
        <v>26</v>
      </c>
      <c r="E6439">
        <v>656</v>
      </c>
    </row>
    <row r="6440" spans="1:5" x14ac:dyDescent="0.55000000000000004">
      <c r="A6440" t="s">
        <v>6521</v>
      </c>
      <c r="B6440" t="s">
        <v>74</v>
      </c>
      <c r="C6440" s="2">
        <v>43140</v>
      </c>
      <c r="D6440" t="s">
        <v>26</v>
      </c>
      <c r="E6440">
        <v>2214</v>
      </c>
    </row>
    <row r="6441" spans="1:5" x14ac:dyDescent="0.55000000000000004">
      <c r="A6441" t="s">
        <v>6522</v>
      </c>
      <c r="B6441" t="s">
        <v>175</v>
      </c>
      <c r="C6441" s="2">
        <v>45025</v>
      </c>
      <c r="D6441" t="s">
        <v>26</v>
      </c>
      <c r="E6441">
        <v>2086</v>
      </c>
    </row>
    <row r="6442" spans="1:5" x14ac:dyDescent="0.55000000000000004">
      <c r="A6442" t="s">
        <v>6523</v>
      </c>
      <c r="B6442" t="s">
        <v>96</v>
      </c>
      <c r="C6442" s="2">
        <v>43775</v>
      </c>
      <c r="D6442" t="s">
        <v>29</v>
      </c>
      <c r="E6442">
        <v>2030</v>
      </c>
    </row>
    <row r="6443" spans="1:5" x14ac:dyDescent="0.55000000000000004">
      <c r="A6443" t="s">
        <v>6524</v>
      </c>
      <c r="B6443" t="s">
        <v>72</v>
      </c>
      <c r="C6443" s="2">
        <v>43297</v>
      </c>
      <c r="D6443" t="s">
        <v>26</v>
      </c>
      <c r="E6443">
        <v>102</v>
      </c>
    </row>
    <row r="6444" spans="1:5" x14ac:dyDescent="0.55000000000000004">
      <c r="A6444" t="s">
        <v>6525</v>
      </c>
      <c r="B6444" t="s">
        <v>137</v>
      </c>
      <c r="C6444" s="2">
        <v>44505</v>
      </c>
      <c r="D6444" t="s">
        <v>29</v>
      </c>
      <c r="E6444">
        <v>2907</v>
      </c>
    </row>
    <row r="6445" spans="1:5" x14ac:dyDescent="0.55000000000000004">
      <c r="A6445" t="s">
        <v>6526</v>
      </c>
      <c r="B6445" t="s">
        <v>118</v>
      </c>
      <c r="C6445" s="2">
        <v>44610</v>
      </c>
      <c r="D6445" t="s">
        <v>29</v>
      </c>
      <c r="E6445">
        <v>458</v>
      </c>
    </row>
    <row r="6446" spans="1:5" x14ac:dyDescent="0.55000000000000004">
      <c r="A6446" t="s">
        <v>6527</v>
      </c>
      <c r="B6446" t="s">
        <v>96</v>
      </c>
      <c r="C6446" s="2">
        <v>43920</v>
      </c>
      <c r="D6446" t="s">
        <v>26</v>
      </c>
      <c r="E6446">
        <v>2241</v>
      </c>
    </row>
    <row r="6447" spans="1:5" x14ac:dyDescent="0.55000000000000004">
      <c r="A6447" t="s">
        <v>6528</v>
      </c>
      <c r="B6447" t="s">
        <v>137</v>
      </c>
      <c r="C6447" s="2">
        <v>43746</v>
      </c>
      <c r="D6447" t="s">
        <v>29</v>
      </c>
      <c r="E6447">
        <v>25</v>
      </c>
    </row>
    <row r="6448" spans="1:5" x14ac:dyDescent="0.55000000000000004">
      <c r="A6448" t="s">
        <v>6529</v>
      </c>
      <c r="B6448" t="s">
        <v>15</v>
      </c>
      <c r="C6448" s="2">
        <v>43442</v>
      </c>
      <c r="D6448" t="s">
        <v>29</v>
      </c>
      <c r="E6448">
        <v>1003</v>
      </c>
    </row>
    <row r="6449" spans="1:5" x14ac:dyDescent="0.55000000000000004">
      <c r="A6449" t="s">
        <v>6530</v>
      </c>
      <c r="B6449" t="s">
        <v>140</v>
      </c>
      <c r="C6449" s="2">
        <v>43027</v>
      </c>
      <c r="D6449" t="s">
        <v>26</v>
      </c>
      <c r="E6449">
        <v>923</v>
      </c>
    </row>
    <row r="6450" spans="1:5" x14ac:dyDescent="0.55000000000000004">
      <c r="A6450" t="s">
        <v>6531</v>
      </c>
      <c r="B6450" t="s">
        <v>118</v>
      </c>
      <c r="C6450" s="2">
        <v>44701</v>
      </c>
      <c r="D6450" t="s">
        <v>29</v>
      </c>
      <c r="E6450">
        <v>539</v>
      </c>
    </row>
    <row r="6451" spans="1:5" x14ac:dyDescent="0.55000000000000004">
      <c r="A6451" t="s">
        <v>6532</v>
      </c>
      <c r="B6451" t="s">
        <v>105</v>
      </c>
      <c r="C6451" s="2">
        <v>43655</v>
      </c>
      <c r="D6451" t="s">
        <v>26</v>
      </c>
      <c r="E6451">
        <v>380</v>
      </c>
    </row>
    <row r="6452" spans="1:5" x14ac:dyDescent="0.55000000000000004">
      <c r="A6452" t="s">
        <v>6533</v>
      </c>
      <c r="B6452" t="s">
        <v>35</v>
      </c>
      <c r="C6452" s="2">
        <v>44644</v>
      </c>
      <c r="D6452" t="s">
        <v>26</v>
      </c>
      <c r="E6452">
        <v>590</v>
      </c>
    </row>
    <row r="6453" spans="1:5" x14ac:dyDescent="0.55000000000000004">
      <c r="A6453" t="s">
        <v>6534</v>
      </c>
      <c r="B6453" t="s">
        <v>111</v>
      </c>
      <c r="C6453" s="2">
        <v>43287</v>
      </c>
      <c r="D6453" t="s">
        <v>26</v>
      </c>
      <c r="E6453">
        <v>2407</v>
      </c>
    </row>
    <row r="6454" spans="1:5" x14ac:dyDescent="0.55000000000000004">
      <c r="A6454" t="s">
        <v>6535</v>
      </c>
      <c r="B6454" t="s">
        <v>84</v>
      </c>
      <c r="C6454" s="2">
        <v>44463</v>
      </c>
      <c r="D6454" t="s">
        <v>26</v>
      </c>
      <c r="E6454">
        <v>581</v>
      </c>
    </row>
    <row r="6455" spans="1:5" x14ac:dyDescent="0.55000000000000004">
      <c r="A6455" t="s">
        <v>6536</v>
      </c>
      <c r="B6455" t="s">
        <v>78</v>
      </c>
      <c r="C6455" s="2">
        <v>43535</v>
      </c>
      <c r="D6455" t="s">
        <v>29</v>
      </c>
      <c r="E6455">
        <v>1249</v>
      </c>
    </row>
    <row r="6456" spans="1:5" x14ac:dyDescent="0.55000000000000004">
      <c r="A6456" t="s">
        <v>6537</v>
      </c>
      <c r="B6456" t="s">
        <v>78</v>
      </c>
      <c r="C6456" s="2">
        <v>45293</v>
      </c>
      <c r="D6456" t="s">
        <v>29</v>
      </c>
      <c r="E6456">
        <v>738</v>
      </c>
    </row>
    <row r="6457" spans="1:5" x14ac:dyDescent="0.55000000000000004">
      <c r="A6457" t="s">
        <v>6538</v>
      </c>
      <c r="B6457" t="s">
        <v>101</v>
      </c>
      <c r="C6457" s="2">
        <v>44180</v>
      </c>
      <c r="D6457" t="s">
        <v>26</v>
      </c>
      <c r="E6457">
        <v>852</v>
      </c>
    </row>
    <row r="6458" spans="1:5" x14ac:dyDescent="0.55000000000000004">
      <c r="A6458" t="s">
        <v>6539</v>
      </c>
      <c r="B6458" t="s">
        <v>38</v>
      </c>
      <c r="C6458" s="2">
        <v>44205</v>
      </c>
      <c r="D6458" t="s">
        <v>29</v>
      </c>
      <c r="E6458">
        <v>2627</v>
      </c>
    </row>
    <row r="6459" spans="1:5" x14ac:dyDescent="0.55000000000000004">
      <c r="A6459" t="s">
        <v>6540</v>
      </c>
      <c r="B6459" t="s">
        <v>35</v>
      </c>
      <c r="C6459" s="2">
        <v>44554</v>
      </c>
      <c r="D6459" t="s">
        <v>29</v>
      </c>
      <c r="E6459">
        <v>386</v>
      </c>
    </row>
    <row r="6460" spans="1:5" x14ac:dyDescent="0.55000000000000004">
      <c r="A6460" t="s">
        <v>6541</v>
      </c>
      <c r="B6460" t="s">
        <v>63</v>
      </c>
      <c r="C6460" s="2">
        <v>43184</v>
      </c>
      <c r="D6460" t="s">
        <v>29</v>
      </c>
      <c r="E6460">
        <v>1675</v>
      </c>
    </row>
    <row r="6461" spans="1:5" x14ac:dyDescent="0.55000000000000004">
      <c r="A6461" t="s">
        <v>6542</v>
      </c>
      <c r="B6461" t="s">
        <v>74</v>
      </c>
      <c r="C6461" s="2">
        <v>44251</v>
      </c>
      <c r="D6461" t="s">
        <v>29</v>
      </c>
      <c r="E6461">
        <v>2468</v>
      </c>
    </row>
    <row r="6462" spans="1:5" x14ac:dyDescent="0.55000000000000004">
      <c r="A6462" t="s">
        <v>6543</v>
      </c>
      <c r="B6462" t="s">
        <v>175</v>
      </c>
      <c r="C6462" s="2">
        <v>44695</v>
      </c>
      <c r="D6462" t="s">
        <v>26</v>
      </c>
      <c r="E6462">
        <v>2773</v>
      </c>
    </row>
    <row r="6463" spans="1:5" x14ac:dyDescent="0.55000000000000004">
      <c r="A6463" t="s">
        <v>6544</v>
      </c>
      <c r="B6463" t="s">
        <v>72</v>
      </c>
      <c r="C6463" s="2">
        <v>43470</v>
      </c>
      <c r="D6463" t="s">
        <v>29</v>
      </c>
      <c r="E6463">
        <v>2834</v>
      </c>
    </row>
    <row r="6464" spans="1:5" x14ac:dyDescent="0.55000000000000004">
      <c r="A6464" t="s">
        <v>6545</v>
      </c>
      <c r="B6464" t="s">
        <v>86</v>
      </c>
      <c r="C6464" s="2">
        <v>44113</v>
      </c>
      <c r="D6464" t="s">
        <v>29</v>
      </c>
      <c r="E6464">
        <v>458</v>
      </c>
    </row>
    <row r="6465" spans="1:5" x14ac:dyDescent="0.55000000000000004">
      <c r="A6465" t="s">
        <v>6546</v>
      </c>
      <c r="B6465" t="s">
        <v>101</v>
      </c>
      <c r="C6465" s="2">
        <v>42992</v>
      </c>
      <c r="D6465" t="s">
        <v>26</v>
      </c>
      <c r="E6465">
        <v>433</v>
      </c>
    </row>
    <row r="6466" spans="1:5" x14ac:dyDescent="0.55000000000000004">
      <c r="A6466" t="s">
        <v>6547</v>
      </c>
      <c r="B6466" t="s">
        <v>115</v>
      </c>
      <c r="C6466" s="2">
        <v>44094</v>
      </c>
      <c r="D6466" t="s">
        <v>26</v>
      </c>
      <c r="E6466">
        <v>1309</v>
      </c>
    </row>
    <row r="6467" spans="1:5" x14ac:dyDescent="0.55000000000000004">
      <c r="A6467" t="s">
        <v>6548</v>
      </c>
      <c r="B6467" t="s">
        <v>99</v>
      </c>
      <c r="C6467" s="2">
        <v>43838</v>
      </c>
      <c r="D6467" t="s">
        <v>26</v>
      </c>
      <c r="E6467">
        <v>1760</v>
      </c>
    </row>
    <row r="6468" spans="1:5" x14ac:dyDescent="0.55000000000000004">
      <c r="A6468" t="s">
        <v>6549</v>
      </c>
      <c r="B6468" t="s">
        <v>99</v>
      </c>
      <c r="C6468" s="2">
        <v>45123</v>
      </c>
      <c r="D6468" t="s">
        <v>29</v>
      </c>
      <c r="E6468">
        <v>3000</v>
      </c>
    </row>
    <row r="6469" spans="1:5" x14ac:dyDescent="0.55000000000000004">
      <c r="A6469" t="s">
        <v>6550</v>
      </c>
      <c r="B6469" t="s">
        <v>32</v>
      </c>
      <c r="C6469" s="2">
        <v>44678</v>
      </c>
      <c r="D6469" t="s">
        <v>29</v>
      </c>
      <c r="E6469">
        <v>1961</v>
      </c>
    </row>
    <row r="6470" spans="1:5" x14ac:dyDescent="0.55000000000000004">
      <c r="A6470" t="s">
        <v>6551</v>
      </c>
      <c r="B6470" t="s">
        <v>99</v>
      </c>
      <c r="C6470" s="2">
        <v>45218</v>
      </c>
      <c r="D6470" t="s">
        <v>29</v>
      </c>
      <c r="E6470">
        <v>519</v>
      </c>
    </row>
    <row r="6471" spans="1:5" x14ac:dyDescent="0.55000000000000004">
      <c r="A6471" t="s">
        <v>6552</v>
      </c>
      <c r="B6471" t="s">
        <v>151</v>
      </c>
      <c r="C6471" s="2">
        <v>43866</v>
      </c>
      <c r="D6471" t="s">
        <v>29</v>
      </c>
      <c r="E6471">
        <v>240</v>
      </c>
    </row>
    <row r="6472" spans="1:5" x14ac:dyDescent="0.55000000000000004">
      <c r="A6472" t="s">
        <v>6553</v>
      </c>
      <c r="B6472" t="s">
        <v>14</v>
      </c>
      <c r="C6472" s="2">
        <v>43941</v>
      </c>
      <c r="D6472" t="s">
        <v>29</v>
      </c>
      <c r="E6472">
        <v>1277</v>
      </c>
    </row>
    <row r="6473" spans="1:5" x14ac:dyDescent="0.55000000000000004">
      <c r="A6473" t="s">
        <v>6554</v>
      </c>
      <c r="B6473" t="s">
        <v>15</v>
      </c>
      <c r="C6473" s="2">
        <v>43447</v>
      </c>
      <c r="D6473" t="s">
        <v>26</v>
      </c>
      <c r="E6473">
        <v>2093</v>
      </c>
    </row>
    <row r="6474" spans="1:5" x14ac:dyDescent="0.55000000000000004">
      <c r="A6474" t="s">
        <v>6555</v>
      </c>
      <c r="B6474" t="s">
        <v>78</v>
      </c>
      <c r="C6474" s="2">
        <v>44411</v>
      </c>
      <c r="D6474" t="s">
        <v>29</v>
      </c>
      <c r="E6474">
        <v>2692</v>
      </c>
    </row>
    <row r="6475" spans="1:5" x14ac:dyDescent="0.55000000000000004">
      <c r="A6475" t="s">
        <v>6556</v>
      </c>
      <c r="B6475" t="s">
        <v>99</v>
      </c>
      <c r="C6475" s="2">
        <v>43828</v>
      </c>
      <c r="D6475" t="s">
        <v>26</v>
      </c>
      <c r="E6475">
        <v>2342</v>
      </c>
    </row>
    <row r="6476" spans="1:5" x14ac:dyDescent="0.55000000000000004">
      <c r="A6476" t="s">
        <v>6557</v>
      </c>
      <c r="B6476" t="s">
        <v>142</v>
      </c>
      <c r="C6476" s="2">
        <v>43921</v>
      </c>
      <c r="D6476" t="s">
        <v>29</v>
      </c>
      <c r="E6476">
        <v>2538</v>
      </c>
    </row>
    <row r="6477" spans="1:5" x14ac:dyDescent="0.55000000000000004">
      <c r="A6477" t="s">
        <v>6558</v>
      </c>
      <c r="B6477" t="s">
        <v>76</v>
      </c>
      <c r="C6477" s="2">
        <v>45789</v>
      </c>
      <c r="D6477" t="s">
        <v>26</v>
      </c>
      <c r="E6477">
        <v>351</v>
      </c>
    </row>
    <row r="6478" spans="1:5" x14ac:dyDescent="0.55000000000000004">
      <c r="A6478" t="s">
        <v>6559</v>
      </c>
      <c r="B6478" t="s">
        <v>140</v>
      </c>
      <c r="C6478" s="2">
        <v>43532</v>
      </c>
      <c r="D6478" t="s">
        <v>26</v>
      </c>
      <c r="E6478">
        <v>206</v>
      </c>
    </row>
    <row r="6479" spans="1:5" x14ac:dyDescent="0.55000000000000004">
      <c r="A6479" t="s">
        <v>6560</v>
      </c>
      <c r="B6479" t="s">
        <v>101</v>
      </c>
      <c r="C6479" s="2">
        <v>44086</v>
      </c>
      <c r="D6479" t="s">
        <v>26</v>
      </c>
      <c r="E6479">
        <v>1609</v>
      </c>
    </row>
    <row r="6480" spans="1:5" x14ac:dyDescent="0.55000000000000004">
      <c r="A6480" t="s">
        <v>6561</v>
      </c>
      <c r="B6480" t="s">
        <v>32</v>
      </c>
      <c r="C6480" s="2">
        <v>44092</v>
      </c>
      <c r="D6480" t="s">
        <v>26</v>
      </c>
      <c r="E6480">
        <v>1335</v>
      </c>
    </row>
    <row r="6481" spans="1:5" x14ac:dyDescent="0.55000000000000004">
      <c r="A6481" t="s">
        <v>6562</v>
      </c>
      <c r="B6481" t="s">
        <v>63</v>
      </c>
      <c r="C6481" s="2">
        <v>43487</v>
      </c>
      <c r="D6481" t="s">
        <v>29</v>
      </c>
      <c r="E6481">
        <v>2088</v>
      </c>
    </row>
    <row r="6482" spans="1:5" x14ac:dyDescent="0.55000000000000004">
      <c r="A6482" t="s">
        <v>6563</v>
      </c>
      <c r="B6482" t="s">
        <v>140</v>
      </c>
      <c r="C6482" s="2">
        <v>43470</v>
      </c>
      <c r="D6482" t="s">
        <v>29</v>
      </c>
      <c r="E6482">
        <v>160</v>
      </c>
    </row>
    <row r="6483" spans="1:5" x14ac:dyDescent="0.55000000000000004">
      <c r="A6483" t="s">
        <v>6564</v>
      </c>
      <c r="B6483" t="s">
        <v>67</v>
      </c>
      <c r="C6483" s="2">
        <v>44112</v>
      </c>
      <c r="D6483" t="s">
        <v>26</v>
      </c>
      <c r="E6483">
        <v>917</v>
      </c>
    </row>
    <row r="6484" spans="1:5" x14ac:dyDescent="0.55000000000000004">
      <c r="A6484" t="s">
        <v>6565</v>
      </c>
      <c r="B6484" t="s">
        <v>23</v>
      </c>
      <c r="C6484" s="2">
        <v>44911</v>
      </c>
      <c r="D6484" t="s">
        <v>29</v>
      </c>
      <c r="E6484">
        <v>1304</v>
      </c>
    </row>
    <row r="6485" spans="1:5" x14ac:dyDescent="0.55000000000000004">
      <c r="A6485" t="s">
        <v>6566</v>
      </c>
      <c r="B6485" t="s">
        <v>84</v>
      </c>
      <c r="C6485" s="2">
        <v>43801</v>
      </c>
      <c r="D6485" t="s">
        <v>26</v>
      </c>
      <c r="E6485">
        <v>606</v>
      </c>
    </row>
    <row r="6486" spans="1:5" x14ac:dyDescent="0.55000000000000004">
      <c r="A6486" t="s">
        <v>6567</v>
      </c>
      <c r="B6486" t="s">
        <v>41</v>
      </c>
      <c r="C6486" s="2">
        <v>43850</v>
      </c>
      <c r="D6486" t="s">
        <v>26</v>
      </c>
      <c r="E6486">
        <v>270</v>
      </c>
    </row>
    <row r="6487" spans="1:5" x14ac:dyDescent="0.55000000000000004">
      <c r="A6487" t="s">
        <v>6568</v>
      </c>
      <c r="B6487" t="s">
        <v>105</v>
      </c>
      <c r="C6487" s="2">
        <v>43325</v>
      </c>
      <c r="D6487" t="s">
        <v>29</v>
      </c>
      <c r="E6487">
        <v>2811</v>
      </c>
    </row>
    <row r="6488" spans="1:5" x14ac:dyDescent="0.55000000000000004">
      <c r="A6488" t="s">
        <v>6569</v>
      </c>
      <c r="B6488" t="s">
        <v>78</v>
      </c>
      <c r="C6488" s="2">
        <v>44073</v>
      </c>
      <c r="D6488" t="s">
        <v>26</v>
      </c>
      <c r="E6488">
        <v>1471</v>
      </c>
    </row>
    <row r="6489" spans="1:5" x14ac:dyDescent="0.55000000000000004">
      <c r="A6489" t="s">
        <v>6570</v>
      </c>
      <c r="B6489" t="s">
        <v>94</v>
      </c>
      <c r="C6489" s="2">
        <v>44812</v>
      </c>
      <c r="D6489" t="s">
        <v>26</v>
      </c>
      <c r="E6489">
        <v>852</v>
      </c>
    </row>
    <row r="6490" spans="1:5" x14ac:dyDescent="0.55000000000000004">
      <c r="A6490" t="s">
        <v>6571</v>
      </c>
      <c r="B6490" t="s">
        <v>118</v>
      </c>
      <c r="C6490" s="2">
        <v>44358</v>
      </c>
      <c r="D6490" t="s">
        <v>26</v>
      </c>
      <c r="E6490">
        <v>249</v>
      </c>
    </row>
    <row r="6491" spans="1:5" x14ac:dyDescent="0.55000000000000004">
      <c r="A6491" t="s">
        <v>6572</v>
      </c>
      <c r="B6491" t="s">
        <v>14</v>
      </c>
      <c r="C6491" s="2">
        <v>42954</v>
      </c>
      <c r="D6491" t="s">
        <v>29</v>
      </c>
      <c r="E6491">
        <v>1018</v>
      </c>
    </row>
    <row r="6492" spans="1:5" x14ac:dyDescent="0.55000000000000004">
      <c r="A6492" t="s">
        <v>6573</v>
      </c>
      <c r="B6492" t="s">
        <v>137</v>
      </c>
      <c r="C6492" s="2">
        <v>44660</v>
      </c>
      <c r="D6492" t="s">
        <v>29</v>
      </c>
      <c r="E6492">
        <v>1857</v>
      </c>
    </row>
    <row r="6493" spans="1:5" x14ac:dyDescent="0.55000000000000004">
      <c r="A6493" t="s">
        <v>6574</v>
      </c>
      <c r="B6493" t="s">
        <v>63</v>
      </c>
      <c r="C6493" s="2">
        <v>44132</v>
      </c>
      <c r="D6493" t="s">
        <v>26</v>
      </c>
      <c r="E6493">
        <v>2507</v>
      </c>
    </row>
    <row r="6494" spans="1:5" x14ac:dyDescent="0.55000000000000004">
      <c r="A6494" t="s">
        <v>6575</v>
      </c>
      <c r="B6494" t="s">
        <v>14</v>
      </c>
      <c r="C6494" s="2">
        <v>42923</v>
      </c>
      <c r="D6494" t="s">
        <v>26</v>
      </c>
      <c r="E6494">
        <v>496</v>
      </c>
    </row>
    <row r="6495" spans="1:5" x14ac:dyDescent="0.55000000000000004">
      <c r="A6495" t="s">
        <v>6576</v>
      </c>
      <c r="B6495" t="s">
        <v>84</v>
      </c>
      <c r="C6495" s="2">
        <v>43160</v>
      </c>
      <c r="D6495" t="s">
        <v>29</v>
      </c>
      <c r="E6495">
        <v>10</v>
      </c>
    </row>
    <row r="6496" spans="1:5" x14ac:dyDescent="0.55000000000000004">
      <c r="A6496" t="s">
        <v>6577</v>
      </c>
      <c r="B6496" t="s">
        <v>14</v>
      </c>
      <c r="C6496" s="2">
        <v>44104</v>
      </c>
      <c r="D6496" t="s">
        <v>26</v>
      </c>
      <c r="E6496">
        <v>1574</v>
      </c>
    </row>
    <row r="6497" spans="1:5" x14ac:dyDescent="0.55000000000000004">
      <c r="A6497" t="s">
        <v>6578</v>
      </c>
      <c r="B6497" t="s">
        <v>23</v>
      </c>
      <c r="C6497" s="2">
        <v>44142</v>
      </c>
      <c r="D6497" t="s">
        <v>26</v>
      </c>
      <c r="E6497">
        <v>568</v>
      </c>
    </row>
    <row r="6498" spans="1:5" x14ac:dyDescent="0.55000000000000004">
      <c r="A6498" t="s">
        <v>6579</v>
      </c>
      <c r="B6498" t="s">
        <v>38</v>
      </c>
      <c r="C6498" s="2">
        <v>44843</v>
      </c>
      <c r="D6498" t="s">
        <v>26</v>
      </c>
      <c r="E6498">
        <v>1870</v>
      </c>
    </row>
    <row r="6499" spans="1:5" x14ac:dyDescent="0.55000000000000004">
      <c r="A6499" t="s">
        <v>6580</v>
      </c>
      <c r="B6499" t="s">
        <v>78</v>
      </c>
      <c r="C6499" s="2">
        <v>45644</v>
      </c>
      <c r="D6499" t="s">
        <v>29</v>
      </c>
      <c r="E6499">
        <v>2934</v>
      </c>
    </row>
    <row r="6500" spans="1:5" x14ac:dyDescent="0.55000000000000004">
      <c r="A6500" t="s">
        <v>6581</v>
      </c>
      <c r="B6500" t="s">
        <v>32</v>
      </c>
      <c r="C6500" s="2">
        <v>43922</v>
      </c>
      <c r="D6500" t="s">
        <v>29</v>
      </c>
      <c r="E6500">
        <v>36</v>
      </c>
    </row>
    <row r="6501" spans="1:5" x14ac:dyDescent="0.55000000000000004">
      <c r="A6501" t="s">
        <v>6582</v>
      </c>
      <c r="B6501" t="s">
        <v>99</v>
      </c>
      <c r="C6501" s="2">
        <v>44845</v>
      </c>
      <c r="D6501" t="s">
        <v>29</v>
      </c>
      <c r="E6501">
        <v>2225</v>
      </c>
    </row>
    <row r="6502" spans="1:5" x14ac:dyDescent="0.55000000000000004">
      <c r="A6502" t="s">
        <v>6583</v>
      </c>
      <c r="B6502" t="s">
        <v>175</v>
      </c>
      <c r="C6502" s="2">
        <v>43802</v>
      </c>
      <c r="D6502" t="s">
        <v>29</v>
      </c>
      <c r="E6502">
        <v>1966</v>
      </c>
    </row>
    <row r="6503" spans="1:5" x14ac:dyDescent="0.55000000000000004">
      <c r="A6503" t="s">
        <v>6584</v>
      </c>
      <c r="B6503" t="s">
        <v>84</v>
      </c>
      <c r="C6503" s="2">
        <v>43712</v>
      </c>
      <c r="D6503" t="s">
        <v>26</v>
      </c>
      <c r="E6503">
        <v>166</v>
      </c>
    </row>
    <row r="6504" spans="1:5" x14ac:dyDescent="0.55000000000000004">
      <c r="A6504" t="s">
        <v>6585</v>
      </c>
      <c r="B6504" t="s">
        <v>142</v>
      </c>
      <c r="C6504" s="2">
        <v>42964</v>
      </c>
      <c r="D6504" t="s">
        <v>29</v>
      </c>
      <c r="E6504">
        <v>2802</v>
      </c>
    </row>
    <row r="6505" spans="1:5" x14ac:dyDescent="0.55000000000000004">
      <c r="A6505" t="s">
        <v>6586</v>
      </c>
      <c r="B6505" t="s">
        <v>63</v>
      </c>
      <c r="C6505" s="2">
        <v>43427</v>
      </c>
      <c r="D6505" t="s">
        <v>29</v>
      </c>
      <c r="E6505">
        <v>486</v>
      </c>
    </row>
    <row r="6506" spans="1:5" x14ac:dyDescent="0.55000000000000004">
      <c r="A6506" t="s">
        <v>6587</v>
      </c>
      <c r="B6506" t="s">
        <v>94</v>
      </c>
      <c r="C6506" s="2">
        <v>43862</v>
      </c>
      <c r="D6506" t="s">
        <v>26</v>
      </c>
      <c r="E6506">
        <v>1825</v>
      </c>
    </row>
    <row r="6507" spans="1:5" x14ac:dyDescent="0.55000000000000004">
      <c r="A6507" t="s">
        <v>6588</v>
      </c>
      <c r="B6507" t="s">
        <v>74</v>
      </c>
      <c r="C6507" s="2">
        <v>43113</v>
      </c>
      <c r="D6507" t="s">
        <v>26</v>
      </c>
      <c r="E6507">
        <v>1303</v>
      </c>
    </row>
    <row r="6508" spans="1:5" x14ac:dyDescent="0.55000000000000004">
      <c r="A6508" t="s">
        <v>6589</v>
      </c>
      <c r="B6508" t="s">
        <v>74</v>
      </c>
      <c r="C6508" s="2">
        <v>44273</v>
      </c>
      <c r="D6508" t="s">
        <v>29</v>
      </c>
      <c r="E6508">
        <v>2843</v>
      </c>
    </row>
    <row r="6509" spans="1:5" x14ac:dyDescent="0.55000000000000004">
      <c r="A6509" t="s">
        <v>6590</v>
      </c>
      <c r="B6509" t="s">
        <v>84</v>
      </c>
      <c r="C6509" s="2">
        <v>43592</v>
      </c>
      <c r="D6509" t="s">
        <v>26</v>
      </c>
      <c r="E6509">
        <v>2348</v>
      </c>
    </row>
    <row r="6510" spans="1:5" x14ac:dyDescent="0.55000000000000004">
      <c r="A6510" t="s">
        <v>6591</v>
      </c>
      <c r="B6510" t="s">
        <v>137</v>
      </c>
      <c r="C6510" s="2">
        <v>44731</v>
      </c>
      <c r="D6510" t="s">
        <v>26</v>
      </c>
      <c r="E6510">
        <v>74</v>
      </c>
    </row>
    <row r="6511" spans="1:5" x14ac:dyDescent="0.55000000000000004">
      <c r="A6511" t="s">
        <v>6592</v>
      </c>
      <c r="B6511" t="s">
        <v>151</v>
      </c>
      <c r="C6511" s="2">
        <v>44219</v>
      </c>
      <c r="D6511" t="s">
        <v>29</v>
      </c>
      <c r="E6511">
        <v>2722</v>
      </c>
    </row>
    <row r="6512" spans="1:5" x14ac:dyDescent="0.55000000000000004">
      <c r="A6512" t="s">
        <v>6593</v>
      </c>
      <c r="B6512" t="s">
        <v>14</v>
      </c>
      <c r="C6512" s="2">
        <v>43057</v>
      </c>
      <c r="D6512" t="s">
        <v>29</v>
      </c>
      <c r="E6512">
        <v>833</v>
      </c>
    </row>
    <row r="6513" spans="1:5" x14ac:dyDescent="0.55000000000000004">
      <c r="A6513" t="s">
        <v>6594</v>
      </c>
      <c r="B6513" t="s">
        <v>111</v>
      </c>
      <c r="C6513" s="2">
        <v>44478</v>
      </c>
      <c r="D6513" t="s">
        <v>26</v>
      </c>
      <c r="E6513">
        <v>1137</v>
      </c>
    </row>
    <row r="6514" spans="1:5" x14ac:dyDescent="0.55000000000000004">
      <c r="A6514" t="s">
        <v>6595</v>
      </c>
      <c r="B6514" t="s">
        <v>140</v>
      </c>
      <c r="C6514" s="2">
        <v>43758</v>
      </c>
      <c r="D6514" t="s">
        <v>26</v>
      </c>
      <c r="E6514">
        <v>1828</v>
      </c>
    </row>
    <row r="6515" spans="1:5" x14ac:dyDescent="0.55000000000000004">
      <c r="A6515" t="s">
        <v>6596</v>
      </c>
      <c r="B6515" t="s">
        <v>111</v>
      </c>
      <c r="C6515" s="2">
        <v>43685</v>
      </c>
      <c r="D6515" t="s">
        <v>29</v>
      </c>
      <c r="E6515">
        <v>1160</v>
      </c>
    </row>
    <row r="6516" spans="1:5" x14ac:dyDescent="0.55000000000000004">
      <c r="A6516" t="s">
        <v>6597</v>
      </c>
      <c r="B6516" t="s">
        <v>23</v>
      </c>
      <c r="C6516" s="2">
        <v>44390</v>
      </c>
      <c r="D6516" t="s">
        <v>29</v>
      </c>
      <c r="E6516">
        <v>1769</v>
      </c>
    </row>
    <row r="6517" spans="1:5" x14ac:dyDescent="0.55000000000000004">
      <c r="A6517" t="s">
        <v>6598</v>
      </c>
      <c r="B6517" t="s">
        <v>15</v>
      </c>
      <c r="C6517" s="2">
        <v>43220</v>
      </c>
      <c r="D6517" t="s">
        <v>26</v>
      </c>
      <c r="E6517">
        <v>391</v>
      </c>
    </row>
    <row r="6518" spans="1:5" x14ac:dyDescent="0.55000000000000004">
      <c r="A6518" t="s">
        <v>6599</v>
      </c>
      <c r="B6518" t="s">
        <v>142</v>
      </c>
      <c r="C6518" s="2">
        <v>44044</v>
      </c>
      <c r="D6518" t="s">
        <v>26</v>
      </c>
      <c r="E6518">
        <v>1093</v>
      </c>
    </row>
    <row r="6519" spans="1:5" x14ac:dyDescent="0.55000000000000004">
      <c r="A6519" t="s">
        <v>6600</v>
      </c>
      <c r="B6519" t="s">
        <v>94</v>
      </c>
      <c r="C6519" s="2">
        <v>43531</v>
      </c>
      <c r="D6519" t="s">
        <v>26</v>
      </c>
      <c r="E6519">
        <v>2893</v>
      </c>
    </row>
    <row r="6520" spans="1:5" x14ac:dyDescent="0.55000000000000004">
      <c r="A6520" t="s">
        <v>6601</v>
      </c>
      <c r="B6520" t="s">
        <v>118</v>
      </c>
      <c r="C6520" s="2">
        <v>45674</v>
      </c>
      <c r="D6520" t="s">
        <v>26</v>
      </c>
      <c r="E6520">
        <v>2820</v>
      </c>
    </row>
    <row r="6521" spans="1:5" x14ac:dyDescent="0.55000000000000004">
      <c r="A6521" t="s">
        <v>6602</v>
      </c>
      <c r="B6521" t="s">
        <v>67</v>
      </c>
      <c r="C6521" s="2">
        <v>44089</v>
      </c>
      <c r="D6521" t="s">
        <v>26</v>
      </c>
      <c r="E6521">
        <v>2673</v>
      </c>
    </row>
    <row r="6522" spans="1:5" x14ac:dyDescent="0.55000000000000004">
      <c r="A6522" t="s">
        <v>6603</v>
      </c>
      <c r="B6522" t="s">
        <v>63</v>
      </c>
      <c r="C6522" s="2">
        <v>43968</v>
      </c>
      <c r="D6522" t="s">
        <v>29</v>
      </c>
      <c r="E6522">
        <v>2443</v>
      </c>
    </row>
    <row r="6523" spans="1:5" x14ac:dyDescent="0.55000000000000004">
      <c r="A6523" t="s">
        <v>6604</v>
      </c>
      <c r="B6523" t="s">
        <v>118</v>
      </c>
      <c r="C6523" s="2">
        <v>44649</v>
      </c>
      <c r="D6523" t="s">
        <v>26</v>
      </c>
      <c r="E6523">
        <v>611</v>
      </c>
    </row>
    <row r="6524" spans="1:5" x14ac:dyDescent="0.55000000000000004">
      <c r="A6524" t="s">
        <v>6605</v>
      </c>
      <c r="B6524" t="s">
        <v>94</v>
      </c>
      <c r="C6524" s="2">
        <v>45067</v>
      </c>
      <c r="D6524" t="s">
        <v>26</v>
      </c>
      <c r="E6524">
        <v>137</v>
      </c>
    </row>
    <row r="6525" spans="1:5" x14ac:dyDescent="0.55000000000000004">
      <c r="A6525" t="s">
        <v>6606</v>
      </c>
      <c r="B6525" t="s">
        <v>67</v>
      </c>
      <c r="C6525" s="2">
        <v>44885</v>
      </c>
      <c r="D6525" t="s">
        <v>26</v>
      </c>
      <c r="E6525">
        <v>2035</v>
      </c>
    </row>
    <row r="6526" spans="1:5" x14ac:dyDescent="0.55000000000000004">
      <c r="A6526" t="s">
        <v>6607</v>
      </c>
      <c r="B6526" t="s">
        <v>84</v>
      </c>
      <c r="C6526" s="2">
        <v>44327</v>
      </c>
      <c r="D6526" t="s">
        <v>29</v>
      </c>
      <c r="E6526">
        <v>556</v>
      </c>
    </row>
    <row r="6527" spans="1:5" x14ac:dyDescent="0.55000000000000004">
      <c r="A6527" t="s">
        <v>6608</v>
      </c>
      <c r="B6527" t="s">
        <v>15</v>
      </c>
      <c r="C6527" s="2">
        <v>43382</v>
      </c>
      <c r="D6527" t="s">
        <v>29</v>
      </c>
      <c r="E6527">
        <v>2609</v>
      </c>
    </row>
    <row r="6528" spans="1:5" x14ac:dyDescent="0.55000000000000004">
      <c r="A6528" t="s">
        <v>6609</v>
      </c>
      <c r="B6528" t="s">
        <v>151</v>
      </c>
      <c r="C6528" s="2">
        <v>43759</v>
      </c>
      <c r="D6528" t="s">
        <v>29</v>
      </c>
      <c r="E6528">
        <v>654</v>
      </c>
    </row>
    <row r="6529" spans="1:5" x14ac:dyDescent="0.55000000000000004">
      <c r="A6529" t="s">
        <v>6610</v>
      </c>
      <c r="B6529" t="s">
        <v>63</v>
      </c>
      <c r="C6529" s="2">
        <v>43622</v>
      </c>
      <c r="D6529" t="s">
        <v>29</v>
      </c>
      <c r="E6529">
        <v>71</v>
      </c>
    </row>
    <row r="6530" spans="1:5" x14ac:dyDescent="0.55000000000000004">
      <c r="A6530" t="s">
        <v>6611</v>
      </c>
      <c r="B6530" t="s">
        <v>14</v>
      </c>
      <c r="C6530" s="2">
        <v>43520</v>
      </c>
      <c r="D6530" t="s">
        <v>26</v>
      </c>
      <c r="E6530">
        <v>653</v>
      </c>
    </row>
    <row r="6531" spans="1:5" x14ac:dyDescent="0.55000000000000004">
      <c r="A6531" t="s">
        <v>6612</v>
      </c>
      <c r="B6531" t="s">
        <v>32</v>
      </c>
      <c r="C6531" s="2">
        <v>44024</v>
      </c>
      <c r="D6531" t="s">
        <v>26</v>
      </c>
      <c r="E6531">
        <v>2259</v>
      </c>
    </row>
    <row r="6532" spans="1:5" x14ac:dyDescent="0.55000000000000004">
      <c r="A6532" t="s">
        <v>6613</v>
      </c>
      <c r="B6532" t="s">
        <v>41</v>
      </c>
      <c r="C6532" s="2">
        <v>44510</v>
      </c>
      <c r="D6532" t="s">
        <v>26</v>
      </c>
      <c r="E6532">
        <v>2248</v>
      </c>
    </row>
    <row r="6533" spans="1:5" x14ac:dyDescent="0.55000000000000004">
      <c r="A6533" t="s">
        <v>6614</v>
      </c>
      <c r="B6533" t="s">
        <v>115</v>
      </c>
      <c r="C6533" s="2">
        <v>44323</v>
      </c>
      <c r="D6533" t="s">
        <v>29</v>
      </c>
      <c r="E6533">
        <v>284</v>
      </c>
    </row>
    <row r="6534" spans="1:5" x14ac:dyDescent="0.55000000000000004">
      <c r="A6534" t="s">
        <v>6615</v>
      </c>
      <c r="B6534" t="s">
        <v>35</v>
      </c>
      <c r="C6534" s="2">
        <v>44192</v>
      </c>
      <c r="D6534" t="s">
        <v>29</v>
      </c>
      <c r="E6534">
        <v>1417</v>
      </c>
    </row>
    <row r="6535" spans="1:5" x14ac:dyDescent="0.55000000000000004">
      <c r="A6535" t="s">
        <v>6616</v>
      </c>
      <c r="B6535" t="s">
        <v>23</v>
      </c>
      <c r="C6535" s="2">
        <v>43867</v>
      </c>
      <c r="D6535" t="s">
        <v>29</v>
      </c>
      <c r="E6535">
        <v>2726</v>
      </c>
    </row>
    <row r="6536" spans="1:5" x14ac:dyDescent="0.55000000000000004">
      <c r="A6536" t="s">
        <v>6617</v>
      </c>
      <c r="B6536" t="s">
        <v>76</v>
      </c>
      <c r="C6536" s="2">
        <v>45094</v>
      </c>
      <c r="D6536" t="s">
        <v>26</v>
      </c>
      <c r="E6536">
        <v>129</v>
      </c>
    </row>
    <row r="6537" spans="1:5" x14ac:dyDescent="0.55000000000000004">
      <c r="A6537" t="s">
        <v>6618</v>
      </c>
      <c r="B6537" t="s">
        <v>142</v>
      </c>
      <c r="C6537" s="2">
        <v>43868</v>
      </c>
      <c r="D6537" t="s">
        <v>26</v>
      </c>
      <c r="E6537">
        <v>897</v>
      </c>
    </row>
    <row r="6538" spans="1:5" x14ac:dyDescent="0.55000000000000004">
      <c r="A6538" t="s">
        <v>6619</v>
      </c>
      <c r="B6538" t="s">
        <v>142</v>
      </c>
      <c r="C6538" s="2">
        <v>43458</v>
      </c>
      <c r="D6538" t="s">
        <v>29</v>
      </c>
      <c r="E6538">
        <v>1672</v>
      </c>
    </row>
    <row r="6539" spans="1:5" x14ac:dyDescent="0.55000000000000004">
      <c r="A6539" t="s">
        <v>6620</v>
      </c>
      <c r="B6539" t="s">
        <v>14</v>
      </c>
      <c r="C6539" s="2">
        <v>43027</v>
      </c>
      <c r="D6539" t="s">
        <v>26</v>
      </c>
      <c r="E6539">
        <v>523</v>
      </c>
    </row>
    <row r="6540" spans="1:5" x14ac:dyDescent="0.55000000000000004">
      <c r="A6540" t="s">
        <v>6621</v>
      </c>
      <c r="B6540" t="s">
        <v>99</v>
      </c>
      <c r="C6540" s="2">
        <v>44458</v>
      </c>
      <c r="D6540" t="s">
        <v>26</v>
      </c>
      <c r="E6540">
        <v>1877</v>
      </c>
    </row>
    <row r="6541" spans="1:5" x14ac:dyDescent="0.55000000000000004">
      <c r="A6541" t="s">
        <v>6622</v>
      </c>
      <c r="B6541" t="s">
        <v>74</v>
      </c>
      <c r="C6541" s="2">
        <v>42977</v>
      </c>
      <c r="D6541" t="s">
        <v>26</v>
      </c>
      <c r="E6541">
        <v>2963</v>
      </c>
    </row>
    <row r="6542" spans="1:5" x14ac:dyDescent="0.55000000000000004">
      <c r="A6542" t="s">
        <v>6623</v>
      </c>
      <c r="B6542" t="s">
        <v>94</v>
      </c>
      <c r="C6542" s="2">
        <v>44185</v>
      </c>
      <c r="D6542" t="s">
        <v>26</v>
      </c>
      <c r="E6542">
        <v>520</v>
      </c>
    </row>
    <row r="6543" spans="1:5" x14ac:dyDescent="0.55000000000000004">
      <c r="A6543" t="s">
        <v>6624</v>
      </c>
      <c r="B6543" t="s">
        <v>23</v>
      </c>
      <c r="C6543" s="2">
        <v>44705</v>
      </c>
      <c r="D6543" t="s">
        <v>26</v>
      </c>
      <c r="E6543">
        <v>1437</v>
      </c>
    </row>
    <row r="6544" spans="1:5" x14ac:dyDescent="0.55000000000000004">
      <c r="A6544" t="s">
        <v>6625</v>
      </c>
      <c r="B6544" t="s">
        <v>74</v>
      </c>
      <c r="C6544" s="2">
        <v>43173</v>
      </c>
      <c r="D6544" t="s">
        <v>26</v>
      </c>
      <c r="E6544">
        <v>2682</v>
      </c>
    </row>
    <row r="6545" spans="1:5" x14ac:dyDescent="0.55000000000000004">
      <c r="A6545" t="s">
        <v>6626</v>
      </c>
      <c r="B6545" t="s">
        <v>94</v>
      </c>
      <c r="C6545" s="2">
        <v>44549</v>
      </c>
      <c r="D6545" t="s">
        <v>29</v>
      </c>
      <c r="E6545">
        <v>47</v>
      </c>
    </row>
    <row r="6546" spans="1:5" x14ac:dyDescent="0.55000000000000004">
      <c r="A6546" t="s">
        <v>6627</v>
      </c>
      <c r="B6546" t="s">
        <v>96</v>
      </c>
      <c r="C6546" s="2">
        <v>45224</v>
      </c>
      <c r="D6546" t="s">
        <v>29</v>
      </c>
      <c r="E6546">
        <v>1331</v>
      </c>
    </row>
    <row r="6547" spans="1:5" x14ac:dyDescent="0.55000000000000004">
      <c r="A6547" t="s">
        <v>6628</v>
      </c>
      <c r="B6547" t="s">
        <v>63</v>
      </c>
      <c r="C6547" s="2">
        <v>44497</v>
      </c>
      <c r="D6547" t="s">
        <v>29</v>
      </c>
      <c r="E6547">
        <v>1278</v>
      </c>
    </row>
    <row r="6548" spans="1:5" x14ac:dyDescent="0.55000000000000004">
      <c r="A6548" t="s">
        <v>6629</v>
      </c>
      <c r="B6548" t="s">
        <v>101</v>
      </c>
      <c r="C6548" s="2">
        <v>44402</v>
      </c>
      <c r="D6548" t="s">
        <v>26</v>
      </c>
      <c r="E6548">
        <v>1251</v>
      </c>
    </row>
    <row r="6549" spans="1:5" x14ac:dyDescent="0.55000000000000004">
      <c r="A6549" t="s">
        <v>6630</v>
      </c>
      <c r="B6549" t="s">
        <v>35</v>
      </c>
      <c r="C6549" s="2">
        <v>44194</v>
      </c>
      <c r="D6549" t="s">
        <v>26</v>
      </c>
      <c r="E6549">
        <v>1801</v>
      </c>
    </row>
    <row r="6550" spans="1:5" x14ac:dyDescent="0.55000000000000004">
      <c r="A6550" t="s">
        <v>6631</v>
      </c>
      <c r="B6550" t="s">
        <v>140</v>
      </c>
      <c r="C6550" s="2">
        <v>43365</v>
      </c>
      <c r="D6550" t="s">
        <v>29</v>
      </c>
      <c r="E6550">
        <v>1568</v>
      </c>
    </row>
    <row r="6551" spans="1:5" x14ac:dyDescent="0.55000000000000004">
      <c r="A6551" t="s">
        <v>6632</v>
      </c>
      <c r="B6551" t="s">
        <v>175</v>
      </c>
      <c r="C6551" s="2">
        <v>43569</v>
      </c>
      <c r="D6551" t="s">
        <v>26</v>
      </c>
      <c r="E6551">
        <v>2547</v>
      </c>
    </row>
    <row r="6552" spans="1:5" x14ac:dyDescent="0.55000000000000004">
      <c r="A6552" t="s">
        <v>6633</v>
      </c>
      <c r="B6552" t="s">
        <v>74</v>
      </c>
      <c r="C6552" s="2">
        <v>43598</v>
      </c>
      <c r="D6552" t="s">
        <v>26</v>
      </c>
      <c r="E6552">
        <v>28</v>
      </c>
    </row>
    <row r="6553" spans="1:5" x14ac:dyDescent="0.55000000000000004">
      <c r="A6553" t="s">
        <v>6634</v>
      </c>
      <c r="B6553" t="s">
        <v>86</v>
      </c>
      <c r="C6553" s="2">
        <v>43939</v>
      </c>
      <c r="D6553" t="s">
        <v>26</v>
      </c>
      <c r="E6553">
        <v>2997</v>
      </c>
    </row>
    <row r="6554" spans="1:5" x14ac:dyDescent="0.55000000000000004">
      <c r="A6554" t="s">
        <v>6635</v>
      </c>
      <c r="B6554" t="s">
        <v>156</v>
      </c>
      <c r="C6554" s="2">
        <v>43924</v>
      </c>
      <c r="D6554" t="s">
        <v>26</v>
      </c>
      <c r="E6554">
        <v>1062</v>
      </c>
    </row>
    <row r="6555" spans="1:5" x14ac:dyDescent="0.55000000000000004">
      <c r="A6555" t="s">
        <v>6636</v>
      </c>
      <c r="B6555" t="s">
        <v>63</v>
      </c>
      <c r="C6555" s="2">
        <v>43633</v>
      </c>
      <c r="D6555" t="s">
        <v>29</v>
      </c>
      <c r="E6555">
        <v>340</v>
      </c>
    </row>
    <row r="6556" spans="1:5" x14ac:dyDescent="0.55000000000000004">
      <c r="A6556" t="s">
        <v>6637</v>
      </c>
      <c r="B6556" t="s">
        <v>96</v>
      </c>
      <c r="C6556" s="2">
        <v>45144</v>
      </c>
      <c r="D6556" t="s">
        <v>26</v>
      </c>
      <c r="E6556">
        <v>668</v>
      </c>
    </row>
    <row r="6557" spans="1:5" x14ac:dyDescent="0.55000000000000004">
      <c r="A6557" t="s">
        <v>6638</v>
      </c>
      <c r="B6557" t="s">
        <v>111</v>
      </c>
      <c r="C6557" s="2">
        <v>44467</v>
      </c>
      <c r="D6557" t="s">
        <v>26</v>
      </c>
      <c r="E6557">
        <v>2782</v>
      </c>
    </row>
    <row r="6558" spans="1:5" x14ac:dyDescent="0.55000000000000004">
      <c r="A6558" t="s">
        <v>6639</v>
      </c>
      <c r="B6558" t="s">
        <v>72</v>
      </c>
      <c r="C6558" s="2">
        <v>43856</v>
      </c>
      <c r="D6558" t="s">
        <v>26</v>
      </c>
      <c r="E6558">
        <v>1614</v>
      </c>
    </row>
    <row r="6559" spans="1:5" x14ac:dyDescent="0.55000000000000004">
      <c r="A6559" t="s">
        <v>6640</v>
      </c>
      <c r="B6559" t="s">
        <v>15</v>
      </c>
      <c r="C6559" s="2">
        <v>42924</v>
      </c>
      <c r="D6559" t="s">
        <v>29</v>
      </c>
      <c r="E6559">
        <v>1713</v>
      </c>
    </row>
    <row r="6560" spans="1:5" x14ac:dyDescent="0.55000000000000004">
      <c r="A6560" t="s">
        <v>6641</v>
      </c>
      <c r="B6560" t="s">
        <v>41</v>
      </c>
      <c r="C6560" s="2">
        <v>44624</v>
      </c>
      <c r="D6560" t="s">
        <v>29</v>
      </c>
      <c r="E6560">
        <v>2862</v>
      </c>
    </row>
    <row r="6561" spans="1:5" x14ac:dyDescent="0.55000000000000004">
      <c r="A6561" t="s">
        <v>6642</v>
      </c>
      <c r="B6561" t="s">
        <v>137</v>
      </c>
      <c r="C6561" s="2">
        <v>45105</v>
      </c>
      <c r="D6561" t="s">
        <v>26</v>
      </c>
      <c r="E6561">
        <v>532</v>
      </c>
    </row>
    <row r="6562" spans="1:5" x14ac:dyDescent="0.55000000000000004">
      <c r="A6562" t="s">
        <v>6643</v>
      </c>
      <c r="B6562" t="s">
        <v>84</v>
      </c>
      <c r="C6562" s="2">
        <v>43073</v>
      </c>
      <c r="D6562" t="s">
        <v>29</v>
      </c>
      <c r="E6562">
        <v>1674</v>
      </c>
    </row>
    <row r="6563" spans="1:5" x14ac:dyDescent="0.55000000000000004">
      <c r="A6563" t="s">
        <v>6644</v>
      </c>
      <c r="B6563" t="s">
        <v>76</v>
      </c>
      <c r="C6563" s="2">
        <v>45701</v>
      </c>
      <c r="D6563" t="s">
        <v>29</v>
      </c>
      <c r="E6563">
        <v>2091</v>
      </c>
    </row>
    <row r="6564" spans="1:5" x14ac:dyDescent="0.55000000000000004">
      <c r="A6564" t="s">
        <v>6645</v>
      </c>
      <c r="B6564" t="s">
        <v>76</v>
      </c>
      <c r="C6564" s="2">
        <v>44570</v>
      </c>
      <c r="D6564" t="s">
        <v>29</v>
      </c>
      <c r="E6564">
        <v>1938</v>
      </c>
    </row>
    <row r="6565" spans="1:5" x14ac:dyDescent="0.55000000000000004">
      <c r="A6565" t="s">
        <v>6646</v>
      </c>
      <c r="B6565" t="s">
        <v>15</v>
      </c>
      <c r="C6565" s="2">
        <v>43081</v>
      </c>
      <c r="D6565" t="s">
        <v>26</v>
      </c>
      <c r="E6565">
        <v>2368</v>
      </c>
    </row>
    <row r="6566" spans="1:5" x14ac:dyDescent="0.55000000000000004">
      <c r="A6566" t="s">
        <v>6647</v>
      </c>
      <c r="B6566" t="s">
        <v>142</v>
      </c>
      <c r="C6566" s="2">
        <v>44225</v>
      </c>
      <c r="D6566" t="s">
        <v>26</v>
      </c>
      <c r="E6566">
        <v>1481</v>
      </c>
    </row>
    <row r="6567" spans="1:5" x14ac:dyDescent="0.55000000000000004">
      <c r="A6567" t="s">
        <v>6648</v>
      </c>
      <c r="B6567" t="s">
        <v>14</v>
      </c>
      <c r="C6567" s="2">
        <v>42991</v>
      </c>
      <c r="D6567" t="s">
        <v>29</v>
      </c>
      <c r="E6567">
        <v>445</v>
      </c>
    </row>
    <row r="6568" spans="1:5" x14ac:dyDescent="0.55000000000000004">
      <c r="A6568" t="s">
        <v>6649</v>
      </c>
      <c r="B6568" t="s">
        <v>137</v>
      </c>
      <c r="C6568" s="2">
        <v>45556</v>
      </c>
      <c r="D6568" t="s">
        <v>29</v>
      </c>
      <c r="E6568">
        <v>2050</v>
      </c>
    </row>
    <row r="6569" spans="1:5" x14ac:dyDescent="0.55000000000000004">
      <c r="A6569" t="s">
        <v>6650</v>
      </c>
      <c r="B6569" t="s">
        <v>23</v>
      </c>
      <c r="C6569" s="2">
        <v>44820</v>
      </c>
      <c r="D6569" t="s">
        <v>29</v>
      </c>
      <c r="E6569">
        <v>596</v>
      </c>
    </row>
    <row r="6570" spans="1:5" x14ac:dyDescent="0.55000000000000004">
      <c r="A6570" t="s">
        <v>6651</v>
      </c>
      <c r="B6570" t="s">
        <v>72</v>
      </c>
      <c r="C6570" s="2">
        <v>43398</v>
      </c>
      <c r="D6570" t="s">
        <v>29</v>
      </c>
      <c r="E6570">
        <v>1113</v>
      </c>
    </row>
    <row r="6571" spans="1:5" x14ac:dyDescent="0.55000000000000004">
      <c r="A6571" t="s">
        <v>6652</v>
      </c>
      <c r="B6571" t="s">
        <v>137</v>
      </c>
      <c r="C6571" s="2">
        <v>44324</v>
      </c>
      <c r="D6571" t="s">
        <v>29</v>
      </c>
      <c r="E6571">
        <v>219</v>
      </c>
    </row>
    <row r="6572" spans="1:5" x14ac:dyDescent="0.55000000000000004">
      <c r="A6572" t="s">
        <v>6653</v>
      </c>
      <c r="B6572" t="s">
        <v>156</v>
      </c>
      <c r="C6572" s="2">
        <v>44403</v>
      </c>
      <c r="D6572" t="s">
        <v>29</v>
      </c>
      <c r="E6572">
        <v>1549</v>
      </c>
    </row>
    <row r="6573" spans="1:5" x14ac:dyDescent="0.55000000000000004">
      <c r="A6573" t="s">
        <v>6654</v>
      </c>
      <c r="B6573" t="s">
        <v>99</v>
      </c>
      <c r="C6573" s="2">
        <v>44090</v>
      </c>
      <c r="D6573" t="s">
        <v>26</v>
      </c>
      <c r="E6573">
        <v>617</v>
      </c>
    </row>
    <row r="6574" spans="1:5" x14ac:dyDescent="0.55000000000000004">
      <c r="A6574" t="s">
        <v>6655</v>
      </c>
      <c r="B6574" t="s">
        <v>74</v>
      </c>
      <c r="C6574" s="2">
        <v>43605</v>
      </c>
      <c r="D6574" t="s">
        <v>29</v>
      </c>
      <c r="E6574">
        <v>1035</v>
      </c>
    </row>
    <row r="6575" spans="1:5" x14ac:dyDescent="0.55000000000000004">
      <c r="A6575" t="s">
        <v>6656</v>
      </c>
      <c r="B6575" t="s">
        <v>32</v>
      </c>
      <c r="C6575" s="2">
        <v>44560</v>
      </c>
      <c r="D6575" t="s">
        <v>26</v>
      </c>
      <c r="E6575">
        <v>1461</v>
      </c>
    </row>
    <row r="6576" spans="1:5" x14ac:dyDescent="0.55000000000000004">
      <c r="A6576" t="s">
        <v>6657</v>
      </c>
      <c r="B6576" t="s">
        <v>84</v>
      </c>
      <c r="C6576" s="2">
        <v>44094</v>
      </c>
      <c r="D6576" t="s">
        <v>26</v>
      </c>
      <c r="E6576">
        <v>70</v>
      </c>
    </row>
    <row r="6577" spans="1:5" x14ac:dyDescent="0.55000000000000004">
      <c r="A6577" t="s">
        <v>6658</v>
      </c>
      <c r="B6577" t="s">
        <v>101</v>
      </c>
      <c r="C6577" s="2">
        <v>44268</v>
      </c>
      <c r="D6577" t="s">
        <v>29</v>
      </c>
      <c r="E6577">
        <v>1159</v>
      </c>
    </row>
    <row r="6578" spans="1:5" x14ac:dyDescent="0.55000000000000004">
      <c r="A6578" t="s">
        <v>6659</v>
      </c>
      <c r="B6578" t="s">
        <v>35</v>
      </c>
      <c r="C6578" s="2">
        <v>44011</v>
      </c>
      <c r="D6578" t="s">
        <v>26</v>
      </c>
      <c r="E6578">
        <v>414</v>
      </c>
    </row>
    <row r="6579" spans="1:5" x14ac:dyDescent="0.55000000000000004">
      <c r="A6579" t="s">
        <v>6660</v>
      </c>
      <c r="B6579" t="s">
        <v>38</v>
      </c>
      <c r="C6579" s="2">
        <v>44840</v>
      </c>
      <c r="D6579" t="s">
        <v>26</v>
      </c>
      <c r="E6579">
        <v>2239</v>
      </c>
    </row>
    <row r="6580" spans="1:5" x14ac:dyDescent="0.55000000000000004">
      <c r="A6580" t="s">
        <v>6661</v>
      </c>
      <c r="B6580" t="s">
        <v>99</v>
      </c>
      <c r="C6580" s="2">
        <v>43794</v>
      </c>
      <c r="D6580" t="s">
        <v>26</v>
      </c>
      <c r="E6580">
        <v>1898</v>
      </c>
    </row>
    <row r="6581" spans="1:5" x14ac:dyDescent="0.55000000000000004">
      <c r="A6581" t="s">
        <v>6662</v>
      </c>
      <c r="B6581" t="s">
        <v>63</v>
      </c>
      <c r="C6581" s="2">
        <v>42922</v>
      </c>
      <c r="D6581" t="s">
        <v>29</v>
      </c>
      <c r="E6581">
        <v>956</v>
      </c>
    </row>
    <row r="6582" spans="1:5" x14ac:dyDescent="0.55000000000000004">
      <c r="A6582" t="s">
        <v>6663</v>
      </c>
      <c r="B6582" t="s">
        <v>156</v>
      </c>
      <c r="C6582" s="2">
        <v>43378</v>
      </c>
      <c r="D6582" t="s">
        <v>29</v>
      </c>
      <c r="E6582">
        <v>2773</v>
      </c>
    </row>
    <row r="6583" spans="1:5" x14ac:dyDescent="0.55000000000000004">
      <c r="A6583" t="s">
        <v>6664</v>
      </c>
      <c r="B6583" t="s">
        <v>23</v>
      </c>
      <c r="C6583" s="2">
        <v>44419</v>
      </c>
      <c r="D6583" t="s">
        <v>26</v>
      </c>
      <c r="E6583">
        <v>2965</v>
      </c>
    </row>
    <row r="6584" spans="1:5" x14ac:dyDescent="0.55000000000000004">
      <c r="A6584" t="s">
        <v>6665</v>
      </c>
      <c r="B6584" t="s">
        <v>74</v>
      </c>
      <c r="C6584" s="2">
        <v>43998</v>
      </c>
      <c r="D6584" t="s">
        <v>29</v>
      </c>
      <c r="E6584">
        <v>2403</v>
      </c>
    </row>
    <row r="6585" spans="1:5" x14ac:dyDescent="0.55000000000000004">
      <c r="A6585" t="s">
        <v>6666</v>
      </c>
      <c r="B6585" t="s">
        <v>137</v>
      </c>
      <c r="C6585" s="2">
        <v>45185</v>
      </c>
      <c r="D6585" t="s">
        <v>26</v>
      </c>
      <c r="E6585">
        <v>1659</v>
      </c>
    </row>
    <row r="6586" spans="1:5" x14ac:dyDescent="0.55000000000000004">
      <c r="A6586" t="s">
        <v>6667</v>
      </c>
      <c r="B6586" t="s">
        <v>101</v>
      </c>
      <c r="C6586" s="2">
        <v>43448</v>
      </c>
      <c r="D6586" t="s">
        <v>26</v>
      </c>
      <c r="E6586">
        <v>1422</v>
      </c>
    </row>
    <row r="6587" spans="1:5" x14ac:dyDescent="0.55000000000000004">
      <c r="A6587" t="s">
        <v>6668</v>
      </c>
      <c r="B6587" t="s">
        <v>76</v>
      </c>
      <c r="C6587" s="2">
        <v>43868</v>
      </c>
      <c r="D6587" t="s">
        <v>26</v>
      </c>
      <c r="E6587">
        <v>179</v>
      </c>
    </row>
    <row r="6588" spans="1:5" x14ac:dyDescent="0.55000000000000004">
      <c r="A6588" t="s">
        <v>6669</v>
      </c>
      <c r="B6588" t="s">
        <v>105</v>
      </c>
      <c r="C6588" s="2">
        <v>43103</v>
      </c>
      <c r="D6588" t="s">
        <v>26</v>
      </c>
      <c r="E6588">
        <v>1519</v>
      </c>
    </row>
    <row r="6589" spans="1:5" x14ac:dyDescent="0.55000000000000004">
      <c r="A6589" t="s">
        <v>6670</v>
      </c>
      <c r="B6589" t="s">
        <v>156</v>
      </c>
      <c r="C6589" s="2">
        <v>43318</v>
      </c>
      <c r="D6589" t="s">
        <v>29</v>
      </c>
      <c r="E6589">
        <v>336</v>
      </c>
    </row>
    <row r="6590" spans="1:5" x14ac:dyDescent="0.55000000000000004">
      <c r="A6590" t="s">
        <v>6671</v>
      </c>
      <c r="B6590" t="s">
        <v>137</v>
      </c>
      <c r="C6590" s="2">
        <v>44229</v>
      </c>
      <c r="D6590" t="s">
        <v>26</v>
      </c>
      <c r="E6590">
        <v>120</v>
      </c>
    </row>
    <row r="6591" spans="1:5" x14ac:dyDescent="0.55000000000000004">
      <c r="A6591" t="s">
        <v>6672</v>
      </c>
      <c r="B6591" t="s">
        <v>115</v>
      </c>
      <c r="C6591" s="2">
        <v>44367</v>
      </c>
      <c r="D6591" t="s">
        <v>29</v>
      </c>
      <c r="E6591">
        <v>208</v>
      </c>
    </row>
    <row r="6592" spans="1:5" x14ac:dyDescent="0.55000000000000004">
      <c r="A6592" t="s">
        <v>6673</v>
      </c>
      <c r="B6592" t="s">
        <v>156</v>
      </c>
      <c r="C6592" s="2">
        <v>44168</v>
      </c>
      <c r="D6592" t="s">
        <v>29</v>
      </c>
      <c r="E6592">
        <v>17</v>
      </c>
    </row>
    <row r="6593" spans="1:5" x14ac:dyDescent="0.55000000000000004">
      <c r="A6593" t="s">
        <v>6674</v>
      </c>
      <c r="B6593" t="s">
        <v>175</v>
      </c>
      <c r="C6593" s="2">
        <v>44447</v>
      </c>
      <c r="D6593" t="s">
        <v>29</v>
      </c>
      <c r="E6593">
        <v>582</v>
      </c>
    </row>
    <row r="6594" spans="1:5" x14ac:dyDescent="0.55000000000000004">
      <c r="A6594" t="s">
        <v>6675</v>
      </c>
      <c r="B6594" t="s">
        <v>115</v>
      </c>
      <c r="C6594" s="2">
        <v>44378</v>
      </c>
      <c r="D6594" t="s">
        <v>29</v>
      </c>
      <c r="E6594">
        <v>216</v>
      </c>
    </row>
    <row r="6595" spans="1:5" x14ac:dyDescent="0.55000000000000004">
      <c r="A6595" t="s">
        <v>6676</v>
      </c>
      <c r="B6595" t="s">
        <v>142</v>
      </c>
      <c r="C6595" s="2">
        <v>43331</v>
      </c>
      <c r="D6595" t="s">
        <v>26</v>
      </c>
      <c r="E6595">
        <v>255</v>
      </c>
    </row>
    <row r="6596" spans="1:5" x14ac:dyDescent="0.55000000000000004">
      <c r="A6596" t="s">
        <v>6677</v>
      </c>
      <c r="B6596" t="s">
        <v>41</v>
      </c>
      <c r="C6596" s="2">
        <v>44243</v>
      </c>
      <c r="D6596" t="s">
        <v>26</v>
      </c>
      <c r="E6596">
        <v>2435</v>
      </c>
    </row>
    <row r="6597" spans="1:5" x14ac:dyDescent="0.55000000000000004">
      <c r="A6597" t="s">
        <v>6678</v>
      </c>
      <c r="B6597" t="s">
        <v>15</v>
      </c>
      <c r="C6597" s="2">
        <v>44044</v>
      </c>
      <c r="D6597" t="s">
        <v>26</v>
      </c>
      <c r="E6597">
        <v>328</v>
      </c>
    </row>
    <row r="6598" spans="1:5" x14ac:dyDescent="0.55000000000000004">
      <c r="A6598" t="s">
        <v>6679</v>
      </c>
      <c r="B6598" t="s">
        <v>74</v>
      </c>
      <c r="C6598" s="2">
        <v>43482</v>
      </c>
      <c r="D6598" t="s">
        <v>26</v>
      </c>
      <c r="E6598">
        <v>54</v>
      </c>
    </row>
    <row r="6599" spans="1:5" x14ac:dyDescent="0.55000000000000004">
      <c r="A6599" t="s">
        <v>6680</v>
      </c>
      <c r="B6599" t="s">
        <v>151</v>
      </c>
      <c r="C6599" s="2">
        <v>43526</v>
      </c>
      <c r="D6599" t="s">
        <v>29</v>
      </c>
      <c r="E6599">
        <v>478</v>
      </c>
    </row>
    <row r="6600" spans="1:5" x14ac:dyDescent="0.55000000000000004">
      <c r="A6600" t="s">
        <v>6681</v>
      </c>
      <c r="B6600" t="s">
        <v>63</v>
      </c>
      <c r="C6600" s="2">
        <v>43136</v>
      </c>
      <c r="D6600" t="s">
        <v>29</v>
      </c>
      <c r="E6600">
        <v>405</v>
      </c>
    </row>
    <row r="6601" spans="1:5" x14ac:dyDescent="0.55000000000000004">
      <c r="A6601" t="s">
        <v>6682</v>
      </c>
      <c r="B6601" t="s">
        <v>23</v>
      </c>
      <c r="C6601" s="2">
        <v>44786</v>
      </c>
      <c r="D6601" t="s">
        <v>29</v>
      </c>
      <c r="E6601">
        <v>186</v>
      </c>
    </row>
    <row r="6602" spans="1:5" x14ac:dyDescent="0.55000000000000004">
      <c r="A6602" t="s">
        <v>6683</v>
      </c>
      <c r="B6602" t="s">
        <v>118</v>
      </c>
      <c r="C6602" s="2">
        <v>43895</v>
      </c>
      <c r="D6602" t="s">
        <v>29</v>
      </c>
      <c r="E6602">
        <v>637</v>
      </c>
    </row>
    <row r="6603" spans="1:5" x14ac:dyDescent="0.55000000000000004">
      <c r="A6603" t="s">
        <v>6684</v>
      </c>
      <c r="B6603" t="s">
        <v>118</v>
      </c>
      <c r="C6603" s="2">
        <v>44919</v>
      </c>
      <c r="D6603" t="s">
        <v>26</v>
      </c>
      <c r="E6603">
        <v>2956</v>
      </c>
    </row>
    <row r="6604" spans="1:5" x14ac:dyDescent="0.55000000000000004">
      <c r="A6604" t="s">
        <v>6685</v>
      </c>
      <c r="B6604" t="s">
        <v>67</v>
      </c>
      <c r="C6604" s="2">
        <v>44524</v>
      </c>
      <c r="D6604" t="s">
        <v>26</v>
      </c>
      <c r="E6604">
        <v>2383</v>
      </c>
    </row>
    <row r="6605" spans="1:5" x14ac:dyDescent="0.55000000000000004">
      <c r="A6605" t="s">
        <v>6686</v>
      </c>
      <c r="B6605" t="s">
        <v>35</v>
      </c>
      <c r="C6605" s="2">
        <v>44414</v>
      </c>
      <c r="D6605" t="s">
        <v>29</v>
      </c>
      <c r="E6605">
        <v>2145</v>
      </c>
    </row>
    <row r="6606" spans="1:5" x14ac:dyDescent="0.55000000000000004">
      <c r="A6606" t="s">
        <v>6687</v>
      </c>
      <c r="B6606" t="s">
        <v>111</v>
      </c>
      <c r="C6606" s="2">
        <v>43663</v>
      </c>
      <c r="D6606" t="s">
        <v>26</v>
      </c>
      <c r="E6606">
        <v>2575</v>
      </c>
    </row>
    <row r="6607" spans="1:5" x14ac:dyDescent="0.55000000000000004">
      <c r="A6607" t="s">
        <v>6688</v>
      </c>
      <c r="B6607" t="s">
        <v>115</v>
      </c>
      <c r="C6607" s="2">
        <v>43074</v>
      </c>
      <c r="D6607" t="s">
        <v>26</v>
      </c>
      <c r="E6607">
        <v>1792</v>
      </c>
    </row>
    <row r="6608" spans="1:5" x14ac:dyDescent="0.55000000000000004">
      <c r="A6608" t="s">
        <v>6689</v>
      </c>
      <c r="B6608" t="s">
        <v>111</v>
      </c>
      <c r="C6608" s="2">
        <v>43374</v>
      </c>
      <c r="D6608" t="s">
        <v>29</v>
      </c>
      <c r="E6608">
        <v>2171</v>
      </c>
    </row>
    <row r="6609" spans="1:5" x14ac:dyDescent="0.55000000000000004">
      <c r="A6609" t="s">
        <v>6690</v>
      </c>
      <c r="B6609" t="s">
        <v>105</v>
      </c>
      <c r="C6609" s="2">
        <v>44363</v>
      </c>
      <c r="D6609" t="s">
        <v>26</v>
      </c>
      <c r="E6609">
        <v>92</v>
      </c>
    </row>
    <row r="6610" spans="1:5" x14ac:dyDescent="0.55000000000000004">
      <c r="A6610" t="s">
        <v>6691</v>
      </c>
      <c r="B6610" t="s">
        <v>96</v>
      </c>
      <c r="C6610" s="2">
        <v>44147</v>
      </c>
      <c r="D6610" t="s">
        <v>29</v>
      </c>
      <c r="E6610">
        <v>2140</v>
      </c>
    </row>
    <row r="6611" spans="1:5" x14ac:dyDescent="0.55000000000000004">
      <c r="A6611" t="s">
        <v>6692</v>
      </c>
      <c r="B6611" t="s">
        <v>78</v>
      </c>
      <c r="C6611" s="2">
        <v>43480</v>
      </c>
      <c r="D6611" t="s">
        <v>29</v>
      </c>
      <c r="E6611">
        <v>563</v>
      </c>
    </row>
    <row r="6612" spans="1:5" x14ac:dyDescent="0.55000000000000004">
      <c r="A6612" t="s">
        <v>6693</v>
      </c>
      <c r="B6612" t="s">
        <v>118</v>
      </c>
      <c r="C6612" s="2">
        <v>45382</v>
      </c>
      <c r="D6612" t="s">
        <v>26</v>
      </c>
      <c r="E6612">
        <v>2928</v>
      </c>
    </row>
    <row r="6613" spans="1:5" x14ac:dyDescent="0.55000000000000004">
      <c r="A6613" t="s">
        <v>6694</v>
      </c>
      <c r="B6613" t="s">
        <v>63</v>
      </c>
      <c r="C6613" s="2">
        <v>43875</v>
      </c>
      <c r="D6613" t="s">
        <v>26</v>
      </c>
      <c r="E6613">
        <v>1701</v>
      </c>
    </row>
    <row r="6614" spans="1:5" x14ac:dyDescent="0.55000000000000004">
      <c r="A6614" t="s">
        <v>6695</v>
      </c>
      <c r="B6614" t="s">
        <v>115</v>
      </c>
      <c r="C6614" s="2">
        <v>43790</v>
      </c>
      <c r="D6614" t="s">
        <v>26</v>
      </c>
      <c r="E6614">
        <v>2263</v>
      </c>
    </row>
    <row r="6615" spans="1:5" x14ac:dyDescent="0.55000000000000004">
      <c r="A6615" t="s">
        <v>6696</v>
      </c>
      <c r="B6615" t="s">
        <v>41</v>
      </c>
      <c r="C6615" s="2">
        <v>44879</v>
      </c>
      <c r="D6615" t="s">
        <v>26</v>
      </c>
      <c r="E6615">
        <v>2521</v>
      </c>
    </row>
    <row r="6616" spans="1:5" x14ac:dyDescent="0.55000000000000004">
      <c r="A6616" t="s">
        <v>6697</v>
      </c>
      <c r="B6616" t="s">
        <v>96</v>
      </c>
      <c r="C6616" s="2">
        <v>44099</v>
      </c>
      <c r="D6616" t="s">
        <v>26</v>
      </c>
      <c r="E6616">
        <v>830</v>
      </c>
    </row>
    <row r="6617" spans="1:5" x14ac:dyDescent="0.55000000000000004">
      <c r="A6617" t="s">
        <v>6698</v>
      </c>
      <c r="B6617" t="s">
        <v>38</v>
      </c>
      <c r="C6617" s="2">
        <v>44617</v>
      </c>
      <c r="D6617" t="s">
        <v>29</v>
      </c>
      <c r="E6617">
        <v>1970</v>
      </c>
    </row>
    <row r="6618" spans="1:5" x14ac:dyDescent="0.55000000000000004">
      <c r="A6618" t="s">
        <v>6699</v>
      </c>
      <c r="B6618" t="s">
        <v>96</v>
      </c>
      <c r="C6618" s="2">
        <v>43960</v>
      </c>
      <c r="D6618" t="s">
        <v>26</v>
      </c>
      <c r="E6618">
        <v>1987</v>
      </c>
    </row>
    <row r="6619" spans="1:5" x14ac:dyDescent="0.55000000000000004">
      <c r="A6619" t="s">
        <v>6700</v>
      </c>
      <c r="B6619" t="s">
        <v>111</v>
      </c>
      <c r="C6619" s="2">
        <v>43381</v>
      </c>
      <c r="D6619" t="s">
        <v>26</v>
      </c>
      <c r="E6619">
        <v>1832</v>
      </c>
    </row>
    <row r="6620" spans="1:5" x14ac:dyDescent="0.55000000000000004">
      <c r="A6620" t="s">
        <v>6701</v>
      </c>
      <c r="B6620" t="s">
        <v>94</v>
      </c>
      <c r="C6620" s="2">
        <v>45183</v>
      </c>
      <c r="D6620" t="s">
        <v>26</v>
      </c>
      <c r="E6620">
        <v>28</v>
      </c>
    </row>
    <row r="6621" spans="1:5" x14ac:dyDescent="0.55000000000000004">
      <c r="A6621" t="s">
        <v>6702</v>
      </c>
      <c r="B6621" t="s">
        <v>105</v>
      </c>
      <c r="C6621" s="2">
        <v>44551</v>
      </c>
      <c r="D6621" t="s">
        <v>29</v>
      </c>
      <c r="E6621">
        <v>2240</v>
      </c>
    </row>
    <row r="6622" spans="1:5" x14ac:dyDescent="0.55000000000000004">
      <c r="A6622" t="s">
        <v>6703</v>
      </c>
      <c r="B6622" t="s">
        <v>14</v>
      </c>
      <c r="C6622" s="2">
        <v>44296</v>
      </c>
      <c r="D6622" t="s">
        <v>29</v>
      </c>
      <c r="E6622">
        <v>1441</v>
      </c>
    </row>
    <row r="6623" spans="1:5" x14ac:dyDescent="0.55000000000000004">
      <c r="A6623" t="s">
        <v>6704</v>
      </c>
      <c r="B6623" t="s">
        <v>15</v>
      </c>
      <c r="C6623" s="2">
        <v>43942</v>
      </c>
      <c r="D6623" t="s">
        <v>26</v>
      </c>
      <c r="E6623">
        <v>60</v>
      </c>
    </row>
    <row r="6624" spans="1:5" x14ac:dyDescent="0.55000000000000004">
      <c r="A6624" t="s">
        <v>6705</v>
      </c>
      <c r="B6624" t="s">
        <v>105</v>
      </c>
      <c r="C6624" s="2">
        <v>44250</v>
      </c>
      <c r="D6624" t="s">
        <v>29</v>
      </c>
      <c r="E6624">
        <v>2740</v>
      </c>
    </row>
    <row r="6625" spans="1:5" x14ac:dyDescent="0.55000000000000004">
      <c r="A6625" t="s">
        <v>6706</v>
      </c>
      <c r="B6625" t="s">
        <v>76</v>
      </c>
      <c r="C6625" s="2">
        <v>44666</v>
      </c>
      <c r="D6625" t="s">
        <v>26</v>
      </c>
      <c r="E6625">
        <v>552</v>
      </c>
    </row>
    <row r="6626" spans="1:5" x14ac:dyDescent="0.55000000000000004">
      <c r="A6626" t="s">
        <v>6707</v>
      </c>
      <c r="B6626" t="s">
        <v>151</v>
      </c>
      <c r="C6626" s="2">
        <v>43726</v>
      </c>
      <c r="D6626" t="s">
        <v>26</v>
      </c>
      <c r="E6626">
        <v>664</v>
      </c>
    </row>
    <row r="6627" spans="1:5" x14ac:dyDescent="0.55000000000000004">
      <c r="A6627" t="s">
        <v>6708</v>
      </c>
      <c r="B6627" t="s">
        <v>175</v>
      </c>
      <c r="C6627" s="2">
        <v>43963</v>
      </c>
      <c r="D6627" t="s">
        <v>29</v>
      </c>
      <c r="E6627">
        <v>2396</v>
      </c>
    </row>
    <row r="6628" spans="1:5" x14ac:dyDescent="0.55000000000000004">
      <c r="A6628" t="s">
        <v>6709</v>
      </c>
      <c r="B6628" t="s">
        <v>142</v>
      </c>
      <c r="C6628" s="2">
        <v>44533</v>
      </c>
      <c r="D6628" t="s">
        <v>29</v>
      </c>
      <c r="E6628">
        <v>2467</v>
      </c>
    </row>
    <row r="6629" spans="1:5" x14ac:dyDescent="0.55000000000000004">
      <c r="A6629" t="s">
        <v>6710</v>
      </c>
      <c r="B6629" t="s">
        <v>38</v>
      </c>
      <c r="C6629" s="2">
        <v>44614</v>
      </c>
      <c r="D6629" t="s">
        <v>29</v>
      </c>
      <c r="E6629">
        <v>1867</v>
      </c>
    </row>
    <row r="6630" spans="1:5" x14ac:dyDescent="0.55000000000000004">
      <c r="A6630" t="s">
        <v>6711</v>
      </c>
      <c r="B6630" t="s">
        <v>84</v>
      </c>
      <c r="C6630" s="2">
        <v>43732</v>
      </c>
      <c r="D6630" t="s">
        <v>29</v>
      </c>
      <c r="E6630">
        <v>81</v>
      </c>
    </row>
    <row r="6631" spans="1:5" x14ac:dyDescent="0.55000000000000004">
      <c r="A6631" t="s">
        <v>6712</v>
      </c>
      <c r="B6631" t="s">
        <v>101</v>
      </c>
      <c r="C6631" s="2">
        <v>44557</v>
      </c>
      <c r="D6631" t="s">
        <v>29</v>
      </c>
      <c r="E6631">
        <v>2794</v>
      </c>
    </row>
    <row r="6632" spans="1:5" x14ac:dyDescent="0.55000000000000004">
      <c r="A6632" t="s">
        <v>6713</v>
      </c>
      <c r="B6632" t="s">
        <v>38</v>
      </c>
      <c r="C6632" s="2">
        <v>44561</v>
      </c>
      <c r="D6632" t="s">
        <v>26</v>
      </c>
      <c r="E6632">
        <v>1789</v>
      </c>
    </row>
    <row r="6633" spans="1:5" x14ac:dyDescent="0.55000000000000004">
      <c r="A6633" t="s">
        <v>6714</v>
      </c>
      <c r="B6633" t="s">
        <v>32</v>
      </c>
      <c r="C6633" s="2">
        <v>44073</v>
      </c>
      <c r="D6633" t="s">
        <v>26</v>
      </c>
      <c r="E6633">
        <v>2367</v>
      </c>
    </row>
    <row r="6634" spans="1:5" x14ac:dyDescent="0.55000000000000004">
      <c r="A6634" t="s">
        <v>6715</v>
      </c>
      <c r="B6634" t="s">
        <v>76</v>
      </c>
      <c r="C6634" s="2">
        <v>44959</v>
      </c>
      <c r="D6634" t="s">
        <v>26</v>
      </c>
      <c r="E6634">
        <v>366</v>
      </c>
    </row>
    <row r="6635" spans="1:5" x14ac:dyDescent="0.55000000000000004">
      <c r="A6635" t="s">
        <v>6716</v>
      </c>
      <c r="B6635" t="s">
        <v>111</v>
      </c>
      <c r="C6635" s="2">
        <v>43029</v>
      </c>
      <c r="D6635" t="s">
        <v>26</v>
      </c>
      <c r="E6635">
        <v>1665</v>
      </c>
    </row>
    <row r="6636" spans="1:5" x14ac:dyDescent="0.55000000000000004">
      <c r="A6636" t="s">
        <v>6717</v>
      </c>
      <c r="B6636" t="s">
        <v>94</v>
      </c>
      <c r="C6636" s="2">
        <v>44687</v>
      </c>
      <c r="D6636" t="s">
        <v>26</v>
      </c>
      <c r="E6636">
        <v>1590</v>
      </c>
    </row>
    <row r="6637" spans="1:5" x14ac:dyDescent="0.55000000000000004">
      <c r="A6637" t="s">
        <v>6718</v>
      </c>
      <c r="B6637" t="s">
        <v>74</v>
      </c>
      <c r="C6637" s="2">
        <v>42926</v>
      </c>
      <c r="D6637" t="s">
        <v>29</v>
      </c>
      <c r="E6637">
        <v>39</v>
      </c>
    </row>
    <row r="6638" spans="1:5" x14ac:dyDescent="0.55000000000000004">
      <c r="A6638" t="s">
        <v>6719</v>
      </c>
      <c r="B6638" t="s">
        <v>151</v>
      </c>
      <c r="C6638" s="2">
        <v>43321</v>
      </c>
      <c r="D6638" t="s">
        <v>29</v>
      </c>
      <c r="E6638">
        <v>190</v>
      </c>
    </row>
    <row r="6639" spans="1:5" x14ac:dyDescent="0.55000000000000004">
      <c r="A6639" t="s">
        <v>6720</v>
      </c>
      <c r="B6639" t="s">
        <v>175</v>
      </c>
      <c r="C6639" s="2">
        <v>45606</v>
      </c>
      <c r="D6639" t="s">
        <v>29</v>
      </c>
      <c r="E6639">
        <v>641</v>
      </c>
    </row>
    <row r="6640" spans="1:5" x14ac:dyDescent="0.55000000000000004">
      <c r="A6640" t="s">
        <v>6721</v>
      </c>
      <c r="B6640" t="s">
        <v>156</v>
      </c>
      <c r="C6640" s="2">
        <v>43350</v>
      </c>
      <c r="D6640" t="s">
        <v>26</v>
      </c>
      <c r="E6640">
        <v>2539</v>
      </c>
    </row>
    <row r="6641" spans="1:5" x14ac:dyDescent="0.55000000000000004">
      <c r="A6641" t="s">
        <v>6722</v>
      </c>
      <c r="B6641" t="s">
        <v>99</v>
      </c>
      <c r="C6641" s="2">
        <v>44375</v>
      </c>
      <c r="D6641" t="s">
        <v>26</v>
      </c>
      <c r="E6641">
        <v>1181</v>
      </c>
    </row>
    <row r="6642" spans="1:5" x14ac:dyDescent="0.55000000000000004">
      <c r="A6642" t="s">
        <v>6723</v>
      </c>
      <c r="B6642" t="s">
        <v>99</v>
      </c>
      <c r="C6642" s="2">
        <v>44665</v>
      </c>
      <c r="D6642" t="s">
        <v>26</v>
      </c>
      <c r="E6642">
        <v>902</v>
      </c>
    </row>
    <row r="6643" spans="1:5" x14ac:dyDescent="0.55000000000000004">
      <c r="A6643" t="s">
        <v>6724</v>
      </c>
      <c r="B6643" t="s">
        <v>14</v>
      </c>
      <c r="C6643" s="2">
        <v>42937</v>
      </c>
      <c r="D6643" t="s">
        <v>29</v>
      </c>
      <c r="E6643">
        <v>438</v>
      </c>
    </row>
    <row r="6644" spans="1:5" x14ac:dyDescent="0.55000000000000004">
      <c r="A6644" t="s">
        <v>6725</v>
      </c>
      <c r="B6644" t="s">
        <v>78</v>
      </c>
      <c r="C6644" s="2">
        <v>45207</v>
      </c>
      <c r="D6644" t="s">
        <v>26</v>
      </c>
      <c r="E6644">
        <v>63</v>
      </c>
    </row>
    <row r="6645" spans="1:5" x14ac:dyDescent="0.55000000000000004">
      <c r="A6645" t="s">
        <v>6726</v>
      </c>
      <c r="B6645" t="s">
        <v>111</v>
      </c>
      <c r="C6645" s="2">
        <v>43385</v>
      </c>
      <c r="D6645" t="s">
        <v>26</v>
      </c>
      <c r="E6645">
        <v>603</v>
      </c>
    </row>
    <row r="6646" spans="1:5" x14ac:dyDescent="0.55000000000000004">
      <c r="A6646" t="s">
        <v>6727</v>
      </c>
      <c r="B6646" t="s">
        <v>115</v>
      </c>
      <c r="C6646" s="2">
        <v>43671</v>
      </c>
      <c r="D6646" t="s">
        <v>26</v>
      </c>
      <c r="E6646">
        <v>1544</v>
      </c>
    </row>
    <row r="6647" spans="1:5" x14ac:dyDescent="0.55000000000000004">
      <c r="A6647" t="s">
        <v>6728</v>
      </c>
      <c r="B6647" t="s">
        <v>96</v>
      </c>
      <c r="C6647" s="2">
        <v>44959</v>
      </c>
      <c r="D6647" t="s">
        <v>29</v>
      </c>
      <c r="E6647">
        <v>2860</v>
      </c>
    </row>
    <row r="6648" spans="1:5" x14ac:dyDescent="0.55000000000000004">
      <c r="A6648" t="s">
        <v>6729</v>
      </c>
      <c r="B6648" t="s">
        <v>156</v>
      </c>
      <c r="C6648" s="2">
        <v>43744</v>
      </c>
      <c r="D6648" t="s">
        <v>26</v>
      </c>
      <c r="E6648">
        <v>946</v>
      </c>
    </row>
    <row r="6649" spans="1:5" x14ac:dyDescent="0.55000000000000004">
      <c r="A6649" t="s">
        <v>6730</v>
      </c>
      <c r="B6649" t="s">
        <v>38</v>
      </c>
      <c r="C6649" s="2">
        <v>44506</v>
      </c>
      <c r="D6649" t="s">
        <v>26</v>
      </c>
      <c r="E6649">
        <v>1269</v>
      </c>
    </row>
    <row r="6650" spans="1:5" x14ac:dyDescent="0.55000000000000004">
      <c r="A6650" t="s">
        <v>6731</v>
      </c>
      <c r="B6650" t="s">
        <v>99</v>
      </c>
      <c r="C6650" s="2">
        <v>43837</v>
      </c>
      <c r="D6650" t="s">
        <v>26</v>
      </c>
      <c r="E6650">
        <v>12</v>
      </c>
    </row>
    <row r="6651" spans="1:5" x14ac:dyDescent="0.55000000000000004">
      <c r="A6651" t="s">
        <v>6732</v>
      </c>
      <c r="B6651" t="s">
        <v>111</v>
      </c>
      <c r="C6651" s="2">
        <v>42951</v>
      </c>
      <c r="D6651" t="s">
        <v>26</v>
      </c>
      <c r="E6651">
        <v>1131</v>
      </c>
    </row>
    <row r="6652" spans="1:5" x14ac:dyDescent="0.55000000000000004">
      <c r="A6652" t="s">
        <v>6733</v>
      </c>
      <c r="B6652" t="s">
        <v>96</v>
      </c>
      <c r="C6652" s="2">
        <v>45188</v>
      </c>
      <c r="D6652" t="s">
        <v>29</v>
      </c>
      <c r="E6652">
        <v>636</v>
      </c>
    </row>
    <row r="6653" spans="1:5" x14ac:dyDescent="0.55000000000000004">
      <c r="A6653" t="s">
        <v>6734</v>
      </c>
      <c r="B6653" t="s">
        <v>96</v>
      </c>
      <c r="C6653" s="2">
        <v>45536</v>
      </c>
      <c r="D6653" t="s">
        <v>29</v>
      </c>
      <c r="E6653">
        <v>500</v>
      </c>
    </row>
    <row r="6654" spans="1:5" x14ac:dyDescent="0.55000000000000004">
      <c r="A6654" t="s">
        <v>6735</v>
      </c>
      <c r="B6654" t="s">
        <v>111</v>
      </c>
      <c r="C6654" s="2">
        <v>43884</v>
      </c>
      <c r="D6654" t="s">
        <v>26</v>
      </c>
      <c r="E6654">
        <v>2260</v>
      </c>
    </row>
    <row r="6655" spans="1:5" x14ac:dyDescent="0.55000000000000004">
      <c r="A6655" t="s">
        <v>6736</v>
      </c>
      <c r="B6655" t="s">
        <v>111</v>
      </c>
      <c r="C6655" s="2">
        <v>43574</v>
      </c>
      <c r="D6655" t="s">
        <v>26</v>
      </c>
      <c r="E6655">
        <v>560</v>
      </c>
    </row>
    <row r="6656" spans="1:5" x14ac:dyDescent="0.55000000000000004">
      <c r="A6656" t="s">
        <v>6737</v>
      </c>
      <c r="B6656" t="s">
        <v>99</v>
      </c>
      <c r="C6656" s="2">
        <v>43778</v>
      </c>
      <c r="D6656" t="s">
        <v>29</v>
      </c>
      <c r="E6656">
        <v>2018</v>
      </c>
    </row>
    <row r="6657" spans="1:5" x14ac:dyDescent="0.55000000000000004">
      <c r="A6657" t="s">
        <v>6738</v>
      </c>
      <c r="B6657" t="s">
        <v>111</v>
      </c>
      <c r="C6657" s="2">
        <v>43118</v>
      </c>
      <c r="D6657" t="s">
        <v>26</v>
      </c>
      <c r="E6657">
        <v>959</v>
      </c>
    </row>
    <row r="6658" spans="1:5" x14ac:dyDescent="0.55000000000000004">
      <c r="A6658" t="s">
        <v>6739</v>
      </c>
      <c r="B6658" t="s">
        <v>23</v>
      </c>
      <c r="C6658" s="2">
        <v>44593</v>
      </c>
      <c r="D6658" t="s">
        <v>29</v>
      </c>
      <c r="E6658">
        <v>2075</v>
      </c>
    </row>
    <row r="6659" spans="1:5" x14ac:dyDescent="0.55000000000000004">
      <c r="A6659" t="s">
        <v>6740</v>
      </c>
      <c r="B6659" t="s">
        <v>115</v>
      </c>
      <c r="C6659" s="2">
        <v>43616</v>
      </c>
      <c r="D6659" t="s">
        <v>29</v>
      </c>
      <c r="E6659">
        <v>1063</v>
      </c>
    </row>
    <row r="6660" spans="1:5" x14ac:dyDescent="0.55000000000000004">
      <c r="A6660" t="s">
        <v>6741</v>
      </c>
      <c r="B6660" t="s">
        <v>72</v>
      </c>
      <c r="C6660" s="2">
        <v>43687</v>
      </c>
      <c r="D6660" t="s">
        <v>26</v>
      </c>
      <c r="E6660">
        <v>2750</v>
      </c>
    </row>
    <row r="6661" spans="1:5" x14ac:dyDescent="0.55000000000000004">
      <c r="A6661" t="s">
        <v>6742</v>
      </c>
      <c r="B6661" t="s">
        <v>137</v>
      </c>
      <c r="C6661" s="2">
        <v>45357</v>
      </c>
      <c r="D6661" t="s">
        <v>26</v>
      </c>
      <c r="E6661">
        <v>930</v>
      </c>
    </row>
    <row r="6662" spans="1:5" x14ac:dyDescent="0.55000000000000004">
      <c r="A6662" t="s">
        <v>6743</v>
      </c>
      <c r="B6662" t="s">
        <v>78</v>
      </c>
      <c r="C6662" s="2">
        <v>45036</v>
      </c>
      <c r="D6662" t="s">
        <v>26</v>
      </c>
      <c r="E6662">
        <v>628</v>
      </c>
    </row>
    <row r="6663" spans="1:5" x14ac:dyDescent="0.55000000000000004">
      <c r="A6663" t="s">
        <v>6744</v>
      </c>
      <c r="B6663" t="s">
        <v>156</v>
      </c>
      <c r="C6663" s="2">
        <v>44528</v>
      </c>
      <c r="D6663" t="s">
        <v>29</v>
      </c>
      <c r="E6663">
        <v>1782</v>
      </c>
    </row>
    <row r="6664" spans="1:5" x14ac:dyDescent="0.55000000000000004">
      <c r="A6664" t="s">
        <v>6745</v>
      </c>
      <c r="B6664" t="s">
        <v>118</v>
      </c>
      <c r="C6664" s="2">
        <v>44980</v>
      </c>
      <c r="D6664" t="s">
        <v>29</v>
      </c>
      <c r="E6664">
        <v>1731</v>
      </c>
    </row>
    <row r="6665" spans="1:5" x14ac:dyDescent="0.55000000000000004">
      <c r="A6665" t="s">
        <v>6746</v>
      </c>
      <c r="B6665" t="s">
        <v>118</v>
      </c>
      <c r="C6665" s="2">
        <v>45360</v>
      </c>
      <c r="D6665" t="s">
        <v>29</v>
      </c>
      <c r="E6665">
        <v>578</v>
      </c>
    </row>
    <row r="6666" spans="1:5" x14ac:dyDescent="0.55000000000000004">
      <c r="A6666" t="s">
        <v>6747</v>
      </c>
      <c r="B6666" t="s">
        <v>142</v>
      </c>
      <c r="C6666" s="2">
        <v>43650</v>
      </c>
      <c r="D6666" t="s">
        <v>26</v>
      </c>
      <c r="E6666">
        <v>1808</v>
      </c>
    </row>
    <row r="6667" spans="1:5" x14ac:dyDescent="0.55000000000000004">
      <c r="A6667" t="s">
        <v>6748</v>
      </c>
      <c r="B6667" t="s">
        <v>115</v>
      </c>
      <c r="C6667" s="2">
        <v>42972</v>
      </c>
      <c r="D6667" t="s">
        <v>29</v>
      </c>
      <c r="E6667">
        <v>833</v>
      </c>
    </row>
    <row r="6668" spans="1:5" x14ac:dyDescent="0.55000000000000004">
      <c r="A6668" t="s">
        <v>6749</v>
      </c>
      <c r="B6668" t="s">
        <v>142</v>
      </c>
      <c r="C6668" s="2">
        <v>43941</v>
      </c>
      <c r="D6668" t="s">
        <v>29</v>
      </c>
      <c r="E6668">
        <v>501</v>
      </c>
    </row>
    <row r="6669" spans="1:5" x14ac:dyDescent="0.55000000000000004">
      <c r="A6669" t="s">
        <v>6750</v>
      </c>
      <c r="B6669" t="s">
        <v>86</v>
      </c>
      <c r="C6669" s="2">
        <v>43703</v>
      </c>
      <c r="D6669" t="s">
        <v>29</v>
      </c>
      <c r="E6669">
        <v>2671</v>
      </c>
    </row>
    <row r="6670" spans="1:5" x14ac:dyDescent="0.55000000000000004">
      <c r="A6670" t="s">
        <v>6751</v>
      </c>
      <c r="B6670" t="s">
        <v>96</v>
      </c>
      <c r="C6670" s="2">
        <v>45643</v>
      </c>
      <c r="D6670" t="s">
        <v>26</v>
      </c>
      <c r="E6670">
        <v>1970</v>
      </c>
    </row>
    <row r="6671" spans="1:5" x14ac:dyDescent="0.55000000000000004">
      <c r="A6671" t="s">
        <v>6752</v>
      </c>
      <c r="B6671" t="s">
        <v>38</v>
      </c>
      <c r="C6671" s="2">
        <v>43956</v>
      </c>
      <c r="D6671" t="s">
        <v>26</v>
      </c>
      <c r="E6671">
        <v>400</v>
      </c>
    </row>
    <row r="6672" spans="1:5" x14ac:dyDescent="0.55000000000000004">
      <c r="A6672" t="s">
        <v>6753</v>
      </c>
      <c r="B6672" t="s">
        <v>96</v>
      </c>
      <c r="C6672" s="2">
        <v>44768</v>
      </c>
      <c r="D6672" t="s">
        <v>29</v>
      </c>
      <c r="E6672">
        <v>934</v>
      </c>
    </row>
    <row r="6673" spans="1:5" x14ac:dyDescent="0.55000000000000004">
      <c r="A6673" t="s">
        <v>6754</v>
      </c>
      <c r="B6673" t="s">
        <v>67</v>
      </c>
      <c r="C6673" s="2">
        <v>43531</v>
      </c>
      <c r="D6673" t="s">
        <v>26</v>
      </c>
      <c r="E6673">
        <v>1811</v>
      </c>
    </row>
    <row r="6674" spans="1:5" x14ac:dyDescent="0.55000000000000004">
      <c r="A6674" t="s">
        <v>6755</v>
      </c>
      <c r="B6674" t="s">
        <v>156</v>
      </c>
      <c r="C6674" s="2">
        <v>43066</v>
      </c>
      <c r="D6674" t="s">
        <v>29</v>
      </c>
      <c r="E6674">
        <v>2061</v>
      </c>
    </row>
    <row r="6675" spans="1:5" x14ac:dyDescent="0.55000000000000004">
      <c r="A6675" t="s">
        <v>6756</v>
      </c>
      <c r="B6675" t="s">
        <v>76</v>
      </c>
      <c r="C6675" s="2">
        <v>44794</v>
      </c>
      <c r="D6675" t="s">
        <v>29</v>
      </c>
      <c r="E6675">
        <v>2751</v>
      </c>
    </row>
    <row r="6676" spans="1:5" x14ac:dyDescent="0.55000000000000004">
      <c r="A6676" t="s">
        <v>6757</v>
      </c>
      <c r="B6676" t="s">
        <v>105</v>
      </c>
      <c r="C6676" s="2">
        <v>43702</v>
      </c>
      <c r="D6676" t="s">
        <v>26</v>
      </c>
      <c r="E6676">
        <v>663</v>
      </c>
    </row>
    <row r="6677" spans="1:5" x14ac:dyDescent="0.55000000000000004">
      <c r="A6677" t="s">
        <v>6758</v>
      </c>
      <c r="B6677" t="s">
        <v>23</v>
      </c>
      <c r="C6677" s="2">
        <v>44184</v>
      </c>
      <c r="D6677" t="s">
        <v>29</v>
      </c>
      <c r="E6677">
        <v>1063</v>
      </c>
    </row>
    <row r="6678" spans="1:5" x14ac:dyDescent="0.55000000000000004">
      <c r="A6678" t="s">
        <v>6759</v>
      </c>
      <c r="B6678" t="s">
        <v>118</v>
      </c>
      <c r="C6678" s="2">
        <v>45081</v>
      </c>
      <c r="D6678" t="s">
        <v>29</v>
      </c>
      <c r="E6678">
        <v>604</v>
      </c>
    </row>
    <row r="6679" spans="1:5" x14ac:dyDescent="0.55000000000000004">
      <c r="A6679" t="s">
        <v>6760</v>
      </c>
      <c r="B6679" t="s">
        <v>94</v>
      </c>
      <c r="C6679" s="2">
        <v>45312</v>
      </c>
      <c r="D6679" t="s">
        <v>26</v>
      </c>
      <c r="E6679">
        <v>2273</v>
      </c>
    </row>
    <row r="6680" spans="1:5" x14ac:dyDescent="0.55000000000000004">
      <c r="A6680" t="s">
        <v>6761</v>
      </c>
      <c r="B6680" t="s">
        <v>67</v>
      </c>
      <c r="C6680" s="2">
        <v>44695</v>
      </c>
      <c r="D6680" t="s">
        <v>26</v>
      </c>
      <c r="E6680">
        <v>1837</v>
      </c>
    </row>
    <row r="6681" spans="1:5" x14ac:dyDescent="0.55000000000000004">
      <c r="A6681" t="s">
        <v>6762</v>
      </c>
      <c r="B6681" t="s">
        <v>140</v>
      </c>
      <c r="C6681" s="2">
        <v>43794</v>
      </c>
      <c r="D6681" t="s">
        <v>29</v>
      </c>
      <c r="E6681">
        <v>557</v>
      </c>
    </row>
    <row r="6682" spans="1:5" x14ac:dyDescent="0.55000000000000004">
      <c r="A6682" t="s">
        <v>6763</v>
      </c>
      <c r="B6682" t="s">
        <v>14</v>
      </c>
      <c r="C6682" s="2">
        <v>43829</v>
      </c>
      <c r="D6682" t="s">
        <v>29</v>
      </c>
      <c r="E6682">
        <v>2798</v>
      </c>
    </row>
    <row r="6683" spans="1:5" x14ac:dyDescent="0.55000000000000004">
      <c r="A6683" t="s">
        <v>6764</v>
      </c>
      <c r="B6683" t="s">
        <v>151</v>
      </c>
      <c r="C6683" s="2">
        <v>43211</v>
      </c>
      <c r="D6683" t="s">
        <v>29</v>
      </c>
      <c r="E6683">
        <v>276</v>
      </c>
    </row>
    <row r="6684" spans="1:5" x14ac:dyDescent="0.55000000000000004">
      <c r="A6684" t="s">
        <v>6765</v>
      </c>
      <c r="B6684" t="s">
        <v>76</v>
      </c>
      <c r="C6684" s="2">
        <v>44311</v>
      </c>
      <c r="D6684" t="s">
        <v>29</v>
      </c>
      <c r="E6684">
        <v>852</v>
      </c>
    </row>
    <row r="6685" spans="1:5" x14ac:dyDescent="0.55000000000000004">
      <c r="A6685" t="s">
        <v>6766</v>
      </c>
      <c r="B6685" t="s">
        <v>78</v>
      </c>
      <c r="C6685" s="2">
        <v>45712</v>
      </c>
      <c r="D6685" t="s">
        <v>29</v>
      </c>
      <c r="E6685">
        <v>1949</v>
      </c>
    </row>
    <row r="6686" spans="1:5" x14ac:dyDescent="0.55000000000000004">
      <c r="A6686" t="s">
        <v>6767</v>
      </c>
      <c r="B6686" t="s">
        <v>140</v>
      </c>
      <c r="C6686" s="2">
        <v>44333</v>
      </c>
      <c r="D6686" t="s">
        <v>26</v>
      </c>
      <c r="E6686">
        <v>1466</v>
      </c>
    </row>
    <row r="6687" spans="1:5" x14ac:dyDescent="0.55000000000000004">
      <c r="A6687" t="s">
        <v>6768</v>
      </c>
      <c r="B6687" t="s">
        <v>32</v>
      </c>
      <c r="C6687" s="2">
        <v>44087</v>
      </c>
      <c r="D6687" t="s">
        <v>26</v>
      </c>
      <c r="E6687">
        <v>2166</v>
      </c>
    </row>
    <row r="6688" spans="1:5" x14ac:dyDescent="0.55000000000000004">
      <c r="A6688" t="s">
        <v>6769</v>
      </c>
      <c r="B6688" t="s">
        <v>140</v>
      </c>
      <c r="C6688" s="2">
        <v>44395</v>
      </c>
      <c r="D6688" t="s">
        <v>29</v>
      </c>
      <c r="E6688">
        <v>2487</v>
      </c>
    </row>
    <row r="6689" spans="1:5" x14ac:dyDescent="0.55000000000000004">
      <c r="A6689" t="s">
        <v>6770</v>
      </c>
      <c r="B6689" t="s">
        <v>142</v>
      </c>
      <c r="C6689" s="2">
        <v>43749</v>
      </c>
      <c r="D6689" t="s">
        <v>26</v>
      </c>
      <c r="E6689">
        <v>1078</v>
      </c>
    </row>
    <row r="6690" spans="1:5" x14ac:dyDescent="0.55000000000000004">
      <c r="A6690" t="s">
        <v>6771</v>
      </c>
      <c r="B6690" t="s">
        <v>67</v>
      </c>
      <c r="C6690" s="2">
        <v>45609</v>
      </c>
      <c r="D6690" t="s">
        <v>29</v>
      </c>
      <c r="E6690">
        <v>2422</v>
      </c>
    </row>
    <row r="6691" spans="1:5" x14ac:dyDescent="0.55000000000000004">
      <c r="A6691" t="s">
        <v>6772</v>
      </c>
      <c r="B6691" t="s">
        <v>38</v>
      </c>
      <c r="C6691" s="2">
        <v>44309</v>
      </c>
      <c r="D6691" t="s">
        <v>26</v>
      </c>
      <c r="E6691">
        <v>235</v>
      </c>
    </row>
    <row r="6692" spans="1:5" x14ac:dyDescent="0.55000000000000004">
      <c r="A6692" t="s">
        <v>6773</v>
      </c>
      <c r="B6692" t="s">
        <v>41</v>
      </c>
      <c r="C6692" s="2">
        <v>44516</v>
      </c>
      <c r="D6692" t="s">
        <v>29</v>
      </c>
      <c r="E6692">
        <v>963</v>
      </c>
    </row>
    <row r="6693" spans="1:5" x14ac:dyDescent="0.55000000000000004">
      <c r="A6693" t="s">
        <v>6774</v>
      </c>
      <c r="B6693" t="s">
        <v>84</v>
      </c>
      <c r="C6693" s="2">
        <v>42929</v>
      </c>
      <c r="D6693" t="s">
        <v>29</v>
      </c>
      <c r="E6693">
        <v>104</v>
      </c>
    </row>
    <row r="6694" spans="1:5" x14ac:dyDescent="0.55000000000000004">
      <c r="A6694" t="s">
        <v>6775</v>
      </c>
      <c r="B6694" t="s">
        <v>38</v>
      </c>
      <c r="C6694" s="2">
        <v>44905</v>
      </c>
      <c r="D6694" t="s">
        <v>26</v>
      </c>
      <c r="E6694">
        <v>1942</v>
      </c>
    </row>
    <row r="6695" spans="1:5" x14ac:dyDescent="0.55000000000000004">
      <c r="A6695" t="s">
        <v>6776</v>
      </c>
      <c r="B6695" t="s">
        <v>151</v>
      </c>
      <c r="C6695" s="2">
        <v>44100</v>
      </c>
      <c r="D6695" t="s">
        <v>29</v>
      </c>
      <c r="E6695">
        <v>343</v>
      </c>
    </row>
    <row r="6696" spans="1:5" x14ac:dyDescent="0.55000000000000004">
      <c r="A6696" t="s">
        <v>6777</v>
      </c>
      <c r="B6696" t="s">
        <v>94</v>
      </c>
      <c r="C6696" s="2">
        <v>44806</v>
      </c>
      <c r="D6696" t="s">
        <v>29</v>
      </c>
      <c r="E6696">
        <v>1757</v>
      </c>
    </row>
    <row r="6697" spans="1:5" x14ac:dyDescent="0.55000000000000004">
      <c r="A6697" t="s">
        <v>6778</v>
      </c>
      <c r="B6697" t="s">
        <v>84</v>
      </c>
      <c r="C6697" s="2">
        <v>44507</v>
      </c>
      <c r="D6697" t="s">
        <v>26</v>
      </c>
      <c r="E6697">
        <v>1287</v>
      </c>
    </row>
    <row r="6698" spans="1:5" x14ac:dyDescent="0.55000000000000004">
      <c r="A6698" t="s">
        <v>6779</v>
      </c>
      <c r="B6698" t="s">
        <v>151</v>
      </c>
      <c r="C6698" s="2">
        <v>44313</v>
      </c>
      <c r="D6698" t="s">
        <v>29</v>
      </c>
      <c r="E6698">
        <v>1685</v>
      </c>
    </row>
    <row r="6699" spans="1:5" x14ac:dyDescent="0.55000000000000004">
      <c r="A6699" t="s">
        <v>6780</v>
      </c>
      <c r="B6699" t="s">
        <v>15</v>
      </c>
      <c r="C6699" s="2">
        <v>43035</v>
      </c>
      <c r="D6699" t="s">
        <v>29</v>
      </c>
      <c r="E6699">
        <v>2048</v>
      </c>
    </row>
    <row r="6700" spans="1:5" x14ac:dyDescent="0.55000000000000004">
      <c r="A6700" t="s">
        <v>6781</v>
      </c>
      <c r="B6700" t="s">
        <v>32</v>
      </c>
      <c r="C6700" s="2">
        <v>44779</v>
      </c>
      <c r="D6700" t="s">
        <v>29</v>
      </c>
      <c r="E6700">
        <v>2910</v>
      </c>
    </row>
    <row r="6701" spans="1:5" x14ac:dyDescent="0.55000000000000004">
      <c r="A6701" t="s">
        <v>6782</v>
      </c>
      <c r="B6701" t="s">
        <v>111</v>
      </c>
      <c r="C6701" s="2">
        <v>43622</v>
      </c>
      <c r="D6701" t="s">
        <v>29</v>
      </c>
      <c r="E6701">
        <v>650</v>
      </c>
    </row>
    <row r="6702" spans="1:5" x14ac:dyDescent="0.55000000000000004">
      <c r="A6702" t="s">
        <v>6783</v>
      </c>
      <c r="B6702" t="s">
        <v>140</v>
      </c>
      <c r="C6702" s="2">
        <v>43074</v>
      </c>
      <c r="D6702" t="s">
        <v>26</v>
      </c>
      <c r="E6702">
        <v>988</v>
      </c>
    </row>
    <row r="6703" spans="1:5" x14ac:dyDescent="0.55000000000000004">
      <c r="A6703" t="s">
        <v>6784</v>
      </c>
      <c r="B6703" t="s">
        <v>175</v>
      </c>
      <c r="C6703" s="2">
        <v>45624</v>
      </c>
      <c r="D6703" t="s">
        <v>29</v>
      </c>
      <c r="E6703">
        <v>602</v>
      </c>
    </row>
    <row r="6704" spans="1:5" x14ac:dyDescent="0.55000000000000004">
      <c r="A6704" t="s">
        <v>6785</v>
      </c>
      <c r="B6704" t="s">
        <v>76</v>
      </c>
      <c r="C6704" s="2">
        <v>44207</v>
      </c>
      <c r="D6704" t="s">
        <v>29</v>
      </c>
      <c r="E6704">
        <v>860</v>
      </c>
    </row>
    <row r="6705" spans="1:5" x14ac:dyDescent="0.55000000000000004">
      <c r="A6705" t="s">
        <v>6786</v>
      </c>
      <c r="B6705" t="s">
        <v>76</v>
      </c>
      <c r="C6705" s="2">
        <v>45114</v>
      </c>
      <c r="D6705" t="s">
        <v>26</v>
      </c>
      <c r="E6705">
        <v>1865</v>
      </c>
    </row>
    <row r="6706" spans="1:5" x14ac:dyDescent="0.55000000000000004">
      <c r="A6706" t="s">
        <v>6787</v>
      </c>
      <c r="B6706" t="s">
        <v>78</v>
      </c>
      <c r="C6706" s="2">
        <v>44310</v>
      </c>
      <c r="D6706" t="s">
        <v>26</v>
      </c>
      <c r="E6706">
        <v>244</v>
      </c>
    </row>
    <row r="6707" spans="1:5" x14ac:dyDescent="0.55000000000000004">
      <c r="A6707" t="s">
        <v>6788</v>
      </c>
      <c r="B6707" t="s">
        <v>41</v>
      </c>
      <c r="C6707" s="2">
        <v>44191</v>
      </c>
      <c r="D6707" t="s">
        <v>26</v>
      </c>
      <c r="E6707">
        <v>2635</v>
      </c>
    </row>
    <row r="6708" spans="1:5" x14ac:dyDescent="0.55000000000000004">
      <c r="A6708" t="s">
        <v>6789</v>
      </c>
      <c r="B6708" t="s">
        <v>72</v>
      </c>
      <c r="C6708" s="2">
        <v>43904</v>
      </c>
      <c r="D6708" t="s">
        <v>26</v>
      </c>
      <c r="E6708">
        <v>435</v>
      </c>
    </row>
    <row r="6709" spans="1:5" x14ac:dyDescent="0.55000000000000004">
      <c r="A6709" t="s">
        <v>6790</v>
      </c>
      <c r="B6709" t="s">
        <v>118</v>
      </c>
      <c r="C6709" s="2">
        <v>43773</v>
      </c>
      <c r="D6709" t="s">
        <v>29</v>
      </c>
      <c r="E6709">
        <v>1519</v>
      </c>
    </row>
    <row r="6710" spans="1:5" x14ac:dyDescent="0.55000000000000004">
      <c r="A6710" t="s">
        <v>6791</v>
      </c>
      <c r="B6710" t="s">
        <v>35</v>
      </c>
      <c r="C6710" s="2">
        <v>44834</v>
      </c>
      <c r="D6710" t="s">
        <v>29</v>
      </c>
      <c r="E6710">
        <v>2485</v>
      </c>
    </row>
    <row r="6711" spans="1:5" x14ac:dyDescent="0.55000000000000004">
      <c r="A6711" t="s">
        <v>6792</v>
      </c>
      <c r="B6711" t="s">
        <v>115</v>
      </c>
      <c r="C6711" s="2">
        <v>43924</v>
      </c>
      <c r="D6711" t="s">
        <v>26</v>
      </c>
      <c r="E6711">
        <v>1732</v>
      </c>
    </row>
    <row r="6712" spans="1:5" x14ac:dyDescent="0.55000000000000004">
      <c r="A6712" t="s">
        <v>6793</v>
      </c>
      <c r="B6712" t="s">
        <v>105</v>
      </c>
      <c r="C6712" s="2">
        <v>43034</v>
      </c>
      <c r="D6712" t="s">
        <v>29</v>
      </c>
      <c r="E6712">
        <v>645</v>
      </c>
    </row>
    <row r="6713" spans="1:5" x14ac:dyDescent="0.55000000000000004">
      <c r="A6713" t="s">
        <v>6794</v>
      </c>
      <c r="B6713" t="s">
        <v>32</v>
      </c>
      <c r="C6713" s="2">
        <v>44592</v>
      </c>
      <c r="D6713" t="s">
        <v>26</v>
      </c>
      <c r="E6713">
        <v>1183</v>
      </c>
    </row>
    <row r="6714" spans="1:5" x14ac:dyDescent="0.55000000000000004">
      <c r="A6714" t="s">
        <v>6795</v>
      </c>
      <c r="B6714" t="s">
        <v>84</v>
      </c>
      <c r="C6714" s="2">
        <v>44048</v>
      </c>
      <c r="D6714" t="s">
        <v>29</v>
      </c>
      <c r="E6714">
        <v>2363</v>
      </c>
    </row>
    <row r="6715" spans="1:5" x14ac:dyDescent="0.55000000000000004">
      <c r="A6715" t="s">
        <v>6796</v>
      </c>
      <c r="B6715" t="s">
        <v>99</v>
      </c>
      <c r="C6715" s="2">
        <v>44419</v>
      </c>
      <c r="D6715" t="s">
        <v>26</v>
      </c>
      <c r="E6715">
        <v>1535</v>
      </c>
    </row>
    <row r="6716" spans="1:5" x14ac:dyDescent="0.55000000000000004">
      <c r="A6716" t="s">
        <v>6797</v>
      </c>
      <c r="B6716" t="s">
        <v>105</v>
      </c>
      <c r="C6716" s="2">
        <v>43129</v>
      </c>
      <c r="D6716" t="s">
        <v>29</v>
      </c>
      <c r="E6716">
        <v>2369</v>
      </c>
    </row>
    <row r="6717" spans="1:5" x14ac:dyDescent="0.55000000000000004">
      <c r="A6717" t="s">
        <v>6798</v>
      </c>
      <c r="B6717" t="s">
        <v>14</v>
      </c>
      <c r="C6717" s="2">
        <v>43341</v>
      </c>
      <c r="D6717" t="s">
        <v>26</v>
      </c>
      <c r="E6717">
        <v>766</v>
      </c>
    </row>
    <row r="6718" spans="1:5" x14ac:dyDescent="0.55000000000000004">
      <c r="A6718" t="s">
        <v>6799</v>
      </c>
      <c r="B6718" t="s">
        <v>14</v>
      </c>
      <c r="C6718" s="2">
        <v>43286</v>
      </c>
      <c r="D6718" t="s">
        <v>29</v>
      </c>
      <c r="E6718">
        <v>2329</v>
      </c>
    </row>
    <row r="6719" spans="1:5" x14ac:dyDescent="0.55000000000000004">
      <c r="A6719" t="s">
        <v>6800</v>
      </c>
      <c r="B6719" t="s">
        <v>137</v>
      </c>
      <c r="C6719" s="2">
        <v>45717</v>
      </c>
      <c r="D6719" t="s">
        <v>26</v>
      </c>
      <c r="E6719">
        <v>391</v>
      </c>
    </row>
    <row r="6720" spans="1:5" x14ac:dyDescent="0.55000000000000004">
      <c r="A6720" t="s">
        <v>6801</v>
      </c>
      <c r="B6720" t="s">
        <v>94</v>
      </c>
      <c r="C6720" s="2">
        <v>44556</v>
      </c>
      <c r="D6720" t="s">
        <v>26</v>
      </c>
      <c r="E6720">
        <v>2779</v>
      </c>
    </row>
    <row r="6721" spans="1:5" x14ac:dyDescent="0.55000000000000004">
      <c r="A6721" t="s">
        <v>6802</v>
      </c>
      <c r="B6721" t="s">
        <v>101</v>
      </c>
      <c r="C6721" s="2">
        <v>43467</v>
      </c>
      <c r="D6721" t="s">
        <v>29</v>
      </c>
      <c r="E6721">
        <v>317</v>
      </c>
    </row>
    <row r="6722" spans="1:5" x14ac:dyDescent="0.55000000000000004">
      <c r="A6722" t="s">
        <v>6803</v>
      </c>
      <c r="B6722" t="s">
        <v>142</v>
      </c>
      <c r="C6722" s="2">
        <v>43781</v>
      </c>
      <c r="D6722" t="s">
        <v>26</v>
      </c>
      <c r="E6722">
        <v>292</v>
      </c>
    </row>
    <row r="6723" spans="1:5" x14ac:dyDescent="0.55000000000000004">
      <c r="A6723" t="s">
        <v>6804</v>
      </c>
      <c r="B6723" t="s">
        <v>15</v>
      </c>
      <c r="C6723" s="2">
        <v>43868</v>
      </c>
      <c r="D6723" t="s">
        <v>26</v>
      </c>
      <c r="E6723">
        <v>884</v>
      </c>
    </row>
    <row r="6724" spans="1:5" x14ac:dyDescent="0.55000000000000004">
      <c r="A6724" t="s">
        <v>6805</v>
      </c>
      <c r="B6724" t="s">
        <v>137</v>
      </c>
      <c r="C6724" s="2">
        <v>43795</v>
      </c>
      <c r="D6724" t="s">
        <v>29</v>
      </c>
      <c r="E6724">
        <v>794</v>
      </c>
    </row>
    <row r="6725" spans="1:5" x14ac:dyDescent="0.55000000000000004">
      <c r="A6725" t="s">
        <v>6806</v>
      </c>
      <c r="B6725" t="s">
        <v>15</v>
      </c>
      <c r="C6725" s="2">
        <v>44511</v>
      </c>
      <c r="D6725" t="s">
        <v>26</v>
      </c>
      <c r="E6725">
        <v>1402</v>
      </c>
    </row>
    <row r="6726" spans="1:5" x14ac:dyDescent="0.55000000000000004">
      <c r="A6726" t="s">
        <v>6807</v>
      </c>
      <c r="B6726" t="s">
        <v>38</v>
      </c>
      <c r="C6726" s="2">
        <v>43853</v>
      </c>
      <c r="D6726" t="s">
        <v>26</v>
      </c>
      <c r="E6726">
        <v>1192</v>
      </c>
    </row>
    <row r="6727" spans="1:5" x14ac:dyDescent="0.55000000000000004">
      <c r="A6727" t="s">
        <v>6808</v>
      </c>
      <c r="B6727" t="s">
        <v>23</v>
      </c>
      <c r="C6727" s="2">
        <v>44237</v>
      </c>
      <c r="D6727" t="s">
        <v>26</v>
      </c>
      <c r="E6727">
        <v>756</v>
      </c>
    </row>
    <row r="6728" spans="1:5" x14ac:dyDescent="0.55000000000000004">
      <c r="A6728" t="s">
        <v>6809</v>
      </c>
      <c r="B6728" t="s">
        <v>140</v>
      </c>
      <c r="C6728" s="2">
        <v>43856</v>
      </c>
      <c r="D6728" t="s">
        <v>26</v>
      </c>
      <c r="E6728">
        <v>1039</v>
      </c>
    </row>
    <row r="6729" spans="1:5" x14ac:dyDescent="0.55000000000000004">
      <c r="A6729" t="s">
        <v>6810</v>
      </c>
      <c r="B6729" t="s">
        <v>84</v>
      </c>
      <c r="C6729" s="2">
        <v>43688</v>
      </c>
      <c r="D6729" t="s">
        <v>26</v>
      </c>
      <c r="E6729">
        <v>463</v>
      </c>
    </row>
    <row r="6730" spans="1:5" x14ac:dyDescent="0.55000000000000004">
      <c r="A6730" t="s">
        <v>6811</v>
      </c>
      <c r="B6730" t="s">
        <v>76</v>
      </c>
      <c r="C6730" s="2">
        <v>45270</v>
      </c>
      <c r="D6730" t="s">
        <v>26</v>
      </c>
      <c r="E6730">
        <v>2306</v>
      </c>
    </row>
    <row r="6731" spans="1:5" x14ac:dyDescent="0.55000000000000004">
      <c r="A6731" t="s">
        <v>6812</v>
      </c>
      <c r="B6731" t="s">
        <v>84</v>
      </c>
      <c r="C6731" s="2">
        <v>44519</v>
      </c>
      <c r="D6731" t="s">
        <v>29</v>
      </c>
      <c r="E6731">
        <v>1774</v>
      </c>
    </row>
    <row r="6732" spans="1:5" x14ac:dyDescent="0.55000000000000004">
      <c r="A6732" t="s">
        <v>6813</v>
      </c>
      <c r="B6732" t="s">
        <v>63</v>
      </c>
      <c r="C6732" s="2">
        <v>44054</v>
      </c>
      <c r="D6732" t="s">
        <v>26</v>
      </c>
      <c r="E6732">
        <v>2211</v>
      </c>
    </row>
    <row r="6733" spans="1:5" x14ac:dyDescent="0.55000000000000004">
      <c r="A6733" t="s">
        <v>6814</v>
      </c>
      <c r="B6733" t="s">
        <v>63</v>
      </c>
      <c r="C6733" s="2">
        <v>44069</v>
      </c>
      <c r="D6733" t="s">
        <v>26</v>
      </c>
      <c r="E6733">
        <v>1628</v>
      </c>
    </row>
    <row r="6734" spans="1:5" x14ac:dyDescent="0.55000000000000004">
      <c r="A6734" t="s">
        <v>6815</v>
      </c>
      <c r="B6734" t="s">
        <v>118</v>
      </c>
      <c r="C6734" s="2">
        <v>44797</v>
      </c>
      <c r="D6734" t="s">
        <v>29</v>
      </c>
      <c r="E6734">
        <v>249</v>
      </c>
    </row>
    <row r="6735" spans="1:5" x14ac:dyDescent="0.55000000000000004">
      <c r="A6735" t="s">
        <v>6816</v>
      </c>
      <c r="B6735" t="s">
        <v>105</v>
      </c>
      <c r="C6735" s="2">
        <v>43633</v>
      </c>
      <c r="D6735" t="s">
        <v>29</v>
      </c>
      <c r="E6735">
        <v>445</v>
      </c>
    </row>
    <row r="6736" spans="1:5" x14ac:dyDescent="0.55000000000000004">
      <c r="A6736" t="s">
        <v>6817</v>
      </c>
      <c r="B6736" t="s">
        <v>41</v>
      </c>
      <c r="C6736" s="2">
        <v>44279</v>
      </c>
      <c r="D6736" t="s">
        <v>26</v>
      </c>
      <c r="E6736">
        <v>521</v>
      </c>
    </row>
    <row r="6737" spans="1:5" x14ac:dyDescent="0.55000000000000004">
      <c r="A6737" t="s">
        <v>6818</v>
      </c>
      <c r="B6737" t="s">
        <v>15</v>
      </c>
      <c r="C6737" s="2">
        <v>44352</v>
      </c>
      <c r="D6737" t="s">
        <v>26</v>
      </c>
      <c r="E6737">
        <v>2020</v>
      </c>
    </row>
    <row r="6738" spans="1:5" x14ac:dyDescent="0.55000000000000004">
      <c r="A6738" t="s">
        <v>6819</v>
      </c>
      <c r="B6738" t="s">
        <v>105</v>
      </c>
      <c r="C6738" s="2">
        <v>44024</v>
      </c>
      <c r="D6738" t="s">
        <v>26</v>
      </c>
      <c r="E6738">
        <v>655</v>
      </c>
    </row>
    <row r="6739" spans="1:5" x14ac:dyDescent="0.55000000000000004">
      <c r="A6739" t="s">
        <v>6820</v>
      </c>
      <c r="B6739" t="s">
        <v>94</v>
      </c>
      <c r="C6739" s="2">
        <v>45811</v>
      </c>
      <c r="D6739" t="s">
        <v>26</v>
      </c>
      <c r="E6739">
        <v>1587</v>
      </c>
    </row>
    <row r="6740" spans="1:5" x14ac:dyDescent="0.55000000000000004">
      <c r="A6740" t="s">
        <v>6821</v>
      </c>
      <c r="B6740" t="s">
        <v>63</v>
      </c>
      <c r="C6740" s="2">
        <v>43629</v>
      </c>
      <c r="D6740" t="s">
        <v>26</v>
      </c>
      <c r="E6740">
        <v>1222</v>
      </c>
    </row>
    <row r="6741" spans="1:5" x14ac:dyDescent="0.55000000000000004">
      <c r="A6741" t="s">
        <v>6822</v>
      </c>
      <c r="B6741" t="s">
        <v>118</v>
      </c>
      <c r="C6741" s="2">
        <v>45772</v>
      </c>
      <c r="D6741" t="s">
        <v>29</v>
      </c>
      <c r="E6741">
        <v>243</v>
      </c>
    </row>
    <row r="6742" spans="1:5" x14ac:dyDescent="0.55000000000000004">
      <c r="A6742" t="s">
        <v>6823</v>
      </c>
      <c r="B6742" t="s">
        <v>72</v>
      </c>
      <c r="C6742" s="2">
        <v>43798</v>
      </c>
      <c r="D6742" t="s">
        <v>29</v>
      </c>
      <c r="E6742">
        <v>1853</v>
      </c>
    </row>
    <row r="6743" spans="1:5" x14ac:dyDescent="0.55000000000000004">
      <c r="A6743" t="s">
        <v>6824</v>
      </c>
      <c r="B6743" t="s">
        <v>101</v>
      </c>
      <c r="C6743" s="2">
        <v>44239</v>
      </c>
      <c r="D6743" t="s">
        <v>29</v>
      </c>
      <c r="E6743">
        <v>703</v>
      </c>
    </row>
    <row r="6744" spans="1:5" x14ac:dyDescent="0.55000000000000004">
      <c r="A6744" t="s">
        <v>6825</v>
      </c>
      <c r="B6744" t="s">
        <v>15</v>
      </c>
      <c r="C6744" s="2">
        <v>43257</v>
      </c>
      <c r="D6744" t="s">
        <v>29</v>
      </c>
      <c r="E6744">
        <v>1457</v>
      </c>
    </row>
    <row r="6745" spans="1:5" x14ac:dyDescent="0.55000000000000004">
      <c r="A6745" t="s">
        <v>6826</v>
      </c>
      <c r="B6745" t="s">
        <v>151</v>
      </c>
      <c r="C6745" s="2">
        <v>44121</v>
      </c>
      <c r="D6745" t="s">
        <v>29</v>
      </c>
      <c r="E6745">
        <v>1084</v>
      </c>
    </row>
    <row r="6746" spans="1:5" x14ac:dyDescent="0.55000000000000004">
      <c r="A6746" t="s">
        <v>6827</v>
      </c>
      <c r="B6746" t="s">
        <v>32</v>
      </c>
      <c r="C6746" s="2">
        <v>44596</v>
      </c>
      <c r="D6746" t="s">
        <v>26</v>
      </c>
      <c r="E6746">
        <v>1854</v>
      </c>
    </row>
    <row r="6747" spans="1:5" x14ac:dyDescent="0.55000000000000004">
      <c r="A6747" t="s">
        <v>6828</v>
      </c>
      <c r="B6747" t="s">
        <v>78</v>
      </c>
      <c r="C6747" s="2">
        <v>43468</v>
      </c>
      <c r="D6747" t="s">
        <v>29</v>
      </c>
      <c r="E6747">
        <v>1234</v>
      </c>
    </row>
    <row r="6748" spans="1:5" x14ac:dyDescent="0.55000000000000004">
      <c r="A6748" t="s">
        <v>6829</v>
      </c>
      <c r="B6748" t="s">
        <v>175</v>
      </c>
      <c r="C6748" s="2">
        <v>43477</v>
      </c>
      <c r="D6748" t="s">
        <v>29</v>
      </c>
      <c r="E6748">
        <v>2028</v>
      </c>
    </row>
    <row r="6749" spans="1:5" x14ac:dyDescent="0.55000000000000004">
      <c r="A6749" t="s">
        <v>6830</v>
      </c>
      <c r="B6749" t="s">
        <v>86</v>
      </c>
      <c r="C6749" s="2">
        <v>44460</v>
      </c>
      <c r="D6749" t="s">
        <v>29</v>
      </c>
      <c r="E6749">
        <v>88</v>
      </c>
    </row>
    <row r="6750" spans="1:5" x14ac:dyDescent="0.55000000000000004">
      <c r="A6750" t="s">
        <v>6831</v>
      </c>
      <c r="B6750" t="s">
        <v>105</v>
      </c>
      <c r="C6750" s="2">
        <v>43008</v>
      </c>
      <c r="D6750" t="s">
        <v>26</v>
      </c>
      <c r="E6750">
        <v>2724</v>
      </c>
    </row>
    <row r="6751" spans="1:5" x14ac:dyDescent="0.55000000000000004">
      <c r="A6751" t="s">
        <v>6832</v>
      </c>
      <c r="B6751" t="s">
        <v>41</v>
      </c>
      <c r="C6751" s="2">
        <v>44042</v>
      </c>
      <c r="D6751" t="s">
        <v>26</v>
      </c>
      <c r="E6751">
        <v>2437</v>
      </c>
    </row>
    <row r="6752" spans="1:5" x14ac:dyDescent="0.55000000000000004">
      <c r="A6752" t="s">
        <v>6833</v>
      </c>
      <c r="B6752" t="s">
        <v>142</v>
      </c>
      <c r="C6752" s="2">
        <v>43256</v>
      </c>
      <c r="D6752" t="s">
        <v>26</v>
      </c>
      <c r="E6752">
        <v>318</v>
      </c>
    </row>
    <row r="6753" spans="1:5" x14ac:dyDescent="0.55000000000000004">
      <c r="A6753" t="s">
        <v>6834</v>
      </c>
      <c r="B6753" t="s">
        <v>94</v>
      </c>
      <c r="C6753" s="2">
        <v>44987</v>
      </c>
      <c r="D6753" t="s">
        <v>29</v>
      </c>
      <c r="E6753">
        <v>975</v>
      </c>
    </row>
    <row r="6754" spans="1:5" x14ac:dyDescent="0.55000000000000004">
      <c r="A6754" t="s">
        <v>6835</v>
      </c>
      <c r="B6754" t="s">
        <v>32</v>
      </c>
      <c r="C6754" s="2">
        <v>43897</v>
      </c>
      <c r="D6754" t="s">
        <v>29</v>
      </c>
      <c r="E6754">
        <v>1061</v>
      </c>
    </row>
    <row r="6755" spans="1:5" x14ac:dyDescent="0.55000000000000004">
      <c r="A6755" t="s">
        <v>6836</v>
      </c>
      <c r="B6755" t="s">
        <v>99</v>
      </c>
      <c r="C6755" s="2">
        <v>45810</v>
      </c>
      <c r="D6755" t="s">
        <v>26</v>
      </c>
      <c r="E6755">
        <v>2395</v>
      </c>
    </row>
    <row r="6756" spans="1:5" x14ac:dyDescent="0.55000000000000004">
      <c r="A6756" t="s">
        <v>6837</v>
      </c>
      <c r="B6756" t="s">
        <v>63</v>
      </c>
      <c r="C6756" s="2">
        <v>43272</v>
      </c>
      <c r="D6756" t="s">
        <v>26</v>
      </c>
      <c r="E6756">
        <v>1427</v>
      </c>
    </row>
    <row r="6757" spans="1:5" x14ac:dyDescent="0.55000000000000004">
      <c r="A6757" t="s">
        <v>6838</v>
      </c>
      <c r="B6757" t="s">
        <v>151</v>
      </c>
      <c r="C6757" s="2">
        <v>43423</v>
      </c>
      <c r="D6757" t="s">
        <v>26</v>
      </c>
      <c r="E6757">
        <v>709</v>
      </c>
    </row>
    <row r="6758" spans="1:5" x14ac:dyDescent="0.55000000000000004">
      <c r="A6758" t="s">
        <v>6839</v>
      </c>
      <c r="B6758" t="s">
        <v>14</v>
      </c>
      <c r="C6758" s="2">
        <v>43260</v>
      </c>
      <c r="D6758" t="s">
        <v>26</v>
      </c>
      <c r="E6758">
        <v>1464</v>
      </c>
    </row>
    <row r="6759" spans="1:5" x14ac:dyDescent="0.55000000000000004">
      <c r="A6759" t="s">
        <v>6840</v>
      </c>
      <c r="B6759" t="s">
        <v>74</v>
      </c>
      <c r="C6759" s="2">
        <v>43000</v>
      </c>
      <c r="D6759" t="s">
        <v>26</v>
      </c>
      <c r="E6759">
        <v>1532</v>
      </c>
    </row>
    <row r="6760" spans="1:5" x14ac:dyDescent="0.55000000000000004">
      <c r="A6760" t="s">
        <v>6841</v>
      </c>
      <c r="B6760" t="s">
        <v>94</v>
      </c>
      <c r="C6760" s="2">
        <v>44823</v>
      </c>
      <c r="D6760" t="s">
        <v>29</v>
      </c>
      <c r="E6760">
        <v>243</v>
      </c>
    </row>
    <row r="6761" spans="1:5" x14ac:dyDescent="0.55000000000000004">
      <c r="A6761" t="s">
        <v>6842</v>
      </c>
      <c r="B6761" t="s">
        <v>115</v>
      </c>
      <c r="C6761" s="2">
        <v>44183</v>
      </c>
      <c r="D6761" t="s">
        <v>26</v>
      </c>
      <c r="E6761">
        <v>1382</v>
      </c>
    </row>
    <row r="6762" spans="1:5" x14ac:dyDescent="0.55000000000000004">
      <c r="A6762" t="s">
        <v>6843</v>
      </c>
      <c r="B6762" t="s">
        <v>156</v>
      </c>
      <c r="C6762" s="2">
        <v>43589</v>
      </c>
      <c r="D6762" t="s">
        <v>26</v>
      </c>
      <c r="E6762">
        <v>925</v>
      </c>
    </row>
    <row r="6763" spans="1:5" x14ac:dyDescent="0.55000000000000004">
      <c r="A6763" t="s">
        <v>6844</v>
      </c>
      <c r="B6763" t="s">
        <v>76</v>
      </c>
      <c r="C6763" s="2">
        <v>45124</v>
      </c>
      <c r="D6763" t="s">
        <v>29</v>
      </c>
      <c r="E6763">
        <v>2847</v>
      </c>
    </row>
    <row r="6764" spans="1:5" x14ac:dyDescent="0.55000000000000004">
      <c r="A6764" t="s">
        <v>6845</v>
      </c>
      <c r="B6764" t="s">
        <v>137</v>
      </c>
      <c r="C6764" s="2">
        <v>44318</v>
      </c>
      <c r="D6764" t="s">
        <v>26</v>
      </c>
      <c r="E6764">
        <v>1005</v>
      </c>
    </row>
    <row r="6765" spans="1:5" x14ac:dyDescent="0.55000000000000004">
      <c r="A6765" t="s">
        <v>6846</v>
      </c>
      <c r="B6765" t="s">
        <v>151</v>
      </c>
      <c r="C6765" s="2">
        <v>43249</v>
      </c>
      <c r="D6765" t="s">
        <v>29</v>
      </c>
      <c r="E6765">
        <v>1008</v>
      </c>
    </row>
    <row r="6766" spans="1:5" x14ac:dyDescent="0.55000000000000004">
      <c r="A6766" t="s">
        <v>6847</v>
      </c>
      <c r="B6766" t="s">
        <v>101</v>
      </c>
      <c r="C6766" s="2">
        <v>43251</v>
      </c>
      <c r="D6766" t="s">
        <v>29</v>
      </c>
      <c r="E6766">
        <v>541</v>
      </c>
    </row>
    <row r="6767" spans="1:5" x14ac:dyDescent="0.55000000000000004">
      <c r="A6767" t="s">
        <v>6848</v>
      </c>
      <c r="B6767" t="s">
        <v>14</v>
      </c>
      <c r="C6767" s="2">
        <v>44017</v>
      </c>
      <c r="D6767" t="s">
        <v>26</v>
      </c>
      <c r="E6767">
        <v>1420</v>
      </c>
    </row>
    <row r="6768" spans="1:5" x14ac:dyDescent="0.55000000000000004">
      <c r="A6768" t="s">
        <v>6849</v>
      </c>
      <c r="B6768" t="s">
        <v>23</v>
      </c>
      <c r="C6768" s="2">
        <v>44303</v>
      </c>
      <c r="D6768" t="s">
        <v>26</v>
      </c>
      <c r="E6768">
        <v>517</v>
      </c>
    </row>
    <row r="6769" spans="1:5" x14ac:dyDescent="0.55000000000000004">
      <c r="A6769" t="s">
        <v>6850</v>
      </c>
      <c r="B6769" t="s">
        <v>175</v>
      </c>
      <c r="C6769" s="2">
        <v>44569</v>
      </c>
      <c r="D6769" t="s">
        <v>29</v>
      </c>
      <c r="E6769">
        <v>370</v>
      </c>
    </row>
    <row r="6770" spans="1:5" x14ac:dyDescent="0.55000000000000004">
      <c r="A6770" t="s">
        <v>6851</v>
      </c>
      <c r="B6770" t="s">
        <v>105</v>
      </c>
      <c r="C6770" s="2">
        <v>44104</v>
      </c>
      <c r="D6770" t="s">
        <v>26</v>
      </c>
      <c r="E6770">
        <v>1819</v>
      </c>
    </row>
    <row r="6771" spans="1:5" x14ac:dyDescent="0.55000000000000004">
      <c r="A6771" t="s">
        <v>6852</v>
      </c>
      <c r="B6771" t="s">
        <v>118</v>
      </c>
      <c r="C6771" s="2">
        <v>44831</v>
      </c>
      <c r="D6771" t="s">
        <v>29</v>
      </c>
      <c r="E6771">
        <v>1282</v>
      </c>
    </row>
    <row r="6772" spans="1:5" x14ac:dyDescent="0.55000000000000004">
      <c r="A6772" t="s">
        <v>6853</v>
      </c>
      <c r="B6772" t="s">
        <v>76</v>
      </c>
      <c r="C6772" s="2">
        <v>44014</v>
      </c>
      <c r="D6772" t="s">
        <v>26</v>
      </c>
      <c r="E6772">
        <v>482</v>
      </c>
    </row>
    <row r="6773" spans="1:5" x14ac:dyDescent="0.55000000000000004">
      <c r="A6773" t="s">
        <v>6854</v>
      </c>
      <c r="B6773" t="s">
        <v>72</v>
      </c>
      <c r="C6773" s="2">
        <v>43414</v>
      </c>
      <c r="D6773" t="s">
        <v>29</v>
      </c>
      <c r="E6773">
        <v>1644</v>
      </c>
    </row>
    <row r="6774" spans="1:5" x14ac:dyDescent="0.55000000000000004">
      <c r="A6774" t="s">
        <v>6855</v>
      </c>
      <c r="B6774" t="s">
        <v>151</v>
      </c>
      <c r="C6774" s="2">
        <v>43071</v>
      </c>
      <c r="D6774" t="s">
        <v>29</v>
      </c>
      <c r="E6774">
        <v>1883</v>
      </c>
    </row>
    <row r="6775" spans="1:5" x14ac:dyDescent="0.55000000000000004">
      <c r="A6775" t="s">
        <v>6856</v>
      </c>
      <c r="B6775" t="s">
        <v>156</v>
      </c>
      <c r="C6775" s="2">
        <v>44121</v>
      </c>
      <c r="D6775" t="s">
        <v>29</v>
      </c>
      <c r="E6775">
        <v>1138</v>
      </c>
    </row>
    <row r="6776" spans="1:5" x14ac:dyDescent="0.55000000000000004">
      <c r="A6776" t="s">
        <v>6857</v>
      </c>
      <c r="B6776" t="s">
        <v>105</v>
      </c>
      <c r="C6776" s="2">
        <v>43051</v>
      </c>
      <c r="D6776" t="s">
        <v>26</v>
      </c>
      <c r="E6776">
        <v>1572</v>
      </c>
    </row>
    <row r="6777" spans="1:5" x14ac:dyDescent="0.55000000000000004">
      <c r="A6777" t="s">
        <v>6858</v>
      </c>
      <c r="B6777" t="s">
        <v>105</v>
      </c>
      <c r="C6777" s="2">
        <v>44136</v>
      </c>
      <c r="D6777" t="s">
        <v>29</v>
      </c>
      <c r="E6777">
        <v>2625</v>
      </c>
    </row>
    <row r="6778" spans="1:5" x14ac:dyDescent="0.55000000000000004">
      <c r="A6778" t="s">
        <v>6859</v>
      </c>
      <c r="B6778" t="s">
        <v>74</v>
      </c>
      <c r="C6778" s="2">
        <v>44076</v>
      </c>
      <c r="D6778" t="s">
        <v>26</v>
      </c>
      <c r="E6778">
        <v>1835</v>
      </c>
    </row>
    <row r="6779" spans="1:5" x14ac:dyDescent="0.55000000000000004">
      <c r="A6779" t="s">
        <v>6860</v>
      </c>
      <c r="B6779" t="s">
        <v>111</v>
      </c>
      <c r="C6779" s="2">
        <v>44191</v>
      </c>
      <c r="D6779" t="s">
        <v>26</v>
      </c>
      <c r="E6779">
        <v>2400</v>
      </c>
    </row>
    <row r="6780" spans="1:5" x14ac:dyDescent="0.55000000000000004">
      <c r="A6780" t="s">
        <v>6861</v>
      </c>
      <c r="B6780" t="s">
        <v>72</v>
      </c>
      <c r="C6780" s="2">
        <v>43287</v>
      </c>
      <c r="D6780" t="s">
        <v>29</v>
      </c>
      <c r="E6780">
        <v>1828</v>
      </c>
    </row>
    <row r="6781" spans="1:5" x14ac:dyDescent="0.55000000000000004">
      <c r="A6781" t="s">
        <v>6862</v>
      </c>
      <c r="B6781" t="s">
        <v>74</v>
      </c>
      <c r="C6781" s="2">
        <v>44356</v>
      </c>
      <c r="D6781" t="s">
        <v>26</v>
      </c>
      <c r="E6781">
        <v>409</v>
      </c>
    </row>
    <row r="6782" spans="1:5" x14ac:dyDescent="0.55000000000000004">
      <c r="A6782" t="s">
        <v>6863</v>
      </c>
      <c r="B6782" t="s">
        <v>96</v>
      </c>
      <c r="C6782" s="2">
        <v>44991</v>
      </c>
      <c r="D6782" t="s">
        <v>26</v>
      </c>
      <c r="E6782">
        <v>2959</v>
      </c>
    </row>
    <row r="6783" spans="1:5" x14ac:dyDescent="0.55000000000000004">
      <c r="A6783" t="s">
        <v>6864</v>
      </c>
      <c r="B6783" t="s">
        <v>101</v>
      </c>
      <c r="C6783" s="2">
        <v>43179</v>
      </c>
      <c r="D6783" t="s">
        <v>29</v>
      </c>
      <c r="E6783">
        <v>1122</v>
      </c>
    </row>
    <row r="6784" spans="1:5" x14ac:dyDescent="0.55000000000000004">
      <c r="A6784" t="s">
        <v>6865</v>
      </c>
      <c r="B6784" t="s">
        <v>96</v>
      </c>
      <c r="C6784" s="2">
        <v>44770</v>
      </c>
      <c r="D6784" t="s">
        <v>26</v>
      </c>
      <c r="E6784">
        <v>2735</v>
      </c>
    </row>
    <row r="6785" spans="1:5" x14ac:dyDescent="0.55000000000000004">
      <c r="A6785" t="s">
        <v>6866</v>
      </c>
      <c r="B6785" t="s">
        <v>76</v>
      </c>
      <c r="C6785" s="2">
        <v>45549</v>
      </c>
      <c r="D6785" t="s">
        <v>29</v>
      </c>
      <c r="E6785">
        <v>1031</v>
      </c>
    </row>
    <row r="6786" spans="1:5" x14ac:dyDescent="0.55000000000000004">
      <c r="A6786" t="s">
        <v>6867</v>
      </c>
      <c r="B6786" t="s">
        <v>101</v>
      </c>
      <c r="C6786" s="2">
        <v>43127</v>
      </c>
      <c r="D6786" t="s">
        <v>26</v>
      </c>
      <c r="E6786">
        <v>2872</v>
      </c>
    </row>
    <row r="6787" spans="1:5" x14ac:dyDescent="0.55000000000000004">
      <c r="A6787" t="s">
        <v>6868</v>
      </c>
      <c r="B6787" t="s">
        <v>14</v>
      </c>
      <c r="C6787" s="2">
        <v>44188</v>
      </c>
      <c r="D6787" t="s">
        <v>29</v>
      </c>
      <c r="E6787">
        <v>493</v>
      </c>
    </row>
    <row r="6788" spans="1:5" x14ac:dyDescent="0.55000000000000004">
      <c r="A6788" t="s">
        <v>6869</v>
      </c>
      <c r="B6788" t="s">
        <v>15</v>
      </c>
      <c r="C6788" s="2">
        <v>44486</v>
      </c>
      <c r="D6788" t="s">
        <v>26</v>
      </c>
      <c r="E6788">
        <v>108</v>
      </c>
    </row>
    <row r="6789" spans="1:5" x14ac:dyDescent="0.55000000000000004">
      <c r="A6789" t="s">
        <v>6870</v>
      </c>
      <c r="B6789" t="s">
        <v>14</v>
      </c>
      <c r="C6789" s="2">
        <v>44086</v>
      </c>
      <c r="D6789" t="s">
        <v>26</v>
      </c>
      <c r="E6789">
        <v>2702</v>
      </c>
    </row>
    <row r="6790" spans="1:5" x14ac:dyDescent="0.55000000000000004">
      <c r="A6790" t="s">
        <v>6871</v>
      </c>
      <c r="B6790" t="s">
        <v>78</v>
      </c>
      <c r="C6790" s="2">
        <v>45649</v>
      </c>
      <c r="D6790" t="s">
        <v>29</v>
      </c>
      <c r="E6790">
        <v>1291</v>
      </c>
    </row>
    <row r="6791" spans="1:5" x14ac:dyDescent="0.55000000000000004">
      <c r="A6791" t="s">
        <v>6872</v>
      </c>
      <c r="B6791" t="s">
        <v>76</v>
      </c>
      <c r="C6791" s="2">
        <v>44028</v>
      </c>
      <c r="D6791" t="s">
        <v>29</v>
      </c>
      <c r="E6791">
        <v>250</v>
      </c>
    </row>
    <row r="6792" spans="1:5" x14ac:dyDescent="0.55000000000000004">
      <c r="A6792" t="s">
        <v>6873</v>
      </c>
      <c r="B6792" t="s">
        <v>151</v>
      </c>
      <c r="C6792" s="2">
        <v>43257</v>
      </c>
      <c r="D6792" t="s">
        <v>26</v>
      </c>
      <c r="E6792">
        <v>257</v>
      </c>
    </row>
    <row r="6793" spans="1:5" x14ac:dyDescent="0.55000000000000004">
      <c r="A6793" t="s">
        <v>6874</v>
      </c>
      <c r="B6793" t="s">
        <v>86</v>
      </c>
      <c r="C6793" s="2">
        <v>44332</v>
      </c>
      <c r="D6793" t="s">
        <v>26</v>
      </c>
      <c r="E6793">
        <v>1359</v>
      </c>
    </row>
    <row r="6794" spans="1:5" x14ac:dyDescent="0.55000000000000004">
      <c r="A6794" t="s">
        <v>6875</v>
      </c>
      <c r="B6794" t="s">
        <v>86</v>
      </c>
      <c r="C6794" s="2">
        <v>42937</v>
      </c>
      <c r="D6794" t="s">
        <v>29</v>
      </c>
      <c r="E6794">
        <v>385</v>
      </c>
    </row>
    <row r="6795" spans="1:5" x14ac:dyDescent="0.55000000000000004">
      <c r="A6795" t="s">
        <v>6876</v>
      </c>
      <c r="B6795" t="s">
        <v>84</v>
      </c>
      <c r="C6795" s="2">
        <v>43346</v>
      </c>
      <c r="D6795" t="s">
        <v>26</v>
      </c>
      <c r="E6795">
        <v>411</v>
      </c>
    </row>
    <row r="6796" spans="1:5" x14ac:dyDescent="0.55000000000000004">
      <c r="A6796" t="s">
        <v>6877</v>
      </c>
      <c r="B6796" t="s">
        <v>23</v>
      </c>
      <c r="C6796" s="2">
        <v>44046</v>
      </c>
      <c r="D6796" t="s">
        <v>29</v>
      </c>
      <c r="E6796">
        <v>973</v>
      </c>
    </row>
    <row r="6797" spans="1:5" x14ac:dyDescent="0.55000000000000004">
      <c r="A6797" t="s">
        <v>6878</v>
      </c>
      <c r="B6797" t="s">
        <v>38</v>
      </c>
      <c r="C6797" s="2">
        <v>43932</v>
      </c>
      <c r="D6797" t="s">
        <v>29</v>
      </c>
      <c r="E6797">
        <v>1987</v>
      </c>
    </row>
    <row r="6798" spans="1:5" x14ac:dyDescent="0.55000000000000004">
      <c r="A6798" t="s">
        <v>6879</v>
      </c>
      <c r="B6798" t="s">
        <v>23</v>
      </c>
      <c r="C6798" s="2">
        <v>44775</v>
      </c>
      <c r="D6798" t="s">
        <v>26</v>
      </c>
      <c r="E6798">
        <v>1068</v>
      </c>
    </row>
    <row r="6799" spans="1:5" x14ac:dyDescent="0.55000000000000004">
      <c r="A6799" t="s">
        <v>6880</v>
      </c>
      <c r="B6799" t="s">
        <v>15</v>
      </c>
      <c r="C6799" s="2">
        <v>44156</v>
      </c>
      <c r="D6799" t="s">
        <v>26</v>
      </c>
      <c r="E6799">
        <v>1533</v>
      </c>
    </row>
    <row r="6800" spans="1:5" x14ac:dyDescent="0.55000000000000004">
      <c r="A6800" t="s">
        <v>6881</v>
      </c>
      <c r="B6800" t="s">
        <v>41</v>
      </c>
      <c r="C6800" s="2">
        <v>44345</v>
      </c>
      <c r="D6800" t="s">
        <v>26</v>
      </c>
      <c r="E6800">
        <v>628</v>
      </c>
    </row>
    <row r="6801" spans="1:5" x14ac:dyDescent="0.55000000000000004">
      <c r="A6801" t="s">
        <v>6882</v>
      </c>
      <c r="B6801" t="s">
        <v>74</v>
      </c>
      <c r="C6801" s="2">
        <v>43944</v>
      </c>
      <c r="D6801" t="s">
        <v>26</v>
      </c>
      <c r="E6801">
        <v>2900</v>
      </c>
    </row>
    <row r="6802" spans="1:5" x14ac:dyDescent="0.55000000000000004">
      <c r="A6802" t="s">
        <v>6883</v>
      </c>
      <c r="B6802" t="s">
        <v>175</v>
      </c>
      <c r="C6802" s="2">
        <v>44507</v>
      </c>
      <c r="D6802" t="s">
        <v>29</v>
      </c>
      <c r="E6802">
        <v>2868</v>
      </c>
    </row>
    <row r="6803" spans="1:5" x14ac:dyDescent="0.55000000000000004">
      <c r="A6803" t="s">
        <v>6884</v>
      </c>
      <c r="B6803" t="s">
        <v>99</v>
      </c>
      <c r="C6803" s="2">
        <v>43914</v>
      </c>
      <c r="D6803" t="s">
        <v>26</v>
      </c>
      <c r="E6803">
        <v>30</v>
      </c>
    </row>
    <row r="6804" spans="1:5" x14ac:dyDescent="0.55000000000000004">
      <c r="A6804" t="s">
        <v>6885</v>
      </c>
      <c r="B6804" t="s">
        <v>156</v>
      </c>
      <c r="C6804" s="2">
        <v>44497</v>
      </c>
      <c r="D6804" t="s">
        <v>29</v>
      </c>
      <c r="E6804">
        <v>2017</v>
      </c>
    </row>
    <row r="6805" spans="1:5" x14ac:dyDescent="0.55000000000000004">
      <c r="A6805" t="s">
        <v>6886</v>
      </c>
      <c r="B6805" t="s">
        <v>142</v>
      </c>
      <c r="C6805" s="2">
        <v>43800</v>
      </c>
      <c r="D6805" t="s">
        <v>29</v>
      </c>
      <c r="E6805">
        <v>2597</v>
      </c>
    </row>
    <row r="6806" spans="1:5" x14ac:dyDescent="0.55000000000000004">
      <c r="A6806" t="s">
        <v>6887</v>
      </c>
      <c r="B6806" t="s">
        <v>101</v>
      </c>
      <c r="C6806" s="2">
        <v>44093</v>
      </c>
      <c r="D6806" t="s">
        <v>26</v>
      </c>
      <c r="E6806">
        <v>855</v>
      </c>
    </row>
    <row r="6807" spans="1:5" x14ac:dyDescent="0.55000000000000004">
      <c r="A6807" t="s">
        <v>6888</v>
      </c>
      <c r="B6807" t="s">
        <v>94</v>
      </c>
      <c r="C6807" s="2">
        <v>44426</v>
      </c>
      <c r="D6807" t="s">
        <v>26</v>
      </c>
      <c r="E6807">
        <v>2412</v>
      </c>
    </row>
    <row r="6808" spans="1:5" x14ac:dyDescent="0.55000000000000004">
      <c r="A6808" t="s">
        <v>6889</v>
      </c>
      <c r="B6808" t="s">
        <v>23</v>
      </c>
      <c r="C6808" s="2">
        <v>44711</v>
      </c>
      <c r="D6808" t="s">
        <v>29</v>
      </c>
      <c r="E6808">
        <v>390</v>
      </c>
    </row>
    <row r="6809" spans="1:5" x14ac:dyDescent="0.55000000000000004">
      <c r="A6809" t="s">
        <v>6890</v>
      </c>
      <c r="B6809" t="s">
        <v>86</v>
      </c>
      <c r="C6809" s="2">
        <v>44181</v>
      </c>
      <c r="D6809" t="s">
        <v>26</v>
      </c>
      <c r="E6809">
        <v>679</v>
      </c>
    </row>
    <row r="6810" spans="1:5" x14ac:dyDescent="0.55000000000000004">
      <c r="A6810" t="s">
        <v>6891</v>
      </c>
      <c r="B6810" t="s">
        <v>111</v>
      </c>
      <c r="C6810" s="2">
        <v>43873</v>
      </c>
      <c r="D6810" t="s">
        <v>29</v>
      </c>
      <c r="E6810">
        <v>1774</v>
      </c>
    </row>
    <row r="6811" spans="1:5" x14ac:dyDescent="0.55000000000000004">
      <c r="A6811" t="s">
        <v>6892</v>
      </c>
      <c r="B6811" t="s">
        <v>84</v>
      </c>
      <c r="C6811" s="2">
        <v>43034</v>
      </c>
      <c r="D6811" t="s">
        <v>29</v>
      </c>
      <c r="E6811">
        <v>2607</v>
      </c>
    </row>
    <row r="6812" spans="1:5" x14ac:dyDescent="0.55000000000000004">
      <c r="A6812" t="s">
        <v>6893</v>
      </c>
      <c r="B6812" t="s">
        <v>67</v>
      </c>
      <c r="C6812" s="2">
        <v>44937</v>
      </c>
      <c r="D6812" t="s">
        <v>26</v>
      </c>
      <c r="E6812">
        <v>2217</v>
      </c>
    </row>
    <row r="6813" spans="1:5" x14ac:dyDescent="0.55000000000000004">
      <c r="A6813" t="s">
        <v>6894</v>
      </c>
      <c r="B6813" t="s">
        <v>105</v>
      </c>
      <c r="C6813" s="2">
        <v>44503</v>
      </c>
      <c r="D6813" t="s">
        <v>29</v>
      </c>
      <c r="E6813">
        <v>2865</v>
      </c>
    </row>
    <row r="6814" spans="1:5" x14ac:dyDescent="0.55000000000000004">
      <c r="A6814" t="s">
        <v>6895</v>
      </c>
      <c r="B6814" t="s">
        <v>140</v>
      </c>
      <c r="C6814" s="2">
        <v>44372</v>
      </c>
      <c r="D6814" t="s">
        <v>29</v>
      </c>
      <c r="E6814">
        <v>552</v>
      </c>
    </row>
    <row r="6815" spans="1:5" x14ac:dyDescent="0.55000000000000004">
      <c r="A6815" t="s">
        <v>6896</v>
      </c>
      <c r="B6815" t="s">
        <v>101</v>
      </c>
      <c r="C6815" s="2">
        <v>44531</v>
      </c>
      <c r="D6815" t="s">
        <v>26</v>
      </c>
      <c r="E6815">
        <v>73</v>
      </c>
    </row>
    <row r="6816" spans="1:5" x14ac:dyDescent="0.55000000000000004">
      <c r="A6816" t="s">
        <v>6897</v>
      </c>
      <c r="B6816" t="s">
        <v>78</v>
      </c>
      <c r="C6816" s="2">
        <v>45546</v>
      </c>
      <c r="D6816" t="s">
        <v>29</v>
      </c>
      <c r="E6816">
        <v>1629</v>
      </c>
    </row>
    <row r="6817" spans="1:5" x14ac:dyDescent="0.55000000000000004">
      <c r="A6817" t="s">
        <v>6898</v>
      </c>
      <c r="B6817" t="s">
        <v>96</v>
      </c>
      <c r="C6817" s="2">
        <v>43979</v>
      </c>
      <c r="D6817" t="s">
        <v>26</v>
      </c>
      <c r="E6817">
        <v>1484</v>
      </c>
    </row>
    <row r="6818" spans="1:5" x14ac:dyDescent="0.55000000000000004">
      <c r="A6818" t="s">
        <v>6899</v>
      </c>
      <c r="B6818" t="s">
        <v>156</v>
      </c>
      <c r="C6818" s="2">
        <v>43360</v>
      </c>
      <c r="D6818" t="s">
        <v>29</v>
      </c>
      <c r="E6818">
        <v>1528</v>
      </c>
    </row>
    <row r="6819" spans="1:5" x14ac:dyDescent="0.55000000000000004">
      <c r="A6819" t="s">
        <v>6900</v>
      </c>
      <c r="B6819" t="s">
        <v>74</v>
      </c>
      <c r="C6819" s="2">
        <v>44526</v>
      </c>
      <c r="D6819" t="s">
        <v>29</v>
      </c>
      <c r="E6819">
        <v>691</v>
      </c>
    </row>
    <row r="6820" spans="1:5" x14ac:dyDescent="0.55000000000000004">
      <c r="A6820" t="s">
        <v>6901</v>
      </c>
      <c r="B6820" t="s">
        <v>99</v>
      </c>
      <c r="C6820" s="2">
        <v>44117</v>
      </c>
      <c r="D6820" t="s">
        <v>26</v>
      </c>
      <c r="E6820">
        <v>751</v>
      </c>
    </row>
    <row r="6821" spans="1:5" x14ac:dyDescent="0.55000000000000004">
      <c r="A6821" t="s">
        <v>6902</v>
      </c>
      <c r="B6821" t="s">
        <v>76</v>
      </c>
      <c r="C6821" s="2">
        <v>44901</v>
      </c>
      <c r="D6821" t="s">
        <v>26</v>
      </c>
      <c r="E6821">
        <v>435</v>
      </c>
    </row>
    <row r="6822" spans="1:5" x14ac:dyDescent="0.55000000000000004">
      <c r="A6822" t="s">
        <v>6903</v>
      </c>
      <c r="B6822" t="s">
        <v>99</v>
      </c>
      <c r="C6822" s="2">
        <v>44217</v>
      </c>
      <c r="D6822" t="s">
        <v>29</v>
      </c>
      <c r="E6822">
        <v>2987</v>
      </c>
    </row>
    <row r="6823" spans="1:5" x14ac:dyDescent="0.55000000000000004">
      <c r="A6823" t="s">
        <v>6904</v>
      </c>
      <c r="B6823" t="s">
        <v>137</v>
      </c>
      <c r="C6823" s="2">
        <v>45127</v>
      </c>
      <c r="D6823" t="s">
        <v>26</v>
      </c>
      <c r="E6823">
        <v>1228</v>
      </c>
    </row>
    <row r="6824" spans="1:5" x14ac:dyDescent="0.55000000000000004">
      <c r="A6824" t="s">
        <v>6905</v>
      </c>
      <c r="B6824" t="s">
        <v>15</v>
      </c>
      <c r="C6824" s="2">
        <v>43269</v>
      </c>
      <c r="D6824" t="s">
        <v>29</v>
      </c>
      <c r="E6824">
        <v>772</v>
      </c>
    </row>
    <row r="6825" spans="1:5" x14ac:dyDescent="0.55000000000000004">
      <c r="A6825" t="s">
        <v>6906</v>
      </c>
      <c r="B6825" t="s">
        <v>23</v>
      </c>
      <c r="C6825" s="2">
        <v>44346</v>
      </c>
      <c r="D6825" t="s">
        <v>26</v>
      </c>
      <c r="E6825">
        <v>2646</v>
      </c>
    </row>
    <row r="6826" spans="1:5" x14ac:dyDescent="0.55000000000000004">
      <c r="A6826" t="s">
        <v>6907</v>
      </c>
      <c r="B6826" t="s">
        <v>14</v>
      </c>
      <c r="C6826" s="2">
        <v>43102</v>
      </c>
      <c r="D6826" t="s">
        <v>26</v>
      </c>
      <c r="E6826">
        <v>665</v>
      </c>
    </row>
    <row r="6827" spans="1:5" x14ac:dyDescent="0.55000000000000004">
      <c r="A6827" t="s">
        <v>6908</v>
      </c>
      <c r="B6827" t="s">
        <v>63</v>
      </c>
      <c r="C6827" s="2">
        <v>43477</v>
      </c>
      <c r="D6827" t="s">
        <v>26</v>
      </c>
      <c r="E6827">
        <v>1177</v>
      </c>
    </row>
    <row r="6828" spans="1:5" x14ac:dyDescent="0.55000000000000004">
      <c r="A6828" t="s">
        <v>6909</v>
      </c>
      <c r="B6828" t="s">
        <v>23</v>
      </c>
      <c r="C6828" s="2">
        <v>44189</v>
      </c>
      <c r="D6828" t="s">
        <v>26</v>
      </c>
      <c r="E6828">
        <v>55</v>
      </c>
    </row>
    <row r="6829" spans="1:5" x14ac:dyDescent="0.55000000000000004">
      <c r="A6829" t="s">
        <v>6910</v>
      </c>
      <c r="B6829" t="s">
        <v>32</v>
      </c>
      <c r="C6829" s="2">
        <v>44686</v>
      </c>
      <c r="D6829" t="s">
        <v>29</v>
      </c>
      <c r="E6829">
        <v>697</v>
      </c>
    </row>
    <row r="6830" spans="1:5" x14ac:dyDescent="0.55000000000000004">
      <c r="A6830" t="s">
        <v>6911</v>
      </c>
      <c r="B6830" t="s">
        <v>175</v>
      </c>
      <c r="C6830" s="2">
        <v>45282</v>
      </c>
      <c r="D6830" t="s">
        <v>26</v>
      </c>
      <c r="E6830">
        <v>550</v>
      </c>
    </row>
    <row r="6831" spans="1:5" x14ac:dyDescent="0.55000000000000004">
      <c r="A6831" t="s">
        <v>6912</v>
      </c>
      <c r="B6831" t="s">
        <v>140</v>
      </c>
      <c r="C6831" s="2">
        <v>43733</v>
      </c>
      <c r="D6831" t="s">
        <v>26</v>
      </c>
      <c r="E6831">
        <v>1074</v>
      </c>
    </row>
    <row r="6832" spans="1:5" x14ac:dyDescent="0.55000000000000004">
      <c r="A6832" t="s">
        <v>6913</v>
      </c>
      <c r="B6832" t="s">
        <v>175</v>
      </c>
      <c r="C6832" s="2">
        <v>44869</v>
      </c>
      <c r="D6832" t="s">
        <v>26</v>
      </c>
      <c r="E6832">
        <v>2378</v>
      </c>
    </row>
    <row r="6833" spans="1:5" x14ac:dyDescent="0.55000000000000004">
      <c r="A6833" t="s">
        <v>6914</v>
      </c>
      <c r="B6833" t="s">
        <v>86</v>
      </c>
      <c r="C6833" s="2">
        <v>43798</v>
      </c>
      <c r="D6833" t="s">
        <v>26</v>
      </c>
      <c r="E6833">
        <v>758</v>
      </c>
    </row>
    <row r="6834" spans="1:5" x14ac:dyDescent="0.55000000000000004">
      <c r="A6834" t="s">
        <v>6915</v>
      </c>
      <c r="B6834" t="s">
        <v>74</v>
      </c>
      <c r="C6834" s="2">
        <v>43894</v>
      </c>
      <c r="D6834" t="s">
        <v>29</v>
      </c>
      <c r="E6834">
        <v>2650</v>
      </c>
    </row>
    <row r="6835" spans="1:5" x14ac:dyDescent="0.55000000000000004">
      <c r="A6835" t="s">
        <v>6916</v>
      </c>
      <c r="B6835" t="s">
        <v>142</v>
      </c>
      <c r="C6835" s="2">
        <v>42955</v>
      </c>
      <c r="D6835" t="s">
        <v>26</v>
      </c>
      <c r="E6835">
        <v>2517</v>
      </c>
    </row>
    <row r="6836" spans="1:5" x14ac:dyDescent="0.55000000000000004">
      <c r="A6836" t="s">
        <v>6917</v>
      </c>
      <c r="B6836" t="s">
        <v>74</v>
      </c>
      <c r="C6836" s="2">
        <v>43019</v>
      </c>
      <c r="D6836" t="s">
        <v>26</v>
      </c>
      <c r="E6836">
        <v>2354</v>
      </c>
    </row>
    <row r="6837" spans="1:5" x14ac:dyDescent="0.55000000000000004">
      <c r="A6837" t="s">
        <v>6918</v>
      </c>
      <c r="B6837" t="s">
        <v>63</v>
      </c>
      <c r="C6837" s="2">
        <v>43420</v>
      </c>
      <c r="D6837" t="s">
        <v>29</v>
      </c>
      <c r="E6837">
        <v>822</v>
      </c>
    </row>
    <row r="6838" spans="1:5" x14ac:dyDescent="0.55000000000000004">
      <c r="A6838" t="s">
        <v>6919</v>
      </c>
      <c r="B6838" t="s">
        <v>99</v>
      </c>
      <c r="C6838" s="2">
        <v>44193</v>
      </c>
      <c r="D6838" t="s">
        <v>26</v>
      </c>
      <c r="E6838">
        <v>656</v>
      </c>
    </row>
    <row r="6839" spans="1:5" x14ac:dyDescent="0.55000000000000004">
      <c r="A6839" t="s">
        <v>6920</v>
      </c>
      <c r="B6839" t="s">
        <v>156</v>
      </c>
      <c r="C6839" s="2">
        <v>43866</v>
      </c>
      <c r="D6839" t="s">
        <v>26</v>
      </c>
      <c r="E6839">
        <v>355</v>
      </c>
    </row>
    <row r="6840" spans="1:5" x14ac:dyDescent="0.55000000000000004">
      <c r="A6840" t="s">
        <v>6921</v>
      </c>
      <c r="B6840" t="s">
        <v>23</v>
      </c>
      <c r="C6840" s="2">
        <v>44286</v>
      </c>
      <c r="D6840" t="s">
        <v>29</v>
      </c>
      <c r="E6840">
        <v>23</v>
      </c>
    </row>
    <row r="6841" spans="1:5" x14ac:dyDescent="0.55000000000000004">
      <c r="A6841" t="s">
        <v>6922</v>
      </c>
      <c r="B6841" t="s">
        <v>41</v>
      </c>
      <c r="C6841" s="2">
        <v>43926</v>
      </c>
      <c r="D6841" t="s">
        <v>29</v>
      </c>
      <c r="E6841">
        <v>87</v>
      </c>
    </row>
    <row r="6842" spans="1:5" x14ac:dyDescent="0.55000000000000004">
      <c r="A6842" t="s">
        <v>6923</v>
      </c>
      <c r="B6842" t="s">
        <v>67</v>
      </c>
      <c r="C6842" s="2">
        <v>44054</v>
      </c>
      <c r="D6842" t="s">
        <v>29</v>
      </c>
      <c r="E6842">
        <v>1990</v>
      </c>
    </row>
    <row r="6843" spans="1:5" x14ac:dyDescent="0.55000000000000004">
      <c r="A6843" t="s">
        <v>6924</v>
      </c>
      <c r="B6843" t="s">
        <v>38</v>
      </c>
      <c r="C6843" s="2">
        <v>43907</v>
      </c>
      <c r="D6843" t="s">
        <v>29</v>
      </c>
      <c r="E6843">
        <v>1638</v>
      </c>
    </row>
    <row r="6844" spans="1:5" x14ac:dyDescent="0.55000000000000004">
      <c r="A6844" t="s">
        <v>6925</v>
      </c>
      <c r="B6844" t="s">
        <v>84</v>
      </c>
      <c r="C6844" s="2">
        <v>43736</v>
      </c>
      <c r="D6844" t="s">
        <v>26</v>
      </c>
      <c r="E6844">
        <v>2806</v>
      </c>
    </row>
    <row r="6845" spans="1:5" x14ac:dyDescent="0.55000000000000004">
      <c r="A6845" t="s">
        <v>6926</v>
      </c>
      <c r="B6845" t="s">
        <v>78</v>
      </c>
      <c r="C6845" s="2">
        <v>45178</v>
      </c>
      <c r="D6845" t="s">
        <v>26</v>
      </c>
      <c r="E6845">
        <v>1941</v>
      </c>
    </row>
    <row r="6846" spans="1:5" x14ac:dyDescent="0.55000000000000004">
      <c r="A6846" t="s">
        <v>6927</v>
      </c>
      <c r="B6846" t="s">
        <v>140</v>
      </c>
      <c r="C6846" s="2">
        <v>43182</v>
      </c>
      <c r="D6846" t="s">
        <v>29</v>
      </c>
      <c r="E6846">
        <v>1152</v>
      </c>
    </row>
    <row r="6847" spans="1:5" x14ac:dyDescent="0.55000000000000004">
      <c r="A6847" t="s">
        <v>6928</v>
      </c>
      <c r="B6847" t="s">
        <v>151</v>
      </c>
      <c r="C6847" s="2">
        <v>44368</v>
      </c>
      <c r="D6847" t="s">
        <v>29</v>
      </c>
      <c r="E6847">
        <v>42</v>
      </c>
    </row>
    <row r="6848" spans="1:5" x14ac:dyDescent="0.55000000000000004">
      <c r="A6848" t="s">
        <v>6929</v>
      </c>
      <c r="B6848" t="s">
        <v>14</v>
      </c>
      <c r="C6848" s="2">
        <v>44089</v>
      </c>
      <c r="D6848" t="s">
        <v>29</v>
      </c>
      <c r="E6848">
        <v>934</v>
      </c>
    </row>
    <row r="6849" spans="1:5" x14ac:dyDescent="0.55000000000000004">
      <c r="A6849" t="s">
        <v>6930</v>
      </c>
      <c r="B6849" t="s">
        <v>15</v>
      </c>
      <c r="C6849" s="2">
        <v>43272</v>
      </c>
      <c r="D6849" t="s">
        <v>26</v>
      </c>
      <c r="E6849">
        <v>1111</v>
      </c>
    </row>
    <row r="6850" spans="1:5" x14ac:dyDescent="0.55000000000000004">
      <c r="A6850" t="s">
        <v>6931</v>
      </c>
      <c r="B6850" t="s">
        <v>140</v>
      </c>
      <c r="C6850" s="2">
        <v>43101</v>
      </c>
      <c r="D6850" t="s">
        <v>29</v>
      </c>
      <c r="E6850">
        <v>1743</v>
      </c>
    </row>
    <row r="6851" spans="1:5" x14ac:dyDescent="0.55000000000000004">
      <c r="A6851" t="s">
        <v>6932</v>
      </c>
      <c r="B6851" t="s">
        <v>38</v>
      </c>
      <c r="C6851" s="2">
        <v>44131</v>
      </c>
      <c r="D6851" t="s">
        <v>26</v>
      </c>
      <c r="E6851">
        <v>2757</v>
      </c>
    </row>
    <row r="6852" spans="1:5" x14ac:dyDescent="0.55000000000000004">
      <c r="A6852" t="s">
        <v>6933</v>
      </c>
      <c r="B6852" t="s">
        <v>115</v>
      </c>
      <c r="C6852" s="2">
        <v>43338</v>
      </c>
      <c r="D6852" t="s">
        <v>26</v>
      </c>
      <c r="E6852">
        <v>1680</v>
      </c>
    </row>
    <row r="6853" spans="1:5" x14ac:dyDescent="0.55000000000000004">
      <c r="A6853" t="s">
        <v>6934</v>
      </c>
      <c r="B6853" t="s">
        <v>115</v>
      </c>
      <c r="C6853" s="2">
        <v>42942</v>
      </c>
      <c r="D6853" t="s">
        <v>29</v>
      </c>
      <c r="E6853">
        <v>1159</v>
      </c>
    </row>
    <row r="6854" spans="1:5" x14ac:dyDescent="0.55000000000000004">
      <c r="A6854" t="s">
        <v>6935</v>
      </c>
      <c r="B6854" t="s">
        <v>41</v>
      </c>
      <c r="C6854" s="2">
        <v>44021</v>
      </c>
      <c r="D6854" t="s">
        <v>29</v>
      </c>
      <c r="E6854">
        <v>1227</v>
      </c>
    </row>
    <row r="6855" spans="1:5" x14ac:dyDescent="0.55000000000000004">
      <c r="A6855" t="s">
        <v>6936</v>
      </c>
      <c r="B6855" t="s">
        <v>72</v>
      </c>
      <c r="C6855" s="2">
        <v>43326</v>
      </c>
      <c r="D6855" t="s">
        <v>26</v>
      </c>
      <c r="E6855">
        <v>1593</v>
      </c>
    </row>
    <row r="6856" spans="1:5" x14ac:dyDescent="0.55000000000000004">
      <c r="A6856" t="s">
        <v>6937</v>
      </c>
      <c r="B6856" t="s">
        <v>86</v>
      </c>
      <c r="C6856" s="2">
        <v>43482</v>
      </c>
      <c r="D6856" t="s">
        <v>29</v>
      </c>
      <c r="E6856">
        <v>476</v>
      </c>
    </row>
    <row r="6857" spans="1:5" x14ac:dyDescent="0.55000000000000004">
      <c r="A6857" t="s">
        <v>6938</v>
      </c>
      <c r="B6857" t="s">
        <v>78</v>
      </c>
      <c r="C6857" s="2">
        <v>44271</v>
      </c>
      <c r="D6857" t="s">
        <v>29</v>
      </c>
      <c r="E6857">
        <v>731</v>
      </c>
    </row>
    <row r="6858" spans="1:5" x14ac:dyDescent="0.55000000000000004">
      <c r="A6858" t="s">
        <v>6939</v>
      </c>
      <c r="B6858" t="s">
        <v>15</v>
      </c>
      <c r="C6858" s="2">
        <v>43879</v>
      </c>
      <c r="D6858" t="s">
        <v>29</v>
      </c>
      <c r="E6858">
        <v>2143</v>
      </c>
    </row>
    <row r="6859" spans="1:5" x14ac:dyDescent="0.55000000000000004">
      <c r="A6859" t="s">
        <v>6940</v>
      </c>
      <c r="B6859" t="s">
        <v>86</v>
      </c>
      <c r="C6859" s="2">
        <v>43893</v>
      </c>
      <c r="D6859" t="s">
        <v>29</v>
      </c>
      <c r="E6859">
        <v>129</v>
      </c>
    </row>
    <row r="6860" spans="1:5" x14ac:dyDescent="0.55000000000000004">
      <c r="A6860" t="s">
        <v>6941</v>
      </c>
      <c r="B6860" t="s">
        <v>140</v>
      </c>
      <c r="C6860" s="2">
        <v>44335</v>
      </c>
      <c r="D6860" t="s">
        <v>26</v>
      </c>
      <c r="E6860">
        <v>1028</v>
      </c>
    </row>
    <row r="6861" spans="1:5" x14ac:dyDescent="0.55000000000000004">
      <c r="A6861" t="s">
        <v>6942</v>
      </c>
      <c r="B6861" t="s">
        <v>32</v>
      </c>
      <c r="C6861" s="2">
        <v>44429</v>
      </c>
      <c r="D6861" t="s">
        <v>26</v>
      </c>
      <c r="E6861">
        <v>2554</v>
      </c>
    </row>
    <row r="6862" spans="1:5" x14ac:dyDescent="0.55000000000000004">
      <c r="A6862" t="s">
        <v>6943</v>
      </c>
      <c r="B6862" t="s">
        <v>142</v>
      </c>
      <c r="C6862" s="2">
        <v>43485</v>
      </c>
      <c r="D6862" t="s">
        <v>29</v>
      </c>
      <c r="E6862">
        <v>284</v>
      </c>
    </row>
    <row r="6863" spans="1:5" x14ac:dyDescent="0.55000000000000004">
      <c r="A6863" t="s">
        <v>6944</v>
      </c>
      <c r="B6863" t="s">
        <v>96</v>
      </c>
      <c r="C6863" s="2">
        <v>44808</v>
      </c>
      <c r="D6863" t="s">
        <v>29</v>
      </c>
      <c r="E6863">
        <v>409</v>
      </c>
    </row>
    <row r="6864" spans="1:5" x14ac:dyDescent="0.55000000000000004">
      <c r="A6864" t="s">
        <v>6945</v>
      </c>
      <c r="B6864" t="s">
        <v>67</v>
      </c>
      <c r="C6864" s="2">
        <v>45720</v>
      </c>
      <c r="D6864" t="s">
        <v>29</v>
      </c>
      <c r="E6864">
        <v>80</v>
      </c>
    </row>
    <row r="6865" spans="1:5" x14ac:dyDescent="0.55000000000000004">
      <c r="A6865" t="s">
        <v>6946</v>
      </c>
      <c r="B6865" t="s">
        <v>74</v>
      </c>
      <c r="C6865" s="2">
        <v>43929</v>
      </c>
      <c r="D6865" t="s">
        <v>26</v>
      </c>
      <c r="E6865">
        <v>706</v>
      </c>
    </row>
    <row r="6866" spans="1:5" x14ac:dyDescent="0.55000000000000004">
      <c r="A6866" t="s">
        <v>6947</v>
      </c>
      <c r="B6866" t="s">
        <v>156</v>
      </c>
      <c r="C6866" s="2">
        <v>44345</v>
      </c>
      <c r="D6866" t="s">
        <v>26</v>
      </c>
      <c r="E6866">
        <v>168</v>
      </c>
    </row>
    <row r="6867" spans="1:5" x14ac:dyDescent="0.55000000000000004">
      <c r="A6867" t="s">
        <v>6948</v>
      </c>
      <c r="B6867" t="s">
        <v>94</v>
      </c>
      <c r="C6867" s="2">
        <v>44156</v>
      </c>
      <c r="D6867" t="s">
        <v>29</v>
      </c>
      <c r="E6867">
        <v>2295</v>
      </c>
    </row>
    <row r="6868" spans="1:5" x14ac:dyDescent="0.55000000000000004">
      <c r="A6868" t="s">
        <v>6949</v>
      </c>
      <c r="B6868" t="s">
        <v>63</v>
      </c>
      <c r="C6868" s="2">
        <v>43828</v>
      </c>
      <c r="D6868" t="s">
        <v>29</v>
      </c>
      <c r="E6868">
        <v>1092</v>
      </c>
    </row>
    <row r="6869" spans="1:5" x14ac:dyDescent="0.55000000000000004">
      <c r="A6869" t="s">
        <v>6950</v>
      </c>
      <c r="B6869" t="s">
        <v>118</v>
      </c>
      <c r="C6869" s="2">
        <v>44560</v>
      </c>
      <c r="D6869" t="s">
        <v>26</v>
      </c>
      <c r="E6869">
        <v>2032</v>
      </c>
    </row>
    <row r="6870" spans="1:5" x14ac:dyDescent="0.55000000000000004">
      <c r="A6870" t="s">
        <v>6951</v>
      </c>
      <c r="B6870" t="s">
        <v>105</v>
      </c>
      <c r="C6870" s="2">
        <v>43365</v>
      </c>
      <c r="D6870" t="s">
        <v>29</v>
      </c>
      <c r="E6870">
        <v>1414</v>
      </c>
    </row>
    <row r="6871" spans="1:5" x14ac:dyDescent="0.55000000000000004">
      <c r="A6871" t="s">
        <v>6952</v>
      </c>
      <c r="B6871" t="s">
        <v>140</v>
      </c>
      <c r="C6871" s="2">
        <v>44516</v>
      </c>
      <c r="D6871" t="s">
        <v>29</v>
      </c>
      <c r="E6871">
        <v>804</v>
      </c>
    </row>
    <row r="6872" spans="1:5" x14ac:dyDescent="0.55000000000000004">
      <c r="A6872" t="s">
        <v>6953</v>
      </c>
      <c r="B6872" t="s">
        <v>67</v>
      </c>
      <c r="C6872" s="2">
        <v>45058</v>
      </c>
      <c r="D6872" t="s">
        <v>29</v>
      </c>
      <c r="E6872">
        <v>1837</v>
      </c>
    </row>
    <row r="6873" spans="1:5" x14ac:dyDescent="0.55000000000000004">
      <c r="A6873" t="s">
        <v>6954</v>
      </c>
      <c r="B6873" t="s">
        <v>23</v>
      </c>
      <c r="C6873" s="2">
        <v>43853</v>
      </c>
      <c r="D6873" t="s">
        <v>26</v>
      </c>
      <c r="E6873">
        <v>1470</v>
      </c>
    </row>
    <row r="6874" spans="1:5" x14ac:dyDescent="0.55000000000000004">
      <c r="A6874" t="s">
        <v>6955</v>
      </c>
      <c r="B6874" t="s">
        <v>76</v>
      </c>
      <c r="C6874" s="2">
        <v>44667</v>
      </c>
      <c r="D6874" t="s">
        <v>29</v>
      </c>
      <c r="E6874">
        <v>923</v>
      </c>
    </row>
    <row r="6875" spans="1:5" x14ac:dyDescent="0.55000000000000004">
      <c r="A6875" t="s">
        <v>6956</v>
      </c>
      <c r="B6875" t="s">
        <v>101</v>
      </c>
      <c r="C6875" s="2">
        <v>44475</v>
      </c>
      <c r="D6875" t="s">
        <v>26</v>
      </c>
      <c r="E6875">
        <v>1712</v>
      </c>
    </row>
    <row r="6876" spans="1:5" x14ac:dyDescent="0.55000000000000004">
      <c r="A6876" t="s">
        <v>6957</v>
      </c>
      <c r="B6876" t="s">
        <v>99</v>
      </c>
      <c r="C6876" s="2">
        <v>45791</v>
      </c>
      <c r="D6876" t="s">
        <v>26</v>
      </c>
      <c r="E6876">
        <v>1150</v>
      </c>
    </row>
    <row r="6877" spans="1:5" x14ac:dyDescent="0.55000000000000004">
      <c r="A6877" t="s">
        <v>6958</v>
      </c>
      <c r="B6877" t="s">
        <v>41</v>
      </c>
      <c r="C6877" s="2">
        <v>44788</v>
      </c>
      <c r="D6877" t="s">
        <v>26</v>
      </c>
      <c r="E6877">
        <v>810</v>
      </c>
    </row>
    <row r="6878" spans="1:5" x14ac:dyDescent="0.55000000000000004">
      <c r="A6878" t="s">
        <v>6959</v>
      </c>
      <c r="B6878" t="s">
        <v>67</v>
      </c>
      <c r="C6878" s="2">
        <v>45243</v>
      </c>
      <c r="D6878" t="s">
        <v>29</v>
      </c>
      <c r="E6878">
        <v>258</v>
      </c>
    </row>
    <row r="6879" spans="1:5" x14ac:dyDescent="0.55000000000000004">
      <c r="A6879" t="s">
        <v>6960</v>
      </c>
      <c r="B6879" t="s">
        <v>35</v>
      </c>
      <c r="C6879" s="2">
        <v>43855</v>
      </c>
      <c r="D6879" t="s">
        <v>26</v>
      </c>
      <c r="E6879">
        <v>2439</v>
      </c>
    </row>
    <row r="6880" spans="1:5" x14ac:dyDescent="0.55000000000000004">
      <c r="A6880" t="s">
        <v>6961</v>
      </c>
      <c r="B6880" t="s">
        <v>111</v>
      </c>
      <c r="C6880" s="2">
        <v>43382</v>
      </c>
      <c r="D6880" t="s">
        <v>29</v>
      </c>
      <c r="E6880">
        <v>2563</v>
      </c>
    </row>
    <row r="6881" spans="1:5" x14ac:dyDescent="0.55000000000000004">
      <c r="A6881" t="s">
        <v>6962</v>
      </c>
      <c r="B6881" t="s">
        <v>94</v>
      </c>
      <c r="C6881" s="2">
        <v>44747</v>
      </c>
      <c r="D6881" t="s">
        <v>29</v>
      </c>
      <c r="E6881">
        <v>1097</v>
      </c>
    </row>
    <row r="6882" spans="1:5" x14ac:dyDescent="0.55000000000000004">
      <c r="A6882" t="s">
        <v>6963</v>
      </c>
      <c r="B6882" t="s">
        <v>105</v>
      </c>
      <c r="C6882" s="2">
        <v>43104</v>
      </c>
      <c r="D6882" t="s">
        <v>29</v>
      </c>
      <c r="E6882">
        <v>2974</v>
      </c>
    </row>
    <row r="6883" spans="1:5" x14ac:dyDescent="0.55000000000000004">
      <c r="A6883" t="s">
        <v>6964</v>
      </c>
      <c r="B6883" t="s">
        <v>84</v>
      </c>
      <c r="C6883" s="2">
        <v>43397</v>
      </c>
      <c r="D6883" t="s">
        <v>29</v>
      </c>
      <c r="E6883">
        <v>2416</v>
      </c>
    </row>
    <row r="6884" spans="1:5" x14ac:dyDescent="0.55000000000000004">
      <c r="A6884" t="s">
        <v>6965</v>
      </c>
      <c r="B6884" t="s">
        <v>32</v>
      </c>
      <c r="C6884" s="2">
        <v>43863</v>
      </c>
      <c r="D6884" t="s">
        <v>26</v>
      </c>
      <c r="E6884">
        <v>2382</v>
      </c>
    </row>
    <row r="6885" spans="1:5" x14ac:dyDescent="0.55000000000000004">
      <c r="A6885" t="s">
        <v>6966</v>
      </c>
      <c r="B6885" t="s">
        <v>118</v>
      </c>
      <c r="C6885" s="2">
        <v>44368</v>
      </c>
      <c r="D6885" t="s">
        <v>29</v>
      </c>
      <c r="E6885">
        <v>2185</v>
      </c>
    </row>
    <row r="6886" spans="1:5" x14ac:dyDescent="0.55000000000000004">
      <c r="A6886" t="s">
        <v>6967</v>
      </c>
      <c r="B6886" t="s">
        <v>74</v>
      </c>
      <c r="C6886" s="2">
        <v>43453</v>
      </c>
      <c r="D6886" t="s">
        <v>29</v>
      </c>
      <c r="E6886">
        <v>204</v>
      </c>
    </row>
    <row r="6887" spans="1:5" x14ac:dyDescent="0.55000000000000004">
      <c r="A6887" t="s">
        <v>6968</v>
      </c>
      <c r="B6887" t="s">
        <v>156</v>
      </c>
      <c r="C6887" s="2">
        <v>43917</v>
      </c>
      <c r="D6887" t="s">
        <v>29</v>
      </c>
      <c r="E6887">
        <v>384</v>
      </c>
    </row>
    <row r="6888" spans="1:5" x14ac:dyDescent="0.55000000000000004">
      <c r="A6888" t="s">
        <v>6969</v>
      </c>
      <c r="B6888" t="s">
        <v>156</v>
      </c>
      <c r="C6888" s="2">
        <v>43371</v>
      </c>
      <c r="D6888" t="s">
        <v>29</v>
      </c>
      <c r="E6888">
        <v>2069</v>
      </c>
    </row>
    <row r="6889" spans="1:5" x14ac:dyDescent="0.55000000000000004">
      <c r="A6889" t="s">
        <v>6970</v>
      </c>
      <c r="B6889" t="s">
        <v>67</v>
      </c>
      <c r="C6889" s="2">
        <v>44538</v>
      </c>
      <c r="D6889" t="s">
        <v>29</v>
      </c>
      <c r="E6889">
        <v>869</v>
      </c>
    </row>
    <row r="6890" spans="1:5" x14ac:dyDescent="0.55000000000000004">
      <c r="A6890" t="s">
        <v>6971</v>
      </c>
      <c r="B6890" t="s">
        <v>15</v>
      </c>
      <c r="C6890" s="2">
        <v>43021</v>
      </c>
      <c r="D6890" t="s">
        <v>29</v>
      </c>
      <c r="E6890">
        <v>2980</v>
      </c>
    </row>
    <row r="6891" spans="1:5" x14ac:dyDescent="0.55000000000000004">
      <c r="A6891" t="s">
        <v>6972</v>
      </c>
      <c r="B6891" t="s">
        <v>101</v>
      </c>
      <c r="C6891" s="2">
        <v>43085</v>
      </c>
      <c r="D6891" t="s">
        <v>29</v>
      </c>
      <c r="E6891">
        <v>2669</v>
      </c>
    </row>
    <row r="6892" spans="1:5" x14ac:dyDescent="0.55000000000000004">
      <c r="A6892" t="s">
        <v>6973</v>
      </c>
      <c r="B6892" t="s">
        <v>76</v>
      </c>
      <c r="C6892" s="2">
        <v>44905</v>
      </c>
      <c r="D6892" t="s">
        <v>29</v>
      </c>
      <c r="E6892">
        <v>1050</v>
      </c>
    </row>
    <row r="6893" spans="1:5" x14ac:dyDescent="0.55000000000000004">
      <c r="A6893" t="s">
        <v>6974</v>
      </c>
      <c r="B6893" t="s">
        <v>94</v>
      </c>
      <c r="C6893" s="2">
        <v>45162</v>
      </c>
      <c r="D6893" t="s">
        <v>29</v>
      </c>
      <c r="E6893">
        <v>538</v>
      </c>
    </row>
    <row r="6894" spans="1:5" x14ac:dyDescent="0.55000000000000004">
      <c r="A6894" t="s">
        <v>6975</v>
      </c>
      <c r="B6894" t="s">
        <v>38</v>
      </c>
      <c r="C6894" s="2">
        <v>44625</v>
      </c>
      <c r="D6894" t="s">
        <v>26</v>
      </c>
      <c r="E6894">
        <v>1655</v>
      </c>
    </row>
    <row r="6895" spans="1:5" x14ac:dyDescent="0.55000000000000004">
      <c r="A6895" t="s">
        <v>6976</v>
      </c>
      <c r="B6895" t="s">
        <v>99</v>
      </c>
      <c r="C6895" s="2">
        <v>43741</v>
      </c>
      <c r="D6895" t="s">
        <v>29</v>
      </c>
      <c r="E6895">
        <v>2699</v>
      </c>
    </row>
    <row r="6896" spans="1:5" x14ac:dyDescent="0.55000000000000004">
      <c r="A6896" t="s">
        <v>6977</v>
      </c>
      <c r="B6896" t="s">
        <v>156</v>
      </c>
      <c r="C6896" s="2">
        <v>44338</v>
      </c>
      <c r="D6896" t="s">
        <v>26</v>
      </c>
      <c r="E6896">
        <v>2127</v>
      </c>
    </row>
    <row r="6897" spans="1:5" x14ac:dyDescent="0.55000000000000004">
      <c r="A6897" t="s">
        <v>6978</v>
      </c>
      <c r="B6897" t="s">
        <v>86</v>
      </c>
      <c r="C6897" s="2">
        <v>43976</v>
      </c>
      <c r="D6897" t="s">
        <v>26</v>
      </c>
      <c r="E6897">
        <v>244</v>
      </c>
    </row>
    <row r="6898" spans="1:5" x14ac:dyDescent="0.55000000000000004">
      <c r="A6898" t="s">
        <v>6979</v>
      </c>
      <c r="B6898" t="s">
        <v>72</v>
      </c>
      <c r="C6898" s="2">
        <v>43844</v>
      </c>
      <c r="D6898" t="s">
        <v>29</v>
      </c>
      <c r="E6898">
        <v>2849</v>
      </c>
    </row>
    <row r="6899" spans="1:5" x14ac:dyDescent="0.55000000000000004">
      <c r="A6899" t="s">
        <v>6980</v>
      </c>
      <c r="B6899" t="s">
        <v>105</v>
      </c>
      <c r="C6899" s="2">
        <v>44098</v>
      </c>
      <c r="D6899" t="s">
        <v>26</v>
      </c>
      <c r="E6899">
        <v>45</v>
      </c>
    </row>
    <row r="6900" spans="1:5" x14ac:dyDescent="0.55000000000000004">
      <c r="A6900" t="s">
        <v>6981</v>
      </c>
      <c r="B6900" t="s">
        <v>118</v>
      </c>
      <c r="C6900" s="2">
        <v>45583</v>
      </c>
      <c r="D6900" t="s">
        <v>29</v>
      </c>
      <c r="E6900">
        <v>1370</v>
      </c>
    </row>
    <row r="6901" spans="1:5" x14ac:dyDescent="0.55000000000000004">
      <c r="A6901" t="s">
        <v>6982</v>
      </c>
      <c r="B6901" t="s">
        <v>142</v>
      </c>
      <c r="C6901" s="2">
        <v>44345</v>
      </c>
      <c r="D6901" t="s">
        <v>29</v>
      </c>
      <c r="E6901">
        <v>2661</v>
      </c>
    </row>
    <row r="6902" spans="1:5" x14ac:dyDescent="0.55000000000000004">
      <c r="A6902" t="s">
        <v>6983</v>
      </c>
      <c r="B6902" t="s">
        <v>175</v>
      </c>
      <c r="C6902" s="2">
        <v>45768</v>
      </c>
      <c r="D6902" t="s">
        <v>29</v>
      </c>
      <c r="E6902">
        <v>83</v>
      </c>
    </row>
    <row r="6903" spans="1:5" x14ac:dyDescent="0.55000000000000004">
      <c r="A6903" t="s">
        <v>6984</v>
      </c>
      <c r="B6903" t="s">
        <v>156</v>
      </c>
      <c r="C6903" s="2">
        <v>43400</v>
      </c>
      <c r="D6903" t="s">
        <v>29</v>
      </c>
      <c r="E6903">
        <v>1687</v>
      </c>
    </row>
    <row r="6904" spans="1:5" x14ac:dyDescent="0.55000000000000004">
      <c r="A6904" t="s">
        <v>6985</v>
      </c>
      <c r="B6904" t="s">
        <v>118</v>
      </c>
      <c r="C6904" s="2">
        <v>45220</v>
      </c>
      <c r="D6904" t="s">
        <v>26</v>
      </c>
      <c r="E6904">
        <v>1382</v>
      </c>
    </row>
    <row r="6905" spans="1:5" x14ac:dyDescent="0.55000000000000004">
      <c r="A6905" t="s">
        <v>6986</v>
      </c>
      <c r="B6905" t="s">
        <v>94</v>
      </c>
      <c r="C6905" s="2">
        <v>43615</v>
      </c>
      <c r="D6905" t="s">
        <v>26</v>
      </c>
      <c r="E6905">
        <v>2891</v>
      </c>
    </row>
    <row r="6906" spans="1:5" x14ac:dyDescent="0.55000000000000004">
      <c r="A6906" t="s">
        <v>6987</v>
      </c>
      <c r="B6906" t="s">
        <v>63</v>
      </c>
      <c r="C6906" s="2">
        <v>43826</v>
      </c>
      <c r="D6906" t="s">
        <v>29</v>
      </c>
      <c r="E6906">
        <v>1740</v>
      </c>
    </row>
    <row r="6907" spans="1:5" x14ac:dyDescent="0.55000000000000004">
      <c r="A6907" t="s">
        <v>6988</v>
      </c>
      <c r="B6907" t="s">
        <v>23</v>
      </c>
      <c r="C6907" s="2">
        <v>44873</v>
      </c>
      <c r="D6907" t="s">
        <v>26</v>
      </c>
      <c r="E6907">
        <v>865</v>
      </c>
    </row>
    <row r="6908" spans="1:5" x14ac:dyDescent="0.55000000000000004">
      <c r="A6908" t="s">
        <v>6989</v>
      </c>
      <c r="B6908" t="s">
        <v>14</v>
      </c>
      <c r="C6908" s="2">
        <v>43728</v>
      </c>
      <c r="D6908" t="s">
        <v>29</v>
      </c>
      <c r="E6908">
        <v>2640</v>
      </c>
    </row>
    <row r="6909" spans="1:5" x14ac:dyDescent="0.55000000000000004">
      <c r="A6909" t="s">
        <v>6990</v>
      </c>
      <c r="B6909" t="s">
        <v>15</v>
      </c>
      <c r="C6909" s="2">
        <v>44280</v>
      </c>
      <c r="D6909" t="s">
        <v>26</v>
      </c>
      <c r="E6909">
        <v>91</v>
      </c>
    </row>
    <row r="6910" spans="1:5" x14ac:dyDescent="0.55000000000000004">
      <c r="A6910" t="s">
        <v>6991</v>
      </c>
      <c r="B6910" t="s">
        <v>175</v>
      </c>
      <c r="C6910" s="2">
        <v>45123</v>
      </c>
      <c r="D6910" t="s">
        <v>29</v>
      </c>
      <c r="E6910">
        <v>2870</v>
      </c>
    </row>
    <row r="6911" spans="1:5" x14ac:dyDescent="0.55000000000000004">
      <c r="A6911" t="s">
        <v>6992</v>
      </c>
      <c r="B6911" t="s">
        <v>137</v>
      </c>
      <c r="C6911" s="2">
        <v>43958</v>
      </c>
      <c r="D6911" t="s">
        <v>26</v>
      </c>
      <c r="E6911">
        <v>749</v>
      </c>
    </row>
    <row r="6912" spans="1:5" x14ac:dyDescent="0.55000000000000004">
      <c r="A6912" t="s">
        <v>6993</v>
      </c>
      <c r="B6912" t="s">
        <v>78</v>
      </c>
      <c r="C6912" s="2">
        <v>44217</v>
      </c>
      <c r="D6912" t="s">
        <v>29</v>
      </c>
      <c r="E6912">
        <v>1680</v>
      </c>
    </row>
    <row r="6913" spans="1:5" x14ac:dyDescent="0.55000000000000004">
      <c r="A6913" t="s">
        <v>6994</v>
      </c>
      <c r="B6913" t="s">
        <v>94</v>
      </c>
      <c r="C6913" s="2">
        <v>45413</v>
      </c>
      <c r="D6913" t="s">
        <v>29</v>
      </c>
      <c r="E6913">
        <v>332</v>
      </c>
    </row>
    <row r="6914" spans="1:5" x14ac:dyDescent="0.55000000000000004">
      <c r="A6914" t="s">
        <v>6995</v>
      </c>
      <c r="B6914" t="s">
        <v>32</v>
      </c>
      <c r="C6914" s="2">
        <v>43864</v>
      </c>
      <c r="D6914" t="s">
        <v>29</v>
      </c>
      <c r="E6914">
        <v>2081</v>
      </c>
    </row>
    <row r="6915" spans="1:5" x14ac:dyDescent="0.55000000000000004">
      <c r="A6915" t="s">
        <v>6996</v>
      </c>
      <c r="B6915" t="s">
        <v>35</v>
      </c>
      <c r="C6915" s="2">
        <v>44869</v>
      </c>
      <c r="D6915" t="s">
        <v>29</v>
      </c>
      <c r="E6915">
        <v>1347</v>
      </c>
    </row>
    <row r="6916" spans="1:5" x14ac:dyDescent="0.55000000000000004">
      <c r="A6916" t="s">
        <v>6997</v>
      </c>
      <c r="B6916" t="s">
        <v>151</v>
      </c>
      <c r="C6916" s="2">
        <v>43945</v>
      </c>
      <c r="D6916" t="s">
        <v>29</v>
      </c>
      <c r="E6916">
        <v>2769</v>
      </c>
    </row>
    <row r="6917" spans="1:5" x14ac:dyDescent="0.55000000000000004">
      <c r="A6917" t="s">
        <v>6998</v>
      </c>
      <c r="B6917" t="s">
        <v>32</v>
      </c>
      <c r="C6917" s="2">
        <v>43926</v>
      </c>
      <c r="D6917" t="s">
        <v>29</v>
      </c>
      <c r="E6917">
        <v>1928</v>
      </c>
    </row>
    <row r="6918" spans="1:5" x14ac:dyDescent="0.55000000000000004">
      <c r="A6918" t="s">
        <v>6999</v>
      </c>
      <c r="B6918" t="s">
        <v>118</v>
      </c>
      <c r="C6918" s="2">
        <v>44306</v>
      </c>
      <c r="D6918" t="s">
        <v>29</v>
      </c>
      <c r="E6918">
        <v>837</v>
      </c>
    </row>
    <row r="6919" spans="1:5" x14ac:dyDescent="0.55000000000000004">
      <c r="A6919" t="s">
        <v>7000</v>
      </c>
      <c r="B6919" t="s">
        <v>156</v>
      </c>
      <c r="C6919" s="2">
        <v>44309</v>
      </c>
      <c r="D6919" t="s">
        <v>26</v>
      </c>
      <c r="E6919">
        <v>2852</v>
      </c>
    </row>
    <row r="6920" spans="1:5" x14ac:dyDescent="0.55000000000000004">
      <c r="A6920" t="s">
        <v>7001</v>
      </c>
      <c r="B6920" t="s">
        <v>67</v>
      </c>
      <c r="C6920" s="2">
        <v>45529</v>
      </c>
      <c r="D6920" t="s">
        <v>29</v>
      </c>
      <c r="E6920">
        <v>1637</v>
      </c>
    </row>
    <row r="6921" spans="1:5" x14ac:dyDescent="0.55000000000000004">
      <c r="A6921" t="s">
        <v>7002</v>
      </c>
      <c r="B6921" t="s">
        <v>14</v>
      </c>
      <c r="C6921" s="2">
        <v>44436</v>
      </c>
      <c r="D6921" t="s">
        <v>29</v>
      </c>
      <c r="E6921">
        <v>2611</v>
      </c>
    </row>
    <row r="6922" spans="1:5" x14ac:dyDescent="0.55000000000000004">
      <c r="A6922" t="s">
        <v>7003</v>
      </c>
      <c r="B6922" t="s">
        <v>111</v>
      </c>
      <c r="C6922" s="2">
        <v>42961</v>
      </c>
      <c r="D6922" t="s">
        <v>29</v>
      </c>
      <c r="E6922">
        <v>2338</v>
      </c>
    </row>
    <row r="6923" spans="1:5" x14ac:dyDescent="0.55000000000000004">
      <c r="A6923" t="s">
        <v>7004</v>
      </c>
      <c r="B6923" t="s">
        <v>72</v>
      </c>
      <c r="C6923" s="2">
        <v>43201</v>
      </c>
      <c r="D6923" t="s">
        <v>26</v>
      </c>
      <c r="E6923">
        <v>2844</v>
      </c>
    </row>
    <row r="6924" spans="1:5" x14ac:dyDescent="0.55000000000000004">
      <c r="A6924" t="s">
        <v>7005</v>
      </c>
      <c r="B6924" t="s">
        <v>15</v>
      </c>
      <c r="C6924" s="2">
        <v>43037</v>
      </c>
      <c r="D6924" t="s">
        <v>29</v>
      </c>
      <c r="E6924">
        <v>2653</v>
      </c>
    </row>
    <row r="6925" spans="1:5" x14ac:dyDescent="0.55000000000000004">
      <c r="A6925" t="s">
        <v>7006</v>
      </c>
      <c r="B6925" t="s">
        <v>76</v>
      </c>
      <c r="C6925" s="2">
        <v>45763</v>
      </c>
      <c r="D6925" t="s">
        <v>29</v>
      </c>
      <c r="E6925">
        <v>2867</v>
      </c>
    </row>
    <row r="6926" spans="1:5" x14ac:dyDescent="0.55000000000000004">
      <c r="A6926" t="s">
        <v>7007</v>
      </c>
      <c r="B6926" t="s">
        <v>118</v>
      </c>
      <c r="C6926" s="2">
        <v>43784</v>
      </c>
      <c r="D6926" t="s">
        <v>29</v>
      </c>
      <c r="E6926">
        <v>2796</v>
      </c>
    </row>
    <row r="6927" spans="1:5" x14ac:dyDescent="0.55000000000000004">
      <c r="A6927" t="s">
        <v>7008</v>
      </c>
      <c r="B6927" t="s">
        <v>78</v>
      </c>
      <c r="C6927" s="2">
        <v>45279</v>
      </c>
      <c r="D6927" t="s">
        <v>26</v>
      </c>
      <c r="E6927">
        <v>1667</v>
      </c>
    </row>
    <row r="6928" spans="1:5" x14ac:dyDescent="0.55000000000000004">
      <c r="A6928" t="s">
        <v>7009</v>
      </c>
      <c r="B6928" t="s">
        <v>101</v>
      </c>
      <c r="C6928" s="2">
        <v>43338</v>
      </c>
      <c r="D6928" t="s">
        <v>26</v>
      </c>
      <c r="E6928">
        <v>250</v>
      </c>
    </row>
    <row r="6929" spans="1:5" x14ac:dyDescent="0.55000000000000004">
      <c r="A6929" t="s">
        <v>7010</v>
      </c>
      <c r="B6929" t="s">
        <v>118</v>
      </c>
      <c r="C6929" s="2">
        <v>43751</v>
      </c>
      <c r="D6929" t="s">
        <v>29</v>
      </c>
      <c r="E6929">
        <v>667</v>
      </c>
    </row>
    <row r="6930" spans="1:5" x14ac:dyDescent="0.55000000000000004">
      <c r="A6930" t="s">
        <v>7011</v>
      </c>
      <c r="B6930" t="s">
        <v>23</v>
      </c>
      <c r="C6930" s="2">
        <v>43861</v>
      </c>
      <c r="D6930" t="s">
        <v>29</v>
      </c>
      <c r="E6930">
        <v>785</v>
      </c>
    </row>
    <row r="6931" spans="1:5" x14ac:dyDescent="0.55000000000000004">
      <c r="A6931" t="s">
        <v>7012</v>
      </c>
      <c r="B6931" t="s">
        <v>137</v>
      </c>
      <c r="C6931" s="2">
        <v>44192</v>
      </c>
      <c r="D6931" t="s">
        <v>26</v>
      </c>
      <c r="E6931">
        <v>2756</v>
      </c>
    </row>
    <row r="6932" spans="1:5" x14ac:dyDescent="0.55000000000000004">
      <c r="A6932" t="s">
        <v>7013</v>
      </c>
      <c r="B6932" t="s">
        <v>23</v>
      </c>
      <c r="C6932" s="2">
        <v>44158</v>
      </c>
      <c r="D6932" t="s">
        <v>29</v>
      </c>
      <c r="E6932">
        <v>491</v>
      </c>
    </row>
    <row r="6933" spans="1:5" x14ac:dyDescent="0.55000000000000004">
      <c r="A6933" t="s">
        <v>7014</v>
      </c>
      <c r="B6933" t="s">
        <v>99</v>
      </c>
      <c r="C6933" s="2">
        <v>44096</v>
      </c>
      <c r="D6933" t="s">
        <v>29</v>
      </c>
      <c r="E6933">
        <v>2877</v>
      </c>
    </row>
    <row r="6934" spans="1:5" x14ac:dyDescent="0.55000000000000004">
      <c r="A6934" t="s">
        <v>7015</v>
      </c>
      <c r="B6934" t="s">
        <v>111</v>
      </c>
      <c r="C6934" s="2">
        <v>44492</v>
      </c>
      <c r="D6934" t="s">
        <v>26</v>
      </c>
      <c r="E6934">
        <v>955</v>
      </c>
    </row>
    <row r="6935" spans="1:5" x14ac:dyDescent="0.55000000000000004">
      <c r="A6935" t="s">
        <v>7016</v>
      </c>
      <c r="B6935" t="s">
        <v>15</v>
      </c>
      <c r="C6935" s="2">
        <v>43102</v>
      </c>
      <c r="D6935" t="s">
        <v>29</v>
      </c>
      <c r="E6935">
        <v>24</v>
      </c>
    </row>
    <row r="6936" spans="1:5" x14ac:dyDescent="0.55000000000000004">
      <c r="A6936" t="s">
        <v>7017</v>
      </c>
      <c r="B6936" t="s">
        <v>99</v>
      </c>
      <c r="C6936" s="2">
        <v>45198</v>
      </c>
      <c r="D6936" t="s">
        <v>29</v>
      </c>
      <c r="E6936">
        <v>2501</v>
      </c>
    </row>
    <row r="6937" spans="1:5" x14ac:dyDescent="0.55000000000000004">
      <c r="A6937" t="s">
        <v>7018</v>
      </c>
      <c r="B6937" t="s">
        <v>84</v>
      </c>
      <c r="C6937" s="2">
        <v>43268</v>
      </c>
      <c r="D6937" t="s">
        <v>29</v>
      </c>
      <c r="E6937">
        <v>2405</v>
      </c>
    </row>
    <row r="6938" spans="1:5" x14ac:dyDescent="0.55000000000000004">
      <c r="A6938" t="s">
        <v>7019</v>
      </c>
      <c r="B6938" t="s">
        <v>156</v>
      </c>
      <c r="C6938" s="2">
        <v>43240</v>
      </c>
      <c r="D6938" t="s">
        <v>26</v>
      </c>
      <c r="E6938">
        <v>844</v>
      </c>
    </row>
    <row r="6939" spans="1:5" x14ac:dyDescent="0.55000000000000004">
      <c r="A6939" t="s">
        <v>7020</v>
      </c>
      <c r="B6939" t="s">
        <v>41</v>
      </c>
      <c r="C6939" s="2">
        <v>44311</v>
      </c>
      <c r="D6939" t="s">
        <v>26</v>
      </c>
      <c r="E6939">
        <v>2763</v>
      </c>
    </row>
    <row r="6940" spans="1:5" x14ac:dyDescent="0.55000000000000004">
      <c r="A6940" t="s">
        <v>7021</v>
      </c>
      <c r="B6940" t="s">
        <v>118</v>
      </c>
      <c r="C6940" s="2">
        <v>44438</v>
      </c>
      <c r="D6940" t="s">
        <v>29</v>
      </c>
      <c r="E6940">
        <v>1238</v>
      </c>
    </row>
    <row r="6941" spans="1:5" x14ac:dyDescent="0.55000000000000004">
      <c r="A6941" t="s">
        <v>7022</v>
      </c>
      <c r="B6941" t="s">
        <v>38</v>
      </c>
      <c r="C6941" s="2">
        <v>43870</v>
      </c>
      <c r="D6941" t="s">
        <v>26</v>
      </c>
      <c r="E6941">
        <v>1156</v>
      </c>
    </row>
    <row r="6942" spans="1:5" x14ac:dyDescent="0.55000000000000004">
      <c r="A6942" t="s">
        <v>7023</v>
      </c>
      <c r="B6942" t="s">
        <v>86</v>
      </c>
      <c r="C6942" s="2">
        <v>44504</v>
      </c>
      <c r="D6942" t="s">
        <v>29</v>
      </c>
      <c r="E6942">
        <v>1841</v>
      </c>
    </row>
    <row r="6943" spans="1:5" x14ac:dyDescent="0.55000000000000004">
      <c r="A6943" t="s">
        <v>7024</v>
      </c>
      <c r="B6943" t="s">
        <v>14</v>
      </c>
      <c r="C6943" s="2">
        <v>43696</v>
      </c>
      <c r="D6943" t="s">
        <v>26</v>
      </c>
      <c r="E6943">
        <v>260</v>
      </c>
    </row>
    <row r="6944" spans="1:5" x14ac:dyDescent="0.55000000000000004">
      <c r="A6944" t="s">
        <v>7025</v>
      </c>
      <c r="B6944" t="s">
        <v>32</v>
      </c>
      <c r="C6944" s="2">
        <v>44527</v>
      </c>
      <c r="D6944" t="s">
        <v>29</v>
      </c>
      <c r="E6944">
        <v>777</v>
      </c>
    </row>
    <row r="6945" spans="1:5" x14ac:dyDescent="0.55000000000000004">
      <c r="A6945" t="s">
        <v>7026</v>
      </c>
      <c r="B6945" t="s">
        <v>14</v>
      </c>
      <c r="C6945" s="2">
        <v>43670</v>
      </c>
      <c r="D6945" t="s">
        <v>29</v>
      </c>
      <c r="E6945">
        <v>2487</v>
      </c>
    </row>
    <row r="6946" spans="1:5" x14ac:dyDescent="0.55000000000000004">
      <c r="A6946" t="s">
        <v>7027</v>
      </c>
      <c r="B6946" t="s">
        <v>67</v>
      </c>
      <c r="C6946" s="2">
        <v>44131</v>
      </c>
      <c r="D6946" t="s">
        <v>29</v>
      </c>
      <c r="E6946">
        <v>950</v>
      </c>
    </row>
    <row r="6947" spans="1:5" x14ac:dyDescent="0.55000000000000004">
      <c r="A6947" t="s">
        <v>7028</v>
      </c>
      <c r="B6947" t="s">
        <v>99</v>
      </c>
      <c r="C6947" s="2">
        <v>45565</v>
      </c>
      <c r="D6947" t="s">
        <v>29</v>
      </c>
      <c r="E6947">
        <v>2697</v>
      </c>
    </row>
    <row r="6948" spans="1:5" x14ac:dyDescent="0.55000000000000004">
      <c r="A6948" t="s">
        <v>7029</v>
      </c>
      <c r="B6948" t="s">
        <v>137</v>
      </c>
      <c r="C6948" s="2">
        <v>44470</v>
      </c>
      <c r="D6948" t="s">
        <v>26</v>
      </c>
      <c r="E6948">
        <v>2856</v>
      </c>
    </row>
    <row r="6949" spans="1:5" x14ac:dyDescent="0.55000000000000004">
      <c r="A6949" t="s">
        <v>7030</v>
      </c>
      <c r="B6949" t="s">
        <v>72</v>
      </c>
      <c r="C6949" s="2">
        <v>44520</v>
      </c>
      <c r="D6949" t="s">
        <v>26</v>
      </c>
      <c r="E6949">
        <v>1908</v>
      </c>
    </row>
    <row r="6950" spans="1:5" x14ac:dyDescent="0.55000000000000004">
      <c r="A6950" t="s">
        <v>7031</v>
      </c>
      <c r="B6950" t="s">
        <v>78</v>
      </c>
      <c r="C6950" s="2">
        <v>45672</v>
      </c>
      <c r="D6950" t="s">
        <v>26</v>
      </c>
      <c r="E6950">
        <v>1696</v>
      </c>
    </row>
    <row r="6951" spans="1:5" x14ac:dyDescent="0.55000000000000004">
      <c r="A6951" t="s">
        <v>7032</v>
      </c>
      <c r="B6951" t="s">
        <v>96</v>
      </c>
      <c r="C6951" s="2">
        <v>45522</v>
      </c>
      <c r="D6951" t="s">
        <v>26</v>
      </c>
      <c r="E6951">
        <v>1582</v>
      </c>
    </row>
    <row r="6952" spans="1:5" x14ac:dyDescent="0.55000000000000004">
      <c r="A6952" t="s">
        <v>7033</v>
      </c>
      <c r="B6952" t="s">
        <v>35</v>
      </c>
      <c r="C6952" s="2">
        <v>44602</v>
      </c>
      <c r="D6952" t="s">
        <v>29</v>
      </c>
      <c r="E6952">
        <v>2716</v>
      </c>
    </row>
    <row r="6953" spans="1:5" x14ac:dyDescent="0.55000000000000004">
      <c r="A6953" t="s">
        <v>7034</v>
      </c>
      <c r="B6953" t="s">
        <v>63</v>
      </c>
      <c r="C6953" s="2">
        <v>44305</v>
      </c>
      <c r="D6953" t="s">
        <v>26</v>
      </c>
      <c r="E6953">
        <v>1407</v>
      </c>
    </row>
    <row r="6954" spans="1:5" x14ac:dyDescent="0.55000000000000004">
      <c r="A6954" t="s">
        <v>7035</v>
      </c>
      <c r="B6954" t="s">
        <v>94</v>
      </c>
      <c r="C6954" s="2">
        <v>45627</v>
      </c>
      <c r="D6954" t="s">
        <v>26</v>
      </c>
      <c r="E6954">
        <v>421</v>
      </c>
    </row>
    <row r="6955" spans="1:5" x14ac:dyDescent="0.55000000000000004">
      <c r="A6955" t="s">
        <v>7036</v>
      </c>
      <c r="B6955" t="s">
        <v>101</v>
      </c>
      <c r="C6955" s="2">
        <v>44249</v>
      </c>
      <c r="D6955" t="s">
        <v>29</v>
      </c>
      <c r="E6955">
        <v>2379</v>
      </c>
    </row>
    <row r="6956" spans="1:5" x14ac:dyDescent="0.55000000000000004">
      <c r="A6956" t="s">
        <v>7037</v>
      </c>
      <c r="B6956" t="s">
        <v>78</v>
      </c>
      <c r="C6956" s="2">
        <v>44047</v>
      </c>
      <c r="D6956" t="s">
        <v>26</v>
      </c>
      <c r="E6956">
        <v>1345</v>
      </c>
    </row>
    <row r="6957" spans="1:5" x14ac:dyDescent="0.55000000000000004">
      <c r="A6957" t="s">
        <v>7038</v>
      </c>
      <c r="B6957" t="s">
        <v>14</v>
      </c>
      <c r="C6957" s="2">
        <v>43326</v>
      </c>
      <c r="D6957" t="s">
        <v>29</v>
      </c>
      <c r="E6957">
        <v>189</v>
      </c>
    </row>
    <row r="6958" spans="1:5" x14ac:dyDescent="0.55000000000000004">
      <c r="A6958" t="s">
        <v>7039</v>
      </c>
      <c r="B6958" t="s">
        <v>115</v>
      </c>
      <c r="C6958" s="2">
        <v>43891</v>
      </c>
      <c r="D6958" t="s">
        <v>26</v>
      </c>
      <c r="E6958">
        <v>2453</v>
      </c>
    </row>
    <row r="6959" spans="1:5" x14ac:dyDescent="0.55000000000000004">
      <c r="A6959" t="s">
        <v>7040</v>
      </c>
      <c r="B6959" t="s">
        <v>72</v>
      </c>
      <c r="C6959" s="2">
        <v>43761</v>
      </c>
      <c r="D6959" t="s">
        <v>29</v>
      </c>
      <c r="E6959">
        <v>174</v>
      </c>
    </row>
    <row r="6960" spans="1:5" x14ac:dyDescent="0.55000000000000004">
      <c r="A6960" t="s">
        <v>7041</v>
      </c>
      <c r="B6960" t="s">
        <v>15</v>
      </c>
      <c r="C6960" s="2">
        <v>43015</v>
      </c>
      <c r="D6960" t="s">
        <v>26</v>
      </c>
      <c r="E6960">
        <v>127</v>
      </c>
    </row>
    <row r="6961" spans="1:5" x14ac:dyDescent="0.55000000000000004">
      <c r="A6961" t="s">
        <v>7042</v>
      </c>
      <c r="B6961" t="s">
        <v>67</v>
      </c>
      <c r="C6961" s="2">
        <v>45675</v>
      </c>
      <c r="D6961" t="s">
        <v>26</v>
      </c>
      <c r="E6961">
        <v>2120</v>
      </c>
    </row>
    <row r="6962" spans="1:5" x14ac:dyDescent="0.55000000000000004">
      <c r="A6962" t="s">
        <v>7043</v>
      </c>
      <c r="B6962" t="s">
        <v>35</v>
      </c>
      <c r="C6962" s="2">
        <v>43965</v>
      </c>
      <c r="D6962" t="s">
        <v>29</v>
      </c>
      <c r="E6962">
        <v>652</v>
      </c>
    </row>
    <row r="6963" spans="1:5" x14ac:dyDescent="0.55000000000000004">
      <c r="A6963" t="s">
        <v>7044</v>
      </c>
      <c r="B6963" t="s">
        <v>101</v>
      </c>
      <c r="C6963" s="2">
        <v>43224</v>
      </c>
      <c r="D6963" t="s">
        <v>26</v>
      </c>
      <c r="E6963">
        <v>2460</v>
      </c>
    </row>
    <row r="6964" spans="1:5" x14ac:dyDescent="0.55000000000000004">
      <c r="A6964" t="s">
        <v>7045</v>
      </c>
      <c r="B6964" t="s">
        <v>140</v>
      </c>
      <c r="C6964" s="2">
        <v>44043</v>
      </c>
      <c r="D6964" t="s">
        <v>26</v>
      </c>
      <c r="E6964">
        <v>2667</v>
      </c>
    </row>
    <row r="6965" spans="1:5" x14ac:dyDescent="0.55000000000000004">
      <c r="A6965" t="s">
        <v>7046</v>
      </c>
      <c r="B6965" t="s">
        <v>76</v>
      </c>
      <c r="C6965" s="2">
        <v>44678</v>
      </c>
      <c r="D6965" t="s">
        <v>29</v>
      </c>
      <c r="E6965">
        <v>2156</v>
      </c>
    </row>
    <row r="6966" spans="1:5" x14ac:dyDescent="0.55000000000000004">
      <c r="A6966" t="s">
        <v>7047</v>
      </c>
      <c r="B6966" t="s">
        <v>111</v>
      </c>
      <c r="C6966" s="2">
        <v>44457</v>
      </c>
      <c r="D6966" t="s">
        <v>26</v>
      </c>
      <c r="E6966">
        <v>2705</v>
      </c>
    </row>
    <row r="6967" spans="1:5" x14ac:dyDescent="0.55000000000000004">
      <c r="A6967" t="s">
        <v>7048</v>
      </c>
      <c r="B6967" t="s">
        <v>76</v>
      </c>
      <c r="C6967" s="2">
        <v>43544</v>
      </c>
      <c r="D6967" t="s">
        <v>29</v>
      </c>
      <c r="E6967">
        <v>603</v>
      </c>
    </row>
    <row r="6968" spans="1:5" x14ac:dyDescent="0.55000000000000004">
      <c r="A6968" t="s">
        <v>7049</v>
      </c>
      <c r="B6968" t="s">
        <v>67</v>
      </c>
      <c r="C6968" s="2">
        <v>45545</v>
      </c>
      <c r="D6968" t="s">
        <v>29</v>
      </c>
      <c r="E6968">
        <v>2314</v>
      </c>
    </row>
    <row r="6969" spans="1:5" x14ac:dyDescent="0.55000000000000004">
      <c r="A6969" t="s">
        <v>7050</v>
      </c>
      <c r="B6969" t="s">
        <v>105</v>
      </c>
      <c r="C6969" s="2">
        <v>44230</v>
      </c>
      <c r="D6969" t="s">
        <v>29</v>
      </c>
      <c r="E6969">
        <v>2585</v>
      </c>
    </row>
    <row r="6970" spans="1:5" x14ac:dyDescent="0.55000000000000004">
      <c r="A6970" t="s">
        <v>7051</v>
      </c>
      <c r="B6970" t="s">
        <v>84</v>
      </c>
      <c r="C6970" s="2">
        <v>43098</v>
      </c>
      <c r="D6970" t="s">
        <v>26</v>
      </c>
      <c r="E6970">
        <v>1716</v>
      </c>
    </row>
    <row r="6971" spans="1:5" x14ac:dyDescent="0.55000000000000004">
      <c r="A6971" t="s">
        <v>7052</v>
      </c>
      <c r="B6971" t="s">
        <v>99</v>
      </c>
      <c r="C6971" s="2">
        <v>43474</v>
      </c>
      <c r="D6971" t="s">
        <v>29</v>
      </c>
      <c r="E6971">
        <v>2426</v>
      </c>
    </row>
    <row r="6972" spans="1:5" x14ac:dyDescent="0.55000000000000004">
      <c r="A6972" t="s">
        <v>7053</v>
      </c>
      <c r="B6972" t="s">
        <v>38</v>
      </c>
      <c r="C6972" s="2">
        <v>44061</v>
      </c>
      <c r="D6972" t="s">
        <v>29</v>
      </c>
      <c r="E6972">
        <v>451</v>
      </c>
    </row>
    <row r="6973" spans="1:5" x14ac:dyDescent="0.55000000000000004">
      <c r="A6973" t="s">
        <v>7054</v>
      </c>
      <c r="B6973" t="s">
        <v>105</v>
      </c>
      <c r="C6973" s="2">
        <v>44555</v>
      </c>
      <c r="D6973" t="s">
        <v>29</v>
      </c>
      <c r="E6973">
        <v>1663</v>
      </c>
    </row>
    <row r="6974" spans="1:5" x14ac:dyDescent="0.55000000000000004">
      <c r="A6974" t="s">
        <v>7055</v>
      </c>
      <c r="B6974" t="s">
        <v>101</v>
      </c>
      <c r="C6974" s="2">
        <v>43188</v>
      </c>
      <c r="D6974" t="s">
        <v>26</v>
      </c>
      <c r="E6974">
        <v>2283</v>
      </c>
    </row>
    <row r="6975" spans="1:5" x14ac:dyDescent="0.55000000000000004">
      <c r="A6975" t="s">
        <v>7056</v>
      </c>
      <c r="B6975" t="s">
        <v>142</v>
      </c>
      <c r="C6975" s="2">
        <v>44003</v>
      </c>
      <c r="D6975" t="s">
        <v>26</v>
      </c>
      <c r="E6975">
        <v>68</v>
      </c>
    </row>
    <row r="6976" spans="1:5" x14ac:dyDescent="0.55000000000000004">
      <c r="A6976" t="s">
        <v>7057</v>
      </c>
      <c r="B6976" t="s">
        <v>63</v>
      </c>
      <c r="C6976" s="2">
        <v>44196</v>
      </c>
      <c r="D6976" t="s">
        <v>26</v>
      </c>
      <c r="E6976">
        <v>1868</v>
      </c>
    </row>
    <row r="6977" spans="1:5" x14ac:dyDescent="0.55000000000000004">
      <c r="A6977" t="s">
        <v>7058</v>
      </c>
      <c r="B6977" t="s">
        <v>142</v>
      </c>
      <c r="C6977" s="2">
        <v>44218</v>
      </c>
      <c r="D6977" t="s">
        <v>26</v>
      </c>
      <c r="E6977">
        <v>1725</v>
      </c>
    </row>
    <row r="6978" spans="1:5" x14ac:dyDescent="0.55000000000000004">
      <c r="A6978" t="s">
        <v>7059</v>
      </c>
      <c r="B6978" t="s">
        <v>151</v>
      </c>
      <c r="C6978" s="2">
        <v>44294</v>
      </c>
      <c r="D6978" t="s">
        <v>29</v>
      </c>
      <c r="E6978">
        <v>1149</v>
      </c>
    </row>
    <row r="6979" spans="1:5" x14ac:dyDescent="0.55000000000000004">
      <c r="A6979" t="s">
        <v>7060</v>
      </c>
      <c r="B6979" t="s">
        <v>84</v>
      </c>
      <c r="C6979" s="2">
        <v>43364</v>
      </c>
      <c r="D6979" t="s">
        <v>29</v>
      </c>
      <c r="E6979">
        <v>2436</v>
      </c>
    </row>
    <row r="6980" spans="1:5" x14ac:dyDescent="0.55000000000000004">
      <c r="A6980" t="s">
        <v>7061</v>
      </c>
      <c r="B6980" t="s">
        <v>101</v>
      </c>
      <c r="C6980" s="2">
        <v>44207</v>
      </c>
      <c r="D6980" t="s">
        <v>26</v>
      </c>
      <c r="E6980">
        <v>2629</v>
      </c>
    </row>
    <row r="6981" spans="1:5" x14ac:dyDescent="0.55000000000000004">
      <c r="A6981" t="s">
        <v>7062</v>
      </c>
      <c r="B6981" t="s">
        <v>84</v>
      </c>
      <c r="C6981" s="2">
        <v>43601</v>
      </c>
      <c r="D6981" t="s">
        <v>29</v>
      </c>
      <c r="E6981">
        <v>24</v>
      </c>
    </row>
    <row r="6982" spans="1:5" x14ac:dyDescent="0.55000000000000004">
      <c r="A6982" t="s">
        <v>7063</v>
      </c>
      <c r="B6982" t="s">
        <v>74</v>
      </c>
      <c r="C6982" s="2">
        <v>43282</v>
      </c>
      <c r="D6982" t="s">
        <v>26</v>
      </c>
      <c r="E6982">
        <v>1209</v>
      </c>
    </row>
    <row r="6983" spans="1:5" x14ac:dyDescent="0.55000000000000004">
      <c r="A6983" t="s">
        <v>7064</v>
      </c>
      <c r="B6983" t="s">
        <v>137</v>
      </c>
      <c r="C6983" s="2">
        <v>44050</v>
      </c>
      <c r="D6983" t="s">
        <v>29</v>
      </c>
      <c r="E6983">
        <v>664</v>
      </c>
    </row>
    <row r="6984" spans="1:5" x14ac:dyDescent="0.55000000000000004">
      <c r="A6984" t="s">
        <v>7065</v>
      </c>
      <c r="B6984" t="s">
        <v>38</v>
      </c>
      <c r="C6984" s="2">
        <v>44596</v>
      </c>
      <c r="D6984" t="s">
        <v>26</v>
      </c>
      <c r="E6984">
        <v>1670</v>
      </c>
    </row>
    <row r="6985" spans="1:5" x14ac:dyDescent="0.55000000000000004">
      <c r="A6985" t="s">
        <v>7066</v>
      </c>
      <c r="B6985" t="s">
        <v>32</v>
      </c>
      <c r="C6985" s="2">
        <v>43869</v>
      </c>
      <c r="D6985" t="s">
        <v>26</v>
      </c>
      <c r="E6985">
        <v>639</v>
      </c>
    </row>
    <row r="6986" spans="1:5" x14ac:dyDescent="0.55000000000000004">
      <c r="A6986" t="s">
        <v>7067</v>
      </c>
      <c r="B6986" t="s">
        <v>63</v>
      </c>
      <c r="C6986" s="2">
        <v>43856</v>
      </c>
      <c r="D6986" t="s">
        <v>29</v>
      </c>
      <c r="E6986">
        <v>1018</v>
      </c>
    </row>
    <row r="6987" spans="1:5" x14ac:dyDescent="0.55000000000000004">
      <c r="A6987" t="s">
        <v>7068</v>
      </c>
      <c r="B6987" t="s">
        <v>14</v>
      </c>
      <c r="C6987" s="2">
        <v>43291</v>
      </c>
      <c r="D6987" t="s">
        <v>29</v>
      </c>
      <c r="E6987">
        <v>2334</v>
      </c>
    </row>
    <row r="6988" spans="1:5" x14ac:dyDescent="0.55000000000000004">
      <c r="A6988" t="s">
        <v>7069</v>
      </c>
      <c r="B6988" t="s">
        <v>15</v>
      </c>
      <c r="C6988" s="2">
        <v>43746</v>
      </c>
      <c r="D6988" t="s">
        <v>26</v>
      </c>
      <c r="E6988">
        <v>1023</v>
      </c>
    </row>
    <row r="6989" spans="1:5" x14ac:dyDescent="0.55000000000000004">
      <c r="A6989" t="s">
        <v>7070</v>
      </c>
      <c r="B6989" t="s">
        <v>32</v>
      </c>
      <c r="C6989" s="2">
        <v>44602</v>
      </c>
      <c r="D6989" t="s">
        <v>29</v>
      </c>
      <c r="E6989">
        <v>3</v>
      </c>
    </row>
    <row r="6990" spans="1:5" x14ac:dyDescent="0.55000000000000004">
      <c r="A6990" t="s">
        <v>7071</v>
      </c>
      <c r="B6990" t="s">
        <v>72</v>
      </c>
      <c r="C6990" s="2">
        <v>44461</v>
      </c>
      <c r="D6990" t="s">
        <v>29</v>
      </c>
      <c r="E6990">
        <v>992</v>
      </c>
    </row>
    <row r="6991" spans="1:5" x14ac:dyDescent="0.55000000000000004">
      <c r="A6991" t="s">
        <v>7072</v>
      </c>
      <c r="B6991" t="s">
        <v>101</v>
      </c>
      <c r="C6991" s="2">
        <v>43568</v>
      </c>
      <c r="D6991" t="s">
        <v>26</v>
      </c>
      <c r="E6991">
        <v>2825</v>
      </c>
    </row>
    <row r="6992" spans="1:5" x14ac:dyDescent="0.55000000000000004">
      <c r="A6992" t="s">
        <v>7073</v>
      </c>
      <c r="B6992" t="s">
        <v>156</v>
      </c>
      <c r="C6992" s="2">
        <v>43003</v>
      </c>
      <c r="D6992" t="s">
        <v>29</v>
      </c>
      <c r="E6992">
        <v>1453</v>
      </c>
    </row>
    <row r="6993" spans="1:5" x14ac:dyDescent="0.55000000000000004">
      <c r="A6993" t="s">
        <v>7074</v>
      </c>
      <c r="B6993" t="s">
        <v>63</v>
      </c>
      <c r="C6993" s="2">
        <v>44347</v>
      </c>
      <c r="D6993" t="s">
        <v>29</v>
      </c>
      <c r="E6993">
        <v>1047</v>
      </c>
    </row>
    <row r="6994" spans="1:5" x14ac:dyDescent="0.55000000000000004">
      <c r="A6994" t="s">
        <v>7075</v>
      </c>
      <c r="B6994" t="s">
        <v>67</v>
      </c>
      <c r="C6994" s="2">
        <v>43790</v>
      </c>
      <c r="D6994" t="s">
        <v>29</v>
      </c>
      <c r="E6994">
        <v>1504</v>
      </c>
    </row>
    <row r="6995" spans="1:5" x14ac:dyDescent="0.55000000000000004">
      <c r="A6995" t="s">
        <v>7076</v>
      </c>
      <c r="B6995" t="s">
        <v>118</v>
      </c>
      <c r="C6995" s="2">
        <v>44606</v>
      </c>
      <c r="D6995" t="s">
        <v>26</v>
      </c>
      <c r="E6995">
        <v>995</v>
      </c>
    </row>
    <row r="6996" spans="1:5" x14ac:dyDescent="0.55000000000000004">
      <c r="A6996" t="s">
        <v>7077</v>
      </c>
      <c r="B6996" t="s">
        <v>76</v>
      </c>
      <c r="C6996" s="2">
        <v>45104</v>
      </c>
      <c r="D6996" t="s">
        <v>29</v>
      </c>
      <c r="E6996">
        <v>2089</v>
      </c>
    </row>
    <row r="6997" spans="1:5" x14ac:dyDescent="0.55000000000000004">
      <c r="A6997" t="s">
        <v>7078</v>
      </c>
      <c r="B6997" t="s">
        <v>99</v>
      </c>
      <c r="C6997" s="2">
        <v>44067</v>
      </c>
      <c r="D6997" t="s">
        <v>26</v>
      </c>
      <c r="E6997">
        <v>1442</v>
      </c>
    </row>
    <row r="6998" spans="1:5" x14ac:dyDescent="0.55000000000000004">
      <c r="A6998" t="s">
        <v>7079</v>
      </c>
      <c r="B6998" t="s">
        <v>76</v>
      </c>
      <c r="C6998" s="2">
        <v>45800</v>
      </c>
      <c r="D6998" t="s">
        <v>29</v>
      </c>
      <c r="E6998">
        <v>2041</v>
      </c>
    </row>
    <row r="6999" spans="1:5" x14ac:dyDescent="0.55000000000000004">
      <c r="A6999" t="s">
        <v>7080</v>
      </c>
      <c r="B6999" t="s">
        <v>63</v>
      </c>
      <c r="C6999" s="2">
        <v>43977</v>
      </c>
      <c r="D6999" t="s">
        <v>29</v>
      </c>
      <c r="E6999">
        <v>1132</v>
      </c>
    </row>
    <row r="7000" spans="1:5" x14ac:dyDescent="0.55000000000000004">
      <c r="A7000" t="s">
        <v>7081</v>
      </c>
      <c r="B7000" t="s">
        <v>41</v>
      </c>
      <c r="C7000" s="2">
        <v>44650</v>
      </c>
      <c r="D7000" t="s">
        <v>29</v>
      </c>
      <c r="E7000">
        <v>623</v>
      </c>
    </row>
    <row r="7001" spans="1:5" x14ac:dyDescent="0.55000000000000004">
      <c r="A7001" t="s">
        <v>7082</v>
      </c>
      <c r="B7001" t="s">
        <v>151</v>
      </c>
      <c r="C7001" s="2">
        <v>43177</v>
      </c>
      <c r="D7001" t="s">
        <v>26</v>
      </c>
      <c r="E7001">
        <v>1752</v>
      </c>
    </row>
    <row r="7002" spans="1:5" x14ac:dyDescent="0.55000000000000004">
      <c r="A7002" t="s">
        <v>7083</v>
      </c>
      <c r="B7002" t="s">
        <v>142</v>
      </c>
      <c r="C7002" s="2">
        <v>43697</v>
      </c>
      <c r="D7002" t="s">
        <v>29</v>
      </c>
      <c r="E7002">
        <v>1898</v>
      </c>
    </row>
    <row r="7003" spans="1:5" x14ac:dyDescent="0.55000000000000004">
      <c r="A7003" t="s">
        <v>7084</v>
      </c>
      <c r="B7003" t="s">
        <v>32</v>
      </c>
      <c r="C7003" s="2">
        <v>44914</v>
      </c>
      <c r="D7003" t="s">
        <v>29</v>
      </c>
      <c r="E7003">
        <v>1162</v>
      </c>
    </row>
    <row r="7004" spans="1:5" x14ac:dyDescent="0.55000000000000004">
      <c r="A7004" t="s">
        <v>7085</v>
      </c>
      <c r="B7004" t="s">
        <v>23</v>
      </c>
      <c r="C7004" s="2">
        <v>43981</v>
      </c>
      <c r="D7004" t="s">
        <v>26</v>
      </c>
      <c r="E7004">
        <v>1527</v>
      </c>
    </row>
    <row r="7005" spans="1:5" x14ac:dyDescent="0.55000000000000004">
      <c r="A7005" t="s">
        <v>7086</v>
      </c>
      <c r="B7005" t="s">
        <v>23</v>
      </c>
      <c r="C7005" s="2">
        <v>44466</v>
      </c>
      <c r="D7005" t="s">
        <v>29</v>
      </c>
      <c r="E7005">
        <v>2730</v>
      </c>
    </row>
    <row r="7006" spans="1:5" x14ac:dyDescent="0.55000000000000004">
      <c r="A7006" t="s">
        <v>7087</v>
      </c>
      <c r="B7006" t="s">
        <v>94</v>
      </c>
      <c r="C7006" s="2">
        <v>44179</v>
      </c>
      <c r="D7006" t="s">
        <v>26</v>
      </c>
      <c r="E7006">
        <v>206</v>
      </c>
    </row>
    <row r="7007" spans="1:5" x14ac:dyDescent="0.55000000000000004">
      <c r="A7007" t="s">
        <v>7088</v>
      </c>
      <c r="B7007" t="s">
        <v>84</v>
      </c>
      <c r="C7007" s="2">
        <v>43297</v>
      </c>
      <c r="D7007" t="s">
        <v>29</v>
      </c>
      <c r="E7007">
        <v>755</v>
      </c>
    </row>
    <row r="7008" spans="1:5" x14ac:dyDescent="0.55000000000000004">
      <c r="A7008" t="s">
        <v>7089</v>
      </c>
      <c r="B7008" t="s">
        <v>105</v>
      </c>
      <c r="C7008" s="2">
        <v>43758</v>
      </c>
      <c r="D7008" t="s">
        <v>26</v>
      </c>
      <c r="E7008">
        <v>45</v>
      </c>
    </row>
    <row r="7009" spans="1:5" x14ac:dyDescent="0.55000000000000004">
      <c r="A7009" t="s">
        <v>7090</v>
      </c>
      <c r="B7009" t="s">
        <v>101</v>
      </c>
      <c r="C7009" s="2">
        <v>43770</v>
      </c>
      <c r="D7009" t="s">
        <v>29</v>
      </c>
      <c r="E7009">
        <v>297</v>
      </c>
    </row>
    <row r="7010" spans="1:5" x14ac:dyDescent="0.55000000000000004">
      <c r="A7010" t="s">
        <v>7091</v>
      </c>
      <c r="B7010" t="s">
        <v>15</v>
      </c>
      <c r="C7010" s="2">
        <v>44082</v>
      </c>
      <c r="D7010" t="s">
        <v>29</v>
      </c>
      <c r="E7010">
        <v>724</v>
      </c>
    </row>
    <row r="7011" spans="1:5" x14ac:dyDescent="0.55000000000000004">
      <c r="A7011" t="s">
        <v>7092</v>
      </c>
      <c r="B7011" t="s">
        <v>151</v>
      </c>
      <c r="C7011" s="2">
        <v>43623</v>
      </c>
      <c r="D7011" t="s">
        <v>29</v>
      </c>
      <c r="E7011">
        <v>2499</v>
      </c>
    </row>
    <row r="7012" spans="1:5" x14ac:dyDescent="0.55000000000000004">
      <c r="A7012" t="s">
        <v>7093</v>
      </c>
      <c r="B7012" t="s">
        <v>23</v>
      </c>
      <c r="C7012" s="2">
        <v>44147</v>
      </c>
      <c r="D7012" t="s">
        <v>26</v>
      </c>
      <c r="E7012">
        <v>882</v>
      </c>
    </row>
    <row r="7013" spans="1:5" x14ac:dyDescent="0.55000000000000004">
      <c r="A7013" t="s">
        <v>7094</v>
      </c>
      <c r="B7013" t="s">
        <v>111</v>
      </c>
      <c r="C7013" s="2">
        <v>44456</v>
      </c>
      <c r="D7013" t="s">
        <v>29</v>
      </c>
      <c r="E7013">
        <v>1637</v>
      </c>
    </row>
    <row r="7014" spans="1:5" x14ac:dyDescent="0.55000000000000004">
      <c r="A7014" t="s">
        <v>7095</v>
      </c>
      <c r="B7014" t="s">
        <v>99</v>
      </c>
      <c r="C7014" s="2">
        <v>45574</v>
      </c>
      <c r="D7014" t="s">
        <v>29</v>
      </c>
      <c r="E7014">
        <v>2908</v>
      </c>
    </row>
    <row r="7015" spans="1:5" x14ac:dyDescent="0.55000000000000004">
      <c r="A7015" t="s">
        <v>7096</v>
      </c>
      <c r="B7015" t="s">
        <v>96</v>
      </c>
      <c r="C7015" s="2">
        <v>45313</v>
      </c>
      <c r="D7015" t="s">
        <v>26</v>
      </c>
      <c r="E7015">
        <v>1524</v>
      </c>
    </row>
    <row r="7016" spans="1:5" x14ac:dyDescent="0.55000000000000004">
      <c r="A7016" t="s">
        <v>7097</v>
      </c>
      <c r="B7016" t="s">
        <v>118</v>
      </c>
      <c r="C7016" s="2">
        <v>45242</v>
      </c>
      <c r="D7016" t="s">
        <v>26</v>
      </c>
      <c r="E7016">
        <v>1233</v>
      </c>
    </row>
    <row r="7017" spans="1:5" x14ac:dyDescent="0.55000000000000004">
      <c r="A7017" t="s">
        <v>7098</v>
      </c>
      <c r="B7017" t="s">
        <v>115</v>
      </c>
      <c r="C7017" s="2">
        <v>43422</v>
      </c>
      <c r="D7017" t="s">
        <v>29</v>
      </c>
      <c r="E7017">
        <v>2151</v>
      </c>
    </row>
    <row r="7018" spans="1:5" x14ac:dyDescent="0.55000000000000004">
      <c r="A7018" t="s">
        <v>7099</v>
      </c>
      <c r="B7018" t="s">
        <v>105</v>
      </c>
      <c r="C7018" s="2">
        <v>43017</v>
      </c>
      <c r="D7018" t="s">
        <v>29</v>
      </c>
      <c r="E7018">
        <v>2490</v>
      </c>
    </row>
    <row r="7019" spans="1:5" x14ac:dyDescent="0.55000000000000004">
      <c r="A7019" t="s">
        <v>7100</v>
      </c>
      <c r="B7019" t="s">
        <v>175</v>
      </c>
      <c r="C7019" s="2">
        <v>44477</v>
      </c>
      <c r="D7019" t="s">
        <v>26</v>
      </c>
      <c r="E7019">
        <v>1340</v>
      </c>
    </row>
    <row r="7020" spans="1:5" x14ac:dyDescent="0.55000000000000004">
      <c r="A7020" t="s">
        <v>7101</v>
      </c>
      <c r="B7020" t="s">
        <v>151</v>
      </c>
      <c r="C7020" s="2">
        <v>44152</v>
      </c>
      <c r="D7020" t="s">
        <v>26</v>
      </c>
      <c r="E7020">
        <v>2455</v>
      </c>
    </row>
    <row r="7021" spans="1:5" x14ac:dyDescent="0.55000000000000004">
      <c r="A7021" t="s">
        <v>7102</v>
      </c>
      <c r="B7021" t="s">
        <v>74</v>
      </c>
      <c r="C7021" s="2">
        <v>43233</v>
      </c>
      <c r="D7021" t="s">
        <v>26</v>
      </c>
      <c r="E7021">
        <v>1648</v>
      </c>
    </row>
    <row r="7022" spans="1:5" x14ac:dyDescent="0.55000000000000004">
      <c r="A7022" t="s">
        <v>7103</v>
      </c>
      <c r="B7022" t="s">
        <v>14</v>
      </c>
      <c r="C7022" s="2">
        <v>42977</v>
      </c>
      <c r="D7022" t="s">
        <v>26</v>
      </c>
      <c r="E7022">
        <v>272</v>
      </c>
    </row>
    <row r="7023" spans="1:5" x14ac:dyDescent="0.55000000000000004">
      <c r="A7023" t="s">
        <v>7104</v>
      </c>
      <c r="B7023" t="s">
        <v>156</v>
      </c>
      <c r="C7023" s="2">
        <v>43526</v>
      </c>
      <c r="D7023" t="s">
        <v>26</v>
      </c>
      <c r="E7023">
        <v>2672</v>
      </c>
    </row>
    <row r="7024" spans="1:5" x14ac:dyDescent="0.55000000000000004">
      <c r="A7024" t="s">
        <v>7105</v>
      </c>
      <c r="B7024" t="s">
        <v>38</v>
      </c>
      <c r="C7024" s="2">
        <v>44786</v>
      </c>
      <c r="D7024" t="s">
        <v>29</v>
      </c>
      <c r="E7024">
        <v>601</v>
      </c>
    </row>
    <row r="7025" spans="1:5" x14ac:dyDescent="0.55000000000000004">
      <c r="A7025" t="s">
        <v>7106</v>
      </c>
      <c r="B7025" t="s">
        <v>175</v>
      </c>
      <c r="C7025" s="2">
        <v>43741</v>
      </c>
      <c r="D7025" t="s">
        <v>29</v>
      </c>
      <c r="E7025">
        <v>2670</v>
      </c>
    </row>
    <row r="7026" spans="1:5" x14ac:dyDescent="0.55000000000000004">
      <c r="A7026" t="s">
        <v>7107</v>
      </c>
      <c r="B7026" t="s">
        <v>38</v>
      </c>
      <c r="C7026" s="2">
        <v>44295</v>
      </c>
      <c r="D7026" t="s">
        <v>26</v>
      </c>
      <c r="E7026">
        <v>1164</v>
      </c>
    </row>
    <row r="7027" spans="1:5" x14ac:dyDescent="0.55000000000000004">
      <c r="A7027" t="s">
        <v>7108</v>
      </c>
      <c r="B7027" t="s">
        <v>78</v>
      </c>
      <c r="C7027" s="2">
        <v>45776</v>
      </c>
      <c r="D7027" t="s">
        <v>26</v>
      </c>
      <c r="E7027">
        <v>891</v>
      </c>
    </row>
    <row r="7028" spans="1:5" x14ac:dyDescent="0.55000000000000004">
      <c r="A7028" t="s">
        <v>7109</v>
      </c>
      <c r="B7028" t="s">
        <v>156</v>
      </c>
      <c r="C7028" s="2">
        <v>43159</v>
      </c>
      <c r="D7028" t="s">
        <v>26</v>
      </c>
      <c r="E7028">
        <v>836</v>
      </c>
    </row>
    <row r="7029" spans="1:5" x14ac:dyDescent="0.55000000000000004">
      <c r="A7029" t="s">
        <v>7110</v>
      </c>
      <c r="B7029" t="s">
        <v>67</v>
      </c>
      <c r="C7029" s="2">
        <v>45820</v>
      </c>
      <c r="D7029" t="s">
        <v>29</v>
      </c>
      <c r="E7029">
        <v>1316</v>
      </c>
    </row>
    <row r="7030" spans="1:5" x14ac:dyDescent="0.55000000000000004">
      <c r="A7030" t="s">
        <v>7111</v>
      </c>
      <c r="B7030" t="s">
        <v>72</v>
      </c>
      <c r="C7030" s="2">
        <v>44218</v>
      </c>
      <c r="D7030" t="s">
        <v>29</v>
      </c>
      <c r="E7030">
        <v>542</v>
      </c>
    </row>
    <row r="7031" spans="1:5" x14ac:dyDescent="0.55000000000000004">
      <c r="A7031" t="s">
        <v>7112</v>
      </c>
      <c r="B7031" t="s">
        <v>142</v>
      </c>
      <c r="C7031" s="2">
        <v>44128</v>
      </c>
      <c r="D7031" t="s">
        <v>29</v>
      </c>
      <c r="E7031">
        <v>2639</v>
      </c>
    </row>
    <row r="7032" spans="1:5" x14ac:dyDescent="0.55000000000000004">
      <c r="A7032" t="s">
        <v>7113</v>
      </c>
      <c r="B7032" t="s">
        <v>111</v>
      </c>
      <c r="C7032" s="2">
        <v>44291</v>
      </c>
      <c r="D7032" t="s">
        <v>29</v>
      </c>
      <c r="E7032">
        <v>1217</v>
      </c>
    </row>
    <row r="7033" spans="1:5" x14ac:dyDescent="0.55000000000000004">
      <c r="A7033" t="s">
        <v>7114</v>
      </c>
      <c r="B7033" t="s">
        <v>105</v>
      </c>
      <c r="C7033" s="2">
        <v>44437</v>
      </c>
      <c r="D7033" t="s">
        <v>26</v>
      </c>
      <c r="E7033">
        <v>1215</v>
      </c>
    </row>
    <row r="7034" spans="1:5" x14ac:dyDescent="0.55000000000000004">
      <c r="A7034" t="s">
        <v>7115</v>
      </c>
      <c r="B7034" t="s">
        <v>14</v>
      </c>
      <c r="C7034" s="2">
        <v>43591</v>
      </c>
      <c r="D7034" t="s">
        <v>26</v>
      </c>
      <c r="E7034">
        <v>227</v>
      </c>
    </row>
    <row r="7035" spans="1:5" x14ac:dyDescent="0.55000000000000004">
      <c r="A7035" t="s">
        <v>7116</v>
      </c>
      <c r="B7035" t="s">
        <v>67</v>
      </c>
      <c r="C7035" s="2">
        <v>44214</v>
      </c>
      <c r="D7035" t="s">
        <v>26</v>
      </c>
      <c r="E7035">
        <v>1379</v>
      </c>
    </row>
    <row r="7036" spans="1:5" x14ac:dyDescent="0.55000000000000004">
      <c r="A7036" t="s">
        <v>7117</v>
      </c>
      <c r="B7036" t="s">
        <v>175</v>
      </c>
      <c r="C7036" s="2">
        <v>44416</v>
      </c>
      <c r="D7036" t="s">
        <v>26</v>
      </c>
      <c r="E7036">
        <v>2335</v>
      </c>
    </row>
    <row r="7037" spans="1:5" x14ac:dyDescent="0.55000000000000004">
      <c r="A7037" t="s">
        <v>7118</v>
      </c>
      <c r="B7037" t="s">
        <v>96</v>
      </c>
      <c r="C7037" s="2">
        <v>45213</v>
      </c>
      <c r="D7037" t="s">
        <v>29</v>
      </c>
      <c r="E7037">
        <v>2492</v>
      </c>
    </row>
    <row r="7038" spans="1:5" x14ac:dyDescent="0.55000000000000004">
      <c r="A7038" t="s">
        <v>7119</v>
      </c>
      <c r="B7038" t="s">
        <v>137</v>
      </c>
      <c r="C7038" s="2">
        <v>43885</v>
      </c>
      <c r="D7038" t="s">
        <v>29</v>
      </c>
      <c r="E7038">
        <v>2288</v>
      </c>
    </row>
    <row r="7039" spans="1:5" x14ac:dyDescent="0.55000000000000004">
      <c r="A7039" t="s">
        <v>7120</v>
      </c>
      <c r="B7039" t="s">
        <v>94</v>
      </c>
      <c r="C7039" s="2">
        <v>45107</v>
      </c>
      <c r="D7039" t="s">
        <v>26</v>
      </c>
      <c r="E7039">
        <v>2328</v>
      </c>
    </row>
    <row r="7040" spans="1:5" x14ac:dyDescent="0.55000000000000004">
      <c r="A7040" t="s">
        <v>7121</v>
      </c>
      <c r="B7040" t="s">
        <v>175</v>
      </c>
      <c r="C7040" s="2">
        <v>45699</v>
      </c>
      <c r="D7040" t="s">
        <v>26</v>
      </c>
      <c r="E7040">
        <v>2658</v>
      </c>
    </row>
    <row r="7041" spans="1:5" x14ac:dyDescent="0.55000000000000004">
      <c r="A7041" t="s">
        <v>7122</v>
      </c>
      <c r="B7041" t="s">
        <v>76</v>
      </c>
      <c r="C7041" s="2">
        <v>44981</v>
      </c>
      <c r="D7041" t="s">
        <v>29</v>
      </c>
      <c r="E7041">
        <v>2187</v>
      </c>
    </row>
    <row r="7042" spans="1:5" x14ac:dyDescent="0.55000000000000004">
      <c r="A7042" t="s">
        <v>7123</v>
      </c>
      <c r="B7042" t="s">
        <v>72</v>
      </c>
      <c r="C7042" s="2">
        <v>42925</v>
      </c>
      <c r="D7042" t="s">
        <v>26</v>
      </c>
      <c r="E7042">
        <v>1940</v>
      </c>
    </row>
    <row r="7043" spans="1:5" x14ac:dyDescent="0.55000000000000004">
      <c r="A7043" t="s">
        <v>7124</v>
      </c>
      <c r="B7043" t="s">
        <v>38</v>
      </c>
      <c r="C7043" s="2">
        <v>44577</v>
      </c>
      <c r="D7043" t="s">
        <v>26</v>
      </c>
      <c r="E7043">
        <v>2572</v>
      </c>
    </row>
    <row r="7044" spans="1:5" x14ac:dyDescent="0.55000000000000004">
      <c r="A7044" t="s">
        <v>7125</v>
      </c>
      <c r="B7044" t="s">
        <v>14</v>
      </c>
      <c r="C7044" s="2">
        <v>43835</v>
      </c>
      <c r="D7044" t="s">
        <v>29</v>
      </c>
      <c r="E7044">
        <v>1675</v>
      </c>
    </row>
    <row r="7045" spans="1:5" x14ac:dyDescent="0.55000000000000004">
      <c r="A7045" t="s">
        <v>7126</v>
      </c>
      <c r="B7045" t="s">
        <v>115</v>
      </c>
      <c r="C7045" s="2">
        <v>43994</v>
      </c>
      <c r="D7045" t="s">
        <v>29</v>
      </c>
      <c r="E7045">
        <v>2342</v>
      </c>
    </row>
    <row r="7046" spans="1:5" x14ac:dyDescent="0.55000000000000004">
      <c r="A7046" t="s">
        <v>7127</v>
      </c>
      <c r="B7046" t="s">
        <v>111</v>
      </c>
      <c r="C7046" s="2">
        <v>43900</v>
      </c>
      <c r="D7046" t="s">
        <v>26</v>
      </c>
      <c r="E7046">
        <v>2669</v>
      </c>
    </row>
    <row r="7047" spans="1:5" x14ac:dyDescent="0.55000000000000004">
      <c r="A7047" t="s">
        <v>7128</v>
      </c>
      <c r="B7047" t="s">
        <v>78</v>
      </c>
      <c r="C7047" s="2">
        <v>44655</v>
      </c>
      <c r="D7047" t="s">
        <v>26</v>
      </c>
      <c r="E7047">
        <v>1268</v>
      </c>
    </row>
    <row r="7048" spans="1:5" x14ac:dyDescent="0.55000000000000004">
      <c r="A7048" t="s">
        <v>7129</v>
      </c>
      <c r="B7048" t="s">
        <v>63</v>
      </c>
      <c r="C7048" s="2">
        <v>44545</v>
      </c>
      <c r="D7048" t="s">
        <v>29</v>
      </c>
      <c r="E7048">
        <v>2010</v>
      </c>
    </row>
    <row r="7049" spans="1:5" x14ac:dyDescent="0.55000000000000004">
      <c r="A7049" t="s">
        <v>7130</v>
      </c>
      <c r="B7049" t="s">
        <v>84</v>
      </c>
      <c r="C7049" s="2">
        <v>43163</v>
      </c>
      <c r="D7049" t="s">
        <v>26</v>
      </c>
      <c r="E7049">
        <v>1302</v>
      </c>
    </row>
    <row r="7050" spans="1:5" x14ac:dyDescent="0.55000000000000004">
      <c r="A7050" t="s">
        <v>7131</v>
      </c>
      <c r="B7050" t="s">
        <v>63</v>
      </c>
      <c r="C7050" s="2">
        <v>43065</v>
      </c>
      <c r="D7050" t="s">
        <v>26</v>
      </c>
      <c r="E7050">
        <v>1974</v>
      </c>
    </row>
    <row r="7051" spans="1:5" x14ac:dyDescent="0.55000000000000004">
      <c r="A7051" t="s">
        <v>7132</v>
      </c>
      <c r="B7051" t="s">
        <v>38</v>
      </c>
      <c r="C7051" s="2">
        <v>44477</v>
      </c>
      <c r="D7051" t="s">
        <v>29</v>
      </c>
      <c r="E7051">
        <v>397</v>
      </c>
    </row>
    <row r="7052" spans="1:5" x14ac:dyDescent="0.55000000000000004">
      <c r="A7052" t="s">
        <v>7133</v>
      </c>
      <c r="B7052" t="s">
        <v>14</v>
      </c>
      <c r="C7052" s="2">
        <v>43023</v>
      </c>
      <c r="D7052" t="s">
        <v>29</v>
      </c>
      <c r="E7052">
        <v>2007</v>
      </c>
    </row>
    <row r="7053" spans="1:5" x14ac:dyDescent="0.55000000000000004">
      <c r="A7053" t="s">
        <v>7134</v>
      </c>
      <c r="B7053" t="s">
        <v>96</v>
      </c>
      <c r="C7053" s="2">
        <v>44270</v>
      </c>
      <c r="D7053" t="s">
        <v>26</v>
      </c>
      <c r="E7053">
        <v>300</v>
      </c>
    </row>
    <row r="7054" spans="1:5" x14ac:dyDescent="0.55000000000000004">
      <c r="A7054" t="s">
        <v>7135</v>
      </c>
      <c r="B7054" t="s">
        <v>96</v>
      </c>
      <c r="C7054" s="2">
        <v>44898</v>
      </c>
      <c r="D7054" t="s">
        <v>26</v>
      </c>
      <c r="E7054">
        <v>924</v>
      </c>
    </row>
    <row r="7055" spans="1:5" x14ac:dyDescent="0.55000000000000004">
      <c r="A7055" t="s">
        <v>7136</v>
      </c>
      <c r="B7055" t="s">
        <v>140</v>
      </c>
      <c r="C7055" s="2">
        <v>43093</v>
      </c>
      <c r="D7055" t="s">
        <v>26</v>
      </c>
      <c r="E7055">
        <v>184</v>
      </c>
    </row>
    <row r="7056" spans="1:5" x14ac:dyDescent="0.55000000000000004">
      <c r="A7056" t="s">
        <v>7137</v>
      </c>
      <c r="B7056" t="s">
        <v>72</v>
      </c>
      <c r="C7056" s="2">
        <v>44340</v>
      </c>
      <c r="D7056" t="s">
        <v>29</v>
      </c>
      <c r="E7056">
        <v>2547</v>
      </c>
    </row>
    <row r="7057" spans="1:5" x14ac:dyDescent="0.55000000000000004">
      <c r="A7057" t="s">
        <v>7138</v>
      </c>
      <c r="B7057" t="s">
        <v>78</v>
      </c>
      <c r="C7057" s="2">
        <v>43756</v>
      </c>
      <c r="D7057" t="s">
        <v>26</v>
      </c>
      <c r="E7057">
        <v>2112</v>
      </c>
    </row>
    <row r="7058" spans="1:5" x14ac:dyDescent="0.55000000000000004">
      <c r="A7058" t="s">
        <v>7139</v>
      </c>
      <c r="B7058" t="s">
        <v>96</v>
      </c>
      <c r="C7058" s="2">
        <v>44258</v>
      </c>
      <c r="D7058" t="s">
        <v>26</v>
      </c>
      <c r="E7058">
        <v>1882</v>
      </c>
    </row>
    <row r="7059" spans="1:5" x14ac:dyDescent="0.55000000000000004">
      <c r="A7059" t="s">
        <v>7140</v>
      </c>
      <c r="B7059" t="s">
        <v>142</v>
      </c>
      <c r="C7059" s="2">
        <v>43305</v>
      </c>
      <c r="D7059" t="s">
        <v>29</v>
      </c>
      <c r="E7059">
        <v>2997</v>
      </c>
    </row>
    <row r="7060" spans="1:5" x14ac:dyDescent="0.55000000000000004">
      <c r="A7060" t="s">
        <v>7141</v>
      </c>
      <c r="B7060" t="s">
        <v>105</v>
      </c>
      <c r="C7060" s="2">
        <v>43518</v>
      </c>
      <c r="D7060" t="s">
        <v>29</v>
      </c>
      <c r="E7060">
        <v>1126</v>
      </c>
    </row>
    <row r="7061" spans="1:5" x14ac:dyDescent="0.55000000000000004">
      <c r="A7061" t="s">
        <v>7142</v>
      </c>
      <c r="B7061" t="s">
        <v>76</v>
      </c>
      <c r="C7061" s="2">
        <v>45303</v>
      </c>
      <c r="D7061" t="s">
        <v>29</v>
      </c>
      <c r="E7061">
        <v>2252</v>
      </c>
    </row>
    <row r="7062" spans="1:5" x14ac:dyDescent="0.55000000000000004">
      <c r="A7062" t="s">
        <v>7143</v>
      </c>
      <c r="B7062" t="s">
        <v>32</v>
      </c>
      <c r="C7062" s="2">
        <v>43831</v>
      </c>
      <c r="D7062" t="s">
        <v>29</v>
      </c>
      <c r="E7062">
        <v>2020</v>
      </c>
    </row>
    <row r="7063" spans="1:5" x14ac:dyDescent="0.55000000000000004">
      <c r="A7063" t="s">
        <v>7144</v>
      </c>
      <c r="B7063" t="s">
        <v>140</v>
      </c>
      <c r="C7063" s="2">
        <v>42969</v>
      </c>
      <c r="D7063" t="s">
        <v>29</v>
      </c>
      <c r="E7063">
        <v>2189</v>
      </c>
    </row>
    <row r="7064" spans="1:5" x14ac:dyDescent="0.55000000000000004">
      <c r="A7064" t="s">
        <v>7145</v>
      </c>
      <c r="B7064" t="s">
        <v>140</v>
      </c>
      <c r="C7064" s="2">
        <v>43180</v>
      </c>
      <c r="D7064" t="s">
        <v>26</v>
      </c>
      <c r="E7064">
        <v>1291</v>
      </c>
    </row>
    <row r="7065" spans="1:5" x14ac:dyDescent="0.55000000000000004">
      <c r="A7065" t="s">
        <v>7146</v>
      </c>
      <c r="B7065" t="s">
        <v>74</v>
      </c>
      <c r="C7065" s="2">
        <v>42927</v>
      </c>
      <c r="D7065" t="s">
        <v>29</v>
      </c>
      <c r="E7065">
        <v>1693</v>
      </c>
    </row>
    <row r="7066" spans="1:5" x14ac:dyDescent="0.55000000000000004">
      <c r="A7066" t="s">
        <v>7147</v>
      </c>
      <c r="B7066" t="s">
        <v>111</v>
      </c>
      <c r="C7066" s="2">
        <v>43073</v>
      </c>
      <c r="D7066" t="s">
        <v>26</v>
      </c>
      <c r="E7066">
        <v>1930</v>
      </c>
    </row>
    <row r="7067" spans="1:5" x14ac:dyDescent="0.55000000000000004">
      <c r="A7067" t="s">
        <v>7148</v>
      </c>
      <c r="B7067" t="s">
        <v>35</v>
      </c>
      <c r="C7067" s="2">
        <v>43900</v>
      </c>
      <c r="D7067" t="s">
        <v>29</v>
      </c>
      <c r="E7067">
        <v>367</v>
      </c>
    </row>
    <row r="7068" spans="1:5" x14ac:dyDescent="0.55000000000000004">
      <c r="A7068" t="s">
        <v>7149</v>
      </c>
      <c r="B7068" t="s">
        <v>96</v>
      </c>
      <c r="C7068" s="2">
        <v>44444</v>
      </c>
      <c r="D7068" t="s">
        <v>26</v>
      </c>
      <c r="E7068">
        <v>2204</v>
      </c>
    </row>
    <row r="7069" spans="1:5" x14ac:dyDescent="0.55000000000000004">
      <c r="A7069" t="s">
        <v>7150</v>
      </c>
      <c r="B7069" t="s">
        <v>23</v>
      </c>
      <c r="C7069" s="2">
        <v>44541</v>
      </c>
      <c r="D7069" t="s">
        <v>26</v>
      </c>
      <c r="E7069">
        <v>1097</v>
      </c>
    </row>
    <row r="7070" spans="1:5" x14ac:dyDescent="0.55000000000000004">
      <c r="A7070" t="s">
        <v>7151</v>
      </c>
      <c r="B7070" t="s">
        <v>86</v>
      </c>
      <c r="C7070" s="2">
        <v>43702</v>
      </c>
      <c r="D7070" t="s">
        <v>26</v>
      </c>
      <c r="E7070">
        <v>1047</v>
      </c>
    </row>
    <row r="7071" spans="1:5" x14ac:dyDescent="0.55000000000000004">
      <c r="A7071" t="s">
        <v>7152</v>
      </c>
      <c r="B7071" t="s">
        <v>142</v>
      </c>
      <c r="C7071" s="2">
        <v>44156</v>
      </c>
      <c r="D7071" t="s">
        <v>26</v>
      </c>
      <c r="E7071">
        <v>2286</v>
      </c>
    </row>
    <row r="7072" spans="1:5" x14ac:dyDescent="0.55000000000000004">
      <c r="A7072" t="s">
        <v>7153</v>
      </c>
      <c r="B7072" t="s">
        <v>137</v>
      </c>
      <c r="C7072" s="2">
        <v>44916</v>
      </c>
      <c r="D7072" t="s">
        <v>26</v>
      </c>
      <c r="E7072">
        <v>1410</v>
      </c>
    </row>
    <row r="7073" spans="1:5" x14ac:dyDescent="0.55000000000000004">
      <c r="A7073" t="s">
        <v>7154</v>
      </c>
      <c r="B7073" t="s">
        <v>86</v>
      </c>
      <c r="C7073" s="2">
        <v>44032</v>
      </c>
      <c r="D7073" t="s">
        <v>26</v>
      </c>
      <c r="E7073">
        <v>2985</v>
      </c>
    </row>
    <row r="7074" spans="1:5" x14ac:dyDescent="0.55000000000000004">
      <c r="A7074" t="s">
        <v>7155</v>
      </c>
      <c r="B7074" t="s">
        <v>78</v>
      </c>
      <c r="C7074" s="2">
        <v>43856</v>
      </c>
      <c r="D7074" t="s">
        <v>29</v>
      </c>
      <c r="E7074">
        <v>1850</v>
      </c>
    </row>
    <row r="7075" spans="1:5" x14ac:dyDescent="0.55000000000000004">
      <c r="A7075" t="s">
        <v>7156</v>
      </c>
      <c r="B7075" t="s">
        <v>84</v>
      </c>
      <c r="C7075" s="2">
        <v>43472</v>
      </c>
      <c r="D7075" t="s">
        <v>29</v>
      </c>
      <c r="E7075">
        <v>2740</v>
      </c>
    </row>
    <row r="7076" spans="1:5" x14ac:dyDescent="0.55000000000000004">
      <c r="A7076" t="s">
        <v>7157</v>
      </c>
      <c r="B7076" t="s">
        <v>86</v>
      </c>
      <c r="C7076" s="2">
        <v>43426</v>
      </c>
      <c r="D7076" t="s">
        <v>26</v>
      </c>
      <c r="E7076">
        <v>1631</v>
      </c>
    </row>
    <row r="7077" spans="1:5" x14ac:dyDescent="0.55000000000000004">
      <c r="A7077" t="s">
        <v>7158</v>
      </c>
      <c r="B7077" t="s">
        <v>142</v>
      </c>
      <c r="C7077" s="2">
        <v>44241</v>
      </c>
      <c r="D7077" t="s">
        <v>29</v>
      </c>
      <c r="E7077">
        <v>1936</v>
      </c>
    </row>
    <row r="7078" spans="1:5" x14ac:dyDescent="0.55000000000000004">
      <c r="A7078" t="s">
        <v>7159</v>
      </c>
      <c r="B7078" t="s">
        <v>14</v>
      </c>
      <c r="C7078" s="2">
        <v>43020</v>
      </c>
      <c r="D7078" t="s">
        <v>29</v>
      </c>
      <c r="E7078">
        <v>46</v>
      </c>
    </row>
    <row r="7079" spans="1:5" x14ac:dyDescent="0.55000000000000004">
      <c r="A7079" t="s">
        <v>7160</v>
      </c>
      <c r="B7079" t="s">
        <v>23</v>
      </c>
      <c r="C7079" s="2">
        <v>44334</v>
      </c>
      <c r="D7079" t="s">
        <v>26</v>
      </c>
      <c r="E7079">
        <v>2936</v>
      </c>
    </row>
    <row r="7080" spans="1:5" x14ac:dyDescent="0.55000000000000004">
      <c r="A7080" t="s">
        <v>7161</v>
      </c>
      <c r="B7080" t="s">
        <v>156</v>
      </c>
      <c r="C7080" s="2">
        <v>43570</v>
      </c>
      <c r="D7080" t="s">
        <v>29</v>
      </c>
      <c r="E7080">
        <v>480</v>
      </c>
    </row>
    <row r="7081" spans="1:5" x14ac:dyDescent="0.55000000000000004">
      <c r="A7081" t="s">
        <v>7162</v>
      </c>
      <c r="B7081" t="s">
        <v>99</v>
      </c>
      <c r="C7081" s="2">
        <v>44597</v>
      </c>
      <c r="D7081" t="s">
        <v>26</v>
      </c>
      <c r="E7081">
        <v>1018</v>
      </c>
    </row>
    <row r="7082" spans="1:5" x14ac:dyDescent="0.55000000000000004">
      <c r="A7082" t="s">
        <v>7163</v>
      </c>
      <c r="B7082" t="s">
        <v>32</v>
      </c>
      <c r="C7082" s="2">
        <v>44137</v>
      </c>
      <c r="D7082" t="s">
        <v>26</v>
      </c>
      <c r="E7082">
        <v>333</v>
      </c>
    </row>
    <row r="7083" spans="1:5" x14ac:dyDescent="0.55000000000000004">
      <c r="A7083" t="s">
        <v>7164</v>
      </c>
      <c r="B7083" t="s">
        <v>137</v>
      </c>
      <c r="C7083" s="2">
        <v>45676</v>
      </c>
      <c r="D7083" t="s">
        <v>26</v>
      </c>
      <c r="E7083">
        <v>2789</v>
      </c>
    </row>
    <row r="7084" spans="1:5" x14ac:dyDescent="0.55000000000000004">
      <c r="A7084" t="s">
        <v>7165</v>
      </c>
      <c r="B7084" t="s">
        <v>151</v>
      </c>
      <c r="C7084" s="2">
        <v>44122</v>
      </c>
      <c r="D7084" t="s">
        <v>29</v>
      </c>
      <c r="E7084">
        <v>1612</v>
      </c>
    </row>
    <row r="7085" spans="1:5" x14ac:dyDescent="0.55000000000000004">
      <c r="A7085" t="s">
        <v>7166</v>
      </c>
      <c r="B7085" t="s">
        <v>118</v>
      </c>
      <c r="C7085" s="2">
        <v>44122</v>
      </c>
      <c r="D7085" t="s">
        <v>26</v>
      </c>
      <c r="E7085">
        <v>977</v>
      </c>
    </row>
    <row r="7086" spans="1:5" x14ac:dyDescent="0.55000000000000004">
      <c r="A7086" t="s">
        <v>7167</v>
      </c>
      <c r="B7086" t="s">
        <v>67</v>
      </c>
      <c r="C7086" s="2">
        <v>44988</v>
      </c>
      <c r="D7086" t="s">
        <v>29</v>
      </c>
      <c r="E7086">
        <v>2803</v>
      </c>
    </row>
    <row r="7087" spans="1:5" x14ac:dyDescent="0.55000000000000004">
      <c r="A7087" t="s">
        <v>7168</v>
      </c>
      <c r="B7087" t="s">
        <v>84</v>
      </c>
      <c r="C7087" s="2">
        <v>44203</v>
      </c>
      <c r="D7087" t="s">
        <v>26</v>
      </c>
      <c r="E7087">
        <v>2703</v>
      </c>
    </row>
    <row r="7088" spans="1:5" x14ac:dyDescent="0.55000000000000004">
      <c r="A7088" t="s">
        <v>7169</v>
      </c>
      <c r="B7088" t="s">
        <v>15</v>
      </c>
      <c r="C7088" s="2">
        <v>44010</v>
      </c>
      <c r="D7088" t="s">
        <v>26</v>
      </c>
      <c r="E7088">
        <v>620</v>
      </c>
    </row>
    <row r="7089" spans="1:5" x14ac:dyDescent="0.55000000000000004">
      <c r="A7089" t="s">
        <v>7170</v>
      </c>
      <c r="B7089" t="s">
        <v>101</v>
      </c>
      <c r="C7089" s="2">
        <v>43575</v>
      </c>
      <c r="D7089" t="s">
        <v>26</v>
      </c>
      <c r="E7089">
        <v>2490</v>
      </c>
    </row>
    <row r="7090" spans="1:5" x14ac:dyDescent="0.55000000000000004">
      <c r="A7090" t="s">
        <v>7171</v>
      </c>
      <c r="B7090" t="s">
        <v>41</v>
      </c>
      <c r="C7090" s="2">
        <v>44523</v>
      </c>
      <c r="D7090" t="s">
        <v>26</v>
      </c>
      <c r="E7090">
        <v>1565</v>
      </c>
    </row>
    <row r="7091" spans="1:5" x14ac:dyDescent="0.55000000000000004">
      <c r="A7091" t="s">
        <v>7172</v>
      </c>
      <c r="B7091" t="s">
        <v>156</v>
      </c>
      <c r="C7091" s="2">
        <v>44334</v>
      </c>
      <c r="D7091" t="s">
        <v>29</v>
      </c>
      <c r="E7091">
        <v>2905</v>
      </c>
    </row>
    <row r="7092" spans="1:5" x14ac:dyDescent="0.55000000000000004">
      <c r="A7092" t="s">
        <v>7173</v>
      </c>
      <c r="B7092" t="s">
        <v>32</v>
      </c>
      <c r="C7092" s="2">
        <v>44254</v>
      </c>
      <c r="D7092" t="s">
        <v>26</v>
      </c>
      <c r="E7092">
        <v>2958</v>
      </c>
    </row>
    <row r="7093" spans="1:5" x14ac:dyDescent="0.55000000000000004">
      <c r="A7093" t="s">
        <v>7174</v>
      </c>
      <c r="B7093" t="s">
        <v>63</v>
      </c>
      <c r="C7093" s="2">
        <v>43618</v>
      </c>
      <c r="D7093" t="s">
        <v>29</v>
      </c>
      <c r="E7093">
        <v>541</v>
      </c>
    </row>
    <row r="7094" spans="1:5" x14ac:dyDescent="0.55000000000000004">
      <c r="A7094" t="s">
        <v>7175</v>
      </c>
      <c r="B7094" t="s">
        <v>151</v>
      </c>
      <c r="C7094" s="2">
        <v>43030</v>
      </c>
      <c r="D7094" t="s">
        <v>26</v>
      </c>
      <c r="E7094">
        <v>2477</v>
      </c>
    </row>
    <row r="7095" spans="1:5" x14ac:dyDescent="0.55000000000000004">
      <c r="A7095" t="s">
        <v>7176</v>
      </c>
      <c r="B7095" t="s">
        <v>15</v>
      </c>
      <c r="C7095" s="2">
        <v>43531</v>
      </c>
      <c r="D7095" t="s">
        <v>29</v>
      </c>
      <c r="E7095">
        <v>84</v>
      </c>
    </row>
    <row r="7096" spans="1:5" x14ac:dyDescent="0.55000000000000004">
      <c r="A7096" t="s">
        <v>7177</v>
      </c>
      <c r="B7096" t="s">
        <v>67</v>
      </c>
      <c r="C7096" s="2">
        <v>45543</v>
      </c>
      <c r="D7096" t="s">
        <v>26</v>
      </c>
      <c r="E7096">
        <v>1769</v>
      </c>
    </row>
    <row r="7097" spans="1:5" x14ac:dyDescent="0.55000000000000004">
      <c r="A7097" t="s">
        <v>7178</v>
      </c>
      <c r="B7097" t="s">
        <v>96</v>
      </c>
      <c r="C7097" s="2">
        <v>43640</v>
      </c>
      <c r="D7097" t="s">
        <v>29</v>
      </c>
      <c r="E7097">
        <v>174</v>
      </c>
    </row>
    <row r="7098" spans="1:5" x14ac:dyDescent="0.55000000000000004">
      <c r="A7098" t="s">
        <v>7179</v>
      </c>
      <c r="B7098" t="s">
        <v>32</v>
      </c>
      <c r="C7098" s="2">
        <v>44175</v>
      </c>
      <c r="D7098" t="s">
        <v>26</v>
      </c>
      <c r="E7098">
        <v>2783</v>
      </c>
    </row>
    <row r="7099" spans="1:5" x14ac:dyDescent="0.55000000000000004">
      <c r="A7099" t="s">
        <v>7180</v>
      </c>
      <c r="B7099" t="s">
        <v>41</v>
      </c>
      <c r="C7099" s="2">
        <v>44071</v>
      </c>
      <c r="D7099" t="s">
        <v>26</v>
      </c>
      <c r="E7099">
        <v>2215</v>
      </c>
    </row>
    <row r="7100" spans="1:5" x14ac:dyDescent="0.55000000000000004">
      <c r="A7100" t="s">
        <v>7181</v>
      </c>
      <c r="B7100" t="s">
        <v>175</v>
      </c>
      <c r="C7100" s="2">
        <v>44621</v>
      </c>
      <c r="D7100" t="s">
        <v>26</v>
      </c>
      <c r="E7100">
        <v>323</v>
      </c>
    </row>
    <row r="7101" spans="1:5" x14ac:dyDescent="0.55000000000000004">
      <c r="A7101" t="s">
        <v>7182</v>
      </c>
      <c r="B7101" t="s">
        <v>74</v>
      </c>
      <c r="C7101" s="2">
        <v>43325</v>
      </c>
      <c r="D7101" t="s">
        <v>26</v>
      </c>
      <c r="E7101">
        <v>1596</v>
      </c>
    </row>
    <row r="7102" spans="1:5" x14ac:dyDescent="0.55000000000000004">
      <c r="A7102" t="s">
        <v>7183</v>
      </c>
      <c r="B7102" t="s">
        <v>101</v>
      </c>
      <c r="C7102" s="2">
        <v>43122</v>
      </c>
      <c r="D7102" t="s">
        <v>26</v>
      </c>
      <c r="E7102">
        <v>1373</v>
      </c>
    </row>
    <row r="7103" spans="1:5" x14ac:dyDescent="0.55000000000000004">
      <c r="A7103" t="s">
        <v>7184</v>
      </c>
      <c r="B7103" t="s">
        <v>99</v>
      </c>
      <c r="C7103" s="2">
        <v>44595</v>
      </c>
      <c r="D7103" t="s">
        <v>29</v>
      </c>
      <c r="E7103">
        <v>2297</v>
      </c>
    </row>
    <row r="7104" spans="1:5" x14ac:dyDescent="0.55000000000000004">
      <c r="A7104" t="s">
        <v>7185</v>
      </c>
      <c r="B7104" t="s">
        <v>142</v>
      </c>
      <c r="C7104" s="2">
        <v>43619</v>
      </c>
      <c r="D7104" t="s">
        <v>26</v>
      </c>
      <c r="E7104">
        <v>1635</v>
      </c>
    </row>
    <row r="7105" spans="1:5" x14ac:dyDescent="0.55000000000000004">
      <c r="A7105" t="s">
        <v>7186</v>
      </c>
      <c r="B7105" t="s">
        <v>63</v>
      </c>
      <c r="C7105" s="2">
        <v>43298</v>
      </c>
      <c r="D7105" t="s">
        <v>26</v>
      </c>
      <c r="E7105">
        <v>456</v>
      </c>
    </row>
    <row r="7106" spans="1:5" x14ac:dyDescent="0.55000000000000004">
      <c r="A7106" t="s">
        <v>7187</v>
      </c>
      <c r="B7106" t="s">
        <v>32</v>
      </c>
      <c r="C7106" s="2">
        <v>44656</v>
      </c>
      <c r="D7106" t="s">
        <v>26</v>
      </c>
      <c r="E7106">
        <v>1209</v>
      </c>
    </row>
    <row r="7107" spans="1:5" x14ac:dyDescent="0.55000000000000004">
      <c r="A7107" t="s">
        <v>7188</v>
      </c>
      <c r="B7107" t="s">
        <v>15</v>
      </c>
      <c r="C7107" s="2">
        <v>44552</v>
      </c>
      <c r="D7107" t="s">
        <v>26</v>
      </c>
      <c r="E7107">
        <v>601</v>
      </c>
    </row>
    <row r="7108" spans="1:5" x14ac:dyDescent="0.55000000000000004">
      <c r="A7108" t="s">
        <v>7189</v>
      </c>
      <c r="B7108" t="s">
        <v>14</v>
      </c>
      <c r="C7108" s="2">
        <v>43559</v>
      </c>
      <c r="D7108" t="s">
        <v>26</v>
      </c>
      <c r="E7108">
        <v>2460</v>
      </c>
    </row>
    <row r="7109" spans="1:5" x14ac:dyDescent="0.55000000000000004">
      <c r="A7109" t="s">
        <v>7190</v>
      </c>
      <c r="B7109" t="s">
        <v>94</v>
      </c>
      <c r="C7109" s="2">
        <v>45392</v>
      </c>
      <c r="D7109" t="s">
        <v>26</v>
      </c>
      <c r="E7109">
        <v>1949</v>
      </c>
    </row>
    <row r="7110" spans="1:5" x14ac:dyDescent="0.55000000000000004">
      <c r="A7110" t="s">
        <v>7191</v>
      </c>
      <c r="B7110" t="s">
        <v>96</v>
      </c>
      <c r="C7110" s="2">
        <v>44582</v>
      </c>
      <c r="D7110" t="s">
        <v>29</v>
      </c>
      <c r="E7110">
        <v>2912</v>
      </c>
    </row>
    <row r="7111" spans="1:5" x14ac:dyDescent="0.55000000000000004">
      <c r="A7111" t="s">
        <v>7192</v>
      </c>
      <c r="B7111" t="s">
        <v>84</v>
      </c>
      <c r="C7111" s="2">
        <v>43523</v>
      </c>
      <c r="D7111" t="s">
        <v>29</v>
      </c>
      <c r="E7111">
        <v>2975</v>
      </c>
    </row>
    <row r="7112" spans="1:5" x14ac:dyDescent="0.55000000000000004">
      <c r="A7112" t="s">
        <v>7193</v>
      </c>
      <c r="B7112" t="s">
        <v>41</v>
      </c>
      <c r="C7112" s="2">
        <v>43947</v>
      </c>
      <c r="D7112" t="s">
        <v>26</v>
      </c>
      <c r="E7112">
        <v>2623</v>
      </c>
    </row>
    <row r="7113" spans="1:5" x14ac:dyDescent="0.55000000000000004">
      <c r="A7113" t="s">
        <v>7194</v>
      </c>
      <c r="B7113" t="s">
        <v>94</v>
      </c>
      <c r="C7113" s="2">
        <v>44271</v>
      </c>
      <c r="D7113" t="s">
        <v>26</v>
      </c>
      <c r="E7113">
        <v>1817</v>
      </c>
    </row>
    <row r="7114" spans="1:5" x14ac:dyDescent="0.55000000000000004">
      <c r="A7114" t="s">
        <v>7195</v>
      </c>
      <c r="B7114" t="s">
        <v>118</v>
      </c>
      <c r="C7114" s="2">
        <v>43726</v>
      </c>
      <c r="D7114" t="s">
        <v>29</v>
      </c>
      <c r="E7114">
        <v>1599</v>
      </c>
    </row>
    <row r="7115" spans="1:5" x14ac:dyDescent="0.55000000000000004">
      <c r="A7115" t="s">
        <v>7196</v>
      </c>
      <c r="B7115" t="s">
        <v>78</v>
      </c>
      <c r="C7115" s="2">
        <v>43766</v>
      </c>
      <c r="D7115" t="s">
        <v>29</v>
      </c>
      <c r="E7115">
        <v>2986</v>
      </c>
    </row>
    <row r="7116" spans="1:5" x14ac:dyDescent="0.55000000000000004">
      <c r="A7116" t="s">
        <v>7197</v>
      </c>
      <c r="B7116" t="s">
        <v>63</v>
      </c>
      <c r="C7116" s="2">
        <v>44097</v>
      </c>
      <c r="D7116" t="s">
        <v>29</v>
      </c>
      <c r="E7116">
        <v>1725</v>
      </c>
    </row>
    <row r="7117" spans="1:5" x14ac:dyDescent="0.55000000000000004">
      <c r="A7117" t="s">
        <v>7198</v>
      </c>
      <c r="B7117" t="s">
        <v>94</v>
      </c>
      <c r="C7117" s="2">
        <v>45456</v>
      </c>
      <c r="D7117" t="s">
        <v>29</v>
      </c>
      <c r="E7117">
        <v>1671</v>
      </c>
    </row>
    <row r="7118" spans="1:5" x14ac:dyDescent="0.55000000000000004">
      <c r="A7118" t="s">
        <v>7199</v>
      </c>
      <c r="B7118" t="s">
        <v>72</v>
      </c>
      <c r="C7118" s="2">
        <v>43751</v>
      </c>
      <c r="D7118" t="s">
        <v>26</v>
      </c>
      <c r="E7118">
        <v>1016</v>
      </c>
    </row>
    <row r="7119" spans="1:5" x14ac:dyDescent="0.55000000000000004">
      <c r="A7119" t="s">
        <v>7200</v>
      </c>
      <c r="B7119" t="s">
        <v>111</v>
      </c>
      <c r="C7119" s="2">
        <v>44356</v>
      </c>
      <c r="D7119" t="s">
        <v>29</v>
      </c>
      <c r="E7119">
        <v>11</v>
      </c>
    </row>
    <row r="7120" spans="1:5" x14ac:dyDescent="0.55000000000000004">
      <c r="A7120" t="s">
        <v>7201</v>
      </c>
      <c r="B7120" t="s">
        <v>86</v>
      </c>
      <c r="C7120" s="2">
        <v>43392</v>
      </c>
      <c r="D7120" t="s">
        <v>26</v>
      </c>
      <c r="E7120">
        <v>564</v>
      </c>
    </row>
    <row r="7121" spans="1:5" x14ac:dyDescent="0.55000000000000004">
      <c r="A7121" t="s">
        <v>7202</v>
      </c>
      <c r="B7121" t="s">
        <v>78</v>
      </c>
      <c r="C7121" s="2">
        <v>45040</v>
      </c>
      <c r="D7121" t="s">
        <v>26</v>
      </c>
      <c r="E7121">
        <v>2189</v>
      </c>
    </row>
    <row r="7122" spans="1:5" x14ac:dyDescent="0.55000000000000004">
      <c r="A7122" t="s">
        <v>7203</v>
      </c>
      <c r="B7122" t="s">
        <v>156</v>
      </c>
      <c r="C7122" s="2">
        <v>42950</v>
      </c>
      <c r="D7122" t="s">
        <v>26</v>
      </c>
      <c r="E7122">
        <v>1531</v>
      </c>
    </row>
    <row r="7123" spans="1:5" x14ac:dyDescent="0.55000000000000004">
      <c r="A7123" t="s">
        <v>7204</v>
      </c>
      <c r="B7123" t="s">
        <v>96</v>
      </c>
      <c r="C7123" s="2">
        <v>45741</v>
      </c>
      <c r="D7123" t="s">
        <v>29</v>
      </c>
      <c r="E7123">
        <v>24</v>
      </c>
    </row>
    <row r="7124" spans="1:5" x14ac:dyDescent="0.55000000000000004">
      <c r="A7124" t="s">
        <v>7205</v>
      </c>
      <c r="B7124" t="s">
        <v>151</v>
      </c>
      <c r="C7124" s="2">
        <v>43712</v>
      </c>
      <c r="D7124" t="s">
        <v>29</v>
      </c>
      <c r="E7124">
        <v>198</v>
      </c>
    </row>
    <row r="7125" spans="1:5" x14ac:dyDescent="0.55000000000000004">
      <c r="A7125" t="s">
        <v>7206</v>
      </c>
      <c r="B7125" t="s">
        <v>111</v>
      </c>
      <c r="C7125" s="2">
        <v>43023</v>
      </c>
      <c r="D7125" t="s">
        <v>29</v>
      </c>
      <c r="E7125">
        <v>968</v>
      </c>
    </row>
    <row r="7126" spans="1:5" x14ac:dyDescent="0.55000000000000004">
      <c r="A7126" t="s">
        <v>7207</v>
      </c>
      <c r="B7126" t="s">
        <v>142</v>
      </c>
      <c r="C7126" s="2">
        <v>43728</v>
      </c>
      <c r="D7126" t="s">
        <v>29</v>
      </c>
      <c r="E7126">
        <v>977</v>
      </c>
    </row>
    <row r="7127" spans="1:5" x14ac:dyDescent="0.55000000000000004">
      <c r="A7127" t="s">
        <v>7208</v>
      </c>
      <c r="B7127" t="s">
        <v>140</v>
      </c>
      <c r="C7127" s="2">
        <v>42934</v>
      </c>
      <c r="D7127" t="s">
        <v>29</v>
      </c>
      <c r="E7127">
        <v>180</v>
      </c>
    </row>
    <row r="7128" spans="1:5" x14ac:dyDescent="0.55000000000000004">
      <c r="A7128" t="s">
        <v>7209</v>
      </c>
      <c r="B7128" t="s">
        <v>72</v>
      </c>
      <c r="C7128" s="2">
        <v>44413</v>
      </c>
      <c r="D7128" t="s">
        <v>26</v>
      </c>
      <c r="E7128">
        <v>2650</v>
      </c>
    </row>
    <row r="7129" spans="1:5" x14ac:dyDescent="0.55000000000000004">
      <c r="A7129" t="s">
        <v>7210</v>
      </c>
      <c r="B7129" t="s">
        <v>35</v>
      </c>
      <c r="C7129" s="2">
        <v>44709</v>
      </c>
      <c r="D7129" t="s">
        <v>29</v>
      </c>
      <c r="E7129">
        <v>32</v>
      </c>
    </row>
    <row r="7130" spans="1:5" x14ac:dyDescent="0.55000000000000004">
      <c r="A7130" t="s">
        <v>7211</v>
      </c>
      <c r="B7130" t="s">
        <v>32</v>
      </c>
      <c r="C7130" s="2">
        <v>44078</v>
      </c>
      <c r="D7130" t="s">
        <v>26</v>
      </c>
      <c r="E7130">
        <v>886</v>
      </c>
    </row>
    <row r="7131" spans="1:5" x14ac:dyDescent="0.55000000000000004">
      <c r="A7131" t="s">
        <v>7212</v>
      </c>
      <c r="B7131" t="s">
        <v>23</v>
      </c>
      <c r="C7131" s="2">
        <v>43920</v>
      </c>
      <c r="D7131" t="s">
        <v>26</v>
      </c>
      <c r="E7131">
        <v>675</v>
      </c>
    </row>
    <row r="7132" spans="1:5" x14ac:dyDescent="0.55000000000000004">
      <c r="A7132" t="s">
        <v>7213</v>
      </c>
      <c r="B7132" t="s">
        <v>142</v>
      </c>
      <c r="C7132" s="2">
        <v>44434</v>
      </c>
      <c r="D7132" t="s">
        <v>26</v>
      </c>
      <c r="E7132">
        <v>2617</v>
      </c>
    </row>
    <row r="7133" spans="1:5" x14ac:dyDescent="0.55000000000000004">
      <c r="A7133" t="s">
        <v>7214</v>
      </c>
      <c r="B7133" t="s">
        <v>14</v>
      </c>
      <c r="C7133" s="2">
        <v>43210</v>
      </c>
      <c r="D7133" t="s">
        <v>29</v>
      </c>
      <c r="E7133">
        <v>554</v>
      </c>
    </row>
    <row r="7134" spans="1:5" x14ac:dyDescent="0.55000000000000004">
      <c r="A7134" t="s">
        <v>7215</v>
      </c>
      <c r="B7134" t="s">
        <v>14</v>
      </c>
      <c r="C7134" s="2">
        <v>44162</v>
      </c>
      <c r="D7134" t="s">
        <v>29</v>
      </c>
      <c r="E7134">
        <v>1388</v>
      </c>
    </row>
    <row r="7135" spans="1:5" x14ac:dyDescent="0.55000000000000004">
      <c r="A7135" t="s">
        <v>7216</v>
      </c>
      <c r="B7135" t="s">
        <v>105</v>
      </c>
      <c r="C7135" s="2">
        <v>44327</v>
      </c>
      <c r="D7135" t="s">
        <v>26</v>
      </c>
      <c r="E7135">
        <v>1884</v>
      </c>
    </row>
    <row r="7136" spans="1:5" x14ac:dyDescent="0.55000000000000004">
      <c r="A7136" t="s">
        <v>7217</v>
      </c>
      <c r="B7136" t="s">
        <v>118</v>
      </c>
      <c r="C7136" s="2">
        <v>44985</v>
      </c>
      <c r="D7136" t="s">
        <v>29</v>
      </c>
      <c r="E7136">
        <v>2851</v>
      </c>
    </row>
    <row r="7137" spans="1:5" x14ac:dyDescent="0.55000000000000004">
      <c r="A7137" t="s">
        <v>7218</v>
      </c>
      <c r="B7137" t="s">
        <v>32</v>
      </c>
      <c r="C7137" s="2">
        <v>44581</v>
      </c>
      <c r="D7137" t="s">
        <v>26</v>
      </c>
      <c r="E7137">
        <v>459</v>
      </c>
    </row>
    <row r="7138" spans="1:5" x14ac:dyDescent="0.55000000000000004">
      <c r="A7138" t="s">
        <v>7219</v>
      </c>
      <c r="B7138" t="s">
        <v>23</v>
      </c>
      <c r="C7138" s="2">
        <v>44213</v>
      </c>
      <c r="D7138" t="s">
        <v>29</v>
      </c>
      <c r="E7138">
        <v>170</v>
      </c>
    </row>
    <row r="7139" spans="1:5" x14ac:dyDescent="0.55000000000000004">
      <c r="A7139" t="s">
        <v>7220</v>
      </c>
      <c r="B7139" t="s">
        <v>142</v>
      </c>
      <c r="C7139" s="2">
        <v>44193</v>
      </c>
      <c r="D7139" t="s">
        <v>29</v>
      </c>
      <c r="E7139">
        <v>176</v>
      </c>
    </row>
    <row r="7140" spans="1:5" x14ac:dyDescent="0.55000000000000004">
      <c r="A7140" t="s">
        <v>7221</v>
      </c>
      <c r="B7140" t="s">
        <v>72</v>
      </c>
      <c r="C7140" s="2">
        <v>43866</v>
      </c>
      <c r="D7140" t="s">
        <v>29</v>
      </c>
      <c r="E7140">
        <v>2019</v>
      </c>
    </row>
    <row r="7141" spans="1:5" x14ac:dyDescent="0.55000000000000004">
      <c r="A7141" t="s">
        <v>7222</v>
      </c>
      <c r="B7141" t="s">
        <v>156</v>
      </c>
      <c r="C7141" s="2">
        <v>44271</v>
      </c>
      <c r="D7141" t="s">
        <v>29</v>
      </c>
      <c r="E7141">
        <v>1055</v>
      </c>
    </row>
    <row r="7142" spans="1:5" x14ac:dyDescent="0.55000000000000004">
      <c r="A7142" t="s">
        <v>7223</v>
      </c>
      <c r="B7142" t="s">
        <v>137</v>
      </c>
      <c r="C7142" s="2">
        <v>44585</v>
      </c>
      <c r="D7142" t="s">
        <v>26</v>
      </c>
      <c r="E7142">
        <v>179</v>
      </c>
    </row>
    <row r="7143" spans="1:5" x14ac:dyDescent="0.55000000000000004">
      <c r="A7143" t="s">
        <v>7224</v>
      </c>
      <c r="B7143" t="s">
        <v>111</v>
      </c>
      <c r="C7143" s="2">
        <v>43502</v>
      </c>
      <c r="D7143" t="s">
        <v>29</v>
      </c>
      <c r="E7143">
        <v>2840</v>
      </c>
    </row>
    <row r="7144" spans="1:5" x14ac:dyDescent="0.55000000000000004">
      <c r="A7144" t="s">
        <v>7225</v>
      </c>
      <c r="B7144" t="s">
        <v>156</v>
      </c>
      <c r="C7144" s="2">
        <v>43591</v>
      </c>
      <c r="D7144" t="s">
        <v>26</v>
      </c>
      <c r="E7144">
        <v>2104</v>
      </c>
    </row>
    <row r="7145" spans="1:5" x14ac:dyDescent="0.55000000000000004">
      <c r="A7145" t="s">
        <v>7226</v>
      </c>
      <c r="B7145" t="s">
        <v>74</v>
      </c>
      <c r="C7145" s="2">
        <v>43171</v>
      </c>
      <c r="D7145" t="s">
        <v>26</v>
      </c>
      <c r="E7145">
        <v>2583</v>
      </c>
    </row>
    <row r="7146" spans="1:5" x14ac:dyDescent="0.55000000000000004">
      <c r="A7146" t="s">
        <v>7227</v>
      </c>
      <c r="B7146" t="s">
        <v>99</v>
      </c>
      <c r="C7146" s="2">
        <v>43960</v>
      </c>
      <c r="D7146" t="s">
        <v>29</v>
      </c>
      <c r="E7146">
        <v>1424</v>
      </c>
    </row>
    <row r="7147" spans="1:5" x14ac:dyDescent="0.55000000000000004">
      <c r="A7147" t="s">
        <v>7228</v>
      </c>
      <c r="B7147" t="s">
        <v>35</v>
      </c>
      <c r="C7147" s="2">
        <v>44548</v>
      </c>
      <c r="D7147" t="s">
        <v>26</v>
      </c>
      <c r="E7147">
        <v>1160</v>
      </c>
    </row>
    <row r="7148" spans="1:5" x14ac:dyDescent="0.55000000000000004">
      <c r="A7148" t="s">
        <v>7229</v>
      </c>
      <c r="B7148" t="s">
        <v>94</v>
      </c>
      <c r="C7148" s="2">
        <v>44625</v>
      </c>
      <c r="D7148" t="s">
        <v>29</v>
      </c>
      <c r="E7148">
        <v>1630</v>
      </c>
    </row>
    <row r="7149" spans="1:5" x14ac:dyDescent="0.55000000000000004">
      <c r="A7149" t="s">
        <v>7230</v>
      </c>
      <c r="B7149" t="s">
        <v>101</v>
      </c>
      <c r="C7149" s="2">
        <v>43238</v>
      </c>
      <c r="D7149" t="s">
        <v>26</v>
      </c>
      <c r="E7149">
        <v>2445</v>
      </c>
    </row>
    <row r="7150" spans="1:5" x14ac:dyDescent="0.55000000000000004">
      <c r="A7150" t="s">
        <v>7231</v>
      </c>
      <c r="B7150" t="s">
        <v>137</v>
      </c>
      <c r="C7150" s="2">
        <v>44985</v>
      </c>
      <c r="D7150" t="s">
        <v>26</v>
      </c>
      <c r="E7150">
        <v>505</v>
      </c>
    </row>
    <row r="7151" spans="1:5" x14ac:dyDescent="0.55000000000000004">
      <c r="A7151" t="s">
        <v>7232</v>
      </c>
      <c r="B7151" t="s">
        <v>96</v>
      </c>
      <c r="C7151" s="2">
        <v>45493</v>
      </c>
      <c r="D7151" t="s">
        <v>26</v>
      </c>
      <c r="E7151">
        <v>1289</v>
      </c>
    </row>
    <row r="7152" spans="1:5" x14ac:dyDescent="0.55000000000000004">
      <c r="A7152" t="s">
        <v>7233</v>
      </c>
      <c r="B7152" t="s">
        <v>41</v>
      </c>
      <c r="C7152" s="2">
        <v>44665</v>
      </c>
      <c r="D7152" t="s">
        <v>29</v>
      </c>
      <c r="E7152">
        <v>49</v>
      </c>
    </row>
    <row r="7153" spans="1:5" x14ac:dyDescent="0.55000000000000004">
      <c r="A7153" t="s">
        <v>7234</v>
      </c>
      <c r="B7153" t="s">
        <v>63</v>
      </c>
      <c r="C7153" s="2">
        <v>43753</v>
      </c>
      <c r="D7153" t="s">
        <v>26</v>
      </c>
      <c r="E7153">
        <v>1720</v>
      </c>
    </row>
    <row r="7154" spans="1:5" x14ac:dyDescent="0.55000000000000004">
      <c r="A7154" t="s">
        <v>7235</v>
      </c>
      <c r="B7154" t="s">
        <v>175</v>
      </c>
      <c r="C7154" s="2">
        <v>44037</v>
      </c>
      <c r="D7154" t="s">
        <v>29</v>
      </c>
      <c r="E7154">
        <v>2219</v>
      </c>
    </row>
    <row r="7155" spans="1:5" x14ac:dyDescent="0.55000000000000004">
      <c r="A7155" t="s">
        <v>7236</v>
      </c>
      <c r="B7155" t="s">
        <v>140</v>
      </c>
      <c r="C7155" s="2">
        <v>42979</v>
      </c>
      <c r="D7155" t="s">
        <v>29</v>
      </c>
      <c r="E7155">
        <v>42</v>
      </c>
    </row>
    <row r="7156" spans="1:5" x14ac:dyDescent="0.55000000000000004">
      <c r="A7156" t="s">
        <v>7237</v>
      </c>
      <c r="B7156" t="s">
        <v>156</v>
      </c>
      <c r="C7156" s="2">
        <v>43836</v>
      </c>
      <c r="D7156" t="s">
        <v>26</v>
      </c>
      <c r="E7156">
        <v>1726</v>
      </c>
    </row>
    <row r="7157" spans="1:5" x14ac:dyDescent="0.55000000000000004">
      <c r="A7157" t="s">
        <v>7238</v>
      </c>
      <c r="B7157" t="s">
        <v>94</v>
      </c>
      <c r="C7157" s="2">
        <v>45129</v>
      </c>
      <c r="D7157" t="s">
        <v>26</v>
      </c>
      <c r="E7157">
        <v>536</v>
      </c>
    </row>
    <row r="7158" spans="1:5" x14ac:dyDescent="0.55000000000000004">
      <c r="A7158" t="s">
        <v>7239</v>
      </c>
      <c r="B7158" t="s">
        <v>151</v>
      </c>
      <c r="C7158" s="2">
        <v>43640</v>
      </c>
      <c r="D7158" t="s">
        <v>26</v>
      </c>
      <c r="E7158">
        <v>1499</v>
      </c>
    </row>
    <row r="7159" spans="1:5" x14ac:dyDescent="0.55000000000000004">
      <c r="A7159" t="s">
        <v>7240</v>
      </c>
      <c r="B7159" t="s">
        <v>67</v>
      </c>
      <c r="C7159" s="2">
        <v>44961</v>
      </c>
      <c r="D7159" t="s">
        <v>26</v>
      </c>
      <c r="E7159">
        <v>290</v>
      </c>
    </row>
    <row r="7160" spans="1:5" x14ac:dyDescent="0.55000000000000004">
      <c r="A7160" t="s">
        <v>7241</v>
      </c>
      <c r="B7160" t="s">
        <v>86</v>
      </c>
      <c r="C7160" s="2">
        <v>43324</v>
      </c>
      <c r="D7160" t="s">
        <v>26</v>
      </c>
      <c r="E7160">
        <v>277</v>
      </c>
    </row>
    <row r="7161" spans="1:5" x14ac:dyDescent="0.55000000000000004">
      <c r="A7161" t="s">
        <v>7242</v>
      </c>
      <c r="B7161" t="s">
        <v>15</v>
      </c>
      <c r="C7161" s="2">
        <v>43388</v>
      </c>
      <c r="D7161" t="s">
        <v>26</v>
      </c>
      <c r="E7161">
        <v>1733</v>
      </c>
    </row>
    <row r="7162" spans="1:5" x14ac:dyDescent="0.55000000000000004">
      <c r="A7162" t="s">
        <v>7243</v>
      </c>
      <c r="B7162" t="s">
        <v>96</v>
      </c>
      <c r="C7162" s="2">
        <v>43850</v>
      </c>
      <c r="D7162" t="s">
        <v>29</v>
      </c>
      <c r="E7162">
        <v>1733</v>
      </c>
    </row>
    <row r="7163" spans="1:5" x14ac:dyDescent="0.55000000000000004">
      <c r="A7163" t="s">
        <v>7244</v>
      </c>
      <c r="B7163" t="s">
        <v>142</v>
      </c>
      <c r="C7163" s="2">
        <v>43627</v>
      </c>
      <c r="D7163" t="s">
        <v>29</v>
      </c>
      <c r="E7163">
        <v>2343</v>
      </c>
    </row>
    <row r="7164" spans="1:5" x14ac:dyDescent="0.55000000000000004">
      <c r="A7164" t="s">
        <v>7245</v>
      </c>
      <c r="B7164" t="s">
        <v>142</v>
      </c>
      <c r="C7164" s="2">
        <v>43681</v>
      </c>
      <c r="D7164" t="s">
        <v>26</v>
      </c>
      <c r="E7164">
        <v>734</v>
      </c>
    </row>
    <row r="7165" spans="1:5" x14ac:dyDescent="0.55000000000000004">
      <c r="A7165" t="s">
        <v>7246</v>
      </c>
      <c r="B7165" t="s">
        <v>84</v>
      </c>
      <c r="C7165" s="2">
        <v>43535</v>
      </c>
      <c r="D7165" t="s">
        <v>26</v>
      </c>
      <c r="E7165">
        <v>856</v>
      </c>
    </row>
    <row r="7166" spans="1:5" x14ac:dyDescent="0.55000000000000004">
      <c r="A7166" t="s">
        <v>7247</v>
      </c>
      <c r="B7166" t="s">
        <v>63</v>
      </c>
      <c r="C7166" s="2">
        <v>44126</v>
      </c>
      <c r="D7166" t="s">
        <v>29</v>
      </c>
      <c r="E7166">
        <v>1259</v>
      </c>
    </row>
    <row r="7167" spans="1:5" x14ac:dyDescent="0.55000000000000004">
      <c r="A7167" t="s">
        <v>7248</v>
      </c>
      <c r="B7167" t="s">
        <v>15</v>
      </c>
      <c r="C7167" s="2">
        <v>44078</v>
      </c>
      <c r="D7167" t="s">
        <v>29</v>
      </c>
      <c r="E7167">
        <v>231</v>
      </c>
    </row>
    <row r="7168" spans="1:5" x14ac:dyDescent="0.55000000000000004">
      <c r="A7168" t="s">
        <v>7249</v>
      </c>
      <c r="B7168" t="s">
        <v>41</v>
      </c>
      <c r="C7168" s="2">
        <v>44599</v>
      </c>
      <c r="D7168" t="s">
        <v>29</v>
      </c>
      <c r="E7168">
        <v>2997</v>
      </c>
    </row>
    <row r="7169" spans="1:5" x14ac:dyDescent="0.55000000000000004">
      <c r="A7169" t="s">
        <v>7250</v>
      </c>
      <c r="B7169" t="s">
        <v>78</v>
      </c>
      <c r="C7169" s="2">
        <v>44962</v>
      </c>
      <c r="D7169" t="s">
        <v>26</v>
      </c>
      <c r="E7169">
        <v>397</v>
      </c>
    </row>
    <row r="7170" spans="1:5" x14ac:dyDescent="0.55000000000000004">
      <c r="A7170" t="s">
        <v>7251</v>
      </c>
      <c r="B7170" t="s">
        <v>38</v>
      </c>
      <c r="C7170" s="2">
        <v>44486</v>
      </c>
      <c r="D7170" t="s">
        <v>29</v>
      </c>
      <c r="E7170">
        <v>2390</v>
      </c>
    </row>
    <row r="7171" spans="1:5" x14ac:dyDescent="0.55000000000000004">
      <c r="A7171" t="s">
        <v>7252</v>
      </c>
      <c r="B7171" t="s">
        <v>142</v>
      </c>
      <c r="C7171" s="2">
        <v>43570</v>
      </c>
      <c r="D7171" t="s">
        <v>29</v>
      </c>
      <c r="E7171">
        <v>504</v>
      </c>
    </row>
    <row r="7172" spans="1:5" x14ac:dyDescent="0.55000000000000004">
      <c r="A7172" t="s">
        <v>7253</v>
      </c>
      <c r="B7172" t="s">
        <v>23</v>
      </c>
      <c r="C7172" s="2">
        <v>43994</v>
      </c>
      <c r="D7172" t="s">
        <v>29</v>
      </c>
      <c r="E7172">
        <v>1780</v>
      </c>
    </row>
    <row r="7173" spans="1:5" x14ac:dyDescent="0.55000000000000004">
      <c r="A7173" t="s">
        <v>7254</v>
      </c>
      <c r="B7173" t="s">
        <v>78</v>
      </c>
      <c r="C7173" s="2">
        <v>44696</v>
      </c>
      <c r="D7173" t="s">
        <v>29</v>
      </c>
      <c r="E7173">
        <v>2378</v>
      </c>
    </row>
    <row r="7174" spans="1:5" x14ac:dyDescent="0.55000000000000004">
      <c r="A7174" t="s">
        <v>7255</v>
      </c>
      <c r="B7174" t="s">
        <v>151</v>
      </c>
      <c r="C7174" s="2">
        <v>43796</v>
      </c>
      <c r="D7174" t="s">
        <v>29</v>
      </c>
      <c r="E7174">
        <v>1590</v>
      </c>
    </row>
    <row r="7175" spans="1:5" x14ac:dyDescent="0.55000000000000004">
      <c r="A7175" t="s">
        <v>7256</v>
      </c>
      <c r="B7175" t="s">
        <v>94</v>
      </c>
      <c r="C7175" s="2">
        <v>43970</v>
      </c>
      <c r="D7175" t="s">
        <v>26</v>
      </c>
      <c r="E7175">
        <v>797</v>
      </c>
    </row>
    <row r="7176" spans="1:5" x14ac:dyDescent="0.55000000000000004">
      <c r="A7176" t="s">
        <v>7257</v>
      </c>
      <c r="B7176" t="s">
        <v>94</v>
      </c>
      <c r="C7176" s="2">
        <v>44786</v>
      </c>
      <c r="D7176" t="s">
        <v>29</v>
      </c>
      <c r="E7176">
        <v>1080</v>
      </c>
    </row>
    <row r="7177" spans="1:5" x14ac:dyDescent="0.55000000000000004">
      <c r="A7177" t="s">
        <v>7258</v>
      </c>
      <c r="B7177" t="s">
        <v>35</v>
      </c>
      <c r="C7177" s="2">
        <v>44773</v>
      </c>
      <c r="D7177" t="s">
        <v>29</v>
      </c>
      <c r="E7177">
        <v>2240</v>
      </c>
    </row>
    <row r="7178" spans="1:5" x14ac:dyDescent="0.55000000000000004">
      <c r="A7178" t="s">
        <v>7259</v>
      </c>
      <c r="B7178" t="s">
        <v>14</v>
      </c>
      <c r="C7178" s="2">
        <v>43683</v>
      </c>
      <c r="D7178" t="s">
        <v>29</v>
      </c>
      <c r="E7178">
        <v>201</v>
      </c>
    </row>
    <row r="7179" spans="1:5" x14ac:dyDescent="0.55000000000000004">
      <c r="A7179" t="s">
        <v>7260</v>
      </c>
      <c r="B7179" t="s">
        <v>118</v>
      </c>
      <c r="C7179" s="2">
        <v>44226</v>
      </c>
      <c r="D7179" t="s">
        <v>26</v>
      </c>
      <c r="E7179">
        <v>2842</v>
      </c>
    </row>
    <row r="7180" spans="1:5" x14ac:dyDescent="0.55000000000000004">
      <c r="A7180" t="s">
        <v>7261</v>
      </c>
      <c r="B7180" t="s">
        <v>96</v>
      </c>
      <c r="C7180" s="2">
        <v>45407</v>
      </c>
      <c r="D7180" t="s">
        <v>26</v>
      </c>
      <c r="E7180">
        <v>2220</v>
      </c>
    </row>
    <row r="7181" spans="1:5" x14ac:dyDescent="0.55000000000000004">
      <c r="A7181" t="s">
        <v>7262</v>
      </c>
      <c r="B7181" t="s">
        <v>84</v>
      </c>
      <c r="C7181" s="2">
        <v>43417</v>
      </c>
      <c r="D7181" t="s">
        <v>26</v>
      </c>
      <c r="E7181">
        <v>2631</v>
      </c>
    </row>
    <row r="7182" spans="1:5" x14ac:dyDescent="0.55000000000000004">
      <c r="A7182" t="s">
        <v>7263</v>
      </c>
      <c r="B7182" t="s">
        <v>115</v>
      </c>
      <c r="C7182" s="2">
        <v>44071</v>
      </c>
      <c r="D7182" t="s">
        <v>26</v>
      </c>
      <c r="E7182">
        <v>671</v>
      </c>
    </row>
    <row r="7183" spans="1:5" x14ac:dyDescent="0.55000000000000004">
      <c r="A7183" t="s">
        <v>7264</v>
      </c>
      <c r="B7183" t="s">
        <v>14</v>
      </c>
      <c r="C7183" s="2">
        <v>44152</v>
      </c>
      <c r="D7183" t="s">
        <v>29</v>
      </c>
      <c r="E7183">
        <v>1771</v>
      </c>
    </row>
    <row r="7184" spans="1:5" x14ac:dyDescent="0.55000000000000004">
      <c r="A7184" t="s">
        <v>7265</v>
      </c>
      <c r="B7184" t="s">
        <v>96</v>
      </c>
      <c r="C7184" s="2">
        <v>44456</v>
      </c>
      <c r="D7184" t="s">
        <v>26</v>
      </c>
      <c r="E7184">
        <v>776</v>
      </c>
    </row>
    <row r="7185" spans="1:5" x14ac:dyDescent="0.55000000000000004">
      <c r="A7185" t="s">
        <v>7266</v>
      </c>
      <c r="B7185" t="s">
        <v>76</v>
      </c>
      <c r="C7185" s="2">
        <v>44054</v>
      </c>
      <c r="D7185" t="s">
        <v>29</v>
      </c>
      <c r="E7185">
        <v>871</v>
      </c>
    </row>
    <row r="7186" spans="1:5" x14ac:dyDescent="0.55000000000000004">
      <c r="A7186" t="s">
        <v>7267</v>
      </c>
      <c r="B7186" t="s">
        <v>137</v>
      </c>
      <c r="C7186" s="2">
        <v>44011</v>
      </c>
      <c r="D7186" t="s">
        <v>26</v>
      </c>
      <c r="E7186">
        <v>2316</v>
      </c>
    </row>
    <row r="7187" spans="1:5" x14ac:dyDescent="0.55000000000000004">
      <c r="A7187" t="s">
        <v>7268</v>
      </c>
      <c r="B7187" t="s">
        <v>76</v>
      </c>
      <c r="C7187" s="2">
        <v>45124</v>
      </c>
      <c r="D7187" t="s">
        <v>29</v>
      </c>
      <c r="E7187">
        <v>1061</v>
      </c>
    </row>
    <row r="7188" spans="1:5" x14ac:dyDescent="0.55000000000000004">
      <c r="A7188" t="s">
        <v>7269</v>
      </c>
      <c r="B7188" t="s">
        <v>142</v>
      </c>
      <c r="C7188" s="2">
        <v>43298</v>
      </c>
      <c r="D7188" t="s">
        <v>26</v>
      </c>
      <c r="E7188">
        <v>1319</v>
      </c>
    </row>
    <row r="7189" spans="1:5" x14ac:dyDescent="0.55000000000000004">
      <c r="A7189" t="s">
        <v>7270</v>
      </c>
      <c r="B7189" t="s">
        <v>63</v>
      </c>
      <c r="C7189" s="2">
        <v>44479</v>
      </c>
      <c r="D7189" t="s">
        <v>26</v>
      </c>
      <c r="E7189">
        <v>1617</v>
      </c>
    </row>
    <row r="7190" spans="1:5" x14ac:dyDescent="0.55000000000000004">
      <c r="A7190" t="s">
        <v>7271</v>
      </c>
      <c r="B7190" t="s">
        <v>137</v>
      </c>
      <c r="C7190" s="2">
        <v>45350</v>
      </c>
      <c r="D7190" t="s">
        <v>29</v>
      </c>
      <c r="E7190">
        <v>2528</v>
      </c>
    </row>
    <row r="7191" spans="1:5" x14ac:dyDescent="0.55000000000000004">
      <c r="A7191" t="s">
        <v>7272</v>
      </c>
      <c r="B7191" t="s">
        <v>76</v>
      </c>
      <c r="C7191" s="2">
        <v>44231</v>
      </c>
      <c r="D7191" t="s">
        <v>29</v>
      </c>
      <c r="E7191">
        <v>677</v>
      </c>
    </row>
    <row r="7192" spans="1:5" x14ac:dyDescent="0.55000000000000004">
      <c r="A7192" t="s">
        <v>7273</v>
      </c>
      <c r="B7192" t="s">
        <v>15</v>
      </c>
      <c r="C7192" s="2">
        <v>43886</v>
      </c>
      <c r="D7192" t="s">
        <v>26</v>
      </c>
      <c r="E7192">
        <v>2547</v>
      </c>
    </row>
    <row r="7193" spans="1:5" x14ac:dyDescent="0.55000000000000004">
      <c r="A7193" t="s">
        <v>7274</v>
      </c>
      <c r="B7193" t="s">
        <v>41</v>
      </c>
      <c r="C7193" s="2">
        <v>44157</v>
      </c>
      <c r="D7193" t="s">
        <v>26</v>
      </c>
      <c r="E7193">
        <v>2952</v>
      </c>
    </row>
    <row r="7194" spans="1:5" x14ac:dyDescent="0.55000000000000004">
      <c r="A7194" t="s">
        <v>7275</v>
      </c>
      <c r="B7194" t="s">
        <v>99</v>
      </c>
      <c r="C7194" s="2">
        <v>44851</v>
      </c>
      <c r="D7194" t="s">
        <v>26</v>
      </c>
      <c r="E7194">
        <v>191</v>
      </c>
    </row>
    <row r="7195" spans="1:5" x14ac:dyDescent="0.55000000000000004">
      <c r="A7195" t="s">
        <v>7276</v>
      </c>
      <c r="B7195" t="s">
        <v>72</v>
      </c>
      <c r="C7195" s="2">
        <v>43405</v>
      </c>
      <c r="D7195" t="s">
        <v>26</v>
      </c>
      <c r="E7195">
        <v>88</v>
      </c>
    </row>
    <row r="7196" spans="1:5" x14ac:dyDescent="0.55000000000000004">
      <c r="A7196" t="s">
        <v>7277</v>
      </c>
      <c r="B7196" t="s">
        <v>23</v>
      </c>
      <c r="C7196" s="2">
        <v>44023</v>
      </c>
      <c r="D7196" t="s">
        <v>29</v>
      </c>
      <c r="E7196">
        <v>2821</v>
      </c>
    </row>
    <row r="7197" spans="1:5" x14ac:dyDescent="0.55000000000000004">
      <c r="A7197" t="s">
        <v>7278</v>
      </c>
      <c r="B7197" t="s">
        <v>14</v>
      </c>
      <c r="C7197" s="2">
        <v>43050</v>
      </c>
      <c r="D7197" t="s">
        <v>29</v>
      </c>
      <c r="E7197">
        <v>2526</v>
      </c>
    </row>
    <row r="7198" spans="1:5" x14ac:dyDescent="0.55000000000000004">
      <c r="A7198" t="s">
        <v>7279</v>
      </c>
      <c r="B7198" t="s">
        <v>151</v>
      </c>
      <c r="C7198" s="2">
        <v>43383</v>
      </c>
      <c r="D7198" t="s">
        <v>26</v>
      </c>
      <c r="E7198">
        <v>2114</v>
      </c>
    </row>
    <row r="7199" spans="1:5" x14ac:dyDescent="0.55000000000000004">
      <c r="A7199" t="s">
        <v>7280</v>
      </c>
      <c r="B7199" t="s">
        <v>84</v>
      </c>
      <c r="C7199" s="2">
        <v>43517</v>
      </c>
      <c r="D7199" t="s">
        <v>26</v>
      </c>
      <c r="E7199">
        <v>870</v>
      </c>
    </row>
    <row r="7200" spans="1:5" x14ac:dyDescent="0.55000000000000004">
      <c r="A7200" t="s">
        <v>7281</v>
      </c>
      <c r="B7200" t="s">
        <v>156</v>
      </c>
      <c r="C7200" s="2">
        <v>43930</v>
      </c>
      <c r="D7200" t="s">
        <v>26</v>
      </c>
      <c r="E7200">
        <v>2476</v>
      </c>
    </row>
    <row r="7201" spans="1:5" x14ac:dyDescent="0.55000000000000004">
      <c r="A7201" t="s">
        <v>7282</v>
      </c>
      <c r="B7201" t="s">
        <v>23</v>
      </c>
      <c r="C7201" s="2">
        <v>44906</v>
      </c>
      <c r="D7201" t="s">
        <v>26</v>
      </c>
      <c r="E7201">
        <v>2490</v>
      </c>
    </row>
    <row r="7202" spans="1:5" x14ac:dyDescent="0.55000000000000004">
      <c r="A7202" t="s">
        <v>7283</v>
      </c>
      <c r="B7202" t="s">
        <v>14</v>
      </c>
      <c r="C7202" s="2">
        <v>44554</v>
      </c>
      <c r="D7202" t="s">
        <v>29</v>
      </c>
      <c r="E7202">
        <v>1357</v>
      </c>
    </row>
    <row r="7203" spans="1:5" x14ac:dyDescent="0.55000000000000004">
      <c r="A7203" t="s">
        <v>7284</v>
      </c>
      <c r="B7203" t="s">
        <v>175</v>
      </c>
      <c r="C7203" s="2">
        <v>44781</v>
      </c>
      <c r="D7203" t="s">
        <v>26</v>
      </c>
      <c r="E7203">
        <v>1344</v>
      </c>
    </row>
    <row r="7204" spans="1:5" x14ac:dyDescent="0.55000000000000004">
      <c r="A7204" t="s">
        <v>7285</v>
      </c>
      <c r="B7204" t="s">
        <v>175</v>
      </c>
      <c r="C7204" s="2">
        <v>44566</v>
      </c>
      <c r="D7204" t="s">
        <v>29</v>
      </c>
      <c r="E7204">
        <v>519</v>
      </c>
    </row>
    <row r="7205" spans="1:5" x14ac:dyDescent="0.55000000000000004">
      <c r="A7205" t="s">
        <v>7286</v>
      </c>
      <c r="B7205" t="s">
        <v>94</v>
      </c>
      <c r="C7205" s="2">
        <v>45059</v>
      </c>
      <c r="D7205" t="s">
        <v>26</v>
      </c>
      <c r="E7205">
        <v>1812</v>
      </c>
    </row>
    <row r="7206" spans="1:5" x14ac:dyDescent="0.55000000000000004">
      <c r="A7206" t="s">
        <v>7287</v>
      </c>
      <c r="B7206" t="s">
        <v>111</v>
      </c>
      <c r="C7206" s="2">
        <v>43810</v>
      </c>
      <c r="D7206" t="s">
        <v>26</v>
      </c>
      <c r="E7206">
        <v>826</v>
      </c>
    </row>
    <row r="7207" spans="1:5" x14ac:dyDescent="0.55000000000000004">
      <c r="A7207" t="s">
        <v>7288</v>
      </c>
      <c r="B7207" t="s">
        <v>99</v>
      </c>
      <c r="C7207" s="2">
        <v>44371</v>
      </c>
      <c r="D7207" t="s">
        <v>26</v>
      </c>
      <c r="E7207">
        <v>120</v>
      </c>
    </row>
    <row r="7208" spans="1:5" x14ac:dyDescent="0.55000000000000004">
      <c r="A7208" t="s">
        <v>7289</v>
      </c>
      <c r="B7208" t="s">
        <v>14</v>
      </c>
      <c r="C7208" s="2">
        <v>44384</v>
      </c>
      <c r="D7208" t="s">
        <v>29</v>
      </c>
      <c r="E7208">
        <v>1164</v>
      </c>
    </row>
    <row r="7209" spans="1:5" x14ac:dyDescent="0.55000000000000004">
      <c r="A7209" t="s">
        <v>7290</v>
      </c>
      <c r="B7209" t="s">
        <v>63</v>
      </c>
      <c r="C7209" s="2">
        <v>43354</v>
      </c>
      <c r="D7209" t="s">
        <v>26</v>
      </c>
      <c r="E7209">
        <v>754</v>
      </c>
    </row>
    <row r="7210" spans="1:5" x14ac:dyDescent="0.55000000000000004">
      <c r="A7210" t="s">
        <v>7291</v>
      </c>
      <c r="B7210" t="s">
        <v>118</v>
      </c>
      <c r="C7210" s="2">
        <v>45237</v>
      </c>
      <c r="D7210" t="s">
        <v>26</v>
      </c>
      <c r="E7210">
        <v>525</v>
      </c>
    </row>
    <row r="7211" spans="1:5" x14ac:dyDescent="0.55000000000000004">
      <c r="A7211" t="s">
        <v>7292</v>
      </c>
      <c r="B7211" t="s">
        <v>96</v>
      </c>
      <c r="C7211" s="2">
        <v>45306</v>
      </c>
      <c r="D7211" t="s">
        <v>29</v>
      </c>
      <c r="E7211">
        <v>1912</v>
      </c>
    </row>
    <row r="7212" spans="1:5" x14ac:dyDescent="0.55000000000000004">
      <c r="A7212" t="s">
        <v>7293</v>
      </c>
      <c r="B7212" t="s">
        <v>151</v>
      </c>
      <c r="C7212" s="2">
        <v>43334</v>
      </c>
      <c r="D7212" t="s">
        <v>26</v>
      </c>
      <c r="E7212">
        <v>1696</v>
      </c>
    </row>
    <row r="7213" spans="1:5" x14ac:dyDescent="0.55000000000000004">
      <c r="A7213" t="s">
        <v>7294</v>
      </c>
      <c r="B7213" t="s">
        <v>94</v>
      </c>
      <c r="C7213" s="2">
        <v>45539</v>
      </c>
      <c r="D7213" t="s">
        <v>26</v>
      </c>
      <c r="E7213">
        <v>1631</v>
      </c>
    </row>
    <row r="7214" spans="1:5" x14ac:dyDescent="0.55000000000000004">
      <c r="A7214" t="s">
        <v>7295</v>
      </c>
      <c r="B7214" t="s">
        <v>101</v>
      </c>
      <c r="C7214" s="2">
        <v>43528</v>
      </c>
      <c r="D7214" t="s">
        <v>29</v>
      </c>
      <c r="E7214">
        <v>115</v>
      </c>
    </row>
    <row r="7215" spans="1:5" x14ac:dyDescent="0.55000000000000004">
      <c r="A7215" t="s">
        <v>7296</v>
      </c>
      <c r="B7215" t="s">
        <v>137</v>
      </c>
      <c r="C7215" s="2">
        <v>45280</v>
      </c>
      <c r="D7215" t="s">
        <v>26</v>
      </c>
      <c r="E7215">
        <v>849</v>
      </c>
    </row>
    <row r="7216" spans="1:5" x14ac:dyDescent="0.55000000000000004">
      <c r="A7216" t="s">
        <v>7297</v>
      </c>
      <c r="B7216" t="s">
        <v>99</v>
      </c>
      <c r="C7216" s="2">
        <v>44946</v>
      </c>
      <c r="D7216" t="s">
        <v>26</v>
      </c>
      <c r="E7216">
        <v>975</v>
      </c>
    </row>
    <row r="7217" spans="1:5" x14ac:dyDescent="0.55000000000000004">
      <c r="A7217" t="s">
        <v>7298</v>
      </c>
      <c r="B7217" t="s">
        <v>101</v>
      </c>
      <c r="C7217" s="2">
        <v>44550</v>
      </c>
      <c r="D7217" t="s">
        <v>26</v>
      </c>
      <c r="E7217">
        <v>1372</v>
      </c>
    </row>
    <row r="7218" spans="1:5" x14ac:dyDescent="0.55000000000000004">
      <c r="A7218" t="s">
        <v>7299</v>
      </c>
      <c r="B7218" t="s">
        <v>32</v>
      </c>
      <c r="C7218" s="2">
        <v>44472</v>
      </c>
      <c r="D7218" t="s">
        <v>26</v>
      </c>
      <c r="E7218">
        <v>2555</v>
      </c>
    </row>
    <row r="7219" spans="1:5" x14ac:dyDescent="0.55000000000000004">
      <c r="A7219" t="s">
        <v>7300</v>
      </c>
      <c r="B7219" t="s">
        <v>67</v>
      </c>
      <c r="C7219" s="2">
        <v>44712</v>
      </c>
      <c r="D7219" t="s">
        <v>26</v>
      </c>
      <c r="E7219">
        <v>2581</v>
      </c>
    </row>
    <row r="7220" spans="1:5" x14ac:dyDescent="0.55000000000000004">
      <c r="A7220" t="s">
        <v>7301</v>
      </c>
      <c r="B7220" t="s">
        <v>156</v>
      </c>
      <c r="C7220" s="2">
        <v>43090</v>
      </c>
      <c r="D7220" t="s">
        <v>26</v>
      </c>
      <c r="E7220">
        <v>2622</v>
      </c>
    </row>
    <row r="7221" spans="1:5" x14ac:dyDescent="0.55000000000000004">
      <c r="A7221" t="s">
        <v>7302</v>
      </c>
      <c r="B7221" t="s">
        <v>96</v>
      </c>
      <c r="C7221" s="2">
        <v>44684</v>
      </c>
      <c r="D7221" t="s">
        <v>26</v>
      </c>
      <c r="E7221">
        <v>541</v>
      </c>
    </row>
    <row r="7222" spans="1:5" x14ac:dyDescent="0.55000000000000004">
      <c r="A7222" t="s">
        <v>7303</v>
      </c>
      <c r="B7222" t="s">
        <v>94</v>
      </c>
      <c r="C7222" s="2">
        <v>45497</v>
      </c>
      <c r="D7222" t="s">
        <v>29</v>
      </c>
      <c r="E7222">
        <v>75</v>
      </c>
    </row>
    <row r="7223" spans="1:5" x14ac:dyDescent="0.55000000000000004">
      <c r="A7223" t="s">
        <v>7304</v>
      </c>
      <c r="B7223" t="s">
        <v>38</v>
      </c>
      <c r="C7223" s="2">
        <v>44720</v>
      </c>
      <c r="D7223" t="s">
        <v>29</v>
      </c>
      <c r="E7223">
        <v>1502</v>
      </c>
    </row>
    <row r="7224" spans="1:5" x14ac:dyDescent="0.55000000000000004">
      <c r="A7224" t="s">
        <v>7305</v>
      </c>
      <c r="B7224" t="s">
        <v>67</v>
      </c>
      <c r="C7224" s="2">
        <v>44150</v>
      </c>
      <c r="D7224" t="s">
        <v>29</v>
      </c>
      <c r="E7224">
        <v>1857</v>
      </c>
    </row>
    <row r="7225" spans="1:5" x14ac:dyDescent="0.55000000000000004">
      <c r="A7225" t="s">
        <v>7306</v>
      </c>
      <c r="B7225" t="s">
        <v>140</v>
      </c>
      <c r="C7225" s="2">
        <v>43199</v>
      </c>
      <c r="D7225" t="s">
        <v>29</v>
      </c>
      <c r="E7225">
        <v>2331</v>
      </c>
    </row>
    <row r="7226" spans="1:5" x14ac:dyDescent="0.55000000000000004">
      <c r="A7226" t="s">
        <v>7307</v>
      </c>
      <c r="B7226" t="s">
        <v>14</v>
      </c>
      <c r="C7226" s="2">
        <v>43797</v>
      </c>
      <c r="D7226" t="s">
        <v>26</v>
      </c>
      <c r="E7226">
        <v>56</v>
      </c>
    </row>
    <row r="7227" spans="1:5" x14ac:dyDescent="0.55000000000000004">
      <c r="A7227" t="s">
        <v>7308</v>
      </c>
      <c r="B7227" t="s">
        <v>175</v>
      </c>
      <c r="C7227" s="2">
        <v>43629</v>
      </c>
      <c r="D7227" t="s">
        <v>26</v>
      </c>
      <c r="E7227">
        <v>2894</v>
      </c>
    </row>
    <row r="7228" spans="1:5" x14ac:dyDescent="0.55000000000000004">
      <c r="A7228" t="s">
        <v>7309</v>
      </c>
      <c r="B7228" t="s">
        <v>101</v>
      </c>
      <c r="C7228" s="2">
        <v>43307</v>
      </c>
      <c r="D7228" t="s">
        <v>29</v>
      </c>
      <c r="E7228">
        <v>2598</v>
      </c>
    </row>
    <row r="7229" spans="1:5" x14ac:dyDescent="0.55000000000000004">
      <c r="A7229" t="s">
        <v>7310</v>
      </c>
      <c r="B7229" t="s">
        <v>76</v>
      </c>
      <c r="C7229" s="2">
        <v>45118</v>
      </c>
      <c r="D7229" t="s">
        <v>29</v>
      </c>
      <c r="E7229">
        <v>1686</v>
      </c>
    </row>
    <row r="7230" spans="1:5" x14ac:dyDescent="0.55000000000000004">
      <c r="A7230" t="s">
        <v>7311</v>
      </c>
      <c r="B7230" t="s">
        <v>78</v>
      </c>
      <c r="C7230" s="2">
        <v>43756</v>
      </c>
      <c r="D7230" t="s">
        <v>29</v>
      </c>
      <c r="E7230">
        <v>2349</v>
      </c>
    </row>
    <row r="7231" spans="1:5" x14ac:dyDescent="0.55000000000000004">
      <c r="A7231" t="s">
        <v>7312</v>
      </c>
      <c r="B7231" t="s">
        <v>15</v>
      </c>
      <c r="C7231" s="2">
        <v>43464</v>
      </c>
      <c r="D7231" t="s">
        <v>29</v>
      </c>
      <c r="E7231">
        <v>2437</v>
      </c>
    </row>
    <row r="7232" spans="1:5" x14ac:dyDescent="0.55000000000000004">
      <c r="A7232" t="s">
        <v>7313</v>
      </c>
      <c r="B7232" t="s">
        <v>96</v>
      </c>
      <c r="C7232" s="2">
        <v>44321</v>
      </c>
      <c r="D7232" t="s">
        <v>26</v>
      </c>
      <c r="E7232">
        <v>2141</v>
      </c>
    </row>
    <row r="7233" spans="1:5" x14ac:dyDescent="0.55000000000000004">
      <c r="A7233" t="s">
        <v>7314</v>
      </c>
      <c r="B7233" t="s">
        <v>151</v>
      </c>
      <c r="C7233" s="2">
        <v>44119</v>
      </c>
      <c r="D7233" t="s">
        <v>29</v>
      </c>
      <c r="E7233">
        <v>2352</v>
      </c>
    </row>
    <row r="7234" spans="1:5" x14ac:dyDescent="0.55000000000000004">
      <c r="A7234" t="s">
        <v>7315</v>
      </c>
      <c r="B7234" t="s">
        <v>175</v>
      </c>
      <c r="C7234" s="2">
        <v>45684</v>
      </c>
      <c r="D7234" t="s">
        <v>29</v>
      </c>
      <c r="E7234">
        <v>2450</v>
      </c>
    </row>
    <row r="7235" spans="1:5" x14ac:dyDescent="0.55000000000000004">
      <c r="A7235" t="s">
        <v>7316</v>
      </c>
      <c r="B7235" t="s">
        <v>137</v>
      </c>
      <c r="C7235" s="2">
        <v>43782</v>
      </c>
      <c r="D7235" t="s">
        <v>29</v>
      </c>
      <c r="E7235">
        <v>2452</v>
      </c>
    </row>
    <row r="7236" spans="1:5" x14ac:dyDescent="0.55000000000000004">
      <c r="A7236" t="s">
        <v>7317</v>
      </c>
      <c r="B7236" t="s">
        <v>41</v>
      </c>
      <c r="C7236" s="2">
        <v>44867</v>
      </c>
      <c r="D7236" t="s">
        <v>29</v>
      </c>
      <c r="E7236">
        <v>140</v>
      </c>
    </row>
    <row r="7237" spans="1:5" x14ac:dyDescent="0.55000000000000004">
      <c r="A7237" t="s">
        <v>7318</v>
      </c>
      <c r="B7237" t="s">
        <v>23</v>
      </c>
      <c r="C7237" s="2">
        <v>44476</v>
      </c>
      <c r="D7237" t="s">
        <v>29</v>
      </c>
      <c r="E7237">
        <v>58</v>
      </c>
    </row>
    <row r="7238" spans="1:5" x14ac:dyDescent="0.55000000000000004">
      <c r="A7238" t="s">
        <v>7319</v>
      </c>
      <c r="B7238" t="s">
        <v>76</v>
      </c>
      <c r="C7238" s="2">
        <v>44621</v>
      </c>
      <c r="D7238" t="s">
        <v>26</v>
      </c>
      <c r="E7238">
        <v>585</v>
      </c>
    </row>
    <row r="7239" spans="1:5" x14ac:dyDescent="0.55000000000000004">
      <c r="A7239" t="s">
        <v>7320</v>
      </c>
      <c r="B7239" t="s">
        <v>175</v>
      </c>
      <c r="C7239" s="2">
        <v>45173</v>
      </c>
      <c r="D7239" t="s">
        <v>29</v>
      </c>
      <c r="E7239">
        <v>1214</v>
      </c>
    </row>
    <row r="7240" spans="1:5" x14ac:dyDescent="0.55000000000000004">
      <c r="A7240" t="s">
        <v>7321</v>
      </c>
      <c r="B7240" t="s">
        <v>151</v>
      </c>
      <c r="C7240" s="2">
        <v>43178</v>
      </c>
      <c r="D7240" t="s">
        <v>26</v>
      </c>
      <c r="E7240">
        <v>911</v>
      </c>
    </row>
    <row r="7241" spans="1:5" x14ac:dyDescent="0.55000000000000004">
      <c r="A7241" t="s">
        <v>7322</v>
      </c>
      <c r="B7241" t="s">
        <v>23</v>
      </c>
      <c r="C7241" s="2">
        <v>44357</v>
      </c>
      <c r="D7241" t="s">
        <v>29</v>
      </c>
      <c r="E7241">
        <v>415</v>
      </c>
    </row>
    <row r="7242" spans="1:5" x14ac:dyDescent="0.55000000000000004">
      <c r="A7242" t="s">
        <v>7323</v>
      </c>
      <c r="B7242" t="s">
        <v>72</v>
      </c>
      <c r="C7242" s="2">
        <v>43123</v>
      </c>
      <c r="D7242" t="s">
        <v>26</v>
      </c>
      <c r="E7242">
        <v>2943</v>
      </c>
    </row>
    <row r="7243" spans="1:5" x14ac:dyDescent="0.55000000000000004">
      <c r="A7243" t="s">
        <v>7324</v>
      </c>
      <c r="B7243" t="s">
        <v>99</v>
      </c>
      <c r="C7243" s="2">
        <v>45651</v>
      </c>
      <c r="D7243" t="s">
        <v>26</v>
      </c>
      <c r="E7243">
        <v>2705</v>
      </c>
    </row>
    <row r="7244" spans="1:5" x14ac:dyDescent="0.55000000000000004">
      <c r="A7244" t="s">
        <v>7325</v>
      </c>
      <c r="B7244" t="s">
        <v>76</v>
      </c>
      <c r="C7244" s="2">
        <v>43893</v>
      </c>
      <c r="D7244" t="s">
        <v>29</v>
      </c>
      <c r="E7244">
        <v>2522</v>
      </c>
    </row>
    <row r="7245" spans="1:5" x14ac:dyDescent="0.55000000000000004">
      <c r="A7245" t="s">
        <v>7326</v>
      </c>
      <c r="B7245" t="s">
        <v>156</v>
      </c>
      <c r="C7245" s="2">
        <v>44068</v>
      </c>
      <c r="D7245" t="s">
        <v>29</v>
      </c>
      <c r="E7245">
        <v>933</v>
      </c>
    </row>
    <row r="7246" spans="1:5" x14ac:dyDescent="0.55000000000000004">
      <c r="A7246" t="s">
        <v>7327</v>
      </c>
      <c r="B7246" t="s">
        <v>84</v>
      </c>
      <c r="C7246" s="2">
        <v>42950</v>
      </c>
      <c r="D7246" t="s">
        <v>26</v>
      </c>
      <c r="E7246">
        <v>2866</v>
      </c>
    </row>
    <row r="7247" spans="1:5" x14ac:dyDescent="0.55000000000000004">
      <c r="A7247" t="s">
        <v>7328</v>
      </c>
      <c r="B7247" t="s">
        <v>74</v>
      </c>
      <c r="C7247" s="2">
        <v>43290</v>
      </c>
      <c r="D7247" t="s">
        <v>29</v>
      </c>
      <c r="E7247">
        <v>1789</v>
      </c>
    </row>
    <row r="7248" spans="1:5" x14ac:dyDescent="0.55000000000000004">
      <c r="A7248" t="s">
        <v>7329</v>
      </c>
      <c r="B7248" t="s">
        <v>78</v>
      </c>
      <c r="C7248" s="2">
        <v>44135</v>
      </c>
      <c r="D7248" t="s">
        <v>26</v>
      </c>
      <c r="E7248">
        <v>790</v>
      </c>
    </row>
    <row r="7249" spans="1:5" x14ac:dyDescent="0.55000000000000004">
      <c r="A7249" t="s">
        <v>7330</v>
      </c>
      <c r="B7249" t="s">
        <v>175</v>
      </c>
      <c r="C7249" s="2">
        <v>45641</v>
      </c>
      <c r="D7249" t="s">
        <v>29</v>
      </c>
      <c r="E7249">
        <v>2038</v>
      </c>
    </row>
    <row r="7250" spans="1:5" x14ac:dyDescent="0.55000000000000004">
      <c r="A7250" t="s">
        <v>7331</v>
      </c>
      <c r="B7250" t="s">
        <v>156</v>
      </c>
      <c r="C7250" s="2">
        <v>43270</v>
      </c>
      <c r="D7250" t="s">
        <v>26</v>
      </c>
      <c r="E7250">
        <v>1396</v>
      </c>
    </row>
    <row r="7251" spans="1:5" x14ac:dyDescent="0.55000000000000004">
      <c r="A7251" t="s">
        <v>7332</v>
      </c>
      <c r="B7251" t="s">
        <v>101</v>
      </c>
      <c r="C7251" s="2">
        <v>44381</v>
      </c>
      <c r="D7251" t="s">
        <v>29</v>
      </c>
      <c r="E7251">
        <v>2064</v>
      </c>
    </row>
    <row r="7252" spans="1:5" x14ac:dyDescent="0.55000000000000004">
      <c r="A7252" t="s">
        <v>7333</v>
      </c>
      <c r="B7252" t="s">
        <v>41</v>
      </c>
      <c r="C7252" s="2">
        <v>44837</v>
      </c>
      <c r="D7252" t="s">
        <v>26</v>
      </c>
      <c r="E7252">
        <v>2102</v>
      </c>
    </row>
    <row r="7253" spans="1:5" x14ac:dyDescent="0.55000000000000004">
      <c r="A7253" t="s">
        <v>7334</v>
      </c>
      <c r="B7253" t="s">
        <v>118</v>
      </c>
      <c r="C7253" s="2">
        <v>45518</v>
      </c>
      <c r="D7253" t="s">
        <v>26</v>
      </c>
      <c r="E7253">
        <v>527</v>
      </c>
    </row>
    <row r="7254" spans="1:5" x14ac:dyDescent="0.55000000000000004">
      <c r="A7254" t="s">
        <v>7335</v>
      </c>
      <c r="B7254" t="s">
        <v>151</v>
      </c>
      <c r="C7254" s="2">
        <v>43839</v>
      </c>
      <c r="D7254" t="s">
        <v>29</v>
      </c>
      <c r="E7254">
        <v>236</v>
      </c>
    </row>
    <row r="7255" spans="1:5" x14ac:dyDescent="0.55000000000000004">
      <c r="A7255" t="s">
        <v>7336</v>
      </c>
      <c r="B7255" t="s">
        <v>111</v>
      </c>
      <c r="C7255" s="2">
        <v>44263</v>
      </c>
      <c r="D7255" t="s">
        <v>29</v>
      </c>
      <c r="E7255">
        <v>276</v>
      </c>
    </row>
    <row r="7256" spans="1:5" x14ac:dyDescent="0.55000000000000004">
      <c r="A7256" t="s">
        <v>7337</v>
      </c>
      <c r="B7256" t="s">
        <v>101</v>
      </c>
      <c r="C7256" s="2">
        <v>43986</v>
      </c>
      <c r="D7256" t="s">
        <v>26</v>
      </c>
      <c r="E7256">
        <v>1574</v>
      </c>
    </row>
    <row r="7257" spans="1:5" x14ac:dyDescent="0.55000000000000004">
      <c r="A7257" t="s">
        <v>7338</v>
      </c>
      <c r="B7257" t="s">
        <v>41</v>
      </c>
      <c r="C7257" s="2">
        <v>43988</v>
      </c>
      <c r="D7257" t="s">
        <v>26</v>
      </c>
      <c r="E7257">
        <v>2858</v>
      </c>
    </row>
    <row r="7258" spans="1:5" x14ac:dyDescent="0.55000000000000004">
      <c r="A7258" t="s">
        <v>7339</v>
      </c>
      <c r="B7258" t="s">
        <v>78</v>
      </c>
      <c r="C7258" s="2">
        <v>44512</v>
      </c>
      <c r="D7258" t="s">
        <v>29</v>
      </c>
      <c r="E7258">
        <v>1641</v>
      </c>
    </row>
    <row r="7259" spans="1:5" x14ac:dyDescent="0.55000000000000004">
      <c r="A7259" t="s">
        <v>7340</v>
      </c>
      <c r="B7259" t="s">
        <v>156</v>
      </c>
      <c r="C7259" s="2">
        <v>43874</v>
      </c>
      <c r="D7259" t="s">
        <v>29</v>
      </c>
      <c r="E7259">
        <v>1603</v>
      </c>
    </row>
    <row r="7260" spans="1:5" x14ac:dyDescent="0.55000000000000004">
      <c r="A7260" t="s">
        <v>7341</v>
      </c>
      <c r="B7260" t="s">
        <v>14</v>
      </c>
      <c r="C7260" s="2">
        <v>44459</v>
      </c>
      <c r="D7260" t="s">
        <v>29</v>
      </c>
      <c r="E7260">
        <v>2110</v>
      </c>
    </row>
    <row r="7261" spans="1:5" x14ac:dyDescent="0.55000000000000004">
      <c r="A7261" t="s">
        <v>7342</v>
      </c>
      <c r="B7261" t="s">
        <v>140</v>
      </c>
      <c r="C7261" s="2">
        <v>44323</v>
      </c>
      <c r="D7261" t="s">
        <v>29</v>
      </c>
      <c r="E7261">
        <v>2553</v>
      </c>
    </row>
    <row r="7262" spans="1:5" x14ac:dyDescent="0.55000000000000004">
      <c r="A7262" t="s">
        <v>7343</v>
      </c>
      <c r="B7262" t="s">
        <v>84</v>
      </c>
      <c r="C7262" s="2">
        <v>44078</v>
      </c>
      <c r="D7262" t="s">
        <v>29</v>
      </c>
      <c r="E7262">
        <v>789</v>
      </c>
    </row>
    <row r="7263" spans="1:5" x14ac:dyDescent="0.55000000000000004">
      <c r="A7263" t="s">
        <v>7344</v>
      </c>
      <c r="B7263" t="s">
        <v>94</v>
      </c>
      <c r="C7263" s="2">
        <v>45684</v>
      </c>
      <c r="D7263" t="s">
        <v>26</v>
      </c>
      <c r="E7263">
        <v>15</v>
      </c>
    </row>
    <row r="7264" spans="1:5" x14ac:dyDescent="0.55000000000000004">
      <c r="A7264" t="s">
        <v>7345</v>
      </c>
      <c r="B7264" t="s">
        <v>76</v>
      </c>
      <c r="C7264" s="2">
        <v>45287</v>
      </c>
      <c r="D7264" t="s">
        <v>26</v>
      </c>
      <c r="E7264">
        <v>824</v>
      </c>
    </row>
    <row r="7265" spans="1:5" x14ac:dyDescent="0.55000000000000004">
      <c r="A7265" t="s">
        <v>7346</v>
      </c>
      <c r="B7265" t="s">
        <v>101</v>
      </c>
      <c r="C7265" s="2">
        <v>43161</v>
      </c>
      <c r="D7265" t="s">
        <v>26</v>
      </c>
      <c r="E7265">
        <v>2224</v>
      </c>
    </row>
    <row r="7266" spans="1:5" x14ac:dyDescent="0.55000000000000004">
      <c r="A7266" t="s">
        <v>7347</v>
      </c>
      <c r="B7266" t="s">
        <v>142</v>
      </c>
      <c r="C7266" s="2">
        <v>44092</v>
      </c>
      <c r="D7266" t="s">
        <v>26</v>
      </c>
      <c r="E7266">
        <v>1708</v>
      </c>
    </row>
    <row r="7267" spans="1:5" x14ac:dyDescent="0.55000000000000004">
      <c r="A7267" t="s">
        <v>7348</v>
      </c>
      <c r="B7267" t="s">
        <v>74</v>
      </c>
      <c r="C7267" s="2">
        <v>43703</v>
      </c>
      <c r="D7267" t="s">
        <v>29</v>
      </c>
      <c r="E7267">
        <v>542</v>
      </c>
    </row>
    <row r="7268" spans="1:5" x14ac:dyDescent="0.55000000000000004">
      <c r="A7268" t="s">
        <v>7349</v>
      </c>
      <c r="B7268" t="s">
        <v>14</v>
      </c>
      <c r="C7268" s="2">
        <v>43119</v>
      </c>
      <c r="D7268" t="s">
        <v>29</v>
      </c>
      <c r="E7268">
        <v>1321</v>
      </c>
    </row>
    <row r="7269" spans="1:5" x14ac:dyDescent="0.55000000000000004">
      <c r="A7269" t="s">
        <v>7350</v>
      </c>
      <c r="B7269" t="s">
        <v>86</v>
      </c>
      <c r="C7269" s="2">
        <v>43569</v>
      </c>
      <c r="D7269" t="s">
        <v>29</v>
      </c>
      <c r="E7269">
        <v>2803</v>
      </c>
    </row>
    <row r="7270" spans="1:5" x14ac:dyDescent="0.55000000000000004">
      <c r="A7270" t="s">
        <v>7351</v>
      </c>
      <c r="B7270" t="s">
        <v>67</v>
      </c>
      <c r="C7270" s="2">
        <v>45130</v>
      </c>
      <c r="D7270" t="s">
        <v>29</v>
      </c>
      <c r="E7270">
        <v>1353</v>
      </c>
    </row>
    <row r="7271" spans="1:5" x14ac:dyDescent="0.55000000000000004">
      <c r="A7271" t="s">
        <v>7352</v>
      </c>
      <c r="B7271" t="s">
        <v>96</v>
      </c>
      <c r="C7271" s="2">
        <v>45607</v>
      </c>
      <c r="D7271" t="s">
        <v>29</v>
      </c>
      <c r="E7271">
        <v>1320</v>
      </c>
    </row>
    <row r="7272" spans="1:5" x14ac:dyDescent="0.55000000000000004">
      <c r="A7272" t="s">
        <v>7353</v>
      </c>
      <c r="B7272" t="s">
        <v>111</v>
      </c>
      <c r="C7272" s="2">
        <v>44456</v>
      </c>
      <c r="D7272" t="s">
        <v>29</v>
      </c>
      <c r="E7272">
        <v>2021</v>
      </c>
    </row>
    <row r="7273" spans="1:5" x14ac:dyDescent="0.55000000000000004">
      <c r="A7273" t="s">
        <v>7354</v>
      </c>
      <c r="B7273" t="s">
        <v>86</v>
      </c>
      <c r="C7273" s="2">
        <v>43121</v>
      </c>
      <c r="D7273" t="s">
        <v>26</v>
      </c>
      <c r="E7273">
        <v>1043</v>
      </c>
    </row>
    <row r="7274" spans="1:5" x14ac:dyDescent="0.55000000000000004">
      <c r="A7274" t="s">
        <v>7355</v>
      </c>
      <c r="B7274" t="s">
        <v>96</v>
      </c>
      <c r="C7274" s="2">
        <v>45231</v>
      </c>
      <c r="D7274" t="s">
        <v>29</v>
      </c>
      <c r="E7274">
        <v>23</v>
      </c>
    </row>
    <row r="7275" spans="1:5" x14ac:dyDescent="0.55000000000000004">
      <c r="A7275" t="s">
        <v>7356</v>
      </c>
      <c r="B7275" t="s">
        <v>14</v>
      </c>
      <c r="C7275" s="2">
        <v>43024</v>
      </c>
      <c r="D7275" t="s">
        <v>29</v>
      </c>
      <c r="E7275">
        <v>2145</v>
      </c>
    </row>
    <row r="7276" spans="1:5" x14ac:dyDescent="0.55000000000000004">
      <c r="A7276" t="s">
        <v>7357</v>
      </c>
      <c r="B7276" t="s">
        <v>15</v>
      </c>
      <c r="C7276" s="2">
        <v>43608</v>
      </c>
      <c r="D7276" t="s">
        <v>29</v>
      </c>
      <c r="E7276">
        <v>2174</v>
      </c>
    </row>
    <row r="7277" spans="1:5" x14ac:dyDescent="0.55000000000000004">
      <c r="A7277" t="s">
        <v>7358</v>
      </c>
      <c r="B7277" t="s">
        <v>76</v>
      </c>
      <c r="C7277" s="2">
        <v>44009</v>
      </c>
      <c r="D7277" t="s">
        <v>29</v>
      </c>
      <c r="E7277">
        <v>2798</v>
      </c>
    </row>
    <row r="7278" spans="1:5" x14ac:dyDescent="0.55000000000000004">
      <c r="A7278" t="s">
        <v>7359</v>
      </c>
      <c r="B7278" t="s">
        <v>142</v>
      </c>
      <c r="C7278" s="2">
        <v>43648</v>
      </c>
      <c r="D7278" t="s">
        <v>26</v>
      </c>
      <c r="E7278">
        <v>1698</v>
      </c>
    </row>
    <row r="7279" spans="1:5" x14ac:dyDescent="0.55000000000000004">
      <c r="A7279" t="s">
        <v>7360</v>
      </c>
      <c r="B7279" t="s">
        <v>101</v>
      </c>
      <c r="C7279" s="2">
        <v>43639</v>
      </c>
      <c r="D7279" t="s">
        <v>29</v>
      </c>
      <c r="E7279">
        <v>1331</v>
      </c>
    </row>
    <row r="7280" spans="1:5" x14ac:dyDescent="0.55000000000000004">
      <c r="A7280" t="s">
        <v>7361</v>
      </c>
      <c r="B7280" t="s">
        <v>115</v>
      </c>
      <c r="C7280" s="2">
        <v>43232</v>
      </c>
      <c r="D7280" t="s">
        <v>26</v>
      </c>
      <c r="E7280">
        <v>1051</v>
      </c>
    </row>
    <row r="7281" spans="1:5" x14ac:dyDescent="0.55000000000000004">
      <c r="A7281" t="s">
        <v>7362</v>
      </c>
      <c r="B7281" t="s">
        <v>76</v>
      </c>
      <c r="C7281" s="2">
        <v>44705</v>
      </c>
      <c r="D7281" t="s">
        <v>29</v>
      </c>
      <c r="E7281">
        <v>281</v>
      </c>
    </row>
    <row r="7282" spans="1:5" x14ac:dyDescent="0.55000000000000004">
      <c r="A7282" t="s">
        <v>7363</v>
      </c>
      <c r="B7282" t="s">
        <v>118</v>
      </c>
      <c r="C7282" s="2">
        <v>45564</v>
      </c>
      <c r="D7282" t="s">
        <v>29</v>
      </c>
      <c r="E7282">
        <v>1212</v>
      </c>
    </row>
    <row r="7283" spans="1:5" x14ac:dyDescent="0.55000000000000004">
      <c r="A7283" t="s">
        <v>7364</v>
      </c>
      <c r="B7283" t="s">
        <v>14</v>
      </c>
      <c r="C7283" s="2">
        <v>43211</v>
      </c>
      <c r="D7283" t="s">
        <v>26</v>
      </c>
      <c r="E7283">
        <v>825</v>
      </c>
    </row>
    <row r="7284" spans="1:5" x14ac:dyDescent="0.55000000000000004">
      <c r="A7284" t="s">
        <v>7365</v>
      </c>
      <c r="B7284" t="s">
        <v>67</v>
      </c>
      <c r="C7284" s="2">
        <v>45131</v>
      </c>
      <c r="D7284" t="s">
        <v>29</v>
      </c>
      <c r="E7284">
        <v>69</v>
      </c>
    </row>
    <row r="7285" spans="1:5" x14ac:dyDescent="0.55000000000000004">
      <c r="A7285" t="s">
        <v>7366</v>
      </c>
      <c r="B7285" t="s">
        <v>67</v>
      </c>
      <c r="C7285" s="2">
        <v>44421</v>
      </c>
      <c r="D7285" t="s">
        <v>29</v>
      </c>
      <c r="E7285">
        <v>1924</v>
      </c>
    </row>
    <row r="7286" spans="1:5" x14ac:dyDescent="0.55000000000000004">
      <c r="A7286" t="s">
        <v>7367</v>
      </c>
      <c r="B7286" t="s">
        <v>76</v>
      </c>
      <c r="C7286" s="2">
        <v>43637</v>
      </c>
      <c r="D7286" t="s">
        <v>26</v>
      </c>
      <c r="E7286">
        <v>1853</v>
      </c>
    </row>
    <row r="7287" spans="1:5" x14ac:dyDescent="0.55000000000000004">
      <c r="A7287" t="s">
        <v>7368</v>
      </c>
      <c r="B7287" t="s">
        <v>14</v>
      </c>
      <c r="C7287" s="2">
        <v>43419</v>
      </c>
      <c r="D7287" t="s">
        <v>29</v>
      </c>
      <c r="E7287">
        <v>794</v>
      </c>
    </row>
    <row r="7288" spans="1:5" x14ac:dyDescent="0.55000000000000004">
      <c r="A7288" t="s">
        <v>7369</v>
      </c>
      <c r="B7288" t="s">
        <v>142</v>
      </c>
      <c r="C7288" s="2">
        <v>44191</v>
      </c>
      <c r="D7288" t="s">
        <v>29</v>
      </c>
      <c r="E7288">
        <v>1096</v>
      </c>
    </row>
    <row r="7289" spans="1:5" x14ac:dyDescent="0.55000000000000004">
      <c r="A7289" t="s">
        <v>7370</v>
      </c>
      <c r="B7289" t="s">
        <v>72</v>
      </c>
      <c r="C7289" s="2">
        <v>43351</v>
      </c>
      <c r="D7289" t="s">
        <v>29</v>
      </c>
      <c r="E7289">
        <v>248</v>
      </c>
    </row>
    <row r="7290" spans="1:5" x14ac:dyDescent="0.55000000000000004">
      <c r="A7290" t="s">
        <v>7371</v>
      </c>
      <c r="B7290" t="s">
        <v>105</v>
      </c>
      <c r="C7290" s="2">
        <v>43009</v>
      </c>
      <c r="D7290" t="s">
        <v>29</v>
      </c>
      <c r="E7290">
        <v>2995</v>
      </c>
    </row>
    <row r="7291" spans="1:5" x14ac:dyDescent="0.55000000000000004">
      <c r="A7291" t="s">
        <v>7372</v>
      </c>
      <c r="B7291" t="s">
        <v>142</v>
      </c>
      <c r="C7291" s="2">
        <v>44024</v>
      </c>
      <c r="D7291" t="s">
        <v>26</v>
      </c>
      <c r="E7291">
        <v>124</v>
      </c>
    </row>
    <row r="7292" spans="1:5" x14ac:dyDescent="0.55000000000000004">
      <c r="A7292" t="s">
        <v>7373</v>
      </c>
      <c r="B7292" t="s">
        <v>32</v>
      </c>
      <c r="C7292" s="2">
        <v>44400</v>
      </c>
      <c r="D7292" t="s">
        <v>26</v>
      </c>
      <c r="E7292">
        <v>870</v>
      </c>
    </row>
    <row r="7293" spans="1:5" x14ac:dyDescent="0.55000000000000004">
      <c r="A7293" t="s">
        <v>7374</v>
      </c>
      <c r="B7293" t="s">
        <v>84</v>
      </c>
      <c r="C7293" s="2">
        <v>44285</v>
      </c>
      <c r="D7293" t="s">
        <v>26</v>
      </c>
      <c r="E7293">
        <v>2391</v>
      </c>
    </row>
    <row r="7294" spans="1:5" x14ac:dyDescent="0.55000000000000004">
      <c r="A7294" t="s">
        <v>7375</v>
      </c>
      <c r="B7294" t="s">
        <v>118</v>
      </c>
      <c r="C7294" s="2">
        <v>45240</v>
      </c>
      <c r="D7294" t="s">
        <v>26</v>
      </c>
      <c r="E7294">
        <v>2487</v>
      </c>
    </row>
    <row r="7295" spans="1:5" x14ac:dyDescent="0.55000000000000004">
      <c r="A7295" t="s">
        <v>7376</v>
      </c>
      <c r="B7295" t="s">
        <v>96</v>
      </c>
      <c r="C7295" s="2">
        <v>45451</v>
      </c>
      <c r="D7295" t="s">
        <v>29</v>
      </c>
      <c r="E7295">
        <v>552</v>
      </c>
    </row>
    <row r="7296" spans="1:5" x14ac:dyDescent="0.55000000000000004">
      <c r="A7296" t="s">
        <v>7377</v>
      </c>
      <c r="B7296" t="s">
        <v>175</v>
      </c>
      <c r="C7296" s="2">
        <v>44583</v>
      </c>
      <c r="D7296" t="s">
        <v>29</v>
      </c>
      <c r="E7296">
        <v>626</v>
      </c>
    </row>
    <row r="7297" spans="1:5" x14ac:dyDescent="0.55000000000000004">
      <c r="A7297" t="s">
        <v>7378</v>
      </c>
      <c r="B7297" t="s">
        <v>99</v>
      </c>
      <c r="C7297" s="2">
        <v>44566</v>
      </c>
      <c r="D7297" t="s">
        <v>26</v>
      </c>
      <c r="E7297">
        <v>859</v>
      </c>
    </row>
    <row r="7298" spans="1:5" x14ac:dyDescent="0.55000000000000004">
      <c r="A7298" t="s">
        <v>7379</v>
      </c>
      <c r="B7298" t="s">
        <v>86</v>
      </c>
      <c r="C7298" s="2">
        <v>43714</v>
      </c>
      <c r="D7298" t="s">
        <v>29</v>
      </c>
      <c r="E7298">
        <v>2157</v>
      </c>
    </row>
    <row r="7299" spans="1:5" x14ac:dyDescent="0.55000000000000004">
      <c r="A7299" t="s">
        <v>7380</v>
      </c>
      <c r="B7299" t="s">
        <v>14</v>
      </c>
      <c r="C7299" s="2">
        <v>43528</v>
      </c>
      <c r="D7299" t="s">
        <v>29</v>
      </c>
      <c r="E7299">
        <v>173</v>
      </c>
    </row>
    <row r="7300" spans="1:5" x14ac:dyDescent="0.55000000000000004">
      <c r="A7300" t="s">
        <v>7381</v>
      </c>
      <c r="B7300" t="s">
        <v>15</v>
      </c>
      <c r="C7300" s="2">
        <v>43336</v>
      </c>
      <c r="D7300" t="s">
        <v>29</v>
      </c>
      <c r="E7300">
        <v>1546</v>
      </c>
    </row>
    <row r="7301" spans="1:5" x14ac:dyDescent="0.55000000000000004">
      <c r="A7301" t="s">
        <v>7382</v>
      </c>
      <c r="B7301" t="s">
        <v>118</v>
      </c>
      <c r="C7301" s="2">
        <v>45481</v>
      </c>
      <c r="D7301" t="s">
        <v>29</v>
      </c>
      <c r="E7301">
        <v>2086</v>
      </c>
    </row>
    <row r="7302" spans="1:5" x14ac:dyDescent="0.55000000000000004">
      <c r="A7302" t="s">
        <v>7383</v>
      </c>
      <c r="B7302" t="s">
        <v>14</v>
      </c>
      <c r="C7302" s="2">
        <v>44090</v>
      </c>
      <c r="D7302" t="s">
        <v>29</v>
      </c>
      <c r="E7302">
        <v>2040</v>
      </c>
    </row>
    <row r="7303" spans="1:5" x14ac:dyDescent="0.55000000000000004">
      <c r="A7303" t="s">
        <v>7384</v>
      </c>
      <c r="B7303" t="s">
        <v>35</v>
      </c>
      <c r="C7303" s="2">
        <v>44287</v>
      </c>
      <c r="D7303" t="s">
        <v>29</v>
      </c>
      <c r="E7303">
        <v>2772</v>
      </c>
    </row>
    <row r="7304" spans="1:5" x14ac:dyDescent="0.55000000000000004">
      <c r="A7304" t="s">
        <v>7385</v>
      </c>
      <c r="B7304" t="s">
        <v>14</v>
      </c>
      <c r="C7304" s="2">
        <v>43606</v>
      </c>
      <c r="D7304" t="s">
        <v>26</v>
      </c>
      <c r="E7304">
        <v>574</v>
      </c>
    </row>
    <row r="7305" spans="1:5" x14ac:dyDescent="0.55000000000000004">
      <c r="A7305" t="s">
        <v>7386</v>
      </c>
      <c r="B7305" t="s">
        <v>38</v>
      </c>
      <c r="C7305" s="2">
        <v>44716</v>
      </c>
      <c r="D7305" t="s">
        <v>26</v>
      </c>
      <c r="E7305">
        <v>690</v>
      </c>
    </row>
    <row r="7306" spans="1:5" x14ac:dyDescent="0.55000000000000004">
      <c r="A7306" t="s">
        <v>7387</v>
      </c>
      <c r="B7306" t="s">
        <v>41</v>
      </c>
      <c r="C7306" s="2">
        <v>44344</v>
      </c>
      <c r="D7306" t="s">
        <v>29</v>
      </c>
      <c r="E7306">
        <v>602</v>
      </c>
    </row>
    <row r="7307" spans="1:5" x14ac:dyDescent="0.55000000000000004">
      <c r="A7307" t="s">
        <v>7388</v>
      </c>
      <c r="B7307" t="s">
        <v>35</v>
      </c>
      <c r="C7307" s="2">
        <v>43921</v>
      </c>
      <c r="D7307" t="s">
        <v>26</v>
      </c>
      <c r="E7307">
        <v>368</v>
      </c>
    </row>
    <row r="7308" spans="1:5" x14ac:dyDescent="0.55000000000000004">
      <c r="A7308" t="s">
        <v>7389</v>
      </c>
      <c r="B7308" t="s">
        <v>86</v>
      </c>
      <c r="C7308" s="2">
        <v>44003</v>
      </c>
      <c r="D7308" t="s">
        <v>26</v>
      </c>
      <c r="E7308">
        <v>1360</v>
      </c>
    </row>
    <row r="7309" spans="1:5" x14ac:dyDescent="0.55000000000000004">
      <c r="A7309" t="s">
        <v>7390</v>
      </c>
      <c r="B7309" t="s">
        <v>67</v>
      </c>
      <c r="C7309" s="2">
        <v>44614</v>
      </c>
      <c r="D7309" t="s">
        <v>26</v>
      </c>
      <c r="E7309">
        <v>1919</v>
      </c>
    </row>
    <row r="7310" spans="1:5" x14ac:dyDescent="0.55000000000000004">
      <c r="A7310" t="s">
        <v>7391</v>
      </c>
      <c r="B7310" t="s">
        <v>151</v>
      </c>
      <c r="C7310" s="2">
        <v>43556</v>
      </c>
      <c r="D7310" t="s">
        <v>26</v>
      </c>
      <c r="E7310">
        <v>167</v>
      </c>
    </row>
    <row r="7311" spans="1:5" x14ac:dyDescent="0.55000000000000004">
      <c r="A7311" t="s">
        <v>7392</v>
      </c>
      <c r="B7311" t="s">
        <v>63</v>
      </c>
      <c r="C7311" s="2">
        <v>43114</v>
      </c>
      <c r="D7311" t="s">
        <v>29</v>
      </c>
      <c r="E7311">
        <v>2723</v>
      </c>
    </row>
    <row r="7312" spans="1:5" x14ac:dyDescent="0.55000000000000004">
      <c r="A7312" t="s">
        <v>7393</v>
      </c>
      <c r="B7312" t="s">
        <v>15</v>
      </c>
      <c r="C7312" s="2">
        <v>43881</v>
      </c>
      <c r="D7312" t="s">
        <v>29</v>
      </c>
      <c r="E7312">
        <v>2181</v>
      </c>
    </row>
    <row r="7313" spans="1:5" x14ac:dyDescent="0.55000000000000004">
      <c r="A7313" t="s">
        <v>7394</v>
      </c>
      <c r="B7313" t="s">
        <v>140</v>
      </c>
      <c r="C7313" s="2">
        <v>43859</v>
      </c>
      <c r="D7313" t="s">
        <v>29</v>
      </c>
      <c r="E7313">
        <v>2497</v>
      </c>
    </row>
    <row r="7314" spans="1:5" x14ac:dyDescent="0.55000000000000004">
      <c r="A7314" t="s">
        <v>7395</v>
      </c>
      <c r="B7314" t="s">
        <v>86</v>
      </c>
      <c r="C7314" s="2">
        <v>43149</v>
      </c>
      <c r="D7314" t="s">
        <v>29</v>
      </c>
      <c r="E7314">
        <v>273</v>
      </c>
    </row>
    <row r="7315" spans="1:5" x14ac:dyDescent="0.55000000000000004">
      <c r="A7315" t="s">
        <v>7396</v>
      </c>
      <c r="B7315" t="s">
        <v>67</v>
      </c>
      <c r="C7315" s="2">
        <v>45208</v>
      </c>
      <c r="D7315" t="s">
        <v>29</v>
      </c>
      <c r="E7315">
        <v>2812</v>
      </c>
    </row>
    <row r="7316" spans="1:5" x14ac:dyDescent="0.55000000000000004">
      <c r="A7316" t="s">
        <v>7397</v>
      </c>
      <c r="B7316" t="s">
        <v>67</v>
      </c>
      <c r="C7316" s="2">
        <v>44117</v>
      </c>
      <c r="D7316" t="s">
        <v>26</v>
      </c>
      <c r="E7316">
        <v>15</v>
      </c>
    </row>
    <row r="7317" spans="1:5" x14ac:dyDescent="0.55000000000000004">
      <c r="A7317" t="s">
        <v>7398</v>
      </c>
      <c r="B7317" t="s">
        <v>67</v>
      </c>
      <c r="C7317" s="2">
        <v>45604</v>
      </c>
      <c r="D7317" t="s">
        <v>26</v>
      </c>
      <c r="E7317">
        <v>2483</v>
      </c>
    </row>
    <row r="7318" spans="1:5" x14ac:dyDescent="0.55000000000000004">
      <c r="A7318" t="s">
        <v>7399</v>
      </c>
      <c r="B7318" t="s">
        <v>111</v>
      </c>
      <c r="C7318" s="2">
        <v>44528</v>
      </c>
      <c r="D7318" t="s">
        <v>29</v>
      </c>
      <c r="E7318">
        <v>2852</v>
      </c>
    </row>
    <row r="7319" spans="1:5" x14ac:dyDescent="0.55000000000000004">
      <c r="A7319" t="s">
        <v>7400</v>
      </c>
      <c r="B7319" t="s">
        <v>67</v>
      </c>
      <c r="C7319" s="2">
        <v>44598</v>
      </c>
      <c r="D7319" t="s">
        <v>26</v>
      </c>
      <c r="E7319">
        <v>2336</v>
      </c>
    </row>
    <row r="7320" spans="1:5" x14ac:dyDescent="0.55000000000000004">
      <c r="A7320" t="s">
        <v>7401</v>
      </c>
      <c r="B7320" t="s">
        <v>140</v>
      </c>
      <c r="C7320" s="2">
        <v>43242</v>
      </c>
      <c r="D7320" t="s">
        <v>26</v>
      </c>
      <c r="E7320">
        <v>2648</v>
      </c>
    </row>
    <row r="7321" spans="1:5" x14ac:dyDescent="0.55000000000000004">
      <c r="A7321" t="s">
        <v>7402</v>
      </c>
      <c r="B7321" t="s">
        <v>118</v>
      </c>
      <c r="C7321" s="2">
        <v>44366</v>
      </c>
      <c r="D7321" t="s">
        <v>26</v>
      </c>
      <c r="E7321">
        <v>1758</v>
      </c>
    </row>
    <row r="7322" spans="1:5" x14ac:dyDescent="0.55000000000000004">
      <c r="A7322" t="s">
        <v>7403</v>
      </c>
      <c r="B7322" t="s">
        <v>14</v>
      </c>
      <c r="C7322" s="2">
        <v>44426</v>
      </c>
      <c r="D7322" t="s">
        <v>29</v>
      </c>
      <c r="E7322">
        <v>2959</v>
      </c>
    </row>
    <row r="7323" spans="1:5" x14ac:dyDescent="0.55000000000000004">
      <c r="A7323" t="s">
        <v>7404</v>
      </c>
      <c r="B7323" t="s">
        <v>99</v>
      </c>
      <c r="C7323" s="2">
        <v>45009</v>
      </c>
      <c r="D7323" t="s">
        <v>29</v>
      </c>
      <c r="E7323">
        <v>678</v>
      </c>
    </row>
    <row r="7324" spans="1:5" x14ac:dyDescent="0.55000000000000004">
      <c r="A7324" t="s">
        <v>7405</v>
      </c>
      <c r="B7324" t="s">
        <v>15</v>
      </c>
      <c r="C7324" s="2">
        <v>43777</v>
      </c>
      <c r="D7324" t="s">
        <v>29</v>
      </c>
      <c r="E7324">
        <v>1198</v>
      </c>
    </row>
    <row r="7325" spans="1:5" x14ac:dyDescent="0.55000000000000004">
      <c r="A7325" t="s">
        <v>7406</v>
      </c>
      <c r="B7325" t="s">
        <v>67</v>
      </c>
      <c r="C7325" s="2">
        <v>44325</v>
      </c>
      <c r="D7325" t="s">
        <v>26</v>
      </c>
      <c r="E7325">
        <v>1816</v>
      </c>
    </row>
    <row r="7326" spans="1:5" x14ac:dyDescent="0.55000000000000004">
      <c r="A7326" t="s">
        <v>7407</v>
      </c>
      <c r="B7326" t="s">
        <v>151</v>
      </c>
      <c r="C7326" s="2">
        <v>44350</v>
      </c>
      <c r="D7326" t="s">
        <v>26</v>
      </c>
      <c r="E7326">
        <v>1572</v>
      </c>
    </row>
    <row r="7327" spans="1:5" x14ac:dyDescent="0.55000000000000004">
      <c r="A7327" t="s">
        <v>7408</v>
      </c>
      <c r="B7327" t="s">
        <v>101</v>
      </c>
      <c r="C7327" s="2">
        <v>43289</v>
      </c>
      <c r="D7327" t="s">
        <v>26</v>
      </c>
      <c r="E7327">
        <v>2691</v>
      </c>
    </row>
    <row r="7328" spans="1:5" x14ac:dyDescent="0.55000000000000004">
      <c r="A7328" t="s">
        <v>7409</v>
      </c>
      <c r="B7328" t="s">
        <v>35</v>
      </c>
      <c r="C7328" s="2">
        <v>44008</v>
      </c>
      <c r="D7328" t="s">
        <v>29</v>
      </c>
      <c r="E7328">
        <v>377</v>
      </c>
    </row>
    <row r="7329" spans="1:5" x14ac:dyDescent="0.55000000000000004">
      <c r="A7329" t="s">
        <v>7410</v>
      </c>
      <c r="B7329" t="s">
        <v>137</v>
      </c>
      <c r="C7329" s="2">
        <v>45635</v>
      </c>
      <c r="D7329" t="s">
        <v>26</v>
      </c>
      <c r="E7329">
        <v>1919</v>
      </c>
    </row>
    <row r="7330" spans="1:5" x14ac:dyDescent="0.55000000000000004">
      <c r="A7330" t="s">
        <v>7411</v>
      </c>
      <c r="B7330" t="s">
        <v>99</v>
      </c>
      <c r="C7330" s="2">
        <v>45516</v>
      </c>
      <c r="D7330" t="s">
        <v>26</v>
      </c>
      <c r="E7330">
        <v>1207</v>
      </c>
    </row>
    <row r="7331" spans="1:5" x14ac:dyDescent="0.55000000000000004">
      <c r="A7331" t="s">
        <v>7412</v>
      </c>
      <c r="B7331" t="s">
        <v>118</v>
      </c>
      <c r="C7331" s="2">
        <v>44066</v>
      </c>
      <c r="D7331" t="s">
        <v>29</v>
      </c>
      <c r="E7331">
        <v>1481</v>
      </c>
    </row>
    <row r="7332" spans="1:5" x14ac:dyDescent="0.55000000000000004">
      <c r="A7332" t="s">
        <v>7413</v>
      </c>
      <c r="B7332" t="s">
        <v>175</v>
      </c>
      <c r="C7332" s="2">
        <v>44858</v>
      </c>
      <c r="D7332" t="s">
        <v>29</v>
      </c>
      <c r="E7332">
        <v>1697</v>
      </c>
    </row>
    <row r="7333" spans="1:5" x14ac:dyDescent="0.55000000000000004">
      <c r="A7333" t="s">
        <v>7414</v>
      </c>
      <c r="B7333" t="s">
        <v>32</v>
      </c>
      <c r="C7333" s="2">
        <v>43878</v>
      </c>
      <c r="D7333" t="s">
        <v>29</v>
      </c>
      <c r="E7333">
        <v>625</v>
      </c>
    </row>
    <row r="7334" spans="1:5" x14ac:dyDescent="0.55000000000000004">
      <c r="A7334" t="s">
        <v>7415</v>
      </c>
      <c r="B7334" t="s">
        <v>63</v>
      </c>
      <c r="C7334" s="2">
        <v>43190</v>
      </c>
      <c r="D7334" t="s">
        <v>29</v>
      </c>
      <c r="E7334">
        <v>2969</v>
      </c>
    </row>
    <row r="7335" spans="1:5" x14ac:dyDescent="0.55000000000000004">
      <c r="A7335" t="s">
        <v>7416</v>
      </c>
      <c r="B7335" t="s">
        <v>72</v>
      </c>
      <c r="C7335" s="2">
        <v>43367</v>
      </c>
      <c r="D7335" t="s">
        <v>29</v>
      </c>
      <c r="E7335">
        <v>487</v>
      </c>
    </row>
    <row r="7336" spans="1:5" x14ac:dyDescent="0.55000000000000004">
      <c r="A7336" t="s">
        <v>7417</v>
      </c>
      <c r="B7336" t="s">
        <v>15</v>
      </c>
      <c r="C7336" s="2">
        <v>44196</v>
      </c>
      <c r="D7336" t="s">
        <v>26</v>
      </c>
      <c r="E7336">
        <v>620</v>
      </c>
    </row>
    <row r="7337" spans="1:5" x14ac:dyDescent="0.55000000000000004">
      <c r="A7337" t="s">
        <v>7418</v>
      </c>
      <c r="B7337" t="s">
        <v>94</v>
      </c>
      <c r="C7337" s="2">
        <v>44167</v>
      </c>
      <c r="D7337" t="s">
        <v>26</v>
      </c>
      <c r="E7337">
        <v>1931</v>
      </c>
    </row>
    <row r="7338" spans="1:5" x14ac:dyDescent="0.55000000000000004">
      <c r="A7338" t="s">
        <v>7419</v>
      </c>
      <c r="B7338" t="s">
        <v>38</v>
      </c>
      <c r="C7338" s="2">
        <v>43946</v>
      </c>
      <c r="D7338" t="s">
        <v>26</v>
      </c>
      <c r="E7338">
        <v>2901</v>
      </c>
    </row>
    <row r="7339" spans="1:5" x14ac:dyDescent="0.55000000000000004">
      <c r="A7339" t="s">
        <v>7420</v>
      </c>
      <c r="B7339" t="s">
        <v>175</v>
      </c>
      <c r="C7339" s="2">
        <v>45220</v>
      </c>
      <c r="D7339" t="s">
        <v>29</v>
      </c>
      <c r="E7339">
        <v>1117</v>
      </c>
    </row>
    <row r="7340" spans="1:5" x14ac:dyDescent="0.55000000000000004">
      <c r="A7340" t="s">
        <v>7421</v>
      </c>
      <c r="B7340" t="s">
        <v>76</v>
      </c>
      <c r="C7340" s="2">
        <v>45686</v>
      </c>
      <c r="D7340" t="s">
        <v>29</v>
      </c>
      <c r="E7340">
        <v>227</v>
      </c>
    </row>
    <row r="7341" spans="1:5" x14ac:dyDescent="0.55000000000000004">
      <c r="A7341" t="s">
        <v>7422</v>
      </c>
      <c r="B7341" t="s">
        <v>38</v>
      </c>
      <c r="C7341" s="2">
        <v>44405</v>
      </c>
      <c r="D7341" t="s">
        <v>29</v>
      </c>
      <c r="E7341">
        <v>1829</v>
      </c>
    </row>
    <row r="7342" spans="1:5" x14ac:dyDescent="0.55000000000000004">
      <c r="A7342" t="s">
        <v>7423</v>
      </c>
      <c r="B7342" t="s">
        <v>23</v>
      </c>
      <c r="C7342" s="2">
        <v>44492</v>
      </c>
      <c r="D7342" t="s">
        <v>29</v>
      </c>
      <c r="E7342">
        <v>289</v>
      </c>
    </row>
    <row r="7343" spans="1:5" x14ac:dyDescent="0.55000000000000004">
      <c r="A7343" t="s">
        <v>7424</v>
      </c>
      <c r="B7343" t="s">
        <v>35</v>
      </c>
      <c r="C7343" s="2">
        <v>44742</v>
      </c>
      <c r="D7343" t="s">
        <v>29</v>
      </c>
      <c r="E7343">
        <v>2033</v>
      </c>
    </row>
    <row r="7344" spans="1:5" x14ac:dyDescent="0.55000000000000004">
      <c r="A7344" t="s">
        <v>7425</v>
      </c>
      <c r="B7344" t="s">
        <v>111</v>
      </c>
      <c r="C7344" s="2">
        <v>43559</v>
      </c>
      <c r="D7344" t="s">
        <v>26</v>
      </c>
      <c r="E7344">
        <v>2430</v>
      </c>
    </row>
    <row r="7345" spans="1:5" x14ac:dyDescent="0.55000000000000004">
      <c r="A7345" t="s">
        <v>7426</v>
      </c>
      <c r="B7345" t="s">
        <v>67</v>
      </c>
      <c r="C7345" s="2">
        <v>43783</v>
      </c>
      <c r="D7345" t="s">
        <v>26</v>
      </c>
      <c r="E7345">
        <v>1853</v>
      </c>
    </row>
    <row r="7346" spans="1:5" x14ac:dyDescent="0.55000000000000004">
      <c r="A7346" t="s">
        <v>7427</v>
      </c>
      <c r="B7346" t="s">
        <v>78</v>
      </c>
      <c r="C7346" s="2">
        <v>44326</v>
      </c>
      <c r="D7346" t="s">
        <v>29</v>
      </c>
      <c r="E7346">
        <v>2106</v>
      </c>
    </row>
    <row r="7347" spans="1:5" x14ac:dyDescent="0.55000000000000004">
      <c r="A7347" t="s">
        <v>7428</v>
      </c>
      <c r="B7347" t="s">
        <v>74</v>
      </c>
      <c r="C7347" s="2">
        <v>43639</v>
      </c>
      <c r="D7347" t="s">
        <v>26</v>
      </c>
      <c r="E7347">
        <v>1312</v>
      </c>
    </row>
    <row r="7348" spans="1:5" x14ac:dyDescent="0.55000000000000004">
      <c r="A7348" t="s">
        <v>7429</v>
      </c>
      <c r="B7348" t="s">
        <v>96</v>
      </c>
      <c r="C7348" s="2">
        <v>43703</v>
      </c>
      <c r="D7348" t="s">
        <v>29</v>
      </c>
      <c r="E7348">
        <v>1513</v>
      </c>
    </row>
    <row r="7349" spans="1:5" x14ac:dyDescent="0.55000000000000004">
      <c r="A7349" t="s">
        <v>7430</v>
      </c>
      <c r="B7349" t="s">
        <v>67</v>
      </c>
      <c r="C7349" s="2">
        <v>45065</v>
      </c>
      <c r="D7349" t="s">
        <v>26</v>
      </c>
      <c r="E7349">
        <v>1658</v>
      </c>
    </row>
    <row r="7350" spans="1:5" x14ac:dyDescent="0.55000000000000004">
      <c r="A7350" t="s">
        <v>7431</v>
      </c>
      <c r="B7350" t="s">
        <v>175</v>
      </c>
      <c r="C7350" s="2">
        <v>45718</v>
      </c>
      <c r="D7350" t="s">
        <v>26</v>
      </c>
      <c r="E7350">
        <v>2070</v>
      </c>
    </row>
    <row r="7351" spans="1:5" x14ac:dyDescent="0.55000000000000004">
      <c r="A7351" t="s">
        <v>7432</v>
      </c>
      <c r="B7351" t="s">
        <v>84</v>
      </c>
      <c r="C7351" s="2">
        <v>44044</v>
      </c>
      <c r="D7351" t="s">
        <v>29</v>
      </c>
      <c r="E7351">
        <v>1683</v>
      </c>
    </row>
    <row r="7352" spans="1:5" x14ac:dyDescent="0.55000000000000004">
      <c r="A7352" t="s">
        <v>7433</v>
      </c>
      <c r="B7352" t="s">
        <v>151</v>
      </c>
      <c r="C7352" s="2">
        <v>43992</v>
      </c>
      <c r="D7352" t="s">
        <v>26</v>
      </c>
      <c r="E7352">
        <v>637</v>
      </c>
    </row>
    <row r="7353" spans="1:5" x14ac:dyDescent="0.55000000000000004">
      <c r="A7353" t="s">
        <v>7434</v>
      </c>
      <c r="B7353" t="s">
        <v>14</v>
      </c>
      <c r="C7353" s="2">
        <v>44320</v>
      </c>
      <c r="D7353" t="s">
        <v>29</v>
      </c>
      <c r="E7353">
        <v>1632</v>
      </c>
    </row>
    <row r="7354" spans="1:5" x14ac:dyDescent="0.55000000000000004">
      <c r="A7354" t="s">
        <v>7435</v>
      </c>
      <c r="B7354" t="s">
        <v>74</v>
      </c>
      <c r="C7354" s="2">
        <v>43226</v>
      </c>
      <c r="D7354" t="s">
        <v>26</v>
      </c>
      <c r="E7354">
        <v>2431</v>
      </c>
    </row>
    <row r="7355" spans="1:5" x14ac:dyDescent="0.55000000000000004">
      <c r="A7355" t="s">
        <v>7436</v>
      </c>
      <c r="B7355" t="s">
        <v>101</v>
      </c>
      <c r="C7355" s="2">
        <v>44312</v>
      </c>
      <c r="D7355" t="s">
        <v>26</v>
      </c>
      <c r="E7355">
        <v>738</v>
      </c>
    </row>
    <row r="7356" spans="1:5" x14ac:dyDescent="0.55000000000000004">
      <c r="A7356" t="s">
        <v>7437</v>
      </c>
      <c r="B7356" t="s">
        <v>115</v>
      </c>
      <c r="C7356" s="2">
        <v>44210</v>
      </c>
      <c r="D7356" t="s">
        <v>26</v>
      </c>
      <c r="E7356">
        <v>2588</v>
      </c>
    </row>
    <row r="7357" spans="1:5" x14ac:dyDescent="0.55000000000000004">
      <c r="A7357" t="s">
        <v>7438</v>
      </c>
      <c r="B7357" t="s">
        <v>76</v>
      </c>
      <c r="C7357" s="2">
        <v>44832</v>
      </c>
      <c r="D7357" t="s">
        <v>26</v>
      </c>
      <c r="E7357">
        <v>2241</v>
      </c>
    </row>
    <row r="7358" spans="1:5" x14ac:dyDescent="0.55000000000000004">
      <c r="A7358" t="s">
        <v>7439</v>
      </c>
      <c r="B7358" t="s">
        <v>94</v>
      </c>
      <c r="C7358" s="2">
        <v>45705</v>
      </c>
      <c r="D7358" t="s">
        <v>26</v>
      </c>
      <c r="E7358">
        <v>633</v>
      </c>
    </row>
    <row r="7359" spans="1:5" x14ac:dyDescent="0.55000000000000004">
      <c r="A7359" t="s">
        <v>7440</v>
      </c>
      <c r="B7359" t="s">
        <v>23</v>
      </c>
      <c r="C7359" s="2">
        <v>44902</v>
      </c>
      <c r="D7359" t="s">
        <v>29</v>
      </c>
      <c r="E7359">
        <v>2685</v>
      </c>
    </row>
    <row r="7360" spans="1:5" x14ac:dyDescent="0.55000000000000004">
      <c r="A7360" t="s">
        <v>7441</v>
      </c>
      <c r="B7360" t="s">
        <v>137</v>
      </c>
      <c r="C7360" s="2">
        <v>43868</v>
      </c>
      <c r="D7360" t="s">
        <v>26</v>
      </c>
      <c r="E7360">
        <v>108</v>
      </c>
    </row>
    <row r="7361" spans="1:5" x14ac:dyDescent="0.55000000000000004">
      <c r="A7361" t="s">
        <v>7442</v>
      </c>
      <c r="B7361" t="s">
        <v>35</v>
      </c>
      <c r="C7361" s="2">
        <v>44831</v>
      </c>
      <c r="D7361" t="s">
        <v>26</v>
      </c>
      <c r="E7361">
        <v>1645</v>
      </c>
    </row>
    <row r="7362" spans="1:5" x14ac:dyDescent="0.55000000000000004">
      <c r="A7362" t="s">
        <v>7443</v>
      </c>
      <c r="B7362" t="s">
        <v>101</v>
      </c>
      <c r="C7362" s="2">
        <v>44381</v>
      </c>
      <c r="D7362" t="s">
        <v>26</v>
      </c>
      <c r="E7362">
        <v>485</v>
      </c>
    </row>
    <row r="7363" spans="1:5" x14ac:dyDescent="0.55000000000000004">
      <c r="A7363" t="s">
        <v>7444</v>
      </c>
      <c r="B7363" t="s">
        <v>142</v>
      </c>
      <c r="C7363" s="2">
        <v>43848</v>
      </c>
      <c r="D7363" t="s">
        <v>26</v>
      </c>
      <c r="E7363">
        <v>898</v>
      </c>
    </row>
    <row r="7364" spans="1:5" x14ac:dyDescent="0.55000000000000004">
      <c r="A7364" t="s">
        <v>7445</v>
      </c>
      <c r="B7364" t="s">
        <v>96</v>
      </c>
      <c r="C7364" s="2">
        <v>44067</v>
      </c>
      <c r="D7364" t="s">
        <v>26</v>
      </c>
      <c r="E7364">
        <v>1587</v>
      </c>
    </row>
    <row r="7365" spans="1:5" x14ac:dyDescent="0.55000000000000004">
      <c r="A7365" t="s">
        <v>7446</v>
      </c>
      <c r="B7365" t="s">
        <v>99</v>
      </c>
      <c r="C7365" s="2">
        <v>44412</v>
      </c>
      <c r="D7365" t="s">
        <v>26</v>
      </c>
      <c r="E7365">
        <v>1125</v>
      </c>
    </row>
    <row r="7366" spans="1:5" x14ac:dyDescent="0.55000000000000004">
      <c r="A7366" t="s">
        <v>7447</v>
      </c>
      <c r="B7366" t="s">
        <v>94</v>
      </c>
      <c r="C7366" s="2">
        <v>45560</v>
      </c>
      <c r="D7366" t="s">
        <v>29</v>
      </c>
      <c r="E7366">
        <v>2708</v>
      </c>
    </row>
    <row r="7367" spans="1:5" x14ac:dyDescent="0.55000000000000004">
      <c r="A7367" t="s">
        <v>7448</v>
      </c>
      <c r="B7367" t="s">
        <v>156</v>
      </c>
      <c r="C7367" s="2">
        <v>44161</v>
      </c>
      <c r="D7367" t="s">
        <v>29</v>
      </c>
      <c r="E7367">
        <v>189</v>
      </c>
    </row>
    <row r="7368" spans="1:5" x14ac:dyDescent="0.55000000000000004">
      <c r="A7368" t="s">
        <v>7449</v>
      </c>
      <c r="B7368" t="s">
        <v>63</v>
      </c>
      <c r="C7368" s="2">
        <v>44378</v>
      </c>
      <c r="D7368" t="s">
        <v>29</v>
      </c>
      <c r="E7368">
        <v>181</v>
      </c>
    </row>
    <row r="7369" spans="1:5" x14ac:dyDescent="0.55000000000000004">
      <c r="A7369" t="s">
        <v>7450</v>
      </c>
      <c r="B7369" t="s">
        <v>140</v>
      </c>
      <c r="C7369" s="2">
        <v>43922</v>
      </c>
      <c r="D7369" t="s">
        <v>29</v>
      </c>
      <c r="E7369">
        <v>1885</v>
      </c>
    </row>
    <row r="7370" spans="1:5" x14ac:dyDescent="0.55000000000000004">
      <c r="A7370" t="s">
        <v>7451</v>
      </c>
      <c r="B7370" t="s">
        <v>67</v>
      </c>
      <c r="C7370" s="2">
        <v>45160</v>
      </c>
      <c r="D7370" t="s">
        <v>26</v>
      </c>
      <c r="E7370">
        <v>782</v>
      </c>
    </row>
    <row r="7371" spans="1:5" x14ac:dyDescent="0.55000000000000004">
      <c r="A7371" t="s">
        <v>7452</v>
      </c>
      <c r="B7371" t="s">
        <v>111</v>
      </c>
      <c r="C7371" s="2">
        <v>43642</v>
      </c>
      <c r="D7371" t="s">
        <v>29</v>
      </c>
      <c r="E7371">
        <v>54</v>
      </c>
    </row>
    <row r="7372" spans="1:5" x14ac:dyDescent="0.55000000000000004">
      <c r="A7372" t="s">
        <v>7453</v>
      </c>
      <c r="B7372" t="s">
        <v>137</v>
      </c>
      <c r="C7372" s="2">
        <v>45460</v>
      </c>
      <c r="D7372" t="s">
        <v>29</v>
      </c>
      <c r="E7372">
        <v>967</v>
      </c>
    </row>
    <row r="7373" spans="1:5" x14ac:dyDescent="0.55000000000000004">
      <c r="A7373" t="s">
        <v>7454</v>
      </c>
      <c r="B7373" t="s">
        <v>78</v>
      </c>
      <c r="C7373" s="2">
        <v>43881</v>
      </c>
      <c r="D7373" t="s">
        <v>26</v>
      </c>
      <c r="E7373">
        <v>2695</v>
      </c>
    </row>
    <row r="7374" spans="1:5" x14ac:dyDescent="0.55000000000000004">
      <c r="A7374" t="s">
        <v>7455</v>
      </c>
      <c r="B7374" t="s">
        <v>94</v>
      </c>
      <c r="C7374" s="2">
        <v>44359</v>
      </c>
      <c r="D7374" t="s">
        <v>26</v>
      </c>
      <c r="E7374">
        <v>1322</v>
      </c>
    </row>
    <row r="7375" spans="1:5" x14ac:dyDescent="0.55000000000000004">
      <c r="A7375" t="s">
        <v>7456</v>
      </c>
      <c r="B7375" t="s">
        <v>111</v>
      </c>
      <c r="C7375" s="2">
        <v>43613</v>
      </c>
      <c r="D7375" t="s">
        <v>26</v>
      </c>
      <c r="E7375">
        <v>2790</v>
      </c>
    </row>
    <row r="7376" spans="1:5" x14ac:dyDescent="0.55000000000000004">
      <c r="A7376" t="s">
        <v>7457</v>
      </c>
      <c r="B7376" t="s">
        <v>76</v>
      </c>
      <c r="C7376" s="2">
        <v>44769</v>
      </c>
      <c r="D7376" t="s">
        <v>29</v>
      </c>
      <c r="E7376">
        <v>2769</v>
      </c>
    </row>
    <row r="7377" spans="1:5" x14ac:dyDescent="0.55000000000000004">
      <c r="A7377" t="s">
        <v>7458</v>
      </c>
      <c r="B7377" t="s">
        <v>94</v>
      </c>
      <c r="C7377" s="2">
        <v>43600</v>
      </c>
      <c r="D7377" t="s">
        <v>29</v>
      </c>
      <c r="E7377">
        <v>520</v>
      </c>
    </row>
    <row r="7378" spans="1:5" x14ac:dyDescent="0.55000000000000004">
      <c r="A7378" t="s">
        <v>7459</v>
      </c>
      <c r="B7378" t="s">
        <v>35</v>
      </c>
      <c r="C7378" s="2">
        <v>44022</v>
      </c>
      <c r="D7378" t="s">
        <v>29</v>
      </c>
      <c r="E7378">
        <v>2530</v>
      </c>
    </row>
    <row r="7379" spans="1:5" x14ac:dyDescent="0.55000000000000004">
      <c r="A7379" t="s">
        <v>7460</v>
      </c>
      <c r="B7379" t="s">
        <v>32</v>
      </c>
      <c r="C7379" s="2">
        <v>44286</v>
      </c>
      <c r="D7379" t="s">
        <v>29</v>
      </c>
      <c r="E7379">
        <v>2911</v>
      </c>
    </row>
    <row r="7380" spans="1:5" x14ac:dyDescent="0.55000000000000004">
      <c r="A7380" t="s">
        <v>7461</v>
      </c>
      <c r="B7380" t="s">
        <v>175</v>
      </c>
      <c r="C7380" s="2">
        <v>44613</v>
      </c>
      <c r="D7380" t="s">
        <v>29</v>
      </c>
      <c r="E7380">
        <v>183</v>
      </c>
    </row>
    <row r="7381" spans="1:5" x14ac:dyDescent="0.55000000000000004">
      <c r="A7381" t="s">
        <v>7462</v>
      </c>
      <c r="B7381" t="s">
        <v>156</v>
      </c>
      <c r="C7381" s="2">
        <v>43669</v>
      </c>
      <c r="D7381" t="s">
        <v>26</v>
      </c>
      <c r="E7381">
        <v>428</v>
      </c>
    </row>
    <row r="7382" spans="1:5" x14ac:dyDescent="0.55000000000000004">
      <c r="A7382" t="s">
        <v>7463</v>
      </c>
      <c r="B7382" t="s">
        <v>74</v>
      </c>
      <c r="C7382" s="2">
        <v>43554</v>
      </c>
      <c r="D7382" t="s">
        <v>26</v>
      </c>
      <c r="E7382">
        <v>1263</v>
      </c>
    </row>
    <row r="7383" spans="1:5" x14ac:dyDescent="0.55000000000000004">
      <c r="A7383" t="s">
        <v>7464</v>
      </c>
      <c r="B7383" t="s">
        <v>94</v>
      </c>
      <c r="C7383" s="2">
        <v>45445</v>
      </c>
      <c r="D7383" t="s">
        <v>26</v>
      </c>
      <c r="E7383">
        <v>2668</v>
      </c>
    </row>
    <row r="7384" spans="1:5" x14ac:dyDescent="0.55000000000000004">
      <c r="A7384" t="s">
        <v>7465</v>
      </c>
      <c r="B7384" t="s">
        <v>41</v>
      </c>
      <c r="C7384" s="2">
        <v>44040</v>
      </c>
      <c r="D7384" t="s">
        <v>26</v>
      </c>
      <c r="E7384">
        <v>929</v>
      </c>
    </row>
    <row r="7385" spans="1:5" x14ac:dyDescent="0.55000000000000004">
      <c r="A7385" t="s">
        <v>7466</v>
      </c>
      <c r="B7385" t="s">
        <v>35</v>
      </c>
      <c r="C7385" s="2">
        <v>44491</v>
      </c>
      <c r="D7385" t="s">
        <v>26</v>
      </c>
      <c r="E7385">
        <v>812</v>
      </c>
    </row>
    <row r="7386" spans="1:5" x14ac:dyDescent="0.55000000000000004">
      <c r="A7386" t="s">
        <v>7467</v>
      </c>
      <c r="B7386" t="s">
        <v>101</v>
      </c>
      <c r="C7386" s="2">
        <v>44014</v>
      </c>
      <c r="D7386" t="s">
        <v>29</v>
      </c>
      <c r="E7386">
        <v>466</v>
      </c>
    </row>
    <row r="7387" spans="1:5" x14ac:dyDescent="0.55000000000000004">
      <c r="A7387" t="s">
        <v>7468</v>
      </c>
      <c r="B7387" t="s">
        <v>111</v>
      </c>
      <c r="C7387" s="2">
        <v>44202</v>
      </c>
      <c r="D7387" t="s">
        <v>29</v>
      </c>
      <c r="E7387">
        <v>2186</v>
      </c>
    </row>
    <row r="7388" spans="1:5" x14ac:dyDescent="0.55000000000000004">
      <c r="A7388" t="s">
        <v>7469</v>
      </c>
      <c r="B7388" t="s">
        <v>32</v>
      </c>
      <c r="C7388" s="2">
        <v>43983</v>
      </c>
      <c r="D7388" t="s">
        <v>26</v>
      </c>
      <c r="E7388">
        <v>2387</v>
      </c>
    </row>
    <row r="7389" spans="1:5" x14ac:dyDescent="0.55000000000000004">
      <c r="A7389" t="s">
        <v>7470</v>
      </c>
      <c r="B7389" t="s">
        <v>35</v>
      </c>
      <c r="C7389" s="2">
        <v>44727</v>
      </c>
      <c r="D7389" t="s">
        <v>29</v>
      </c>
      <c r="E7389">
        <v>2530</v>
      </c>
    </row>
    <row r="7390" spans="1:5" x14ac:dyDescent="0.55000000000000004">
      <c r="A7390" t="s">
        <v>7471</v>
      </c>
      <c r="B7390" t="s">
        <v>15</v>
      </c>
      <c r="C7390" s="2">
        <v>44018</v>
      </c>
      <c r="D7390" t="s">
        <v>26</v>
      </c>
      <c r="E7390">
        <v>582</v>
      </c>
    </row>
    <row r="7391" spans="1:5" x14ac:dyDescent="0.55000000000000004">
      <c r="A7391" t="s">
        <v>7472</v>
      </c>
      <c r="B7391" t="s">
        <v>63</v>
      </c>
      <c r="C7391" s="2">
        <v>44225</v>
      </c>
      <c r="D7391" t="s">
        <v>29</v>
      </c>
      <c r="E7391">
        <v>2570</v>
      </c>
    </row>
    <row r="7392" spans="1:5" x14ac:dyDescent="0.55000000000000004">
      <c r="A7392" t="s">
        <v>7473</v>
      </c>
      <c r="B7392" t="s">
        <v>84</v>
      </c>
      <c r="C7392" s="2">
        <v>43648</v>
      </c>
      <c r="D7392" t="s">
        <v>29</v>
      </c>
      <c r="E7392">
        <v>2098</v>
      </c>
    </row>
    <row r="7393" spans="1:5" x14ac:dyDescent="0.55000000000000004">
      <c r="A7393" t="s">
        <v>7474</v>
      </c>
      <c r="B7393" t="s">
        <v>156</v>
      </c>
      <c r="C7393" s="2">
        <v>43456</v>
      </c>
      <c r="D7393" t="s">
        <v>29</v>
      </c>
      <c r="E7393">
        <v>1937</v>
      </c>
    </row>
    <row r="7394" spans="1:5" x14ac:dyDescent="0.55000000000000004">
      <c r="A7394" t="s">
        <v>7475</v>
      </c>
      <c r="B7394" t="s">
        <v>23</v>
      </c>
      <c r="C7394" s="2">
        <v>44431</v>
      </c>
      <c r="D7394" t="s">
        <v>26</v>
      </c>
      <c r="E7394">
        <v>949</v>
      </c>
    </row>
    <row r="7395" spans="1:5" x14ac:dyDescent="0.55000000000000004">
      <c r="A7395" t="s">
        <v>7476</v>
      </c>
      <c r="B7395" t="s">
        <v>175</v>
      </c>
      <c r="C7395" s="2">
        <v>45199</v>
      </c>
      <c r="D7395" t="s">
        <v>29</v>
      </c>
      <c r="E7395">
        <v>1221</v>
      </c>
    </row>
    <row r="7396" spans="1:5" x14ac:dyDescent="0.55000000000000004">
      <c r="A7396" t="s">
        <v>7477</v>
      </c>
      <c r="B7396" t="s">
        <v>175</v>
      </c>
      <c r="C7396" s="2">
        <v>43554</v>
      </c>
      <c r="D7396" t="s">
        <v>26</v>
      </c>
      <c r="E7396">
        <v>1769</v>
      </c>
    </row>
    <row r="7397" spans="1:5" x14ac:dyDescent="0.55000000000000004">
      <c r="A7397" t="s">
        <v>7478</v>
      </c>
      <c r="B7397" t="s">
        <v>151</v>
      </c>
      <c r="C7397" s="2">
        <v>43192</v>
      </c>
      <c r="D7397" t="s">
        <v>29</v>
      </c>
      <c r="E7397">
        <v>1965</v>
      </c>
    </row>
    <row r="7398" spans="1:5" x14ac:dyDescent="0.55000000000000004">
      <c r="A7398" t="s">
        <v>7479</v>
      </c>
      <c r="B7398" t="s">
        <v>151</v>
      </c>
      <c r="C7398" s="2">
        <v>44470</v>
      </c>
      <c r="D7398" t="s">
        <v>29</v>
      </c>
      <c r="E7398">
        <v>2072</v>
      </c>
    </row>
    <row r="7399" spans="1:5" x14ac:dyDescent="0.55000000000000004">
      <c r="A7399" t="s">
        <v>7480</v>
      </c>
      <c r="B7399" t="s">
        <v>38</v>
      </c>
      <c r="C7399" s="2">
        <v>44257</v>
      </c>
      <c r="D7399" t="s">
        <v>26</v>
      </c>
      <c r="E7399">
        <v>1454</v>
      </c>
    </row>
    <row r="7400" spans="1:5" x14ac:dyDescent="0.55000000000000004">
      <c r="A7400" t="s">
        <v>7481</v>
      </c>
      <c r="B7400" t="s">
        <v>23</v>
      </c>
      <c r="C7400" s="2">
        <v>44851</v>
      </c>
      <c r="D7400" t="s">
        <v>29</v>
      </c>
      <c r="E7400">
        <v>1855</v>
      </c>
    </row>
    <row r="7401" spans="1:5" x14ac:dyDescent="0.55000000000000004">
      <c r="A7401" t="s">
        <v>7482</v>
      </c>
      <c r="B7401" t="s">
        <v>41</v>
      </c>
      <c r="C7401" s="2">
        <v>44159</v>
      </c>
      <c r="D7401" t="s">
        <v>26</v>
      </c>
      <c r="E7401">
        <v>2713</v>
      </c>
    </row>
    <row r="7402" spans="1:5" x14ac:dyDescent="0.55000000000000004">
      <c r="A7402" t="s">
        <v>7483</v>
      </c>
      <c r="B7402" t="s">
        <v>15</v>
      </c>
      <c r="C7402" s="2">
        <v>43395</v>
      </c>
      <c r="D7402" t="s">
        <v>26</v>
      </c>
      <c r="E7402">
        <v>2085</v>
      </c>
    </row>
    <row r="7403" spans="1:5" x14ac:dyDescent="0.55000000000000004">
      <c r="A7403" t="s">
        <v>7484</v>
      </c>
      <c r="B7403" t="s">
        <v>101</v>
      </c>
      <c r="C7403" s="2">
        <v>44062</v>
      </c>
      <c r="D7403" t="s">
        <v>26</v>
      </c>
      <c r="E7403">
        <v>2910</v>
      </c>
    </row>
    <row r="7404" spans="1:5" x14ac:dyDescent="0.55000000000000004">
      <c r="A7404" t="s">
        <v>7485</v>
      </c>
      <c r="B7404" t="s">
        <v>142</v>
      </c>
      <c r="C7404" s="2">
        <v>43196</v>
      </c>
      <c r="D7404" t="s">
        <v>26</v>
      </c>
      <c r="E7404">
        <v>1357</v>
      </c>
    </row>
    <row r="7405" spans="1:5" x14ac:dyDescent="0.55000000000000004">
      <c r="A7405" t="s">
        <v>7486</v>
      </c>
      <c r="B7405" t="s">
        <v>99</v>
      </c>
      <c r="C7405" s="2">
        <v>44974</v>
      </c>
      <c r="D7405" t="s">
        <v>29</v>
      </c>
      <c r="E7405">
        <v>2631</v>
      </c>
    </row>
    <row r="7406" spans="1:5" x14ac:dyDescent="0.55000000000000004">
      <c r="A7406" t="s">
        <v>7487</v>
      </c>
      <c r="B7406" t="s">
        <v>105</v>
      </c>
      <c r="C7406" s="2">
        <v>43381</v>
      </c>
      <c r="D7406" t="s">
        <v>26</v>
      </c>
      <c r="E7406">
        <v>717</v>
      </c>
    </row>
    <row r="7407" spans="1:5" x14ac:dyDescent="0.55000000000000004">
      <c r="A7407" t="s">
        <v>7488</v>
      </c>
      <c r="B7407" t="s">
        <v>156</v>
      </c>
      <c r="C7407" s="2">
        <v>43102</v>
      </c>
      <c r="D7407" t="s">
        <v>29</v>
      </c>
      <c r="E7407">
        <v>1527</v>
      </c>
    </row>
    <row r="7408" spans="1:5" x14ac:dyDescent="0.55000000000000004">
      <c r="A7408" t="s">
        <v>7489</v>
      </c>
      <c r="B7408" t="s">
        <v>74</v>
      </c>
      <c r="C7408" s="2">
        <v>44043</v>
      </c>
      <c r="D7408" t="s">
        <v>29</v>
      </c>
      <c r="E7408">
        <v>2567</v>
      </c>
    </row>
    <row r="7409" spans="1:5" x14ac:dyDescent="0.55000000000000004">
      <c r="A7409" t="s">
        <v>7490</v>
      </c>
      <c r="B7409" t="s">
        <v>78</v>
      </c>
      <c r="C7409" s="2">
        <v>44507</v>
      </c>
      <c r="D7409" t="s">
        <v>26</v>
      </c>
      <c r="E7409">
        <v>2388</v>
      </c>
    </row>
    <row r="7410" spans="1:5" x14ac:dyDescent="0.55000000000000004">
      <c r="A7410" t="s">
        <v>7491</v>
      </c>
      <c r="B7410" t="s">
        <v>140</v>
      </c>
      <c r="C7410" s="2">
        <v>44549</v>
      </c>
      <c r="D7410" t="s">
        <v>29</v>
      </c>
      <c r="E7410">
        <v>98</v>
      </c>
    </row>
    <row r="7411" spans="1:5" x14ac:dyDescent="0.55000000000000004">
      <c r="A7411" t="s">
        <v>7492</v>
      </c>
      <c r="B7411" t="s">
        <v>15</v>
      </c>
      <c r="C7411" s="2">
        <v>43341</v>
      </c>
      <c r="D7411" t="s">
        <v>29</v>
      </c>
      <c r="E7411">
        <v>1194</v>
      </c>
    </row>
    <row r="7412" spans="1:5" x14ac:dyDescent="0.55000000000000004">
      <c r="A7412" t="s">
        <v>7493</v>
      </c>
      <c r="B7412" t="s">
        <v>137</v>
      </c>
      <c r="C7412" s="2">
        <v>45040</v>
      </c>
      <c r="D7412" t="s">
        <v>29</v>
      </c>
      <c r="E7412">
        <v>2904</v>
      </c>
    </row>
    <row r="7413" spans="1:5" x14ac:dyDescent="0.55000000000000004">
      <c r="A7413" t="s">
        <v>7494</v>
      </c>
      <c r="B7413" t="s">
        <v>84</v>
      </c>
      <c r="C7413" s="2">
        <v>43713</v>
      </c>
      <c r="D7413" t="s">
        <v>26</v>
      </c>
      <c r="E7413">
        <v>2978</v>
      </c>
    </row>
    <row r="7414" spans="1:5" x14ac:dyDescent="0.55000000000000004">
      <c r="A7414" t="s">
        <v>7495</v>
      </c>
      <c r="B7414" t="s">
        <v>115</v>
      </c>
      <c r="C7414" s="2">
        <v>43624</v>
      </c>
      <c r="D7414" t="s">
        <v>29</v>
      </c>
      <c r="E7414">
        <v>2231</v>
      </c>
    </row>
    <row r="7415" spans="1:5" x14ac:dyDescent="0.55000000000000004">
      <c r="A7415" t="s">
        <v>7496</v>
      </c>
      <c r="B7415" t="s">
        <v>156</v>
      </c>
      <c r="C7415" s="2">
        <v>44248</v>
      </c>
      <c r="D7415" t="s">
        <v>26</v>
      </c>
      <c r="E7415">
        <v>2568</v>
      </c>
    </row>
    <row r="7416" spans="1:5" x14ac:dyDescent="0.55000000000000004">
      <c r="A7416" t="s">
        <v>7497</v>
      </c>
      <c r="B7416" t="s">
        <v>96</v>
      </c>
      <c r="C7416" s="2">
        <v>44562</v>
      </c>
      <c r="D7416" t="s">
        <v>26</v>
      </c>
      <c r="E7416">
        <v>1739</v>
      </c>
    </row>
    <row r="7417" spans="1:5" x14ac:dyDescent="0.55000000000000004">
      <c r="A7417" t="s">
        <v>7498</v>
      </c>
      <c r="B7417" t="s">
        <v>74</v>
      </c>
      <c r="C7417" s="2">
        <v>43822</v>
      </c>
      <c r="D7417" t="s">
        <v>26</v>
      </c>
      <c r="E7417">
        <v>1379</v>
      </c>
    </row>
    <row r="7418" spans="1:5" x14ac:dyDescent="0.55000000000000004">
      <c r="A7418" t="s">
        <v>7499</v>
      </c>
      <c r="B7418" t="s">
        <v>14</v>
      </c>
      <c r="C7418" s="2">
        <v>43247</v>
      </c>
      <c r="D7418" t="s">
        <v>26</v>
      </c>
      <c r="E7418">
        <v>315</v>
      </c>
    </row>
    <row r="7419" spans="1:5" x14ac:dyDescent="0.55000000000000004">
      <c r="A7419" t="s">
        <v>7500</v>
      </c>
      <c r="B7419" t="s">
        <v>67</v>
      </c>
      <c r="C7419" s="2">
        <v>43851</v>
      </c>
      <c r="D7419" t="s">
        <v>29</v>
      </c>
      <c r="E7419">
        <v>2312</v>
      </c>
    </row>
    <row r="7420" spans="1:5" x14ac:dyDescent="0.55000000000000004">
      <c r="A7420" t="s">
        <v>7501</v>
      </c>
      <c r="B7420" t="s">
        <v>99</v>
      </c>
      <c r="C7420" s="2">
        <v>43760</v>
      </c>
      <c r="D7420" t="s">
        <v>29</v>
      </c>
      <c r="E7420">
        <v>405</v>
      </c>
    </row>
    <row r="7421" spans="1:5" x14ac:dyDescent="0.55000000000000004">
      <c r="A7421" t="s">
        <v>7502</v>
      </c>
      <c r="B7421" t="s">
        <v>63</v>
      </c>
      <c r="C7421" s="2">
        <v>44530</v>
      </c>
      <c r="D7421" t="s">
        <v>29</v>
      </c>
      <c r="E7421">
        <v>1120</v>
      </c>
    </row>
    <row r="7422" spans="1:5" x14ac:dyDescent="0.55000000000000004">
      <c r="A7422" t="s">
        <v>7503</v>
      </c>
      <c r="B7422" t="s">
        <v>38</v>
      </c>
      <c r="C7422" s="2">
        <v>44813</v>
      </c>
      <c r="D7422" t="s">
        <v>29</v>
      </c>
      <c r="E7422">
        <v>2863</v>
      </c>
    </row>
    <row r="7423" spans="1:5" x14ac:dyDescent="0.55000000000000004">
      <c r="A7423" t="s">
        <v>7504</v>
      </c>
      <c r="B7423" t="s">
        <v>94</v>
      </c>
      <c r="C7423" s="2">
        <v>43705</v>
      </c>
      <c r="D7423" t="s">
        <v>29</v>
      </c>
      <c r="E7423">
        <v>2303</v>
      </c>
    </row>
    <row r="7424" spans="1:5" x14ac:dyDescent="0.55000000000000004">
      <c r="A7424" t="s">
        <v>7505</v>
      </c>
      <c r="B7424" t="s">
        <v>151</v>
      </c>
      <c r="C7424" s="2">
        <v>44338</v>
      </c>
      <c r="D7424" t="s">
        <v>29</v>
      </c>
      <c r="E7424">
        <v>1842</v>
      </c>
    </row>
    <row r="7425" spans="1:5" x14ac:dyDescent="0.55000000000000004">
      <c r="A7425" t="s">
        <v>7506</v>
      </c>
      <c r="B7425" t="s">
        <v>156</v>
      </c>
      <c r="C7425" s="2">
        <v>42969</v>
      </c>
      <c r="D7425" t="s">
        <v>26</v>
      </c>
      <c r="E7425">
        <v>2422</v>
      </c>
    </row>
    <row r="7426" spans="1:5" x14ac:dyDescent="0.55000000000000004">
      <c r="A7426" t="s">
        <v>7507</v>
      </c>
      <c r="B7426" t="s">
        <v>137</v>
      </c>
      <c r="C7426" s="2">
        <v>43979</v>
      </c>
      <c r="D7426" t="s">
        <v>29</v>
      </c>
      <c r="E7426">
        <v>1182</v>
      </c>
    </row>
    <row r="7427" spans="1:5" x14ac:dyDescent="0.55000000000000004">
      <c r="A7427" t="s">
        <v>7508</v>
      </c>
      <c r="B7427" t="s">
        <v>38</v>
      </c>
      <c r="C7427" s="2">
        <v>44325</v>
      </c>
      <c r="D7427" t="s">
        <v>26</v>
      </c>
      <c r="E7427">
        <v>117</v>
      </c>
    </row>
    <row r="7428" spans="1:5" x14ac:dyDescent="0.55000000000000004">
      <c r="A7428" t="s">
        <v>7509</v>
      </c>
      <c r="B7428" t="s">
        <v>137</v>
      </c>
      <c r="C7428" s="2">
        <v>44086</v>
      </c>
      <c r="D7428" t="s">
        <v>29</v>
      </c>
      <c r="E7428">
        <v>2598</v>
      </c>
    </row>
    <row r="7429" spans="1:5" x14ac:dyDescent="0.55000000000000004">
      <c r="A7429" t="s">
        <v>7510</v>
      </c>
      <c r="B7429" t="s">
        <v>86</v>
      </c>
      <c r="C7429" s="2">
        <v>44451</v>
      </c>
      <c r="D7429" t="s">
        <v>26</v>
      </c>
      <c r="E7429">
        <v>2355</v>
      </c>
    </row>
    <row r="7430" spans="1:5" x14ac:dyDescent="0.55000000000000004">
      <c r="A7430" t="s">
        <v>7511</v>
      </c>
      <c r="B7430" t="s">
        <v>78</v>
      </c>
      <c r="C7430" s="2">
        <v>45040</v>
      </c>
      <c r="D7430" t="s">
        <v>26</v>
      </c>
      <c r="E7430">
        <v>477</v>
      </c>
    </row>
    <row r="7431" spans="1:5" x14ac:dyDescent="0.55000000000000004">
      <c r="A7431" t="s">
        <v>7512</v>
      </c>
      <c r="B7431" t="s">
        <v>99</v>
      </c>
      <c r="C7431" s="2">
        <v>44238</v>
      </c>
      <c r="D7431" t="s">
        <v>29</v>
      </c>
      <c r="E7431">
        <v>1544</v>
      </c>
    </row>
    <row r="7432" spans="1:5" x14ac:dyDescent="0.55000000000000004">
      <c r="A7432" t="s">
        <v>7513</v>
      </c>
      <c r="B7432" t="s">
        <v>15</v>
      </c>
      <c r="C7432" s="2">
        <v>43858</v>
      </c>
      <c r="D7432" t="s">
        <v>26</v>
      </c>
      <c r="E7432">
        <v>2456</v>
      </c>
    </row>
    <row r="7433" spans="1:5" x14ac:dyDescent="0.55000000000000004">
      <c r="A7433" t="s">
        <v>7514</v>
      </c>
      <c r="B7433" t="s">
        <v>78</v>
      </c>
      <c r="C7433" s="2">
        <v>45012</v>
      </c>
      <c r="D7433" t="s">
        <v>29</v>
      </c>
      <c r="E7433">
        <v>1695</v>
      </c>
    </row>
    <row r="7434" spans="1:5" x14ac:dyDescent="0.55000000000000004">
      <c r="A7434" t="s">
        <v>7515</v>
      </c>
      <c r="B7434" t="s">
        <v>140</v>
      </c>
      <c r="C7434" s="2">
        <v>43076</v>
      </c>
      <c r="D7434" t="s">
        <v>26</v>
      </c>
      <c r="E7434">
        <v>571</v>
      </c>
    </row>
    <row r="7435" spans="1:5" x14ac:dyDescent="0.55000000000000004">
      <c r="A7435" t="s">
        <v>7516</v>
      </c>
      <c r="B7435" t="s">
        <v>111</v>
      </c>
      <c r="C7435" s="2">
        <v>44446</v>
      </c>
      <c r="D7435" t="s">
        <v>29</v>
      </c>
      <c r="E7435">
        <v>985</v>
      </c>
    </row>
    <row r="7436" spans="1:5" x14ac:dyDescent="0.55000000000000004">
      <c r="A7436" t="s">
        <v>7517</v>
      </c>
      <c r="B7436" t="s">
        <v>84</v>
      </c>
      <c r="C7436" s="2">
        <v>43273</v>
      </c>
      <c r="D7436" t="s">
        <v>26</v>
      </c>
      <c r="E7436">
        <v>550</v>
      </c>
    </row>
    <row r="7437" spans="1:5" x14ac:dyDescent="0.55000000000000004">
      <c r="A7437" t="s">
        <v>7518</v>
      </c>
      <c r="B7437" t="s">
        <v>137</v>
      </c>
      <c r="C7437" s="2">
        <v>43990</v>
      </c>
      <c r="D7437" t="s">
        <v>26</v>
      </c>
      <c r="E7437">
        <v>2785</v>
      </c>
    </row>
    <row r="7438" spans="1:5" x14ac:dyDescent="0.55000000000000004">
      <c r="A7438" t="s">
        <v>7519</v>
      </c>
      <c r="B7438" t="s">
        <v>41</v>
      </c>
      <c r="C7438" s="2">
        <v>44281</v>
      </c>
      <c r="D7438" t="s">
        <v>29</v>
      </c>
      <c r="E7438">
        <v>2513</v>
      </c>
    </row>
    <row r="7439" spans="1:5" x14ac:dyDescent="0.55000000000000004">
      <c r="A7439" t="s">
        <v>7520</v>
      </c>
      <c r="B7439" t="s">
        <v>23</v>
      </c>
      <c r="C7439" s="2">
        <v>43912</v>
      </c>
      <c r="D7439" t="s">
        <v>26</v>
      </c>
      <c r="E7439">
        <v>855</v>
      </c>
    </row>
    <row r="7440" spans="1:5" x14ac:dyDescent="0.55000000000000004">
      <c r="A7440" t="s">
        <v>7521</v>
      </c>
      <c r="B7440" t="s">
        <v>78</v>
      </c>
      <c r="C7440" s="2">
        <v>45258</v>
      </c>
      <c r="D7440" t="s">
        <v>29</v>
      </c>
      <c r="E7440">
        <v>2268</v>
      </c>
    </row>
    <row r="7441" spans="1:5" x14ac:dyDescent="0.55000000000000004">
      <c r="A7441" t="s">
        <v>7522</v>
      </c>
      <c r="B7441" t="s">
        <v>63</v>
      </c>
      <c r="C7441" s="2">
        <v>43779</v>
      </c>
      <c r="D7441" t="s">
        <v>29</v>
      </c>
      <c r="E7441">
        <v>1466</v>
      </c>
    </row>
    <row r="7442" spans="1:5" x14ac:dyDescent="0.55000000000000004">
      <c r="A7442" t="s">
        <v>7523</v>
      </c>
      <c r="B7442" t="s">
        <v>32</v>
      </c>
      <c r="C7442" s="2">
        <v>43864</v>
      </c>
      <c r="D7442" t="s">
        <v>26</v>
      </c>
      <c r="E7442">
        <v>1942</v>
      </c>
    </row>
    <row r="7443" spans="1:5" x14ac:dyDescent="0.55000000000000004">
      <c r="A7443" t="s">
        <v>7524</v>
      </c>
      <c r="B7443" t="s">
        <v>76</v>
      </c>
      <c r="C7443" s="2">
        <v>45318</v>
      </c>
      <c r="D7443" t="s">
        <v>26</v>
      </c>
      <c r="E7443">
        <v>1341</v>
      </c>
    </row>
    <row r="7444" spans="1:5" x14ac:dyDescent="0.55000000000000004">
      <c r="A7444" t="s">
        <v>7525</v>
      </c>
      <c r="B7444" t="s">
        <v>72</v>
      </c>
      <c r="C7444" s="2">
        <v>44218</v>
      </c>
      <c r="D7444" t="s">
        <v>29</v>
      </c>
      <c r="E7444">
        <v>1130</v>
      </c>
    </row>
    <row r="7445" spans="1:5" x14ac:dyDescent="0.55000000000000004">
      <c r="A7445" t="s">
        <v>7526</v>
      </c>
      <c r="B7445" t="s">
        <v>175</v>
      </c>
      <c r="C7445" s="2">
        <v>45119</v>
      </c>
      <c r="D7445" t="s">
        <v>26</v>
      </c>
      <c r="E7445">
        <v>1123</v>
      </c>
    </row>
    <row r="7446" spans="1:5" x14ac:dyDescent="0.55000000000000004">
      <c r="A7446" t="s">
        <v>7527</v>
      </c>
      <c r="B7446" t="s">
        <v>156</v>
      </c>
      <c r="C7446" s="2">
        <v>42972</v>
      </c>
      <c r="D7446" t="s">
        <v>26</v>
      </c>
      <c r="E7446">
        <v>865</v>
      </c>
    </row>
    <row r="7447" spans="1:5" x14ac:dyDescent="0.55000000000000004">
      <c r="A7447" t="s">
        <v>7528</v>
      </c>
      <c r="B7447" t="s">
        <v>63</v>
      </c>
      <c r="C7447" s="2">
        <v>44508</v>
      </c>
      <c r="D7447" t="s">
        <v>29</v>
      </c>
      <c r="E7447">
        <v>256</v>
      </c>
    </row>
    <row r="7448" spans="1:5" x14ac:dyDescent="0.55000000000000004">
      <c r="A7448" t="s">
        <v>7529</v>
      </c>
      <c r="B7448" t="s">
        <v>15</v>
      </c>
      <c r="C7448" s="2">
        <v>43539</v>
      </c>
      <c r="D7448" t="s">
        <v>29</v>
      </c>
      <c r="E7448">
        <v>1476</v>
      </c>
    </row>
    <row r="7449" spans="1:5" x14ac:dyDescent="0.55000000000000004">
      <c r="A7449" t="s">
        <v>7530</v>
      </c>
      <c r="B7449" t="s">
        <v>140</v>
      </c>
      <c r="C7449" s="2">
        <v>43546</v>
      </c>
      <c r="D7449" t="s">
        <v>26</v>
      </c>
      <c r="E7449">
        <v>1543</v>
      </c>
    </row>
    <row r="7450" spans="1:5" x14ac:dyDescent="0.55000000000000004">
      <c r="A7450" t="s">
        <v>7531</v>
      </c>
      <c r="B7450" t="s">
        <v>175</v>
      </c>
      <c r="C7450" s="2">
        <v>43681</v>
      </c>
      <c r="D7450" t="s">
        <v>26</v>
      </c>
      <c r="E7450">
        <v>2251</v>
      </c>
    </row>
    <row r="7451" spans="1:5" x14ac:dyDescent="0.55000000000000004">
      <c r="A7451" t="s">
        <v>7532</v>
      </c>
      <c r="B7451" t="s">
        <v>101</v>
      </c>
      <c r="C7451" s="2">
        <v>43421</v>
      </c>
      <c r="D7451" t="s">
        <v>29</v>
      </c>
      <c r="E7451">
        <v>525</v>
      </c>
    </row>
    <row r="7452" spans="1:5" x14ac:dyDescent="0.55000000000000004">
      <c r="A7452" t="s">
        <v>7533</v>
      </c>
      <c r="B7452" t="s">
        <v>101</v>
      </c>
      <c r="C7452" s="2">
        <v>43363</v>
      </c>
      <c r="D7452" t="s">
        <v>26</v>
      </c>
      <c r="E7452">
        <v>2324</v>
      </c>
    </row>
    <row r="7453" spans="1:5" x14ac:dyDescent="0.55000000000000004">
      <c r="A7453" t="s">
        <v>7534</v>
      </c>
      <c r="B7453" t="s">
        <v>23</v>
      </c>
      <c r="C7453" s="2">
        <v>44561</v>
      </c>
      <c r="D7453" t="s">
        <v>29</v>
      </c>
      <c r="E7453">
        <v>2508</v>
      </c>
    </row>
    <row r="7454" spans="1:5" x14ac:dyDescent="0.55000000000000004">
      <c r="A7454" t="s">
        <v>7535</v>
      </c>
      <c r="B7454" t="s">
        <v>35</v>
      </c>
      <c r="C7454" s="2">
        <v>44516</v>
      </c>
      <c r="D7454" t="s">
        <v>29</v>
      </c>
      <c r="E7454">
        <v>2386</v>
      </c>
    </row>
    <row r="7455" spans="1:5" x14ac:dyDescent="0.55000000000000004">
      <c r="A7455" t="s">
        <v>7536</v>
      </c>
      <c r="B7455" t="s">
        <v>118</v>
      </c>
      <c r="C7455" s="2">
        <v>44112</v>
      </c>
      <c r="D7455" t="s">
        <v>26</v>
      </c>
      <c r="E7455">
        <v>1990</v>
      </c>
    </row>
    <row r="7456" spans="1:5" x14ac:dyDescent="0.55000000000000004">
      <c r="A7456" t="s">
        <v>7537</v>
      </c>
      <c r="B7456" t="s">
        <v>38</v>
      </c>
      <c r="C7456" s="2">
        <v>44729</v>
      </c>
      <c r="D7456" t="s">
        <v>29</v>
      </c>
      <c r="E7456">
        <v>1076</v>
      </c>
    </row>
    <row r="7457" spans="1:5" x14ac:dyDescent="0.55000000000000004">
      <c r="A7457" t="s">
        <v>7538</v>
      </c>
      <c r="B7457" t="s">
        <v>137</v>
      </c>
      <c r="C7457" s="2">
        <v>43845</v>
      </c>
      <c r="D7457" t="s">
        <v>29</v>
      </c>
      <c r="E7457">
        <v>2489</v>
      </c>
    </row>
    <row r="7458" spans="1:5" x14ac:dyDescent="0.55000000000000004">
      <c r="A7458" t="s">
        <v>7539</v>
      </c>
      <c r="B7458" t="s">
        <v>142</v>
      </c>
      <c r="C7458" s="2">
        <v>42970</v>
      </c>
      <c r="D7458" t="s">
        <v>26</v>
      </c>
      <c r="E7458">
        <v>2242</v>
      </c>
    </row>
    <row r="7459" spans="1:5" x14ac:dyDescent="0.55000000000000004">
      <c r="A7459" t="s">
        <v>7540</v>
      </c>
      <c r="B7459" t="s">
        <v>111</v>
      </c>
      <c r="C7459" s="2">
        <v>42922</v>
      </c>
      <c r="D7459" t="s">
        <v>26</v>
      </c>
      <c r="E7459">
        <v>1370</v>
      </c>
    </row>
    <row r="7460" spans="1:5" x14ac:dyDescent="0.55000000000000004">
      <c r="A7460" t="s">
        <v>7541</v>
      </c>
      <c r="B7460" t="s">
        <v>111</v>
      </c>
      <c r="C7460" s="2">
        <v>43047</v>
      </c>
      <c r="D7460" t="s">
        <v>26</v>
      </c>
      <c r="E7460">
        <v>1110</v>
      </c>
    </row>
    <row r="7461" spans="1:5" x14ac:dyDescent="0.55000000000000004">
      <c r="A7461" t="s">
        <v>7542</v>
      </c>
      <c r="B7461" t="s">
        <v>118</v>
      </c>
      <c r="C7461" s="2">
        <v>44647</v>
      </c>
      <c r="D7461" t="s">
        <v>29</v>
      </c>
      <c r="E7461">
        <v>2250</v>
      </c>
    </row>
    <row r="7462" spans="1:5" x14ac:dyDescent="0.55000000000000004">
      <c r="A7462" t="s">
        <v>7543</v>
      </c>
      <c r="B7462" t="s">
        <v>101</v>
      </c>
      <c r="C7462" s="2">
        <v>43902</v>
      </c>
      <c r="D7462" t="s">
        <v>26</v>
      </c>
      <c r="E7462">
        <v>739</v>
      </c>
    </row>
    <row r="7463" spans="1:5" x14ac:dyDescent="0.55000000000000004">
      <c r="A7463" t="s">
        <v>7544</v>
      </c>
      <c r="B7463" t="s">
        <v>99</v>
      </c>
      <c r="C7463" s="2">
        <v>45661</v>
      </c>
      <c r="D7463" t="s">
        <v>26</v>
      </c>
      <c r="E7463">
        <v>2345</v>
      </c>
    </row>
    <row r="7464" spans="1:5" x14ac:dyDescent="0.55000000000000004">
      <c r="A7464" t="s">
        <v>7545</v>
      </c>
      <c r="B7464" t="s">
        <v>14</v>
      </c>
      <c r="C7464" s="2">
        <v>43532</v>
      </c>
      <c r="D7464" t="s">
        <v>29</v>
      </c>
      <c r="E7464">
        <v>987</v>
      </c>
    </row>
    <row r="7465" spans="1:5" x14ac:dyDescent="0.55000000000000004">
      <c r="A7465" t="s">
        <v>7546</v>
      </c>
      <c r="B7465" t="s">
        <v>63</v>
      </c>
      <c r="C7465" s="2">
        <v>43052</v>
      </c>
      <c r="D7465" t="s">
        <v>29</v>
      </c>
      <c r="E7465">
        <v>1479</v>
      </c>
    </row>
    <row r="7466" spans="1:5" x14ac:dyDescent="0.55000000000000004">
      <c r="A7466" t="s">
        <v>7547</v>
      </c>
      <c r="B7466" t="s">
        <v>84</v>
      </c>
      <c r="C7466" s="2">
        <v>43691</v>
      </c>
      <c r="D7466" t="s">
        <v>26</v>
      </c>
      <c r="E7466">
        <v>1531</v>
      </c>
    </row>
    <row r="7467" spans="1:5" x14ac:dyDescent="0.55000000000000004">
      <c r="A7467" t="s">
        <v>7548</v>
      </c>
      <c r="B7467" t="s">
        <v>38</v>
      </c>
      <c r="C7467" s="2">
        <v>44818</v>
      </c>
      <c r="D7467" t="s">
        <v>29</v>
      </c>
      <c r="E7467">
        <v>2376</v>
      </c>
    </row>
    <row r="7468" spans="1:5" x14ac:dyDescent="0.55000000000000004">
      <c r="A7468" t="s">
        <v>7549</v>
      </c>
      <c r="B7468" t="s">
        <v>175</v>
      </c>
      <c r="C7468" s="2">
        <v>44276</v>
      </c>
      <c r="D7468" t="s">
        <v>26</v>
      </c>
      <c r="E7468">
        <v>1464</v>
      </c>
    </row>
    <row r="7469" spans="1:5" x14ac:dyDescent="0.55000000000000004">
      <c r="A7469" t="s">
        <v>7550</v>
      </c>
      <c r="B7469" t="s">
        <v>74</v>
      </c>
      <c r="C7469" s="2">
        <v>43151</v>
      </c>
      <c r="D7469" t="s">
        <v>29</v>
      </c>
      <c r="E7469">
        <v>2853</v>
      </c>
    </row>
    <row r="7470" spans="1:5" x14ac:dyDescent="0.55000000000000004">
      <c r="A7470" t="s">
        <v>7551</v>
      </c>
      <c r="B7470" t="s">
        <v>137</v>
      </c>
      <c r="C7470" s="2">
        <v>45341</v>
      </c>
      <c r="D7470" t="s">
        <v>29</v>
      </c>
      <c r="E7470">
        <v>2415</v>
      </c>
    </row>
    <row r="7471" spans="1:5" x14ac:dyDescent="0.55000000000000004">
      <c r="A7471" t="s">
        <v>7552</v>
      </c>
      <c r="B7471" t="s">
        <v>175</v>
      </c>
      <c r="C7471" s="2">
        <v>44763</v>
      </c>
      <c r="D7471" t="s">
        <v>26</v>
      </c>
      <c r="E7471">
        <v>260</v>
      </c>
    </row>
    <row r="7472" spans="1:5" x14ac:dyDescent="0.55000000000000004">
      <c r="A7472" t="s">
        <v>7553</v>
      </c>
      <c r="B7472" t="s">
        <v>72</v>
      </c>
      <c r="C7472" s="2">
        <v>44326</v>
      </c>
      <c r="D7472" t="s">
        <v>26</v>
      </c>
      <c r="E7472">
        <v>1185</v>
      </c>
    </row>
    <row r="7473" spans="1:5" x14ac:dyDescent="0.55000000000000004">
      <c r="A7473" t="s">
        <v>7554</v>
      </c>
      <c r="B7473" t="s">
        <v>14</v>
      </c>
      <c r="C7473" s="2">
        <v>44111</v>
      </c>
      <c r="D7473" t="s">
        <v>29</v>
      </c>
      <c r="E7473">
        <v>1169</v>
      </c>
    </row>
    <row r="7474" spans="1:5" x14ac:dyDescent="0.55000000000000004">
      <c r="A7474" t="s">
        <v>7555</v>
      </c>
      <c r="B7474" t="s">
        <v>63</v>
      </c>
      <c r="C7474" s="2">
        <v>43819</v>
      </c>
      <c r="D7474" t="s">
        <v>29</v>
      </c>
      <c r="E7474">
        <v>2664</v>
      </c>
    </row>
    <row r="7475" spans="1:5" x14ac:dyDescent="0.55000000000000004">
      <c r="A7475" t="s">
        <v>7556</v>
      </c>
      <c r="B7475" t="s">
        <v>140</v>
      </c>
      <c r="C7475" s="2">
        <v>43787</v>
      </c>
      <c r="D7475" t="s">
        <v>26</v>
      </c>
      <c r="E7475">
        <v>2104</v>
      </c>
    </row>
    <row r="7476" spans="1:5" x14ac:dyDescent="0.55000000000000004">
      <c r="A7476" t="s">
        <v>7557</v>
      </c>
      <c r="B7476" t="s">
        <v>151</v>
      </c>
      <c r="C7476" s="2">
        <v>43023</v>
      </c>
      <c r="D7476" t="s">
        <v>29</v>
      </c>
      <c r="E7476">
        <v>2056</v>
      </c>
    </row>
    <row r="7477" spans="1:5" x14ac:dyDescent="0.55000000000000004">
      <c r="A7477" t="s">
        <v>7558</v>
      </c>
      <c r="B7477" t="s">
        <v>142</v>
      </c>
      <c r="C7477" s="2">
        <v>43039</v>
      </c>
      <c r="D7477" t="s">
        <v>26</v>
      </c>
      <c r="E7477">
        <v>2961</v>
      </c>
    </row>
    <row r="7478" spans="1:5" x14ac:dyDescent="0.55000000000000004">
      <c r="A7478" t="s">
        <v>7559</v>
      </c>
      <c r="B7478" t="s">
        <v>41</v>
      </c>
      <c r="C7478" s="2">
        <v>44814</v>
      </c>
      <c r="D7478" t="s">
        <v>26</v>
      </c>
      <c r="E7478">
        <v>351</v>
      </c>
    </row>
    <row r="7479" spans="1:5" x14ac:dyDescent="0.55000000000000004">
      <c r="A7479" t="s">
        <v>7560</v>
      </c>
      <c r="B7479" t="s">
        <v>156</v>
      </c>
      <c r="C7479" s="2">
        <v>43339</v>
      </c>
      <c r="D7479" t="s">
        <v>26</v>
      </c>
      <c r="E7479">
        <v>1329</v>
      </c>
    </row>
    <row r="7480" spans="1:5" x14ac:dyDescent="0.55000000000000004">
      <c r="A7480" t="s">
        <v>7561</v>
      </c>
      <c r="B7480" t="s">
        <v>74</v>
      </c>
      <c r="C7480" s="2">
        <v>43049</v>
      </c>
      <c r="D7480" t="s">
        <v>29</v>
      </c>
      <c r="E7480">
        <v>937</v>
      </c>
    </row>
    <row r="7481" spans="1:5" x14ac:dyDescent="0.55000000000000004">
      <c r="A7481" t="s">
        <v>7562</v>
      </c>
      <c r="B7481" t="s">
        <v>140</v>
      </c>
      <c r="C7481" s="2">
        <v>43902</v>
      </c>
      <c r="D7481" t="s">
        <v>29</v>
      </c>
      <c r="E7481">
        <v>699</v>
      </c>
    </row>
    <row r="7482" spans="1:5" x14ac:dyDescent="0.55000000000000004">
      <c r="A7482" t="s">
        <v>7563</v>
      </c>
      <c r="B7482" t="s">
        <v>35</v>
      </c>
      <c r="C7482" s="2">
        <v>44043</v>
      </c>
      <c r="D7482" t="s">
        <v>26</v>
      </c>
      <c r="E7482">
        <v>1990</v>
      </c>
    </row>
    <row r="7483" spans="1:5" x14ac:dyDescent="0.55000000000000004">
      <c r="A7483" t="s">
        <v>7564</v>
      </c>
      <c r="B7483" t="s">
        <v>137</v>
      </c>
      <c r="C7483" s="2">
        <v>45712</v>
      </c>
      <c r="D7483" t="s">
        <v>26</v>
      </c>
      <c r="E7483">
        <v>2247</v>
      </c>
    </row>
    <row r="7484" spans="1:5" x14ac:dyDescent="0.55000000000000004">
      <c r="A7484" t="s">
        <v>7565</v>
      </c>
      <c r="B7484" t="s">
        <v>15</v>
      </c>
      <c r="C7484" s="2">
        <v>43116</v>
      </c>
      <c r="D7484" t="s">
        <v>26</v>
      </c>
      <c r="E7484">
        <v>2519</v>
      </c>
    </row>
    <row r="7485" spans="1:5" x14ac:dyDescent="0.55000000000000004">
      <c r="A7485" t="s">
        <v>7566</v>
      </c>
      <c r="B7485" t="s">
        <v>38</v>
      </c>
      <c r="C7485" s="2">
        <v>44661</v>
      </c>
      <c r="D7485" t="s">
        <v>29</v>
      </c>
      <c r="E7485">
        <v>1733</v>
      </c>
    </row>
    <row r="7486" spans="1:5" x14ac:dyDescent="0.55000000000000004">
      <c r="A7486" t="s">
        <v>7567</v>
      </c>
      <c r="B7486" t="s">
        <v>156</v>
      </c>
      <c r="C7486" s="2">
        <v>43180</v>
      </c>
      <c r="D7486" t="s">
        <v>29</v>
      </c>
      <c r="E7486">
        <v>1860</v>
      </c>
    </row>
    <row r="7487" spans="1:5" x14ac:dyDescent="0.55000000000000004">
      <c r="A7487" t="s">
        <v>7568</v>
      </c>
      <c r="B7487" t="s">
        <v>175</v>
      </c>
      <c r="C7487" s="2">
        <v>43682</v>
      </c>
      <c r="D7487" t="s">
        <v>29</v>
      </c>
      <c r="E7487">
        <v>2630</v>
      </c>
    </row>
    <row r="7488" spans="1:5" x14ac:dyDescent="0.55000000000000004">
      <c r="A7488" t="s">
        <v>7569</v>
      </c>
      <c r="B7488" t="s">
        <v>99</v>
      </c>
      <c r="C7488" s="2">
        <v>43475</v>
      </c>
      <c r="D7488" t="s">
        <v>26</v>
      </c>
      <c r="E7488">
        <v>1752</v>
      </c>
    </row>
    <row r="7489" spans="1:5" x14ac:dyDescent="0.55000000000000004">
      <c r="A7489" t="s">
        <v>7570</v>
      </c>
      <c r="B7489" t="s">
        <v>175</v>
      </c>
      <c r="C7489" s="2">
        <v>45834</v>
      </c>
      <c r="D7489" t="s">
        <v>26</v>
      </c>
      <c r="E7489">
        <v>1001</v>
      </c>
    </row>
    <row r="7490" spans="1:5" x14ac:dyDescent="0.55000000000000004">
      <c r="A7490" t="s">
        <v>7571</v>
      </c>
      <c r="B7490" t="s">
        <v>137</v>
      </c>
      <c r="C7490" s="2">
        <v>43761</v>
      </c>
      <c r="D7490" t="s">
        <v>29</v>
      </c>
      <c r="E7490">
        <v>1078</v>
      </c>
    </row>
    <row r="7491" spans="1:5" x14ac:dyDescent="0.55000000000000004">
      <c r="A7491" t="s">
        <v>7572</v>
      </c>
      <c r="B7491" t="s">
        <v>105</v>
      </c>
      <c r="C7491" s="2">
        <v>44364</v>
      </c>
      <c r="D7491" t="s">
        <v>26</v>
      </c>
      <c r="E7491">
        <v>50</v>
      </c>
    </row>
    <row r="7492" spans="1:5" x14ac:dyDescent="0.55000000000000004">
      <c r="A7492" t="s">
        <v>7573</v>
      </c>
      <c r="B7492" t="s">
        <v>101</v>
      </c>
      <c r="C7492" s="2">
        <v>42985</v>
      </c>
      <c r="D7492" t="s">
        <v>26</v>
      </c>
      <c r="E7492">
        <v>756</v>
      </c>
    </row>
    <row r="7493" spans="1:5" x14ac:dyDescent="0.55000000000000004">
      <c r="A7493" t="s">
        <v>7574</v>
      </c>
      <c r="B7493" t="s">
        <v>151</v>
      </c>
      <c r="C7493" s="2">
        <v>43028</v>
      </c>
      <c r="D7493" t="s">
        <v>26</v>
      </c>
      <c r="E7493">
        <v>2057</v>
      </c>
    </row>
    <row r="7494" spans="1:5" x14ac:dyDescent="0.55000000000000004">
      <c r="A7494" t="s">
        <v>7575</v>
      </c>
      <c r="B7494" t="s">
        <v>140</v>
      </c>
      <c r="C7494" s="2">
        <v>43603</v>
      </c>
      <c r="D7494" t="s">
        <v>29</v>
      </c>
      <c r="E7494">
        <v>2848</v>
      </c>
    </row>
    <row r="7495" spans="1:5" x14ac:dyDescent="0.55000000000000004">
      <c r="A7495" t="s">
        <v>7576</v>
      </c>
      <c r="B7495" t="s">
        <v>14</v>
      </c>
      <c r="C7495" s="2">
        <v>44299</v>
      </c>
      <c r="D7495" t="s">
        <v>29</v>
      </c>
      <c r="E7495">
        <v>565</v>
      </c>
    </row>
    <row r="7496" spans="1:5" x14ac:dyDescent="0.55000000000000004">
      <c r="A7496" t="s">
        <v>7577</v>
      </c>
      <c r="B7496" t="s">
        <v>105</v>
      </c>
      <c r="C7496" s="2">
        <v>43507</v>
      </c>
      <c r="D7496" t="s">
        <v>26</v>
      </c>
      <c r="E7496">
        <v>392</v>
      </c>
    </row>
    <row r="7497" spans="1:5" x14ac:dyDescent="0.55000000000000004">
      <c r="A7497" t="s">
        <v>7578</v>
      </c>
      <c r="B7497" t="s">
        <v>156</v>
      </c>
      <c r="C7497" s="2">
        <v>44531</v>
      </c>
      <c r="D7497" t="s">
        <v>26</v>
      </c>
      <c r="E7497">
        <v>111</v>
      </c>
    </row>
    <row r="7498" spans="1:5" x14ac:dyDescent="0.55000000000000004">
      <c r="A7498" t="s">
        <v>7579</v>
      </c>
      <c r="B7498" t="s">
        <v>101</v>
      </c>
      <c r="C7498" s="2">
        <v>43754</v>
      </c>
      <c r="D7498" t="s">
        <v>29</v>
      </c>
      <c r="E7498">
        <v>150</v>
      </c>
    </row>
    <row r="7499" spans="1:5" x14ac:dyDescent="0.55000000000000004">
      <c r="A7499" t="s">
        <v>7580</v>
      </c>
      <c r="B7499" t="s">
        <v>115</v>
      </c>
      <c r="C7499" s="2">
        <v>43562</v>
      </c>
      <c r="D7499" t="s">
        <v>26</v>
      </c>
      <c r="E7499">
        <v>1048</v>
      </c>
    </row>
    <row r="7500" spans="1:5" x14ac:dyDescent="0.55000000000000004">
      <c r="A7500" t="s">
        <v>7581</v>
      </c>
      <c r="B7500" t="s">
        <v>111</v>
      </c>
      <c r="C7500" s="2">
        <v>44429</v>
      </c>
      <c r="D7500" t="s">
        <v>26</v>
      </c>
      <c r="E7500">
        <v>78</v>
      </c>
    </row>
    <row r="7501" spans="1:5" x14ac:dyDescent="0.55000000000000004">
      <c r="A7501" t="s">
        <v>7582</v>
      </c>
      <c r="B7501" t="s">
        <v>115</v>
      </c>
      <c r="C7501" s="2">
        <v>43739</v>
      </c>
      <c r="D7501" t="s">
        <v>29</v>
      </c>
      <c r="E7501">
        <v>1023</v>
      </c>
    </row>
    <row r="7502" spans="1:5" x14ac:dyDescent="0.55000000000000004">
      <c r="A7502" t="s">
        <v>7583</v>
      </c>
      <c r="B7502" t="s">
        <v>151</v>
      </c>
      <c r="C7502" s="2">
        <v>44432</v>
      </c>
      <c r="D7502" t="s">
        <v>26</v>
      </c>
      <c r="E7502">
        <v>527</v>
      </c>
    </row>
    <row r="7503" spans="1:5" x14ac:dyDescent="0.55000000000000004">
      <c r="A7503" t="s">
        <v>7584</v>
      </c>
      <c r="B7503" t="s">
        <v>72</v>
      </c>
      <c r="C7503" s="2">
        <v>43196</v>
      </c>
      <c r="D7503" t="s">
        <v>29</v>
      </c>
      <c r="E7503">
        <v>153</v>
      </c>
    </row>
    <row r="7504" spans="1:5" x14ac:dyDescent="0.55000000000000004">
      <c r="A7504" t="s">
        <v>7585</v>
      </c>
      <c r="B7504" t="s">
        <v>142</v>
      </c>
      <c r="C7504" s="2">
        <v>43571</v>
      </c>
      <c r="D7504" t="s">
        <v>26</v>
      </c>
      <c r="E7504">
        <v>2404</v>
      </c>
    </row>
    <row r="7505" spans="1:5" x14ac:dyDescent="0.55000000000000004">
      <c r="A7505" t="s">
        <v>7586</v>
      </c>
      <c r="B7505" t="s">
        <v>72</v>
      </c>
      <c r="C7505" s="2">
        <v>43294</v>
      </c>
      <c r="D7505" t="s">
        <v>26</v>
      </c>
      <c r="E7505">
        <v>193</v>
      </c>
    </row>
    <row r="7506" spans="1:5" x14ac:dyDescent="0.55000000000000004">
      <c r="A7506" t="s">
        <v>7587</v>
      </c>
      <c r="B7506" t="s">
        <v>86</v>
      </c>
      <c r="C7506" s="2">
        <v>43690</v>
      </c>
      <c r="D7506" t="s">
        <v>26</v>
      </c>
      <c r="E7506">
        <v>2682</v>
      </c>
    </row>
    <row r="7507" spans="1:5" x14ac:dyDescent="0.55000000000000004">
      <c r="A7507" t="s">
        <v>7588</v>
      </c>
      <c r="B7507" t="s">
        <v>14</v>
      </c>
      <c r="C7507" s="2">
        <v>43112</v>
      </c>
      <c r="D7507" t="s">
        <v>26</v>
      </c>
      <c r="E7507">
        <v>309</v>
      </c>
    </row>
    <row r="7508" spans="1:5" x14ac:dyDescent="0.55000000000000004">
      <c r="A7508" t="s">
        <v>7589</v>
      </c>
      <c r="B7508" t="s">
        <v>115</v>
      </c>
      <c r="C7508" s="2">
        <v>44469</v>
      </c>
      <c r="D7508" t="s">
        <v>26</v>
      </c>
      <c r="E7508">
        <v>1048</v>
      </c>
    </row>
    <row r="7509" spans="1:5" x14ac:dyDescent="0.55000000000000004">
      <c r="A7509" t="s">
        <v>7590</v>
      </c>
      <c r="B7509" t="s">
        <v>99</v>
      </c>
      <c r="C7509" s="2">
        <v>44722</v>
      </c>
      <c r="D7509" t="s">
        <v>26</v>
      </c>
      <c r="E7509">
        <v>915</v>
      </c>
    </row>
    <row r="7510" spans="1:5" x14ac:dyDescent="0.55000000000000004">
      <c r="A7510" t="s">
        <v>7591</v>
      </c>
      <c r="B7510" t="s">
        <v>23</v>
      </c>
      <c r="C7510" s="2">
        <v>44037</v>
      </c>
      <c r="D7510" t="s">
        <v>26</v>
      </c>
      <c r="E7510">
        <v>933</v>
      </c>
    </row>
    <row r="7511" spans="1:5" x14ac:dyDescent="0.55000000000000004">
      <c r="A7511" t="s">
        <v>7592</v>
      </c>
      <c r="B7511" t="s">
        <v>35</v>
      </c>
      <c r="C7511" s="2">
        <v>44187</v>
      </c>
      <c r="D7511" t="s">
        <v>29</v>
      </c>
      <c r="E7511">
        <v>743</v>
      </c>
    </row>
    <row r="7512" spans="1:5" x14ac:dyDescent="0.55000000000000004">
      <c r="A7512" t="s">
        <v>7593</v>
      </c>
      <c r="B7512" t="s">
        <v>67</v>
      </c>
      <c r="C7512" s="2">
        <v>45017</v>
      </c>
      <c r="D7512" t="s">
        <v>26</v>
      </c>
      <c r="E7512">
        <v>879</v>
      </c>
    </row>
    <row r="7513" spans="1:5" x14ac:dyDescent="0.55000000000000004">
      <c r="A7513" t="s">
        <v>7594</v>
      </c>
      <c r="B7513" t="s">
        <v>105</v>
      </c>
      <c r="C7513" s="2">
        <v>43415</v>
      </c>
      <c r="D7513" t="s">
        <v>29</v>
      </c>
      <c r="E7513">
        <v>1374</v>
      </c>
    </row>
    <row r="7514" spans="1:5" x14ac:dyDescent="0.55000000000000004">
      <c r="A7514" t="s">
        <v>7595</v>
      </c>
      <c r="B7514" t="s">
        <v>175</v>
      </c>
      <c r="C7514" s="2">
        <v>45152</v>
      </c>
      <c r="D7514" t="s">
        <v>29</v>
      </c>
      <c r="E7514">
        <v>1365</v>
      </c>
    </row>
    <row r="7515" spans="1:5" x14ac:dyDescent="0.55000000000000004">
      <c r="A7515" t="s">
        <v>7596</v>
      </c>
      <c r="B7515" t="s">
        <v>72</v>
      </c>
      <c r="C7515" s="2">
        <v>43360</v>
      </c>
      <c r="D7515" t="s">
        <v>29</v>
      </c>
      <c r="E7515">
        <v>760</v>
      </c>
    </row>
    <row r="7516" spans="1:5" x14ac:dyDescent="0.55000000000000004">
      <c r="A7516" t="s">
        <v>7597</v>
      </c>
      <c r="B7516" t="s">
        <v>67</v>
      </c>
      <c r="C7516" s="2">
        <v>45103</v>
      </c>
      <c r="D7516" t="s">
        <v>29</v>
      </c>
      <c r="E7516">
        <v>1220</v>
      </c>
    </row>
    <row r="7517" spans="1:5" x14ac:dyDescent="0.55000000000000004">
      <c r="A7517" t="s">
        <v>7598</v>
      </c>
      <c r="B7517" t="s">
        <v>32</v>
      </c>
      <c r="C7517" s="2">
        <v>44737</v>
      </c>
      <c r="D7517" t="s">
        <v>29</v>
      </c>
      <c r="E7517">
        <v>20</v>
      </c>
    </row>
    <row r="7518" spans="1:5" x14ac:dyDescent="0.55000000000000004">
      <c r="A7518" t="s">
        <v>7599</v>
      </c>
      <c r="B7518" t="s">
        <v>105</v>
      </c>
      <c r="C7518" s="2">
        <v>43457</v>
      </c>
      <c r="D7518" t="s">
        <v>29</v>
      </c>
      <c r="E7518">
        <v>1758</v>
      </c>
    </row>
    <row r="7519" spans="1:5" x14ac:dyDescent="0.55000000000000004">
      <c r="A7519" t="s">
        <v>7600</v>
      </c>
      <c r="B7519" t="s">
        <v>151</v>
      </c>
      <c r="C7519" s="2">
        <v>43465</v>
      </c>
      <c r="D7519" t="s">
        <v>26</v>
      </c>
      <c r="E7519">
        <v>223</v>
      </c>
    </row>
    <row r="7520" spans="1:5" x14ac:dyDescent="0.55000000000000004">
      <c r="A7520" t="s">
        <v>7601</v>
      </c>
      <c r="B7520" t="s">
        <v>78</v>
      </c>
      <c r="C7520" s="2">
        <v>44926</v>
      </c>
      <c r="D7520" t="s">
        <v>26</v>
      </c>
      <c r="E7520">
        <v>1791</v>
      </c>
    </row>
    <row r="7521" spans="1:5" x14ac:dyDescent="0.55000000000000004">
      <c r="A7521" t="s">
        <v>7602</v>
      </c>
      <c r="B7521" t="s">
        <v>118</v>
      </c>
      <c r="C7521" s="2">
        <v>45324</v>
      </c>
      <c r="D7521" t="s">
        <v>29</v>
      </c>
      <c r="E7521">
        <v>2560</v>
      </c>
    </row>
    <row r="7522" spans="1:5" x14ac:dyDescent="0.55000000000000004">
      <c r="A7522" t="s">
        <v>7603</v>
      </c>
      <c r="B7522" t="s">
        <v>94</v>
      </c>
      <c r="C7522" s="2">
        <v>44459</v>
      </c>
      <c r="D7522" t="s">
        <v>29</v>
      </c>
      <c r="E7522">
        <v>2711</v>
      </c>
    </row>
    <row r="7523" spans="1:5" x14ac:dyDescent="0.55000000000000004">
      <c r="A7523" t="s">
        <v>7604</v>
      </c>
      <c r="B7523" t="s">
        <v>23</v>
      </c>
      <c r="C7523" s="2">
        <v>44569</v>
      </c>
      <c r="D7523" t="s">
        <v>26</v>
      </c>
      <c r="E7523">
        <v>2547</v>
      </c>
    </row>
    <row r="7524" spans="1:5" x14ac:dyDescent="0.55000000000000004">
      <c r="A7524" t="s">
        <v>7605</v>
      </c>
      <c r="B7524" t="s">
        <v>96</v>
      </c>
      <c r="C7524" s="2">
        <v>44416</v>
      </c>
      <c r="D7524" t="s">
        <v>29</v>
      </c>
      <c r="E7524">
        <v>1657</v>
      </c>
    </row>
    <row r="7525" spans="1:5" x14ac:dyDescent="0.55000000000000004">
      <c r="A7525" t="s">
        <v>7606</v>
      </c>
      <c r="B7525" t="s">
        <v>175</v>
      </c>
      <c r="C7525" s="2">
        <v>43843</v>
      </c>
      <c r="D7525" t="s">
        <v>29</v>
      </c>
      <c r="E7525">
        <v>2819</v>
      </c>
    </row>
    <row r="7526" spans="1:5" x14ac:dyDescent="0.55000000000000004">
      <c r="A7526" t="s">
        <v>7607</v>
      </c>
      <c r="B7526" t="s">
        <v>105</v>
      </c>
      <c r="C7526" s="2">
        <v>43702</v>
      </c>
      <c r="D7526" t="s">
        <v>29</v>
      </c>
      <c r="E7526">
        <v>1519</v>
      </c>
    </row>
    <row r="7527" spans="1:5" x14ac:dyDescent="0.55000000000000004">
      <c r="A7527" t="s">
        <v>7608</v>
      </c>
      <c r="B7527" t="s">
        <v>175</v>
      </c>
      <c r="C7527" s="2">
        <v>44827</v>
      </c>
      <c r="D7527" t="s">
        <v>26</v>
      </c>
      <c r="E7527">
        <v>1095</v>
      </c>
    </row>
    <row r="7528" spans="1:5" x14ac:dyDescent="0.55000000000000004">
      <c r="A7528" t="s">
        <v>7609</v>
      </c>
      <c r="B7528" t="s">
        <v>96</v>
      </c>
      <c r="C7528" s="2">
        <v>45063</v>
      </c>
      <c r="D7528" t="s">
        <v>26</v>
      </c>
      <c r="E7528">
        <v>1514</v>
      </c>
    </row>
    <row r="7529" spans="1:5" x14ac:dyDescent="0.55000000000000004">
      <c r="A7529" t="s">
        <v>7610</v>
      </c>
      <c r="B7529" t="s">
        <v>137</v>
      </c>
      <c r="C7529" s="2">
        <v>44474</v>
      </c>
      <c r="D7529" t="s">
        <v>26</v>
      </c>
      <c r="E7529">
        <v>2537</v>
      </c>
    </row>
    <row r="7530" spans="1:5" x14ac:dyDescent="0.55000000000000004">
      <c r="A7530" t="s">
        <v>7611</v>
      </c>
      <c r="B7530" t="s">
        <v>140</v>
      </c>
      <c r="C7530" s="2">
        <v>43769</v>
      </c>
      <c r="D7530" t="s">
        <v>29</v>
      </c>
      <c r="E7530">
        <v>431</v>
      </c>
    </row>
    <row r="7531" spans="1:5" x14ac:dyDescent="0.55000000000000004">
      <c r="A7531" t="s">
        <v>7612</v>
      </c>
      <c r="B7531" t="s">
        <v>84</v>
      </c>
      <c r="C7531" s="2">
        <v>43885</v>
      </c>
      <c r="D7531" t="s">
        <v>29</v>
      </c>
      <c r="E7531">
        <v>897</v>
      </c>
    </row>
    <row r="7532" spans="1:5" x14ac:dyDescent="0.55000000000000004">
      <c r="A7532" t="s">
        <v>7613</v>
      </c>
      <c r="B7532" t="s">
        <v>63</v>
      </c>
      <c r="C7532" s="2">
        <v>43745</v>
      </c>
      <c r="D7532" t="s">
        <v>29</v>
      </c>
      <c r="E7532">
        <v>652</v>
      </c>
    </row>
    <row r="7533" spans="1:5" x14ac:dyDescent="0.55000000000000004">
      <c r="A7533" t="s">
        <v>7614</v>
      </c>
      <c r="B7533" t="s">
        <v>156</v>
      </c>
      <c r="C7533" s="2">
        <v>43821</v>
      </c>
      <c r="D7533" t="s">
        <v>29</v>
      </c>
      <c r="E7533">
        <v>1613</v>
      </c>
    </row>
    <row r="7534" spans="1:5" x14ac:dyDescent="0.55000000000000004">
      <c r="A7534" t="s">
        <v>7615</v>
      </c>
      <c r="B7534" t="s">
        <v>140</v>
      </c>
      <c r="C7534" s="2">
        <v>44390</v>
      </c>
      <c r="D7534" t="s">
        <v>29</v>
      </c>
      <c r="E7534">
        <v>2731</v>
      </c>
    </row>
    <row r="7535" spans="1:5" x14ac:dyDescent="0.55000000000000004">
      <c r="A7535" t="s">
        <v>7616</v>
      </c>
      <c r="B7535" t="s">
        <v>63</v>
      </c>
      <c r="C7535" s="2">
        <v>43609</v>
      </c>
      <c r="D7535" t="s">
        <v>26</v>
      </c>
      <c r="E7535">
        <v>2298</v>
      </c>
    </row>
    <row r="7536" spans="1:5" x14ac:dyDescent="0.55000000000000004">
      <c r="A7536" t="s">
        <v>7617</v>
      </c>
      <c r="B7536" t="s">
        <v>23</v>
      </c>
      <c r="C7536" s="2">
        <v>44666</v>
      </c>
      <c r="D7536" t="s">
        <v>26</v>
      </c>
      <c r="E7536">
        <v>2596</v>
      </c>
    </row>
    <row r="7537" spans="1:5" x14ac:dyDescent="0.55000000000000004">
      <c r="A7537" t="s">
        <v>7618</v>
      </c>
      <c r="B7537" t="s">
        <v>94</v>
      </c>
      <c r="C7537" s="2">
        <v>45827</v>
      </c>
      <c r="D7537" t="s">
        <v>29</v>
      </c>
      <c r="E7537">
        <v>1023</v>
      </c>
    </row>
    <row r="7538" spans="1:5" x14ac:dyDescent="0.55000000000000004">
      <c r="A7538" t="s">
        <v>7619</v>
      </c>
      <c r="B7538" t="s">
        <v>72</v>
      </c>
      <c r="C7538" s="2">
        <v>43510</v>
      </c>
      <c r="D7538" t="s">
        <v>26</v>
      </c>
      <c r="E7538">
        <v>2896</v>
      </c>
    </row>
    <row r="7539" spans="1:5" x14ac:dyDescent="0.55000000000000004">
      <c r="A7539" t="s">
        <v>7620</v>
      </c>
      <c r="B7539" t="s">
        <v>118</v>
      </c>
      <c r="C7539" s="2">
        <v>45056</v>
      </c>
      <c r="D7539" t="s">
        <v>29</v>
      </c>
      <c r="E7539">
        <v>2426</v>
      </c>
    </row>
    <row r="7540" spans="1:5" x14ac:dyDescent="0.55000000000000004">
      <c r="A7540" t="s">
        <v>7621</v>
      </c>
      <c r="B7540" t="s">
        <v>72</v>
      </c>
      <c r="C7540" s="2">
        <v>43526</v>
      </c>
      <c r="D7540" t="s">
        <v>26</v>
      </c>
      <c r="E7540">
        <v>1387</v>
      </c>
    </row>
    <row r="7541" spans="1:5" x14ac:dyDescent="0.55000000000000004">
      <c r="A7541" t="s">
        <v>7622</v>
      </c>
      <c r="B7541" t="s">
        <v>96</v>
      </c>
      <c r="C7541" s="2">
        <v>43801</v>
      </c>
      <c r="D7541" t="s">
        <v>26</v>
      </c>
      <c r="E7541">
        <v>2625</v>
      </c>
    </row>
    <row r="7542" spans="1:5" x14ac:dyDescent="0.55000000000000004">
      <c r="A7542" t="s">
        <v>7623</v>
      </c>
      <c r="B7542" t="s">
        <v>15</v>
      </c>
      <c r="C7542" s="2">
        <v>44237</v>
      </c>
      <c r="D7542" t="s">
        <v>29</v>
      </c>
      <c r="E7542">
        <v>804</v>
      </c>
    </row>
    <row r="7543" spans="1:5" x14ac:dyDescent="0.55000000000000004">
      <c r="A7543" t="s">
        <v>7624</v>
      </c>
      <c r="B7543" t="s">
        <v>78</v>
      </c>
      <c r="C7543" s="2">
        <v>45706</v>
      </c>
      <c r="D7543" t="s">
        <v>26</v>
      </c>
      <c r="E7543">
        <v>1327</v>
      </c>
    </row>
    <row r="7544" spans="1:5" x14ac:dyDescent="0.55000000000000004">
      <c r="A7544" t="s">
        <v>7625</v>
      </c>
      <c r="B7544" t="s">
        <v>84</v>
      </c>
      <c r="C7544" s="2">
        <v>43352</v>
      </c>
      <c r="D7544" t="s">
        <v>29</v>
      </c>
      <c r="E7544">
        <v>1682</v>
      </c>
    </row>
    <row r="7545" spans="1:5" x14ac:dyDescent="0.55000000000000004">
      <c r="A7545" t="s">
        <v>7626</v>
      </c>
      <c r="B7545" t="s">
        <v>99</v>
      </c>
      <c r="C7545" s="2">
        <v>44811</v>
      </c>
      <c r="D7545" t="s">
        <v>29</v>
      </c>
      <c r="E7545">
        <v>1009</v>
      </c>
    </row>
    <row r="7546" spans="1:5" x14ac:dyDescent="0.55000000000000004">
      <c r="A7546" t="s">
        <v>7627</v>
      </c>
      <c r="B7546" t="s">
        <v>38</v>
      </c>
      <c r="C7546" s="2">
        <v>43884</v>
      </c>
      <c r="D7546" t="s">
        <v>29</v>
      </c>
      <c r="E7546">
        <v>414</v>
      </c>
    </row>
    <row r="7547" spans="1:5" x14ac:dyDescent="0.55000000000000004">
      <c r="A7547" t="s">
        <v>7628</v>
      </c>
      <c r="B7547" t="s">
        <v>101</v>
      </c>
      <c r="C7547" s="2">
        <v>44413</v>
      </c>
      <c r="D7547" t="s">
        <v>26</v>
      </c>
      <c r="E7547">
        <v>1212</v>
      </c>
    </row>
    <row r="7548" spans="1:5" x14ac:dyDescent="0.55000000000000004">
      <c r="A7548" t="s">
        <v>7629</v>
      </c>
      <c r="B7548" t="s">
        <v>23</v>
      </c>
      <c r="C7548" s="2">
        <v>44794</v>
      </c>
      <c r="D7548" t="s">
        <v>26</v>
      </c>
      <c r="E7548">
        <v>2522</v>
      </c>
    </row>
    <row r="7549" spans="1:5" x14ac:dyDescent="0.55000000000000004">
      <c r="A7549" t="s">
        <v>7630</v>
      </c>
      <c r="B7549" t="s">
        <v>32</v>
      </c>
      <c r="C7549" s="2">
        <v>43989</v>
      </c>
      <c r="D7549" t="s">
        <v>29</v>
      </c>
      <c r="E7549">
        <v>393</v>
      </c>
    </row>
    <row r="7550" spans="1:5" x14ac:dyDescent="0.55000000000000004">
      <c r="A7550" t="s">
        <v>7631</v>
      </c>
      <c r="B7550" t="s">
        <v>86</v>
      </c>
      <c r="C7550" s="2">
        <v>43376</v>
      </c>
      <c r="D7550" t="s">
        <v>26</v>
      </c>
      <c r="E7550">
        <v>415</v>
      </c>
    </row>
    <row r="7551" spans="1:5" x14ac:dyDescent="0.55000000000000004">
      <c r="A7551" t="s">
        <v>7632</v>
      </c>
      <c r="B7551" t="s">
        <v>101</v>
      </c>
      <c r="C7551" s="2">
        <v>44517</v>
      </c>
      <c r="D7551" t="s">
        <v>26</v>
      </c>
      <c r="E7551">
        <v>2845</v>
      </c>
    </row>
    <row r="7552" spans="1:5" x14ac:dyDescent="0.55000000000000004">
      <c r="A7552" t="s">
        <v>7633</v>
      </c>
      <c r="B7552" t="s">
        <v>15</v>
      </c>
      <c r="C7552" s="2">
        <v>43098</v>
      </c>
      <c r="D7552" t="s">
        <v>26</v>
      </c>
      <c r="E7552">
        <v>1002</v>
      </c>
    </row>
    <row r="7553" spans="1:5" x14ac:dyDescent="0.55000000000000004">
      <c r="A7553" t="s">
        <v>7634</v>
      </c>
      <c r="B7553" t="s">
        <v>14</v>
      </c>
      <c r="C7553" s="2">
        <v>43935</v>
      </c>
      <c r="D7553" t="s">
        <v>26</v>
      </c>
      <c r="E7553">
        <v>1941</v>
      </c>
    </row>
    <row r="7554" spans="1:5" x14ac:dyDescent="0.55000000000000004">
      <c r="A7554" t="s">
        <v>7635</v>
      </c>
      <c r="B7554" t="s">
        <v>72</v>
      </c>
      <c r="C7554" s="2">
        <v>43694</v>
      </c>
      <c r="D7554" t="s">
        <v>26</v>
      </c>
      <c r="E7554">
        <v>1931</v>
      </c>
    </row>
    <row r="7555" spans="1:5" x14ac:dyDescent="0.55000000000000004">
      <c r="A7555" t="s">
        <v>7636</v>
      </c>
      <c r="B7555" t="s">
        <v>41</v>
      </c>
      <c r="C7555" s="2">
        <v>44171</v>
      </c>
      <c r="D7555" t="s">
        <v>26</v>
      </c>
      <c r="E7555">
        <v>390</v>
      </c>
    </row>
    <row r="7556" spans="1:5" x14ac:dyDescent="0.55000000000000004">
      <c r="A7556" t="s">
        <v>7637</v>
      </c>
      <c r="B7556" t="s">
        <v>84</v>
      </c>
      <c r="C7556" s="2">
        <v>44015</v>
      </c>
      <c r="D7556" t="s">
        <v>29</v>
      </c>
      <c r="E7556">
        <v>1974</v>
      </c>
    </row>
    <row r="7557" spans="1:5" x14ac:dyDescent="0.55000000000000004">
      <c r="A7557" t="s">
        <v>7638</v>
      </c>
      <c r="B7557" t="s">
        <v>99</v>
      </c>
      <c r="C7557" s="2">
        <v>43544</v>
      </c>
      <c r="D7557" t="s">
        <v>26</v>
      </c>
      <c r="E7557">
        <v>1583</v>
      </c>
    </row>
    <row r="7558" spans="1:5" x14ac:dyDescent="0.55000000000000004">
      <c r="A7558" t="s">
        <v>7639</v>
      </c>
      <c r="B7558" t="s">
        <v>78</v>
      </c>
      <c r="C7558" s="2">
        <v>44592</v>
      </c>
      <c r="D7558" t="s">
        <v>26</v>
      </c>
      <c r="E7558">
        <v>482</v>
      </c>
    </row>
    <row r="7559" spans="1:5" x14ac:dyDescent="0.55000000000000004">
      <c r="A7559" t="s">
        <v>7640</v>
      </c>
      <c r="B7559" t="s">
        <v>72</v>
      </c>
      <c r="C7559" s="2">
        <v>43167</v>
      </c>
      <c r="D7559" t="s">
        <v>29</v>
      </c>
      <c r="E7559">
        <v>1631</v>
      </c>
    </row>
    <row r="7560" spans="1:5" x14ac:dyDescent="0.55000000000000004">
      <c r="A7560" t="s">
        <v>7641</v>
      </c>
      <c r="B7560" t="s">
        <v>137</v>
      </c>
      <c r="C7560" s="2">
        <v>44270</v>
      </c>
      <c r="D7560" t="s">
        <v>29</v>
      </c>
      <c r="E7560">
        <v>1810</v>
      </c>
    </row>
    <row r="7561" spans="1:5" x14ac:dyDescent="0.55000000000000004">
      <c r="A7561" t="s">
        <v>7642</v>
      </c>
      <c r="B7561" t="s">
        <v>101</v>
      </c>
      <c r="C7561" s="2">
        <v>43293</v>
      </c>
      <c r="D7561" t="s">
        <v>29</v>
      </c>
      <c r="E7561">
        <v>2631</v>
      </c>
    </row>
    <row r="7562" spans="1:5" x14ac:dyDescent="0.55000000000000004">
      <c r="A7562" t="s">
        <v>7643</v>
      </c>
      <c r="B7562" t="s">
        <v>84</v>
      </c>
      <c r="C7562" s="2">
        <v>43212</v>
      </c>
      <c r="D7562" t="s">
        <v>26</v>
      </c>
      <c r="E7562">
        <v>1591</v>
      </c>
    </row>
    <row r="7563" spans="1:5" x14ac:dyDescent="0.55000000000000004">
      <c r="A7563" t="s">
        <v>7644</v>
      </c>
      <c r="B7563" t="s">
        <v>175</v>
      </c>
      <c r="C7563" s="2">
        <v>44680</v>
      </c>
      <c r="D7563" t="s">
        <v>29</v>
      </c>
      <c r="E7563">
        <v>1660</v>
      </c>
    </row>
    <row r="7564" spans="1:5" x14ac:dyDescent="0.55000000000000004">
      <c r="A7564" t="s">
        <v>7645</v>
      </c>
      <c r="B7564" t="s">
        <v>151</v>
      </c>
      <c r="C7564" s="2">
        <v>43308</v>
      </c>
      <c r="D7564" t="s">
        <v>26</v>
      </c>
      <c r="E7564">
        <v>1884</v>
      </c>
    </row>
    <row r="7565" spans="1:5" x14ac:dyDescent="0.55000000000000004">
      <c r="A7565" t="s">
        <v>7646</v>
      </c>
      <c r="B7565" t="s">
        <v>72</v>
      </c>
      <c r="C7565" s="2">
        <v>44449</v>
      </c>
      <c r="D7565" t="s">
        <v>29</v>
      </c>
      <c r="E7565">
        <v>46</v>
      </c>
    </row>
    <row r="7566" spans="1:5" x14ac:dyDescent="0.55000000000000004">
      <c r="A7566" t="s">
        <v>7647</v>
      </c>
      <c r="B7566" t="s">
        <v>151</v>
      </c>
      <c r="C7566" s="2">
        <v>43726</v>
      </c>
      <c r="D7566" t="s">
        <v>29</v>
      </c>
      <c r="E7566">
        <v>2071</v>
      </c>
    </row>
    <row r="7567" spans="1:5" x14ac:dyDescent="0.55000000000000004">
      <c r="A7567" t="s">
        <v>7648</v>
      </c>
      <c r="B7567" t="s">
        <v>76</v>
      </c>
      <c r="C7567" s="2">
        <v>43793</v>
      </c>
      <c r="D7567" t="s">
        <v>26</v>
      </c>
      <c r="E7567">
        <v>743</v>
      </c>
    </row>
    <row r="7568" spans="1:5" x14ac:dyDescent="0.55000000000000004">
      <c r="A7568" t="s">
        <v>7649</v>
      </c>
      <c r="B7568" t="s">
        <v>35</v>
      </c>
      <c r="C7568" s="2">
        <v>44678</v>
      </c>
      <c r="D7568" t="s">
        <v>29</v>
      </c>
      <c r="E7568">
        <v>2943</v>
      </c>
    </row>
    <row r="7569" spans="1:5" x14ac:dyDescent="0.55000000000000004">
      <c r="A7569" t="s">
        <v>7650</v>
      </c>
      <c r="B7569" t="s">
        <v>156</v>
      </c>
      <c r="C7569" s="2">
        <v>44078</v>
      </c>
      <c r="D7569" t="s">
        <v>29</v>
      </c>
      <c r="E7569">
        <v>362</v>
      </c>
    </row>
    <row r="7570" spans="1:5" x14ac:dyDescent="0.55000000000000004">
      <c r="A7570" t="s">
        <v>7651</v>
      </c>
      <c r="B7570" t="s">
        <v>32</v>
      </c>
      <c r="C7570" s="2">
        <v>44670</v>
      </c>
      <c r="D7570" t="s">
        <v>29</v>
      </c>
      <c r="E7570">
        <v>2753</v>
      </c>
    </row>
    <row r="7571" spans="1:5" x14ac:dyDescent="0.55000000000000004">
      <c r="A7571" t="s">
        <v>7652</v>
      </c>
      <c r="B7571" t="s">
        <v>14</v>
      </c>
      <c r="C7571" s="2">
        <v>43760</v>
      </c>
      <c r="D7571" t="s">
        <v>26</v>
      </c>
      <c r="E7571">
        <v>894</v>
      </c>
    </row>
    <row r="7572" spans="1:5" x14ac:dyDescent="0.55000000000000004">
      <c r="A7572" t="s">
        <v>7653</v>
      </c>
      <c r="B7572" t="s">
        <v>111</v>
      </c>
      <c r="C7572" s="2">
        <v>43368</v>
      </c>
      <c r="D7572" t="s">
        <v>26</v>
      </c>
      <c r="E7572">
        <v>134</v>
      </c>
    </row>
    <row r="7573" spans="1:5" x14ac:dyDescent="0.55000000000000004">
      <c r="A7573" t="s">
        <v>7654</v>
      </c>
      <c r="B7573" t="s">
        <v>115</v>
      </c>
      <c r="C7573" s="2">
        <v>43714</v>
      </c>
      <c r="D7573" t="s">
        <v>26</v>
      </c>
      <c r="E7573">
        <v>695</v>
      </c>
    </row>
    <row r="7574" spans="1:5" x14ac:dyDescent="0.55000000000000004">
      <c r="A7574" t="s">
        <v>7655</v>
      </c>
      <c r="B7574" t="s">
        <v>86</v>
      </c>
      <c r="C7574" s="2">
        <v>44525</v>
      </c>
      <c r="D7574" t="s">
        <v>26</v>
      </c>
      <c r="E7574">
        <v>465</v>
      </c>
    </row>
    <row r="7575" spans="1:5" x14ac:dyDescent="0.55000000000000004">
      <c r="A7575" t="s">
        <v>7656</v>
      </c>
      <c r="B7575" t="s">
        <v>101</v>
      </c>
      <c r="C7575" s="2">
        <v>44506</v>
      </c>
      <c r="D7575" t="s">
        <v>26</v>
      </c>
      <c r="E7575">
        <v>2325</v>
      </c>
    </row>
    <row r="7576" spans="1:5" x14ac:dyDescent="0.55000000000000004">
      <c r="A7576" t="s">
        <v>7657</v>
      </c>
      <c r="B7576" t="s">
        <v>32</v>
      </c>
      <c r="C7576" s="2">
        <v>44388</v>
      </c>
      <c r="D7576" t="s">
        <v>26</v>
      </c>
      <c r="E7576">
        <v>333</v>
      </c>
    </row>
    <row r="7577" spans="1:5" x14ac:dyDescent="0.55000000000000004">
      <c r="A7577" t="s">
        <v>7658</v>
      </c>
      <c r="B7577" t="s">
        <v>151</v>
      </c>
      <c r="C7577" s="2">
        <v>43380</v>
      </c>
      <c r="D7577" t="s">
        <v>26</v>
      </c>
      <c r="E7577">
        <v>1114</v>
      </c>
    </row>
    <row r="7578" spans="1:5" x14ac:dyDescent="0.55000000000000004">
      <c r="A7578" t="s">
        <v>7659</v>
      </c>
      <c r="B7578" t="s">
        <v>84</v>
      </c>
      <c r="C7578" s="2">
        <v>43358</v>
      </c>
      <c r="D7578" t="s">
        <v>29</v>
      </c>
      <c r="E7578">
        <v>2727</v>
      </c>
    </row>
    <row r="7579" spans="1:5" x14ac:dyDescent="0.55000000000000004">
      <c r="A7579" t="s">
        <v>7660</v>
      </c>
      <c r="B7579" t="s">
        <v>140</v>
      </c>
      <c r="C7579" s="2">
        <v>43904</v>
      </c>
      <c r="D7579" t="s">
        <v>26</v>
      </c>
      <c r="E7579">
        <v>2808</v>
      </c>
    </row>
    <row r="7580" spans="1:5" x14ac:dyDescent="0.55000000000000004">
      <c r="A7580" t="s">
        <v>7661</v>
      </c>
      <c r="B7580" t="s">
        <v>84</v>
      </c>
      <c r="C7580" s="2">
        <v>44009</v>
      </c>
      <c r="D7580" t="s">
        <v>26</v>
      </c>
      <c r="E7580">
        <v>1152</v>
      </c>
    </row>
    <row r="7581" spans="1:5" x14ac:dyDescent="0.55000000000000004">
      <c r="A7581" t="s">
        <v>7662</v>
      </c>
      <c r="B7581" t="s">
        <v>142</v>
      </c>
      <c r="C7581" s="2">
        <v>44070</v>
      </c>
      <c r="D7581" t="s">
        <v>29</v>
      </c>
      <c r="E7581">
        <v>362</v>
      </c>
    </row>
    <row r="7582" spans="1:5" x14ac:dyDescent="0.55000000000000004">
      <c r="A7582" t="s">
        <v>7663</v>
      </c>
      <c r="B7582" t="s">
        <v>78</v>
      </c>
      <c r="C7582" s="2">
        <v>43720</v>
      </c>
      <c r="D7582" t="s">
        <v>26</v>
      </c>
      <c r="E7582">
        <v>1778</v>
      </c>
    </row>
    <row r="7583" spans="1:5" x14ac:dyDescent="0.55000000000000004">
      <c r="A7583" t="s">
        <v>7664</v>
      </c>
      <c r="B7583" t="s">
        <v>96</v>
      </c>
      <c r="C7583" s="2">
        <v>44352</v>
      </c>
      <c r="D7583" t="s">
        <v>26</v>
      </c>
      <c r="E7583">
        <v>302</v>
      </c>
    </row>
    <row r="7584" spans="1:5" x14ac:dyDescent="0.55000000000000004">
      <c r="A7584" t="s">
        <v>7665</v>
      </c>
      <c r="B7584" t="s">
        <v>84</v>
      </c>
      <c r="C7584" s="2">
        <v>44031</v>
      </c>
      <c r="D7584" t="s">
        <v>26</v>
      </c>
      <c r="E7584">
        <v>424</v>
      </c>
    </row>
    <row r="7585" spans="1:5" x14ac:dyDescent="0.55000000000000004">
      <c r="A7585" t="s">
        <v>7666</v>
      </c>
      <c r="B7585" t="s">
        <v>101</v>
      </c>
      <c r="C7585" s="2">
        <v>42938</v>
      </c>
      <c r="D7585" t="s">
        <v>29</v>
      </c>
      <c r="E7585">
        <v>2368</v>
      </c>
    </row>
    <row r="7586" spans="1:5" x14ac:dyDescent="0.55000000000000004">
      <c r="A7586" t="s">
        <v>7667</v>
      </c>
      <c r="B7586" t="s">
        <v>35</v>
      </c>
      <c r="C7586" s="2">
        <v>44001</v>
      </c>
      <c r="D7586" t="s">
        <v>26</v>
      </c>
      <c r="E7586">
        <v>194</v>
      </c>
    </row>
    <row r="7587" spans="1:5" x14ac:dyDescent="0.55000000000000004">
      <c r="A7587" t="s">
        <v>7668</v>
      </c>
      <c r="B7587" t="s">
        <v>76</v>
      </c>
      <c r="C7587" s="2">
        <v>44742</v>
      </c>
      <c r="D7587" t="s">
        <v>26</v>
      </c>
      <c r="E7587">
        <v>158</v>
      </c>
    </row>
    <row r="7588" spans="1:5" x14ac:dyDescent="0.55000000000000004">
      <c r="A7588" t="s">
        <v>7669</v>
      </c>
      <c r="B7588" t="s">
        <v>72</v>
      </c>
      <c r="C7588" s="2">
        <v>44001</v>
      </c>
      <c r="D7588" t="s">
        <v>29</v>
      </c>
      <c r="E7588">
        <v>1708</v>
      </c>
    </row>
    <row r="7589" spans="1:5" x14ac:dyDescent="0.55000000000000004">
      <c r="A7589" t="s">
        <v>7670</v>
      </c>
      <c r="B7589" t="s">
        <v>115</v>
      </c>
      <c r="C7589" s="2">
        <v>43744</v>
      </c>
      <c r="D7589" t="s">
        <v>26</v>
      </c>
      <c r="E7589">
        <v>296</v>
      </c>
    </row>
    <row r="7590" spans="1:5" x14ac:dyDescent="0.55000000000000004">
      <c r="A7590" t="s">
        <v>7671</v>
      </c>
      <c r="B7590" t="s">
        <v>94</v>
      </c>
      <c r="C7590" s="2">
        <v>43628</v>
      </c>
      <c r="D7590" t="s">
        <v>26</v>
      </c>
      <c r="E7590">
        <v>1195</v>
      </c>
    </row>
    <row r="7591" spans="1:5" x14ac:dyDescent="0.55000000000000004">
      <c r="A7591" t="s">
        <v>7672</v>
      </c>
      <c r="B7591" t="s">
        <v>72</v>
      </c>
      <c r="C7591" s="2">
        <v>43166</v>
      </c>
      <c r="D7591" t="s">
        <v>26</v>
      </c>
      <c r="E7591">
        <v>1056</v>
      </c>
    </row>
    <row r="7592" spans="1:5" x14ac:dyDescent="0.55000000000000004">
      <c r="A7592" t="s">
        <v>7673</v>
      </c>
      <c r="B7592" t="s">
        <v>67</v>
      </c>
      <c r="C7592" s="2">
        <v>44814</v>
      </c>
      <c r="D7592" t="s">
        <v>29</v>
      </c>
      <c r="E7592">
        <v>2267</v>
      </c>
    </row>
    <row r="7593" spans="1:5" x14ac:dyDescent="0.55000000000000004">
      <c r="A7593" t="s">
        <v>7674</v>
      </c>
      <c r="B7593" t="s">
        <v>84</v>
      </c>
      <c r="C7593" s="2">
        <v>43236</v>
      </c>
      <c r="D7593" t="s">
        <v>26</v>
      </c>
      <c r="E7593">
        <v>858</v>
      </c>
    </row>
    <row r="7594" spans="1:5" x14ac:dyDescent="0.55000000000000004">
      <c r="A7594" t="s">
        <v>7675</v>
      </c>
      <c r="B7594" t="s">
        <v>111</v>
      </c>
      <c r="C7594" s="2">
        <v>43321</v>
      </c>
      <c r="D7594" t="s">
        <v>26</v>
      </c>
      <c r="E7594">
        <v>1742</v>
      </c>
    </row>
    <row r="7595" spans="1:5" x14ac:dyDescent="0.55000000000000004">
      <c r="A7595" t="s">
        <v>7676</v>
      </c>
      <c r="B7595" t="s">
        <v>142</v>
      </c>
      <c r="C7595" s="2">
        <v>44341</v>
      </c>
      <c r="D7595" t="s">
        <v>29</v>
      </c>
      <c r="E7595">
        <v>2316</v>
      </c>
    </row>
    <row r="7596" spans="1:5" x14ac:dyDescent="0.55000000000000004">
      <c r="A7596" t="s">
        <v>7677</v>
      </c>
      <c r="B7596" t="s">
        <v>38</v>
      </c>
      <c r="C7596" s="2">
        <v>44027</v>
      </c>
      <c r="D7596" t="s">
        <v>29</v>
      </c>
      <c r="E7596">
        <v>2423</v>
      </c>
    </row>
    <row r="7597" spans="1:5" x14ac:dyDescent="0.55000000000000004">
      <c r="A7597" t="s">
        <v>7678</v>
      </c>
      <c r="B7597" t="s">
        <v>115</v>
      </c>
      <c r="C7597" s="2">
        <v>43337</v>
      </c>
      <c r="D7597" t="s">
        <v>29</v>
      </c>
      <c r="E7597">
        <v>240</v>
      </c>
    </row>
    <row r="7598" spans="1:5" x14ac:dyDescent="0.55000000000000004">
      <c r="A7598" t="s">
        <v>7679</v>
      </c>
      <c r="B7598" t="s">
        <v>74</v>
      </c>
      <c r="C7598" s="2">
        <v>43580</v>
      </c>
      <c r="D7598" t="s">
        <v>29</v>
      </c>
      <c r="E7598">
        <v>405</v>
      </c>
    </row>
    <row r="7599" spans="1:5" x14ac:dyDescent="0.55000000000000004">
      <c r="A7599" t="s">
        <v>7680</v>
      </c>
      <c r="B7599" t="s">
        <v>76</v>
      </c>
      <c r="C7599" s="2">
        <v>43819</v>
      </c>
      <c r="D7599" t="s">
        <v>29</v>
      </c>
      <c r="E7599">
        <v>475</v>
      </c>
    </row>
    <row r="7600" spans="1:5" x14ac:dyDescent="0.55000000000000004">
      <c r="A7600" t="s">
        <v>7681</v>
      </c>
      <c r="B7600" t="s">
        <v>151</v>
      </c>
      <c r="C7600" s="2">
        <v>43193</v>
      </c>
      <c r="D7600" t="s">
        <v>26</v>
      </c>
      <c r="E7600">
        <v>2387</v>
      </c>
    </row>
    <row r="7601" spans="1:5" x14ac:dyDescent="0.55000000000000004">
      <c r="A7601" t="s">
        <v>7682</v>
      </c>
      <c r="B7601" t="s">
        <v>38</v>
      </c>
      <c r="C7601" s="2">
        <v>44464</v>
      </c>
      <c r="D7601" t="s">
        <v>26</v>
      </c>
      <c r="E7601">
        <v>554</v>
      </c>
    </row>
    <row r="7602" spans="1:5" x14ac:dyDescent="0.55000000000000004">
      <c r="A7602" t="s">
        <v>7683</v>
      </c>
      <c r="B7602" t="s">
        <v>156</v>
      </c>
      <c r="C7602" s="2">
        <v>43867</v>
      </c>
      <c r="D7602" t="s">
        <v>26</v>
      </c>
      <c r="E7602">
        <v>661</v>
      </c>
    </row>
    <row r="7603" spans="1:5" x14ac:dyDescent="0.55000000000000004">
      <c r="A7603" t="s">
        <v>7684</v>
      </c>
      <c r="B7603" t="s">
        <v>67</v>
      </c>
      <c r="C7603" s="2">
        <v>45741</v>
      </c>
      <c r="D7603" t="s">
        <v>26</v>
      </c>
      <c r="E7603">
        <v>1185</v>
      </c>
    </row>
    <row r="7604" spans="1:5" x14ac:dyDescent="0.55000000000000004">
      <c r="A7604" t="s">
        <v>7685</v>
      </c>
      <c r="B7604" t="s">
        <v>74</v>
      </c>
      <c r="C7604" s="2">
        <v>43161</v>
      </c>
      <c r="D7604" t="s">
        <v>26</v>
      </c>
      <c r="E7604">
        <v>2185</v>
      </c>
    </row>
    <row r="7605" spans="1:5" x14ac:dyDescent="0.55000000000000004">
      <c r="A7605" t="s">
        <v>7686</v>
      </c>
      <c r="B7605" t="s">
        <v>15</v>
      </c>
      <c r="C7605" s="2">
        <v>44211</v>
      </c>
      <c r="D7605" t="s">
        <v>29</v>
      </c>
      <c r="E7605">
        <v>1298</v>
      </c>
    </row>
    <row r="7606" spans="1:5" x14ac:dyDescent="0.55000000000000004">
      <c r="A7606" t="s">
        <v>7687</v>
      </c>
      <c r="B7606" t="s">
        <v>72</v>
      </c>
      <c r="C7606" s="2">
        <v>43909</v>
      </c>
      <c r="D7606" t="s">
        <v>26</v>
      </c>
      <c r="E7606">
        <v>2488</v>
      </c>
    </row>
    <row r="7607" spans="1:5" x14ac:dyDescent="0.55000000000000004">
      <c r="A7607" t="s">
        <v>7688</v>
      </c>
      <c r="B7607" t="s">
        <v>151</v>
      </c>
      <c r="C7607" s="2">
        <v>43810</v>
      </c>
      <c r="D7607" t="s">
        <v>29</v>
      </c>
      <c r="E7607">
        <v>2089</v>
      </c>
    </row>
    <row r="7608" spans="1:5" x14ac:dyDescent="0.55000000000000004">
      <c r="A7608" t="s">
        <v>7689</v>
      </c>
      <c r="B7608" t="s">
        <v>86</v>
      </c>
      <c r="C7608" s="2">
        <v>43922</v>
      </c>
      <c r="D7608" t="s">
        <v>29</v>
      </c>
      <c r="E7608">
        <v>1206</v>
      </c>
    </row>
    <row r="7609" spans="1:5" x14ac:dyDescent="0.55000000000000004">
      <c r="A7609" t="s">
        <v>7690</v>
      </c>
      <c r="B7609" t="s">
        <v>76</v>
      </c>
      <c r="C7609" s="2">
        <v>45221</v>
      </c>
      <c r="D7609" t="s">
        <v>26</v>
      </c>
      <c r="E7609">
        <v>2478</v>
      </c>
    </row>
    <row r="7610" spans="1:5" x14ac:dyDescent="0.55000000000000004">
      <c r="A7610" t="s">
        <v>7691</v>
      </c>
      <c r="B7610" t="s">
        <v>74</v>
      </c>
      <c r="C7610" s="2">
        <v>43406</v>
      </c>
      <c r="D7610" t="s">
        <v>26</v>
      </c>
      <c r="E7610">
        <v>153</v>
      </c>
    </row>
    <row r="7611" spans="1:5" x14ac:dyDescent="0.55000000000000004">
      <c r="A7611" t="s">
        <v>7692</v>
      </c>
      <c r="B7611" t="s">
        <v>35</v>
      </c>
      <c r="C7611" s="2">
        <v>44853</v>
      </c>
      <c r="D7611" t="s">
        <v>29</v>
      </c>
      <c r="E7611">
        <v>2517</v>
      </c>
    </row>
    <row r="7612" spans="1:5" x14ac:dyDescent="0.55000000000000004">
      <c r="A7612" t="s">
        <v>7693</v>
      </c>
      <c r="B7612" t="s">
        <v>115</v>
      </c>
      <c r="C7612" s="2">
        <v>44263</v>
      </c>
      <c r="D7612" t="s">
        <v>29</v>
      </c>
      <c r="E7612">
        <v>500</v>
      </c>
    </row>
    <row r="7613" spans="1:5" x14ac:dyDescent="0.55000000000000004">
      <c r="A7613" t="s">
        <v>7694</v>
      </c>
      <c r="B7613" t="s">
        <v>137</v>
      </c>
      <c r="C7613" s="2">
        <v>45831</v>
      </c>
      <c r="D7613" t="s">
        <v>29</v>
      </c>
      <c r="E7613">
        <v>693</v>
      </c>
    </row>
    <row r="7614" spans="1:5" x14ac:dyDescent="0.55000000000000004">
      <c r="A7614" t="s">
        <v>7695</v>
      </c>
      <c r="B7614" t="s">
        <v>63</v>
      </c>
      <c r="C7614" s="2">
        <v>44230</v>
      </c>
      <c r="D7614" t="s">
        <v>26</v>
      </c>
      <c r="E7614">
        <v>487</v>
      </c>
    </row>
    <row r="7615" spans="1:5" x14ac:dyDescent="0.55000000000000004">
      <c r="A7615" t="s">
        <v>7696</v>
      </c>
      <c r="B7615" t="s">
        <v>86</v>
      </c>
      <c r="C7615" s="2">
        <v>43498</v>
      </c>
      <c r="D7615" t="s">
        <v>26</v>
      </c>
      <c r="E7615">
        <v>311</v>
      </c>
    </row>
    <row r="7616" spans="1:5" x14ac:dyDescent="0.55000000000000004">
      <c r="A7616" t="s">
        <v>7697</v>
      </c>
      <c r="B7616" t="s">
        <v>41</v>
      </c>
      <c r="C7616" s="2">
        <v>44317</v>
      </c>
      <c r="D7616" t="s">
        <v>26</v>
      </c>
      <c r="E7616">
        <v>1374</v>
      </c>
    </row>
    <row r="7617" spans="1:5" x14ac:dyDescent="0.55000000000000004">
      <c r="A7617" t="s">
        <v>7698</v>
      </c>
      <c r="B7617" t="s">
        <v>151</v>
      </c>
      <c r="C7617" s="2">
        <v>43595</v>
      </c>
      <c r="D7617" t="s">
        <v>26</v>
      </c>
      <c r="E7617">
        <v>1683</v>
      </c>
    </row>
    <row r="7618" spans="1:5" x14ac:dyDescent="0.55000000000000004">
      <c r="A7618" t="s">
        <v>7699</v>
      </c>
      <c r="B7618" t="s">
        <v>32</v>
      </c>
      <c r="C7618" s="2">
        <v>44718</v>
      </c>
      <c r="D7618" t="s">
        <v>26</v>
      </c>
      <c r="E7618">
        <v>1591</v>
      </c>
    </row>
    <row r="7619" spans="1:5" x14ac:dyDescent="0.55000000000000004">
      <c r="A7619" t="s">
        <v>7700</v>
      </c>
      <c r="B7619" t="s">
        <v>74</v>
      </c>
      <c r="C7619" s="2">
        <v>43749</v>
      </c>
      <c r="D7619" t="s">
        <v>29</v>
      </c>
      <c r="E7619">
        <v>1410</v>
      </c>
    </row>
    <row r="7620" spans="1:5" x14ac:dyDescent="0.55000000000000004">
      <c r="A7620" t="s">
        <v>7701</v>
      </c>
      <c r="B7620" t="s">
        <v>111</v>
      </c>
      <c r="C7620" s="2">
        <v>43259</v>
      </c>
      <c r="D7620" t="s">
        <v>29</v>
      </c>
      <c r="E7620">
        <v>718</v>
      </c>
    </row>
    <row r="7621" spans="1:5" x14ac:dyDescent="0.55000000000000004">
      <c r="A7621" t="s">
        <v>7702</v>
      </c>
      <c r="B7621" t="s">
        <v>118</v>
      </c>
      <c r="C7621" s="2">
        <v>45501</v>
      </c>
      <c r="D7621" t="s">
        <v>29</v>
      </c>
      <c r="E7621">
        <v>307</v>
      </c>
    </row>
    <row r="7622" spans="1:5" x14ac:dyDescent="0.55000000000000004">
      <c r="A7622" t="s">
        <v>7703</v>
      </c>
      <c r="B7622" t="s">
        <v>14</v>
      </c>
      <c r="C7622" s="2">
        <v>43201</v>
      </c>
      <c r="D7622" t="s">
        <v>29</v>
      </c>
      <c r="E7622">
        <v>1159</v>
      </c>
    </row>
    <row r="7623" spans="1:5" x14ac:dyDescent="0.55000000000000004">
      <c r="A7623" t="s">
        <v>7704</v>
      </c>
      <c r="B7623" t="s">
        <v>96</v>
      </c>
      <c r="C7623" s="2">
        <v>43732</v>
      </c>
      <c r="D7623" t="s">
        <v>29</v>
      </c>
      <c r="E7623">
        <v>2391</v>
      </c>
    </row>
    <row r="7624" spans="1:5" x14ac:dyDescent="0.55000000000000004">
      <c r="A7624" t="s">
        <v>7705</v>
      </c>
      <c r="B7624" t="s">
        <v>99</v>
      </c>
      <c r="C7624" s="2">
        <v>44596</v>
      </c>
      <c r="D7624" t="s">
        <v>29</v>
      </c>
      <c r="E7624">
        <v>1744</v>
      </c>
    </row>
    <row r="7625" spans="1:5" x14ac:dyDescent="0.55000000000000004">
      <c r="A7625" t="s">
        <v>7706</v>
      </c>
      <c r="B7625" t="s">
        <v>101</v>
      </c>
      <c r="C7625" s="2">
        <v>44155</v>
      </c>
      <c r="D7625" t="s">
        <v>29</v>
      </c>
      <c r="E7625">
        <v>2075</v>
      </c>
    </row>
    <row r="7626" spans="1:5" x14ac:dyDescent="0.55000000000000004">
      <c r="A7626" t="s">
        <v>7707</v>
      </c>
      <c r="B7626" t="s">
        <v>23</v>
      </c>
      <c r="C7626" s="2">
        <v>44283</v>
      </c>
      <c r="D7626" t="s">
        <v>26</v>
      </c>
      <c r="E7626">
        <v>125</v>
      </c>
    </row>
    <row r="7627" spans="1:5" x14ac:dyDescent="0.55000000000000004">
      <c r="A7627" t="s">
        <v>7708</v>
      </c>
      <c r="B7627" t="s">
        <v>86</v>
      </c>
      <c r="C7627" s="2">
        <v>43134</v>
      </c>
      <c r="D7627" t="s">
        <v>29</v>
      </c>
      <c r="E7627">
        <v>1772</v>
      </c>
    </row>
    <row r="7628" spans="1:5" x14ac:dyDescent="0.55000000000000004">
      <c r="A7628" t="s">
        <v>7709</v>
      </c>
      <c r="B7628" t="s">
        <v>15</v>
      </c>
      <c r="C7628" s="2">
        <v>43629</v>
      </c>
      <c r="D7628" t="s">
        <v>29</v>
      </c>
      <c r="E7628">
        <v>852</v>
      </c>
    </row>
    <row r="7629" spans="1:5" x14ac:dyDescent="0.55000000000000004">
      <c r="A7629" t="s">
        <v>7710</v>
      </c>
      <c r="B7629" t="s">
        <v>86</v>
      </c>
      <c r="C7629" s="2">
        <v>43662</v>
      </c>
      <c r="D7629" t="s">
        <v>29</v>
      </c>
      <c r="E7629">
        <v>596</v>
      </c>
    </row>
    <row r="7630" spans="1:5" x14ac:dyDescent="0.55000000000000004">
      <c r="A7630" t="s">
        <v>7711</v>
      </c>
      <c r="B7630" t="s">
        <v>76</v>
      </c>
      <c r="C7630" s="2">
        <v>44220</v>
      </c>
      <c r="D7630" t="s">
        <v>29</v>
      </c>
      <c r="E7630">
        <v>2613</v>
      </c>
    </row>
    <row r="7631" spans="1:5" x14ac:dyDescent="0.55000000000000004">
      <c r="A7631" t="s">
        <v>7712</v>
      </c>
      <c r="B7631" t="s">
        <v>78</v>
      </c>
      <c r="C7631" s="2">
        <v>43819</v>
      </c>
      <c r="D7631" t="s">
        <v>29</v>
      </c>
      <c r="E7631">
        <v>639</v>
      </c>
    </row>
    <row r="7632" spans="1:5" x14ac:dyDescent="0.55000000000000004">
      <c r="A7632" t="s">
        <v>7713</v>
      </c>
      <c r="B7632" t="s">
        <v>101</v>
      </c>
      <c r="C7632" s="2">
        <v>43744</v>
      </c>
      <c r="D7632" t="s">
        <v>26</v>
      </c>
      <c r="E7632">
        <v>2676</v>
      </c>
    </row>
    <row r="7633" spans="1:5" x14ac:dyDescent="0.55000000000000004">
      <c r="A7633" t="s">
        <v>7714</v>
      </c>
      <c r="B7633" t="s">
        <v>86</v>
      </c>
      <c r="C7633" s="2">
        <v>43746</v>
      </c>
      <c r="D7633" t="s">
        <v>29</v>
      </c>
      <c r="E7633">
        <v>106</v>
      </c>
    </row>
    <row r="7634" spans="1:5" x14ac:dyDescent="0.55000000000000004">
      <c r="A7634" t="s">
        <v>7715</v>
      </c>
      <c r="B7634" t="s">
        <v>84</v>
      </c>
      <c r="C7634" s="2">
        <v>43700</v>
      </c>
      <c r="D7634" t="s">
        <v>26</v>
      </c>
      <c r="E7634">
        <v>1951</v>
      </c>
    </row>
    <row r="7635" spans="1:5" x14ac:dyDescent="0.55000000000000004">
      <c r="A7635" t="s">
        <v>7716</v>
      </c>
      <c r="B7635" t="s">
        <v>14</v>
      </c>
      <c r="C7635" s="2">
        <v>44275</v>
      </c>
      <c r="D7635" t="s">
        <v>26</v>
      </c>
      <c r="E7635">
        <v>339</v>
      </c>
    </row>
    <row r="7636" spans="1:5" x14ac:dyDescent="0.55000000000000004">
      <c r="A7636" t="s">
        <v>7717</v>
      </c>
      <c r="B7636" t="s">
        <v>156</v>
      </c>
      <c r="C7636" s="2">
        <v>44256</v>
      </c>
      <c r="D7636" t="s">
        <v>29</v>
      </c>
      <c r="E7636">
        <v>455</v>
      </c>
    </row>
    <row r="7637" spans="1:5" x14ac:dyDescent="0.55000000000000004">
      <c r="A7637" t="s">
        <v>7718</v>
      </c>
      <c r="B7637" t="s">
        <v>175</v>
      </c>
      <c r="C7637" s="2">
        <v>44377</v>
      </c>
      <c r="D7637" t="s">
        <v>26</v>
      </c>
      <c r="E7637">
        <v>1548</v>
      </c>
    </row>
    <row r="7638" spans="1:5" x14ac:dyDescent="0.55000000000000004">
      <c r="A7638" t="s">
        <v>7719</v>
      </c>
      <c r="B7638" t="s">
        <v>67</v>
      </c>
      <c r="C7638" s="2">
        <v>45190</v>
      </c>
      <c r="D7638" t="s">
        <v>26</v>
      </c>
      <c r="E7638">
        <v>1067</v>
      </c>
    </row>
    <row r="7639" spans="1:5" x14ac:dyDescent="0.55000000000000004">
      <c r="A7639" t="s">
        <v>7720</v>
      </c>
      <c r="B7639" t="s">
        <v>142</v>
      </c>
      <c r="C7639" s="2">
        <v>44529</v>
      </c>
      <c r="D7639" t="s">
        <v>29</v>
      </c>
      <c r="E7639">
        <v>420</v>
      </c>
    </row>
    <row r="7640" spans="1:5" x14ac:dyDescent="0.55000000000000004">
      <c r="A7640" t="s">
        <v>7721</v>
      </c>
      <c r="B7640" t="s">
        <v>94</v>
      </c>
      <c r="C7640" s="2">
        <v>43487</v>
      </c>
      <c r="D7640" t="s">
        <v>26</v>
      </c>
      <c r="E7640">
        <v>2613</v>
      </c>
    </row>
    <row r="7641" spans="1:5" x14ac:dyDescent="0.55000000000000004">
      <c r="A7641" t="s">
        <v>7722</v>
      </c>
      <c r="B7641" t="s">
        <v>175</v>
      </c>
      <c r="C7641" s="2">
        <v>45152</v>
      </c>
      <c r="D7641" t="s">
        <v>29</v>
      </c>
      <c r="E7641">
        <v>2217</v>
      </c>
    </row>
    <row r="7642" spans="1:5" x14ac:dyDescent="0.55000000000000004">
      <c r="A7642" t="s">
        <v>7723</v>
      </c>
      <c r="B7642" t="s">
        <v>32</v>
      </c>
      <c r="C7642" s="2">
        <v>43951</v>
      </c>
      <c r="D7642" t="s">
        <v>29</v>
      </c>
      <c r="E7642">
        <v>410</v>
      </c>
    </row>
    <row r="7643" spans="1:5" x14ac:dyDescent="0.55000000000000004">
      <c r="A7643" t="s">
        <v>7724</v>
      </c>
      <c r="B7643" t="s">
        <v>96</v>
      </c>
      <c r="C7643" s="2">
        <v>44021</v>
      </c>
      <c r="D7643" t="s">
        <v>26</v>
      </c>
      <c r="E7643">
        <v>31</v>
      </c>
    </row>
    <row r="7644" spans="1:5" x14ac:dyDescent="0.55000000000000004">
      <c r="A7644" t="s">
        <v>7725</v>
      </c>
      <c r="B7644" t="s">
        <v>96</v>
      </c>
      <c r="C7644" s="2">
        <v>45135</v>
      </c>
      <c r="D7644" t="s">
        <v>26</v>
      </c>
      <c r="E7644">
        <v>787</v>
      </c>
    </row>
    <row r="7645" spans="1:5" x14ac:dyDescent="0.55000000000000004">
      <c r="A7645" t="s">
        <v>7726</v>
      </c>
      <c r="B7645" t="s">
        <v>67</v>
      </c>
      <c r="C7645" s="2">
        <v>43921</v>
      </c>
      <c r="D7645" t="s">
        <v>26</v>
      </c>
      <c r="E7645">
        <v>1438</v>
      </c>
    </row>
    <row r="7646" spans="1:5" x14ac:dyDescent="0.55000000000000004">
      <c r="A7646" t="s">
        <v>7727</v>
      </c>
      <c r="B7646" t="s">
        <v>76</v>
      </c>
      <c r="C7646" s="2">
        <v>44126</v>
      </c>
      <c r="D7646" t="s">
        <v>26</v>
      </c>
      <c r="E7646">
        <v>939</v>
      </c>
    </row>
    <row r="7647" spans="1:5" x14ac:dyDescent="0.55000000000000004">
      <c r="A7647" t="s">
        <v>7728</v>
      </c>
      <c r="B7647" t="s">
        <v>72</v>
      </c>
      <c r="C7647" s="2">
        <v>44047</v>
      </c>
      <c r="D7647" t="s">
        <v>26</v>
      </c>
      <c r="E7647">
        <v>741</v>
      </c>
    </row>
    <row r="7648" spans="1:5" x14ac:dyDescent="0.55000000000000004">
      <c r="A7648" t="s">
        <v>7729</v>
      </c>
      <c r="B7648" t="s">
        <v>105</v>
      </c>
      <c r="C7648" s="2">
        <v>44055</v>
      </c>
      <c r="D7648" t="s">
        <v>26</v>
      </c>
      <c r="E7648">
        <v>1162</v>
      </c>
    </row>
    <row r="7649" spans="1:5" x14ac:dyDescent="0.55000000000000004">
      <c r="A7649" t="s">
        <v>7730</v>
      </c>
      <c r="B7649" t="s">
        <v>14</v>
      </c>
      <c r="C7649" s="2">
        <v>44014</v>
      </c>
      <c r="D7649" t="s">
        <v>29</v>
      </c>
      <c r="E7649">
        <v>1929</v>
      </c>
    </row>
    <row r="7650" spans="1:5" x14ac:dyDescent="0.55000000000000004">
      <c r="A7650" t="s">
        <v>7731</v>
      </c>
      <c r="B7650" t="s">
        <v>111</v>
      </c>
      <c r="C7650" s="2">
        <v>43235</v>
      </c>
      <c r="D7650" t="s">
        <v>26</v>
      </c>
      <c r="E7650">
        <v>1466</v>
      </c>
    </row>
    <row r="7651" spans="1:5" x14ac:dyDescent="0.55000000000000004">
      <c r="A7651" t="s">
        <v>7732</v>
      </c>
      <c r="B7651" t="s">
        <v>32</v>
      </c>
      <c r="C7651" s="2">
        <v>44439</v>
      </c>
      <c r="D7651" t="s">
        <v>26</v>
      </c>
      <c r="E7651">
        <v>5</v>
      </c>
    </row>
    <row r="7652" spans="1:5" x14ac:dyDescent="0.55000000000000004">
      <c r="A7652" t="s">
        <v>7733</v>
      </c>
      <c r="B7652" t="s">
        <v>84</v>
      </c>
      <c r="C7652" s="2">
        <v>43105</v>
      </c>
      <c r="D7652" t="s">
        <v>26</v>
      </c>
      <c r="E7652">
        <v>2974</v>
      </c>
    </row>
    <row r="7653" spans="1:5" x14ac:dyDescent="0.55000000000000004">
      <c r="A7653" t="s">
        <v>7734</v>
      </c>
      <c r="B7653" t="s">
        <v>118</v>
      </c>
      <c r="C7653" s="2">
        <v>45736</v>
      </c>
      <c r="D7653" t="s">
        <v>29</v>
      </c>
      <c r="E7653">
        <v>1852</v>
      </c>
    </row>
    <row r="7654" spans="1:5" x14ac:dyDescent="0.55000000000000004">
      <c r="A7654" t="s">
        <v>7735</v>
      </c>
      <c r="B7654" t="s">
        <v>32</v>
      </c>
      <c r="C7654" s="2">
        <v>44068</v>
      </c>
      <c r="D7654" t="s">
        <v>26</v>
      </c>
      <c r="E7654">
        <v>1527</v>
      </c>
    </row>
    <row r="7655" spans="1:5" x14ac:dyDescent="0.55000000000000004">
      <c r="A7655" t="s">
        <v>7736</v>
      </c>
      <c r="B7655" t="s">
        <v>94</v>
      </c>
      <c r="C7655" s="2">
        <v>43882</v>
      </c>
      <c r="D7655" t="s">
        <v>26</v>
      </c>
      <c r="E7655">
        <v>1008</v>
      </c>
    </row>
    <row r="7656" spans="1:5" x14ac:dyDescent="0.55000000000000004">
      <c r="A7656" t="s">
        <v>7737</v>
      </c>
      <c r="B7656" t="s">
        <v>86</v>
      </c>
      <c r="C7656" s="2">
        <v>44283</v>
      </c>
      <c r="D7656" t="s">
        <v>26</v>
      </c>
      <c r="E7656">
        <v>1287</v>
      </c>
    </row>
    <row r="7657" spans="1:5" x14ac:dyDescent="0.55000000000000004">
      <c r="A7657" t="s">
        <v>7738</v>
      </c>
      <c r="B7657" t="s">
        <v>151</v>
      </c>
      <c r="C7657" s="2">
        <v>43569</v>
      </c>
      <c r="D7657" t="s">
        <v>29</v>
      </c>
      <c r="E7657">
        <v>596</v>
      </c>
    </row>
    <row r="7658" spans="1:5" x14ac:dyDescent="0.55000000000000004">
      <c r="A7658" t="s">
        <v>7739</v>
      </c>
      <c r="B7658" t="s">
        <v>105</v>
      </c>
      <c r="C7658" s="2">
        <v>44486</v>
      </c>
      <c r="D7658" t="s">
        <v>26</v>
      </c>
      <c r="E7658">
        <v>31</v>
      </c>
    </row>
    <row r="7659" spans="1:5" x14ac:dyDescent="0.55000000000000004">
      <c r="A7659" t="s">
        <v>7740</v>
      </c>
      <c r="B7659" t="s">
        <v>137</v>
      </c>
      <c r="C7659" s="2">
        <v>45254</v>
      </c>
      <c r="D7659" t="s">
        <v>29</v>
      </c>
      <c r="E7659">
        <v>481</v>
      </c>
    </row>
    <row r="7660" spans="1:5" x14ac:dyDescent="0.55000000000000004">
      <c r="A7660" t="s">
        <v>7741</v>
      </c>
      <c r="B7660" t="s">
        <v>35</v>
      </c>
      <c r="C7660" s="2">
        <v>44567</v>
      </c>
      <c r="D7660" t="s">
        <v>29</v>
      </c>
      <c r="E7660">
        <v>2279</v>
      </c>
    </row>
    <row r="7661" spans="1:5" x14ac:dyDescent="0.55000000000000004">
      <c r="A7661" t="s">
        <v>7742</v>
      </c>
      <c r="B7661" t="s">
        <v>142</v>
      </c>
      <c r="C7661" s="2">
        <v>44143</v>
      </c>
      <c r="D7661" t="s">
        <v>29</v>
      </c>
      <c r="E7661">
        <v>2147</v>
      </c>
    </row>
    <row r="7662" spans="1:5" x14ac:dyDescent="0.55000000000000004">
      <c r="A7662" t="s">
        <v>7743</v>
      </c>
      <c r="B7662" t="s">
        <v>63</v>
      </c>
      <c r="C7662" s="2">
        <v>42976</v>
      </c>
      <c r="D7662" t="s">
        <v>26</v>
      </c>
      <c r="E7662">
        <v>2213</v>
      </c>
    </row>
    <row r="7663" spans="1:5" x14ac:dyDescent="0.55000000000000004">
      <c r="A7663" t="s">
        <v>7744</v>
      </c>
      <c r="B7663" t="s">
        <v>14</v>
      </c>
      <c r="C7663" s="2">
        <v>43066</v>
      </c>
      <c r="D7663" t="s">
        <v>26</v>
      </c>
      <c r="E7663">
        <v>1229</v>
      </c>
    </row>
    <row r="7664" spans="1:5" x14ac:dyDescent="0.55000000000000004">
      <c r="A7664" t="s">
        <v>7745</v>
      </c>
      <c r="B7664" t="s">
        <v>115</v>
      </c>
      <c r="C7664" s="2">
        <v>44190</v>
      </c>
      <c r="D7664" t="s">
        <v>29</v>
      </c>
      <c r="E7664">
        <v>2917</v>
      </c>
    </row>
    <row r="7665" spans="1:5" x14ac:dyDescent="0.55000000000000004">
      <c r="A7665" t="s">
        <v>7746</v>
      </c>
      <c r="B7665" t="s">
        <v>111</v>
      </c>
      <c r="C7665" s="2">
        <v>43413</v>
      </c>
      <c r="D7665" t="s">
        <v>29</v>
      </c>
      <c r="E7665">
        <v>316</v>
      </c>
    </row>
    <row r="7666" spans="1:5" x14ac:dyDescent="0.55000000000000004">
      <c r="A7666" t="s">
        <v>7747</v>
      </c>
      <c r="B7666" t="s">
        <v>32</v>
      </c>
      <c r="C7666" s="2">
        <v>44512</v>
      </c>
      <c r="D7666" t="s">
        <v>26</v>
      </c>
      <c r="E7666">
        <v>2091</v>
      </c>
    </row>
    <row r="7667" spans="1:5" x14ac:dyDescent="0.55000000000000004">
      <c r="A7667" t="s">
        <v>7748</v>
      </c>
      <c r="B7667" t="s">
        <v>118</v>
      </c>
      <c r="C7667" s="2">
        <v>43857</v>
      </c>
      <c r="D7667" t="s">
        <v>29</v>
      </c>
      <c r="E7667">
        <v>1179</v>
      </c>
    </row>
    <row r="7668" spans="1:5" x14ac:dyDescent="0.55000000000000004">
      <c r="A7668" t="s">
        <v>7749</v>
      </c>
      <c r="B7668" t="s">
        <v>96</v>
      </c>
      <c r="C7668" s="2">
        <v>45742</v>
      </c>
      <c r="D7668" t="s">
        <v>29</v>
      </c>
      <c r="E7668">
        <v>1860</v>
      </c>
    </row>
    <row r="7669" spans="1:5" x14ac:dyDescent="0.55000000000000004">
      <c r="A7669" t="s">
        <v>7750</v>
      </c>
      <c r="B7669" t="s">
        <v>156</v>
      </c>
      <c r="C7669" s="2">
        <v>44417</v>
      </c>
      <c r="D7669" t="s">
        <v>26</v>
      </c>
      <c r="E7669">
        <v>2255</v>
      </c>
    </row>
    <row r="7670" spans="1:5" x14ac:dyDescent="0.55000000000000004">
      <c r="A7670" t="s">
        <v>7751</v>
      </c>
      <c r="B7670" t="s">
        <v>142</v>
      </c>
      <c r="C7670" s="2">
        <v>43275</v>
      </c>
      <c r="D7670" t="s">
        <v>26</v>
      </c>
      <c r="E7670">
        <v>2627</v>
      </c>
    </row>
    <row r="7671" spans="1:5" x14ac:dyDescent="0.55000000000000004">
      <c r="A7671" t="s">
        <v>7752</v>
      </c>
      <c r="B7671" t="s">
        <v>67</v>
      </c>
      <c r="C7671" s="2">
        <v>45741</v>
      </c>
      <c r="D7671" t="s">
        <v>26</v>
      </c>
      <c r="E7671">
        <v>92</v>
      </c>
    </row>
    <row r="7672" spans="1:5" x14ac:dyDescent="0.55000000000000004">
      <c r="A7672" t="s">
        <v>7753</v>
      </c>
      <c r="B7672" t="s">
        <v>101</v>
      </c>
      <c r="C7672" s="2">
        <v>43371</v>
      </c>
      <c r="D7672" t="s">
        <v>29</v>
      </c>
      <c r="E7672">
        <v>2038</v>
      </c>
    </row>
    <row r="7673" spans="1:5" x14ac:dyDescent="0.55000000000000004">
      <c r="A7673" t="s">
        <v>7754</v>
      </c>
      <c r="B7673" t="s">
        <v>99</v>
      </c>
      <c r="C7673" s="2">
        <v>43568</v>
      </c>
      <c r="D7673" t="s">
        <v>26</v>
      </c>
      <c r="E7673">
        <v>1903</v>
      </c>
    </row>
    <row r="7674" spans="1:5" x14ac:dyDescent="0.55000000000000004">
      <c r="A7674" t="s">
        <v>7755</v>
      </c>
      <c r="B7674" t="s">
        <v>99</v>
      </c>
      <c r="C7674" s="2">
        <v>43938</v>
      </c>
      <c r="D7674" t="s">
        <v>26</v>
      </c>
      <c r="E7674">
        <v>398</v>
      </c>
    </row>
    <row r="7675" spans="1:5" x14ac:dyDescent="0.55000000000000004">
      <c r="A7675" t="s">
        <v>7756</v>
      </c>
      <c r="B7675" t="s">
        <v>63</v>
      </c>
      <c r="C7675" s="2">
        <v>44270</v>
      </c>
      <c r="D7675" t="s">
        <v>29</v>
      </c>
      <c r="E7675">
        <v>1026</v>
      </c>
    </row>
    <row r="7676" spans="1:5" x14ac:dyDescent="0.55000000000000004">
      <c r="A7676" t="s">
        <v>7757</v>
      </c>
      <c r="B7676" t="s">
        <v>94</v>
      </c>
      <c r="C7676" s="2">
        <v>44447</v>
      </c>
      <c r="D7676" t="s">
        <v>29</v>
      </c>
      <c r="E7676">
        <v>2442</v>
      </c>
    </row>
    <row r="7677" spans="1:5" x14ac:dyDescent="0.55000000000000004">
      <c r="A7677" t="s">
        <v>7758</v>
      </c>
      <c r="B7677" t="s">
        <v>23</v>
      </c>
      <c r="C7677" s="2">
        <v>43859</v>
      </c>
      <c r="D7677" t="s">
        <v>29</v>
      </c>
      <c r="E7677">
        <v>1359</v>
      </c>
    </row>
    <row r="7678" spans="1:5" x14ac:dyDescent="0.55000000000000004">
      <c r="A7678" t="s">
        <v>7759</v>
      </c>
      <c r="B7678" t="s">
        <v>99</v>
      </c>
      <c r="C7678" s="2">
        <v>44789</v>
      </c>
      <c r="D7678" t="s">
        <v>29</v>
      </c>
      <c r="E7678">
        <v>2019</v>
      </c>
    </row>
    <row r="7679" spans="1:5" x14ac:dyDescent="0.55000000000000004">
      <c r="A7679" t="s">
        <v>7760</v>
      </c>
      <c r="B7679" t="s">
        <v>137</v>
      </c>
      <c r="C7679" s="2">
        <v>44990</v>
      </c>
      <c r="D7679" t="s">
        <v>29</v>
      </c>
      <c r="E7679">
        <v>2858</v>
      </c>
    </row>
    <row r="7680" spans="1:5" x14ac:dyDescent="0.55000000000000004">
      <c r="A7680" t="s">
        <v>7761</v>
      </c>
      <c r="B7680" t="s">
        <v>118</v>
      </c>
      <c r="C7680" s="2">
        <v>43551</v>
      </c>
      <c r="D7680" t="s">
        <v>29</v>
      </c>
      <c r="E7680">
        <v>764</v>
      </c>
    </row>
    <row r="7681" spans="1:5" x14ac:dyDescent="0.55000000000000004">
      <c r="A7681" t="s">
        <v>7762</v>
      </c>
      <c r="B7681" t="s">
        <v>23</v>
      </c>
      <c r="C7681" s="2">
        <v>43832</v>
      </c>
      <c r="D7681" t="s">
        <v>29</v>
      </c>
      <c r="E7681">
        <v>2468</v>
      </c>
    </row>
    <row r="7682" spans="1:5" x14ac:dyDescent="0.55000000000000004">
      <c r="A7682" t="s">
        <v>7763</v>
      </c>
      <c r="B7682" t="s">
        <v>140</v>
      </c>
      <c r="C7682" s="2">
        <v>44077</v>
      </c>
      <c r="D7682" t="s">
        <v>26</v>
      </c>
      <c r="E7682">
        <v>2824</v>
      </c>
    </row>
    <row r="7683" spans="1:5" x14ac:dyDescent="0.55000000000000004">
      <c r="A7683" t="s">
        <v>7764</v>
      </c>
      <c r="B7683" t="s">
        <v>156</v>
      </c>
      <c r="C7683" s="2">
        <v>43652</v>
      </c>
      <c r="D7683" t="s">
        <v>26</v>
      </c>
      <c r="E7683">
        <v>2129</v>
      </c>
    </row>
    <row r="7684" spans="1:5" x14ac:dyDescent="0.55000000000000004">
      <c r="A7684" t="s">
        <v>7765</v>
      </c>
      <c r="B7684" t="s">
        <v>32</v>
      </c>
      <c r="C7684" s="2">
        <v>44709</v>
      </c>
      <c r="D7684" t="s">
        <v>26</v>
      </c>
      <c r="E7684">
        <v>1545</v>
      </c>
    </row>
    <row r="7685" spans="1:5" x14ac:dyDescent="0.55000000000000004">
      <c r="A7685" t="s">
        <v>7766</v>
      </c>
      <c r="B7685" t="s">
        <v>74</v>
      </c>
      <c r="C7685" s="2">
        <v>44407</v>
      </c>
      <c r="D7685" t="s">
        <v>26</v>
      </c>
      <c r="E7685">
        <v>1591</v>
      </c>
    </row>
    <row r="7686" spans="1:5" x14ac:dyDescent="0.55000000000000004">
      <c r="A7686" t="s">
        <v>7767</v>
      </c>
      <c r="B7686" t="s">
        <v>111</v>
      </c>
      <c r="C7686" s="2">
        <v>43777</v>
      </c>
      <c r="D7686" t="s">
        <v>29</v>
      </c>
      <c r="E7686">
        <v>985</v>
      </c>
    </row>
    <row r="7687" spans="1:5" x14ac:dyDescent="0.55000000000000004">
      <c r="A7687" t="s">
        <v>7768</v>
      </c>
      <c r="B7687" t="s">
        <v>63</v>
      </c>
      <c r="C7687" s="2">
        <v>43843</v>
      </c>
      <c r="D7687" t="s">
        <v>29</v>
      </c>
      <c r="E7687">
        <v>1520</v>
      </c>
    </row>
    <row r="7688" spans="1:5" x14ac:dyDescent="0.55000000000000004">
      <c r="A7688" t="s">
        <v>7769</v>
      </c>
      <c r="B7688" t="s">
        <v>15</v>
      </c>
      <c r="C7688" s="2">
        <v>43005</v>
      </c>
      <c r="D7688" t="s">
        <v>26</v>
      </c>
      <c r="E7688">
        <v>1634</v>
      </c>
    </row>
    <row r="7689" spans="1:5" x14ac:dyDescent="0.55000000000000004">
      <c r="A7689" t="s">
        <v>7770</v>
      </c>
      <c r="B7689" t="s">
        <v>111</v>
      </c>
      <c r="C7689" s="2">
        <v>43211</v>
      </c>
      <c r="D7689" t="s">
        <v>29</v>
      </c>
      <c r="E7689">
        <v>1697</v>
      </c>
    </row>
    <row r="7690" spans="1:5" x14ac:dyDescent="0.55000000000000004">
      <c r="A7690" t="s">
        <v>7771</v>
      </c>
      <c r="B7690" t="s">
        <v>74</v>
      </c>
      <c r="C7690" s="2">
        <v>43373</v>
      </c>
      <c r="D7690" t="s">
        <v>29</v>
      </c>
      <c r="E7690">
        <v>2719</v>
      </c>
    </row>
    <row r="7691" spans="1:5" x14ac:dyDescent="0.55000000000000004">
      <c r="A7691" t="s">
        <v>7772</v>
      </c>
      <c r="B7691" t="s">
        <v>99</v>
      </c>
      <c r="C7691" s="2">
        <v>43749</v>
      </c>
      <c r="D7691" t="s">
        <v>29</v>
      </c>
      <c r="E7691">
        <v>2407</v>
      </c>
    </row>
    <row r="7692" spans="1:5" x14ac:dyDescent="0.55000000000000004">
      <c r="A7692" t="s">
        <v>7773</v>
      </c>
      <c r="B7692" t="s">
        <v>94</v>
      </c>
      <c r="C7692" s="2">
        <v>45726</v>
      </c>
      <c r="D7692" t="s">
        <v>26</v>
      </c>
      <c r="E7692">
        <v>573</v>
      </c>
    </row>
    <row r="7693" spans="1:5" x14ac:dyDescent="0.55000000000000004">
      <c r="A7693" t="s">
        <v>7774</v>
      </c>
      <c r="B7693" t="s">
        <v>86</v>
      </c>
      <c r="C7693" s="2">
        <v>43367</v>
      </c>
      <c r="D7693" t="s">
        <v>26</v>
      </c>
      <c r="E7693">
        <v>2097</v>
      </c>
    </row>
    <row r="7694" spans="1:5" x14ac:dyDescent="0.55000000000000004">
      <c r="A7694" t="s">
        <v>7775</v>
      </c>
      <c r="B7694" t="s">
        <v>84</v>
      </c>
      <c r="C7694" s="2">
        <v>43315</v>
      </c>
      <c r="D7694" t="s">
        <v>29</v>
      </c>
      <c r="E7694">
        <v>2960</v>
      </c>
    </row>
    <row r="7695" spans="1:5" x14ac:dyDescent="0.55000000000000004">
      <c r="A7695" t="s">
        <v>7776</v>
      </c>
      <c r="B7695" t="s">
        <v>101</v>
      </c>
      <c r="C7695" s="2">
        <v>44178</v>
      </c>
      <c r="D7695" t="s">
        <v>26</v>
      </c>
      <c r="E7695">
        <v>2622</v>
      </c>
    </row>
    <row r="7696" spans="1:5" x14ac:dyDescent="0.55000000000000004">
      <c r="A7696" t="s">
        <v>7777</v>
      </c>
      <c r="B7696" t="s">
        <v>32</v>
      </c>
      <c r="C7696" s="2">
        <v>44645</v>
      </c>
      <c r="D7696" t="s">
        <v>29</v>
      </c>
      <c r="E7696">
        <v>1103</v>
      </c>
    </row>
    <row r="7697" spans="1:5" x14ac:dyDescent="0.55000000000000004">
      <c r="A7697" t="s">
        <v>7778</v>
      </c>
      <c r="B7697" t="s">
        <v>156</v>
      </c>
      <c r="C7697" s="2">
        <v>43858</v>
      </c>
      <c r="D7697" t="s">
        <v>29</v>
      </c>
      <c r="E7697">
        <v>738</v>
      </c>
    </row>
    <row r="7698" spans="1:5" x14ac:dyDescent="0.55000000000000004">
      <c r="A7698" t="s">
        <v>7779</v>
      </c>
      <c r="B7698" t="s">
        <v>111</v>
      </c>
      <c r="C7698" s="2">
        <v>44560</v>
      </c>
      <c r="D7698" t="s">
        <v>26</v>
      </c>
      <c r="E7698">
        <v>2177</v>
      </c>
    </row>
    <row r="7699" spans="1:5" x14ac:dyDescent="0.55000000000000004">
      <c r="A7699" t="s">
        <v>7780</v>
      </c>
      <c r="B7699" t="s">
        <v>156</v>
      </c>
      <c r="C7699" s="2">
        <v>44300</v>
      </c>
      <c r="D7699" t="s">
        <v>26</v>
      </c>
      <c r="E7699">
        <v>984</v>
      </c>
    </row>
    <row r="7700" spans="1:5" x14ac:dyDescent="0.55000000000000004">
      <c r="A7700" t="s">
        <v>7781</v>
      </c>
      <c r="B7700" t="s">
        <v>78</v>
      </c>
      <c r="C7700" s="2">
        <v>44042</v>
      </c>
      <c r="D7700" t="s">
        <v>29</v>
      </c>
      <c r="E7700">
        <v>713</v>
      </c>
    </row>
    <row r="7701" spans="1:5" x14ac:dyDescent="0.55000000000000004">
      <c r="A7701" t="s">
        <v>7782</v>
      </c>
      <c r="B7701" t="s">
        <v>151</v>
      </c>
      <c r="C7701" s="2">
        <v>43534</v>
      </c>
      <c r="D7701" t="s">
        <v>26</v>
      </c>
      <c r="E7701">
        <v>130</v>
      </c>
    </row>
    <row r="7702" spans="1:5" x14ac:dyDescent="0.55000000000000004">
      <c r="A7702" t="s">
        <v>7783</v>
      </c>
      <c r="B7702" t="s">
        <v>84</v>
      </c>
      <c r="C7702" s="2">
        <v>43080</v>
      </c>
      <c r="D7702" t="s">
        <v>29</v>
      </c>
      <c r="E7702">
        <v>2905</v>
      </c>
    </row>
    <row r="7703" spans="1:5" x14ac:dyDescent="0.55000000000000004">
      <c r="A7703" t="s">
        <v>7784</v>
      </c>
      <c r="B7703" t="s">
        <v>72</v>
      </c>
      <c r="C7703" s="2">
        <v>43547</v>
      </c>
      <c r="D7703" t="s">
        <v>26</v>
      </c>
      <c r="E7703">
        <v>2949</v>
      </c>
    </row>
    <row r="7704" spans="1:5" x14ac:dyDescent="0.55000000000000004">
      <c r="A7704" t="s">
        <v>7785</v>
      </c>
      <c r="B7704" t="s">
        <v>111</v>
      </c>
      <c r="C7704" s="2">
        <v>43617</v>
      </c>
      <c r="D7704" t="s">
        <v>26</v>
      </c>
      <c r="E7704">
        <v>1631</v>
      </c>
    </row>
    <row r="7705" spans="1:5" x14ac:dyDescent="0.55000000000000004">
      <c r="A7705" t="s">
        <v>7786</v>
      </c>
      <c r="B7705" t="s">
        <v>32</v>
      </c>
      <c r="C7705" s="2">
        <v>44052</v>
      </c>
      <c r="D7705" t="s">
        <v>29</v>
      </c>
      <c r="E7705">
        <v>2189</v>
      </c>
    </row>
    <row r="7706" spans="1:5" x14ac:dyDescent="0.55000000000000004">
      <c r="A7706" t="s">
        <v>7787</v>
      </c>
      <c r="B7706" t="s">
        <v>111</v>
      </c>
      <c r="C7706" s="2">
        <v>43562</v>
      </c>
      <c r="D7706" t="s">
        <v>29</v>
      </c>
      <c r="E7706">
        <v>1154</v>
      </c>
    </row>
    <row r="7707" spans="1:5" x14ac:dyDescent="0.55000000000000004">
      <c r="A7707" t="s">
        <v>7788</v>
      </c>
      <c r="B7707" t="s">
        <v>76</v>
      </c>
      <c r="C7707" s="2">
        <v>43583</v>
      </c>
      <c r="D7707" t="s">
        <v>29</v>
      </c>
      <c r="E7707">
        <v>713</v>
      </c>
    </row>
    <row r="7708" spans="1:5" x14ac:dyDescent="0.55000000000000004">
      <c r="A7708" t="s">
        <v>7789</v>
      </c>
      <c r="B7708" t="s">
        <v>175</v>
      </c>
      <c r="C7708" s="2">
        <v>45509</v>
      </c>
      <c r="D7708" t="s">
        <v>29</v>
      </c>
      <c r="E7708">
        <v>61</v>
      </c>
    </row>
    <row r="7709" spans="1:5" x14ac:dyDescent="0.55000000000000004">
      <c r="A7709" t="s">
        <v>7790</v>
      </c>
      <c r="B7709" t="s">
        <v>105</v>
      </c>
      <c r="C7709" s="2">
        <v>43485</v>
      </c>
      <c r="D7709" t="s">
        <v>26</v>
      </c>
      <c r="E7709">
        <v>1511</v>
      </c>
    </row>
    <row r="7710" spans="1:5" x14ac:dyDescent="0.55000000000000004">
      <c r="A7710" t="s">
        <v>7791</v>
      </c>
      <c r="B7710" t="s">
        <v>15</v>
      </c>
      <c r="C7710" s="2">
        <v>43042</v>
      </c>
      <c r="D7710" t="s">
        <v>26</v>
      </c>
      <c r="E7710">
        <v>872</v>
      </c>
    </row>
    <row r="7711" spans="1:5" x14ac:dyDescent="0.55000000000000004">
      <c r="A7711" t="s">
        <v>7792</v>
      </c>
      <c r="B7711" t="s">
        <v>63</v>
      </c>
      <c r="C7711" s="2">
        <v>44262</v>
      </c>
      <c r="D7711" t="s">
        <v>26</v>
      </c>
      <c r="E7711">
        <v>2541</v>
      </c>
    </row>
    <row r="7712" spans="1:5" x14ac:dyDescent="0.55000000000000004">
      <c r="A7712" t="s">
        <v>7793</v>
      </c>
      <c r="B7712" t="s">
        <v>137</v>
      </c>
      <c r="C7712" s="2">
        <v>44850</v>
      </c>
      <c r="D7712" t="s">
        <v>29</v>
      </c>
      <c r="E7712">
        <v>1469</v>
      </c>
    </row>
    <row r="7713" spans="1:5" x14ac:dyDescent="0.55000000000000004">
      <c r="A7713" t="s">
        <v>7794</v>
      </c>
      <c r="B7713" t="s">
        <v>105</v>
      </c>
      <c r="C7713" s="2">
        <v>43372</v>
      </c>
      <c r="D7713" t="s">
        <v>26</v>
      </c>
      <c r="E7713">
        <v>1319</v>
      </c>
    </row>
    <row r="7714" spans="1:5" x14ac:dyDescent="0.55000000000000004">
      <c r="A7714" t="s">
        <v>7795</v>
      </c>
      <c r="B7714" t="s">
        <v>35</v>
      </c>
      <c r="C7714" s="2">
        <v>44116</v>
      </c>
      <c r="D7714" t="s">
        <v>29</v>
      </c>
      <c r="E7714">
        <v>927</v>
      </c>
    </row>
    <row r="7715" spans="1:5" x14ac:dyDescent="0.55000000000000004">
      <c r="A7715" t="s">
        <v>7796</v>
      </c>
      <c r="B7715" t="s">
        <v>142</v>
      </c>
      <c r="C7715" s="2">
        <v>43489</v>
      </c>
      <c r="D7715" t="s">
        <v>26</v>
      </c>
      <c r="E7715">
        <v>572</v>
      </c>
    </row>
    <row r="7716" spans="1:5" x14ac:dyDescent="0.55000000000000004">
      <c r="A7716" t="s">
        <v>7797</v>
      </c>
      <c r="B7716" t="s">
        <v>32</v>
      </c>
      <c r="C7716" s="2">
        <v>44722</v>
      </c>
      <c r="D7716" t="s">
        <v>29</v>
      </c>
      <c r="E7716">
        <v>752</v>
      </c>
    </row>
    <row r="7717" spans="1:5" x14ac:dyDescent="0.55000000000000004">
      <c r="A7717" t="s">
        <v>7798</v>
      </c>
      <c r="B7717" t="s">
        <v>94</v>
      </c>
      <c r="C7717" s="2">
        <v>43837</v>
      </c>
      <c r="D7717" t="s">
        <v>29</v>
      </c>
      <c r="E7717">
        <v>646</v>
      </c>
    </row>
    <row r="7718" spans="1:5" x14ac:dyDescent="0.55000000000000004">
      <c r="A7718" t="s">
        <v>7799</v>
      </c>
      <c r="B7718" t="s">
        <v>115</v>
      </c>
      <c r="C7718" s="2">
        <v>43911</v>
      </c>
      <c r="D7718" t="s">
        <v>29</v>
      </c>
      <c r="E7718">
        <v>642</v>
      </c>
    </row>
    <row r="7719" spans="1:5" x14ac:dyDescent="0.55000000000000004">
      <c r="A7719" t="s">
        <v>7800</v>
      </c>
      <c r="B7719" t="s">
        <v>32</v>
      </c>
      <c r="C7719" s="2">
        <v>44115</v>
      </c>
      <c r="D7719" t="s">
        <v>26</v>
      </c>
      <c r="E7719">
        <v>108</v>
      </c>
    </row>
    <row r="7720" spans="1:5" x14ac:dyDescent="0.55000000000000004">
      <c r="A7720" t="s">
        <v>7801</v>
      </c>
      <c r="B7720" t="s">
        <v>156</v>
      </c>
      <c r="C7720" s="2">
        <v>43095</v>
      </c>
      <c r="D7720" t="s">
        <v>29</v>
      </c>
      <c r="E7720">
        <v>1900</v>
      </c>
    </row>
    <row r="7721" spans="1:5" x14ac:dyDescent="0.55000000000000004">
      <c r="A7721" t="s">
        <v>7802</v>
      </c>
      <c r="B7721" t="s">
        <v>99</v>
      </c>
      <c r="C7721" s="2">
        <v>44190</v>
      </c>
      <c r="D7721" t="s">
        <v>26</v>
      </c>
      <c r="E7721">
        <v>1471</v>
      </c>
    </row>
    <row r="7722" spans="1:5" x14ac:dyDescent="0.55000000000000004">
      <c r="A7722" t="s">
        <v>7803</v>
      </c>
      <c r="B7722" t="s">
        <v>38</v>
      </c>
      <c r="C7722" s="2">
        <v>44324</v>
      </c>
      <c r="D7722" t="s">
        <v>26</v>
      </c>
      <c r="E7722">
        <v>1663</v>
      </c>
    </row>
    <row r="7723" spans="1:5" x14ac:dyDescent="0.55000000000000004">
      <c r="A7723" t="s">
        <v>7804</v>
      </c>
      <c r="B7723" t="s">
        <v>101</v>
      </c>
      <c r="C7723" s="2">
        <v>44154</v>
      </c>
      <c r="D7723" t="s">
        <v>26</v>
      </c>
      <c r="E7723">
        <v>1944</v>
      </c>
    </row>
    <row r="7724" spans="1:5" x14ac:dyDescent="0.55000000000000004">
      <c r="A7724" t="s">
        <v>7805</v>
      </c>
      <c r="B7724" t="s">
        <v>76</v>
      </c>
      <c r="C7724" s="2">
        <v>43486</v>
      </c>
      <c r="D7724" t="s">
        <v>29</v>
      </c>
      <c r="E7724">
        <v>906</v>
      </c>
    </row>
    <row r="7725" spans="1:5" x14ac:dyDescent="0.55000000000000004">
      <c r="A7725" t="s">
        <v>7806</v>
      </c>
      <c r="B7725" t="s">
        <v>72</v>
      </c>
      <c r="C7725" s="2">
        <v>43643</v>
      </c>
      <c r="D7725" t="s">
        <v>26</v>
      </c>
      <c r="E7725">
        <v>882</v>
      </c>
    </row>
    <row r="7726" spans="1:5" x14ac:dyDescent="0.55000000000000004">
      <c r="A7726" t="s">
        <v>7807</v>
      </c>
      <c r="B7726" t="s">
        <v>115</v>
      </c>
      <c r="C7726" s="2">
        <v>43389</v>
      </c>
      <c r="D7726" t="s">
        <v>26</v>
      </c>
      <c r="E7726">
        <v>2048</v>
      </c>
    </row>
    <row r="7727" spans="1:5" x14ac:dyDescent="0.55000000000000004">
      <c r="A7727" t="s">
        <v>7808</v>
      </c>
      <c r="B7727" t="s">
        <v>142</v>
      </c>
      <c r="C7727" s="2">
        <v>43535</v>
      </c>
      <c r="D7727" t="s">
        <v>29</v>
      </c>
      <c r="E7727">
        <v>31</v>
      </c>
    </row>
    <row r="7728" spans="1:5" x14ac:dyDescent="0.55000000000000004">
      <c r="A7728" t="s">
        <v>7809</v>
      </c>
      <c r="B7728" t="s">
        <v>105</v>
      </c>
      <c r="C7728" s="2">
        <v>43226</v>
      </c>
      <c r="D7728" t="s">
        <v>26</v>
      </c>
      <c r="E7728">
        <v>1712</v>
      </c>
    </row>
    <row r="7729" spans="1:5" x14ac:dyDescent="0.55000000000000004">
      <c r="A7729" t="s">
        <v>7810</v>
      </c>
      <c r="B7729" t="s">
        <v>115</v>
      </c>
      <c r="C7729" s="2">
        <v>44292</v>
      </c>
      <c r="D7729" t="s">
        <v>26</v>
      </c>
      <c r="E7729">
        <v>435</v>
      </c>
    </row>
    <row r="7730" spans="1:5" x14ac:dyDescent="0.55000000000000004">
      <c r="A7730" t="s">
        <v>7811</v>
      </c>
      <c r="B7730" t="s">
        <v>23</v>
      </c>
      <c r="C7730" s="2">
        <v>44321</v>
      </c>
      <c r="D7730" t="s">
        <v>26</v>
      </c>
      <c r="E7730">
        <v>866</v>
      </c>
    </row>
    <row r="7731" spans="1:5" x14ac:dyDescent="0.55000000000000004">
      <c r="A7731" t="s">
        <v>7812</v>
      </c>
      <c r="B7731" t="s">
        <v>86</v>
      </c>
      <c r="C7731" s="2">
        <v>44184</v>
      </c>
      <c r="D7731" t="s">
        <v>26</v>
      </c>
      <c r="E7731">
        <v>2004</v>
      </c>
    </row>
    <row r="7732" spans="1:5" x14ac:dyDescent="0.55000000000000004">
      <c r="A7732" t="s">
        <v>7813</v>
      </c>
      <c r="B7732" t="s">
        <v>32</v>
      </c>
      <c r="C7732" s="2">
        <v>44828</v>
      </c>
      <c r="D7732" t="s">
        <v>26</v>
      </c>
      <c r="E7732">
        <v>2472</v>
      </c>
    </row>
    <row r="7733" spans="1:5" x14ac:dyDescent="0.55000000000000004">
      <c r="A7733" t="s">
        <v>7814</v>
      </c>
      <c r="B7733" t="s">
        <v>142</v>
      </c>
      <c r="C7733" s="2">
        <v>42921</v>
      </c>
      <c r="D7733" t="s">
        <v>26</v>
      </c>
      <c r="E7733">
        <v>2646</v>
      </c>
    </row>
    <row r="7734" spans="1:5" x14ac:dyDescent="0.55000000000000004">
      <c r="A7734" t="s">
        <v>7815</v>
      </c>
      <c r="B7734" t="s">
        <v>14</v>
      </c>
      <c r="C7734" s="2">
        <v>43293</v>
      </c>
      <c r="D7734" t="s">
        <v>29</v>
      </c>
      <c r="E7734">
        <v>1762</v>
      </c>
    </row>
    <row r="7735" spans="1:5" x14ac:dyDescent="0.55000000000000004">
      <c r="A7735" t="s">
        <v>7816</v>
      </c>
      <c r="B7735" t="s">
        <v>115</v>
      </c>
      <c r="C7735" s="2">
        <v>43688</v>
      </c>
      <c r="D7735" t="s">
        <v>26</v>
      </c>
      <c r="E7735">
        <v>754</v>
      </c>
    </row>
    <row r="7736" spans="1:5" x14ac:dyDescent="0.55000000000000004">
      <c r="A7736" t="s">
        <v>7817</v>
      </c>
      <c r="B7736" t="s">
        <v>175</v>
      </c>
      <c r="C7736" s="2">
        <v>44860</v>
      </c>
      <c r="D7736" t="s">
        <v>29</v>
      </c>
      <c r="E7736">
        <v>2930</v>
      </c>
    </row>
    <row r="7737" spans="1:5" x14ac:dyDescent="0.55000000000000004">
      <c r="A7737" t="s">
        <v>7818</v>
      </c>
      <c r="B7737" t="s">
        <v>41</v>
      </c>
      <c r="C7737" s="2">
        <v>44406</v>
      </c>
      <c r="D7737" t="s">
        <v>29</v>
      </c>
      <c r="E7737">
        <v>262</v>
      </c>
    </row>
    <row r="7738" spans="1:5" x14ac:dyDescent="0.55000000000000004">
      <c r="A7738" t="s">
        <v>7819</v>
      </c>
      <c r="B7738" t="s">
        <v>67</v>
      </c>
      <c r="C7738" s="2">
        <v>44975</v>
      </c>
      <c r="D7738" t="s">
        <v>29</v>
      </c>
      <c r="E7738">
        <v>2456</v>
      </c>
    </row>
    <row r="7739" spans="1:5" x14ac:dyDescent="0.55000000000000004">
      <c r="A7739" t="s">
        <v>7820</v>
      </c>
      <c r="B7739" t="s">
        <v>156</v>
      </c>
      <c r="C7739" s="2">
        <v>42922</v>
      </c>
      <c r="D7739" t="s">
        <v>29</v>
      </c>
      <c r="E7739">
        <v>2373</v>
      </c>
    </row>
    <row r="7740" spans="1:5" x14ac:dyDescent="0.55000000000000004">
      <c r="A7740" t="s">
        <v>7821</v>
      </c>
      <c r="B7740" t="s">
        <v>32</v>
      </c>
      <c r="C7740" s="2">
        <v>44123</v>
      </c>
      <c r="D7740" t="s">
        <v>26</v>
      </c>
      <c r="E7740">
        <v>1</v>
      </c>
    </row>
    <row r="7741" spans="1:5" x14ac:dyDescent="0.55000000000000004">
      <c r="A7741" t="s">
        <v>7822</v>
      </c>
      <c r="B7741" t="s">
        <v>156</v>
      </c>
      <c r="C7741" s="2">
        <v>44542</v>
      </c>
      <c r="D7741" t="s">
        <v>29</v>
      </c>
      <c r="E7741">
        <v>2977</v>
      </c>
    </row>
    <row r="7742" spans="1:5" x14ac:dyDescent="0.55000000000000004">
      <c r="A7742" t="s">
        <v>7823</v>
      </c>
      <c r="B7742" t="s">
        <v>137</v>
      </c>
      <c r="C7742" s="2">
        <v>44355</v>
      </c>
      <c r="D7742" t="s">
        <v>26</v>
      </c>
      <c r="E7742">
        <v>959</v>
      </c>
    </row>
    <row r="7743" spans="1:5" x14ac:dyDescent="0.55000000000000004">
      <c r="A7743" t="s">
        <v>7824</v>
      </c>
      <c r="B7743" t="s">
        <v>74</v>
      </c>
      <c r="C7743" s="2">
        <v>43705</v>
      </c>
      <c r="D7743" t="s">
        <v>29</v>
      </c>
      <c r="E7743">
        <v>1906</v>
      </c>
    </row>
    <row r="7744" spans="1:5" x14ac:dyDescent="0.55000000000000004">
      <c r="A7744" t="s">
        <v>7825</v>
      </c>
      <c r="B7744" t="s">
        <v>137</v>
      </c>
      <c r="C7744" s="2">
        <v>45655</v>
      </c>
      <c r="D7744" t="s">
        <v>26</v>
      </c>
      <c r="E7744">
        <v>1166</v>
      </c>
    </row>
    <row r="7745" spans="1:5" x14ac:dyDescent="0.55000000000000004">
      <c r="A7745" t="s">
        <v>7826</v>
      </c>
      <c r="B7745" t="s">
        <v>111</v>
      </c>
      <c r="C7745" s="2">
        <v>43688</v>
      </c>
      <c r="D7745" t="s">
        <v>29</v>
      </c>
      <c r="E7745">
        <v>1806</v>
      </c>
    </row>
    <row r="7746" spans="1:5" x14ac:dyDescent="0.55000000000000004">
      <c r="A7746" t="s">
        <v>7827</v>
      </c>
      <c r="B7746" t="s">
        <v>78</v>
      </c>
      <c r="C7746" s="2">
        <v>44645</v>
      </c>
      <c r="D7746" t="s">
        <v>26</v>
      </c>
      <c r="E7746">
        <v>1818</v>
      </c>
    </row>
    <row r="7747" spans="1:5" x14ac:dyDescent="0.55000000000000004">
      <c r="A7747" t="s">
        <v>7828</v>
      </c>
      <c r="B7747" t="s">
        <v>14</v>
      </c>
      <c r="C7747" s="2">
        <v>44519</v>
      </c>
      <c r="D7747" t="s">
        <v>26</v>
      </c>
      <c r="E7747">
        <v>2518</v>
      </c>
    </row>
    <row r="7748" spans="1:5" x14ac:dyDescent="0.55000000000000004">
      <c r="A7748" t="s">
        <v>7829</v>
      </c>
      <c r="B7748" t="s">
        <v>156</v>
      </c>
      <c r="C7748" s="2">
        <v>44467</v>
      </c>
      <c r="D7748" t="s">
        <v>29</v>
      </c>
      <c r="E7748">
        <v>802</v>
      </c>
    </row>
    <row r="7749" spans="1:5" x14ac:dyDescent="0.55000000000000004">
      <c r="A7749" t="s">
        <v>7830</v>
      </c>
      <c r="B7749" t="s">
        <v>38</v>
      </c>
      <c r="C7749" s="2">
        <v>44044</v>
      </c>
      <c r="D7749" t="s">
        <v>26</v>
      </c>
      <c r="E7749">
        <v>2744</v>
      </c>
    </row>
    <row r="7750" spans="1:5" x14ac:dyDescent="0.55000000000000004">
      <c r="A7750" t="s">
        <v>7831</v>
      </c>
      <c r="B7750" t="s">
        <v>15</v>
      </c>
      <c r="C7750" s="2">
        <v>43938</v>
      </c>
      <c r="D7750" t="s">
        <v>29</v>
      </c>
      <c r="E7750">
        <v>1723</v>
      </c>
    </row>
    <row r="7751" spans="1:5" x14ac:dyDescent="0.55000000000000004">
      <c r="A7751" t="s">
        <v>7832</v>
      </c>
      <c r="B7751" t="s">
        <v>41</v>
      </c>
      <c r="C7751" s="2">
        <v>44707</v>
      </c>
      <c r="D7751" t="s">
        <v>29</v>
      </c>
      <c r="E7751">
        <v>239</v>
      </c>
    </row>
    <row r="7752" spans="1:5" x14ac:dyDescent="0.55000000000000004">
      <c r="A7752" t="s">
        <v>7833</v>
      </c>
      <c r="B7752" t="s">
        <v>86</v>
      </c>
      <c r="C7752" s="2">
        <v>43279</v>
      </c>
      <c r="D7752" t="s">
        <v>29</v>
      </c>
      <c r="E7752">
        <v>2654</v>
      </c>
    </row>
    <row r="7753" spans="1:5" x14ac:dyDescent="0.55000000000000004">
      <c r="A7753" t="s">
        <v>7834</v>
      </c>
      <c r="B7753" t="s">
        <v>94</v>
      </c>
      <c r="C7753" s="2">
        <v>45178</v>
      </c>
      <c r="D7753" t="s">
        <v>26</v>
      </c>
      <c r="E7753">
        <v>512</v>
      </c>
    </row>
    <row r="7754" spans="1:5" x14ac:dyDescent="0.55000000000000004">
      <c r="A7754" t="s">
        <v>7835</v>
      </c>
      <c r="B7754" t="s">
        <v>14</v>
      </c>
      <c r="C7754" s="2">
        <v>44522</v>
      </c>
      <c r="D7754" t="s">
        <v>26</v>
      </c>
      <c r="E7754">
        <v>2268</v>
      </c>
    </row>
    <row r="7755" spans="1:5" x14ac:dyDescent="0.55000000000000004">
      <c r="A7755" t="s">
        <v>7836</v>
      </c>
      <c r="B7755" t="s">
        <v>74</v>
      </c>
      <c r="C7755" s="2">
        <v>44351</v>
      </c>
      <c r="D7755" t="s">
        <v>29</v>
      </c>
      <c r="E7755">
        <v>1952</v>
      </c>
    </row>
    <row r="7756" spans="1:5" x14ac:dyDescent="0.55000000000000004">
      <c r="A7756" t="s">
        <v>7837</v>
      </c>
      <c r="B7756" t="s">
        <v>99</v>
      </c>
      <c r="C7756" s="2">
        <v>43691</v>
      </c>
      <c r="D7756" t="s">
        <v>29</v>
      </c>
      <c r="E7756">
        <v>2712</v>
      </c>
    </row>
    <row r="7757" spans="1:5" x14ac:dyDescent="0.55000000000000004">
      <c r="A7757" t="s">
        <v>7838</v>
      </c>
      <c r="B7757" t="s">
        <v>74</v>
      </c>
      <c r="C7757" s="2">
        <v>44549</v>
      </c>
      <c r="D7757" t="s">
        <v>26</v>
      </c>
      <c r="E7757">
        <v>638</v>
      </c>
    </row>
    <row r="7758" spans="1:5" x14ac:dyDescent="0.55000000000000004">
      <c r="A7758" t="s">
        <v>7839</v>
      </c>
      <c r="B7758" t="s">
        <v>72</v>
      </c>
      <c r="C7758" s="2">
        <v>43420</v>
      </c>
      <c r="D7758" t="s">
        <v>26</v>
      </c>
      <c r="E7758">
        <v>2765</v>
      </c>
    </row>
    <row r="7759" spans="1:5" x14ac:dyDescent="0.55000000000000004">
      <c r="A7759" t="s">
        <v>7840</v>
      </c>
      <c r="B7759" t="s">
        <v>115</v>
      </c>
      <c r="C7759" s="2">
        <v>43717</v>
      </c>
      <c r="D7759" t="s">
        <v>29</v>
      </c>
      <c r="E7759">
        <v>2564</v>
      </c>
    </row>
    <row r="7760" spans="1:5" x14ac:dyDescent="0.55000000000000004">
      <c r="A7760" t="s">
        <v>7841</v>
      </c>
      <c r="B7760" t="s">
        <v>99</v>
      </c>
      <c r="C7760" s="2">
        <v>45275</v>
      </c>
      <c r="D7760" t="s">
        <v>26</v>
      </c>
      <c r="E7760">
        <v>1582</v>
      </c>
    </row>
    <row r="7761" spans="1:5" x14ac:dyDescent="0.55000000000000004">
      <c r="A7761" t="s">
        <v>7842</v>
      </c>
      <c r="B7761" t="s">
        <v>35</v>
      </c>
      <c r="C7761" s="2">
        <v>44809</v>
      </c>
      <c r="D7761" t="s">
        <v>29</v>
      </c>
      <c r="E7761">
        <v>837</v>
      </c>
    </row>
    <row r="7762" spans="1:5" x14ac:dyDescent="0.55000000000000004">
      <c r="A7762" t="s">
        <v>7843</v>
      </c>
      <c r="B7762" t="s">
        <v>111</v>
      </c>
      <c r="C7762" s="2">
        <v>43420</v>
      </c>
      <c r="D7762" t="s">
        <v>26</v>
      </c>
      <c r="E7762">
        <v>619</v>
      </c>
    </row>
    <row r="7763" spans="1:5" x14ac:dyDescent="0.55000000000000004">
      <c r="A7763" t="s">
        <v>7844</v>
      </c>
      <c r="B7763" t="s">
        <v>151</v>
      </c>
      <c r="C7763" s="2">
        <v>44317</v>
      </c>
      <c r="D7763" t="s">
        <v>29</v>
      </c>
      <c r="E7763">
        <v>504</v>
      </c>
    </row>
    <row r="7764" spans="1:5" x14ac:dyDescent="0.55000000000000004">
      <c r="A7764" t="s">
        <v>7845</v>
      </c>
      <c r="B7764" t="s">
        <v>99</v>
      </c>
      <c r="C7764" s="2">
        <v>44923</v>
      </c>
      <c r="D7764" t="s">
        <v>26</v>
      </c>
      <c r="E7764">
        <v>293</v>
      </c>
    </row>
    <row r="7765" spans="1:5" x14ac:dyDescent="0.55000000000000004">
      <c r="A7765" t="s">
        <v>7846</v>
      </c>
      <c r="B7765" t="s">
        <v>76</v>
      </c>
      <c r="C7765" s="2">
        <v>44031</v>
      </c>
      <c r="D7765" t="s">
        <v>29</v>
      </c>
      <c r="E7765">
        <v>2604</v>
      </c>
    </row>
    <row r="7766" spans="1:5" x14ac:dyDescent="0.55000000000000004">
      <c r="A7766" t="s">
        <v>7847</v>
      </c>
      <c r="B7766" t="s">
        <v>67</v>
      </c>
      <c r="C7766" s="2">
        <v>44631</v>
      </c>
      <c r="D7766" t="s">
        <v>29</v>
      </c>
      <c r="E7766">
        <v>1696</v>
      </c>
    </row>
    <row r="7767" spans="1:5" x14ac:dyDescent="0.55000000000000004">
      <c r="A7767" t="s">
        <v>7848</v>
      </c>
      <c r="B7767" t="s">
        <v>63</v>
      </c>
      <c r="C7767" s="2">
        <v>43936</v>
      </c>
      <c r="D7767" t="s">
        <v>26</v>
      </c>
      <c r="E7767">
        <v>340</v>
      </c>
    </row>
    <row r="7768" spans="1:5" x14ac:dyDescent="0.55000000000000004">
      <c r="A7768" t="s">
        <v>7849</v>
      </c>
      <c r="B7768" t="s">
        <v>156</v>
      </c>
      <c r="C7768" s="2">
        <v>43228</v>
      </c>
      <c r="D7768" t="s">
        <v>29</v>
      </c>
      <c r="E7768">
        <v>788</v>
      </c>
    </row>
    <row r="7769" spans="1:5" x14ac:dyDescent="0.55000000000000004">
      <c r="A7769" t="s">
        <v>7850</v>
      </c>
      <c r="B7769" t="s">
        <v>14</v>
      </c>
      <c r="C7769" s="2">
        <v>42999</v>
      </c>
      <c r="D7769" t="s">
        <v>26</v>
      </c>
      <c r="E7769">
        <v>1002</v>
      </c>
    </row>
    <row r="7770" spans="1:5" x14ac:dyDescent="0.55000000000000004">
      <c r="A7770" t="s">
        <v>7851</v>
      </c>
      <c r="B7770" t="s">
        <v>15</v>
      </c>
      <c r="C7770" s="2">
        <v>43606</v>
      </c>
      <c r="D7770" t="s">
        <v>26</v>
      </c>
      <c r="E7770">
        <v>2333</v>
      </c>
    </row>
    <row r="7771" spans="1:5" x14ac:dyDescent="0.55000000000000004">
      <c r="A7771" t="s">
        <v>7852</v>
      </c>
      <c r="B7771" t="s">
        <v>118</v>
      </c>
      <c r="C7771" s="2">
        <v>45669</v>
      </c>
      <c r="D7771" t="s">
        <v>26</v>
      </c>
      <c r="E7771">
        <v>996</v>
      </c>
    </row>
    <row r="7772" spans="1:5" x14ac:dyDescent="0.55000000000000004">
      <c r="A7772" t="s">
        <v>7853</v>
      </c>
      <c r="B7772" t="s">
        <v>41</v>
      </c>
      <c r="C7772" s="2">
        <v>43980</v>
      </c>
      <c r="D7772" t="s">
        <v>26</v>
      </c>
      <c r="E7772">
        <v>586</v>
      </c>
    </row>
    <row r="7773" spans="1:5" x14ac:dyDescent="0.55000000000000004">
      <c r="A7773" t="s">
        <v>7854</v>
      </c>
      <c r="B7773" t="s">
        <v>84</v>
      </c>
      <c r="C7773" s="2">
        <v>43812</v>
      </c>
      <c r="D7773" t="s">
        <v>29</v>
      </c>
      <c r="E7773">
        <v>2455</v>
      </c>
    </row>
    <row r="7774" spans="1:5" x14ac:dyDescent="0.55000000000000004">
      <c r="A7774" t="s">
        <v>7855</v>
      </c>
      <c r="B7774" t="s">
        <v>38</v>
      </c>
      <c r="C7774" s="2">
        <v>44859</v>
      </c>
      <c r="D7774" t="s">
        <v>29</v>
      </c>
      <c r="E7774">
        <v>1556</v>
      </c>
    </row>
    <row r="7775" spans="1:5" x14ac:dyDescent="0.55000000000000004">
      <c r="A7775" t="s">
        <v>7856</v>
      </c>
      <c r="B7775" t="s">
        <v>32</v>
      </c>
      <c r="C7775" s="2">
        <v>44258</v>
      </c>
      <c r="D7775" t="s">
        <v>26</v>
      </c>
      <c r="E7775">
        <v>1960</v>
      </c>
    </row>
    <row r="7776" spans="1:5" x14ac:dyDescent="0.55000000000000004">
      <c r="A7776" t="s">
        <v>7857</v>
      </c>
      <c r="B7776" t="s">
        <v>118</v>
      </c>
      <c r="C7776" s="2">
        <v>45658</v>
      </c>
      <c r="D7776" t="s">
        <v>29</v>
      </c>
      <c r="E7776">
        <v>423</v>
      </c>
    </row>
    <row r="7777" spans="1:5" x14ac:dyDescent="0.55000000000000004">
      <c r="A7777" t="s">
        <v>7858</v>
      </c>
      <c r="B7777" t="s">
        <v>96</v>
      </c>
      <c r="C7777" s="2">
        <v>45734</v>
      </c>
      <c r="D7777" t="s">
        <v>26</v>
      </c>
      <c r="E7777">
        <v>2797</v>
      </c>
    </row>
    <row r="7778" spans="1:5" x14ac:dyDescent="0.55000000000000004">
      <c r="A7778" t="s">
        <v>7859</v>
      </c>
      <c r="B7778" t="s">
        <v>96</v>
      </c>
      <c r="C7778" s="2">
        <v>45156</v>
      </c>
      <c r="D7778" t="s">
        <v>29</v>
      </c>
      <c r="E7778">
        <v>2335</v>
      </c>
    </row>
    <row r="7779" spans="1:5" x14ac:dyDescent="0.55000000000000004">
      <c r="A7779" t="s">
        <v>7860</v>
      </c>
      <c r="B7779" t="s">
        <v>74</v>
      </c>
      <c r="C7779" s="2">
        <v>43615</v>
      </c>
      <c r="D7779" t="s">
        <v>26</v>
      </c>
      <c r="E7779">
        <v>2145</v>
      </c>
    </row>
    <row r="7780" spans="1:5" x14ac:dyDescent="0.55000000000000004">
      <c r="A7780" t="s">
        <v>7861</v>
      </c>
      <c r="B7780" t="s">
        <v>72</v>
      </c>
      <c r="C7780" s="2">
        <v>43001</v>
      </c>
      <c r="D7780" t="s">
        <v>26</v>
      </c>
      <c r="E7780">
        <v>402</v>
      </c>
    </row>
    <row r="7781" spans="1:5" x14ac:dyDescent="0.55000000000000004">
      <c r="A7781" t="s">
        <v>7862</v>
      </c>
      <c r="B7781" t="s">
        <v>118</v>
      </c>
      <c r="C7781" s="2">
        <v>44591</v>
      </c>
      <c r="D7781" t="s">
        <v>26</v>
      </c>
      <c r="E7781">
        <v>1588</v>
      </c>
    </row>
    <row r="7782" spans="1:5" x14ac:dyDescent="0.55000000000000004">
      <c r="A7782" t="s">
        <v>7863</v>
      </c>
      <c r="B7782" t="s">
        <v>137</v>
      </c>
      <c r="C7782" s="2">
        <v>44912</v>
      </c>
      <c r="D7782" t="s">
        <v>26</v>
      </c>
      <c r="E7782">
        <v>2868</v>
      </c>
    </row>
    <row r="7783" spans="1:5" x14ac:dyDescent="0.55000000000000004">
      <c r="A7783" t="s">
        <v>7864</v>
      </c>
      <c r="B7783" t="s">
        <v>140</v>
      </c>
      <c r="C7783" s="2">
        <v>43721</v>
      </c>
      <c r="D7783" t="s">
        <v>29</v>
      </c>
      <c r="E7783">
        <v>753</v>
      </c>
    </row>
    <row r="7784" spans="1:5" x14ac:dyDescent="0.55000000000000004">
      <c r="A7784" t="s">
        <v>7865</v>
      </c>
      <c r="B7784" t="s">
        <v>140</v>
      </c>
      <c r="C7784" s="2">
        <v>43828</v>
      </c>
      <c r="D7784" t="s">
        <v>26</v>
      </c>
      <c r="E7784">
        <v>1510</v>
      </c>
    </row>
    <row r="7785" spans="1:5" x14ac:dyDescent="0.55000000000000004">
      <c r="A7785" t="s">
        <v>7866</v>
      </c>
      <c r="B7785" t="s">
        <v>74</v>
      </c>
      <c r="C7785" s="2">
        <v>43212</v>
      </c>
      <c r="D7785" t="s">
        <v>29</v>
      </c>
      <c r="E7785">
        <v>749</v>
      </c>
    </row>
    <row r="7786" spans="1:5" x14ac:dyDescent="0.55000000000000004">
      <c r="A7786" t="s">
        <v>7867</v>
      </c>
      <c r="B7786" t="s">
        <v>84</v>
      </c>
      <c r="C7786" s="2">
        <v>43564</v>
      </c>
      <c r="D7786" t="s">
        <v>29</v>
      </c>
      <c r="E7786">
        <v>903</v>
      </c>
    </row>
    <row r="7787" spans="1:5" x14ac:dyDescent="0.55000000000000004">
      <c r="A7787" t="s">
        <v>7868</v>
      </c>
      <c r="B7787" t="s">
        <v>137</v>
      </c>
      <c r="C7787" s="2">
        <v>44485</v>
      </c>
      <c r="D7787" t="s">
        <v>29</v>
      </c>
      <c r="E7787">
        <v>1496</v>
      </c>
    </row>
    <row r="7788" spans="1:5" x14ac:dyDescent="0.55000000000000004">
      <c r="A7788" t="s">
        <v>7869</v>
      </c>
      <c r="B7788" t="s">
        <v>38</v>
      </c>
      <c r="C7788" s="2">
        <v>44634</v>
      </c>
      <c r="D7788" t="s">
        <v>29</v>
      </c>
      <c r="E7788">
        <v>1580</v>
      </c>
    </row>
    <row r="7789" spans="1:5" x14ac:dyDescent="0.55000000000000004">
      <c r="A7789" t="s">
        <v>7870</v>
      </c>
      <c r="B7789" t="s">
        <v>32</v>
      </c>
      <c r="C7789" s="2">
        <v>44792</v>
      </c>
      <c r="D7789" t="s">
        <v>29</v>
      </c>
      <c r="E7789">
        <v>1065</v>
      </c>
    </row>
    <row r="7790" spans="1:5" x14ac:dyDescent="0.55000000000000004">
      <c r="A7790" t="s">
        <v>7871</v>
      </c>
      <c r="B7790" t="s">
        <v>67</v>
      </c>
      <c r="C7790" s="2">
        <v>45273</v>
      </c>
      <c r="D7790" t="s">
        <v>29</v>
      </c>
      <c r="E7790">
        <v>2411</v>
      </c>
    </row>
    <row r="7791" spans="1:5" x14ac:dyDescent="0.55000000000000004">
      <c r="A7791" t="s">
        <v>7872</v>
      </c>
      <c r="B7791" t="s">
        <v>140</v>
      </c>
      <c r="C7791" s="2">
        <v>43244</v>
      </c>
      <c r="D7791" t="s">
        <v>26</v>
      </c>
      <c r="E7791">
        <v>1141</v>
      </c>
    </row>
    <row r="7792" spans="1:5" x14ac:dyDescent="0.55000000000000004">
      <c r="A7792" t="s">
        <v>7873</v>
      </c>
      <c r="B7792" t="s">
        <v>175</v>
      </c>
      <c r="C7792" s="2">
        <v>45832</v>
      </c>
      <c r="D7792" t="s">
        <v>29</v>
      </c>
      <c r="E7792">
        <v>2900</v>
      </c>
    </row>
    <row r="7793" spans="1:5" x14ac:dyDescent="0.55000000000000004">
      <c r="A7793" t="s">
        <v>7874</v>
      </c>
      <c r="B7793" t="s">
        <v>86</v>
      </c>
      <c r="C7793" s="2">
        <v>43163</v>
      </c>
      <c r="D7793" t="s">
        <v>26</v>
      </c>
      <c r="E7793">
        <v>1256</v>
      </c>
    </row>
    <row r="7794" spans="1:5" x14ac:dyDescent="0.55000000000000004">
      <c r="A7794" t="s">
        <v>7875</v>
      </c>
      <c r="B7794" t="s">
        <v>140</v>
      </c>
      <c r="C7794" s="2">
        <v>44197</v>
      </c>
      <c r="D7794" t="s">
        <v>26</v>
      </c>
      <c r="E7794">
        <v>1289</v>
      </c>
    </row>
    <row r="7795" spans="1:5" x14ac:dyDescent="0.55000000000000004">
      <c r="A7795" t="s">
        <v>7876</v>
      </c>
      <c r="B7795" t="s">
        <v>14</v>
      </c>
      <c r="C7795" s="2">
        <v>43763</v>
      </c>
      <c r="D7795" t="s">
        <v>26</v>
      </c>
      <c r="E7795">
        <v>2324</v>
      </c>
    </row>
    <row r="7796" spans="1:5" x14ac:dyDescent="0.55000000000000004">
      <c r="A7796" t="s">
        <v>7877</v>
      </c>
      <c r="B7796" t="s">
        <v>140</v>
      </c>
      <c r="C7796" s="2">
        <v>43586</v>
      </c>
      <c r="D7796" t="s">
        <v>29</v>
      </c>
      <c r="E7796">
        <v>2186</v>
      </c>
    </row>
    <row r="7797" spans="1:5" x14ac:dyDescent="0.55000000000000004">
      <c r="A7797" t="s">
        <v>7878</v>
      </c>
      <c r="B7797" t="s">
        <v>111</v>
      </c>
      <c r="C7797" s="2">
        <v>43141</v>
      </c>
      <c r="D7797" t="s">
        <v>26</v>
      </c>
      <c r="E7797">
        <v>2753</v>
      </c>
    </row>
    <row r="7798" spans="1:5" x14ac:dyDescent="0.55000000000000004">
      <c r="A7798" t="s">
        <v>7879</v>
      </c>
      <c r="B7798" t="s">
        <v>142</v>
      </c>
      <c r="C7798" s="2">
        <v>43780</v>
      </c>
      <c r="D7798" t="s">
        <v>26</v>
      </c>
      <c r="E7798">
        <v>1832</v>
      </c>
    </row>
    <row r="7799" spans="1:5" x14ac:dyDescent="0.55000000000000004">
      <c r="A7799" t="s">
        <v>7880</v>
      </c>
      <c r="B7799" t="s">
        <v>94</v>
      </c>
      <c r="C7799" s="2">
        <v>45177</v>
      </c>
      <c r="D7799" t="s">
        <v>29</v>
      </c>
      <c r="E7799">
        <v>734</v>
      </c>
    </row>
    <row r="7800" spans="1:5" x14ac:dyDescent="0.55000000000000004">
      <c r="A7800" t="s">
        <v>7881</v>
      </c>
      <c r="B7800" t="s">
        <v>32</v>
      </c>
      <c r="C7800" s="2">
        <v>44304</v>
      </c>
      <c r="D7800" t="s">
        <v>29</v>
      </c>
      <c r="E7800">
        <v>2876</v>
      </c>
    </row>
    <row r="7801" spans="1:5" x14ac:dyDescent="0.55000000000000004">
      <c r="A7801" t="s">
        <v>7882</v>
      </c>
      <c r="B7801" t="s">
        <v>14</v>
      </c>
      <c r="C7801" s="2">
        <v>44174</v>
      </c>
      <c r="D7801" t="s">
        <v>29</v>
      </c>
      <c r="E7801">
        <v>2393</v>
      </c>
    </row>
    <row r="7802" spans="1:5" x14ac:dyDescent="0.55000000000000004">
      <c r="A7802" t="s">
        <v>7883</v>
      </c>
      <c r="B7802" t="s">
        <v>118</v>
      </c>
      <c r="C7802" s="2">
        <v>44348</v>
      </c>
      <c r="D7802" t="s">
        <v>29</v>
      </c>
      <c r="E7802">
        <v>2805</v>
      </c>
    </row>
    <row r="7803" spans="1:5" x14ac:dyDescent="0.55000000000000004">
      <c r="A7803" t="s">
        <v>7884</v>
      </c>
      <c r="B7803" t="s">
        <v>94</v>
      </c>
      <c r="C7803" s="2">
        <v>44569</v>
      </c>
      <c r="D7803" t="s">
        <v>26</v>
      </c>
      <c r="E7803">
        <v>298</v>
      </c>
    </row>
    <row r="7804" spans="1:5" x14ac:dyDescent="0.55000000000000004">
      <c r="A7804" t="s">
        <v>7885</v>
      </c>
      <c r="B7804" t="s">
        <v>72</v>
      </c>
      <c r="C7804" s="2">
        <v>44095</v>
      </c>
      <c r="D7804" t="s">
        <v>26</v>
      </c>
      <c r="E7804">
        <v>1233</v>
      </c>
    </row>
    <row r="7805" spans="1:5" x14ac:dyDescent="0.55000000000000004">
      <c r="A7805" t="s">
        <v>7886</v>
      </c>
      <c r="B7805" t="s">
        <v>140</v>
      </c>
      <c r="C7805" s="2">
        <v>44519</v>
      </c>
      <c r="D7805" t="s">
        <v>29</v>
      </c>
      <c r="E7805">
        <v>17</v>
      </c>
    </row>
    <row r="7806" spans="1:5" x14ac:dyDescent="0.55000000000000004">
      <c r="A7806" t="s">
        <v>7887</v>
      </c>
      <c r="B7806" t="s">
        <v>105</v>
      </c>
      <c r="C7806" s="2">
        <v>43218</v>
      </c>
      <c r="D7806" t="s">
        <v>26</v>
      </c>
      <c r="E7806">
        <v>1198</v>
      </c>
    </row>
    <row r="7807" spans="1:5" x14ac:dyDescent="0.55000000000000004">
      <c r="A7807" t="s">
        <v>7888</v>
      </c>
      <c r="B7807" t="s">
        <v>94</v>
      </c>
      <c r="C7807" s="2">
        <v>45487</v>
      </c>
      <c r="D7807" t="s">
        <v>29</v>
      </c>
      <c r="E7807">
        <v>2253</v>
      </c>
    </row>
    <row r="7808" spans="1:5" x14ac:dyDescent="0.55000000000000004">
      <c r="A7808" t="s">
        <v>7889</v>
      </c>
      <c r="B7808" t="s">
        <v>76</v>
      </c>
      <c r="C7808" s="2">
        <v>43491</v>
      </c>
      <c r="D7808" t="s">
        <v>29</v>
      </c>
      <c r="E7808">
        <v>1412</v>
      </c>
    </row>
    <row r="7809" spans="1:5" x14ac:dyDescent="0.55000000000000004">
      <c r="A7809" t="s">
        <v>7890</v>
      </c>
      <c r="B7809" t="s">
        <v>96</v>
      </c>
      <c r="C7809" s="2">
        <v>45789</v>
      </c>
      <c r="D7809" t="s">
        <v>29</v>
      </c>
      <c r="E7809">
        <v>560</v>
      </c>
    </row>
    <row r="7810" spans="1:5" x14ac:dyDescent="0.55000000000000004">
      <c r="A7810" t="s">
        <v>7891</v>
      </c>
      <c r="B7810" t="s">
        <v>86</v>
      </c>
      <c r="C7810" s="2">
        <v>43155</v>
      </c>
      <c r="D7810" t="s">
        <v>29</v>
      </c>
      <c r="E7810">
        <v>2859</v>
      </c>
    </row>
    <row r="7811" spans="1:5" x14ac:dyDescent="0.55000000000000004">
      <c r="A7811" t="s">
        <v>7892</v>
      </c>
      <c r="B7811" t="s">
        <v>35</v>
      </c>
      <c r="C7811" s="2">
        <v>43937</v>
      </c>
      <c r="D7811" t="s">
        <v>29</v>
      </c>
      <c r="E7811">
        <v>99</v>
      </c>
    </row>
    <row r="7812" spans="1:5" x14ac:dyDescent="0.55000000000000004">
      <c r="A7812" t="s">
        <v>7893</v>
      </c>
      <c r="B7812" t="s">
        <v>151</v>
      </c>
      <c r="C7812" s="2">
        <v>43388</v>
      </c>
      <c r="D7812" t="s">
        <v>26</v>
      </c>
      <c r="E7812">
        <v>383</v>
      </c>
    </row>
    <row r="7813" spans="1:5" x14ac:dyDescent="0.55000000000000004">
      <c r="A7813" t="s">
        <v>7894</v>
      </c>
      <c r="B7813" t="s">
        <v>156</v>
      </c>
      <c r="C7813" s="2">
        <v>43844</v>
      </c>
      <c r="D7813" t="s">
        <v>26</v>
      </c>
      <c r="E7813">
        <v>995</v>
      </c>
    </row>
    <row r="7814" spans="1:5" x14ac:dyDescent="0.55000000000000004">
      <c r="A7814" t="s">
        <v>7895</v>
      </c>
      <c r="B7814" t="s">
        <v>151</v>
      </c>
      <c r="C7814" s="2">
        <v>43827</v>
      </c>
      <c r="D7814" t="s">
        <v>26</v>
      </c>
      <c r="E7814">
        <v>2840</v>
      </c>
    </row>
    <row r="7815" spans="1:5" x14ac:dyDescent="0.55000000000000004">
      <c r="A7815" t="s">
        <v>7896</v>
      </c>
      <c r="B7815" t="s">
        <v>142</v>
      </c>
      <c r="C7815" s="2">
        <v>44079</v>
      </c>
      <c r="D7815" t="s">
        <v>29</v>
      </c>
      <c r="E7815">
        <v>1297</v>
      </c>
    </row>
    <row r="7816" spans="1:5" x14ac:dyDescent="0.55000000000000004">
      <c r="A7816" t="s">
        <v>7897</v>
      </c>
      <c r="B7816" t="s">
        <v>74</v>
      </c>
      <c r="C7816" s="2">
        <v>44386</v>
      </c>
      <c r="D7816" t="s">
        <v>29</v>
      </c>
      <c r="E7816">
        <v>1999</v>
      </c>
    </row>
    <row r="7817" spans="1:5" x14ac:dyDescent="0.55000000000000004">
      <c r="A7817" t="s">
        <v>7898</v>
      </c>
      <c r="B7817" t="s">
        <v>101</v>
      </c>
      <c r="C7817" s="2">
        <v>44485</v>
      </c>
      <c r="D7817" t="s">
        <v>29</v>
      </c>
      <c r="E7817">
        <v>48</v>
      </c>
    </row>
    <row r="7818" spans="1:5" x14ac:dyDescent="0.55000000000000004">
      <c r="A7818" t="s">
        <v>7899</v>
      </c>
      <c r="B7818" t="s">
        <v>101</v>
      </c>
      <c r="C7818" s="2">
        <v>43320</v>
      </c>
      <c r="D7818" t="s">
        <v>29</v>
      </c>
      <c r="E7818">
        <v>2581</v>
      </c>
    </row>
    <row r="7819" spans="1:5" x14ac:dyDescent="0.55000000000000004">
      <c r="A7819" t="s">
        <v>7900</v>
      </c>
      <c r="B7819" t="s">
        <v>63</v>
      </c>
      <c r="C7819" s="2">
        <v>44291</v>
      </c>
      <c r="D7819" t="s">
        <v>26</v>
      </c>
      <c r="E7819">
        <v>2130</v>
      </c>
    </row>
    <row r="7820" spans="1:5" x14ac:dyDescent="0.55000000000000004">
      <c r="A7820" t="s">
        <v>7901</v>
      </c>
      <c r="B7820" t="s">
        <v>140</v>
      </c>
      <c r="C7820" s="2">
        <v>43327</v>
      </c>
      <c r="D7820" t="s">
        <v>26</v>
      </c>
      <c r="E7820">
        <v>462</v>
      </c>
    </row>
    <row r="7821" spans="1:5" x14ac:dyDescent="0.55000000000000004">
      <c r="A7821" t="s">
        <v>7902</v>
      </c>
      <c r="B7821" t="s">
        <v>74</v>
      </c>
      <c r="C7821" s="2">
        <v>43200</v>
      </c>
      <c r="D7821" t="s">
        <v>26</v>
      </c>
      <c r="E7821">
        <v>110</v>
      </c>
    </row>
    <row r="7822" spans="1:5" x14ac:dyDescent="0.55000000000000004">
      <c r="A7822" t="s">
        <v>7903</v>
      </c>
      <c r="B7822" t="s">
        <v>175</v>
      </c>
      <c r="C7822" s="2">
        <v>43666</v>
      </c>
      <c r="D7822" t="s">
        <v>29</v>
      </c>
      <c r="E7822">
        <v>2061</v>
      </c>
    </row>
    <row r="7823" spans="1:5" x14ac:dyDescent="0.55000000000000004">
      <c r="A7823" t="s">
        <v>7904</v>
      </c>
      <c r="B7823" t="s">
        <v>84</v>
      </c>
      <c r="C7823" s="2">
        <v>43176</v>
      </c>
      <c r="D7823" t="s">
        <v>29</v>
      </c>
      <c r="E7823">
        <v>1036</v>
      </c>
    </row>
    <row r="7824" spans="1:5" x14ac:dyDescent="0.55000000000000004">
      <c r="A7824" t="s">
        <v>7905</v>
      </c>
      <c r="B7824" t="s">
        <v>118</v>
      </c>
      <c r="C7824" s="2">
        <v>45690</v>
      </c>
      <c r="D7824" t="s">
        <v>26</v>
      </c>
      <c r="E7824">
        <v>838</v>
      </c>
    </row>
    <row r="7825" spans="1:5" x14ac:dyDescent="0.55000000000000004">
      <c r="A7825" t="s">
        <v>7906</v>
      </c>
      <c r="B7825" t="s">
        <v>118</v>
      </c>
      <c r="C7825" s="2">
        <v>44336</v>
      </c>
      <c r="D7825" t="s">
        <v>29</v>
      </c>
      <c r="E7825">
        <v>1848</v>
      </c>
    </row>
    <row r="7826" spans="1:5" x14ac:dyDescent="0.55000000000000004">
      <c r="A7826" t="s">
        <v>7907</v>
      </c>
      <c r="B7826" t="s">
        <v>38</v>
      </c>
      <c r="C7826" s="2">
        <v>44611</v>
      </c>
      <c r="D7826" t="s">
        <v>26</v>
      </c>
      <c r="E7826">
        <v>2086</v>
      </c>
    </row>
    <row r="7827" spans="1:5" x14ac:dyDescent="0.55000000000000004">
      <c r="A7827" t="s">
        <v>7908</v>
      </c>
      <c r="B7827" t="s">
        <v>105</v>
      </c>
      <c r="C7827" s="2">
        <v>44332</v>
      </c>
      <c r="D7827" t="s">
        <v>29</v>
      </c>
      <c r="E7827">
        <v>2042</v>
      </c>
    </row>
    <row r="7828" spans="1:5" x14ac:dyDescent="0.55000000000000004">
      <c r="A7828" t="s">
        <v>7909</v>
      </c>
      <c r="B7828" t="s">
        <v>78</v>
      </c>
      <c r="C7828" s="2">
        <v>43817</v>
      </c>
      <c r="D7828" t="s">
        <v>26</v>
      </c>
      <c r="E7828">
        <v>1561</v>
      </c>
    </row>
    <row r="7829" spans="1:5" x14ac:dyDescent="0.55000000000000004">
      <c r="A7829" t="s">
        <v>7910</v>
      </c>
      <c r="B7829" t="s">
        <v>14</v>
      </c>
      <c r="C7829" s="2">
        <v>43604</v>
      </c>
      <c r="D7829" t="s">
        <v>29</v>
      </c>
      <c r="E7829">
        <v>2484</v>
      </c>
    </row>
    <row r="7830" spans="1:5" x14ac:dyDescent="0.55000000000000004">
      <c r="A7830" t="s">
        <v>7911</v>
      </c>
      <c r="B7830" t="s">
        <v>156</v>
      </c>
      <c r="C7830" s="2">
        <v>43807</v>
      </c>
      <c r="D7830" t="s">
        <v>26</v>
      </c>
      <c r="E7830">
        <v>98</v>
      </c>
    </row>
    <row r="7831" spans="1:5" x14ac:dyDescent="0.55000000000000004">
      <c r="A7831" t="s">
        <v>7912</v>
      </c>
      <c r="B7831" t="s">
        <v>99</v>
      </c>
      <c r="C7831" s="2">
        <v>44983</v>
      </c>
      <c r="D7831" t="s">
        <v>29</v>
      </c>
      <c r="E7831">
        <v>1146</v>
      </c>
    </row>
    <row r="7832" spans="1:5" x14ac:dyDescent="0.55000000000000004">
      <c r="A7832" t="s">
        <v>7913</v>
      </c>
      <c r="B7832" t="s">
        <v>23</v>
      </c>
      <c r="C7832" s="2">
        <v>43937</v>
      </c>
      <c r="D7832" t="s">
        <v>26</v>
      </c>
      <c r="E7832">
        <v>769</v>
      </c>
    </row>
    <row r="7833" spans="1:5" x14ac:dyDescent="0.55000000000000004">
      <c r="A7833" t="s">
        <v>7914</v>
      </c>
      <c r="B7833" t="s">
        <v>72</v>
      </c>
      <c r="C7833" s="2">
        <v>43452</v>
      </c>
      <c r="D7833" t="s">
        <v>29</v>
      </c>
      <c r="E7833">
        <v>383</v>
      </c>
    </row>
    <row r="7834" spans="1:5" x14ac:dyDescent="0.55000000000000004">
      <c r="A7834" t="s">
        <v>7915</v>
      </c>
      <c r="B7834" t="s">
        <v>23</v>
      </c>
      <c r="C7834" s="2">
        <v>44271</v>
      </c>
      <c r="D7834" t="s">
        <v>29</v>
      </c>
      <c r="E7834">
        <v>204</v>
      </c>
    </row>
    <row r="7835" spans="1:5" x14ac:dyDescent="0.55000000000000004">
      <c r="A7835" t="s">
        <v>7916</v>
      </c>
      <c r="B7835" t="s">
        <v>175</v>
      </c>
      <c r="C7835" s="2">
        <v>43469</v>
      </c>
      <c r="D7835" t="s">
        <v>26</v>
      </c>
      <c r="E7835">
        <v>443</v>
      </c>
    </row>
    <row r="7836" spans="1:5" x14ac:dyDescent="0.55000000000000004">
      <c r="A7836" t="s">
        <v>7917</v>
      </c>
      <c r="B7836" t="s">
        <v>94</v>
      </c>
      <c r="C7836" s="2">
        <v>44825</v>
      </c>
      <c r="D7836" t="s">
        <v>29</v>
      </c>
      <c r="E7836">
        <v>1603</v>
      </c>
    </row>
    <row r="7837" spans="1:5" x14ac:dyDescent="0.55000000000000004">
      <c r="A7837" t="s">
        <v>7918</v>
      </c>
      <c r="B7837" t="s">
        <v>115</v>
      </c>
      <c r="C7837" s="2">
        <v>43890</v>
      </c>
      <c r="D7837" t="s">
        <v>29</v>
      </c>
      <c r="E7837">
        <v>2173</v>
      </c>
    </row>
    <row r="7838" spans="1:5" x14ac:dyDescent="0.55000000000000004">
      <c r="A7838" t="s">
        <v>7919</v>
      </c>
      <c r="B7838" t="s">
        <v>41</v>
      </c>
      <c r="C7838" s="2">
        <v>43953</v>
      </c>
      <c r="D7838" t="s">
        <v>26</v>
      </c>
      <c r="E7838">
        <v>887</v>
      </c>
    </row>
    <row r="7839" spans="1:5" x14ac:dyDescent="0.55000000000000004">
      <c r="A7839" t="s">
        <v>7920</v>
      </c>
      <c r="B7839" t="s">
        <v>67</v>
      </c>
      <c r="C7839" s="2">
        <v>45553</v>
      </c>
      <c r="D7839" t="s">
        <v>26</v>
      </c>
      <c r="E7839">
        <v>1170</v>
      </c>
    </row>
    <row r="7840" spans="1:5" x14ac:dyDescent="0.55000000000000004">
      <c r="A7840" t="s">
        <v>7921</v>
      </c>
      <c r="B7840" t="s">
        <v>84</v>
      </c>
      <c r="C7840" s="2">
        <v>44223</v>
      </c>
      <c r="D7840" t="s">
        <v>26</v>
      </c>
      <c r="E7840">
        <v>250</v>
      </c>
    </row>
    <row r="7841" spans="1:5" x14ac:dyDescent="0.55000000000000004">
      <c r="A7841" t="s">
        <v>7922</v>
      </c>
      <c r="B7841" t="s">
        <v>156</v>
      </c>
      <c r="C7841" s="2">
        <v>43042</v>
      </c>
      <c r="D7841" t="s">
        <v>29</v>
      </c>
      <c r="E7841">
        <v>991</v>
      </c>
    </row>
    <row r="7842" spans="1:5" x14ac:dyDescent="0.55000000000000004">
      <c r="A7842" t="s">
        <v>7923</v>
      </c>
      <c r="B7842" t="s">
        <v>74</v>
      </c>
      <c r="C7842" s="2">
        <v>43630</v>
      </c>
      <c r="D7842" t="s">
        <v>29</v>
      </c>
      <c r="E7842">
        <v>1576</v>
      </c>
    </row>
    <row r="7843" spans="1:5" x14ac:dyDescent="0.55000000000000004">
      <c r="A7843" t="s">
        <v>7924</v>
      </c>
      <c r="B7843" t="s">
        <v>94</v>
      </c>
      <c r="C7843" s="2">
        <v>45550</v>
      </c>
      <c r="D7843" t="s">
        <v>29</v>
      </c>
      <c r="E7843">
        <v>310</v>
      </c>
    </row>
    <row r="7844" spans="1:5" x14ac:dyDescent="0.55000000000000004">
      <c r="A7844" t="s">
        <v>7925</v>
      </c>
      <c r="B7844" t="s">
        <v>38</v>
      </c>
      <c r="C7844" s="2">
        <v>44268</v>
      </c>
      <c r="D7844" t="s">
        <v>29</v>
      </c>
      <c r="E7844">
        <v>782</v>
      </c>
    </row>
    <row r="7845" spans="1:5" x14ac:dyDescent="0.55000000000000004">
      <c r="A7845" t="s">
        <v>7926</v>
      </c>
      <c r="B7845" t="s">
        <v>67</v>
      </c>
      <c r="C7845" s="2">
        <v>43888</v>
      </c>
      <c r="D7845" t="s">
        <v>29</v>
      </c>
      <c r="E7845">
        <v>2109</v>
      </c>
    </row>
    <row r="7846" spans="1:5" x14ac:dyDescent="0.55000000000000004">
      <c r="A7846" t="s">
        <v>7927</v>
      </c>
      <c r="B7846" t="s">
        <v>35</v>
      </c>
      <c r="C7846" s="2">
        <v>44275</v>
      </c>
      <c r="D7846" t="s">
        <v>29</v>
      </c>
      <c r="E7846">
        <v>1270</v>
      </c>
    </row>
    <row r="7847" spans="1:5" x14ac:dyDescent="0.55000000000000004">
      <c r="A7847" t="s">
        <v>7928</v>
      </c>
      <c r="B7847" t="s">
        <v>15</v>
      </c>
      <c r="C7847" s="2">
        <v>43571</v>
      </c>
      <c r="D7847" t="s">
        <v>29</v>
      </c>
      <c r="E7847">
        <v>2071</v>
      </c>
    </row>
    <row r="7848" spans="1:5" x14ac:dyDescent="0.55000000000000004">
      <c r="A7848" t="s">
        <v>7929</v>
      </c>
      <c r="B7848" t="s">
        <v>142</v>
      </c>
      <c r="C7848" s="2">
        <v>43320</v>
      </c>
      <c r="D7848" t="s">
        <v>26</v>
      </c>
      <c r="E7848">
        <v>2557</v>
      </c>
    </row>
    <row r="7849" spans="1:5" x14ac:dyDescent="0.55000000000000004">
      <c r="A7849" t="s">
        <v>7930</v>
      </c>
      <c r="B7849" t="s">
        <v>35</v>
      </c>
      <c r="C7849" s="2">
        <v>43855</v>
      </c>
      <c r="D7849" t="s">
        <v>26</v>
      </c>
      <c r="E7849">
        <v>1651</v>
      </c>
    </row>
    <row r="7850" spans="1:5" x14ac:dyDescent="0.55000000000000004">
      <c r="A7850" t="s">
        <v>7931</v>
      </c>
      <c r="B7850" t="s">
        <v>67</v>
      </c>
      <c r="C7850" s="2">
        <v>44767</v>
      </c>
      <c r="D7850" t="s">
        <v>29</v>
      </c>
      <c r="E7850">
        <v>1154</v>
      </c>
    </row>
    <row r="7851" spans="1:5" x14ac:dyDescent="0.55000000000000004">
      <c r="A7851" t="s">
        <v>7932</v>
      </c>
      <c r="B7851" t="s">
        <v>15</v>
      </c>
      <c r="C7851" s="2">
        <v>43142</v>
      </c>
      <c r="D7851" t="s">
        <v>29</v>
      </c>
      <c r="E7851">
        <v>1846</v>
      </c>
    </row>
    <row r="7852" spans="1:5" x14ac:dyDescent="0.55000000000000004">
      <c r="A7852" t="s">
        <v>7933</v>
      </c>
      <c r="B7852" t="s">
        <v>99</v>
      </c>
      <c r="C7852" s="2">
        <v>44540</v>
      </c>
      <c r="D7852" t="s">
        <v>26</v>
      </c>
      <c r="E7852">
        <v>373</v>
      </c>
    </row>
    <row r="7853" spans="1:5" x14ac:dyDescent="0.55000000000000004">
      <c r="A7853" t="s">
        <v>7934</v>
      </c>
      <c r="B7853" t="s">
        <v>32</v>
      </c>
      <c r="C7853" s="2">
        <v>43907</v>
      </c>
      <c r="D7853" t="s">
        <v>26</v>
      </c>
      <c r="E7853">
        <v>1894</v>
      </c>
    </row>
    <row r="7854" spans="1:5" x14ac:dyDescent="0.55000000000000004">
      <c r="A7854" t="s">
        <v>7935</v>
      </c>
      <c r="B7854" t="s">
        <v>137</v>
      </c>
      <c r="C7854" s="2">
        <v>43886</v>
      </c>
      <c r="D7854" t="s">
        <v>29</v>
      </c>
      <c r="E7854">
        <v>2483</v>
      </c>
    </row>
    <row r="7855" spans="1:5" x14ac:dyDescent="0.55000000000000004">
      <c r="A7855" t="s">
        <v>7936</v>
      </c>
      <c r="B7855" t="s">
        <v>67</v>
      </c>
      <c r="C7855" s="2">
        <v>45754</v>
      </c>
      <c r="D7855" t="s">
        <v>26</v>
      </c>
      <c r="E7855">
        <v>1981</v>
      </c>
    </row>
    <row r="7856" spans="1:5" x14ac:dyDescent="0.55000000000000004">
      <c r="A7856" t="s">
        <v>7937</v>
      </c>
      <c r="B7856" t="s">
        <v>41</v>
      </c>
      <c r="C7856" s="2">
        <v>44041</v>
      </c>
      <c r="D7856" t="s">
        <v>29</v>
      </c>
      <c r="E7856">
        <v>382</v>
      </c>
    </row>
    <row r="7857" spans="1:5" x14ac:dyDescent="0.55000000000000004">
      <c r="A7857" t="s">
        <v>7938</v>
      </c>
      <c r="B7857" t="s">
        <v>115</v>
      </c>
      <c r="C7857" s="2">
        <v>43666</v>
      </c>
      <c r="D7857" t="s">
        <v>29</v>
      </c>
      <c r="E7857">
        <v>1737</v>
      </c>
    </row>
    <row r="7858" spans="1:5" x14ac:dyDescent="0.55000000000000004">
      <c r="A7858" t="s">
        <v>7939</v>
      </c>
      <c r="B7858" t="s">
        <v>137</v>
      </c>
      <c r="C7858" s="2">
        <v>45585</v>
      </c>
      <c r="D7858" t="s">
        <v>29</v>
      </c>
      <c r="E7858">
        <v>462</v>
      </c>
    </row>
    <row r="7859" spans="1:5" x14ac:dyDescent="0.55000000000000004">
      <c r="A7859" t="s">
        <v>7940</v>
      </c>
      <c r="B7859" t="s">
        <v>74</v>
      </c>
      <c r="C7859" s="2">
        <v>44081</v>
      </c>
      <c r="D7859" t="s">
        <v>29</v>
      </c>
      <c r="E7859">
        <v>1578</v>
      </c>
    </row>
    <row r="7860" spans="1:5" x14ac:dyDescent="0.55000000000000004">
      <c r="A7860" t="s">
        <v>7941</v>
      </c>
      <c r="B7860" t="s">
        <v>15</v>
      </c>
      <c r="C7860" s="2">
        <v>43646</v>
      </c>
      <c r="D7860" t="s">
        <v>26</v>
      </c>
      <c r="E7860">
        <v>2719</v>
      </c>
    </row>
    <row r="7861" spans="1:5" x14ac:dyDescent="0.55000000000000004">
      <c r="A7861" t="s">
        <v>7942</v>
      </c>
      <c r="B7861" t="s">
        <v>151</v>
      </c>
      <c r="C7861" s="2">
        <v>43244</v>
      </c>
      <c r="D7861" t="s">
        <v>29</v>
      </c>
      <c r="E7861">
        <v>268</v>
      </c>
    </row>
    <row r="7862" spans="1:5" x14ac:dyDescent="0.55000000000000004">
      <c r="A7862" t="s">
        <v>7943</v>
      </c>
      <c r="B7862" t="s">
        <v>96</v>
      </c>
      <c r="C7862" s="2">
        <v>43636</v>
      </c>
      <c r="D7862" t="s">
        <v>29</v>
      </c>
      <c r="E7862">
        <v>115</v>
      </c>
    </row>
    <row r="7863" spans="1:5" x14ac:dyDescent="0.55000000000000004">
      <c r="A7863" t="s">
        <v>7944</v>
      </c>
      <c r="B7863" t="s">
        <v>111</v>
      </c>
      <c r="C7863" s="2">
        <v>44015</v>
      </c>
      <c r="D7863" t="s">
        <v>26</v>
      </c>
      <c r="E7863">
        <v>1535</v>
      </c>
    </row>
    <row r="7864" spans="1:5" x14ac:dyDescent="0.55000000000000004">
      <c r="A7864" t="s">
        <v>7945</v>
      </c>
      <c r="B7864" t="s">
        <v>151</v>
      </c>
      <c r="C7864" s="2">
        <v>43440</v>
      </c>
      <c r="D7864" t="s">
        <v>29</v>
      </c>
      <c r="E7864">
        <v>2636</v>
      </c>
    </row>
    <row r="7865" spans="1:5" x14ac:dyDescent="0.55000000000000004">
      <c r="A7865" t="s">
        <v>7946</v>
      </c>
      <c r="B7865" t="s">
        <v>99</v>
      </c>
      <c r="C7865" s="2">
        <v>43740</v>
      </c>
      <c r="D7865" t="s">
        <v>29</v>
      </c>
      <c r="E7865">
        <v>1728</v>
      </c>
    </row>
    <row r="7866" spans="1:5" x14ac:dyDescent="0.55000000000000004">
      <c r="A7866" t="s">
        <v>7947</v>
      </c>
      <c r="B7866" t="s">
        <v>111</v>
      </c>
      <c r="C7866" s="2">
        <v>43817</v>
      </c>
      <c r="D7866" t="s">
        <v>26</v>
      </c>
      <c r="E7866">
        <v>2234</v>
      </c>
    </row>
    <row r="7867" spans="1:5" x14ac:dyDescent="0.55000000000000004">
      <c r="A7867" t="s">
        <v>7948</v>
      </c>
      <c r="B7867" t="s">
        <v>86</v>
      </c>
      <c r="C7867" s="2">
        <v>43422</v>
      </c>
      <c r="D7867" t="s">
        <v>29</v>
      </c>
      <c r="E7867">
        <v>980</v>
      </c>
    </row>
    <row r="7868" spans="1:5" x14ac:dyDescent="0.55000000000000004">
      <c r="A7868" t="s">
        <v>7949</v>
      </c>
      <c r="B7868" t="s">
        <v>63</v>
      </c>
      <c r="C7868" s="2">
        <v>44101</v>
      </c>
      <c r="D7868" t="s">
        <v>26</v>
      </c>
      <c r="E7868">
        <v>1156</v>
      </c>
    </row>
    <row r="7869" spans="1:5" x14ac:dyDescent="0.55000000000000004">
      <c r="A7869" t="s">
        <v>7950</v>
      </c>
      <c r="B7869" t="s">
        <v>105</v>
      </c>
      <c r="C7869" s="2">
        <v>43711</v>
      </c>
      <c r="D7869" t="s">
        <v>29</v>
      </c>
      <c r="E7869">
        <v>2701</v>
      </c>
    </row>
    <row r="7870" spans="1:5" x14ac:dyDescent="0.55000000000000004">
      <c r="A7870" t="s">
        <v>7951</v>
      </c>
      <c r="B7870" t="s">
        <v>72</v>
      </c>
      <c r="C7870" s="2">
        <v>43110</v>
      </c>
      <c r="D7870" t="s">
        <v>29</v>
      </c>
      <c r="E7870">
        <v>2868</v>
      </c>
    </row>
    <row r="7871" spans="1:5" x14ac:dyDescent="0.55000000000000004">
      <c r="A7871" t="s">
        <v>7952</v>
      </c>
      <c r="B7871" t="s">
        <v>96</v>
      </c>
      <c r="C7871" s="2">
        <v>44838</v>
      </c>
      <c r="D7871" t="s">
        <v>26</v>
      </c>
      <c r="E7871">
        <v>272</v>
      </c>
    </row>
    <row r="7872" spans="1:5" x14ac:dyDescent="0.55000000000000004">
      <c r="A7872" t="s">
        <v>7953</v>
      </c>
      <c r="B7872" t="s">
        <v>38</v>
      </c>
      <c r="C7872" s="2">
        <v>44507</v>
      </c>
      <c r="D7872" t="s">
        <v>29</v>
      </c>
      <c r="E7872">
        <v>1742</v>
      </c>
    </row>
    <row r="7873" spans="1:5" x14ac:dyDescent="0.55000000000000004">
      <c r="A7873" t="s">
        <v>7954</v>
      </c>
      <c r="B7873" t="s">
        <v>140</v>
      </c>
      <c r="C7873" s="2">
        <v>44039</v>
      </c>
      <c r="D7873" t="s">
        <v>29</v>
      </c>
      <c r="E7873">
        <v>2477</v>
      </c>
    </row>
    <row r="7874" spans="1:5" x14ac:dyDescent="0.55000000000000004">
      <c r="A7874" t="s">
        <v>7955</v>
      </c>
      <c r="B7874" t="s">
        <v>76</v>
      </c>
      <c r="C7874" s="2">
        <v>44318</v>
      </c>
      <c r="D7874" t="s">
        <v>26</v>
      </c>
      <c r="E7874">
        <v>829</v>
      </c>
    </row>
    <row r="7875" spans="1:5" x14ac:dyDescent="0.55000000000000004">
      <c r="A7875" t="s">
        <v>7956</v>
      </c>
      <c r="B7875" t="s">
        <v>14</v>
      </c>
      <c r="C7875" s="2">
        <v>43227</v>
      </c>
      <c r="D7875" t="s">
        <v>29</v>
      </c>
      <c r="E7875">
        <v>837</v>
      </c>
    </row>
    <row r="7876" spans="1:5" x14ac:dyDescent="0.55000000000000004">
      <c r="A7876" t="s">
        <v>7957</v>
      </c>
      <c r="B7876" t="s">
        <v>105</v>
      </c>
      <c r="C7876" s="2">
        <v>43863</v>
      </c>
      <c r="D7876" t="s">
        <v>26</v>
      </c>
      <c r="E7876">
        <v>1961</v>
      </c>
    </row>
    <row r="7877" spans="1:5" x14ac:dyDescent="0.55000000000000004">
      <c r="A7877" t="s">
        <v>7958</v>
      </c>
      <c r="B7877" t="s">
        <v>118</v>
      </c>
      <c r="C7877" s="2">
        <v>45039</v>
      </c>
      <c r="D7877" t="s">
        <v>29</v>
      </c>
      <c r="E7877">
        <v>2426</v>
      </c>
    </row>
    <row r="7878" spans="1:5" x14ac:dyDescent="0.55000000000000004">
      <c r="A7878" t="s">
        <v>7959</v>
      </c>
      <c r="B7878" t="s">
        <v>99</v>
      </c>
      <c r="C7878" s="2">
        <v>44375</v>
      </c>
      <c r="D7878" t="s">
        <v>29</v>
      </c>
      <c r="E7878">
        <v>1297</v>
      </c>
    </row>
    <row r="7879" spans="1:5" x14ac:dyDescent="0.55000000000000004">
      <c r="A7879" t="s">
        <v>7960</v>
      </c>
      <c r="B7879" t="s">
        <v>74</v>
      </c>
      <c r="C7879" s="2">
        <v>44223</v>
      </c>
      <c r="D7879" t="s">
        <v>29</v>
      </c>
      <c r="E7879">
        <v>2908</v>
      </c>
    </row>
    <row r="7880" spans="1:5" x14ac:dyDescent="0.55000000000000004">
      <c r="A7880" t="s">
        <v>7961</v>
      </c>
      <c r="B7880" t="s">
        <v>142</v>
      </c>
      <c r="C7880" s="2">
        <v>43254</v>
      </c>
      <c r="D7880" t="s">
        <v>29</v>
      </c>
      <c r="E7880">
        <v>515</v>
      </c>
    </row>
    <row r="7881" spans="1:5" x14ac:dyDescent="0.55000000000000004">
      <c r="A7881" t="s">
        <v>7962</v>
      </c>
      <c r="B7881" t="s">
        <v>76</v>
      </c>
      <c r="C7881" s="2">
        <v>45587</v>
      </c>
      <c r="D7881" t="s">
        <v>29</v>
      </c>
      <c r="E7881">
        <v>1228</v>
      </c>
    </row>
    <row r="7882" spans="1:5" x14ac:dyDescent="0.55000000000000004">
      <c r="A7882" t="s">
        <v>7963</v>
      </c>
      <c r="B7882" t="s">
        <v>140</v>
      </c>
      <c r="C7882" s="2">
        <v>43135</v>
      </c>
      <c r="D7882" t="s">
        <v>26</v>
      </c>
      <c r="E7882">
        <v>18</v>
      </c>
    </row>
    <row r="7883" spans="1:5" x14ac:dyDescent="0.55000000000000004">
      <c r="A7883" t="s">
        <v>7964</v>
      </c>
      <c r="B7883" t="s">
        <v>137</v>
      </c>
      <c r="C7883" s="2">
        <v>45695</v>
      </c>
      <c r="D7883" t="s">
        <v>29</v>
      </c>
      <c r="E7883">
        <v>780</v>
      </c>
    </row>
    <row r="7884" spans="1:5" x14ac:dyDescent="0.55000000000000004">
      <c r="A7884" t="s">
        <v>7965</v>
      </c>
      <c r="B7884" t="s">
        <v>14</v>
      </c>
      <c r="C7884" s="2">
        <v>44013</v>
      </c>
      <c r="D7884" t="s">
        <v>29</v>
      </c>
      <c r="E7884">
        <v>512</v>
      </c>
    </row>
    <row r="7885" spans="1:5" x14ac:dyDescent="0.55000000000000004">
      <c r="A7885" t="s">
        <v>7966</v>
      </c>
      <c r="B7885" t="s">
        <v>94</v>
      </c>
      <c r="C7885" s="2">
        <v>43498</v>
      </c>
      <c r="D7885" t="s">
        <v>29</v>
      </c>
      <c r="E7885">
        <v>916</v>
      </c>
    </row>
    <row r="7886" spans="1:5" x14ac:dyDescent="0.55000000000000004">
      <c r="A7886" t="s">
        <v>7967</v>
      </c>
      <c r="B7886" t="s">
        <v>99</v>
      </c>
      <c r="C7886" s="2">
        <v>44149</v>
      </c>
      <c r="D7886" t="s">
        <v>29</v>
      </c>
      <c r="E7886">
        <v>1946</v>
      </c>
    </row>
    <row r="7887" spans="1:5" x14ac:dyDescent="0.55000000000000004">
      <c r="A7887" t="s">
        <v>7968</v>
      </c>
      <c r="B7887" t="s">
        <v>96</v>
      </c>
      <c r="C7887" s="2">
        <v>45333</v>
      </c>
      <c r="D7887" t="s">
        <v>26</v>
      </c>
      <c r="E7887">
        <v>495</v>
      </c>
    </row>
    <row r="7888" spans="1:5" x14ac:dyDescent="0.55000000000000004">
      <c r="A7888" t="s">
        <v>7969</v>
      </c>
      <c r="B7888" t="s">
        <v>94</v>
      </c>
      <c r="C7888" s="2">
        <v>45519</v>
      </c>
      <c r="D7888" t="s">
        <v>29</v>
      </c>
      <c r="E7888">
        <v>574</v>
      </c>
    </row>
    <row r="7889" spans="1:5" x14ac:dyDescent="0.55000000000000004">
      <c r="A7889" t="s">
        <v>7970</v>
      </c>
      <c r="B7889" t="s">
        <v>111</v>
      </c>
      <c r="C7889" s="2">
        <v>43179</v>
      </c>
      <c r="D7889" t="s">
        <v>29</v>
      </c>
      <c r="E7889">
        <v>2672</v>
      </c>
    </row>
    <row r="7890" spans="1:5" x14ac:dyDescent="0.55000000000000004">
      <c r="A7890" t="s">
        <v>7971</v>
      </c>
      <c r="B7890" t="s">
        <v>67</v>
      </c>
      <c r="C7890" s="2">
        <v>45063</v>
      </c>
      <c r="D7890" t="s">
        <v>26</v>
      </c>
      <c r="E7890">
        <v>4</v>
      </c>
    </row>
    <row r="7891" spans="1:5" x14ac:dyDescent="0.55000000000000004">
      <c r="A7891" t="s">
        <v>7972</v>
      </c>
      <c r="B7891" t="s">
        <v>118</v>
      </c>
      <c r="C7891" s="2">
        <v>43717</v>
      </c>
      <c r="D7891" t="s">
        <v>26</v>
      </c>
      <c r="E7891">
        <v>1812</v>
      </c>
    </row>
    <row r="7892" spans="1:5" x14ac:dyDescent="0.55000000000000004">
      <c r="A7892" t="s">
        <v>7973</v>
      </c>
      <c r="B7892" t="s">
        <v>74</v>
      </c>
      <c r="C7892" s="2">
        <v>43216</v>
      </c>
      <c r="D7892" t="s">
        <v>26</v>
      </c>
      <c r="E7892">
        <v>196</v>
      </c>
    </row>
    <row r="7893" spans="1:5" x14ac:dyDescent="0.55000000000000004">
      <c r="A7893" t="s">
        <v>7974</v>
      </c>
      <c r="B7893" t="s">
        <v>175</v>
      </c>
      <c r="C7893" s="2">
        <v>44045</v>
      </c>
      <c r="D7893" t="s">
        <v>29</v>
      </c>
      <c r="E7893">
        <v>576</v>
      </c>
    </row>
    <row r="7894" spans="1:5" x14ac:dyDescent="0.55000000000000004">
      <c r="A7894" t="s">
        <v>7975</v>
      </c>
      <c r="B7894" t="s">
        <v>151</v>
      </c>
      <c r="C7894" s="2">
        <v>43521</v>
      </c>
      <c r="D7894" t="s">
        <v>29</v>
      </c>
      <c r="E7894">
        <v>2002</v>
      </c>
    </row>
    <row r="7895" spans="1:5" x14ac:dyDescent="0.55000000000000004">
      <c r="A7895" t="s">
        <v>7976</v>
      </c>
      <c r="B7895" t="s">
        <v>151</v>
      </c>
      <c r="C7895" s="2">
        <v>44305</v>
      </c>
      <c r="D7895" t="s">
        <v>26</v>
      </c>
      <c r="E7895">
        <v>1428</v>
      </c>
    </row>
    <row r="7896" spans="1:5" x14ac:dyDescent="0.55000000000000004">
      <c r="A7896" t="s">
        <v>7977</v>
      </c>
      <c r="B7896" t="s">
        <v>78</v>
      </c>
      <c r="C7896" s="2">
        <v>45446</v>
      </c>
      <c r="D7896" t="s">
        <v>29</v>
      </c>
      <c r="E7896">
        <v>1923</v>
      </c>
    </row>
    <row r="7897" spans="1:5" x14ac:dyDescent="0.55000000000000004">
      <c r="A7897" t="s">
        <v>7978</v>
      </c>
      <c r="B7897" t="s">
        <v>115</v>
      </c>
      <c r="C7897" s="2">
        <v>44468</v>
      </c>
      <c r="D7897" t="s">
        <v>29</v>
      </c>
      <c r="E7897">
        <v>492</v>
      </c>
    </row>
    <row r="7898" spans="1:5" x14ac:dyDescent="0.55000000000000004">
      <c r="A7898" t="s">
        <v>7979</v>
      </c>
      <c r="B7898" t="s">
        <v>38</v>
      </c>
      <c r="C7898" s="2">
        <v>44803</v>
      </c>
      <c r="D7898" t="s">
        <v>26</v>
      </c>
      <c r="E7898">
        <v>1540</v>
      </c>
    </row>
    <row r="7899" spans="1:5" x14ac:dyDescent="0.55000000000000004">
      <c r="A7899" t="s">
        <v>7980</v>
      </c>
      <c r="B7899" t="s">
        <v>86</v>
      </c>
      <c r="C7899" s="2">
        <v>44370</v>
      </c>
      <c r="D7899" t="s">
        <v>29</v>
      </c>
      <c r="E7899">
        <v>1433</v>
      </c>
    </row>
    <row r="7900" spans="1:5" x14ac:dyDescent="0.55000000000000004">
      <c r="A7900" t="s">
        <v>7981</v>
      </c>
      <c r="B7900" t="s">
        <v>118</v>
      </c>
      <c r="C7900" s="2">
        <v>45099</v>
      </c>
      <c r="D7900" t="s">
        <v>29</v>
      </c>
      <c r="E7900">
        <v>1864</v>
      </c>
    </row>
    <row r="7901" spans="1:5" x14ac:dyDescent="0.55000000000000004">
      <c r="A7901" t="s">
        <v>7982</v>
      </c>
      <c r="B7901" t="s">
        <v>140</v>
      </c>
      <c r="C7901" s="2">
        <v>43523</v>
      </c>
      <c r="D7901" t="s">
        <v>26</v>
      </c>
      <c r="E7901">
        <v>2487</v>
      </c>
    </row>
    <row r="7902" spans="1:5" x14ac:dyDescent="0.55000000000000004">
      <c r="A7902" t="s">
        <v>7983</v>
      </c>
      <c r="B7902" t="s">
        <v>32</v>
      </c>
      <c r="C7902" s="2">
        <v>44604</v>
      </c>
      <c r="D7902" t="s">
        <v>26</v>
      </c>
      <c r="E7902">
        <v>797</v>
      </c>
    </row>
    <row r="7903" spans="1:5" x14ac:dyDescent="0.55000000000000004">
      <c r="A7903" t="s">
        <v>7984</v>
      </c>
      <c r="B7903" t="s">
        <v>156</v>
      </c>
      <c r="C7903" s="2">
        <v>44512</v>
      </c>
      <c r="D7903" t="s">
        <v>29</v>
      </c>
      <c r="E7903">
        <v>65</v>
      </c>
    </row>
    <row r="7904" spans="1:5" x14ac:dyDescent="0.55000000000000004">
      <c r="A7904" t="s">
        <v>7985</v>
      </c>
      <c r="B7904" t="s">
        <v>14</v>
      </c>
      <c r="C7904" s="2">
        <v>44176</v>
      </c>
      <c r="D7904" t="s">
        <v>29</v>
      </c>
      <c r="E7904">
        <v>623</v>
      </c>
    </row>
    <row r="7905" spans="1:5" x14ac:dyDescent="0.55000000000000004">
      <c r="A7905" t="s">
        <v>7986</v>
      </c>
      <c r="B7905" t="s">
        <v>105</v>
      </c>
      <c r="C7905" s="2">
        <v>43493</v>
      </c>
      <c r="D7905" t="s">
        <v>26</v>
      </c>
      <c r="E7905">
        <v>2762</v>
      </c>
    </row>
    <row r="7906" spans="1:5" x14ac:dyDescent="0.55000000000000004">
      <c r="A7906" t="s">
        <v>7987</v>
      </c>
      <c r="B7906" t="s">
        <v>101</v>
      </c>
      <c r="C7906" s="2">
        <v>44314</v>
      </c>
      <c r="D7906" t="s">
        <v>29</v>
      </c>
      <c r="E7906">
        <v>803</v>
      </c>
    </row>
    <row r="7907" spans="1:5" x14ac:dyDescent="0.55000000000000004">
      <c r="A7907" t="s">
        <v>7988</v>
      </c>
      <c r="B7907" t="s">
        <v>118</v>
      </c>
      <c r="C7907" s="2">
        <v>45345</v>
      </c>
      <c r="D7907" t="s">
        <v>26</v>
      </c>
      <c r="E7907">
        <v>2844</v>
      </c>
    </row>
    <row r="7908" spans="1:5" x14ac:dyDescent="0.55000000000000004">
      <c r="A7908" t="s">
        <v>7989</v>
      </c>
      <c r="B7908" t="s">
        <v>105</v>
      </c>
      <c r="C7908" s="2">
        <v>43177</v>
      </c>
      <c r="D7908" t="s">
        <v>26</v>
      </c>
      <c r="E7908">
        <v>2373</v>
      </c>
    </row>
    <row r="7909" spans="1:5" x14ac:dyDescent="0.55000000000000004">
      <c r="A7909" t="s">
        <v>7990</v>
      </c>
      <c r="B7909" t="s">
        <v>74</v>
      </c>
      <c r="C7909" s="2">
        <v>44473</v>
      </c>
      <c r="D7909" t="s">
        <v>29</v>
      </c>
      <c r="E7909">
        <v>998</v>
      </c>
    </row>
    <row r="7910" spans="1:5" x14ac:dyDescent="0.55000000000000004">
      <c r="A7910" t="s">
        <v>7991</v>
      </c>
      <c r="B7910" t="s">
        <v>32</v>
      </c>
      <c r="C7910" s="2">
        <v>43858</v>
      </c>
      <c r="D7910" t="s">
        <v>29</v>
      </c>
      <c r="E7910">
        <v>87</v>
      </c>
    </row>
    <row r="7911" spans="1:5" x14ac:dyDescent="0.55000000000000004">
      <c r="A7911" t="s">
        <v>7992</v>
      </c>
      <c r="B7911" t="s">
        <v>86</v>
      </c>
      <c r="C7911" s="2">
        <v>44336</v>
      </c>
      <c r="D7911" t="s">
        <v>29</v>
      </c>
      <c r="E7911">
        <v>1958</v>
      </c>
    </row>
    <row r="7912" spans="1:5" x14ac:dyDescent="0.55000000000000004">
      <c r="A7912" t="s">
        <v>7993</v>
      </c>
      <c r="B7912" t="s">
        <v>38</v>
      </c>
      <c r="C7912" s="2">
        <v>44329</v>
      </c>
      <c r="D7912" t="s">
        <v>29</v>
      </c>
      <c r="E7912">
        <v>205</v>
      </c>
    </row>
    <row r="7913" spans="1:5" x14ac:dyDescent="0.55000000000000004">
      <c r="A7913" t="s">
        <v>7994</v>
      </c>
      <c r="B7913" t="s">
        <v>118</v>
      </c>
      <c r="C7913" s="2">
        <v>43933</v>
      </c>
      <c r="D7913" t="s">
        <v>29</v>
      </c>
      <c r="E7913">
        <v>2018</v>
      </c>
    </row>
    <row r="7914" spans="1:5" x14ac:dyDescent="0.55000000000000004">
      <c r="A7914" t="s">
        <v>7995</v>
      </c>
      <c r="B7914" t="s">
        <v>137</v>
      </c>
      <c r="C7914" s="2">
        <v>43934</v>
      </c>
      <c r="D7914" t="s">
        <v>26</v>
      </c>
      <c r="E7914">
        <v>1346</v>
      </c>
    </row>
    <row r="7915" spans="1:5" x14ac:dyDescent="0.55000000000000004">
      <c r="A7915" t="s">
        <v>7996</v>
      </c>
      <c r="B7915" t="s">
        <v>142</v>
      </c>
      <c r="C7915" s="2">
        <v>44443</v>
      </c>
      <c r="D7915" t="s">
        <v>26</v>
      </c>
      <c r="E7915">
        <v>179</v>
      </c>
    </row>
    <row r="7916" spans="1:5" x14ac:dyDescent="0.55000000000000004">
      <c r="A7916" t="s">
        <v>7997</v>
      </c>
      <c r="B7916" t="s">
        <v>74</v>
      </c>
      <c r="C7916" s="2">
        <v>43729</v>
      </c>
      <c r="D7916" t="s">
        <v>26</v>
      </c>
      <c r="E7916">
        <v>1716</v>
      </c>
    </row>
    <row r="7917" spans="1:5" x14ac:dyDescent="0.55000000000000004">
      <c r="A7917" t="s">
        <v>7998</v>
      </c>
      <c r="B7917" t="s">
        <v>14</v>
      </c>
      <c r="C7917" s="2">
        <v>42979</v>
      </c>
      <c r="D7917" t="s">
        <v>26</v>
      </c>
      <c r="E7917">
        <v>551</v>
      </c>
    </row>
    <row r="7918" spans="1:5" x14ac:dyDescent="0.55000000000000004">
      <c r="A7918" t="s">
        <v>7999</v>
      </c>
      <c r="B7918" t="s">
        <v>101</v>
      </c>
      <c r="C7918" s="2">
        <v>43631</v>
      </c>
      <c r="D7918" t="s">
        <v>26</v>
      </c>
      <c r="E7918">
        <v>2741</v>
      </c>
    </row>
    <row r="7919" spans="1:5" x14ac:dyDescent="0.55000000000000004">
      <c r="A7919" t="s">
        <v>8000</v>
      </c>
      <c r="B7919" t="s">
        <v>84</v>
      </c>
      <c r="C7919" s="2">
        <v>43876</v>
      </c>
      <c r="D7919" t="s">
        <v>29</v>
      </c>
      <c r="E7919">
        <v>2448</v>
      </c>
    </row>
    <row r="7920" spans="1:5" x14ac:dyDescent="0.55000000000000004">
      <c r="A7920" t="s">
        <v>8001</v>
      </c>
      <c r="B7920" t="s">
        <v>15</v>
      </c>
      <c r="C7920" s="2">
        <v>44056</v>
      </c>
      <c r="D7920" t="s">
        <v>26</v>
      </c>
      <c r="E7920">
        <v>903</v>
      </c>
    </row>
    <row r="7921" spans="1:5" x14ac:dyDescent="0.55000000000000004">
      <c r="A7921" t="s">
        <v>8002</v>
      </c>
      <c r="B7921" t="s">
        <v>111</v>
      </c>
      <c r="C7921" s="2">
        <v>43508</v>
      </c>
      <c r="D7921" t="s">
        <v>26</v>
      </c>
      <c r="E7921">
        <v>1467</v>
      </c>
    </row>
    <row r="7922" spans="1:5" x14ac:dyDescent="0.55000000000000004">
      <c r="A7922" t="s">
        <v>8003</v>
      </c>
      <c r="B7922" t="s">
        <v>96</v>
      </c>
      <c r="C7922" s="2">
        <v>43831</v>
      </c>
      <c r="D7922" t="s">
        <v>26</v>
      </c>
      <c r="E7922">
        <v>441</v>
      </c>
    </row>
    <row r="7923" spans="1:5" x14ac:dyDescent="0.55000000000000004">
      <c r="A7923" t="s">
        <v>8004</v>
      </c>
      <c r="B7923" t="s">
        <v>156</v>
      </c>
      <c r="C7923" s="2">
        <v>44085</v>
      </c>
      <c r="D7923" t="s">
        <v>29</v>
      </c>
      <c r="E7923">
        <v>1933</v>
      </c>
    </row>
    <row r="7924" spans="1:5" x14ac:dyDescent="0.55000000000000004">
      <c r="A7924" t="s">
        <v>8005</v>
      </c>
      <c r="B7924" t="s">
        <v>23</v>
      </c>
      <c r="C7924" s="2">
        <v>44017</v>
      </c>
      <c r="D7924" t="s">
        <v>29</v>
      </c>
      <c r="E7924">
        <v>1574</v>
      </c>
    </row>
    <row r="7925" spans="1:5" x14ac:dyDescent="0.55000000000000004">
      <c r="A7925" t="s">
        <v>8006</v>
      </c>
      <c r="B7925" t="s">
        <v>63</v>
      </c>
      <c r="C7925" s="2">
        <v>44372</v>
      </c>
      <c r="D7925" t="s">
        <v>29</v>
      </c>
      <c r="E7925">
        <v>2595</v>
      </c>
    </row>
    <row r="7926" spans="1:5" x14ac:dyDescent="0.55000000000000004">
      <c r="A7926" t="s">
        <v>8007</v>
      </c>
      <c r="B7926" t="s">
        <v>101</v>
      </c>
      <c r="C7926" s="2">
        <v>43497</v>
      </c>
      <c r="D7926" t="s">
        <v>26</v>
      </c>
      <c r="E7926">
        <v>638</v>
      </c>
    </row>
    <row r="7927" spans="1:5" x14ac:dyDescent="0.55000000000000004">
      <c r="A7927" t="s">
        <v>8008</v>
      </c>
      <c r="B7927" t="s">
        <v>14</v>
      </c>
      <c r="C7927" s="2">
        <v>43342</v>
      </c>
      <c r="D7927" t="s">
        <v>26</v>
      </c>
      <c r="E7927">
        <v>2026</v>
      </c>
    </row>
    <row r="7928" spans="1:5" x14ac:dyDescent="0.55000000000000004">
      <c r="A7928" t="s">
        <v>8009</v>
      </c>
      <c r="B7928" t="s">
        <v>41</v>
      </c>
      <c r="C7928" s="2">
        <v>44115</v>
      </c>
      <c r="D7928" t="s">
        <v>29</v>
      </c>
      <c r="E7928">
        <v>1733</v>
      </c>
    </row>
    <row r="7929" spans="1:5" x14ac:dyDescent="0.55000000000000004">
      <c r="A7929" t="s">
        <v>8010</v>
      </c>
      <c r="B7929" t="s">
        <v>86</v>
      </c>
      <c r="C7929" s="2">
        <v>43216</v>
      </c>
      <c r="D7929" t="s">
        <v>26</v>
      </c>
      <c r="E7929">
        <v>1271</v>
      </c>
    </row>
    <row r="7930" spans="1:5" x14ac:dyDescent="0.55000000000000004">
      <c r="A7930" t="s">
        <v>8011</v>
      </c>
      <c r="B7930" t="s">
        <v>101</v>
      </c>
      <c r="C7930" s="2">
        <v>44020</v>
      </c>
      <c r="D7930" t="s">
        <v>29</v>
      </c>
      <c r="E7930">
        <v>1080</v>
      </c>
    </row>
    <row r="7931" spans="1:5" x14ac:dyDescent="0.55000000000000004">
      <c r="A7931" t="s">
        <v>8012</v>
      </c>
      <c r="B7931" t="s">
        <v>76</v>
      </c>
      <c r="C7931" s="2">
        <v>44147</v>
      </c>
      <c r="D7931" t="s">
        <v>29</v>
      </c>
      <c r="E7931">
        <v>2743</v>
      </c>
    </row>
    <row r="7932" spans="1:5" x14ac:dyDescent="0.55000000000000004">
      <c r="A7932" t="s">
        <v>8013</v>
      </c>
      <c r="B7932" t="s">
        <v>72</v>
      </c>
      <c r="C7932" s="2">
        <v>43511</v>
      </c>
      <c r="D7932" t="s">
        <v>26</v>
      </c>
      <c r="E7932">
        <v>161</v>
      </c>
    </row>
    <row r="7933" spans="1:5" x14ac:dyDescent="0.55000000000000004">
      <c r="A7933" t="s">
        <v>8014</v>
      </c>
      <c r="B7933" t="s">
        <v>137</v>
      </c>
      <c r="C7933" s="2">
        <v>43606</v>
      </c>
      <c r="D7933" t="s">
        <v>26</v>
      </c>
      <c r="E7933">
        <v>85</v>
      </c>
    </row>
    <row r="7934" spans="1:5" x14ac:dyDescent="0.55000000000000004">
      <c r="A7934" t="s">
        <v>8015</v>
      </c>
      <c r="B7934" t="s">
        <v>99</v>
      </c>
      <c r="C7934" s="2">
        <v>45068</v>
      </c>
      <c r="D7934" t="s">
        <v>26</v>
      </c>
      <c r="E7934">
        <v>353</v>
      </c>
    </row>
    <row r="7935" spans="1:5" x14ac:dyDescent="0.55000000000000004">
      <c r="A7935" t="s">
        <v>8016</v>
      </c>
      <c r="B7935" t="s">
        <v>156</v>
      </c>
      <c r="C7935" s="2">
        <v>44282</v>
      </c>
      <c r="D7935" t="s">
        <v>29</v>
      </c>
      <c r="E7935">
        <v>71</v>
      </c>
    </row>
    <row r="7936" spans="1:5" x14ac:dyDescent="0.55000000000000004">
      <c r="A7936" t="s">
        <v>8017</v>
      </c>
      <c r="B7936" t="s">
        <v>111</v>
      </c>
      <c r="C7936" s="2">
        <v>43093</v>
      </c>
      <c r="D7936" t="s">
        <v>26</v>
      </c>
      <c r="E7936">
        <v>2291</v>
      </c>
    </row>
    <row r="7937" spans="1:5" x14ac:dyDescent="0.55000000000000004">
      <c r="A7937" t="s">
        <v>8018</v>
      </c>
      <c r="B7937" t="s">
        <v>118</v>
      </c>
      <c r="C7937" s="2">
        <v>44850</v>
      </c>
      <c r="D7937" t="s">
        <v>29</v>
      </c>
      <c r="E7937">
        <v>853</v>
      </c>
    </row>
    <row r="7938" spans="1:5" x14ac:dyDescent="0.55000000000000004">
      <c r="A7938" t="s">
        <v>8019</v>
      </c>
      <c r="B7938" t="s">
        <v>175</v>
      </c>
      <c r="C7938" s="2">
        <v>44052</v>
      </c>
      <c r="D7938" t="s">
        <v>29</v>
      </c>
      <c r="E7938">
        <v>469</v>
      </c>
    </row>
    <row r="7939" spans="1:5" x14ac:dyDescent="0.55000000000000004">
      <c r="A7939" t="s">
        <v>8020</v>
      </c>
      <c r="B7939" t="s">
        <v>101</v>
      </c>
      <c r="C7939" s="2">
        <v>44251</v>
      </c>
      <c r="D7939" t="s">
        <v>26</v>
      </c>
      <c r="E7939">
        <v>2988</v>
      </c>
    </row>
    <row r="7940" spans="1:5" x14ac:dyDescent="0.55000000000000004">
      <c r="A7940" t="s">
        <v>8021</v>
      </c>
      <c r="B7940" t="s">
        <v>142</v>
      </c>
      <c r="C7940" s="2">
        <v>44237</v>
      </c>
      <c r="D7940" t="s">
        <v>26</v>
      </c>
      <c r="E7940">
        <v>960</v>
      </c>
    </row>
    <row r="7941" spans="1:5" x14ac:dyDescent="0.55000000000000004">
      <c r="A7941" t="s">
        <v>8022</v>
      </c>
      <c r="B7941" t="s">
        <v>111</v>
      </c>
      <c r="C7941" s="2">
        <v>43778</v>
      </c>
      <c r="D7941" t="s">
        <v>26</v>
      </c>
      <c r="E7941">
        <v>1562</v>
      </c>
    </row>
    <row r="7942" spans="1:5" x14ac:dyDescent="0.55000000000000004">
      <c r="A7942" t="s">
        <v>8023</v>
      </c>
      <c r="B7942" t="s">
        <v>32</v>
      </c>
      <c r="C7942" s="2">
        <v>44242</v>
      </c>
      <c r="D7942" t="s">
        <v>26</v>
      </c>
      <c r="E7942">
        <v>366</v>
      </c>
    </row>
    <row r="7943" spans="1:5" x14ac:dyDescent="0.55000000000000004">
      <c r="A7943" t="s">
        <v>8024</v>
      </c>
      <c r="B7943" t="s">
        <v>142</v>
      </c>
      <c r="C7943" s="2">
        <v>43033</v>
      </c>
      <c r="D7943" t="s">
        <v>26</v>
      </c>
      <c r="E7943">
        <v>2413</v>
      </c>
    </row>
    <row r="7944" spans="1:5" x14ac:dyDescent="0.55000000000000004">
      <c r="A7944" t="s">
        <v>8025</v>
      </c>
      <c r="B7944" t="s">
        <v>142</v>
      </c>
      <c r="C7944" s="2">
        <v>43994</v>
      </c>
      <c r="D7944" t="s">
        <v>26</v>
      </c>
      <c r="E7944">
        <v>270</v>
      </c>
    </row>
    <row r="7945" spans="1:5" x14ac:dyDescent="0.55000000000000004">
      <c r="A7945" t="s">
        <v>8026</v>
      </c>
      <c r="B7945" t="s">
        <v>99</v>
      </c>
      <c r="C7945" s="2">
        <v>45282</v>
      </c>
      <c r="D7945" t="s">
        <v>26</v>
      </c>
      <c r="E7945">
        <v>2978</v>
      </c>
    </row>
    <row r="7946" spans="1:5" x14ac:dyDescent="0.55000000000000004">
      <c r="A7946" t="s">
        <v>8027</v>
      </c>
      <c r="B7946" t="s">
        <v>14</v>
      </c>
      <c r="C7946" s="2">
        <v>43551</v>
      </c>
      <c r="D7946" t="s">
        <v>26</v>
      </c>
      <c r="E7946">
        <v>710</v>
      </c>
    </row>
    <row r="7947" spans="1:5" x14ac:dyDescent="0.55000000000000004">
      <c r="A7947" t="s">
        <v>8028</v>
      </c>
      <c r="B7947" t="s">
        <v>67</v>
      </c>
      <c r="C7947" s="2">
        <v>44410</v>
      </c>
      <c r="D7947" t="s">
        <v>29</v>
      </c>
      <c r="E7947">
        <v>2863</v>
      </c>
    </row>
    <row r="7948" spans="1:5" x14ac:dyDescent="0.55000000000000004">
      <c r="A7948" t="s">
        <v>8029</v>
      </c>
      <c r="B7948" t="s">
        <v>84</v>
      </c>
      <c r="C7948" s="2">
        <v>43049</v>
      </c>
      <c r="D7948" t="s">
        <v>29</v>
      </c>
      <c r="E7948">
        <v>2227</v>
      </c>
    </row>
    <row r="7949" spans="1:5" x14ac:dyDescent="0.55000000000000004">
      <c r="A7949" t="s">
        <v>8030</v>
      </c>
      <c r="B7949" t="s">
        <v>94</v>
      </c>
      <c r="C7949" s="2">
        <v>44202</v>
      </c>
      <c r="D7949" t="s">
        <v>26</v>
      </c>
      <c r="E7949">
        <v>2546</v>
      </c>
    </row>
    <row r="7950" spans="1:5" x14ac:dyDescent="0.55000000000000004">
      <c r="A7950" t="s">
        <v>8031</v>
      </c>
      <c r="B7950" t="s">
        <v>78</v>
      </c>
      <c r="C7950" s="2">
        <v>44408</v>
      </c>
      <c r="D7950" t="s">
        <v>26</v>
      </c>
      <c r="E7950">
        <v>1075</v>
      </c>
    </row>
    <row r="7951" spans="1:5" x14ac:dyDescent="0.55000000000000004">
      <c r="A7951" t="s">
        <v>8032</v>
      </c>
      <c r="B7951" t="s">
        <v>41</v>
      </c>
      <c r="C7951" s="2">
        <v>44282</v>
      </c>
      <c r="D7951" t="s">
        <v>29</v>
      </c>
      <c r="E7951">
        <v>1708</v>
      </c>
    </row>
    <row r="7952" spans="1:5" x14ac:dyDescent="0.55000000000000004">
      <c r="A7952" t="s">
        <v>8033</v>
      </c>
      <c r="B7952" t="s">
        <v>140</v>
      </c>
      <c r="C7952" s="2">
        <v>43098</v>
      </c>
      <c r="D7952" t="s">
        <v>26</v>
      </c>
      <c r="E7952">
        <v>1710</v>
      </c>
    </row>
    <row r="7953" spans="1:5" x14ac:dyDescent="0.55000000000000004">
      <c r="A7953" t="s">
        <v>8034</v>
      </c>
      <c r="B7953" t="s">
        <v>101</v>
      </c>
      <c r="C7953" s="2">
        <v>43265</v>
      </c>
      <c r="D7953" t="s">
        <v>26</v>
      </c>
      <c r="E7953">
        <v>2096</v>
      </c>
    </row>
    <row r="7954" spans="1:5" x14ac:dyDescent="0.55000000000000004">
      <c r="A7954" t="s">
        <v>8035</v>
      </c>
      <c r="B7954" t="s">
        <v>137</v>
      </c>
      <c r="C7954" s="2">
        <v>43803</v>
      </c>
      <c r="D7954" t="s">
        <v>26</v>
      </c>
      <c r="E7954">
        <v>561</v>
      </c>
    </row>
    <row r="7955" spans="1:5" x14ac:dyDescent="0.55000000000000004">
      <c r="A7955" t="s">
        <v>8036</v>
      </c>
      <c r="B7955" t="s">
        <v>38</v>
      </c>
      <c r="C7955" s="2">
        <v>44709</v>
      </c>
      <c r="D7955" t="s">
        <v>26</v>
      </c>
      <c r="E7955">
        <v>1428</v>
      </c>
    </row>
    <row r="7956" spans="1:5" x14ac:dyDescent="0.55000000000000004">
      <c r="A7956" t="s">
        <v>8037</v>
      </c>
      <c r="B7956" t="s">
        <v>76</v>
      </c>
      <c r="C7956" s="2">
        <v>45809</v>
      </c>
      <c r="D7956" t="s">
        <v>29</v>
      </c>
      <c r="E7956">
        <v>1879</v>
      </c>
    </row>
    <row r="7957" spans="1:5" x14ac:dyDescent="0.55000000000000004">
      <c r="A7957" t="s">
        <v>8038</v>
      </c>
      <c r="B7957" t="s">
        <v>94</v>
      </c>
      <c r="C7957" s="2">
        <v>44516</v>
      </c>
      <c r="D7957" t="s">
        <v>29</v>
      </c>
      <c r="E7957">
        <v>15</v>
      </c>
    </row>
    <row r="7958" spans="1:5" x14ac:dyDescent="0.55000000000000004">
      <c r="A7958" t="s">
        <v>8039</v>
      </c>
      <c r="B7958" t="s">
        <v>76</v>
      </c>
      <c r="C7958" s="2">
        <v>44889</v>
      </c>
      <c r="D7958" t="s">
        <v>26</v>
      </c>
      <c r="E7958">
        <v>301</v>
      </c>
    </row>
    <row r="7959" spans="1:5" x14ac:dyDescent="0.55000000000000004">
      <c r="A7959" t="s">
        <v>8040</v>
      </c>
      <c r="B7959" t="s">
        <v>175</v>
      </c>
      <c r="C7959" s="2">
        <v>43827</v>
      </c>
      <c r="D7959" t="s">
        <v>26</v>
      </c>
      <c r="E7959">
        <v>1428</v>
      </c>
    </row>
    <row r="7960" spans="1:5" x14ac:dyDescent="0.55000000000000004">
      <c r="A7960" t="s">
        <v>8041</v>
      </c>
      <c r="B7960" t="s">
        <v>38</v>
      </c>
      <c r="C7960" s="2">
        <v>44265</v>
      </c>
      <c r="D7960" t="s">
        <v>26</v>
      </c>
      <c r="E7960">
        <v>34</v>
      </c>
    </row>
    <row r="7961" spans="1:5" x14ac:dyDescent="0.55000000000000004">
      <c r="A7961" t="s">
        <v>8042</v>
      </c>
      <c r="B7961" t="s">
        <v>76</v>
      </c>
      <c r="C7961" s="2">
        <v>45238</v>
      </c>
      <c r="D7961" t="s">
        <v>29</v>
      </c>
      <c r="E7961">
        <v>830</v>
      </c>
    </row>
    <row r="7962" spans="1:5" x14ac:dyDescent="0.55000000000000004">
      <c r="A7962" t="s">
        <v>8043</v>
      </c>
      <c r="B7962" t="s">
        <v>32</v>
      </c>
      <c r="C7962" s="2">
        <v>44748</v>
      </c>
      <c r="D7962" t="s">
        <v>29</v>
      </c>
      <c r="E7962">
        <v>571</v>
      </c>
    </row>
    <row r="7963" spans="1:5" x14ac:dyDescent="0.55000000000000004">
      <c r="A7963" t="s">
        <v>8044</v>
      </c>
      <c r="B7963" t="s">
        <v>115</v>
      </c>
      <c r="C7963" s="2">
        <v>44059</v>
      </c>
      <c r="D7963" t="s">
        <v>26</v>
      </c>
      <c r="E7963">
        <v>1263</v>
      </c>
    </row>
    <row r="7964" spans="1:5" x14ac:dyDescent="0.55000000000000004">
      <c r="A7964" t="s">
        <v>8045</v>
      </c>
      <c r="B7964" t="s">
        <v>72</v>
      </c>
      <c r="C7964" s="2">
        <v>44283</v>
      </c>
      <c r="D7964" t="s">
        <v>29</v>
      </c>
      <c r="E7964">
        <v>2483</v>
      </c>
    </row>
    <row r="7965" spans="1:5" x14ac:dyDescent="0.55000000000000004">
      <c r="A7965" t="s">
        <v>8046</v>
      </c>
      <c r="B7965" t="s">
        <v>63</v>
      </c>
      <c r="C7965" s="2">
        <v>43888</v>
      </c>
      <c r="D7965" t="s">
        <v>29</v>
      </c>
      <c r="E7965">
        <v>1458</v>
      </c>
    </row>
    <row r="7966" spans="1:5" x14ac:dyDescent="0.55000000000000004">
      <c r="A7966" t="s">
        <v>8047</v>
      </c>
      <c r="B7966" t="s">
        <v>35</v>
      </c>
      <c r="C7966" s="2">
        <v>43889</v>
      </c>
      <c r="D7966" t="s">
        <v>26</v>
      </c>
      <c r="E7966">
        <v>1661</v>
      </c>
    </row>
    <row r="7967" spans="1:5" x14ac:dyDescent="0.55000000000000004">
      <c r="A7967" t="s">
        <v>8048</v>
      </c>
      <c r="B7967" t="s">
        <v>137</v>
      </c>
      <c r="C7967" s="2">
        <v>45455</v>
      </c>
      <c r="D7967" t="s">
        <v>29</v>
      </c>
      <c r="E7967">
        <v>1961</v>
      </c>
    </row>
    <row r="7968" spans="1:5" x14ac:dyDescent="0.55000000000000004">
      <c r="A7968" t="s">
        <v>8049</v>
      </c>
      <c r="B7968" t="s">
        <v>41</v>
      </c>
      <c r="C7968" s="2">
        <v>44032</v>
      </c>
      <c r="D7968" t="s">
        <v>29</v>
      </c>
      <c r="E7968">
        <v>1960</v>
      </c>
    </row>
    <row r="7969" spans="1:5" x14ac:dyDescent="0.55000000000000004">
      <c r="A7969" t="s">
        <v>8050</v>
      </c>
      <c r="B7969" t="s">
        <v>101</v>
      </c>
      <c r="C7969" s="2">
        <v>43173</v>
      </c>
      <c r="D7969" t="s">
        <v>26</v>
      </c>
      <c r="E7969">
        <v>1675</v>
      </c>
    </row>
    <row r="7970" spans="1:5" x14ac:dyDescent="0.55000000000000004">
      <c r="A7970" t="s">
        <v>8051</v>
      </c>
      <c r="B7970" t="s">
        <v>63</v>
      </c>
      <c r="C7970" s="2">
        <v>43802</v>
      </c>
      <c r="D7970" t="s">
        <v>29</v>
      </c>
      <c r="E7970">
        <v>100</v>
      </c>
    </row>
    <row r="7971" spans="1:5" x14ac:dyDescent="0.55000000000000004">
      <c r="A7971" t="s">
        <v>8052</v>
      </c>
      <c r="B7971" t="s">
        <v>74</v>
      </c>
      <c r="C7971" s="2">
        <v>44409</v>
      </c>
      <c r="D7971" t="s">
        <v>29</v>
      </c>
      <c r="E7971">
        <v>2620</v>
      </c>
    </row>
    <row r="7972" spans="1:5" x14ac:dyDescent="0.55000000000000004">
      <c r="A7972" t="s">
        <v>8053</v>
      </c>
      <c r="B7972" t="s">
        <v>105</v>
      </c>
      <c r="C7972" s="2">
        <v>43858</v>
      </c>
      <c r="D7972" t="s">
        <v>29</v>
      </c>
      <c r="E7972">
        <v>704</v>
      </c>
    </row>
    <row r="7973" spans="1:5" x14ac:dyDescent="0.55000000000000004">
      <c r="A7973" t="s">
        <v>8054</v>
      </c>
      <c r="B7973" t="s">
        <v>23</v>
      </c>
      <c r="C7973" s="2">
        <v>44156</v>
      </c>
      <c r="D7973" t="s">
        <v>26</v>
      </c>
      <c r="E7973">
        <v>1741</v>
      </c>
    </row>
    <row r="7974" spans="1:5" x14ac:dyDescent="0.55000000000000004">
      <c r="A7974" t="s">
        <v>8055</v>
      </c>
      <c r="B7974" t="s">
        <v>140</v>
      </c>
      <c r="C7974" s="2">
        <v>43807</v>
      </c>
      <c r="D7974" t="s">
        <v>29</v>
      </c>
      <c r="E7974">
        <v>2108</v>
      </c>
    </row>
    <row r="7975" spans="1:5" x14ac:dyDescent="0.55000000000000004">
      <c r="A7975" t="s">
        <v>8056</v>
      </c>
      <c r="B7975" t="s">
        <v>175</v>
      </c>
      <c r="C7975" s="2">
        <v>45574</v>
      </c>
      <c r="D7975" t="s">
        <v>26</v>
      </c>
      <c r="E7975">
        <v>2334</v>
      </c>
    </row>
    <row r="7976" spans="1:5" x14ac:dyDescent="0.55000000000000004">
      <c r="A7976" t="s">
        <v>8057</v>
      </c>
      <c r="B7976" t="s">
        <v>41</v>
      </c>
      <c r="C7976" s="2">
        <v>44229</v>
      </c>
      <c r="D7976" t="s">
        <v>29</v>
      </c>
      <c r="E7976">
        <v>2636</v>
      </c>
    </row>
    <row r="7977" spans="1:5" x14ac:dyDescent="0.55000000000000004">
      <c r="A7977" t="s">
        <v>8058</v>
      </c>
      <c r="B7977" t="s">
        <v>101</v>
      </c>
      <c r="C7977" s="2">
        <v>43092</v>
      </c>
      <c r="D7977" t="s">
        <v>29</v>
      </c>
      <c r="E7977">
        <v>1330</v>
      </c>
    </row>
    <row r="7978" spans="1:5" x14ac:dyDescent="0.55000000000000004">
      <c r="A7978" t="s">
        <v>8059</v>
      </c>
      <c r="B7978" t="s">
        <v>105</v>
      </c>
      <c r="C7978" s="2">
        <v>43300</v>
      </c>
      <c r="D7978" t="s">
        <v>26</v>
      </c>
      <c r="E7978">
        <v>1899</v>
      </c>
    </row>
    <row r="7979" spans="1:5" x14ac:dyDescent="0.55000000000000004">
      <c r="A7979" t="s">
        <v>8060</v>
      </c>
      <c r="B7979" t="s">
        <v>156</v>
      </c>
      <c r="C7979" s="2">
        <v>44106</v>
      </c>
      <c r="D7979" t="s">
        <v>26</v>
      </c>
      <c r="E7979">
        <v>1302</v>
      </c>
    </row>
    <row r="7980" spans="1:5" x14ac:dyDescent="0.55000000000000004">
      <c r="A7980" t="s">
        <v>8061</v>
      </c>
      <c r="B7980" t="s">
        <v>23</v>
      </c>
      <c r="C7980" s="2">
        <v>44048</v>
      </c>
      <c r="D7980" t="s">
        <v>26</v>
      </c>
      <c r="E7980">
        <v>1324</v>
      </c>
    </row>
    <row r="7981" spans="1:5" x14ac:dyDescent="0.55000000000000004">
      <c r="A7981" t="s">
        <v>8062</v>
      </c>
      <c r="B7981" t="s">
        <v>111</v>
      </c>
      <c r="C7981" s="2">
        <v>44191</v>
      </c>
      <c r="D7981" t="s">
        <v>29</v>
      </c>
      <c r="E7981">
        <v>1967</v>
      </c>
    </row>
    <row r="7982" spans="1:5" x14ac:dyDescent="0.55000000000000004">
      <c r="A7982" t="s">
        <v>8063</v>
      </c>
      <c r="B7982" t="s">
        <v>15</v>
      </c>
      <c r="C7982" s="2">
        <v>43228</v>
      </c>
      <c r="D7982" t="s">
        <v>29</v>
      </c>
      <c r="E7982">
        <v>1321</v>
      </c>
    </row>
    <row r="7983" spans="1:5" x14ac:dyDescent="0.55000000000000004">
      <c r="A7983" t="s">
        <v>8064</v>
      </c>
      <c r="B7983" t="s">
        <v>32</v>
      </c>
      <c r="C7983" s="2">
        <v>44846</v>
      </c>
      <c r="D7983" t="s">
        <v>29</v>
      </c>
      <c r="E7983">
        <v>1213</v>
      </c>
    </row>
    <row r="7984" spans="1:5" x14ac:dyDescent="0.55000000000000004">
      <c r="A7984" t="s">
        <v>8065</v>
      </c>
      <c r="B7984" t="s">
        <v>14</v>
      </c>
      <c r="C7984" s="2">
        <v>44041</v>
      </c>
      <c r="D7984" t="s">
        <v>26</v>
      </c>
      <c r="E7984">
        <v>2281</v>
      </c>
    </row>
    <row r="7985" spans="1:5" x14ac:dyDescent="0.55000000000000004">
      <c r="A7985" t="s">
        <v>8066</v>
      </c>
      <c r="B7985" t="s">
        <v>86</v>
      </c>
      <c r="C7985" s="2">
        <v>44436</v>
      </c>
      <c r="D7985" t="s">
        <v>26</v>
      </c>
      <c r="E7985">
        <v>1298</v>
      </c>
    </row>
    <row r="7986" spans="1:5" x14ac:dyDescent="0.55000000000000004">
      <c r="A7986" t="s">
        <v>8067</v>
      </c>
      <c r="B7986" t="s">
        <v>14</v>
      </c>
      <c r="C7986" s="2">
        <v>43065</v>
      </c>
      <c r="D7986" t="s">
        <v>29</v>
      </c>
      <c r="E7986">
        <v>511</v>
      </c>
    </row>
    <row r="7987" spans="1:5" x14ac:dyDescent="0.55000000000000004">
      <c r="A7987" t="s">
        <v>8068</v>
      </c>
      <c r="B7987" t="s">
        <v>118</v>
      </c>
      <c r="C7987" s="2">
        <v>45271</v>
      </c>
      <c r="D7987" t="s">
        <v>26</v>
      </c>
      <c r="E7987">
        <v>1587</v>
      </c>
    </row>
    <row r="7988" spans="1:5" x14ac:dyDescent="0.55000000000000004">
      <c r="A7988" t="s">
        <v>8069</v>
      </c>
      <c r="B7988" t="s">
        <v>111</v>
      </c>
      <c r="C7988" s="2">
        <v>43905</v>
      </c>
      <c r="D7988" t="s">
        <v>26</v>
      </c>
      <c r="E7988">
        <v>2341</v>
      </c>
    </row>
    <row r="7989" spans="1:5" x14ac:dyDescent="0.55000000000000004">
      <c r="A7989" t="s">
        <v>8070</v>
      </c>
      <c r="B7989" t="s">
        <v>74</v>
      </c>
      <c r="C7989" s="2">
        <v>43201</v>
      </c>
      <c r="D7989" t="s">
        <v>29</v>
      </c>
      <c r="E7989">
        <v>1623</v>
      </c>
    </row>
    <row r="7990" spans="1:5" x14ac:dyDescent="0.55000000000000004">
      <c r="A7990" t="s">
        <v>8071</v>
      </c>
      <c r="B7990" t="s">
        <v>86</v>
      </c>
      <c r="C7990" s="2">
        <v>44558</v>
      </c>
      <c r="D7990" t="s">
        <v>26</v>
      </c>
      <c r="E7990">
        <v>2188</v>
      </c>
    </row>
    <row r="7991" spans="1:5" x14ac:dyDescent="0.55000000000000004">
      <c r="A7991" t="s">
        <v>8072</v>
      </c>
      <c r="B7991" t="s">
        <v>99</v>
      </c>
      <c r="C7991" s="2">
        <v>45273</v>
      </c>
      <c r="D7991" t="s">
        <v>26</v>
      </c>
      <c r="E7991">
        <v>2655</v>
      </c>
    </row>
    <row r="7992" spans="1:5" x14ac:dyDescent="0.55000000000000004">
      <c r="A7992" t="s">
        <v>8073</v>
      </c>
      <c r="B7992" t="s">
        <v>115</v>
      </c>
      <c r="C7992" s="2">
        <v>43548</v>
      </c>
      <c r="D7992" t="s">
        <v>29</v>
      </c>
      <c r="E7992">
        <v>161</v>
      </c>
    </row>
    <row r="7993" spans="1:5" x14ac:dyDescent="0.55000000000000004">
      <c r="A7993" t="s">
        <v>8074</v>
      </c>
      <c r="B7993" t="s">
        <v>142</v>
      </c>
      <c r="C7993" s="2">
        <v>44251</v>
      </c>
      <c r="D7993" t="s">
        <v>29</v>
      </c>
      <c r="E7993">
        <v>178</v>
      </c>
    </row>
    <row r="7994" spans="1:5" x14ac:dyDescent="0.55000000000000004">
      <c r="A7994" t="s">
        <v>8075</v>
      </c>
      <c r="B7994" t="s">
        <v>14</v>
      </c>
      <c r="C7994" s="2">
        <v>44388</v>
      </c>
      <c r="D7994" t="s">
        <v>26</v>
      </c>
      <c r="E7994">
        <v>1072</v>
      </c>
    </row>
    <row r="7995" spans="1:5" x14ac:dyDescent="0.55000000000000004">
      <c r="A7995" t="s">
        <v>8076</v>
      </c>
      <c r="B7995" t="s">
        <v>84</v>
      </c>
      <c r="C7995" s="2">
        <v>44134</v>
      </c>
      <c r="D7995" t="s">
        <v>26</v>
      </c>
      <c r="E7995">
        <v>2141</v>
      </c>
    </row>
    <row r="7996" spans="1:5" x14ac:dyDescent="0.55000000000000004">
      <c r="A7996" t="s">
        <v>8077</v>
      </c>
      <c r="B7996" t="s">
        <v>15</v>
      </c>
      <c r="C7996" s="2">
        <v>44066</v>
      </c>
      <c r="D7996" t="s">
        <v>29</v>
      </c>
      <c r="E7996">
        <v>1431</v>
      </c>
    </row>
    <row r="7997" spans="1:5" x14ac:dyDescent="0.55000000000000004">
      <c r="A7997" t="s">
        <v>8078</v>
      </c>
      <c r="B7997" t="s">
        <v>35</v>
      </c>
      <c r="C7997" s="2">
        <v>44779</v>
      </c>
      <c r="D7997" t="s">
        <v>26</v>
      </c>
      <c r="E7997">
        <v>2565</v>
      </c>
    </row>
    <row r="7998" spans="1:5" x14ac:dyDescent="0.55000000000000004">
      <c r="A7998" t="s">
        <v>8079</v>
      </c>
      <c r="B7998" t="s">
        <v>63</v>
      </c>
      <c r="C7998" s="2">
        <v>44232</v>
      </c>
      <c r="D7998" t="s">
        <v>26</v>
      </c>
      <c r="E7998">
        <v>578</v>
      </c>
    </row>
    <row r="7999" spans="1:5" x14ac:dyDescent="0.55000000000000004">
      <c r="A7999" t="s">
        <v>8080</v>
      </c>
      <c r="B7999" t="s">
        <v>23</v>
      </c>
      <c r="C7999" s="2">
        <v>44232</v>
      </c>
      <c r="D7999" t="s">
        <v>26</v>
      </c>
      <c r="E7999">
        <v>505</v>
      </c>
    </row>
    <row r="8000" spans="1:5" x14ac:dyDescent="0.55000000000000004">
      <c r="A8000" t="s">
        <v>8081</v>
      </c>
      <c r="B8000" t="s">
        <v>115</v>
      </c>
      <c r="C8000" s="2">
        <v>44414</v>
      </c>
      <c r="D8000" t="s">
        <v>26</v>
      </c>
      <c r="E8000">
        <v>1392</v>
      </c>
    </row>
    <row r="8001" spans="1:5" x14ac:dyDescent="0.55000000000000004">
      <c r="A8001" t="s">
        <v>8082</v>
      </c>
      <c r="B8001" t="s">
        <v>35</v>
      </c>
      <c r="C8001" s="2">
        <v>43858</v>
      </c>
      <c r="D8001" t="s">
        <v>26</v>
      </c>
      <c r="E8001">
        <v>2636</v>
      </c>
    </row>
    <row r="8002" spans="1:5" x14ac:dyDescent="0.55000000000000004">
      <c r="A8002" t="s">
        <v>8083</v>
      </c>
      <c r="B8002" t="s">
        <v>67</v>
      </c>
      <c r="C8002" s="2">
        <v>45069</v>
      </c>
      <c r="D8002" t="s">
        <v>26</v>
      </c>
      <c r="E8002">
        <v>2020</v>
      </c>
    </row>
    <row r="8003" spans="1:5" x14ac:dyDescent="0.55000000000000004">
      <c r="A8003" t="s">
        <v>8084</v>
      </c>
      <c r="B8003" t="s">
        <v>84</v>
      </c>
      <c r="C8003" s="2">
        <v>43267</v>
      </c>
      <c r="D8003" t="s">
        <v>26</v>
      </c>
      <c r="E8003">
        <v>1644</v>
      </c>
    </row>
    <row r="8004" spans="1:5" x14ac:dyDescent="0.55000000000000004">
      <c r="A8004" t="s">
        <v>8085</v>
      </c>
      <c r="B8004" t="s">
        <v>38</v>
      </c>
      <c r="C8004" s="2">
        <v>44536</v>
      </c>
      <c r="D8004" t="s">
        <v>26</v>
      </c>
      <c r="E8004">
        <v>742</v>
      </c>
    </row>
    <row r="8005" spans="1:5" x14ac:dyDescent="0.55000000000000004">
      <c r="A8005" t="s">
        <v>8086</v>
      </c>
      <c r="B8005" t="s">
        <v>105</v>
      </c>
      <c r="C8005" s="2">
        <v>43382</v>
      </c>
      <c r="D8005" t="s">
        <v>26</v>
      </c>
      <c r="E8005">
        <v>1671</v>
      </c>
    </row>
    <row r="8006" spans="1:5" x14ac:dyDescent="0.55000000000000004">
      <c r="A8006" t="s">
        <v>8087</v>
      </c>
      <c r="B8006" t="s">
        <v>32</v>
      </c>
      <c r="C8006" s="2">
        <v>44262</v>
      </c>
      <c r="D8006" t="s">
        <v>26</v>
      </c>
      <c r="E8006">
        <v>2596</v>
      </c>
    </row>
    <row r="8007" spans="1:5" x14ac:dyDescent="0.55000000000000004">
      <c r="A8007" t="s">
        <v>8088</v>
      </c>
      <c r="B8007" t="s">
        <v>99</v>
      </c>
      <c r="C8007" s="2">
        <v>43530</v>
      </c>
      <c r="D8007" t="s">
        <v>29</v>
      </c>
      <c r="E8007">
        <v>688</v>
      </c>
    </row>
    <row r="8008" spans="1:5" x14ac:dyDescent="0.55000000000000004">
      <c r="A8008" t="s">
        <v>8089</v>
      </c>
      <c r="B8008" t="s">
        <v>94</v>
      </c>
      <c r="C8008" s="2">
        <v>43637</v>
      </c>
      <c r="D8008" t="s">
        <v>26</v>
      </c>
      <c r="E8008">
        <v>2041</v>
      </c>
    </row>
    <row r="8009" spans="1:5" x14ac:dyDescent="0.55000000000000004">
      <c r="A8009" t="s">
        <v>8090</v>
      </c>
      <c r="B8009" t="s">
        <v>35</v>
      </c>
      <c r="C8009" s="2">
        <v>44231</v>
      </c>
      <c r="D8009" t="s">
        <v>26</v>
      </c>
      <c r="E8009">
        <v>557</v>
      </c>
    </row>
    <row r="8010" spans="1:5" x14ac:dyDescent="0.55000000000000004">
      <c r="A8010" t="s">
        <v>8091</v>
      </c>
      <c r="B8010" t="s">
        <v>137</v>
      </c>
      <c r="C8010" s="2">
        <v>44537</v>
      </c>
      <c r="D8010" t="s">
        <v>26</v>
      </c>
      <c r="E8010">
        <v>1576</v>
      </c>
    </row>
    <row r="8011" spans="1:5" x14ac:dyDescent="0.55000000000000004">
      <c r="A8011" t="s">
        <v>8092</v>
      </c>
      <c r="B8011" t="s">
        <v>35</v>
      </c>
      <c r="C8011" s="2">
        <v>44698</v>
      </c>
      <c r="D8011" t="s">
        <v>26</v>
      </c>
      <c r="E8011">
        <v>1063</v>
      </c>
    </row>
    <row r="8012" spans="1:5" x14ac:dyDescent="0.55000000000000004">
      <c r="A8012" t="s">
        <v>8093</v>
      </c>
      <c r="B8012" t="s">
        <v>41</v>
      </c>
      <c r="C8012" s="2">
        <v>44755</v>
      </c>
      <c r="D8012" t="s">
        <v>29</v>
      </c>
      <c r="E8012">
        <v>979</v>
      </c>
    </row>
    <row r="8013" spans="1:5" x14ac:dyDescent="0.55000000000000004">
      <c r="A8013" t="s">
        <v>8094</v>
      </c>
      <c r="B8013" t="s">
        <v>96</v>
      </c>
      <c r="C8013" s="2">
        <v>44646</v>
      </c>
      <c r="D8013" t="s">
        <v>26</v>
      </c>
      <c r="E8013">
        <v>2856</v>
      </c>
    </row>
    <row r="8014" spans="1:5" x14ac:dyDescent="0.55000000000000004">
      <c r="A8014" t="s">
        <v>8095</v>
      </c>
      <c r="B8014" t="s">
        <v>137</v>
      </c>
      <c r="C8014" s="2">
        <v>44803</v>
      </c>
      <c r="D8014" t="s">
        <v>29</v>
      </c>
      <c r="E8014">
        <v>2827</v>
      </c>
    </row>
    <row r="8015" spans="1:5" x14ac:dyDescent="0.55000000000000004">
      <c r="A8015" t="s">
        <v>8096</v>
      </c>
      <c r="B8015" t="s">
        <v>74</v>
      </c>
      <c r="C8015" s="2">
        <v>44231</v>
      </c>
      <c r="D8015" t="s">
        <v>29</v>
      </c>
      <c r="E8015">
        <v>1249</v>
      </c>
    </row>
    <row r="8016" spans="1:5" x14ac:dyDescent="0.55000000000000004">
      <c r="A8016" t="s">
        <v>8097</v>
      </c>
      <c r="B8016" t="s">
        <v>101</v>
      </c>
      <c r="C8016" s="2">
        <v>44275</v>
      </c>
      <c r="D8016" t="s">
        <v>29</v>
      </c>
      <c r="E8016">
        <v>1671</v>
      </c>
    </row>
    <row r="8017" spans="1:5" x14ac:dyDescent="0.55000000000000004">
      <c r="A8017" t="s">
        <v>8098</v>
      </c>
      <c r="B8017" t="s">
        <v>38</v>
      </c>
      <c r="C8017" s="2">
        <v>44846</v>
      </c>
      <c r="D8017" t="s">
        <v>29</v>
      </c>
      <c r="E8017">
        <v>203</v>
      </c>
    </row>
    <row r="8018" spans="1:5" x14ac:dyDescent="0.55000000000000004">
      <c r="A8018" t="s">
        <v>8099</v>
      </c>
      <c r="B8018" t="s">
        <v>78</v>
      </c>
      <c r="C8018" s="2">
        <v>45024</v>
      </c>
      <c r="D8018" t="s">
        <v>29</v>
      </c>
      <c r="E8018">
        <v>853</v>
      </c>
    </row>
    <row r="8019" spans="1:5" x14ac:dyDescent="0.55000000000000004">
      <c r="A8019" t="s">
        <v>8100</v>
      </c>
      <c r="B8019" t="s">
        <v>86</v>
      </c>
      <c r="C8019" s="2">
        <v>44239</v>
      </c>
      <c r="D8019" t="s">
        <v>29</v>
      </c>
      <c r="E8019">
        <v>1036</v>
      </c>
    </row>
    <row r="8020" spans="1:5" x14ac:dyDescent="0.55000000000000004">
      <c r="A8020" t="s">
        <v>8101</v>
      </c>
      <c r="B8020" t="s">
        <v>86</v>
      </c>
      <c r="C8020" s="2">
        <v>43365</v>
      </c>
      <c r="D8020" t="s">
        <v>29</v>
      </c>
      <c r="E8020">
        <v>1352</v>
      </c>
    </row>
    <row r="8021" spans="1:5" x14ac:dyDescent="0.55000000000000004">
      <c r="A8021" t="s">
        <v>8102</v>
      </c>
      <c r="B8021" t="s">
        <v>78</v>
      </c>
      <c r="C8021" s="2">
        <v>43734</v>
      </c>
      <c r="D8021" t="s">
        <v>29</v>
      </c>
      <c r="E8021">
        <v>1559</v>
      </c>
    </row>
    <row r="8022" spans="1:5" x14ac:dyDescent="0.55000000000000004">
      <c r="A8022" t="s">
        <v>8103</v>
      </c>
      <c r="B8022" t="s">
        <v>35</v>
      </c>
      <c r="C8022" s="2">
        <v>44709</v>
      </c>
      <c r="D8022" t="s">
        <v>29</v>
      </c>
      <c r="E8022">
        <v>1449</v>
      </c>
    </row>
    <row r="8023" spans="1:5" x14ac:dyDescent="0.55000000000000004">
      <c r="A8023" t="s">
        <v>8104</v>
      </c>
      <c r="B8023" t="s">
        <v>76</v>
      </c>
      <c r="C8023" s="2">
        <v>45571</v>
      </c>
      <c r="D8023" t="s">
        <v>26</v>
      </c>
      <c r="E8023">
        <v>2728</v>
      </c>
    </row>
    <row r="8024" spans="1:5" x14ac:dyDescent="0.55000000000000004">
      <c r="A8024" t="s">
        <v>8105</v>
      </c>
      <c r="B8024" t="s">
        <v>78</v>
      </c>
      <c r="C8024" s="2">
        <v>44562</v>
      </c>
      <c r="D8024" t="s">
        <v>26</v>
      </c>
      <c r="E8024">
        <v>1215</v>
      </c>
    </row>
    <row r="8025" spans="1:5" x14ac:dyDescent="0.55000000000000004">
      <c r="A8025" t="s">
        <v>8106</v>
      </c>
      <c r="B8025" t="s">
        <v>99</v>
      </c>
      <c r="C8025" s="2">
        <v>44402</v>
      </c>
      <c r="D8025" t="s">
        <v>29</v>
      </c>
      <c r="E8025">
        <v>2682</v>
      </c>
    </row>
    <row r="8026" spans="1:5" x14ac:dyDescent="0.55000000000000004">
      <c r="A8026" t="s">
        <v>8107</v>
      </c>
      <c r="B8026" t="s">
        <v>99</v>
      </c>
      <c r="C8026" s="2">
        <v>45223</v>
      </c>
      <c r="D8026" t="s">
        <v>26</v>
      </c>
      <c r="E8026">
        <v>1705</v>
      </c>
    </row>
    <row r="8027" spans="1:5" x14ac:dyDescent="0.55000000000000004">
      <c r="A8027" t="s">
        <v>8108</v>
      </c>
      <c r="B8027" t="s">
        <v>175</v>
      </c>
      <c r="C8027" s="2">
        <v>45491</v>
      </c>
      <c r="D8027" t="s">
        <v>26</v>
      </c>
      <c r="E8027">
        <v>1778</v>
      </c>
    </row>
    <row r="8028" spans="1:5" x14ac:dyDescent="0.55000000000000004">
      <c r="A8028" t="s">
        <v>8109</v>
      </c>
      <c r="B8028" t="s">
        <v>101</v>
      </c>
      <c r="C8028" s="2">
        <v>43530</v>
      </c>
      <c r="D8028" t="s">
        <v>29</v>
      </c>
      <c r="E8028">
        <v>984</v>
      </c>
    </row>
    <row r="8029" spans="1:5" x14ac:dyDescent="0.55000000000000004">
      <c r="A8029" t="s">
        <v>8110</v>
      </c>
      <c r="B8029" t="s">
        <v>72</v>
      </c>
      <c r="C8029" s="2">
        <v>42977</v>
      </c>
      <c r="D8029" t="s">
        <v>29</v>
      </c>
      <c r="E8029">
        <v>1936</v>
      </c>
    </row>
    <row r="8030" spans="1:5" x14ac:dyDescent="0.55000000000000004">
      <c r="A8030" t="s">
        <v>8111</v>
      </c>
      <c r="B8030" t="s">
        <v>86</v>
      </c>
      <c r="C8030" s="2">
        <v>43991</v>
      </c>
      <c r="D8030" t="s">
        <v>29</v>
      </c>
      <c r="E8030">
        <v>18</v>
      </c>
    </row>
    <row r="8031" spans="1:5" x14ac:dyDescent="0.55000000000000004">
      <c r="A8031" t="s">
        <v>8112</v>
      </c>
      <c r="B8031" t="s">
        <v>67</v>
      </c>
      <c r="C8031" s="2">
        <v>44656</v>
      </c>
      <c r="D8031" t="s">
        <v>26</v>
      </c>
      <c r="E8031">
        <v>651</v>
      </c>
    </row>
    <row r="8032" spans="1:5" x14ac:dyDescent="0.55000000000000004">
      <c r="A8032" t="s">
        <v>8113</v>
      </c>
      <c r="B8032" t="s">
        <v>118</v>
      </c>
      <c r="C8032" s="2">
        <v>45139</v>
      </c>
      <c r="D8032" t="s">
        <v>26</v>
      </c>
      <c r="E8032">
        <v>2690</v>
      </c>
    </row>
    <row r="8033" spans="1:5" x14ac:dyDescent="0.55000000000000004">
      <c r="A8033" t="s">
        <v>8114</v>
      </c>
      <c r="B8033" t="s">
        <v>175</v>
      </c>
      <c r="C8033" s="2">
        <v>44497</v>
      </c>
      <c r="D8033" t="s">
        <v>29</v>
      </c>
      <c r="E8033">
        <v>998</v>
      </c>
    </row>
    <row r="8034" spans="1:5" x14ac:dyDescent="0.55000000000000004">
      <c r="A8034" t="s">
        <v>8115</v>
      </c>
      <c r="B8034" t="s">
        <v>76</v>
      </c>
      <c r="C8034" s="2">
        <v>45229</v>
      </c>
      <c r="D8034" t="s">
        <v>29</v>
      </c>
      <c r="E8034">
        <v>2193</v>
      </c>
    </row>
    <row r="8035" spans="1:5" x14ac:dyDescent="0.55000000000000004">
      <c r="A8035" t="s">
        <v>8116</v>
      </c>
      <c r="B8035" t="s">
        <v>142</v>
      </c>
      <c r="C8035" s="2">
        <v>43646</v>
      </c>
      <c r="D8035" t="s">
        <v>26</v>
      </c>
      <c r="E8035">
        <v>2965</v>
      </c>
    </row>
    <row r="8036" spans="1:5" x14ac:dyDescent="0.55000000000000004">
      <c r="A8036" t="s">
        <v>8117</v>
      </c>
      <c r="B8036" t="s">
        <v>137</v>
      </c>
      <c r="C8036" s="2">
        <v>44717</v>
      </c>
      <c r="D8036" t="s">
        <v>29</v>
      </c>
      <c r="E8036">
        <v>244</v>
      </c>
    </row>
    <row r="8037" spans="1:5" x14ac:dyDescent="0.55000000000000004">
      <c r="A8037" t="s">
        <v>8118</v>
      </c>
      <c r="B8037" t="s">
        <v>86</v>
      </c>
      <c r="C8037" s="2">
        <v>44393</v>
      </c>
      <c r="D8037" t="s">
        <v>26</v>
      </c>
      <c r="E8037">
        <v>2440</v>
      </c>
    </row>
    <row r="8038" spans="1:5" x14ac:dyDescent="0.55000000000000004">
      <c r="A8038" t="s">
        <v>8119</v>
      </c>
      <c r="B8038" t="s">
        <v>105</v>
      </c>
      <c r="C8038" s="2">
        <v>44006</v>
      </c>
      <c r="D8038" t="s">
        <v>29</v>
      </c>
      <c r="E8038">
        <v>1642</v>
      </c>
    </row>
    <row r="8039" spans="1:5" x14ac:dyDescent="0.55000000000000004">
      <c r="A8039" t="s">
        <v>8120</v>
      </c>
      <c r="B8039" t="s">
        <v>15</v>
      </c>
      <c r="C8039" s="2">
        <v>43255</v>
      </c>
      <c r="D8039" t="s">
        <v>26</v>
      </c>
      <c r="E8039">
        <v>209</v>
      </c>
    </row>
    <row r="8040" spans="1:5" x14ac:dyDescent="0.55000000000000004">
      <c r="A8040" t="s">
        <v>8121</v>
      </c>
      <c r="B8040" t="s">
        <v>15</v>
      </c>
      <c r="C8040" s="2">
        <v>43320</v>
      </c>
      <c r="D8040" t="s">
        <v>29</v>
      </c>
      <c r="E8040">
        <v>705</v>
      </c>
    </row>
    <row r="8041" spans="1:5" x14ac:dyDescent="0.55000000000000004">
      <c r="A8041" t="s">
        <v>8122</v>
      </c>
      <c r="B8041" t="s">
        <v>118</v>
      </c>
      <c r="C8041" s="2">
        <v>44269</v>
      </c>
      <c r="D8041" t="s">
        <v>26</v>
      </c>
      <c r="E8041">
        <v>2854</v>
      </c>
    </row>
    <row r="8042" spans="1:5" x14ac:dyDescent="0.55000000000000004">
      <c r="A8042" t="s">
        <v>8123</v>
      </c>
      <c r="B8042" t="s">
        <v>15</v>
      </c>
      <c r="C8042" s="2">
        <v>43832</v>
      </c>
      <c r="D8042" t="s">
        <v>26</v>
      </c>
      <c r="E8042">
        <v>2007</v>
      </c>
    </row>
    <row r="8043" spans="1:5" x14ac:dyDescent="0.55000000000000004">
      <c r="A8043" t="s">
        <v>8124</v>
      </c>
      <c r="B8043" t="s">
        <v>72</v>
      </c>
      <c r="C8043" s="2">
        <v>44125</v>
      </c>
      <c r="D8043" t="s">
        <v>29</v>
      </c>
      <c r="E8043">
        <v>1104</v>
      </c>
    </row>
    <row r="8044" spans="1:5" x14ac:dyDescent="0.55000000000000004">
      <c r="A8044" t="s">
        <v>8125</v>
      </c>
      <c r="B8044" t="s">
        <v>35</v>
      </c>
      <c r="C8044" s="2">
        <v>44538</v>
      </c>
      <c r="D8044" t="s">
        <v>26</v>
      </c>
      <c r="E8044">
        <v>989</v>
      </c>
    </row>
    <row r="8045" spans="1:5" x14ac:dyDescent="0.55000000000000004">
      <c r="A8045" t="s">
        <v>8126</v>
      </c>
      <c r="B8045" t="s">
        <v>99</v>
      </c>
      <c r="C8045" s="2">
        <v>43583</v>
      </c>
      <c r="D8045" t="s">
        <v>26</v>
      </c>
      <c r="E8045">
        <v>1727</v>
      </c>
    </row>
    <row r="8046" spans="1:5" x14ac:dyDescent="0.55000000000000004">
      <c r="A8046" t="s">
        <v>8127</v>
      </c>
      <c r="B8046" t="s">
        <v>72</v>
      </c>
      <c r="C8046" s="2">
        <v>43603</v>
      </c>
      <c r="D8046" t="s">
        <v>29</v>
      </c>
      <c r="E8046">
        <v>450</v>
      </c>
    </row>
    <row r="8047" spans="1:5" x14ac:dyDescent="0.55000000000000004">
      <c r="A8047" t="s">
        <v>8128</v>
      </c>
      <c r="B8047" t="s">
        <v>86</v>
      </c>
      <c r="C8047" s="2">
        <v>42995</v>
      </c>
      <c r="D8047" t="s">
        <v>26</v>
      </c>
      <c r="E8047">
        <v>2822</v>
      </c>
    </row>
    <row r="8048" spans="1:5" x14ac:dyDescent="0.55000000000000004">
      <c r="A8048" t="s">
        <v>8129</v>
      </c>
      <c r="B8048" t="s">
        <v>41</v>
      </c>
      <c r="C8048" s="2">
        <v>43840</v>
      </c>
      <c r="D8048" t="s">
        <v>29</v>
      </c>
      <c r="E8048">
        <v>1406</v>
      </c>
    </row>
    <row r="8049" spans="1:5" x14ac:dyDescent="0.55000000000000004">
      <c r="A8049" t="s">
        <v>8130</v>
      </c>
      <c r="B8049" t="s">
        <v>14</v>
      </c>
      <c r="C8049" s="2">
        <v>44264</v>
      </c>
      <c r="D8049" t="s">
        <v>26</v>
      </c>
      <c r="E8049">
        <v>2303</v>
      </c>
    </row>
    <row r="8050" spans="1:5" x14ac:dyDescent="0.55000000000000004">
      <c r="A8050" t="s">
        <v>8131</v>
      </c>
      <c r="B8050" t="s">
        <v>115</v>
      </c>
      <c r="C8050" s="2">
        <v>43555</v>
      </c>
      <c r="D8050" t="s">
        <v>26</v>
      </c>
      <c r="E8050">
        <v>1406</v>
      </c>
    </row>
    <row r="8051" spans="1:5" x14ac:dyDescent="0.55000000000000004">
      <c r="A8051" t="s">
        <v>8132</v>
      </c>
      <c r="B8051" t="s">
        <v>63</v>
      </c>
      <c r="C8051" s="2">
        <v>43049</v>
      </c>
      <c r="D8051" t="s">
        <v>26</v>
      </c>
      <c r="E8051">
        <v>1900</v>
      </c>
    </row>
    <row r="8052" spans="1:5" x14ac:dyDescent="0.55000000000000004">
      <c r="A8052" t="s">
        <v>8133</v>
      </c>
      <c r="B8052" t="s">
        <v>32</v>
      </c>
      <c r="C8052" s="2">
        <v>44373</v>
      </c>
      <c r="D8052" t="s">
        <v>26</v>
      </c>
      <c r="E8052">
        <v>916</v>
      </c>
    </row>
    <row r="8053" spans="1:5" x14ac:dyDescent="0.55000000000000004">
      <c r="A8053" t="s">
        <v>8134</v>
      </c>
      <c r="B8053" t="s">
        <v>118</v>
      </c>
      <c r="C8053" s="2">
        <v>45479</v>
      </c>
      <c r="D8053" t="s">
        <v>29</v>
      </c>
      <c r="E8053">
        <v>770</v>
      </c>
    </row>
    <row r="8054" spans="1:5" x14ac:dyDescent="0.55000000000000004">
      <c r="A8054" t="s">
        <v>8135</v>
      </c>
      <c r="B8054" t="s">
        <v>74</v>
      </c>
      <c r="C8054" s="2">
        <v>44550</v>
      </c>
      <c r="D8054" t="s">
        <v>26</v>
      </c>
      <c r="E8054">
        <v>457</v>
      </c>
    </row>
    <row r="8055" spans="1:5" x14ac:dyDescent="0.55000000000000004">
      <c r="A8055" t="s">
        <v>8136</v>
      </c>
      <c r="B8055" t="s">
        <v>72</v>
      </c>
      <c r="C8055" s="2">
        <v>43406</v>
      </c>
      <c r="D8055" t="s">
        <v>29</v>
      </c>
      <c r="E8055">
        <v>2359</v>
      </c>
    </row>
    <row r="8056" spans="1:5" x14ac:dyDescent="0.55000000000000004">
      <c r="A8056" t="s">
        <v>8137</v>
      </c>
      <c r="B8056" t="s">
        <v>14</v>
      </c>
      <c r="C8056" s="2">
        <v>43479</v>
      </c>
      <c r="D8056" t="s">
        <v>26</v>
      </c>
      <c r="E8056">
        <v>1642</v>
      </c>
    </row>
    <row r="8057" spans="1:5" x14ac:dyDescent="0.55000000000000004">
      <c r="A8057" t="s">
        <v>8138</v>
      </c>
      <c r="B8057" t="s">
        <v>86</v>
      </c>
      <c r="C8057" s="2">
        <v>43295</v>
      </c>
      <c r="D8057" t="s">
        <v>29</v>
      </c>
      <c r="E8057">
        <v>1082</v>
      </c>
    </row>
    <row r="8058" spans="1:5" x14ac:dyDescent="0.55000000000000004">
      <c r="A8058" t="s">
        <v>8139</v>
      </c>
      <c r="B8058" t="s">
        <v>72</v>
      </c>
      <c r="C8058" s="2">
        <v>44046</v>
      </c>
      <c r="D8058" t="s">
        <v>29</v>
      </c>
      <c r="E8058">
        <v>2767</v>
      </c>
    </row>
    <row r="8059" spans="1:5" x14ac:dyDescent="0.55000000000000004">
      <c r="A8059" t="s">
        <v>8140</v>
      </c>
      <c r="B8059" t="s">
        <v>101</v>
      </c>
      <c r="C8059" s="2">
        <v>43292</v>
      </c>
      <c r="D8059" t="s">
        <v>29</v>
      </c>
      <c r="E8059">
        <v>454</v>
      </c>
    </row>
    <row r="8060" spans="1:5" x14ac:dyDescent="0.55000000000000004">
      <c r="A8060" t="s">
        <v>8141</v>
      </c>
      <c r="B8060" t="s">
        <v>41</v>
      </c>
      <c r="C8060" s="2">
        <v>43935</v>
      </c>
      <c r="D8060" t="s">
        <v>29</v>
      </c>
      <c r="E8060">
        <v>2031</v>
      </c>
    </row>
    <row r="8061" spans="1:5" x14ac:dyDescent="0.55000000000000004">
      <c r="A8061" t="s">
        <v>8142</v>
      </c>
      <c r="B8061" t="s">
        <v>63</v>
      </c>
      <c r="C8061" s="2">
        <v>43999</v>
      </c>
      <c r="D8061" t="s">
        <v>26</v>
      </c>
      <c r="E8061">
        <v>2269</v>
      </c>
    </row>
    <row r="8062" spans="1:5" x14ac:dyDescent="0.55000000000000004">
      <c r="A8062" t="s">
        <v>8143</v>
      </c>
      <c r="B8062" t="s">
        <v>41</v>
      </c>
      <c r="C8062" s="2">
        <v>44547</v>
      </c>
      <c r="D8062" t="s">
        <v>29</v>
      </c>
      <c r="E8062">
        <v>1198</v>
      </c>
    </row>
    <row r="8063" spans="1:5" x14ac:dyDescent="0.55000000000000004">
      <c r="A8063" t="s">
        <v>8144</v>
      </c>
      <c r="B8063" t="s">
        <v>111</v>
      </c>
      <c r="C8063" s="2">
        <v>43081</v>
      </c>
      <c r="D8063" t="s">
        <v>29</v>
      </c>
      <c r="E8063">
        <v>2588</v>
      </c>
    </row>
    <row r="8064" spans="1:5" x14ac:dyDescent="0.55000000000000004">
      <c r="A8064" t="s">
        <v>8145</v>
      </c>
      <c r="B8064" t="s">
        <v>118</v>
      </c>
      <c r="C8064" s="2">
        <v>45232</v>
      </c>
      <c r="D8064" t="s">
        <v>26</v>
      </c>
      <c r="E8064">
        <v>2472</v>
      </c>
    </row>
    <row r="8065" spans="1:5" x14ac:dyDescent="0.55000000000000004">
      <c r="A8065" t="s">
        <v>8146</v>
      </c>
      <c r="B8065" t="s">
        <v>175</v>
      </c>
      <c r="C8065" s="2">
        <v>43797</v>
      </c>
      <c r="D8065" t="s">
        <v>26</v>
      </c>
      <c r="E8065">
        <v>1327</v>
      </c>
    </row>
    <row r="8066" spans="1:5" x14ac:dyDescent="0.55000000000000004">
      <c r="A8066" t="s">
        <v>8147</v>
      </c>
      <c r="B8066" t="s">
        <v>115</v>
      </c>
      <c r="C8066" s="2">
        <v>43077</v>
      </c>
      <c r="D8066" t="s">
        <v>29</v>
      </c>
      <c r="E8066">
        <v>2726</v>
      </c>
    </row>
    <row r="8067" spans="1:5" x14ac:dyDescent="0.55000000000000004">
      <c r="A8067" t="s">
        <v>8148</v>
      </c>
      <c r="B8067" t="s">
        <v>94</v>
      </c>
      <c r="C8067" s="2">
        <v>44712</v>
      </c>
      <c r="D8067" t="s">
        <v>29</v>
      </c>
      <c r="E8067">
        <v>1464</v>
      </c>
    </row>
    <row r="8068" spans="1:5" x14ac:dyDescent="0.55000000000000004">
      <c r="A8068" t="s">
        <v>8149</v>
      </c>
      <c r="B8068" t="s">
        <v>111</v>
      </c>
      <c r="C8068" s="2">
        <v>44464</v>
      </c>
      <c r="D8068" t="s">
        <v>26</v>
      </c>
      <c r="E8068">
        <v>2820</v>
      </c>
    </row>
    <row r="8069" spans="1:5" x14ac:dyDescent="0.55000000000000004">
      <c r="A8069" t="s">
        <v>8150</v>
      </c>
      <c r="B8069" t="s">
        <v>15</v>
      </c>
      <c r="C8069" s="2">
        <v>44347</v>
      </c>
      <c r="D8069" t="s">
        <v>26</v>
      </c>
      <c r="E8069">
        <v>1711</v>
      </c>
    </row>
    <row r="8070" spans="1:5" x14ac:dyDescent="0.55000000000000004">
      <c r="A8070" t="s">
        <v>8151</v>
      </c>
      <c r="B8070" t="s">
        <v>72</v>
      </c>
      <c r="C8070" s="2">
        <v>43887</v>
      </c>
      <c r="D8070" t="s">
        <v>26</v>
      </c>
      <c r="E8070">
        <v>2227</v>
      </c>
    </row>
    <row r="8071" spans="1:5" x14ac:dyDescent="0.55000000000000004">
      <c r="A8071" t="s">
        <v>8152</v>
      </c>
      <c r="B8071" t="s">
        <v>76</v>
      </c>
      <c r="C8071" s="2">
        <v>43906</v>
      </c>
      <c r="D8071" t="s">
        <v>29</v>
      </c>
      <c r="E8071">
        <v>1866</v>
      </c>
    </row>
    <row r="8072" spans="1:5" x14ac:dyDescent="0.55000000000000004">
      <c r="A8072" t="s">
        <v>8153</v>
      </c>
      <c r="B8072" t="s">
        <v>151</v>
      </c>
      <c r="C8072" s="2">
        <v>43423</v>
      </c>
      <c r="D8072" t="s">
        <v>29</v>
      </c>
      <c r="E8072">
        <v>1024</v>
      </c>
    </row>
    <row r="8073" spans="1:5" x14ac:dyDescent="0.55000000000000004">
      <c r="A8073" t="s">
        <v>8154</v>
      </c>
      <c r="B8073" t="s">
        <v>101</v>
      </c>
      <c r="C8073" s="2">
        <v>43112</v>
      </c>
      <c r="D8073" t="s">
        <v>26</v>
      </c>
      <c r="E8073">
        <v>355</v>
      </c>
    </row>
    <row r="8074" spans="1:5" x14ac:dyDescent="0.55000000000000004">
      <c r="A8074" t="s">
        <v>8155</v>
      </c>
      <c r="B8074" t="s">
        <v>38</v>
      </c>
      <c r="C8074" s="2">
        <v>44481</v>
      </c>
      <c r="D8074" t="s">
        <v>29</v>
      </c>
      <c r="E8074">
        <v>1534</v>
      </c>
    </row>
    <row r="8075" spans="1:5" x14ac:dyDescent="0.55000000000000004">
      <c r="A8075" t="s">
        <v>8156</v>
      </c>
      <c r="B8075" t="s">
        <v>140</v>
      </c>
      <c r="C8075" s="2">
        <v>44389</v>
      </c>
      <c r="D8075" t="s">
        <v>26</v>
      </c>
      <c r="E8075">
        <v>1742</v>
      </c>
    </row>
    <row r="8076" spans="1:5" x14ac:dyDescent="0.55000000000000004">
      <c r="A8076" t="s">
        <v>8157</v>
      </c>
      <c r="B8076" t="s">
        <v>84</v>
      </c>
      <c r="C8076" s="2">
        <v>43124</v>
      </c>
      <c r="D8076" t="s">
        <v>26</v>
      </c>
      <c r="E8076">
        <v>1737</v>
      </c>
    </row>
    <row r="8077" spans="1:5" x14ac:dyDescent="0.55000000000000004">
      <c r="A8077" t="s">
        <v>8158</v>
      </c>
      <c r="B8077" t="s">
        <v>14</v>
      </c>
      <c r="C8077" s="2">
        <v>43969</v>
      </c>
      <c r="D8077" t="s">
        <v>29</v>
      </c>
      <c r="E8077">
        <v>2153</v>
      </c>
    </row>
    <row r="8078" spans="1:5" x14ac:dyDescent="0.55000000000000004">
      <c r="A8078" t="s">
        <v>8159</v>
      </c>
      <c r="B8078" t="s">
        <v>115</v>
      </c>
      <c r="C8078" s="2">
        <v>43963</v>
      </c>
      <c r="D8078" t="s">
        <v>29</v>
      </c>
      <c r="E8078">
        <v>1606</v>
      </c>
    </row>
    <row r="8079" spans="1:5" x14ac:dyDescent="0.55000000000000004">
      <c r="A8079" t="s">
        <v>8160</v>
      </c>
      <c r="B8079" t="s">
        <v>105</v>
      </c>
      <c r="C8079" s="2">
        <v>42945</v>
      </c>
      <c r="D8079" t="s">
        <v>26</v>
      </c>
      <c r="E8079">
        <v>1736</v>
      </c>
    </row>
    <row r="8080" spans="1:5" x14ac:dyDescent="0.55000000000000004">
      <c r="A8080" t="s">
        <v>8161</v>
      </c>
      <c r="B8080" t="s">
        <v>23</v>
      </c>
      <c r="C8080" s="2">
        <v>44310</v>
      </c>
      <c r="D8080" t="s">
        <v>26</v>
      </c>
      <c r="E8080">
        <v>2471</v>
      </c>
    </row>
    <row r="8081" spans="1:5" x14ac:dyDescent="0.55000000000000004">
      <c r="A8081" t="s">
        <v>8162</v>
      </c>
      <c r="B8081" t="s">
        <v>175</v>
      </c>
      <c r="C8081" s="2">
        <v>45233</v>
      </c>
      <c r="D8081" t="s">
        <v>26</v>
      </c>
      <c r="E8081">
        <v>82</v>
      </c>
    </row>
    <row r="8082" spans="1:5" x14ac:dyDescent="0.55000000000000004">
      <c r="A8082" t="s">
        <v>8163</v>
      </c>
      <c r="B8082" t="s">
        <v>137</v>
      </c>
      <c r="C8082" s="2">
        <v>44428</v>
      </c>
      <c r="D8082" t="s">
        <v>29</v>
      </c>
      <c r="E8082">
        <v>302</v>
      </c>
    </row>
    <row r="8083" spans="1:5" x14ac:dyDescent="0.55000000000000004">
      <c r="A8083" t="s">
        <v>8164</v>
      </c>
      <c r="B8083" t="s">
        <v>140</v>
      </c>
      <c r="C8083" s="2">
        <v>44442</v>
      </c>
      <c r="D8083" t="s">
        <v>29</v>
      </c>
      <c r="E8083">
        <v>242</v>
      </c>
    </row>
    <row r="8084" spans="1:5" x14ac:dyDescent="0.55000000000000004">
      <c r="A8084" t="s">
        <v>8165</v>
      </c>
      <c r="B8084" t="s">
        <v>156</v>
      </c>
      <c r="C8084" s="2">
        <v>43604</v>
      </c>
      <c r="D8084" t="s">
        <v>26</v>
      </c>
      <c r="E8084">
        <v>2917</v>
      </c>
    </row>
    <row r="8085" spans="1:5" x14ac:dyDescent="0.55000000000000004">
      <c r="A8085" t="s">
        <v>8166</v>
      </c>
      <c r="B8085" t="s">
        <v>111</v>
      </c>
      <c r="C8085" s="2">
        <v>44393</v>
      </c>
      <c r="D8085" t="s">
        <v>26</v>
      </c>
      <c r="E8085">
        <v>512</v>
      </c>
    </row>
    <row r="8086" spans="1:5" x14ac:dyDescent="0.55000000000000004">
      <c r="A8086" t="s">
        <v>8167</v>
      </c>
      <c r="B8086" t="s">
        <v>38</v>
      </c>
      <c r="C8086" s="2">
        <v>44688</v>
      </c>
      <c r="D8086" t="s">
        <v>29</v>
      </c>
      <c r="E8086">
        <v>932</v>
      </c>
    </row>
    <row r="8087" spans="1:5" x14ac:dyDescent="0.55000000000000004">
      <c r="A8087" t="s">
        <v>8168</v>
      </c>
      <c r="B8087" t="s">
        <v>38</v>
      </c>
      <c r="C8087" s="2">
        <v>44035</v>
      </c>
      <c r="D8087" t="s">
        <v>26</v>
      </c>
      <c r="E8087">
        <v>881</v>
      </c>
    </row>
    <row r="8088" spans="1:5" x14ac:dyDescent="0.55000000000000004">
      <c r="A8088" t="s">
        <v>8169</v>
      </c>
      <c r="B8088" t="s">
        <v>84</v>
      </c>
      <c r="C8088" s="2">
        <v>44517</v>
      </c>
      <c r="D8088" t="s">
        <v>26</v>
      </c>
      <c r="E8088">
        <v>2175</v>
      </c>
    </row>
    <row r="8089" spans="1:5" x14ac:dyDescent="0.55000000000000004">
      <c r="A8089" t="s">
        <v>8170</v>
      </c>
      <c r="B8089" t="s">
        <v>99</v>
      </c>
      <c r="C8089" s="2">
        <v>45639</v>
      </c>
      <c r="D8089" t="s">
        <v>26</v>
      </c>
      <c r="E8089">
        <v>1263</v>
      </c>
    </row>
    <row r="8090" spans="1:5" x14ac:dyDescent="0.55000000000000004">
      <c r="A8090" t="s">
        <v>8171</v>
      </c>
      <c r="B8090" t="s">
        <v>67</v>
      </c>
      <c r="C8090" s="2">
        <v>44875</v>
      </c>
      <c r="D8090" t="s">
        <v>26</v>
      </c>
      <c r="E8090">
        <v>2693</v>
      </c>
    </row>
    <row r="8091" spans="1:5" x14ac:dyDescent="0.55000000000000004">
      <c r="A8091" t="s">
        <v>8172</v>
      </c>
      <c r="B8091" t="s">
        <v>156</v>
      </c>
      <c r="C8091" s="2">
        <v>44248</v>
      </c>
      <c r="D8091" t="s">
        <v>26</v>
      </c>
      <c r="E8091">
        <v>234</v>
      </c>
    </row>
    <row r="8092" spans="1:5" x14ac:dyDescent="0.55000000000000004">
      <c r="A8092" t="s">
        <v>8173</v>
      </c>
      <c r="B8092" t="s">
        <v>72</v>
      </c>
      <c r="C8092" s="2">
        <v>43673</v>
      </c>
      <c r="D8092" t="s">
        <v>26</v>
      </c>
      <c r="E8092">
        <v>1641</v>
      </c>
    </row>
    <row r="8093" spans="1:5" x14ac:dyDescent="0.55000000000000004">
      <c r="A8093" t="s">
        <v>8174</v>
      </c>
      <c r="B8093" t="s">
        <v>156</v>
      </c>
      <c r="C8093" s="2">
        <v>43667</v>
      </c>
      <c r="D8093" t="s">
        <v>26</v>
      </c>
      <c r="E8093">
        <v>2783</v>
      </c>
    </row>
    <row r="8094" spans="1:5" x14ac:dyDescent="0.55000000000000004">
      <c r="A8094" t="s">
        <v>8175</v>
      </c>
      <c r="B8094" t="s">
        <v>72</v>
      </c>
      <c r="C8094" s="2">
        <v>44049</v>
      </c>
      <c r="D8094" t="s">
        <v>26</v>
      </c>
      <c r="E8094">
        <v>2958</v>
      </c>
    </row>
    <row r="8095" spans="1:5" x14ac:dyDescent="0.55000000000000004">
      <c r="A8095" t="s">
        <v>8176</v>
      </c>
      <c r="B8095" t="s">
        <v>63</v>
      </c>
      <c r="C8095" s="2">
        <v>43136</v>
      </c>
      <c r="D8095" t="s">
        <v>26</v>
      </c>
      <c r="E8095">
        <v>1045</v>
      </c>
    </row>
    <row r="8096" spans="1:5" x14ac:dyDescent="0.55000000000000004">
      <c r="A8096" t="s">
        <v>8177</v>
      </c>
      <c r="B8096" t="s">
        <v>72</v>
      </c>
      <c r="C8096" s="2">
        <v>43882</v>
      </c>
      <c r="D8096" t="s">
        <v>29</v>
      </c>
      <c r="E8096">
        <v>1519</v>
      </c>
    </row>
    <row r="8097" spans="1:5" x14ac:dyDescent="0.55000000000000004">
      <c r="A8097" t="s">
        <v>8178</v>
      </c>
      <c r="B8097" t="s">
        <v>15</v>
      </c>
      <c r="C8097" s="2">
        <v>43692</v>
      </c>
      <c r="D8097" t="s">
        <v>29</v>
      </c>
      <c r="E8097">
        <v>756</v>
      </c>
    </row>
    <row r="8098" spans="1:5" x14ac:dyDescent="0.55000000000000004">
      <c r="A8098" t="s">
        <v>8179</v>
      </c>
      <c r="B8098" t="s">
        <v>32</v>
      </c>
      <c r="C8098" s="2">
        <v>43961</v>
      </c>
      <c r="D8098" t="s">
        <v>26</v>
      </c>
      <c r="E8098">
        <v>2942</v>
      </c>
    </row>
    <row r="8099" spans="1:5" x14ac:dyDescent="0.55000000000000004">
      <c r="A8099" t="s">
        <v>8180</v>
      </c>
      <c r="B8099" t="s">
        <v>111</v>
      </c>
      <c r="C8099" s="2">
        <v>43516</v>
      </c>
      <c r="D8099" t="s">
        <v>26</v>
      </c>
      <c r="E8099">
        <v>1168</v>
      </c>
    </row>
    <row r="8100" spans="1:5" x14ac:dyDescent="0.55000000000000004">
      <c r="A8100" t="s">
        <v>8181</v>
      </c>
      <c r="B8100" t="s">
        <v>35</v>
      </c>
      <c r="C8100" s="2">
        <v>44360</v>
      </c>
      <c r="D8100" t="s">
        <v>26</v>
      </c>
      <c r="E8100">
        <v>348</v>
      </c>
    </row>
    <row r="8101" spans="1:5" x14ac:dyDescent="0.55000000000000004">
      <c r="A8101" t="s">
        <v>8182</v>
      </c>
      <c r="B8101" t="s">
        <v>67</v>
      </c>
      <c r="C8101" s="2">
        <v>44297</v>
      </c>
      <c r="D8101" t="s">
        <v>29</v>
      </c>
      <c r="E8101">
        <v>1018</v>
      </c>
    </row>
    <row r="8102" spans="1:5" x14ac:dyDescent="0.55000000000000004">
      <c r="A8102" t="s">
        <v>8183</v>
      </c>
      <c r="B8102" t="s">
        <v>140</v>
      </c>
      <c r="C8102" s="2">
        <v>44176</v>
      </c>
      <c r="D8102" t="s">
        <v>29</v>
      </c>
      <c r="E8102">
        <v>921</v>
      </c>
    </row>
    <row r="8103" spans="1:5" x14ac:dyDescent="0.55000000000000004">
      <c r="A8103" t="s">
        <v>8184</v>
      </c>
      <c r="B8103" t="s">
        <v>137</v>
      </c>
      <c r="C8103" s="2">
        <v>43812</v>
      </c>
      <c r="D8103" t="s">
        <v>26</v>
      </c>
      <c r="E8103">
        <v>2808</v>
      </c>
    </row>
    <row r="8104" spans="1:5" x14ac:dyDescent="0.55000000000000004">
      <c r="A8104" t="s">
        <v>8185</v>
      </c>
      <c r="B8104" t="s">
        <v>35</v>
      </c>
      <c r="C8104" s="2">
        <v>44152</v>
      </c>
      <c r="D8104" t="s">
        <v>29</v>
      </c>
      <c r="E8104">
        <v>1981</v>
      </c>
    </row>
    <row r="8105" spans="1:5" x14ac:dyDescent="0.55000000000000004">
      <c r="A8105" t="s">
        <v>8186</v>
      </c>
      <c r="B8105" t="s">
        <v>115</v>
      </c>
      <c r="C8105" s="2">
        <v>44305</v>
      </c>
      <c r="D8105" t="s">
        <v>26</v>
      </c>
      <c r="E8105">
        <v>1313</v>
      </c>
    </row>
    <row r="8106" spans="1:5" x14ac:dyDescent="0.55000000000000004">
      <c r="A8106" t="s">
        <v>8187</v>
      </c>
      <c r="B8106" t="s">
        <v>14</v>
      </c>
      <c r="C8106" s="2">
        <v>43752</v>
      </c>
      <c r="D8106" t="s">
        <v>26</v>
      </c>
      <c r="E8106">
        <v>2798</v>
      </c>
    </row>
    <row r="8107" spans="1:5" x14ac:dyDescent="0.55000000000000004">
      <c r="A8107" t="s">
        <v>8188</v>
      </c>
      <c r="B8107" t="s">
        <v>23</v>
      </c>
      <c r="C8107" s="2">
        <v>44065</v>
      </c>
      <c r="D8107" t="s">
        <v>29</v>
      </c>
      <c r="E8107">
        <v>2477</v>
      </c>
    </row>
    <row r="8108" spans="1:5" x14ac:dyDescent="0.55000000000000004">
      <c r="A8108" t="s">
        <v>8189</v>
      </c>
      <c r="B8108" t="s">
        <v>72</v>
      </c>
      <c r="C8108" s="2">
        <v>43715</v>
      </c>
      <c r="D8108" t="s">
        <v>29</v>
      </c>
      <c r="E8108">
        <v>263</v>
      </c>
    </row>
    <row r="8109" spans="1:5" x14ac:dyDescent="0.55000000000000004">
      <c r="A8109" t="s">
        <v>8190</v>
      </c>
      <c r="B8109" t="s">
        <v>15</v>
      </c>
      <c r="C8109" s="2">
        <v>43354</v>
      </c>
      <c r="D8109" t="s">
        <v>26</v>
      </c>
      <c r="E8109">
        <v>2085</v>
      </c>
    </row>
    <row r="8110" spans="1:5" x14ac:dyDescent="0.55000000000000004">
      <c r="A8110" t="s">
        <v>8191</v>
      </c>
      <c r="B8110" t="s">
        <v>115</v>
      </c>
      <c r="C8110" s="2">
        <v>43792</v>
      </c>
      <c r="D8110" t="s">
        <v>26</v>
      </c>
      <c r="E8110">
        <v>2807</v>
      </c>
    </row>
    <row r="8111" spans="1:5" x14ac:dyDescent="0.55000000000000004">
      <c r="A8111" t="s">
        <v>8192</v>
      </c>
      <c r="B8111" t="s">
        <v>32</v>
      </c>
      <c r="C8111" s="2">
        <v>44001</v>
      </c>
      <c r="D8111" t="s">
        <v>26</v>
      </c>
      <c r="E8111">
        <v>2994</v>
      </c>
    </row>
    <row r="8112" spans="1:5" x14ac:dyDescent="0.55000000000000004">
      <c r="A8112" t="s">
        <v>8193</v>
      </c>
      <c r="B8112" t="s">
        <v>67</v>
      </c>
      <c r="C8112" s="2">
        <v>45469</v>
      </c>
      <c r="D8112" t="s">
        <v>26</v>
      </c>
      <c r="E8112">
        <v>2533</v>
      </c>
    </row>
    <row r="8113" spans="1:5" x14ac:dyDescent="0.55000000000000004">
      <c r="A8113" t="s">
        <v>8194</v>
      </c>
      <c r="B8113" t="s">
        <v>72</v>
      </c>
      <c r="C8113" s="2">
        <v>43237</v>
      </c>
      <c r="D8113" t="s">
        <v>26</v>
      </c>
      <c r="E8113">
        <v>2431</v>
      </c>
    </row>
    <row r="8114" spans="1:5" x14ac:dyDescent="0.55000000000000004">
      <c r="A8114" t="s">
        <v>8195</v>
      </c>
      <c r="B8114" t="s">
        <v>99</v>
      </c>
      <c r="C8114" s="2">
        <v>44474</v>
      </c>
      <c r="D8114" t="s">
        <v>29</v>
      </c>
      <c r="E8114">
        <v>2323</v>
      </c>
    </row>
    <row r="8115" spans="1:5" x14ac:dyDescent="0.55000000000000004">
      <c r="A8115" t="s">
        <v>8196</v>
      </c>
      <c r="B8115" t="s">
        <v>94</v>
      </c>
      <c r="C8115" s="2">
        <v>43775</v>
      </c>
      <c r="D8115" t="s">
        <v>29</v>
      </c>
      <c r="E8115">
        <v>1813</v>
      </c>
    </row>
    <row r="8116" spans="1:5" x14ac:dyDescent="0.55000000000000004">
      <c r="A8116" t="s">
        <v>8197</v>
      </c>
      <c r="B8116" t="s">
        <v>151</v>
      </c>
      <c r="C8116" s="2">
        <v>44308</v>
      </c>
      <c r="D8116" t="s">
        <v>29</v>
      </c>
      <c r="E8116">
        <v>1782</v>
      </c>
    </row>
    <row r="8117" spans="1:5" x14ac:dyDescent="0.55000000000000004">
      <c r="A8117" t="s">
        <v>8198</v>
      </c>
      <c r="B8117" t="s">
        <v>118</v>
      </c>
      <c r="C8117" s="2">
        <v>45448</v>
      </c>
      <c r="D8117" t="s">
        <v>26</v>
      </c>
      <c r="E8117">
        <v>110</v>
      </c>
    </row>
    <row r="8118" spans="1:5" x14ac:dyDescent="0.55000000000000004">
      <c r="A8118" t="s">
        <v>8199</v>
      </c>
      <c r="B8118" t="s">
        <v>86</v>
      </c>
      <c r="C8118" s="2">
        <v>43197</v>
      </c>
      <c r="D8118" t="s">
        <v>29</v>
      </c>
      <c r="E8118">
        <v>1996</v>
      </c>
    </row>
    <row r="8119" spans="1:5" x14ac:dyDescent="0.55000000000000004">
      <c r="A8119" t="s">
        <v>8200</v>
      </c>
      <c r="B8119" t="s">
        <v>14</v>
      </c>
      <c r="C8119" s="2">
        <v>43822</v>
      </c>
      <c r="D8119" t="s">
        <v>29</v>
      </c>
      <c r="E8119">
        <v>1418</v>
      </c>
    </row>
    <row r="8120" spans="1:5" x14ac:dyDescent="0.55000000000000004">
      <c r="A8120" t="s">
        <v>8201</v>
      </c>
      <c r="B8120" t="s">
        <v>76</v>
      </c>
      <c r="C8120" s="2">
        <v>43797</v>
      </c>
      <c r="D8120" t="s">
        <v>29</v>
      </c>
      <c r="E8120">
        <v>804</v>
      </c>
    </row>
    <row r="8121" spans="1:5" x14ac:dyDescent="0.55000000000000004">
      <c r="A8121" t="s">
        <v>8202</v>
      </c>
      <c r="B8121" t="s">
        <v>142</v>
      </c>
      <c r="C8121" s="2">
        <v>43437</v>
      </c>
      <c r="D8121" t="s">
        <v>29</v>
      </c>
      <c r="E8121">
        <v>1301</v>
      </c>
    </row>
    <row r="8122" spans="1:5" x14ac:dyDescent="0.55000000000000004">
      <c r="A8122" t="s">
        <v>8203</v>
      </c>
      <c r="B8122" t="s">
        <v>142</v>
      </c>
      <c r="C8122" s="2">
        <v>42938</v>
      </c>
      <c r="D8122" t="s">
        <v>26</v>
      </c>
      <c r="E8122">
        <v>24</v>
      </c>
    </row>
    <row r="8123" spans="1:5" x14ac:dyDescent="0.55000000000000004">
      <c r="A8123" t="s">
        <v>8204</v>
      </c>
      <c r="B8123" t="s">
        <v>72</v>
      </c>
      <c r="C8123" s="2">
        <v>44506</v>
      </c>
      <c r="D8123" t="s">
        <v>29</v>
      </c>
      <c r="E8123">
        <v>2132</v>
      </c>
    </row>
    <row r="8124" spans="1:5" x14ac:dyDescent="0.55000000000000004">
      <c r="A8124" t="s">
        <v>8205</v>
      </c>
      <c r="B8124" t="s">
        <v>63</v>
      </c>
      <c r="C8124" s="2">
        <v>44064</v>
      </c>
      <c r="D8124" t="s">
        <v>29</v>
      </c>
      <c r="E8124">
        <v>2273</v>
      </c>
    </row>
    <row r="8125" spans="1:5" x14ac:dyDescent="0.55000000000000004">
      <c r="A8125" t="s">
        <v>8206</v>
      </c>
      <c r="B8125" t="s">
        <v>32</v>
      </c>
      <c r="C8125" s="2">
        <v>43901</v>
      </c>
      <c r="D8125" t="s">
        <v>26</v>
      </c>
      <c r="E8125">
        <v>1268</v>
      </c>
    </row>
    <row r="8126" spans="1:5" x14ac:dyDescent="0.55000000000000004">
      <c r="A8126" t="s">
        <v>8207</v>
      </c>
      <c r="B8126" t="s">
        <v>35</v>
      </c>
      <c r="C8126" s="2">
        <v>44540</v>
      </c>
      <c r="D8126" t="s">
        <v>26</v>
      </c>
      <c r="E8126">
        <v>696</v>
      </c>
    </row>
    <row r="8127" spans="1:5" x14ac:dyDescent="0.55000000000000004">
      <c r="A8127" t="s">
        <v>8208</v>
      </c>
      <c r="B8127" t="s">
        <v>32</v>
      </c>
      <c r="C8127" s="2">
        <v>44478</v>
      </c>
      <c r="D8127" t="s">
        <v>29</v>
      </c>
      <c r="E8127">
        <v>1853</v>
      </c>
    </row>
    <row r="8128" spans="1:5" x14ac:dyDescent="0.55000000000000004">
      <c r="A8128" t="s">
        <v>8209</v>
      </c>
      <c r="B8128" t="s">
        <v>118</v>
      </c>
      <c r="C8128" s="2">
        <v>45090</v>
      </c>
      <c r="D8128" t="s">
        <v>26</v>
      </c>
      <c r="E8128">
        <v>973</v>
      </c>
    </row>
    <row r="8129" spans="1:5" x14ac:dyDescent="0.55000000000000004">
      <c r="A8129" t="s">
        <v>8210</v>
      </c>
      <c r="B8129" t="s">
        <v>35</v>
      </c>
      <c r="C8129" s="2">
        <v>43928</v>
      </c>
      <c r="D8129" t="s">
        <v>29</v>
      </c>
      <c r="E8129">
        <v>34</v>
      </c>
    </row>
    <row r="8130" spans="1:5" x14ac:dyDescent="0.55000000000000004">
      <c r="A8130" t="s">
        <v>8211</v>
      </c>
      <c r="B8130" t="s">
        <v>32</v>
      </c>
      <c r="C8130" s="2">
        <v>44252</v>
      </c>
      <c r="D8130" t="s">
        <v>29</v>
      </c>
      <c r="E8130">
        <v>1671</v>
      </c>
    </row>
    <row r="8131" spans="1:5" x14ac:dyDescent="0.55000000000000004">
      <c r="A8131" t="s">
        <v>8212</v>
      </c>
      <c r="B8131" t="s">
        <v>38</v>
      </c>
      <c r="C8131" s="2">
        <v>44771</v>
      </c>
      <c r="D8131" t="s">
        <v>29</v>
      </c>
      <c r="E8131">
        <v>1218</v>
      </c>
    </row>
    <row r="8132" spans="1:5" x14ac:dyDescent="0.55000000000000004">
      <c r="A8132" t="s">
        <v>8213</v>
      </c>
      <c r="B8132" t="s">
        <v>35</v>
      </c>
      <c r="C8132" s="2">
        <v>43971</v>
      </c>
      <c r="D8132" t="s">
        <v>26</v>
      </c>
      <c r="E8132">
        <v>983</v>
      </c>
    </row>
    <row r="8133" spans="1:5" x14ac:dyDescent="0.55000000000000004">
      <c r="A8133" t="s">
        <v>8214</v>
      </c>
      <c r="B8133" t="s">
        <v>137</v>
      </c>
      <c r="C8133" s="2">
        <v>45202</v>
      </c>
      <c r="D8133" t="s">
        <v>26</v>
      </c>
      <c r="E8133">
        <v>182</v>
      </c>
    </row>
    <row r="8134" spans="1:5" x14ac:dyDescent="0.55000000000000004">
      <c r="A8134" t="s">
        <v>8215</v>
      </c>
      <c r="B8134" t="s">
        <v>74</v>
      </c>
      <c r="C8134" s="2">
        <v>43415</v>
      </c>
      <c r="D8134" t="s">
        <v>26</v>
      </c>
      <c r="E8134">
        <v>1828</v>
      </c>
    </row>
    <row r="8135" spans="1:5" x14ac:dyDescent="0.55000000000000004">
      <c r="A8135" t="s">
        <v>8216</v>
      </c>
      <c r="B8135" t="s">
        <v>105</v>
      </c>
      <c r="C8135" s="2">
        <v>43063</v>
      </c>
      <c r="D8135" t="s">
        <v>26</v>
      </c>
      <c r="E8135">
        <v>1284</v>
      </c>
    </row>
    <row r="8136" spans="1:5" x14ac:dyDescent="0.55000000000000004">
      <c r="A8136" t="s">
        <v>8217</v>
      </c>
      <c r="B8136" t="s">
        <v>115</v>
      </c>
      <c r="C8136" s="2">
        <v>43416</v>
      </c>
      <c r="D8136" t="s">
        <v>26</v>
      </c>
      <c r="E8136">
        <v>1150</v>
      </c>
    </row>
    <row r="8137" spans="1:5" x14ac:dyDescent="0.55000000000000004">
      <c r="A8137" t="s">
        <v>8218</v>
      </c>
      <c r="B8137" t="s">
        <v>101</v>
      </c>
      <c r="C8137" s="2">
        <v>43040</v>
      </c>
      <c r="D8137" t="s">
        <v>26</v>
      </c>
      <c r="E8137">
        <v>2234</v>
      </c>
    </row>
    <row r="8138" spans="1:5" x14ac:dyDescent="0.55000000000000004">
      <c r="A8138" t="s">
        <v>8219</v>
      </c>
      <c r="B8138" t="s">
        <v>156</v>
      </c>
      <c r="C8138" s="2">
        <v>43244</v>
      </c>
      <c r="D8138" t="s">
        <v>26</v>
      </c>
      <c r="E8138">
        <v>11</v>
      </c>
    </row>
    <row r="8139" spans="1:5" x14ac:dyDescent="0.55000000000000004">
      <c r="A8139" t="s">
        <v>8220</v>
      </c>
      <c r="B8139" t="s">
        <v>115</v>
      </c>
      <c r="C8139" s="2">
        <v>43398</v>
      </c>
      <c r="D8139" t="s">
        <v>26</v>
      </c>
      <c r="E8139">
        <v>1481</v>
      </c>
    </row>
    <row r="8140" spans="1:5" x14ac:dyDescent="0.55000000000000004">
      <c r="A8140" t="s">
        <v>8221</v>
      </c>
      <c r="B8140" t="s">
        <v>137</v>
      </c>
      <c r="C8140" s="2">
        <v>44432</v>
      </c>
      <c r="D8140" t="s">
        <v>26</v>
      </c>
      <c r="E8140">
        <v>129</v>
      </c>
    </row>
    <row r="8141" spans="1:5" x14ac:dyDescent="0.55000000000000004">
      <c r="A8141" t="s">
        <v>8222</v>
      </c>
      <c r="B8141" t="s">
        <v>118</v>
      </c>
      <c r="C8141" s="2">
        <v>45719</v>
      </c>
      <c r="D8141" t="s">
        <v>26</v>
      </c>
      <c r="E8141">
        <v>2806</v>
      </c>
    </row>
    <row r="8142" spans="1:5" x14ac:dyDescent="0.55000000000000004">
      <c r="A8142" t="s">
        <v>8223</v>
      </c>
      <c r="B8142" t="s">
        <v>78</v>
      </c>
      <c r="C8142" s="2">
        <v>43780</v>
      </c>
      <c r="D8142" t="s">
        <v>29</v>
      </c>
      <c r="E8142">
        <v>2142</v>
      </c>
    </row>
    <row r="8143" spans="1:5" x14ac:dyDescent="0.55000000000000004">
      <c r="A8143" t="s">
        <v>8224</v>
      </c>
      <c r="B8143" t="s">
        <v>115</v>
      </c>
      <c r="C8143" s="2">
        <v>44399</v>
      </c>
      <c r="D8143" t="s">
        <v>29</v>
      </c>
      <c r="E8143">
        <v>910</v>
      </c>
    </row>
    <row r="8144" spans="1:5" x14ac:dyDescent="0.55000000000000004">
      <c r="A8144" t="s">
        <v>8225</v>
      </c>
      <c r="B8144" t="s">
        <v>140</v>
      </c>
      <c r="C8144" s="2">
        <v>42935</v>
      </c>
      <c r="D8144" t="s">
        <v>26</v>
      </c>
      <c r="E8144">
        <v>2201</v>
      </c>
    </row>
    <row r="8145" spans="1:5" x14ac:dyDescent="0.55000000000000004">
      <c r="A8145" t="s">
        <v>8226</v>
      </c>
      <c r="B8145" t="s">
        <v>23</v>
      </c>
      <c r="C8145" s="2">
        <v>44007</v>
      </c>
      <c r="D8145" t="s">
        <v>29</v>
      </c>
      <c r="E8145">
        <v>1005</v>
      </c>
    </row>
    <row r="8146" spans="1:5" x14ac:dyDescent="0.55000000000000004">
      <c r="A8146" t="s">
        <v>8227</v>
      </c>
      <c r="B8146" t="s">
        <v>78</v>
      </c>
      <c r="C8146" s="2">
        <v>45024</v>
      </c>
      <c r="D8146" t="s">
        <v>26</v>
      </c>
      <c r="E8146">
        <v>1908</v>
      </c>
    </row>
    <row r="8147" spans="1:5" x14ac:dyDescent="0.55000000000000004">
      <c r="A8147" t="s">
        <v>8228</v>
      </c>
      <c r="B8147" t="s">
        <v>78</v>
      </c>
      <c r="C8147" s="2">
        <v>45556</v>
      </c>
      <c r="D8147" t="s">
        <v>29</v>
      </c>
      <c r="E8147">
        <v>2654</v>
      </c>
    </row>
    <row r="8148" spans="1:5" x14ac:dyDescent="0.55000000000000004">
      <c r="A8148" t="s">
        <v>8229</v>
      </c>
      <c r="B8148" t="s">
        <v>96</v>
      </c>
      <c r="C8148" s="2">
        <v>45220</v>
      </c>
      <c r="D8148" t="s">
        <v>29</v>
      </c>
      <c r="E8148">
        <v>754</v>
      </c>
    </row>
    <row r="8149" spans="1:5" x14ac:dyDescent="0.55000000000000004">
      <c r="A8149" t="s">
        <v>8230</v>
      </c>
      <c r="B8149" t="s">
        <v>142</v>
      </c>
      <c r="C8149" s="2">
        <v>43004</v>
      </c>
      <c r="D8149" t="s">
        <v>26</v>
      </c>
      <c r="E8149">
        <v>1448</v>
      </c>
    </row>
    <row r="8150" spans="1:5" x14ac:dyDescent="0.55000000000000004">
      <c r="A8150" t="s">
        <v>8231</v>
      </c>
      <c r="B8150" t="s">
        <v>72</v>
      </c>
      <c r="C8150" s="2">
        <v>43082</v>
      </c>
      <c r="D8150" t="s">
        <v>29</v>
      </c>
      <c r="E8150">
        <v>2862</v>
      </c>
    </row>
    <row r="8151" spans="1:5" x14ac:dyDescent="0.55000000000000004">
      <c r="A8151" t="s">
        <v>8232</v>
      </c>
      <c r="B8151" t="s">
        <v>41</v>
      </c>
      <c r="C8151" s="2">
        <v>44035</v>
      </c>
      <c r="D8151" t="s">
        <v>26</v>
      </c>
      <c r="E8151">
        <v>1941</v>
      </c>
    </row>
    <row r="8152" spans="1:5" x14ac:dyDescent="0.55000000000000004">
      <c r="A8152" t="s">
        <v>8233</v>
      </c>
      <c r="B8152" t="s">
        <v>14</v>
      </c>
      <c r="C8152" s="2">
        <v>43852</v>
      </c>
      <c r="D8152" t="s">
        <v>26</v>
      </c>
      <c r="E8152">
        <v>1776</v>
      </c>
    </row>
    <row r="8153" spans="1:5" x14ac:dyDescent="0.55000000000000004">
      <c r="A8153" t="s">
        <v>8234</v>
      </c>
      <c r="B8153" t="s">
        <v>63</v>
      </c>
      <c r="C8153" s="2">
        <v>43467</v>
      </c>
      <c r="D8153" t="s">
        <v>29</v>
      </c>
      <c r="E8153">
        <v>112</v>
      </c>
    </row>
    <row r="8154" spans="1:5" x14ac:dyDescent="0.55000000000000004">
      <c r="A8154" t="s">
        <v>8235</v>
      </c>
      <c r="B8154" t="s">
        <v>137</v>
      </c>
      <c r="C8154" s="2">
        <v>45649</v>
      </c>
      <c r="D8154" t="s">
        <v>29</v>
      </c>
      <c r="E8154">
        <v>426</v>
      </c>
    </row>
    <row r="8155" spans="1:5" x14ac:dyDescent="0.55000000000000004">
      <c r="A8155" t="s">
        <v>8236</v>
      </c>
      <c r="B8155" t="s">
        <v>105</v>
      </c>
      <c r="C8155" s="2">
        <v>43360</v>
      </c>
      <c r="D8155" t="s">
        <v>29</v>
      </c>
      <c r="E8155">
        <v>26</v>
      </c>
    </row>
    <row r="8156" spans="1:5" x14ac:dyDescent="0.55000000000000004">
      <c r="A8156" t="s">
        <v>8237</v>
      </c>
      <c r="B8156" t="s">
        <v>67</v>
      </c>
      <c r="C8156" s="2">
        <v>44986</v>
      </c>
      <c r="D8156" t="s">
        <v>26</v>
      </c>
      <c r="E8156">
        <v>451</v>
      </c>
    </row>
    <row r="8157" spans="1:5" x14ac:dyDescent="0.55000000000000004">
      <c r="A8157" t="s">
        <v>8238</v>
      </c>
      <c r="B8157" t="s">
        <v>94</v>
      </c>
      <c r="C8157" s="2">
        <v>43795</v>
      </c>
      <c r="D8157" t="s">
        <v>29</v>
      </c>
      <c r="E8157">
        <v>2632</v>
      </c>
    </row>
    <row r="8158" spans="1:5" x14ac:dyDescent="0.55000000000000004">
      <c r="A8158" t="s">
        <v>8239</v>
      </c>
      <c r="B8158" t="s">
        <v>156</v>
      </c>
      <c r="C8158" s="2">
        <v>43657</v>
      </c>
      <c r="D8158" t="s">
        <v>29</v>
      </c>
      <c r="E8158">
        <v>1488</v>
      </c>
    </row>
    <row r="8159" spans="1:5" x14ac:dyDescent="0.55000000000000004">
      <c r="A8159" t="s">
        <v>8240</v>
      </c>
      <c r="B8159" t="s">
        <v>140</v>
      </c>
      <c r="C8159" s="2">
        <v>44157</v>
      </c>
      <c r="D8159" t="s">
        <v>29</v>
      </c>
      <c r="E8159">
        <v>580</v>
      </c>
    </row>
    <row r="8160" spans="1:5" x14ac:dyDescent="0.55000000000000004">
      <c r="A8160" t="s">
        <v>8241</v>
      </c>
      <c r="B8160" t="s">
        <v>32</v>
      </c>
      <c r="C8160" s="2">
        <v>44640</v>
      </c>
      <c r="D8160" t="s">
        <v>29</v>
      </c>
      <c r="E8160">
        <v>1386</v>
      </c>
    </row>
    <row r="8161" spans="1:5" x14ac:dyDescent="0.55000000000000004">
      <c r="A8161" t="s">
        <v>8242</v>
      </c>
      <c r="B8161" t="s">
        <v>101</v>
      </c>
      <c r="C8161" s="2">
        <v>43152</v>
      </c>
      <c r="D8161" t="s">
        <v>26</v>
      </c>
      <c r="E8161">
        <v>1857</v>
      </c>
    </row>
    <row r="8162" spans="1:5" x14ac:dyDescent="0.55000000000000004">
      <c r="A8162" t="s">
        <v>8243</v>
      </c>
      <c r="B8162" t="s">
        <v>140</v>
      </c>
      <c r="C8162" s="2">
        <v>43937</v>
      </c>
      <c r="D8162" t="s">
        <v>26</v>
      </c>
      <c r="E8162">
        <v>967</v>
      </c>
    </row>
    <row r="8163" spans="1:5" x14ac:dyDescent="0.55000000000000004">
      <c r="A8163" t="s">
        <v>8244</v>
      </c>
      <c r="B8163" t="s">
        <v>15</v>
      </c>
      <c r="C8163" s="2">
        <v>43830</v>
      </c>
      <c r="D8163" t="s">
        <v>26</v>
      </c>
      <c r="E8163">
        <v>2818</v>
      </c>
    </row>
    <row r="8164" spans="1:5" x14ac:dyDescent="0.55000000000000004">
      <c r="A8164" t="s">
        <v>8245</v>
      </c>
      <c r="B8164" t="s">
        <v>118</v>
      </c>
      <c r="C8164" s="2">
        <v>45518</v>
      </c>
      <c r="D8164" t="s">
        <v>29</v>
      </c>
      <c r="E8164">
        <v>579</v>
      </c>
    </row>
    <row r="8165" spans="1:5" x14ac:dyDescent="0.55000000000000004">
      <c r="A8165" t="s">
        <v>8246</v>
      </c>
      <c r="B8165" t="s">
        <v>76</v>
      </c>
      <c r="C8165" s="2">
        <v>45209</v>
      </c>
      <c r="D8165" t="s">
        <v>26</v>
      </c>
      <c r="E8165">
        <v>2394</v>
      </c>
    </row>
    <row r="8166" spans="1:5" x14ac:dyDescent="0.55000000000000004">
      <c r="A8166" t="s">
        <v>8247</v>
      </c>
      <c r="B8166" t="s">
        <v>86</v>
      </c>
      <c r="C8166" s="2">
        <v>43737</v>
      </c>
      <c r="D8166" t="s">
        <v>26</v>
      </c>
      <c r="E8166">
        <v>550</v>
      </c>
    </row>
    <row r="8167" spans="1:5" x14ac:dyDescent="0.55000000000000004">
      <c r="A8167" t="s">
        <v>8248</v>
      </c>
      <c r="B8167" t="s">
        <v>78</v>
      </c>
      <c r="C8167" s="2">
        <v>45111</v>
      </c>
      <c r="D8167" t="s">
        <v>29</v>
      </c>
      <c r="E8167">
        <v>1804</v>
      </c>
    </row>
    <row r="8168" spans="1:5" x14ac:dyDescent="0.55000000000000004">
      <c r="A8168" t="s">
        <v>8249</v>
      </c>
      <c r="B8168" t="s">
        <v>99</v>
      </c>
      <c r="C8168" s="2">
        <v>44362</v>
      </c>
      <c r="D8168" t="s">
        <v>26</v>
      </c>
      <c r="E8168">
        <v>1524</v>
      </c>
    </row>
    <row r="8169" spans="1:5" x14ac:dyDescent="0.55000000000000004">
      <c r="A8169" t="s">
        <v>8250</v>
      </c>
      <c r="B8169" t="s">
        <v>86</v>
      </c>
      <c r="C8169" s="2">
        <v>43929</v>
      </c>
      <c r="D8169" t="s">
        <v>26</v>
      </c>
      <c r="E8169">
        <v>1879</v>
      </c>
    </row>
    <row r="8170" spans="1:5" x14ac:dyDescent="0.55000000000000004">
      <c r="A8170" t="s">
        <v>8251</v>
      </c>
      <c r="B8170" t="s">
        <v>115</v>
      </c>
      <c r="C8170" s="2">
        <v>43317</v>
      </c>
      <c r="D8170" t="s">
        <v>29</v>
      </c>
      <c r="E8170">
        <v>1173</v>
      </c>
    </row>
    <row r="8171" spans="1:5" x14ac:dyDescent="0.55000000000000004">
      <c r="A8171" t="s">
        <v>8252</v>
      </c>
      <c r="B8171" t="s">
        <v>175</v>
      </c>
      <c r="C8171" s="2">
        <v>43656</v>
      </c>
      <c r="D8171" t="s">
        <v>26</v>
      </c>
      <c r="E8171">
        <v>2987</v>
      </c>
    </row>
    <row r="8172" spans="1:5" x14ac:dyDescent="0.55000000000000004">
      <c r="A8172" t="s">
        <v>8253</v>
      </c>
      <c r="B8172" t="s">
        <v>72</v>
      </c>
      <c r="C8172" s="2">
        <v>43362</v>
      </c>
      <c r="D8172" t="s">
        <v>29</v>
      </c>
      <c r="E8172">
        <v>2732</v>
      </c>
    </row>
    <row r="8173" spans="1:5" x14ac:dyDescent="0.55000000000000004">
      <c r="A8173" t="s">
        <v>8254</v>
      </c>
      <c r="B8173" t="s">
        <v>101</v>
      </c>
      <c r="C8173" s="2">
        <v>43057</v>
      </c>
      <c r="D8173" t="s">
        <v>29</v>
      </c>
      <c r="E8173">
        <v>1217</v>
      </c>
    </row>
    <row r="8174" spans="1:5" x14ac:dyDescent="0.55000000000000004">
      <c r="A8174" t="s">
        <v>8255</v>
      </c>
      <c r="B8174" t="s">
        <v>137</v>
      </c>
      <c r="C8174" s="2">
        <v>45067</v>
      </c>
      <c r="D8174" t="s">
        <v>29</v>
      </c>
      <c r="E8174">
        <v>720</v>
      </c>
    </row>
    <row r="8175" spans="1:5" x14ac:dyDescent="0.55000000000000004">
      <c r="A8175" t="s">
        <v>8256</v>
      </c>
      <c r="B8175" t="s">
        <v>96</v>
      </c>
      <c r="C8175" s="2">
        <v>45203</v>
      </c>
      <c r="D8175" t="s">
        <v>26</v>
      </c>
      <c r="E8175">
        <v>2979</v>
      </c>
    </row>
    <row r="8176" spans="1:5" x14ac:dyDescent="0.55000000000000004">
      <c r="A8176" t="s">
        <v>8257</v>
      </c>
      <c r="B8176" t="s">
        <v>151</v>
      </c>
      <c r="C8176" s="2">
        <v>42918</v>
      </c>
      <c r="D8176" t="s">
        <v>29</v>
      </c>
      <c r="E8176">
        <v>2785</v>
      </c>
    </row>
    <row r="8177" spans="1:5" x14ac:dyDescent="0.55000000000000004">
      <c r="A8177" t="s">
        <v>8258</v>
      </c>
      <c r="B8177" t="s">
        <v>115</v>
      </c>
      <c r="C8177" s="2">
        <v>43063</v>
      </c>
      <c r="D8177" t="s">
        <v>29</v>
      </c>
      <c r="E8177">
        <v>1704</v>
      </c>
    </row>
    <row r="8178" spans="1:5" x14ac:dyDescent="0.55000000000000004">
      <c r="A8178" t="s">
        <v>8259</v>
      </c>
      <c r="B8178" t="s">
        <v>118</v>
      </c>
      <c r="C8178" s="2">
        <v>43862</v>
      </c>
      <c r="D8178" t="s">
        <v>29</v>
      </c>
      <c r="E8178">
        <v>713</v>
      </c>
    </row>
    <row r="8179" spans="1:5" x14ac:dyDescent="0.55000000000000004">
      <c r="A8179" t="s">
        <v>8260</v>
      </c>
      <c r="B8179" t="s">
        <v>35</v>
      </c>
      <c r="C8179" s="2">
        <v>44040</v>
      </c>
      <c r="D8179" t="s">
        <v>29</v>
      </c>
      <c r="E8179">
        <v>760</v>
      </c>
    </row>
    <row r="8180" spans="1:5" x14ac:dyDescent="0.55000000000000004">
      <c r="A8180" t="s">
        <v>8261</v>
      </c>
      <c r="B8180" t="s">
        <v>156</v>
      </c>
      <c r="C8180" s="2">
        <v>43964</v>
      </c>
      <c r="D8180" t="s">
        <v>26</v>
      </c>
      <c r="E8180">
        <v>461</v>
      </c>
    </row>
    <row r="8181" spans="1:5" x14ac:dyDescent="0.55000000000000004">
      <c r="A8181" t="s">
        <v>8262</v>
      </c>
      <c r="B8181" t="s">
        <v>32</v>
      </c>
      <c r="C8181" s="2">
        <v>44643</v>
      </c>
      <c r="D8181" t="s">
        <v>29</v>
      </c>
      <c r="E8181">
        <v>848</v>
      </c>
    </row>
    <row r="8182" spans="1:5" x14ac:dyDescent="0.55000000000000004">
      <c r="A8182" t="s">
        <v>8263</v>
      </c>
      <c r="B8182" t="s">
        <v>94</v>
      </c>
      <c r="C8182" s="2">
        <v>45168</v>
      </c>
      <c r="D8182" t="s">
        <v>29</v>
      </c>
      <c r="E8182">
        <v>1962</v>
      </c>
    </row>
    <row r="8183" spans="1:5" x14ac:dyDescent="0.55000000000000004">
      <c r="A8183" t="s">
        <v>8264</v>
      </c>
      <c r="B8183" t="s">
        <v>14</v>
      </c>
      <c r="C8183" s="2">
        <v>43429</v>
      </c>
      <c r="D8183" t="s">
        <v>29</v>
      </c>
      <c r="E8183">
        <v>1282</v>
      </c>
    </row>
    <row r="8184" spans="1:5" x14ac:dyDescent="0.55000000000000004">
      <c r="A8184" t="s">
        <v>8265</v>
      </c>
      <c r="B8184" t="s">
        <v>101</v>
      </c>
      <c r="C8184" s="2">
        <v>44020</v>
      </c>
      <c r="D8184" t="s">
        <v>29</v>
      </c>
      <c r="E8184">
        <v>2429</v>
      </c>
    </row>
    <row r="8185" spans="1:5" x14ac:dyDescent="0.55000000000000004">
      <c r="A8185" t="s">
        <v>8266</v>
      </c>
      <c r="B8185" t="s">
        <v>67</v>
      </c>
      <c r="C8185" s="2">
        <v>45444</v>
      </c>
      <c r="D8185" t="s">
        <v>26</v>
      </c>
      <c r="E8185">
        <v>886</v>
      </c>
    </row>
    <row r="8186" spans="1:5" x14ac:dyDescent="0.55000000000000004">
      <c r="A8186" t="s">
        <v>8267</v>
      </c>
      <c r="B8186" t="s">
        <v>101</v>
      </c>
      <c r="C8186" s="2">
        <v>44045</v>
      </c>
      <c r="D8186" t="s">
        <v>26</v>
      </c>
      <c r="E8186">
        <v>12</v>
      </c>
    </row>
    <row r="8187" spans="1:5" x14ac:dyDescent="0.55000000000000004">
      <c r="A8187" t="s">
        <v>8268</v>
      </c>
      <c r="B8187" t="s">
        <v>14</v>
      </c>
      <c r="C8187" s="2">
        <v>43486</v>
      </c>
      <c r="D8187" t="s">
        <v>26</v>
      </c>
      <c r="E8187">
        <v>1992</v>
      </c>
    </row>
    <row r="8188" spans="1:5" x14ac:dyDescent="0.55000000000000004">
      <c r="A8188" t="s">
        <v>8269</v>
      </c>
      <c r="B8188" t="s">
        <v>38</v>
      </c>
      <c r="C8188" s="2">
        <v>44297</v>
      </c>
      <c r="D8188" t="s">
        <v>29</v>
      </c>
      <c r="E8188">
        <v>2985</v>
      </c>
    </row>
    <row r="8189" spans="1:5" x14ac:dyDescent="0.55000000000000004">
      <c r="A8189" t="s">
        <v>8270</v>
      </c>
      <c r="B8189" t="s">
        <v>63</v>
      </c>
      <c r="C8189" s="2">
        <v>44330</v>
      </c>
      <c r="D8189" t="s">
        <v>26</v>
      </c>
      <c r="E8189">
        <v>1411</v>
      </c>
    </row>
    <row r="8190" spans="1:5" x14ac:dyDescent="0.55000000000000004">
      <c r="A8190" t="s">
        <v>8271</v>
      </c>
      <c r="B8190" t="s">
        <v>23</v>
      </c>
      <c r="C8190" s="2">
        <v>44201</v>
      </c>
      <c r="D8190" t="s">
        <v>26</v>
      </c>
      <c r="E8190">
        <v>2895</v>
      </c>
    </row>
    <row r="8191" spans="1:5" x14ac:dyDescent="0.55000000000000004">
      <c r="A8191" t="s">
        <v>8272</v>
      </c>
      <c r="B8191" t="s">
        <v>32</v>
      </c>
      <c r="C8191" s="2">
        <v>44063</v>
      </c>
      <c r="D8191" t="s">
        <v>26</v>
      </c>
      <c r="E8191">
        <v>1976</v>
      </c>
    </row>
    <row r="8192" spans="1:5" x14ac:dyDescent="0.55000000000000004">
      <c r="A8192" t="s">
        <v>8273</v>
      </c>
      <c r="B8192" t="s">
        <v>142</v>
      </c>
      <c r="C8192" s="2">
        <v>43702</v>
      </c>
      <c r="D8192" t="s">
        <v>29</v>
      </c>
      <c r="E8192">
        <v>2450</v>
      </c>
    </row>
    <row r="8193" spans="1:5" x14ac:dyDescent="0.55000000000000004">
      <c r="A8193" t="s">
        <v>8274</v>
      </c>
      <c r="B8193" t="s">
        <v>63</v>
      </c>
      <c r="C8193" s="2">
        <v>43490</v>
      </c>
      <c r="D8193" t="s">
        <v>26</v>
      </c>
      <c r="E8193">
        <v>178</v>
      </c>
    </row>
    <row r="8194" spans="1:5" x14ac:dyDescent="0.55000000000000004">
      <c r="A8194" t="s">
        <v>8275</v>
      </c>
      <c r="B8194" t="s">
        <v>84</v>
      </c>
      <c r="C8194" s="2">
        <v>43019</v>
      </c>
      <c r="D8194" t="s">
        <v>29</v>
      </c>
      <c r="E8194">
        <v>2808</v>
      </c>
    </row>
    <row r="8195" spans="1:5" x14ac:dyDescent="0.55000000000000004">
      <c r="A8195" t="s">
        <v>8276</v>
      </c>
      <c r="B8195" t="s">
        <v>72</v>
      </c>
      <c r="C8195" s="2">
        <v>44102</v>
      </c>
      <c r="D8195" t="s">
        <v>26</v>
      </c>
      <c r="E8195">
        <v>335</v>
      </c>
    </row>
    <row r="8196" spans="1:5" x14ac:dyDescent="0.55000000000000004">
      <c r="A8196" t="s">
        <v>8277</v>
      </c>
      <c r="B8196" t="s">
        <v>99</v>
      </c>
      <c r="C8196" s="2">
        <v>45316</v>
      </c>
      <c r="D8196" t="s">
        <v>26</v>
      </c>
      <c r="E8196">
        <v>525</v>
      </c>
    </row>
    <row r="8197" spans="1:5" x14ac:dyDescent="0.55000000000000004">
      <c r="A8197" t="s">
        <v>8278</v>
      </c>
      <c r="B8197" t="s">
        <v>67</v>
      </c>
      <c r="C8197" s="2">
        <v>44108</v>
      </c>
      <c r="D8197" t="s">
        <v>29</v>
      </c>
      <c r="E8197">
        <v>1965</v>
      </c>
    </row>
    <row r="8198" spans="1:5" x14ac:dyDescent="0.55000000000000004">
      <c r="A8198" t="s">
        <v>8279</v>
      </c>
      <c r="B8198" t="s">
        <v>115</v>
      </c>
      <c r="C8198" s="2">
        <v>43979</v>
      </c>
      <c r="D8198" t="s">
        <v>26</v>
      </c>
      <c r="E8198">
        <v>83</v>
      </c>
    </row>
    <row r="8199" spans="1:5" x14ac:dyDescent="0.55000000000000004">
      <c r="A8199" t="s">
        <v>8280</v>
      </c>
      <c r="B8199" t="s">
        <v>74</v>
      </c>
      <c r="C8199" s="2">
        <v>44015</v>
      </c>
      <c r="D8199" t="s">
        <v>26</v>
      </c>
      <c r="E8199">
        <v>1828</v>
      </c>
    </row>
    <row r="8200" spans="1:5" x14ac:dyDescent="0.55000000000000004">
      <c r="A8200" t="s">
        <v>8281</v>
      </c>
      <c r="B8200" t="s">
        <v>41</v>
      </c>
      <c r="C8200" s="2">
        <v>44651</v>
      </c>
      <c r="D8200" t="s">
        <v>26</v>
      </c>
      <c r="E8200">
        <v>1967</v>
      </c>
    </row>
    <row r="8201" spans="1:5" x14ac:dyDescent="0.55000000000000004">
      <c r="A8201" t="s">
        <v>8282</v>
      </c>
      <c r="B8201" t="s">
        <v>111</v>
      </c>
      <c r="C8201" s="2">
        <v>44303</v>
      </c>
      <c r="D8201" t="s">
        <v>29</v>
      </c>
      <c r="E8201">
        <v>2153</v>
      </c>
    </row>
    <row r="8202" spans="1:5" x14ac:dyDescent="0.55000000000000004">
      <c r="A8202" t="s">
        <v>8283</v>
      </c>
      <c r="B8202" t="s">
        <v>32</v>
      </c>
      <c r="C8202" s="2">
        <v>44897</v>
      </c>
      <c r="D8202" t="s">
        <v>29</v>
      </c>
      <c r="E8202">
        <v>2361</v>
      </c>
    </row>
    <row r="8203" spans="1:5" x14ac:dyDescent="0.55000000000000004">
      <c r="A8203" t="s">
        <v>8284</v>
      </c>
      <c r="B8203" t="s">
        <v>96</v>
      </c>
      <c r="C8203" s="2">
        <v>44632</v>
      </c>
      <c r="D8203" t="s">
        <v>29</v>
      </c>
      <c r="E8203">
        <v>2557</v>
      </c>
    </row>
    <row r="8204" spans="1:5" x14ac:dyDescent="0.55000000000000004">
      <c r="A8204" t="s">
        <v>8285</v>
      </c>
      <c r="B8204" t="s">
        <v>32</v>
      </c>
      <c r="C8204" s="2">
        <v>43947</v>
      </c>
      <c r="D8204" t="s">
        <v>29</v>
      </c>
      <c r="E8204">
        <v>660</v>
      </c>
    </row>
    <row r="8205" spans="1:5" x14ac:dyDescent="0.55000000000000004">
      <c r="A8205" t="s">
        <v>8286</v>
      </c>
      <c r="B8205" t="s">
        <v>76</v>
      </c>
      <c r="C8205" s="2">
        <v>44018</v>
      </c>
      <c r="D8205" t="s">
        <v>26</v>
      </c>
      <c r="E8205">
        <v>2008</v>
      </c>
    </row>
    <row r="8206" spans="1:5" x14ac:dyDescent="0.55000000000000004">
      <c r="A8206" t="s">
        <v>8287</v>
      </c>
      <c r="B8206" t="s">
        <v>115</v>
      </c>
      <c r="C8206" s="2">
        <v>43143</v>
      </c>
      <c r="D8206" t="s">
        <v>29</v>
      </c>
      <c r="E8206">
        <v>2237</v>
      </c>
    </row>
    <row r="8207" spans="1:5" x14ac:dyDescent="0.55000000000000004">
      <c r="A8207" t="s">
        <v>8288</v>
      </c>
      <c r="B8207" t="s">
        <v>76</v>
      </c>
      <c r="C8207" s="2">
        <v>45142</v>
      </c>
      <c r="D8207" t="s">
        <v>29</v>
      </c>
      <c r="E8207">
        <v>1710</v>
      </c>
    </row>
    <row r="8208" spans="1:5" x14ac:dyDescent="0.55000000000000004">
      <c r="A8208" t="s">
        <v>8289</v>
      </c>
      <c r="B8208" t="s">
        <v>86</v>
      </c>
      <c r="C8208" s="2">
        <v>43975</v>
      </c>
      <c r="D8208" t="s">
        <v>26</v>
      </c>
      <c r="E8208">
        <v>2264</v>
      </c>
    </row>
    <row r="8209" spans="1:5" x14ac:dyDescent="0.55000000000000004">
      <c r="A8209" t="s">
        <v>8290</v>
      </c>
      <c r="B8209" t="s">
        <v>32</v>
      </c>
      <c r="C8209" s="2">
        <v>44925</v>
      </c>
      <c r="D8209" t="s">
        <v>26</v>
      </c>
      <c r="E8209">
        <v>38</v>
      </c>
    </row>
    <row r="8210" spans="1:5" x14ac:dyDescent="0.55000000000000004">
      <c r="A8210" t="s">
        <v>8291</v>
      </c>
      <c r="B8210" t="s">
        <v>140</v>
      </c>
      <c r="C8210" s="2">
        <v>43074</v>
      </c>
      <c r="D8210" t="s">
        <v>29</v>
      </c>
      <c r="E8210">
        <v>865</v>
      </c>
    </row>
    <row r="8211" spans="1:5" x14ac:dyDescent="0.55000000000000004">
      <c r="A8211" t="s">
        <v>8292</v>
      </c>
      <c r="B8211" t="s">
        <v>35</v>
      </c>
      <c r="C8211" s="2">
        <v>44472</v>
      </c>
      <c r="D8211" t="s">
        <v>29</v>
      </c>
      <c r="E8211">
        <v>996</v>
      </c>
    </row>
    <row r="8212" spans="1:5" x14ac:dyDescent="0.55000000000000004">
      <c r="A8212" t="s">
        <v>8293</v>
      </c>
      <c r="B8212" t="s">
        <v>115</v>
      </c>
      <c r="C8212" s="2">
        <v>43752</v>
      </c>
      <c r="D8212" t="s">
        <v>26</v>
      </c>
      <c r="E8212">
        <v>385</v>
      </c>
    </row>
    <row r="8213" spans="1:5" x14ac:dyDescent="0.55000000000000004">
      <c r="A8213" t="s">
        <v>8294</v>
      </c>
      <c r="B8213" t="s">
        <v>105</v>
      </c>
      <c r="C8213" s="2">
        <v>44138</v>
      </c>
      <c r="D8213" t="s">
        <v>29</v>
      </c>
      <c r="E8213">
        <v>1501</v>
      </c>
    </row>
    <row r="8214" spans="1:5" x14ac:dyDescent="0.55000000000000004">
      <c r="A8214" t="s">
        <v>8295</v>
      </c>
      <c r="B8214" t="s">
        <v>175</v>
      </c>
      <c r="C8214" s="2">
        <v>44909</v>
      </c>
      <c r="D8214" t="s">
        <v>29</v>
      </c>
      <c r="E8214">
        <v>729</v>
      </c>
    </row>
    <row r="8215" spans="1:5" x14ac:dyDescent="0.55000000000000004">
      <c r="A8215" t="s">
        <v>8296</v>
      </c>
      <c r="B8215" t="s">
        <v>78</v>
      </c>
      <c r="C8215" s="2">
        <v>45163</v>
      </c>
      <c r="D8215" t="s">
        <v>26</v>
      </c>
      <c r="E8215">
        <v>1714</v>
      </c>
    </row>
    <row r="8216" spans="1:5" x14ac:dyDescent="0.55000000000000004">
      <c r="A8216" t="s">
        <v>8297</v>
      </c>
      <c r="B8216" t="s">
        <v>32</v>
      </c>
      <c r="C8216" s="2">
        <v>44455</v>
      </c>
      <c r="D8216" t="s">
        <v>29</v>
      </c>
      <c r="E8216">
        <v>892</v>
      </c>
    </row>
    <row r="8217" spans="1:5" x14ac:dyDescent="0.55000000000000004">
      <c r="A8217" t="s">
        <v>8298</v>
      </c>
      <c r="B8217" t="s">
        <v>96</v>
      </c>
      <c r="C8217" s="2">
        <v>45762</v>
      </c>
      <c r="D8217" t="s">
        <v>26</v>
      </c>
      <c r="E8217">
        <v>363</v>
      </c>
    </row>
    <row r="8218" spans="1:5" x14ac:dyDescent="0.55000000000000004">
      <c r="A8218" t="s">
        <v>8299</v>
      </c>
      <c r="B8218" t="s">
        <v>23</v>
      </c>
      <c r="C8218" s="2">
        <v>44263</v>
      </c>
      <c r="D8218" t="s">
        <v>26</v>
      </c>
      <c r="E8218">
        <v>1605</v>
      </c>
    </row>
    <row r="8219" spans="1:5" x14ac:dyDescent="0.55000000000000004">
      <c r="A8219" t="s">
        <v>8300</v>
      </c>
      <c r="B8219" t="s">
        <v>67</v>
      </c>
      <c r="C8219" s="2">
        <v>44148</v>
      </c>
      <c r="D8219" t="s">
        <v>26</v>
      </c>
      <c r="E8219">
        <v>466</v>
      </c>
    </row>
    <row r="8220" spans="1:5" x14ac:dyDescent="0.55000000000000004">
      <c r="A8220" t="s">
        <v>8301</v>
      </c>
      <c r="B8220" t="s">
        <v>118</v>
      </c>
      <c r="C8220" s="2">
        <v>44314</v>
      </c>
      <c r="D8220" t="s">
        <v>26</v>
      </c>
      <c r="E8220">
        <v>2046</v>
      </c>
    </row>
    <row r="8221" spans="1:5" x14ac:dyDescent="0.55000000000000004">
      <c r="A8221" t="s">
        <v>8302</v>
      </c>
      <c r="B8221" t="s">
        <v>74</v>
      </c>
      <c r="C8221" s="2">
        <v>43789</v>
      </c>
      <c r="D8221" t="s">
        <v>29</v>
      </c>
      <c r="E8221">
        <v>1425</v>
      </c>
    </row>
    <row r="8222" spans="1:5" x14ac:dyDescent="0.55000000000000004">
      <c r="A8222" t="s">
        <v>8303</v>
      </c>
      <c r="B8222" t="s">
        <v>151</v>
      </c>
      <c r="C8222" s="2">
        <v>44545</v>
      </c>
      <c r="D8222" t="s">
        <v>26</v>
      </c>
      <c r="E8222">
        <v>470</v>
      </c>
    </row>
    <row r="8223" spans="1:5" x14ac:dyDescent="0.55000000000000004">
      <c r="A8223" t="s">
        <v>8304</v>
      </c>
      <c r="B8223" t="s">
        <v>101</v>
      </c>
      <c r="C8223" s="2">
        <v>43371</v>
      </c>
      <c r="D8223" t="s">
        <v>26</v>
      </c>
      <c r="E8223">
        <v>1726</v>
      </c>
    </row>
    <row r="8224" spans="1:5" x14ac:dyDescent="0.55000000000000004">
      <c r="A8224" t="s">
        <v>8305</v>
      </c>
      <c r="B8224" t="s">
        <v>115</v>
      </c>
      <c r="C8224" s="2">
        <v>44560</v>
      </c>
      <c r="D8224" t="s">
        <v>26</v>
      </c>
      <c r="E8224">
        <v>314</v>
      </c>
    </row>
    <row r="8225" spans="1:5" x14ac:dyDescent="0.55000000000000004">
      <c r="A8225" t="s">
        <v>8306</v>
      </c>
      <c r="B8225" t="s">
        <v>96</v>
      </c>
      <c r="C8225" s="2">
        <v>45624</v>
      </c>
      <c r="D8225" t="s">
        <v>29</v>
      </c>
      <c r="E8225">
        <v>1096</v>
      </c>
    </row>
    <row r="8226" spans="1:5" x14ac:dyDescent="0.55000000000000004">
      <c r="A8226" t="s">
        <v>8307</v>
      </c>
      <c r="B8226" t="s">
        <v>23</v>
      </c>
      <c r="C8226" s="2">
        <v>43906</v>
      </c>
      <c r="D8226" t="s">
        <v>26</v>
      </c>
      <c r="E8226">
        <v>1271</v>
      </c>
    </row>
    <row r="8227" spans="1:5" x14ac:dyDescent="0.55000000000000004">
      <c r="A8227" t="s">
        <v>8308</v>
      </c>
      <c r="B8227" t="s">
        <v>41</v>
      </c>
      <c r="C8227" s="2">
        <v>43946</v>
      </c>
      <c r="D8227" t="s">
        <v>26</v>
      </c>
      <c r="E8227">
        <v>1950</v>
      </c>
    </row>
    <row r="8228" spans="1:5" x14ac:dyDescent="0.55000000000000004">
      <c r="A8228" t="s">
        <v>8309</v>
      </c>
      <c r="B8228" t="s">
        <v>38</v>
      </c>
      <c r="C8228" s="2">
        <v>44165</v>
      </c>
      <c r="D8228" t="s">
        <v>29</v>
      </c>
      <c r="E8228">
        <v>1211</v>
      </c>
    </row>
    <row r="8229" spans="1:5" x14ac:dyDescent="0.55000000000000004">
      <c r="A8229" t="s">
        <v>8310</v>
      </c>
      <c r="B8229" t="s">
        <v>86</v>
      </c>
      <c r="C8229" s="2">
        <v>43973</v>
      </c>
      <c r="D8229" t="s">
        <v>29</v>
      </c>
      <c r="E8229">
        <v>2062</v>
      </c>
    </row>
    <row r="8230" spans="1:5" x14ac:dyDescent="0.55000000000000004">
      <c r="A8230" t="s">
        <v>8311</v>
      </c>
      <c r="B8230" t="s">
        <v>63</v>
      </c>
      <c r="C8230" s="2">
        <v>43616</v>
      </c>
      <c r="D8230" t="s">
        <v>29</v>
      </c>
      <c r="E8230">
        <v>960</v>
      </c>
    </row>
    <row r="8231" spans="1:5" x14ac:dyDescent="0.55000000000000004">
      <c r="A8231" t="s">
        <v>8312</v>
      </c>
      <c r="B8231" t="s">
        <v>38</v>
      </c>
      <c r="C8231" s="2">
        <v>44084</v>
      </c>
      <c r="D8231" t="s">
        <v>26</v>
      </c>
      <c r="E8231">
        <v>1973</v>
      </c>
    </row>
    <row r="8232" spans="1:5" x14ac:dyDescent="0.55000000000000004">
      <c r="A8232" t="s">
        <v>8313</v>
      </c>
      <c r="B8232" t="s">
        <v>76</v>
      </c>
      <c r="C8232" s="2">
        <v>44606</v>
      </c>
      <c r="D8232" t="s">
        <v>26</v>
      </c>
      <c r="E8232">
        <v>2472</v>
      </c>
    </row>
    <row r="8233" spans="1:5" x14ac:dyDescent="0.55000000000000004">
      <c r="A8233" t="s">
        <v>8314</v>
      </c>
      <c r="B8233" t="s">
        <v>35</v>
      </c>
      <c r="C8233" s="2">
        <v>44146</v>
      </c>
      <c r="D8233" t="s">
        <v>26</v>
      </c>
      <c r="E8233">
        <v>1319</v>
      </c>
    </row>
    <row r="8234" spans="1:5" x14ac:dyDescent="0.55000000000000004">
      <c r="A8234" t="s">
        <v>8315</v>
      </c>
      <c r="B8234" t="s">
        <v>118</v>
      </c>
      <c r="C8234" s="2">
        <v>44866</v>
      </c>
      <c r="D8234" t="s">
        <v>26</v>
      </c>
      <c r="E8234">
        <v>1793</v>
      </c>
    </row>
    <row r="8235" spans="1:5" x14ac:dyDescent="0.55000000000000004">
      <c r="A8235" t="s">
        <v>8316</v>
      </c>
      <c r="B8235" t="s">
        <v>137</v>
      </c>
      <c r="C8235" s="2">
        <v>44581</v>
      </c>
      <c r="D8235" t="s">
        <v>26</v>
      </c>
      <c r="E8235">
        <v>2458</v>
      </c>
    </row>
    <row r="8236" spans="1:5" x14ac:dyDescent="0.55000000000000004">
      <c r="A8236" t="s">
        <v>8317</v>
      </c>
      <c r="B8236" t="s">
        <v>41</v>
      </c>
      <c r="C8236" s="2">
        <v>44208</v>
      </c>
      <c r="D8236" t="s">
        <v>29</v>
      </c>
      <c r="E8236">
        <v>2284</v>
      </c>
    </row>
    <row r="8237" spans="1:5" x14ac:dyDescent="0.55000000000000004">
      <c r="A8237" t="s">
        <v>8318</v>
      </c>
      <c r="B8237" t="s">
        <v>94</v>
      </c>
      <c r="C8237" s="2">
        <v>43739</v>
      </c>
      <c r="D8237" t="s">
        <v>29</v>
      </c>
      <c r="E8237">
        <v>2021</v>
      </c>
    </row>
    <row r="8238" spans="1:5" x14ac:dyDescent="0.55000000000000004">
      <c r="A8238" t="s">
        <v>8319</v>
      </c>
      <c r="B8238" t="s">
        <v>76</v>
      </c>
      <c r="C8238" s="2">
        <v>45190</v>
      </c>
      <c r="D8238" t="s">
        <v>26</v>
      </c>
      <c r="E8238">
        <v>435</v>
      </c>
    </row>
    <row r="8239" spans="1:5" x14ac:dyDescent="0.55000000000000004">
      <c r="A8239" t="s">
        <v>8320</v>
      </c>
      <c r="B8239" t="s">
        <v>175</v>
      </c>
      <c r="C8239" s="2">
        <v>44212</v>
      </c>
      <c r="D8239" t="s">
        <v>26</v>
      </c>
      <c r="E8239">
        <v>1662</v>
      </c>
    </row>
    <row r="8240" spans="1:5" x14ac:dyDescent="0.55000000000000004">
      <c r="A8240" t="s">
        <v>8321</v>
      </c>
      <c r="B8240" t="s">
        <v>137</v>
      </c>
      <c r="C8240" s="2">
        <v>43618</v>
      </c>
      <c r="D8240" t="s">
        <v>26</v>
      </c>
      <c r="E8240">
        <v>2851</v>
      </c>
    </row>
    <row r="8241" spans="1:5" x14ac:dyDescent="0.55000000000000004">
      <c r="A8241" t="s">
        <v>8322</v>
      </c>
      <c r="B8241" t="s">
        <v>99</v>
      </c>
      <c r="C8241" s="2">
        <v>45084</v>
      </c>
      <c r="D8241" t="s">
        <v>26</v>
      </c>
      <c r="E8241">
        <v>2340</v>
      </c>
    </row>
    <row r="8242" spans="1:5" x14ac:dyDescent="0.55000000000000004">
      <c r="A8242" t="s">
        <v>8323</v>
      </c>
      <c r="B8242" t="s">
        <v>32</v>
      </c>
      <c r="C8242" s="2">
        <v>44365</v>
      </c>
      <c r="D8242" t="s">
        <v>29</v>
      </c>
      <c r="E8242">
        <v>1057</v>
      </c>
    </row>
    <row r="8243" spans="1:5" x14ac:dyDescent="0.55000000000000004">
      <c r="A8243" t="s">
        <v>8324</v>
      </c>
      <c r="B8243" t="s">
        <v>115</v>
      </c>
      <c r="C8243" s="2">
        <v>43342</v>
      </c>
      <c r="D8243" t="s">
        <v>29</v>
      </c>
      <c r="E8243">
        <v>1303</v>
      </c>
    </row>
    <row r="8244" spans="1:5" x14ac:dyDescent="0.55000000000000004">
      <c r="A8244" t="s">
        <v>8325</v>
      </c>
      <c r="B8244" t="s">
        <v>63</v>
      </c>
      <c r="C8244" s="2">
        <v>43109</v>
      </c>
      <c r="D8244" t="s">
        <v>29</v>
      </c>
      <c r="E8244">
        <v>1595</v>
      </c>
    </row>
    <row r="8245" spans="1:5" x14ac:dyDescent="0.55000000000000004">
      <c r="A8245" t="s">
        <v>8326</v>
      </c>
      <c r="B8245" t="s">
        <v>151</v>
      </c>
      <c r="C8245" s="2">
        <v>44506</v>
      </c>
      <c r="D8245" t="s">
        <v>26</v>
      </c>
      <c r="E8245">
        <v>2470</v>
      </c>
    </row>
    <row r="8246" spans="1:5" x14ac:dyDescent="0.55000000000000004">
      <c r="A8246" t="s">
        <v>8327</v>
      </c>
      <c r="B8246" t="s">
        <v>63</v>
      </c>
      <c r="C8246" s="2">
        <v>42934</v>
      </c>
      <c r="D8246" t="s">
        <v>29</v>
      </c>
      <c r="E8246">
        <v>2448</v>
      </c>
    </row>
    <row r="8247" spans="1:5" x14ac:dyDescent="0.55000000000000004">
      <c r="A8247" t="s">
        <v>8328</v>
      </c>
      <c r="B8247" t="s">
        <v>101</v>
      </c>
      <c r="C8247" s="2">
        <v>43984</v>
      </c>
      <c r="D8247" t="s">
        <v>29</v>
      </c>
      <c r="E8247">
        <v>2546</v>
      </c>
    </row>
    <row r="8248" spans="1:5" x14ac:dyDescent="0.55000000000000004">
      <c r="A8248" t="s">
        <v>8329</v>
      </c>
      <c r="B8248" t="s">
        <v>142</v>
      </c>
      <c r="C8248" s="2">
        <v>44249</v>
      </c>
      <c r="D8248" t="s">
        <v>29</v>
      </c>
      <c r="E8248">
        <v>2849</v>
      </c>
    </row>
    <row r="8249" spans="1:5" x14ac:dyDescent="0.55000000000000004">
      <c r="A8249" t="s">
        <v>8330</v>
      </c>
      <c r="B8249" t="s">
        <v>38</v>
      </c>
      <c r="C8249" s="2">
        <v>44457</v>
      </c>
      <c r="D8249" t="s">
        <v>29</v>
      </c>
      <c r="E8249">
        <v>2372</v>
      </c>
    </row>
    <row r="8250" spans="1:5" x14ac:dyDescent="0.55000000000000004">
      <c r="A8250" t="s">
        <v>8331</v>
      </c>
      <c r="B8250" t="s">
        <v>99</v>
      </c>
      <c r="C8250" s="2">
        <v>45369</v>
      </c>
      <c r="D8250" t="s">
        <v>26</v>
      </c>
      <c r="E8250">
        <v>2578</v>
      </c>
    </row>
    <row r="8251" spans="1:5" x14ac:dyDescent="0.55000000000000004">
      <c r="A8251" t="s">
        <v>8332</v>
      </c>
      <c r="B8251" t="s">
        <v>84</v>
      </c>
      <c r="C8251" s="2">
        <v>44410</v>
      </c>
      <c r="D8251" t="s">
        <v>26</v>
      </c>
      <c r="E8251">
        <v>2303</v>
      </c>
    </row>
    <row r="8252" spans="1:5" x14ac:dyDescent="0.55000000000000004">
      <c r="A8252" t="s">
        <v>8333</v>
      </c>
      <c r="B8252" t="s">
        <v>78</v>
      </c>
      <c r="C8252" s="2">
        <v>44186</v>
      </c>
      <c r="D8252" t="s">
        <v>26</v>
      </c>
      <c r="E8252">
        <v>1887</v>
      </c>
    </row>
    <row r="8253" spans="1:5" x14ac:dyDescent="0.55000000000000004">
      <c r="A8253" t="s">
        <v>8334</v>
      </c>
      <c r="B8253" t="s">
        <v>96</v>
      </c>
      <c r="C8253" s="2">
        <v>44236</v>
      </c>
      <c r="D8253" t="s">
        <v>29</v>
      </c>
      <c r="E8253">
        <v>2665</v>
      </c>
    </row>
    <row r="8254" spans="1:5" x14ac:dyDescent="0.55000000000000004">
      <c r="A8254" t="s">
        <v>8335</v>
      </c>
      <c r="B8254" t="s">
        <v>118</v>
      </c>
      <c r="C8254" s="2">
        <v>43846</v>
      </c>
      <c r="D8254" t="s">
        <v>29</v>
      </c>
      <c r="E8254">
        <v>1640</v>
      </c>
    </row>
    <row r="8255" spans="1:5" x14ac:dyDescent="0.55000000000000004">
      <c r="A8255" t="s">
        <v>8336</v>
      </c>
      <c r="B8255" t="s">
        <v>67</v>
      </c>
      <c r="C8255" s="2">
        <v>43729</v>
      </c>
      <c r="D8255" t="s">
        <v>26</v>
      </c>
      <c r="E8255">
        <v>844</v>
      </c>
    </row>
    <row r="8256" spans="1:5" x14ac:dyDescent="0.55000000000000004">
      <c r="A8256" t="s">
        <v>8337</v>
      </c>
      <c r="B8256" t="s">
        <v>151</v>
      </c>
      <c r="C8256" s="2">
        <v>44190</v>
      </c>
      <c r="D8256" t="s">
        <v>29</v>
      </c>
      <c r="E8256">
        <v>786</v>
      </c>
    </row>
    <row r="8257" spans="1:5" x14ac:dyDescent="0.55000000000000004">
      <c r="A8257" t="s">
        <v>8338</v>
      </c>
      <c r="B8257" t="s">
        <v>140</v>
      </c>
      <c r="C8257" s="2">
        <v>43844</v>
      </c>
      <c r="D8257" t="s">
        <v>26</v>
      </c>
      <c r="E8257">
        <v>1958</v>
      </c>
    </row>
    <row r="8258" spans="1:5" x14ac:dyDescent="0.55000000000000004">
      <c r="A8258" t="s">
        <v>8339</v>
      </c>
      <c r="B8258" t="s">
        <v>41</v>
      </c>
      <c r="C8258" s="2">
        <v>44109</v>
      </c>
      <c r="D8258" t="s">
        <v>26</v>
      </c>
      <c r="E8258">
        <v>1961</v>
      </c>
    </row>
    <row r="8259" spans="1:5" x14ac:dyDescent="0.55000000000000004">
      <c r="A8259" t="s">
        <v>8340</v>
      </c>
      <c r="B8259" t="s">
        <v>38</v>
      </c>
      <c r="C8259" s="2">
        <v>44294</v>
      </c>
      <c r="D8259" t="s">
        <v>29</v>
      </c>
      <c r="E8259">
        <v>45</v>
      </c>
    </row>
    <row r="8260" spans="1:5" x14ac:dyDescent="0.55000000000000004">
      <c r="A8260" t="s">
        <v>8341</v>
      </c>
      <c r="B8260" t="s">
        <v>41</v>
      </c>
      <c r="C8260" s="2">
        <v>44200</v>
      </c>
      <c r="D8260" t="s">
        <v>29</v>
      </c>
      <c r="E8260">
        <v>543</v>
      </c>
    </row>
    <row r="8261" spans="1:5" x14ac:dyDescent="0.55000000000000004">
      <c r="A8261" t="s">
        <v>8342</v>
      </c>
      <c r="B8261" t="s">
        <v>35</v>
      </c>
      <c r="C8261" s="2">
        <v>44182</v>
      </c>
      <c r="D8261" t="s">
        <v>26</v>
      </c>
      <c r="E8261">
        <v>1107</v>
      </c>
    </row>
    <row r="8262" spans="1:5" x14ac:dyDescent="0.55000000000000004">
      <c r="A8262" t="s">
        <v>8343</v>
      </c>
      <c r="B8262" t="s">
        <v>115</v>
      </c>
      <c r="C8262" s="2">
        <v>44326</v>
      </c>
      <c r="D8262" t="s">
        <v>26</v>
      </c>
      <c r="E8262">
        <v>251</v>
      </c>
    </row>
    <row r="8263" spans="1:5" x14ac:dyDescent="0.55000000000000004">
      <c r="A8263" t="s">
        <v>8344</v>
      </c>
      <c r="B8263" t="s">
        <v>140</v>
      </c>
      <c r="C8263" s="2">
        <v>44296</v>
      </c>
      <c r="D8263" t="s">
        <v>26</v>
      </c>
      <c r="E8263">
        <v>757</v>
      </c>
    </row>
    <row r="8264" spans="1:5" x14ac:dyDescent="0.55000000000000004">
      <c r="A8264" t="s">
        <v>8345</v>
      </c>
      <c r="B8264" t="s">
        <v>78</v>
      </c>
      <c r="C8264" s="2">
        <v>44427</v>
      </c>
      <c r="D8264" t="s">
        <v>29</v>
      </c>
      <c r="E8264">
        <v>1280</v>
      </c>
    </row>
    <row r="8265" spans="1:5" x14ac:dyDescent="0.55000000000000004">
      <c r="A8265" t="s">
        <v>8346</v>
      </c>
      <c r="B8265" t="s">
        <v>156</v>
      </c>
      <c r="C8265" s="2">
        <v>42946</v>
      </c>
      <c r="D8265" t="s">
        <v>26</v>
      </c>
      <c r="E8265">
        <v>2229</v>
      </c>
    </row>
    <row r="8266" spans="1:5" x14ac:dyDescent="0.55000000000000004">
      <c r="A8266" t="s">
        <v>8347</v>
      </c>
      <c r="B8266" t="s">
        <v>115</v>
      </c>
      <c r="C8266" s="2">
        <v>44245</v>
      </c>
      <c r="D8266" t="s">
        <v>29</v>
      </c>
      <c r="E8266">
        <v>1188</v>
      </c>
    </row>
    <row r="8267" spans="1:5" x14ac:dyDescent="0.55000000000000004">
      <c r="A8267" t="s">
        <v>8348</v>
      </c>
      <c r="B8267" t="s">
        <v>84</v>
      </c>
      <c r="C8267" s="2">
        <v>43261</v>
      </c>
      <c r="D8267" t="s">
        <v>29</v>
      </c>
      <c r="E8267">
        <v>2264</v>
      </c>
    </row>
    <row r="8268" spans="1:5" x14ac:dyDescent="0.55000000000000004">
      <c r="A8268" t="s">
        <v>8349</v>
      </c>
      <c r="B8268" t="s">
        <v>76</v>
      </c>
      <c r="C8268" s="2">
        <v>44574</v>
      </c>
      <c r="D8268" t="s">
        <v>26</v>
      </c>
      <c r="E8268">
        <v>2741</v>
      </c>
    </row>
    <row r="8269" spans="1:5" x14ac:dyDescent="0.55000000000000004">
      <c r="A8269" t="s">
        <v>8350</v>
      </c>
      <c r="B8269" t="s">
        <v>38</v>
      </c>
      <c r="C8269" s="2">
        <v>43894</v>
      </c>
      <c r="D8269" t="s">
        <v>26</v>
      </c>
      <c r="E8269">
        <v>2839</v>
      </c>
    </row>
    <row r="8270" spans="1:5" x14ac:dyDescent="0.55000000000000004">
      <c r="A8270" t="s">
        <v>8351</v>
      </c>
      <c r="B8270" t="s">
        <v>84</v>
      </c>
      <c r="C8270" s="2">
        <v>43418</v>
      </c>
      <c r="D8270" t="s">
        <v>29</v>
      </c>
      <c r="E8270">
        <v>29</v>
      </c>
    </row>
    <row r="8271" spans="1:5" x14ac:dyDescent="0.55000000000000004">
      <c r="A8271" t="s">
        <v>8352</v>
      </c>
      <c r="B8271" t="s">
        <v>41</v>
      </c>
      <c r="C8271" s="2">
        <v>44461</v>
      </c>
      <c r="D8271" t="s">
        <v>29</v>
      </c>
      <c r="E8271">
        <v>1684</v>
      </c>
    </row>
    <row r="8272" spans="1:5" x14ac:dyDescent="0.55000000000000004">
      <c r="A8272" t="s">
        <v>8353</v>
      </c>
      <c r="B8272" t="s">
        <v>86</v>
      </c>
      <c r="C8272" s="2">
        <v>44353</v>
      </c>
      <c r="D8272" t="s">
        <v>26</v>
      </c>
      <c r="E8272">
        <v>483</v>
      </c>
    </row>
    <row r="8273" spans="1:5" x14ac:dyDescent="0.55000000000000004">
      <c r="A8273" t="s">
        <v>8354</v>
      </c>
      <c r="B8273" t="s">
        <v>38</v>
      </c>
      <c r="C8273" s="2">
        <v>44885</v>
      </c>
      <c r="D8273" t="s">
        <v>29</v>
      </c>
      <c r="E8273">
        <v>2692</v>
      </c>
    </row>
    <row r="8274" spans="1:5" x14ac:dyDescent="0.55000000000000004">
      <c r="A8274" t="s">
        <v>8355</v>
      </c>
      <c r="B8274" t="s">
        <v>74</v>
      </c>
      <c r="C8274" s="2">
        <v>43605</v>
      </c>
      <c r="D8274" t="s">
        <v>29</v>
      </c>
      <c r="E8274">
        <v>1122</v>
      </c>
    </row>
    <row r="8275" spans="1:5" x14ac:dyDescent="0.55000000000000004">
      <c r="A8275" t="s">
        <v>8356</v>
      </c>
      <c r="B8275" t="s">
        <v>14</v>
      </c>
      <c r="C8275" s="2">
        <v>44171</v>
      </c>
      <c r="D8275" t="s">
        <v>29</v>
      </c>
      <c r="E8275">
        <v>422</v>
      </c>
    </row>
    <row r="8276" spans="1:5" x14ac:dyDescent="0.55000000000000004">
      <c r="A8276" t="s">
        <v>8357</v>
      </c>
      <c r="B8276" t="s">
        <v>156</v>
      </c>
      <c r="C8276" s="2">
        <v>43930</v>
      </c>
      <c r="D8276" t="s">
        <v>29</v>
      </c>
      <c r="E8276">
        <v>788</v>
      </c>
    </row>
    <row r="8277" spans="1:5" x14ac:dyDescent="0.55000000000000004">
      <c r="A8277" t="s">
        <v>8358</v>
      </c>
      <c r="B8277" t="s">
        <v>32</v>
      </c>
      <c r="C8277" s="2">
        <v>43964</v>
      </c>
      <c r="D8277" t="s">
        <v>26</v>
      </c>
      <c r="E8277">
        <v>1914</v>
      </c>
    </row>
    <row r="8278" spans="1:5" x14ac:dyDescent="0.55000000000000004">
      <c r="A8278" t="s">
        <v>8359</v>
      </c>
      <c r="B8278" t="s">
        <v>142</v>
      </c>
      <c r="C8278" s="2">
        <v>43572</v>
      </c>
      <c r="D8278" t="s">
        <v>29</v>
      </c>
      <c r="E8278">
        <v>2606</v>
      </c>
    </row>
    <row r="8279" spans="1:5" x14ac:dyDescent="0.55000000000000004">
      <c r="A8279" t="s">
        <v>8360</v>
      </c>
      <c r="B8279" t="s">
        <v>72</v>
      </c>
      <c r="C8279" s="2">
        <v>43531</v>
      </c>
      <c r="D8279" t="s">
        <v>29</v>
      </c>
      <c r="E8279">
        <v>382</v>
      </c>
    </row>
    <row r="8280" spans="1:5" x14ac:dyDescent="0.55000000000000004">
      <c r="A8280" t="s">
        <v>8361</v>
      </c>
      <c r="B8280" t="s">
        <v>38</v>
      </c>
      <c r="C8280" s="2">
        <v>43945</v>
      </c>
      <c r="D8280" t="s">
        <v>26</v>
      </c>
      <c r="E8280">
        <v>1579</v>
      </c>
    </row>
    <row r="8281" spans="1:5" x14ac:dyDescent="0.55000000000000004">
      <c r="A8281" t="s">
        <v>8362</v>
      </c>
      <c r="B8281" t="s">
        <v>76</v>
      </c>
      <c r="C8281" s="2">
        <v>43777</v>
      </c>
      <c r="D8281" t="s">
        <v>26</v>
      </c>
      <c r="E8281">
        <v>111</v>
      </c>
    </row>
    <row r="8282" spans="1:5" x14ac:dyDescent="0.55000000000000004">
      <c r="A8282" t="s">
        <v>8363</v>
      </c>
      <c r="B8282" t="s">
        <v>35</v>
      </c>
      <c r="C8282" s="2">
        <v>44239</v>
      </c>
      <c r="D8282" t="s">
        <v>29</v>
      </c>
      <c r="E8282">
        <v>1570</v>
      </c>
    </row>
    <row r="8283" spans="1:5" x14ac:dyDescent="0.55000000000000004">
      <c r="A8283" t="s">
        <v>8364</v>
      </c>
      <c r="B8283" t="s">
        <v>111</v>
      </c>
      <c r="C8283" s="2">
        <v>44179</v>
      </c>
      <c r="D8283" t="s">
        <v>29</v>
      </c>
      <c r="E8283">
        <v>742</v>
      </c>
    </row>
    <row r="8284" spans="1:5" x14ac:dyDescent="0.55000000000000004">
      <c r="A8284" t="s">
        <v>8365</v>
      </c>
      <c r="B8284" t="s">
        <v>78</v>
      </c>
      <c r="C8284" s="2">
        <v>45833</v>
      </c>
      <c r="D8284" t="s">
        <v>26</v>
      </c>
      <c r="E8284">
        <v>144</v>
      </c>
    </row>
    <row r="8285" spans="1:5" x14ac:dyDescent="0.55000000000000004">
      <c r="A8285" t="s">
        <v>8366</v>
      </c>
      <c r="B8285" t="s">
        <v>35</v>
      </c>
      <c r="C8285" s="2">
        <v>44188</v>
      </c>
      <c r="D8285" t="s">
        <v>26</v>
      </c>
      <c r="E8285">
        <v>1967</v>
      </c>
    </row>
    <row r="8286" spans="1:5" x14ac:dyDescent="0.55000000000000004">
      <c r="A8286" t="s">
        <v>8367</v>
      </c>
      <c r="B8286" t="s">
        <v>101</v>
      </c>
      <c r="C8286" s="2">
        <v>44373</v>
      </c>
      <c r="D8286" t="s">
        <v>29</v>
      </c>
      <c r="E8286">
        <v>1772</v>
      </c>
    </row>
    <row r="8287" spans="1:5" x14ac:dyDescent="0.55000000000000004">
      <c r="A8287" t="s">
        <v>8368</v>
      </c>
      <c r="B8287" t="s">
        <v>23</v>
      </c>
      <c r="C8287" s="2">
        <v>44698</v>
      </c>
      <c r="D8287" t="s">
        <v>26</v>
      </c>
      <c r="E8287">
        <v>687</v>
      </c>
    </row>
    <row r="8288" spans="1:5" x14ac:dyDescent="0.55000000000000004">
      <c r="A8288" t="s">
        <v>8369</v>
      </c>
      <c r="B8288" t="s">
        <v>23</v>
      </c>
      <c r="C8288" s="2">
        <v>44541</v>
      </c>
      <c r="D8288" t="s">
        <v>26</v>
      </c>
      <c r="E8288">
        <v>949</v>
      </c>
    </row>
    <row r="8289" spans="1:5" x14ac:dyDescent="0.55000000000000004">
      <c r="A8289" t="s">
        <v>8370</v>
      </c>
      <c r="B8289" t="s">
        <v>99</v>
      </c>
      <c r="C8289" s="2">
        <v>45037</v>
      </c>
      <c r="D8289" t="s">
        <v>26</v>
      </c>
      <c r="E8289">
        <v>2329</v>
      </c>
    </row>
    <row r="8290" spans="1:5" x14ac:dyDescent="0.55000000000000004">
      <c r="A8290" t="s">
        <v>8371</v>
      </c>
      <c r="B8290" t="s">
        <v>84</v>
      </c>
      <c r="C8290" s="2">
        <v>43107</v>
      </c>
      <c r="D8290" t="s">
        <v>26</v>
      </c>
      <c r="E8290">
        <v>2560</v>
      </c>
    </row>
    <row r="8291" spans="1:5" x14ac:dyDescent="0.55000000000000004">
      <c r="A8291" t="s">
        <v>8372</v>
      </c>
      <c r="B8291" t="s">
        <v>175</v>
      </c>
      <c r="C8291" s="2">
        <v>45685</v>
      </c>
      <c r="D8291" t="s">
        <v>26</v>
      </c>
      <c r="E8291">
        <v>2493</v>
      </c>
    </row>
    <row r="8292" spans="1:5" x14ac:dyDescent="0.55000000000000004">
      <c r="A8292" t="s">
        <v>8373</v>
      </c>
      <c r="B8292" t="s">
        <v>38</v>
      </c>
      <c r="C8292" s="2">
        <v>43864</v>
      </c>
      <c r="D8292" t="s">
        <v>26</v>
      </c>
      <c r="E8292">
        <v>1251</v>
      </c>
    </row>
    <row r="8293" spans="1:5" x14ac:dyDescent="0.55000000000000004">
      <c r="A8293" t="s">
        <v>8374</v>
      </c>
      <c r="B8293" t="s">
        <v>72</v>
      </c>
      <c r="C8293" s="2">
        <v>43491</v>
      </c>
      <c r="D8293" t="s">
        <v>26</v>
      </c>
      <c r="E8293">
        <v>1204</v>
      </c>
    </row>
    <row r="8294" spans="1:5" x14ac:dyDescent="0.55000000000000004">
      <c r="A8294" t="s">
        <v>8375</v>
      </c>
      <c r="B8294" t="s">
        <v>14</v>
      </c>
      <c r="C8294" s="2">
        <v>43692</v>
      </c>
      <c r="D8294" t="s">
        <v>29</v>
      </c>
      <c r="E8294">
        <v>2758</v>
      </c>
    </row>
    <row r="8295" spans="1:5" x14ac:dyDescent="0.55000000000000004">
      <c r="A8295" t="s">
        <v>8376</v>
      </c>
      <c r="B8295" t="s">
        <v>105</v>
      </c>
      <c r="C8295" s="2">
        <v>43966</v>
      </c>
      <c r="D8295" t="s">
        <v>26</v>
      </c>
      <c r="E8295">
        <v>1106</v>
      </c>
    </row>
    <row r="8296" spans="1:5" x14ac:dyDescent="0.55000000000000004">
      <c r="A8296" t="s">
        <v>8377</v>
      </c>
      <c r="B8296" t="s">
        <v>140</v>
      </c>
      <c r="C8296" s="2">
        <v>43308</v>
      </c>
      <c r="D8296" t="s">
        <v>26</v>
      </c>
      <c r="E8296">
        <v>1228</v>
      </c>
    </row>
    <row r="8297" spans="1:5" x14ac:dyDescent="0.55000000000000004">
      <c r="A8297" t="s">
        <v>8378</v>
      </c>
      <c r="B8297" t="s">
        <v>38</v>
      </c>
      <c r="C8297" s="2">
        <v>44890</v>
      </c>
      <c r="D8297" t="s">
        <v>26</v>
      </c>
      <c r="E8297">
        <v>975</v>
      </c>
    </row>
    <row r="8298" spans="1:5" x14ac:dyDescent="0.55000000000000004">
      <c r="A8298" t="s">
        <v>8379</v>
      </c>
      <c r="B8298" t="s">
        <v>84</v>
      </c>
      <c r="C8298" s="2">
        <v>43344</v>
      </c>
      <c r="D8298" t="s">
        <v>29</v>
      </c>
      <c r="E8298">
        <v>1519</v>
      </c>
    </row>
    <row r="8299" spans="1:5" x14ac:dyDescent="0.55000000000000004">
      <c r="A8299" t="s">
        <v>8380</v>
      </c>
      <c r="B8299" t="s">
        <v>115</v>
      </c>
      <c r="C8299" s="2">
        <v>44427</v>
      </c>
      <c r="D8299" t="s">
        <v>29</v>
      </c>
      <c r="E8299">
        <v>1786</v>
      </c>
    </row>
    <row r="8300" spans="1:5" x14ac:dyDescent="0.55000000000000004">
      <c r="A8300" t="s">
        <v>8381</v>
      </c>
      <c r="B8300" t="s">
        <v>94</v>
      </c>
      <c r="C8300" s="2">
        <v>44508</v>
      </c>
      <c r="D8300" t="s">
        <v>26</v>
      </c>
      <c r="E8300">
        <v>2079</v>
      </c>
    </row>
    <row r="8301" spans="1:5" x14ac:dyDescent="0.55000000000000004">
      <c r="A8301" t="s">
        <v>8382</v>
      </c>
      <c r="B8301" t="s">
        <v>140</v>
      </c>
      <c r="C8301" s="2">
        <v>44506</v>
      </c>
      <c r="D8301" t="s">
        <v>29</v>
      </c>
      <c r="E8301">
        <v>1179</v>
      </c>
    </row>
    <row r="8302" spans="1:5" x14ac:dyDescent="0.55000000000000004">
      <c r="A8302" t="s">
        <v>8383</v>
      </c>
      <c r="B8302" t="s">
        <v>105</v>
      </c>
      <c r="C8302" s="2">
        <v>43499</v>
      </c>
      <c r="D8302" t="s">
        <v>26</v>
      </c>
      <c r="E8302">
        <v>2979</v>
      </c>
    </row>
    <row r="8303" spans="1:5" x14ac:dyDescent="0.55000000000000004">
      <c r="A8303" t="s">
        <v>8384</v>
      </c>
      <c r="B8303" t="s">
        <v>99</v>
      </c>
      <c r="C8303" s="2">
        <v>44189</v>
      </c>
      <c r="D8303" t="s">
        <v>29</v>
      </c>
      <c r="E8303">
        <v>2540</v>
      </c>
    </row>
    <row r="8304" spans="1:5" x14ac:dyDescent="0.55000000000000004">
      <c r="A8304" t="s">
        <v>8385</v>
      </c>
      <c r="B8304" t="s">
        <v>72</v>
      </c>
      <c r="C8304" s="2">
        <v>44052</v>
      </c>
      <c r="D8304" t="s">
        <v>29</v>
      </c>
      <c r="E8304">
        <v>1407</v>
      </c>
    </row>
    <row r="8305" spans="1:5" x14ac:dyDescent="0.55000000000000004">
      <c r="A8305" t="s">
        <v>8386</v>
      </c>
      <c r="B8305" t="s">
        <v>14</v>
      </c>
      <c r="C8305" s="2">
        <v>43838</v>
      </c>
      <c r="D8305" t="s">
        <v>29</v>
      </c>
      <c r="E8305">
        <v>836</v>
      </c>
    </row>
    <row r="8306" spans="1:5" x14ac:dyDescent="0.55000000000000004">
      <c r="A8306" t="s">
        <v>8387</v>
      </c>
      <c r="B8306" t="s">
        <v>111</v>
      </c>
      <c r="C8306" s="2">
        <v>42961</v>
      </c>
      <c r="D8306" t="s">
        <v>29</v>
      </c>
      <c r="E8306">
        <v>668</v>
      </c>
    </row>
    <row r="8307" spans="1:5" x14ac:dyDescent="0.55000000000000004">
      <c r="A8307" t="s">
        <v>8388</v>
      </c>
      <c r="B8307" t="s">
        <v>118</v>
      </c>
      <c r="C8307" s="2">
        <v>45757</v>
      </c>
      <c r="D8307" t="s">
        <v>29</v>
      </c>
      <c r="E8307">
        <v>2493</v>
      </c>
    </row>
    <row r="8308" spans="1:5" x14ac:dyDescent="0.55000000000000004">
      <c r="A8308" t="s">
        <v>8389</v>
      </c>
      <c r="B8308" t="s">
        <v>84</v>
      </c>
      <c r="C8308" s="2">
        <v>43899</v>
      </c>
      <c r="D8308" t="s">
        <v>26</v>
      </c>
      <c r="E8308">
        <v>1018</v>
      </c>
    </row>
    <row r="8309" spans="1:5" x14ac:dyDescent="0.55000000000000004">
      <c r="A8309" t="s">
        <v>8390</v>
      </c>
      <c r="B8309" t="s">
        <v>23</v>
      </c>
      <c r="C8309" s="2">
        <v>44705</v>
      </c>
      <c r="D8309" t="s">
        <v>29</v>
      </c>
      <c r="E8309">
        <v>1160</v>
      </c>
    </row>
    <row r="8310" spans="1:5" x14ac:dyDescent="0.55000000000000004">
      <c r="A8310" t="s">
        <v>8391</v>
      </c>
      <c r="B8310" t="s">
        <v>111</v>
      </c>
      <c r="C8310" s="2">
        <v>43346</v>
      </c>
      <c r="D8310" t="s">
        <v>29</v>
      </c>
      <c r="E8310">
        <v>2461</v>
      </c>
    </row>
    <row r="8311" spans="1:5" x14ac:dyDescent="0.55000000000000004">
      <c r="A8311" t="s">
        <v>8392</v>
      </c>
      <c r="B8311" t="s">
        <v>115</v>
      </c>
      <c r="C8311" s="2">
        <v>43880</v>
      </c>
      <c r="D8311" t="s">
        <v>29</v>
      </c>
      <c r="E8311">
        <v>1344</v>
      </c>
    </row>
    <row r="8312" spans="1:5" x14ac:dyDescent="0.55000000000000004">
      <c r="A8312" t="s">
        <v>8393</v>
      </c>
      <c r="B8312" t="s">
        <v>142</v>
      </c>
      <c r="C8312" s="2">
        <v>43446</v>
      </c>
      <c r="D8312" t="s">
        <v>29</v>
      </c>
      <c r="E8312">
        <v>510</v>
      </c>
    </row>
    <row r="8313" spans="1:5" x14ac:dyDescent="0.55000000000000004">
      <c r="A8313" t="s">
        <v>8394</v>
      </c>
      <c r="B8313" t="s">
        <v>137</v>
      </c>
      <c r="C8313" s="2">
        <v>45716</v>
      </c>
      <c r="D8313" t="s">
        <v>26</v>
      </c>
      <c r="E8313">
        <v>18</v>
      </c>
    </row>
    <row r="8314" spans="1:5" x14ac:dyDescent="0.55000000000000004">
      <c r="A8314" t="s">
        <v>8395</v>
      </c>
      <c r="B8314" t="s">
        <v>142</v>
      </c>
      <c r="C8314" s="2">
        <v>44477</v>
      </c>
      <c r="D8314" t="s">
        <v>29</v>
      </c>
      <c r="E8314">
        <v>1122</v>
      </c>
    </row>
    <row r="8315" spans="1:5" x14ac:dyDescent="0.55000000000000004">
      <c r="A8315" t="s">
        <v>8396</v>
      </c>
      <c r="B8315" t="s">
        <v>72</v>
      </c>
      <c r="C8315" s="2">
        <v>44044</v>
      </c>
      <c r="D8315" t="s">
        <v>29</v>
      </c>
      <c r="E8315">
        <v>869</v>
      </c>
    </row>
    <row r="8316" spans="1:5" x14ac:dyDescent="0.55000000000000004">
      <c r="A8316" t="s">
        <v>8397</v>
      </c>
      <c r="B8316" t="s">
        <v>84</v>
      </c>
      <c r="C8316" s="2">
        <v>43500</v>
      </c>
      <c r="D8316" t="s">
        <v>29</v>
      </c>
      <c r="E8316">
        <v>2731</v>
      </c>
    </row>
    <row r="8317" spans="1:5" x14ac:dyDescent="0.55000000000000004">
      <c r="A8317" t="s">
        <v>8398</v>
      </c>
      <c r="B8317" t="s">
        <v>101</v>
      </c>
      <c r="C8317" s="2">
        <v>43974</v>
      </c>
      <c r="D8317" t="s">
        <v>29</v>
      </c>
      <c r="E8317">
        <v>1760</v>
      </c>
    </row>
    <row r="8318" spans="1:5" x14ac:dyDescent="0.55000000000000004">
      <c r="A8318" t="s">
        <v>8399</v>
      </c>
      <c r="B8318" t="s">
        <v>15</v>
      </c>
      <c r="C8318" s="2">
        <v>44123</v>
      </c>
      <c r="D8318" t="s">
        <v>29</v>
      </c>
      <c r="E8318">
        <v>1871</v>
      </c>
    </row>
    <row r="8319" spans="1:5" x14ac:dyDescent="0.55000000000000004">
      <c r="A8319" t="s">
        <v>8400</v>
      </c>
      <c r="B8319" t="s">
        <v>14</v>
      </c>
      <c r="C8319" s="2">
        <v>43753</v>
      </c>
      <c r="D8319" t="s">
        <v>26</v>
      </c>
      <c r="E8319">
        <v>1874</v>
      </c>
    </row>
    <row r="8320" spans="1:5" x14ac:dyDescent="0.55000000000000004">
      <c r="A8320" t="s">
        <v>8401</v>
      </c>
      <c r="B8320" t="s">
        <v>41</v>
      </c>
      <c r="C8320" s="2">
        <v>43876</v>
      </c>
      <c r="D8320" t="s">
        <v>29</v>
      </c>
      <c r="E8320">
        <v>2393</v>
      </c>
    </row>
    <row r="8321" spans="1:5" x14ac:dyDescent="0.55000000000000004">
      <c r="A8321" t="s">
        <v>8402</v>
      </c>
      <c r="B8321" t="s">
        <v>142</v>
      </c>
      <c r="C8321" s="2">
        <v>43091</v>
      </c>
      <c r="D8321" t="s">
        <v>29</v>
      </c>
      <c r="E8321">
        <v>2544</v>
      </c>
    </row>
    <row r="8322" spans="1:5" x14ac:dyDescent="0.55000000000000004">
      <c r="A8322" t="s">
        <v>8403</v>
      </c>
      <c r="B8322" t="s">
        <v>15</v>
      </c>
      <c r="C8322" s="2">
        <v>43085</v>
      </c>
      <c r="D8322" t="s">
        <v>26</v>
      </c>
      <c r="E8322">
        <v>107</v>
      </c>
    </row>
    <row r="8323" spans="1:5" x14ac:dyDescent="0.55000000000000004">
      <c r="A8323" t="s">
        <v>8404</v>
      </c>
      <c r="B8323" t="s">
        <v>118</v>
      </c>
      <c r="C8323" s="2">
        <v>44346</v>
      </c>
      <c r="D8323" t="s">
        <v>29</v>
      </c>
      <c r="E8323">
        <v>2932</v>
      </c>
    </row>
    <row r="8324" spans="1:5" x14ac:dyDescent="0.55000000000000004">
      <c r="A8324" t="s">
        <v>8405</v>
      </c>
      <c r="B8324" t="s">
        <v>15</v>
      </c>
      <c r="C8324" s="2">
        <v>43127</v>
      </c>
      <c r="D8324" t="s">
        <v>29</v>
      </c>
      <c r="E8324">
        <v>1606</v>
      </c>
    </row>
    <row r="8325" spans="1:5" x14ac:dyDescent="0.55000000000000004">
      <c r="A8325" t="s">
        <v>8406</v>
      </c>
      <c r="B8325" t="s">
        <v>96</v>
      </c>
      <c r="C8325" s="2">
        <v>44934</v>
      </c>
      <c r="D8325" t="s">
        <v>29</v>
      </c>
      <c r="E8325">
        <v>1770</v>
      </c>
    </row>
    <row r="8326" spans="1:5" x14ac:dyDescent="0.55000000000000004">
      <c r="A8326" t="s">
        <v>8407</v>
      </c>
      <c r="B8326" t="s">
        <v>78</v>
      </c>
      <c r="C8326" s="2">
        <v>44800</v>
      </c>
      <c r="D8326" t="s">
        <v>26</v>
      </c>
      <c r="E8326">
        <v>2673</v>
      </c>
    </row>
    <row r="8327" spans="1:5" x14ac:dyDescent="0.55000000000000004">
      <c r="A8327" t="s">
        <v>8408</v>
      </c>
      <c r="B8327" t="s">
        <v>111</v>
      </c>
      <c r="C8327" s="2">
        <v>43073</v>
      </c>
      <c r="D8327" t="s">
        <v>29</v>
      </c>
      <c r="E8327">
        <v>81</v>
      </c>
    </row>
    <row r="8328" spans="1:5" x14ac:dyDescent="0.55000000000000004">
      <c r="A8328" t="s">
        <v>8409</v>
      </c>
      <c r="B8328" t="s">
        <v>38</v>
      </c>
      <c r="C8328" s="2">
        <v>44027</v>
      </c>
      <c r="D8328" t="s">
        <v>29</v>
      </c>
      <c r="E8328">
        <v>2012</v>
      </c>
    </row>
    <row r="8329" spans="1:5" x14ac:dyDescent="0.55000000000000004">
      <c r="A8329" t="s">
        <v>8410</v>
      </c>
      <c r="B8329" t="s">
        <v>38</v>
      </c>
      <c r="C8329" s="2">
        <v>44430</v>
      </c>
      <c r="D8329" t="s">
        <v>29</v>
      </c>
      <c r="E8329">
        <v>2305</v>
      </c>
    </row>
    <row r="8330" spans="1:5" x14ac:dyDescent="0.55000000000000004">
      <c r="A8330" t="s">
        <v>8411</v>
      </c>
      <c r="B8330" t="s">
        <v>94</v>
      </c>
      <c r="C8330" s="2">
        <v>44206</v>
      </c>
      <c r="D8330" t="s">
        <v>26</v>
      </c>
      <c r="E8330">
        <v>1163</v>
      </c>
    </row>
    <row r="8331" spans="1:5" x14ac:dyDescent="0.55000000000000004">
      <c r="A8331" t="s">
        <v>8412</v>
      </c>
      <c r="B8331" t="s">
        <v>41</v>
      </c>
      <c r="C8331" s="2">
        <v>44255</v>
      </c>
      <c r="D8331" t="s">
        <v>29</v>
      </c>
      <c r="E8331">
        <v>2501</v>
      </c>
    </row>
    <row r="8332" spans="1:5" x14ac:dyDescent="0.55000000000000004">
      <c r="A8332" t="s">
        <v>8413</v>
      </c>
      <c r="B8332" t="s">
        <v>94</v>
      </c>
      <c r="C8332" s="2">
        <v>45247</v>
      </c>
      <c r="D8332" t="s">
        <v>29</v>
      </c>
      <c r="E8332">
        <v>76</v>
      </c>
    </row>
    <row r="8333" spans="1:5" x14ac:dyDescent="0.55000000000000004">
      <c r="A8333" t="s">
        <v>8414</v>
      </c>
      <c r="B8333" t="s">
        <v>94</v>
      </c>
      <c r="C8333" s="2">
        <v>44605</v>
      </c>
      <c r="D8333" t="s">
        <v>29</v>
      </c>
      <c r="E8333">
        <v>68</v>
      </c>
    </row>
    <row r="8334" spans="1:5" x14ac:dyDescent="0.55000000000000004">
      <c r="A8334" t="s">
        <v>8415</v>
      </c>
      <c r="B8334" t="s">
        <v>35</v>
      </c>
      <c r="C8334" s="2">
        <v>44517</v>
      </c>
      <c r="D8334" t="s">
        <v>29</v>
      </c>
      <c r="E8334">
        <v>1673</v>
      </c>
    </row>
    <row r="8335" spans="1:5" x14ac:dyDescent="0.55000000000000004">
      <c r="A8335" t="s">
        <v>8416</v>
      </c>
      <c r="B8335" t="s">
        <v>76</v>
      </c>
      <c r="C8335" s="2">
        <v>45827</v>
      </c>
      <c r="D8335" t="s">
        <v>26</v>
      </c>
      <c r="E8335">
        <v>1984</v>
      </c>
    </row>
    <row r="8336" spans="1:5" x14ac:dyDescent="0.55000000000000004">
      <c r="A8336" t="s">
        <v>8417</v>
      </c>
      <c r="B8336" t="s">
        <v>111</v>
      </c>
      <c r="C8336" s="2">
        <v>43553</v>
      </c>
      <c r="D8336" t="s">
        <v>26</v>
      </c>
      <c r="E8336">
        <v>555</v>
      </c>
    </row>
    <row r="8337" spans="1:5" x14ac:dyDescent="0.55000000000000004">
      <c r="A8337" t="s">
        <v>8418</v>
      </c>
      <c r="B8337" t="s">
        <v>175</v>
      </c>
      <c r="C8337" s="2">
        <v>44548</v>
      </c>
      <c r="D8337" t="s">
        <v>26</v>
      </c>
      <c r="E8337">
        <v>2297</v>
      </c>
    </row>
    <row r="8338" spans="1:5" x14ac:dyDescent="0.55000000000000004">
      <c r="A8338" t="s">
        <v>8419</v>
      </c>
      <c r="B8338" t="s">
        <v>140</v>
      </c>
      <c r="C8338" s="2">
        <v>43064</v>
      </c>
      <c r="D8338" t="s">
        <v>29</v>
      </c>
      <c r="E8338">
        <v>2879</v>
      </c>
    </row>
    <row r="8339" spans="1:5" x14ac:dyDescent="0.55000000000000004">
      <c r="A8339" t="s">
        <v>8420</v>
      </c>
      <c r="B8339" t="s">
        <v>99</v>
      </c>
      <c r="C8339" s="2">
        <v>44153</v>
      </c>
      <c r="D8339" t="s">
        <v>29</v>
      </c>
      <c r="E8339">
        <v>1825</v>
      </c>
    </row>
    <row r="8340" spans="1:5" x14ac:dyDescent="0.55000000000000004">
      <c r="A8340" t="s">
        <v>8421</v>
      </c>
      <c r="B8340" t="s">
        <v>115</v>
      </c>
      <c r="C8340" s="2">
        <v>43532</v>
      </c>
      <c r="D8340" t="s">
        <v>26</v>
      </c>
      <c r="E8340">
        <v>532</v>
      </c>
    </row>
    <row r="8341" spans="1:5" x14ac:dyDescent="0.55000000000000004">
      <c r="A8341" t="s">
        <v>8422</v>
      </c>
      <c r="B8341" t="s">
        <v>111</v>
      </c>
      <c r="C8341" s="2">
        <v>43031</v>
      </c>
      <c r="D8341" t="s">
        <v>26</v>
      </c>
      <c r="E8341">
        <v>2207</v>
      </c>
    </row>
    <row r="8342" spans="1:5" x14ac:dyDescent="0.55000000000000004">
      <c r="A8342" t="s">
        <v>8423</v>
      </c>
      <c r="B8342" t="s">
        <v>111</v>
      </c>
      <c r="C8342" s="2">
        <v>44362</v>
      </c>
      <c r="D8342" t="s">
        <v>29</v>
      </c>
      <c r="E8342">
        <v>1752</v>
      </c>
    </row>
    <row r="8343" spans="1:5" x14ac:dyDescent="0.55000000000000004">
      <c r="A8343" t="s">
        <v>8424</v>
      </c>
      <c r="B8343" t="s">
        <v>78</v>
      </c>
      <c r="C8343" s="2">
        <v>44172</v>
      </c>
      <c r="D8343" t="s">
        <v>29</v>
      </c>
      <c r="E8343">
        <v>1232</v>
      </c>
    </row>
    <row r="8344" spans="1:5" x14ac:dyDescent="0.55000000000000004">
      <c r="A8344" t="s">
        <v>8425</v>
      </c>
      <c r="B8344" t="s">
        <v>67</v>
      </c>
      <c r="C8344" s="2">
        <v>43758</v>
      </c>
      <c r="D8344" t="s">
        <v>29</v>
      </c>
      <c r="E8344">
        <v>1021</v>
      </c>
    </row>
    <row r="8345" spans="1:5" x14ac:dyDescent="0.55000000000000004">
      <c r="A8345" t="s">
        <v>8426</v>
      </c>
      <c r="B8345" t="s">
        <v>67</v>
      </c>
      <c r="C8345" s="2">
        <v>44643</v>
      </c>
      <c r="D8345" t="s">
        <v>26</v>
      </c>
      <c r="E8345">
        <v>1667</v>
      </c>
    </row>
    <row r="8346" spans="1:5" x14ac:dyDescent="0.55000000000000004">
      <c r="A8346" t="s">
        <v>8427</v>
      </c>
      <c r="B8346" t="s">
        <v>76</v>
      </c>
      <c r="C8346" s="2">
        <v>45756</v>
      </c>
      <c r="D8346" t="s">
        <v>26</v>
      </c>
      <c r="E8346">
        <v>2749</v>
      </c>
    </row>
    <row r="8347" spans="1:5" x14ac:dyDescent="0.55000000000000004">
      <c r="A8347" t="s">
        <v>8428</v>
      </c>
      <c r="B8347" t="s">
        <v>101</v>
      </c>
      <c r="C8347" s="2">
        <v>43318</v>
      </c>
      <c r="D8347" t="s">
        <v>29</v>
      </c>
      <c r="E8347">
        <v>2097</v>
      </c>
    </row>
    <row r="8348" spans="1:5" x14ac:dyDescent="0.55000000000000004">
      <c r="A8348" t="s">
        <v>8429</v>
      </c>
      <c r="B8348" t="s">
        <v>86</v>
      </c>
      <c r="C8348" s="2">
        <v>43369</v>
      </c>
      <c r="D8348" t="s">
        <v>26</v>
      </c>
      <c r="E8348">
        <v>2949</v>
      </c>
    </row>
    <row r="8349" spans="1:5" x14ac:dyDescent="0.55000000000000004">
      <c r="A8349" t="s">
        <v>8430</v>
      </c>
      <c r="B8349" t="s">
        <v>175</v>
      </c>
      <c r="C8349" s="2">
        <v>43812</v>
      </c>
      <c r="D8349" t="s">
        <v>26</v>
      </c>
      <c r="E8349">
        <v>325</v>
      </c>
    </row>
    <row r="8350" spans="1:5" x14ac:dyDescent="0.55000000000000004">
      <c r="A8350" t="s">
        <v>8431</v>
      </c>
      <c r="B8350" t="s">
        <v>76</v>
      </c>
      <c r="C8350" s="2">
        <v>44044</v>
      </c>
      <c r="D8350" t="s">
        <v>29</v>
      </c>
      <c r="E8350">
        <v>2249</v>
      </c>
    </row>
    <row r="8351" spans="1:5" x14ac:dyDescent="0.55000000000000004">
      <c r="A8351" t="s">
        <v>8432</v>
      </c>
      <c r="B8351" t="s">
        <v>23</v>
      </c>
      <c r="C8351" s="2">
        <v>44603</v>
      </c>
      <c r="D8351" t="s">
        <v>29</v>
      </c>
      <c r="E8351">
        <v>344</v>
      </c>
    </row>
    <row r="8352" spans="1:5" x14ac:dyDescent="0.55000000000000004">
      <c r="A8352" t="s">
        <v>8433</v>
      </c>
      <c r="B8352" t="s">
        <v>137</v>
      </c>
      <c r="C8352" s="2">
        <v>44319</v>
      </c>
      <c r="D8352" t="s">
        <v>26</v>
      </c>
      <c r="E8352">
        <v>1204</v>
      </c>
    </row>
    <row r="8353" spans="1:5" x14ac:dyDescent="0.55000000000000004">
      <c r="A8353" t="s">
        <v>8434</v>
      </c>
      <c r="B8353" t="s">
        <v>35</v>
      </c>
      <c r="C8353" s="2">
        <v>44862</v>
      </c>
      <c r="D8353" t="s">
        <v>29</v>
      </c>
      <c r="E8353">
        <v>603</v>
      </c>
    </row>
    <row r="8354" spans="1:5" x14ac:dyDescent="0.55000000000000004">
      <c r="A8354" t="s">
        <v>8435</v>
      </c>
      <c r="B8354" t="s">
        <v>76</v>
      </c>
      <c r="C8354" s="2">
        <v>45471</v>
      </c>
      <c r="D8354" t="s">
        <v>29</v>
      </c>
      <c r="E8354">
        <v>1434</v>
      </c>
    </row>
    <row r="8355" spans="1:5" x14ac:dyDescent="0.55000000000000004">
      <c r="A8355" t="s">
        <v>8436</v>
      </c>
      <c r="B8355" t="s">
        <v>67</v>
      </c>
      <c r="C8355" s="2">
        <v>45006</v>
      </c>
      <c r="D8355" t="s">
        <v>29</v>
      </c>
      <c r="E8355">
        <v>199</v>
      </c>
    </row>
    <row r="8356" spans="1:5" x14ac:dyDescent="0.55000000000000004">
      <c r="A8356" t="s">
        <v>8437</v>
      </c>
      <c r="B8356" t="s">
        <v>94</v>
      </c>
      <c r="C8356" s="2">
        <v>44351</v>
      </c>
      <c r="D8356" t="s">
        <v>29</v>
      </c>
      <c r="E8356">
        <v>1341</v>
      </c>
    </row>
    <row r="8357" spans="1:5" x14ac:dyDescent="0.55000000000000004">
      <c r="A8357" t="s">
        <v>8438</v>
      </c>
      <c r="B8357" t="s">
        <v>140</v>
      </c>
      <c r="C8357" s="2">
        <v>43217</v>
      </c>
      <c r="D8357" t="s">
        <v>26</v>
      </c>
      <c r="E8357">
        <v>795</v>
      </c>
    </row>
    <row r="8358" spans="1:5" x14ac:dyDescent="0.55000000000000004">
      <c r="A8358" t="s">
        <v>8439</v>
      </c>
      <c r="B8358" t="s">
        <v>78</v>
      </c>
      <c r="C8358" s="2">
        <v>45196</v>
      </c>
      <c r="D8358" t="s">
        <v>26</v>
      </c>
      <c r="E8358">
        <v>1039</v>
      </c>
    </row>
    <row r="8359" spans="1:5" x14ac:dyDescent="0.55000000000000004">
      <c r="A8359" t="s">
        <v>8440</v>
      </c>
      <c r="B8359" t="s">
        <v>156</v>
      </c>
      <c r="C8359" s="2">
        <v>44309</v>
      </c>
      <c r="D8359" t="s">
        <v>29</v>
      </c>
      <c r="E8359">
        <v>865</v>
      </c>
    </row>
    <row r="8360" spans="1:5" x14ac:dyDescent="0.55000000000000004">
      <c r="A8360" t="s">
        <v>8441</v>
      </c>
      <c r="B8360" t="s">
        <v>35</v>
      </c>
      <c r="C8360" s="2">
        <v>44359</v>
      </c>
      <c r="D8360" t="s">
        <v>29</v>
      </c>
      <c r="E8360">
        <v>2083</v>
      </c>
    </row>
    <row r="8361" spans="1:5" x14ac:dyDescent="0.55000000000000004">
      <c r="A8361" t="s">
        <v>8442</v>
      </c>
      <c r="B8361" t="s">
        <v>118</v>
      </c>
      <c r="C8361" s="2">
        <v>45012</v>
      </c>
      <c r="D8361" t="s">
        <v>26</v>
      </c>
      <c r="E8361">
        <v>952</v>
      </c>
    </row>
    <row r="8362" spans="1:5" x14ac:dyDescent="0.55000000000000004">
      <c r="A8362" t="s">
        <v>8443</v>
      </c>
      <c r="B8362" t="s">
        <v>115</v>
      </c>
      <c r="C8362" s="2">
        <v>44017</v>
      </c>
      <c r="D8362" t="s">
        <v>26</v>
      </c>
      <c r="E8362">
        <v>2761</v>
      </c>
    </row>
    <row r="8363" spans="1:5" x14ac:dyDescent="0.55000000000000004">
      <c r="A8363" t="s">
        <v>8444</v>
      </c>
      <c r="B8363" t="s">
        <v>72</v>
      </c>
      <c r="C8363" s="2">
        <v>43318</v>
      </c>
      <c r="D8363" t="s">
        <v>26</v>
      </c>
      <c r="E8363">
        <v>1518</v>
      </c>
    </row>
    <row r="8364" spans="1:5" x14ac:dyDescent="0.55000000000000004">
      <c r="A8364" t="s">
        <v>8445</v>
      </c>
      <c r="B8364" t="s">
        <v>15</v>
      </c>
      <c r="C8364" s="2">
        <v>44308</v>
      </c>
      <c r="D8364" t="s">
        <v>29</v>
      </c>
      <c r="E8364">
        <v>363</v>
      </c>
    </row>
    <row r="8365" spans="1:5" x14ac:dyDescent="0.55000000000000004">
      <c r="A8365" t="s">
        <v>8446</v>
      </c>
      <c r="B8365" t="s">
        <v>96</v>
      </c>
      <c r="C8365" s="2">
        <v>43661</v>
      </c>
      <c r="D8365" t="s">
        <v>29</v>
      </c>
      <c r="E8365">
        <v>900</v>
      </c>
    </row>
    <row r="8366" spans="1:5" x14ac:dyDescent="0.55000000000000004">
      <c r="A8366" t="s">
        <v>8447</v>
      </c>
      <c r="B8366" t="s">
        <v>175</v>
      </c>
      <c r="C8366" s="2">
        <v>43974</v>
      </c>
      <c r="D8366" t="s">
        <v>29</v>
      </c>
      <c r="E8366">
        <v>1234</v>
      </c>
    </row>
    <row r="8367" spans="1:5" x14ac:dyDescent="0.55000000000000004">
      <c r="A8367" t="s">
        <v>8448</v>
      </c>
      <c r="B8367" t="s">
        <v>84</v>
      </c>
      <c r="C8367" s="2">
        <v>43648</v>
      </c>
      <c r="D8367" t="s">
        <v>29</v>
      </c>
      <c r="E8367">
        <v>1890</v>
      </c>
    </row>
    <row r="8368" spans="1:5" x14ac:dyDescent="0.55000000000000004">
      <c r="A8368" t="s">
        <v>8449</v>
      </c>
      <c r="B8368" t="s">
        <v>94</v>
      </c>
      <c r="C8368" s="2">
        <v>45219</v>
      </c>
      <c r="D8368" t="s">
        <v>26</v>
      </c>
      <c r="E8368">
        <v>2765</v>
      </c>
    </row>
    <row r="8369" spans="1:5" x14ac:dyDescent="0.55000000000000004">
      <c r="A8369" t="s">
        <v>8450</v>
      </c>
      <c r="B8369" t="s">
        <v>140</v>
      </c>
      <c r="C8369" s="2">
        <v>43195</v>
      </c>
      <c r="D8369" t="s">
        <v>29</v>
      </c>
      <c r="E8369">
        <v>1003</v>
      </c>
    </row>
    <row r="8370" spans="1:5" x14ac:dyDescent="0.55000000000000004">
      <c r="A8370" t="s">
        <v>8451</v>
      </c>
      <c r="B8370" t="s">
        <v>101</v>
      </c>
      <c r="C8370" s="2">
        <v>43827</v>
      </c>
      <c r="D8370" t="s">
        <v>29</v>
      </c>
      <c r="E8370">
        <v>2853</v>
      </c>
    </row>
    <row r="8371" spans="1:5" x14ac:dyDescent="0.55000000000000004">
      <c r="A8371" t="s">
        <v>8452</v>
      </c>
      <c r="B8371" t="s">
        <v>142</v>
      </c>
      <c r="C8371" s="2">
        <v>43960</v>
      </c>
      <c r="D8371" t="s">
        <v>29</v>
      </c>
      <c r="E8371">
        <v>2031</v>
      </c>
    </row>
    <row r="8372" spans="1:5" x14ac:dyDescent="0.55000000000000004">
      <c r="A8372" t="s">
        <v>8453</v>
      </c>
      <c r="B8372" t="s">
        <v>84</v>
      </c>
      <c r="C8372" s="2">
        <v>44521</v>
      </c>
      <c r="D8372" t="s">
        <v>29</v>
      </c>
      <c r="E8372">
        <v>1533</v>
      </c>
    </row>
    <row r="8373" spans="1:5" x14ac:dyDescent="0.55000000000000004">
      <c r="A8373" t="s">
        <v>8454</v>
      </c>
      <c r="B8373" t="s">
        <v>32</v>
      </c>
      <c r="C8373" s="2">
        <v>44389</v>
      </c>
      <c r="D8373" t="s">
        <v>29</v>
      </c>
      <c r="E8373">
        <v>2662</v>
      </c>
    </row>
    <row r="8374" spans="1:5" x14ac:dyDescent="0.55000000000000004">
      <c r="A8374" t="s">
        <v>8455</v>
      </c>
      <c r="B8374" t="s">
        <v>63</v>
      </c>
      <c r="C8374" s="2">
        <v>43501</v>
      </c>
      <c r="D8374" t="s">
        <v>29</v>
      </c>
      <c r="E8374">
        <v>566</v>
      </c>
    </row>
    <row r="8375" spans="1:5" x14ac:dyDescent="0.55000000000000004">
      <c r="A8375" t="s">
        <v>8456</v>
      </c>
      <c r="B8375" t="s">
        <v>23</v>
      </c>
      <c r="C8375" s="2">
        <v>44556</v>
      </c>
      <c r="D8375" t="s">
        <v>26</v>
      </c>
      <c r="E8375">
        <v>1827</v>
      </c>
    </row>
    <row r="8376" spans="1:5" x14ac:dyDescent="0.55000000000000004">
      <c r="A8376" t="s">
        <v>8457</v>
      </c>
      <c r="B8376" t="s">
        <v>78</v>
      </c>
      <c r="C8376" s="2">
        <v>45348</v>
      </c>
      <c r="D8376" t="s">
        <v>29</v>
      </c>
      <c r="E8376">
        <v>112</v>
      </c>
    </row>
    <row r="8377" spans="1:5" x14ac:dyDescent="0.55000000000000004">
      <c r="A8377" t="s">
        <v>8458</v>
      </c>
      <c r="B8377" t="s">
        <v>118</v>
      </c>
      <c r="C8377" s="2">
        <v>44449</v>
      </c>
      <c r="D8377" t="s">
        <v>29</v>
      </c>
      <c r="E8377">
        <v>1594</v>
      </c>
    </row>
    <row r="8378" spans="1:5" x14ac:dyDescent="0.55000000000000004">
      <c r="A8378" t="s">
        <v>8459</v>
      </c>
      <c r="B8378" t="s">
        <v>15</v>
      </c>
      <c r="C8378" s="2">
        <v>43776</v>
      </c>
      <c r="D8378" t="s">
        <v>29</v>
      </c>
      <c r="E8378">
        <v>1152</v>
      </c>
    </row>
    <row r="8379" spans="1:5" x14ac:dyDescent="0.55000000000000004">
      <c r="A8379" t="s">
        <v>8460</v>
      </c>
      <c r="B8379" t="s">
        <v>14</v>
      </c>
      <c r="C8379" s="2">
        <v>43460</v>
      </c>
      <c r="D8379" t="s">
        <v>26</v>
      </c>
      <c r="E8379">
        <v>92</v>
      </c>
    </row>
    <row r="8380" spans="1:5" x14ac:dyDescent="0.55000000000000004">
      <c r="A8380" t="s">
        <v>8461</v>
      </c>
      <c r="B8380" t="s">
        <v>76</v>
      </c>
      <c r="C8380" s="2">
        <v>45432</v>
      </c>
      <c r="D8380" t="s">
        <v>29</v>
      </c>
      <c r="E8380">
        <v>1913</v>
      </c>
    </row>
    <row r="8381" spans="1:5" x14ac:dyDescent="0.55000000000000004">
      <c r="A8381" t="s">
        <v>8462</v>
      </c>
      <c r="B8381" t="s">
        <v>86</v>
      </c>
      <c r="C8381" s="2">
        <v>43081</v>
      </c>
      <c r="D8381" t="s">
        <v>29</v>
      </c>
      <c r="E8381">
        <v>2444</v>
      </c>
    </row>
    <row r="8382" spans="1:5" x14ac:dyDescent="0.55000000000000004">
      <c r="A8382" t="s">
        <v>8463</v>
      </c>
      <c r="B8382" t="s">
        <v>15</v>
      </c>
      <c r="C8382" s="2">
        <v>43635</v>
      </c>
      <c r="D8382" t="s">
        <v>26</v>
      </c>
      <c r="E8382">
        <v>1220</v>
      </c>
    </row>
    <row r="8383" spans="1:5" x14ac:dyDescent="0.55000000000000004">
      <c r="A8383" t="s">
        <v>8464</v>
      </c>
      <c r="B8383" t="s">
        <v>74</v>
      </c>
      <c r="C8383" s="2">
        <v>43072</v>
      </c>
      <c r="D8383" t="s">
        <v>29</v>
      </c>
      <c r="E8383">
        <v>1929</v>
      </c>
    </row>
    <row r="8384" spans="1:5" x14ac:dyDescent="0.55000000000000004">
      <c r="A8384" t="s">
        <v>8465</v>
      </c>
      <c r="B8384" t="s">
        <v>118</v>
      </c>
      <c r="C8384" s="2">
        <v>44316</v>
      </c>
      <c r="D8384" t="s">
        <v>26</v>
      </c>
      <c r="E8384">
        <v>243</v>
      </c>
    </row>
    <row r="8385" spans="1:5" x14ac:dyDescent="0.55000000000000004">
      <c r="A8385" t="s">
        <v>8466</v>
      </c>
      <c r="B8385" t="s">
        <v>32</v>
      </c>
      <c r="C8385" s="2">
        <v>43950</v>
      </c>
      <c r="D8385" t="s">
        <v>26</v>
      </c>
      <c r="E8385">
        <v>2635</v>
      </c>
    </row>
    <row r="8386" spans="1:5" x14ac:dyDescent="0.55000000000000004">
      <c r="A8386" t="s">
        <v>8467</v>
      </c>
      <c r="B8386" t="s">
        <v>41</v>
      </c>
      <c r="C8386" s="2">
        <v>43926</v>
      </c>
      <c r="D8386" t="s">
        <v>29</v>
      </c>
      <c r="E8386">
        <v>137</v>
      </c>
    </row>
    <row r="8387" spans="1:5" x14ac:dyDescent="0.55000000000000004">
      <c r="A8387" t="s">
        <v>8468</v>
      </c>
      <c r="B8387" t="s">
        <v>137</v>
      </c>
      <c r="C8387" s="2">
        <v>45141</v>
      </c>
      <c r="D8387" t="s">
        <v>29</v>
      </c>
      <c r="E8387">
        <v>1631</v>
      </c>
    </row>
    <row r="8388" spans="1:5" x14ac:dyDescent="0.55000000000000004">
      <c r="A8388" t="s">
        <v>8469</v>
      </c>
      <c r="B8388" t="s">
        <v>86</v>
      </c>
      <c r="C8388" s="2">
        <v>44403</v>
      </c>
      <c r="D8388" t="s">
        <v>26</v>
      </c>
      <c r="E8388">
        <v>991</v>
      </c>
    </row>
    <row r="8389" spans="1:5" x14ac:dyDescent="0.55000000000000004">
      <c r="A8389" t="s">
        <v>8470</v>
      </c>
      <c r="B8389" t="s">
        <v>78</v>
      </c>
      <c r="C8389" s="2">
        <v>44655</v>
      </c>
      <c r="D8389" t="s">
        <v>29</v>
      </c>
      <c r="E8389">
        <v>1406</v>
      </c>
    </row>
    <row r="8390" spans="1:5" x14ac:dyDescent="0.55000000000000004">
      <c r="A8390" t="s">
        <v>8471</v>
      </c>
      <c r="B8390" t="s">
        <v>63</v>
      </c>
      <c r="C8390" s="2">
        <v>43992</v>
      </c>
      <c r="D8390" t="s">
        <v>29</v>
      </c>
      <c r="E8390">
        <v>2681</v>
      </c>
    </row>
    <row r="8391" spans="1:5" x14ac:dyDescent="0.55000000000000004">
      <c r="A8391" t="s">
        <v>8472</v>
      </c>
      <c r="B8391" t="s">
        <v>38</v>
      </c>
      <c r="C8391" s="2">
        <v>44696</v>
      </c>
      <c r="D8391" t="s">
        <v>29</v>
      </c>
      <c r="E8391">
        <v>1007</v>
      </c>
    </row>
    <row r="8392" spans="1:5" x14ac:dyDescent="0.55000000000000004">
      <c r="A8392" t="s">
        <v>8473</v>
      </c>
      <c r="B8392" t="s">
        <v>111</v>
      </c>
      <c r="C8392" s="2">
        <v>43286</v>
      </c>
      <c r="D8392" t="s">
        <v>26</v>
      </c>
      <c r="E8392">
        <v>2772</v>
      </c>
    </row>
    <row r="8393" spans="1:5" x14ac:dyDescent="0.55000000000000004">
      <c r="A8393" t="s">
        <v>8474</v>
      </c>
      <c r="B8393" t="s">
        <v>72</v>
      </c>
      <c r="C8393" s="2">
        <v>43759</v>
      </c>
      <c r="D8393" t="s">
        <v>29</v>
      </c>
      <c r="E8393">
        <v>130</v>
      </c>
    </row>
    <row r="8394" spans="1:5" x14ac:dyDescent="0.55000000000000004">
      <c r="A8394" t="s">
        <v>8475</v>
      </c>
      <c r="B8394" t="s">
        <v>35</v>
      </c>
      <c r="C8394" s="2">
        <v>43858</v>
      </c>
      <c r="D8394" t="s">
        <v>26</v>
      </c>
      <c r="E8394">
        <v>1065</v>
      </c>
    </row>
    <row r="8395" spans="1:5" x14ac:dyDescent="0.55000000000000004">
      <c r="A8395" t="s">
        <v>8476</v>
      </c>
      <c r="B8395" t="s">
        <v>15</v>
      </c>
      <c r="C8395" s="2">
        <v>42976</v>
      </c>
      <c r="D8395" t="s">
        <v>26</v>
      </c>
      <c r="E8395">
        <v>287</v>
      </c>
    </row>
    <row r="8396" spans="1:5" x14ac:dyDescent="0.55000000000000004">
      <c r="A8396" t="s">
        <v>8477</v>
      </c>
      <c r="B8396" t="s">
        <v>142</v>
      </c>
      <c r="C8396" s="2">
        <v>44423</v>
      </c>
      <c r="D8396" t="s">
        <v>26</v>
      </c>
      <c r="E8396">
        <v>1260</v>
      </c>
    </row>
    <row r="8397" spans="1:5" x14ac:dyDescent="0.55000000000000004">
      <c r="A8397" t="s">
        <v>8478</v>
      </c>
      <c r="B8397" t="s">
        <v>23</v>
      </c>
      <c r="C8397" s="2">
        <v>44571</v>
      </c>
      <c r="D8397" t="s">
        <v>29</v>
      </c>
      <c r="E8397">
        <v>318</v>
      </c>
    </row>
    <row r="8398" spans="1:5" x14ac:dyDescent="0.55000000000000004">
      <c r="A8398" t="s">
        <v>8479</v>
      </c>
      <c r="B8398" t="s">
        <v>74</v>
      </c>
      <c r="C8398" s="2">
        <v>44145</v>
      </c>
      <c r="D8398" t="s">
        <v>29</v>
      </c>
      <c r="E8398">
        <v>1287</v>
      </c>
    </row>
    <row r="8399" spans="1:5" x14ac:dyDescent="0.55000000000000004">
      <c r="A8399" t="s">
        <v>8480</v>
      </c>
      <c r="B8399" t="s">
        <v>74</v>
      </c>
      <c r="C8399" s="2">
        <v>43094</v>
      </c>
      <c r="D8399" t="s">
        <v>26</v>
      </c>
      <c r="E8399">
        <v>2796</v>
      </c>
    </row>
    <row r="8400" spans="1:5" x14ac:dyDescent="0.55000000000000004">
      <c r="A8400" t="s">
        <v>8481</v>
      </c>
      <c r="B8400" t="s">
        <v>94</v>
      </c>
      <c r="C8400" s="2">
        <v>44769</v>
      </c>
      <c r="D8400" t="s">
        <v>26</v>
      </c>
      <c r="E8400">
        <v>1834</v>
      </c>
    </row>
    <row r="8401" spans="1:5" x14ac:dyDescent="0.55000000000000004">
      <c r="A8401" t="s">
        <v>8482</v>
      </c>
      <c r="B8401" t="s">
        <v>137</v>
      </c>
      <c r="C8401" s="2">
        <v>44599</v>
      </c>
      <c r="D8401" t="s">
        <v>29</v>
      </c>
      <c r="E8401">
        <v>1746</v>
      </c>
    </row>
    <row r="8402" spans="1:5" x14ac:dyDescent="0.55000000000000004">
      <c r="A8402" t="s">
        <v>8483</v>
      </c>
      <c r="B8402" t="s">
        <v>74</v>
      </c>
      <c r="C8402" s="2">
        <v>43555</v>
      </c>
      <c r="D8402" t="s">
        <v>29</v>
      </c>
      <c r="E8402">
        <v>1926</v>
      </c>
    </row>
    <row r="8403" spans="1:5" x14ac:dyDescent="0.55000000000000004">
      <c r="A8403" t="s">
        <v>8484</v>
      </c>
      <c r="B8403" t="s">
        <v>15</v>
      </c>
      <c r="C8403" s="2">
        <v>43787</v>
      </c>
      <c r="D8403" t="s">
        <v>26</v>
      </c>
      <c r="E8403">
        <v>2091</v>
      </c>
    </row>
    <row r="8404" spans="1:5" x14ac:dyDescent="0.55000000000000004">
      <c r="A8404" t="s">
        <v>8485</v>
      </c>
      <c r="B8404" t="s">
        <v>35</v>
      </c>
      <c r="C8404" s="2">
        <v>44667</v>
      </c>
      <c r="D8404" t="s">
        <v>29</v>
      </c>
      <c r="E8404">
        <v>2739</v>
      </c>
    </row>
    <row r="8405" spans="1:5" x14ac:dyDescent="0.55000000000000004">
      <c r="A8405" t="s">
        <v>8486</v>
      </c>
      <c r="B8405" t="s">
        <v>14</v>
      </c>
      <c r="C8405" s="2">
        <v>43491</v>
      </c>
      <c r="D8405" t="s">
        <v>29</v>
      </c>
      <c r="E8405">
        <v>2390</v>
      </c>
    </row>
    <row r="8406" spans="1:5" x14ac:dyDescent="0.55000000000000004">
      <c r="A8406" t="s">
        <v>8487</v>
      </c>
      <c r="B8406" t="s">
        <v>140</v>
      </c>
      <c r="C8406" s="2">
        <v>43735</v>
      </c>
      <c r="D8406" t="s">
        <v>29</v>
      </c>
      <c r="E8406">
        <v>2242</v>
      </c>
    </row>
    <row r="8407" spans="1:5" x14ac:dyDescent="0.55000000000000004">
      <c r="A8407" t="s">
        <v>8488</v>
      </c>
      <c r="B8407" t="s">
        <v>94</v>
      </c>
      <c r="C8407" s="2">
        <v>44069</v>
      </c>
      <c r="D8407" t="s">
        <v>26</v>
      </c>
      <c r="E8407">
        <v>1527</v>
      </c>
    </row>
    <row r="8408" spans="1:5" x14ac:dyDescent="0.55000000000000004">
      <c r="A8408" t="s">
        <v>8489</v>
      </c>
      <c r="B8408" t="s">
        <v>41</v>
      </c>
      <c r="C8408" s="2">
        <v>44103</v>
      </c>
      <c r="D8408" t="s">
        <v>29</v>
      </c>
      <c r="E8408">
        <v>1655</v>
      </c>
    </row>
    <row r="8409" spans="1:5" x14ac:dyDescent="0.55000000000000004">
      <c r="A8409" t="s">
        <v>8490</v>
      </c>
      <c r="B8409" t="s">
        <v>111</v>
      </c>
      <c r="C8409" s="2">
        <v>44146</v>
      </c>
      <c r="D8409" t="s">
        <v>29</v>
      </c>
      <c r="E8409">
        <v>68</v>
      </c>
    </row>
    <row r="8410" spans="1:5" x14ac:dyDescent="0.55000000000000004">
      <c r="A8410" t="s">
        <v>8491</v>
      </c>
      <c r="B8410" t="s">
        <v>67</v>
      </c>
      <c r="C8410" s="2">
        <v>43743</v>
      </c>
      <c r="D8410" t="s">
        <v>29</v>
      </c>
      <c r="E8410">
        <v>2942</v>
      </c>
    </row>
    <row r="8411" spans="1:5" x14ac:dyDescent="0.55000000000000004">
      <c r="A8411" t="s">
        <v>8492</v>
      </c>
      <c r="B8411" t="s">
        <v>105</v>
      </c>
      <c r="C8411" s="2">
        <v>44353</v>
      </c>
      <c r="D8411" t="s">
        <v>26</v>
      </c>
      <c r="E8411">
        <v>2833</v>
      </c>
    </row>
    <row r="8412" spans="1:5" x14ac:dyDescent="0.55000000000000004">
      <c r="A8412" t="s">
        <v>8493</v>
      </c>
      <c r="B8412" t="s">
        <v>63</v>
      </c>
      <c r="C8412" s="2">
        <v>42924</v>
      </c>
      <c r="D8412" t="s">
        <v>26</v>
      </c>
      <c r="E8412">
        <v>2352</v>
      </c>
    </row>
    <row r="8413" spans="1:5" x14ac:dyDescent="0.55000000000000004">
      <c r="A8413" t="s">
        <v>8494</v>
      </c>
      <c r="B8413" t="s">
        <v>41</v>
      </c>
      <c r="C8413" s="2">
        <v>44211</v>
      </c>
      <c r="D8413" t="s">
        <v>29</v>
      </c>
      <c r="E8413">
        <v>1731</v>
      </c>
    </row>
    <row r="8414" spans="1:5" x14ac:dyDescent="0.55000000000000004">
      <c r="A8414" t="s">
        <v>8495</v>
      </c>
      <c r="B8414" t="s">
        <v>156</v>
      </c>
      <c r="C8414" s="2">
        <v>42952</v>
      </c>
      <c r="D8414" t="s">
        <v>29</v>
      </c>
      <c r="E8414">
        <v>1139</v>
      </c>
    </row>
    <row r="8415" spans="1:5" x14ac:dyDescent="0.55000000000000004">
      <c r="A8415" t="s">
        <v>8496</v>
      </c>
      <c r="B8415" t="s">
        <v>175</v>
      </c>
      <c r="C8415" s="2">
        <v>45436</v>
      </c>
      <c r="D8415" t="s">
        <v>26</v>
      </c>
      <c r="E8415">
        <v>2552</v>
      </c>
    </row>
    <row r="8416" spans="1:5" x14ac:dyDescent="0.55000000000000004">
      <c r="A8416" t="s">
        <v>8497</v>
      </c>
      <c r="B8416" t="s">
        <v>99</v>
      </c>
      <c r="C8416" s="2">
        <v>45195</v>
      </c>
      <c r="D8416" t="s">
        <v>26</v>
      </c>
      <c r="E8416">
        <v>637</v>
      </c>
    </row>
    <row r="8417" spans="1:5" x14ac:dyDescent="0.55000000000000004">
      <c r="A8417" t="s">
        <v>8498</v>
      </c>
      <c r="B8417" t="s">
        <v>74</v>
      </c>
      <c r="C8417" s="2">
        <v>43435</v>
      </c>
      <c r="D8417" t="s">
        <v>26</v>
      </c>
      <c r="E8417">
        <v>1452</v>
      </c>
    </row>
    <row r="8418" spans="1:5" x14ac:dyDescent="0.55000000000000004">
      <c r="A8418" t="s">
        <v>8499</v>
      </c>
      <c r="B8418" t="s">
        <v>74</v>
      </c>
      <c r="C8418" s="2">
        <v>43359</v>
      </c>
      <c r="D8418" t="s">
        <v>26</v>
      </c>
      <c r="E8418">
        <v>2178</v>
      </c>
    </row>
    <row r="8419" spans="1:5" x14ac:dyDescent="0.55000000000000004">
      <c r="A8419" t="s">
        <v>8500</v>
      </c>
      <c r="B8419" t="s">
        <v>101</v>
      </c>
      <c r="C8419" s="2">
        <v>43687</v>
      </c>
      <c r="D8419" t="s">
        <v>26</v>
      </c>
      <c r="E8419">
        <v>1262</v>
      </c>
    </row>
    <row r="8420" spans="1:5" x14ac:dyDescent="0.55000000000000004">
      <c r="A8420" t="s">
        <v>8501</v>
      </c>
      <c r="B8420" t="s">
        <v>96</v>
      </c>
      <c r="C8420" s="2">
        <v>44725</v>
      </c>
      <c r="D8420" t="s">
        <v>29</v>
      </c>
      <c r="E8420">
        <v>997</v>
      </c>
    </row>
    <row r="8421" spans="1:5" x14ac:dyDescent="0.55000000000000004">
      <c r="A8421" t="s">
        <v>8502</v>
      </c>
      <c r="B8421" t="s">
        <v>151</v>
      </c>
      <c r="C8421" s="2">
        <v>44047</v>
      </c>
      <c r="D8421" t="s">
        <v>26</v>
      </c>
      <c r="E8421">
        <v>1037</v>
      </c>
    </row>
    <row r="8422" spans="1:5" x14ac:dyDescent="0.55000000000000004">
      <c r="A8422" t="s">
        <v>8503</v>
      </c>
      <c r="B8422" t="s">
        <v>15</v>
      </c>
      <c r="C8422" s="2">
        <v>44418</v>
      </c>
      <c r="D8422" t="s">
        <v>29</v>
      </c>
      <c r="E8422">
        <v>686</v>
      </c>
    </row>
    <row r="8423" spans="1:5" x14ac:dyDescent="0.55000000000000004">
      <c r="A8423" t="s">
        <v>8504</v>
      </c>
      <c r="B8423" t="s">
        <v>84</v>
      </c>
      <c r="C8423" s="2">
        <v>43849</v>
      </c>
      <c r="D8423" t="s">
        <v>29</v>
      </c>
      <c r="E8423">
        <v>1238</v>
      </c>
    </row>
    <row r="8424" spans="1:5" x14ac:dyDescent="0.55000000000000004">
      <c r="A8424" t="s">
        <v>8505</v>
      </c>
      <c r="B8424" t="s">
        <v>175</v>
      </c>
      <c r="C8424" s="2">
        <v>43991</v>
      </c>
      <c r="D8424" t="s">
        <v>26</v>
      </c>
      <c r="E8424">
        <v>769</v>
      </c>
    </row>
    <row r="8425" spans="1:5" x14ac:dyDescent="0.55000000000000004">
      <c r="A8425" t="s">
        <v>8506</v>
      </c>
      <c r="B8425" t="s">
        <v>111</v>
      </c>
      <c r="C8425" s="2">
        <v>44157</v>
      </c>
      <c r="D8425" t="s">
        <v>29</v>
      </c>
      <c r="E8425">
        <v>1155</v>
      </c>
    </row>
    <row r="8426" spans="1:5" x14ac:dyDescent="0.55000000000000004">
      <c r="A8426" t="s">
        <v>8507</v>
      </c>
      <c r="B8426" t="s">
        <v>115</v>
      </c>
      <c r="C8426" s="2">
        <v>42951</v>
      </c>
      <c r="D8426" t="s">
        <v>26</v>
      </c>
      <c r="E8426">
        <v>2957</v>
      </c>
    </row>
    <row r="8427" spans="1:5" x14ac:dyDescent="0.55000000000000004">
      <c r="A8427" t="s">
        <v>8508</v>
      </c>
      <c r="B8427" t="s">
        <v>63</v>
      </c>
      <c r="C8427" s="2">
        <v>44520</v>
      </c>
      <c r="D8427" t="s">
        <v>29</v>
      </c>
      <c r="E8427">
        <v>2642</v>
      </c>
    </row>
    <row r="8428" spans="1:5" x14ac:dyDescent="0.55000000000000004">
      <c r="A8428" t="s">
        <v>8509</v>
      </c>
      <c r="B8428" t="s">
        <v>63</v>
      </c>
      <c r="C8428" s="2">
        <v>43648</v>
      </c>
      <c r="D8428" t="s">
        <v>26</v>
      </c>
      <c r="E8428">
        <v>2200</v>
      </c>
    </row>
    <row r="8429" spans="1:5" x14ac:dyDescent="0.55000000000000004">
      <c r="A8429" t="s">
        <v>8510</v>
      </c>
      <c r="B8429" t="s">
        <v>78</v>
      </c>
      <c r="C8429" s="2">
        <v>45130</v>
      </c>
      <c r="D8429" t="s">
        <v>29</v>
      </c>
      <c r="E8429">
        <v>1270</v>
      </c>
    </row>
    <row r="8430" spans="1:5" x14ac:dyDescent="0.55000000000000004">
      <c r="A8430" t="s">
        <v>8511</v>
      </c>
      <c r="B8430" t="s">
        <v>76</v>
      </c>
      <c r="C8430" s="2">
        <v>45501</v>
      </c>
      <c r="D8430" t="s">
        <v>29</v>
      </c>
      <c r="E8430">
        <v>1238</v>
      </c>
    </row>
    <row r="8431" spans="1:5" x14ac:dyDescent="0.55000000000000004">
      <c r="A8431" t="s">
        <v>8512</v>
      </c>
      <c r="B8431" t="s">
        <v>115</v>
      </c>
      <c r="C8431" s="2">
        <v>43334</v>
      </c>
      <c r="D8431" t="s">
        <v>26</v>
      </c>
      <c r="E8431">
        <v>833</v>
      </c>
    </row>
    <row r="8432" spans="1:5" x14ac:dyDescent="0.55000000000000004">
      <c r="A8432" t="s">
        <v>8513</v>
      </c>
      <c r="B8432" t="s">
        <v>86</v>
      </c>
      <c r="C8432" s="2">
        <v>43073</v>
      </c>
      <c r="D8432" t="s">
        <v>26</v>
      </c>
      <c r="E8432">
        <v>35</v>
      </c>
    </row>
    <row r="8433" spans="1:5" x14ac:dyDescent="0.55000000000000004">
      <c r="A8433" t="s">
        <v>8514</v>
      </c>
      <c r="B8433" t="s">
        <v>72</v>
      </c>
      <c r="C8433" s="2">
        <v>43644</v>
      </c>
      <c r="D8433" t="s">
        <v>29</v>
      </c>
      <c r="E8433">
        <v>801</v>
      </c>
    </row>
    <row r="8434" spans="1:5" x14ac:dyDescent="0.55000000000000004">
      <c r="A8434" t="s">
        <v>8515</v>
      </c>
      <c r="B8434" t="s">
        <v>84</v>
      </c>
      <c r="C8434" s="2">
        <v>43773</v>
      </c>
      <c r="D8434" t="s">
        <v>29</v>
      </c>
      <c r="E8434">
        <v>2189</v>
      </c>
    </row>
    <row r="8435" spans="1:5" x14ac:dyDescent="0.55000000000000004">
      <c r="A8435" t="s">
        <v>8516</v>
      </c>
      <c r="B8435" t="s">
        <v>175</v>
      </c>
      <c r="C8435" s="2">
        <v>43787</v>
      </c>
      <c r="D8435" t="s">
        <v>29</v>
      </c>
      <c r="E8435">
        <v>860</v>
      </c>
    </row>
    <row r="8436" spans="1:5" x14ac:dyDescent="0.55000000000000004">
      <c r="A8436" t="s">
        <v>8517</v>
      </c>
      <c r="B8436" t="s">
        <v>32</v>
      </c>
      <c r="C8436" s="2">
        <v>44910</v>
      </c>
      <c r="D8436" t="s">
        <v>29</v>
      </c>
      <c r="E8436">
        <v>2612</v>
      </c>
    </row>
    <row r="8437" spans="1:5" x14ac:dyDescent="0.55000000000000004">
      <c r="A8437" t="s">
        <v>8518</v>
      </c>
      <c r="B8437" t="s">
        <v>105</v>
      </c>
      <c r="C8437" s="2">
        <v>44337</v>
      </c>
      <c r="D8437" t="s">
        <v>26</v>
      </c>
      <c r="E8437">
        <v>2002</v>
      </c>
    </row>
    <row r="8438" spans="1:5" x14ac:dyDescent="0.55000000000000004">
      <c r="A8438" t="s">
        <v>8519</v>
      </c>
      <c r="B8438" t="s">
        <v>99</v>
      </c>
      <c r="C8438" s="2">
        <v>44808</v>
      </c>
      <c r="D8438" t="s">
        <v>29</v>
      </c>
      <c r="E8438">
        <v>2550</v>
      </c>
    </row>
    <row r="8439" spans="1:5" x14ac:dyDescent="0.55000000000000004">
      <c r="A8439" t="s">
        <v>8520</v>
      </c>
      <c r="B8439" t="s">
        <v>137</v>
      </c>
      <c r="C8439" s="2">
        <v>43703</v>
      </c>
      <c r="D8439" t="s">
        <v>29</v>
      </c>
      <c r="E8439">
        <v>2891</v>
      </c>
    </row>
    <row r="8440" spans="1:5" x14ac:dyDescent="0.55000000000000004">
      <c r="A8440" t="s">
        <v>8521</v>
      </c>
      <c r="B8440" t="s">
        <v>94</v>
      </c>
      <c r="C8440" s="2">
        <v>43777</v>
      </c>
      <c r="D8440" t="s">
        <v>26</v>
      </c>
      <c r="E8440">
        <v>2269</v>
      </c>
    </row>
    <row r="8441" spans="1:5" x14ac:dyDescent="0.55000000000000004">
      <c r="A8441" t="s">
        <v>8522</v>
      </c>
      <c r="B8441" t="s">
        <v>101</v>
      </c>
      <c r="C8441" s="2">
        <v>43593</v>
      </c>
      <c r="D8441" t="s">
        <v>29</v>
      </c>
      <c r="E8441">
        <v>2125</v>
      </c>
    </row>
    <row r="8442" spans="1:5" x14ac:dyDescent="0.55000000000000004">
      <c r="A8442" t="s">
        <v>8523</v>
      </c>
      <c r="B8442" t="s">
        <v>175</v>
      </c>
      <c r="C8442" s="2">
        <v>43919</v>
      </c>
      <c r="D8442" t="s">
        <v>29</v>
      </c>
      <c r="E8442">
        <v>1887</v>
      </c>
    </row>
    <row r="8443" spans="1:5" x14ac:dyDescent="0.55000000000000004">
      <c r="A8443" t="s">
        <v>8524</v>
      </c>
      <c r="B8443" t="s">
        <v>86</v>
      </c>
      <c r="C8443" s="2">
        <v>44469</v>
      </c>
      <c r="D8443" t="s">
        <v>26</v>
      </c>
      <c r="E8443">
        <v>881</v>
      </c>
    </row>
    <row r="8444" spans="1:5" x14ac:dyDescent="0.55000000000000004">
      <c r="A8444" t="s">
        <v>8525</v>
      </c>
      <c r="B8444" t="s">
        <v>99</v>
      </c>
      <c r="C8444" s="2">
        <v>44307</v>
      </c>
      <c r="D8444" t="s">
        <v>26</v>
      </c>
      <c r="E8444">
        <v>2406</v>
      </c>
    </row>
    <row r="8445" spans="1:5" x14ac:dyDescent="0.55000000000000004">
      <c r="A8445" t="s">
        <v>8526</v>
      </c>
      <c r="B8445" t="s">
        <v>63</v>
      </c>
      <c r="C8445" s="2">
        <v>43554</v>
      </c>
      <c r="D8445" t="s">
        <v>26</v>
      </c>
      <c r="E8445">
        <v>2243</v>
      </c>
    </row>
    <row r="8446" spans="1:5" x14ac:dyDescent="0.55000000000000004">
      <c r="A8446" t="s">
        <v>8527</v>
      </c>
      <c r="B8446" t="s">
        <v>94</v>
      </c>
      <c r="C8446" s="2">
        <v>43634</v>
      </c>
      <c r="D8446" t="s">
        <v>26</v>
      </c>
      <c r="E8446">
        <v>803</v>
      </c>
    </row>
    <row r="8447" spans="1:5" x14ac:dyDescent="0.55000000000000004">
      <c r="A8447" t="s">
        <v>8528</v>
      </c>
      <c r="B8447" t="s">
        <v>99</v>
      </c>
      <c r="C8447" s="2">
        <v>43732</v>
      </c>
      <c r="D8447" t="s">
        <v>29</v>
      </c>
      <c r="E8447">
        <v>1577</v>
      </c>
    </row>
    <row r="8448" spans="1:5" x14ac:dyDescent="0.55000000000000004">
      <c r="A8448" t="s">
        <v>8529</v>
      </c>
      <c r="B8448" t="s">
        <v>151</v>
      </c>
      <c r="C8448" s="2">
        <v>43447</v>
      </c>
      <c r="D8448" t="s">
        <v>26</v>
      </c>
      <c r="E8448">
        <v>2881</v>
      </c>
    </row>
    <row r="8449" spans="1:5" x14ac:dyDescent="0.55000000000000004">
      <c r="A8449" t="s">
        <v>8530</v>
      </c>
      <c r="B8449" t="s">
        <v>32</v>
      </c>
      <c r="C8449" s="2">
        <v>44185</v>
      </c>
      <c r="D8449" t="s">
        <v>29</v>
      </c>
      <c r="E8449">
        <v>643</v>
      </c>
    </row>
    <row r="8450" spans="1:5" x14ac:dyDescent="0.55000000000000004">
      <c r="A8450" t="s">
        <v>8531</v>
      </c>
      <c r="B8450" t="s">
        <v>115</v>
      </c>
      <c r="C8450" s="2">
        <v>44328</v>
      </c>
      <c r="D8450" t="s">
        <v>29</v>
      </c>
      <c r="E8450">
        <v>2352</v>
      </c>
    </row>
    <row r="8451" spans="1:5" x14ac:dyDescent="0.55000000000000004">
      <c r="A8451" t="s">
        <v>8532</v>
      </c>
      <c r="B8451" t="s">
        <v>15</v>
      </c>
      <c r="C8451" s="2">
        <v>44441</v>
      </c>
      <c r="D8451" t="s">
        <v>26</v>
      </c>
      <c r="E8451">
        <v>213</v>
      </c>
    </row>
    <row r="8452" spans="1:5" x14ac:dyDescent="0.55000000000000004">
      <c r="A8452" t="s">
        <v>8533</v>
      </c>
      <c r="B8452" t="s">
        <v>175</v>
      </c>
      <c r="C8452" s="2">
        <v>43882</v>
      </c>
      <c r="D8452" t="s">
        <v>26</v>
      </c>
      <c r="E8452">
        <v>259</v>
      </c>
    </row>
    <row r="8453" spans="1:5" x14ac:dyDescent="0.55000000000000004">
      <c r="A8453" t="s">
        <v>8534</v>
      </c>
      <c r="B8453" t="s">
        <v>67</v>
      </c>
      <c r="C8453" s="2">
        <v>44753</v>
      </c>
      <c r="D8453" t="s">
        <v>26</v>
      </c>
      <c r="E8453">
        <v>1934</v>
      </c>
    </row>
    <row r="8454" spans="1:5" x14ac:dyDescent="0.55000000000000004">
      <c r="A8454" t="s">
        <v>8535</v>
      </c>
      <c r="B8454" t="s">
        <v>94</v>
      </c>
      <c r="C8454" s="2">
        <v>44257</v>
      </c>
      <c r="D8454" t="s">
        <v>29</v>
      </c>
      <c r="E8454">
        <v>371</v>
      </c>
    </row>
    <row r="8455" spans="1:5" x14ac:dyDescent="0.55000000000000004">
      <c r="A8455" t="s">
        <v>8536</v>
      </c>
      <c r="B8455" t="s">
        <v>74</v>
      </c>
      <c r="C8455" s="2">
        <v>43522</v>
      </c>
      <c r="D8455" t="s">
        <v>29</v>
      </c>
      <c r="E8455">
        <v>360</v>
      </c>
    </row>
    <row r="8456" spans="1:5" x14ac:dyDescent="0.55000000000000004">
      <c r="A8456" t="s">
        <v>8537</v>
      </c>
      <c r="B8456" t="s">
        <v>151</v>
      </c>
      <c r="C8456" s="2">
        <v>43427</v>
      </c>
      <c r="D8456" t="s">
        <v>26</v>
      </c>
      <c r="E8456">
        <v>1361</v>
      </c>
    </row>
    <row r="8457" spans="1:5" x14ac:dyDescent="0.55000000000000004">
      <c r="A8457" t="s">
        <v>8538</v>
      </c>
      <c r="B8457" t="s">
        <v>94</v>
      </c>
      <c r="C8457" s="2">
        <v>44925</v>
      </c>
      <c r="D8457" t="s">
        <v>29</v>
      </c>
      <c r="E8457">
        <v>801</v>
      </c>
    </row>
    <row r="8458" spans="1:5" x14ac:dyDescent="0.55000000000000004">
      <c r="A8458" t="s">
        <v>8539</v>
      </c>
      <c r="B8458" t="s">
        <v>76</v>
      </c>
      <c r="C8458" s="2">
        <v>43687</v>
      </c>
      <c r="D8458" t="s">
        <v>26</v>
      </c>
      <c r="E8458">
        <v>1313</v>
      </c>
    </row>
    <row r="8459" spans="1:5" x14ac:dyDescent="0.55000000000000004">
      <c r="A8459" t="s">
        <v>8540</v>
      </c>
      <c r="B8459" t="s">
        <v>63</v>
      </c>
      <c r="C8459" s="2">
        <v>42996</v>
      </c>
      <c r="D8459" t="s">
        <v>26</v>
      </c>
      <c r="E8459">
        <v>241</v>
      </c>
    </row>
    <row r="8460" spans="1:5" x14ac:dyDescent="0.55000000000000004">
      <c r="A8460" t="s">
        <v>8541</v>
      </c>
      <c r="B8460" t="s">
        <v>137</v>
      </c>
      <c r="C8460" s="2">
        <v>44724</v>
      </c>
      <c r="D8460" t="s">
        <v>29</v>
      </c>
      <c r="E8460">
        <v>42</v>
      </c>
    </row>
    <row r="8461" spans="1:5" x14ac:dyDescent="0.55000000000000004">
      <c r="A8461" t="s">
        <v>8542</v>
      </c>
      <c r="B8461" t="s">
        <v>15</v>
      </c>
      <c r="C8461" s="2">
        <v>43820</v>
      </c>
      <c r="D8461" t="s">
        <v>26</v>
      </c>
      <c r="E8461">
        <v>2751</v>
      </c>
    </row>
    <row r="8462" spans="1:5" x14ac:dyDescent="0.55000000000000004">
      <c r="A8462" t="s">
        <v>8543</v>
      </c>
      <c r="B8462" t="s">
        <v>41</v>
      </c>
      <c r="C8462" s="2">
        <v>44035</v>
      </c>
      <c r="D8462" t="s">
        <v>26</v>
      </c>
      <c r="E8462">
        <v>2525</v>
      </c>
    </row>
    <row r="8463" spans="1:5" x14ac:dyDescent="0.55000000000000004">
      <c r="A8463" t="s">
        <v>8544</v>
      </c>
      <c r="B8463" t="s">
        <v>94</v>
      </c>
      <c r="C8463" s="2">
        <v>45134</v>
      </c>
      <c r="D8463" t="s">
        <v>29</v>
      </c>
      <c r="E8463">
        <v>2514</v>
      </c>
    </row>
    <row r="8464" spans="1:5" x14ac:dyDescent="0.55000000000000004">
      <c r="A8464" t="s">
        <v>8545</v>
      </c>
      <c r="B8464" t="s">
        <v>99</v>
      </c>
      <c r="C8464" s="2">
        <v>44707</v>
      </c>
      <c r="D8464" t="s">
        <v>29</v>
      </c>
      <c r="E8464">
        <v>1309</v>
      </c>
    </row>
    <row r="8465" spans="1:5" x14ac:dyDescent="0.55000000000000004">
      <c r="A8465" t="s">
        <v>8546</v>
      </c>
      <c r="B8465" t="s">
        <v>15</v>
      </c>
      <c r="C8465" s="2">
        <v>43750</v>
      </c>
      <c r="D8465" t="s">
        <v>29</v>
      </c>
      <c r="E8465">
        <v>972</v>
      </c>
    </row>
    <row r="8466" spans="1:5" x14ac:dyDescent="0.55000000000000004">
      <c r="A8466" t="s">
        <v>8547</v>
      </c>
      <c r="B8466" t="s">
        <v>78</v>
      </c>
      <c r="C8466" s="2">
        <v>44717</v>
      </c>
      <c r="D8466" t="s">
        <v>29</v>
      </c>
      <c r="E8466">
        <v>1243</v>
      </c>
    </row>
    <row r="8467" spans="1:5" x14ac:dyDescent="0.55000000000000004">
      <c r="A8467" t="s">
        <v>8548</v>
      </c>
      <c r="B8467" t="s">
        <v>115</v>
      </c>
      <c r="C8467" s="2">
        <v>44520</v>
      </c>
      <c r="D8467" t="s">
        <v>26</v>
      </c>
      <c r="E8467">
        <v>2447</v>
      </c>
    </row>
    <row r="8468" spans="1:5" x14ac:dyDescent="0.55000000000000004">
      <c r="A8468" t="s">
        <v>8549</v>
      </c>
      <c r="B8468" t="s">
        <v>23</v>
      </c>
      <c r="C8468" s="2">
        <v>44032</v>
      </c>
      <c r="D8468" t="s">
        <v>26</v>
      </c>
      <c r="E8468">
        <v>1665</v>
      </c>
    </row>
    <row r="8469" spans="1:5" x14ac:dyDescent="0.55000000000000004">
      <c r="A8469" t="s">
        <v>8550</v>
      </c>
      <c r="B8469" t="s">
        <v>32</v>
      </c>
      <c r="C8469" s="2">
        <v>44377</v>
      </c>
      <c r="D8469" t="s">
        <v>29</v>
      </c>
      <c r="E8469">
        <v>625</v>
      </c>
    </row>
    <row r="8470" spans="1:5" x14ac:dyDescent="0.55000000000000004">
      <c r="A8470" t="s">
        <v>8551</v>
      </c>
      <c r="B8470" t="s">
        <v>142</v>
      </c>
      <c r="C8470" s="2">
        <v>43770</v>
      </c>
      <c r="D8470" t="s">
        <v>29</v>
      </c>
      <c r="E8470">
        <v>2803</v>
      </c>
    </row>
    <row r="8471" spans="1:5" x14ac:dyDescent="0.55000000000000004">
      <c r="A8471" t="s">
        <v>8552</v>
      </c>
      <c r="B8471" t="s">
        <v>74</v>
      </c>
      <c r="C8471" s="2">
        <v>44182</v>
      </c>
      <c r="D8471" t="s">
        <v>26</v>
      </c>
      <c r="E8471">
        <v>93</v>
      </c>
    </row>
    <row r="8472" spans="1:5" x14ac:dyDescent="0.55000000000000004">
      <c r="A8472" t="s">
        <v>8553</v>
      </c>
      <c r="B8472" t="s">
        <v>140</v>
      </c>
      <c r="C8472" s="2">
        <v>43131</v>
      </c>
      <c r="D8472" t="s">
        <v>29</v>
      </c>
      <c r="E8472">
        <v>2624</v>
      </c>
    </row>
    <row r="8473" spans="1:5" x14ac:dyDescent="0.55000000000000004">
      <c r="A8473" t="s">
        <v>8554</v>
      </c>
      <c r="B8473" t="s">
        <v>101</v>
      </c>
      <c r="C8473" s="2">
        <v>44330</v>
      </c>
      <c r="D8473" t="s">
        <v>26</v>
      </c>
      <c r="E8473">
        <v>70</v>
      </c>
    </row>
    <row r="8474" spans="1:5" x14ac:dyDescent="0.55000000000000004">
      <c r="A8474" t="s">
        <v>8555</v>
      </c>
      <c r="B8474" t="s">
        <v>142</v>
      </c>
      <c r="C8474" s="2">
        <v>44460</v>
      </c>
      <c r="D8474" t="s">
        <v>26</v>
      </c>
      <c r="E8474">
        <v>655</v>
      </c>
    </row>
    <row r="8475" spans="1:5" x14ac:dyDescent="0.55000000000000004">
      <c r="A8475" t="s">
        <v>8556</v>
      </c>
      <c r="B8475" t="s">
        <v>38</v>
      </c>
      <c r="C8475" s="2">
        <v>44343</v>
      </c>
      <c r="D8475" t="s">
        <v>26</v>
      </c>
      <c r="E8475">
        <v>505</v>
      </c>
    </row>
    <row r="8476" spans="1:5" x14ac:dyDescent="0.55000000000000004">
      <c r="A8476" t="s">
        <v>8557</v>
      </c>
      <c r="B8476" t="s">
        <v>101</v>
      </c>
      <c r="C8476" s="2">
        <v>44013</v>
      </c>
      <c r="D8476" t="s">
        <v>26</v>
      </c>
      <c r="E8476">
        <v>1709</v>
      </c>
    </row>
    <row r="8477" spans="1:5" x14ac:dyDescent="0.55000000000000004">
      <c r="A8477" t="s">
        <v>8558</v>
      </c>
      <c r="B8477" t="s">
        <v>175</v>
      </c>
      <c r="C8477" s="2">
        <v>45528</v>
      </c>
      <c r="D8477" t="s">
        <v>26</v>
      </c>
      <c r="E8477">
        <v>622</v>
      </c>
    </row>
    <row r="8478" spans="1:5" x14ac:dyDescent="0.55000000000000004">
      <c r="A8478" t="s">
        <v>8559</v>
      </c>
      <c r="B8478" t="s">
        <v>38</v>
      </c>
      <c r="C8478" s="2">
        <v>44002</v>
      </c>
      <c r="D8478" t="s">
        <v>29</v>
      </c>
      <c r="E8478">
        <v>1457</v>
      </c>
    </row>
    <row r="8479" spans="1:5" x14ac:dyDescent="0.55000000000000004">
      <c r="A8479" t="s">
        <v>8560</v>
      </c>
      <c r="B8479" t="s">
        <v>35</v>
      </c>
      <c r="C8479" s="2">
        <v>44654</v>
      </c>
      <c r="D8479" t="s">
        <v>26</v>
      </c>
      <c r="E8479">
        <v>2663</v>
      </c>
    </row>
    <row r="8480" spans="1:5" x14ac:dyDescent="0.55000000000000004">
      <c r="A8480" t="s">
        <v>8561</v>
      </c>
      <c r="B8480" t="s">
        <v>137</v>
      </c>
      <c r="C8480" s="2">
        <v>45026</v>
      </c>
      <c r="D8480" t="s">
        <v>29</v>
      </c>
      <c r="E8480">
        <v>598</v>
      </c>
    </row>
    <row r="8481" spans="1:5" x14ac:dyDescent="0.55000000000000004">
      <c r="A8481" t="s">
        <v>8562</v>
      </c>
      <c r="B8481" t="s">
        <v>14</v>
      </c>
      <c r="C8481" s="2">
        <v>44000</v>
      </c>
      <c r="D8481" t="s">
        <v>26</v>
      </c>
      <c r="E8481">
        <v>2586</v>
      </c>
    </row>
    <row r="8482" spans="1:5" x14ac:dyDescent="0.55000000000000004">
      <c r="A8482" t="s">
        <v>8563</v>
      </c>
      <c r="B8482" t="s">
        <v>84</v>
      </c>
      <c r="C8482" s="2">
        <v>43933</v>
      </c>
      <c r="D8482" t="s">
        <v>26</v>
      </c>
      <c r="E8482">
        <v>15</v>
      </c>
    </row>
    <row r="8483" spans="1:5" x14ac:dyDescent="0.55000000000000004">
      <c r="A8483" t="s">
        <v>8564</v>
      </c>
      <c r="B8483" t="s">
        <v>14</v>
      </c>
      <c r="C8483" s="2">
        <v>43624</v>
      </c>
      <c r="D8483" t="s">
        <v>26</v>
      </c>
      <c r="E8483">
        <v>569</v>
      </c>
    </row>
    <row r="8484" spans="1:5" x14ac:dyDescent="0.55000000000000004">
      <c r="A8484" t="s">
        <v>8565</v>
      </c>
      <c r="B8484" t="s">
        <v>38</v>
      </c>
      <c r="C8484" s="2">
        <v>44551</v>
      </c>
      <c r="D8484" t="s">
        <v>29</v>
      </c>
      <c r="E8484">
        <v>530</v>
      </c>
    </row>
    <row r="8485" spans="1:5" x14ac:dyDescent="0.55000000000000004">
      <c r="A8485" t="s">
        <v>8566</v>
      </c>
      <c r="B8485" t="s">
        <v>118</v>
      </c>
      <c r="C8485" s="2">
        <v>44009</v>
      </c>
      <c r="D8485" t="s">
        <v>29</v>
      </c>
      <c r="E8485">
        <v>201</v>
      </c>
    </row>
    <row r="8486" spans="1:5" x14ac:dyDescent="0.55000000000000004">
      <c r="A8486" t="s">
        <v>8567</v>
      </c>
      <c r="B8486" t="s">
        <v>41</v>
      </c>
      <c r="C8486" s="2">
        <v>44243</v>
      </c>
      <c r="D8486" t="s">
        <v>26</v>
      </c>
      <c r="E8486">
        <v>597</v>
      </c>
    </row>
    <row r="8487" spans="1:5" x14ac:dyDescent="0.55000000000000004">
      <c r="A8487" t="s">
        <v>8568</v>
      </c>
      <c r="B8487" t="s">
        <v>14</v>
      </c>
      <c r="C8487" s="2">
        <v>43012</v>
      </c>
      <c r="D8487" t="s">
        <v>29</v>
      </c>
      <c r="E8487">
        <v>1094</v>
      </c>
    </row>
    <row r="8488" spans="1:5" x14ac:dyDescent="0.55000000000000004">
      <c r="A8488" t="s">
        <v>8569</v>
      </c>
      <c r="B8488" t="s">
        <v>99</v>
      </c>
      <c r="C8488" s="2">
        <v>44857</v>
      </c>
      <c r="D8488" t="s">
        <v>29</v>
      </c>
      <c r="E8488">
        <v>527</v>
      </c>
    </row>
    <row r="8489" spans="1:5" x14ac:dyDescent="0.55000000000000004">
      <c r="A8489" t="s">
        <v>8570</v>
      </c>
      <c r="B8489" t="s">
        <v>84</v>
      </c>
      <c r="C8489" s="2">
        <v>43308</v>
      </c>
      <c r="D8489" t="s">
        <v>29</v>
      </c>
      <c r="E8489">
        <v>500</v>
      </c>
    </row>
    <row r="8490" spans="1:5" x14ac:dyDescent="0.55000000000000004">
      <c r="A8490" t="s">
        <v>8571</v>
      </c>
      <c r="B8490" t="s">
        <v>72</v>
      </c>
      <c r="C8490" s="2">
        <v>44166</v>
      </c>
      <c r="D8490" t="s">
        <v>29</v>
      </c>
      <c r="E8490">
        <v>361</v>
      </c>
    </row>
    <row r="8491" spans="1:5" x14ac:dyDescent="0.55000000000000004">
      <c r="A8491" t="s">
        <v>8572</v>
      </c>
      <c r="B8491" t="s">
        <v>156</v>
      </c>
      <c r="C8491" s="2">
        <v>43602</v>
      </c>
      <c r="D8491" t="s">
        <v>26</v>
      </c>
      <c r="E8491">
        <v>2937</v>
      </c>
    </row>
    <row r="8492" spans="1:5" x14ac:dyDescent="0.55000000000000004">
      <c r="A8492" t="s">
        <v>8573</v>
      </c>
      <c r="B8492" t="s">
        <v>137</v>
      </c>
      <c r="C8492" s="2">
        <v>43649</v>
      </c>
      <c r="D8492" t="s">
        <v>29</v>
      </c>
      <c r="E8492">
        <v>2772</v>
      </c>
    </row>
    <row r="8493" spans="1:5" x14ac:dyDescent="0.55000000000000004">
      <c r="A8493" t="s">
        <v>8574</v>
      </c>
      <c r="B8493" t="s">
        <v>67</v>
      </c>
      <c r="C8493" s="2">
        <v>43560</v>
      </c>
      <c r="D8493" t="s">
        <v>26</v>
      </c>
      <c r="E8493">
        <v>2587</v>
      </c>
    </row>
    <row r="8494" spans="1:5" x14ac:dyDescent="0.55000000000000004">
      <c r="A8494" t="s">
        <v>8575</v>
      </c>
      <c r="B8494" t="s">
        <v>67</v>
      </c>
      <c r="C8494" s="2">
        <v>45102</v>
      </c>
      <c r="D8494" t="s">
        <v>26</v>
      </c>
      <c r="E8494">
        <v>1556</v>
      </c>
    </row>
    <row r="8495" spans="1:5" x14ac:dyDescent="0.55000000000000004">
      <c r="A8495" t="s">
        <v>8576</v>
      </c>
      <c r="B8495" t="s">
        <v>142</v>
      </c>
      <c r="C8495" s="2">
        <v>43506</v>
      </c>
      <c r="D8495" t="s">
        <v>26</v>
      </c>
      <c r="E8495">
        <v>710</v>
      </c>
    </row>
    <row r="8496" spans="1:5" x14ac:dyDescent="0.55000000000000004">
      <c r="A8496" t="s">
        <v>8577</v>
      </c>
      <c r="B8496" t="s">
        <v>137</v>
      </c>
      <c r="C8496" s="2">
        <v>44211</v>
      </c>
      <c r="D8496" t="s">
        <v>29</v>
      </c>
      <c r="E8496">
        <v>52</v>
      </c>
    </row>
    <row r="8497" spans="1:5" x14ac:dyDescent="0.55000000000000004">
      <c r="A8497" t="s">
        <v>8578</v>
      </c>
      <c r="B8497" t="s">
        <v>140</v>
      </c>
      <c r="C8497" s="2">
        <v>44520</v>
      </c>
      <c r="D8497" t="s">
        <v>29</v>
      </c>
      <c r="E8497">
        <v>1230</v>
      </c>
    </row>
    <row r="8498" spans="1:5" x14ac:dyDescent="0.55000000000000004">
      <c r="A8498" t="s">
        <v>8579</v>
      </c>
      <c r="B8498" t="s">
        <v>94</v>
      </c>
      <c r="C8498" s="2">
        <v>45420</v>
      </c>
      <c r="D8498" t="s">
        <v>29</v>
      </c>
      <c r="E8498">
        <v>1847</v>
      </c>
    </row>
    <row r="8499" spans="1:5" x14ac:dyDescent="0.55000000000000004">
      <c r="A8499" t="s">
        <v>8580</v>
      </c>
      <c r="B8499" t="s">
        <v>137</v>
      </c>
      <c r="C8499" s="2">
        <v>45100</v>
      </c>
      <c r="D8499" t="s">
        <v>29</v>
      </c>
      <c r="E8499">
        <v>170</v>
      </c>
    </row>
    <row r="8500" spans="1:5" x14ac:dyDescent="0.55000000000000004">
      <c r="A8500" t="s">
        <v>8581</v>
      </c>
      <c r="B8500" t="s">
        <v>41</v>
      </c>
      <c r="C8500" s="2">
        <v>43878</v>
      </c>
      <c r="D8500" t="s">
        <v>29</v>
      </c>
      <c r="E8500">
        <v>341</v>
      </c>
    </row>
    <row r="8501" spans="1:5" x14ac:dyDescent="0.55000000000000004">
      <c r="A8501" t="s">
        <v>8582</v>
      </c>
      <c r="B8501" t="s">
        <v>35</v>
      </c>
      <c r="C8501" s="2">
        <v>44860</v>
      </c>
      <c r="D8501" t="s">
        <v>29</v>
      </c>
      <c r="E8501">
        <v>1784</v>
      </c>
    </row>
    <row r="8502" spans="1:5" x14ac:dyDescent="0.55000000000000004">
      <c r="A8502" t="s">
        <v>8583</v>
      </c>
      <c r="B8502" t="s">
        <v>101</v>
      </c>
      <c r="C8502" s="2">
        <v>44325</v>
      </c>
      <c r="D8502" t="s">
        <v>29</v>
      </c>
      <c r="E8502">
        <v>836</v>
      </c>
    </row>
    <row r="8503" spans="1:5" x14ac:dyDescent="0.55000000000000004">
      <c r="A8503" t="s">
        <v>8584</v>
      </c>
      <c r="B8503" t="s">
        <v>142</v>
      </c>
      <c r="C8503" s="2">
        <v>43109</v>
      </c>
      <c r="D8503" t="s">
        <v>29</v>
      </c>
      <c r="E8503">
        <v>1348</v>
      </c>
    </row>
    <row r="8504" spans="1:5" x14ac:dyDescent="0.55000000000000004">
      <c r="A8504" t="s">
        <v>8585</v>
      </c>
      <c r="B8504" t="s">
        <v>35</v>
      </c>
      <c r="C8504" s="2">
        <v>44556</v>
      </c>
      <c r="D8504" t="s">
        <v>29</v>
      </c>
      <c r="E8504">
        <v>551</v>
      </c>
    </row>
    <row r="8505" spans="1:5" x14ac:dyDescent="0.55000000000000004">
      <c r="A8505" t="s">
        <v>8586</v>
      </c>
      <c r="B8505" t="s">
        <v>63</v>
      </c>
      <c r="C8505" s="2">
        <v>43971</v>
      </c>
      <c r="D8505" t="s">
        <v>29</v>
      </c>
      <c r="E8505">
        <v>2174</v>
      </c>
    </row>
    <row r="8506" spans="1:5" x14ac:dyDescent="0.55000000000000004">
      <c r="A8506" t="s">
        <v>8587</v>
      </c>
      <c r="B8506" t="s">
        <v>67</v>
      </c>
      <c r="C8506" s="2">
        <v>45556</v>
      </c>
      <c r="D8506" t="s">
        <v>29</v>
      </c>
      <c r="E8506">
        <v>2981</v>
      </c>
    </row>
    <row r="8507" spans="1:5" x14ac:dyDescent="0.55000000000000004">
      <c r="A8507" t="s">
        <v>8588</v>
      </c>
      <c r="B8507" t="s">
        <v>94</v>
      </c>
      <c r="C8507" s="2">
        <v>45026</v>
      </c>
      <c r="D8507" t="s">
        <v>29</v>
      </c>
      <c r="E8507">
        <v>1743</v>
      </c>
    </row>
    <row r="8508" spans="1:5" x14ac:dyDescent="0.55000000000000004">
      <c r="A8508" t="s">
        <v>8589</v>
      </c>
      <c r="B8508" t="s">
        <v>41</v>
      </c>
      <c r="C8508" s="2">
        <v>44317</v>
      </c>
      <c r="D8508" t="s">
        <v>26</v>
      </c>
      <c r="E8508">
        <v>843</v>
      </c>
    </row>
    <row r="8509" spans="1:5" x14ac:dyDescent="0.55000000000000004">
      <c r="A8509" t="s">
        <v>8590</v>
      </c>
      <c r="B8509" t="s">
        <v>101</v>
      </c>
      <c r="C8509" s="2">
        <v>44266</v>
      </c>
      <c r="D8509" t="s">
        <v>26</v>
      </c>
      <c r="E8509">
        <v>1706</v>
      </c>
    </row>
    <row r="8510" spans="1:5" x14ac:dyDescent="0.55000000000000004">
      <c r="A8510" t="s">
        <v>8591</v>
      </c>
      <c r="B8510" t="s">
        <v>35</v>
      </c>
      <c r="C8510" s="2">
        <v>44093</v>
      </c>
      <c r="D8510" t="s">
        <v>26</v>
      </c>
      <c r="E8510">
        <v>2423</v>
      </c>
    </row>
    <row r="8511" spans="1:5" x14ac:dyDescent="0.55000000000000004">
      <c r="A8511" t="s">
        <v>8592</v>
      </c>
      <c r="B8511" t="s">
        <v>14</v>
      </c>
      <c r="C8511" s="2">
        <v>43097</v>
      </c>
      <c r="D8511" t="s">
        <v>26</v>
      </c>
      <c r="E8511">
        <v>2977</v>
      </c>
    </row>
    <row r="8512" spans="1:5" x14ac:dyDescent="0.55000000000000004">
      <c r="A8512" t="s">
        <v>8593</v>
      </c>
      <c r="B8512" t="s">
        <v>76</v>
      </c>
      <c r="C8512" s="2">
        <v>44258</v>
      </c>
      <c r="D8512" t="s">
        <v>29</v>
      </c>
      <c r="E8512">
        <v>37</v>
      </c>
    </row>
    <row r="8513" spans="1:5" x14ac:dyDescent="0.55000000000000004">
      <c r="A8513" t="s">
        <v>8594</v>
      </c>
      <c r="B8513" t="s">
        <v>84</v>
      </c>
      <c r="C8513" s="2">
        <v>43904</v>
      </c>
      <c r="D8513" t="s">
        <v>29</v>
      </c>
      <c r="E8513">
        <v>2725</v>
      </c>
    </row>
    <row r="8514" spans="1:5" x14ac:dyDescent="0.55000000000000004">
      <c r="A8514" t="s">
        <v>8595</v>
      </c>
      <c r="B8514" t="s">
        <v>118</v>
      </c>
      <c r="C8514" s="2">
        <v>45297</v>
      </c>
      <c r="D8514" t="s">
        <v>26</v>
      </c>
      <c r="E8514">
        <v>2365</v>
      </c>
    </row>
    <row r="8515" spans="1:5" x14ac:dyDescent="0.55000000000000004">
      <c r="A8515" t="s">
        <v>8596</v>
      </c>
      <c r="B8515" t="s">
        <v>32</v>
      </c>
      <c r="C8515" s="2">
        <v>43862</v>
      </c>
      <c r="D8515" t="s">
        <v>26</v>
      </c>
      <c r="E8515">
        <v>2084</v>
      </c>
    </row>
    <row r="8516" spans="1:5" x14ac:dyDescent="0.55000000000000004">
      <c r="A8516" t="s">
        <v>8597</v>
      </c>
      <c r="B8516" t="s">
        <v>14</v>
      </c>
      <c r="C8516" s="2">
        <v>43341</v>
      </c>
      <c r="D8516" t="s">
        <v>29</v>
      </c>
      <c r="E8516">
        <v>496</v>
      </c>
    </row>
    <row r="8517" spans="1:5" x14ac:dyDescent="0.55000000000000004">
      <c r="A8517" t="s">
        <v>8598</v>
      </c>
      <c r="B8517" t="s">
        <v>118</v>
      </c>
      <c r="C8517" s="2">
        <v>44516</v>
      </c>
      <c r="D8517" t="s">
        <v>29</v>
      </c>
      <c r="E8517">
        <v>2989</v>
      </c>
    </row>
    <row r="8518" spans="1:5" x14ac:dyDescent="0.55000000000000004">
      <c r="A8518" t="s">
        <v>8599</v>
      </c>
      <c r="B8518" t="s">
        <v>63</v>
      </c>
      <c r="C8518" s="2">
        <v>44064</v>
      </c>
      <c r="D8518" t="s">
        <v>26</v>
      </c>
      <c r="E8518">
        <v>2941</v>
      </c>
    </row>
    <row r="8519" spans="1:5" x14ac:dyDescent="0.55000000000000004">
      <c r="A8519" t="s">
        <v>8600</v>
      </c>
      <c r="B8519" t="s">
        <v>23</v>
      </c>
      <c r="C8519" s="2">
        <v>44424</v>
      </c>
      <c r="D8519" t="s">
        <v>29</v>
      </c>
      <c r="E8519">
        <v>300</v>
      </c>
    </row>
    <row r="8520" spans="1:5" x14ac:dyDescent="0.55000000000000004">
      <c r="A8520" t="s">
        <v>8601</v>
      </c>
      <c r="B8520" t="s">
        <v>23</v>
      </c>
      <c r="C8520" s="2">
        <v>44080</v>
      </c>
      <c r="D8520" t="s">
        <v>29</v>
      </c>
      <c r="E8520">
        <v>1882</v>
      </c>
    </row>
    <row r="8521" spans="1:5" x14ac:dyDescent="0.55000000000000004">
      <c r="A8521" t="s">
        <v>8602</v>
      </c>
      <c r="B8521" t="s">
        <v>137</v>
      </c>
      <c r="C8521" s="2">
        <v>45773</v>
      </c>
      <c r="D8521" t="s">
        <v>26</v>
      </c>
      <c r="E8521">
        <v>1481</v>
      </c>
    </row>
    <row r="8522" spans="1:5" x14ac:dyDescent="0.55000000000000004">
      <c r="A8522" t="s">
        <v>8603</v>
      </c>
      <c r="B8522" t="s">
        <v>63</v>
      </c>
      <c r="C8522" s="2">
        <v>43547</v>
      </c>
      <c r="D8522" t="s">
        <v>29</v>
      </c>
      <c r="E8522">
        <v>524</v>
      </c>
    </row>
    <row r="8523" spans="1:5" x14ac:dyDescent="0.55000000000000004">
      <c r="A8523" t="s">
        <v>8604</v>
      </c>
      <c r="B8523" t="s">
        <v>99</v>
      </c>
      <c r="C8523" s="2">
        <v>44446</v>
      </c>
      <c r="D8523" t="s">
        <v>29</v>
      </c>
      <c r="E8523">
        <v>380</v>
      </c>
    </row>
    <row r="8524" spans="1:5" x14ac:dyDescent="0.55000000000000004">
      <c r="A8524" t="s">
        <v>8605</v>
      </c>
      <c r="B8524" t="s">
        <v>78</v>
      </c>
      <c r="C8524" s="2">
        <v>45140</v>
      </c>
      <c r="D8524" t="s">
        <v>29</v>
      </c>
      <c r="E8524">
        <v>880</v>
      </c>
    </row>
    <row r="8525" spans="1:5" x14ac:dyDescent="0.55000000000000004">
      <c r="A8525" t="s">
        <v>8606</v>
      </c>
      <c r="B8525" t="s">
        <v>35</v>
      </c>
      <c r="C8525" s="2">
        <v>43946</v>
      </c>
      <c r="D8525" t="s">
        <v>29</v>
      </c>
      <c r="E8525">
        <v>2984</v>
      </c>
    </row>
    <row r="8526" spans="1:5" x14ac:dyDescent="0.55000000000000004">
      <c r="A8526" t="s">
        <v>8607</v>
      </c>
      <c r="B8526" t="s">
        <v>63</v>
      </c>
      <c r="C8526" s="2">
        <v>43175</v>
      </c>
      <c r="D8526" t="s">
        <v>29</v>
      </c>
      <c r="E8526">
        <v>2021</v>
      </c>
    </row>
    <row r="8527" spans="1:5" x14ac:dyDescent="0.55000000000000004">
      <c r="A8527" t="s">
        <v>8608</v>
      </c>
      <c r="B8527" t="s">
        <v>14</v>
      </c>
      <c r="C8527" s="2">
        <v>44056</v>
      </c>
      <c r="D8527" t="s">
        <v>29</v>
      </c>
      <c r="E8527">
        <v>2091</v>
      </c>
    </row>
    <row r="8528" spans="1:5" x14ac:dyDescent="0.55000000000000004">
      <c r="A8528" t="s">
        <v>8609</v>
      </c>
      <c r="B8528" t="s">
        <v>118</v>
      </c>
      <c r="C8528" s="2">
        <v>45583</v>
      </c>
      <c r="D8528" t="s">
        <v>29</v>
      </c>
      <c r="E8528">
        <v>2567</v>
      </c>
    </row>
    <row r="8529" spans="1:5" x14ac:dyDescent="0.55000000000000004">
      <c r="A8529" t="s">
        <v>8610</v>
      </c>
      <c r="B8529" t="s">
        <v>67</v>
      </c>
      <c r="C8529" s="2">
        <v>45161</v>
      </c>
      <c r="D8529" t="s">
        <v>29</v>
      </c>
      <c r="E8529">
        <v>1556</v>
      </c>
    </row>
    <row r="8530" spans="1:5" x14ac:dyDescent="0.55000000000000004">
      <c r="A8530" t="s">
        <v>8611</v>
      </c>
      <c r="B8530" t="s">
        <v>41</v>
      </c>
      <c r="C8530" s="2">
        <v>44136</v>
      </c>
      <c r="D8530" t="s">
        <v>26</v>
      </c>
      <c r="E8530">
        <v>1505</v>
      </c>
    </row>
    <row r="8531" spans="1:5" x14ac:dyDescent="0.55000000000000004">
      <c r="A8531" t="s">
        <v>8612</v>
      </c>
      <c r="B8531" t="s">
        <v>118</v>
      </c>
      <c r="C8531" s="2">
        <v>45656</v>
      </c>
      <c r="D8531" t="s">
        <v>26</v>
      </c>
      <c r="E8531">
        <v>650</v>
      </c>
    </row>
    <row r="8532" spans="1:5" x14ac:dyDescent="0.55000000000000004">
      <c r="A8532" t="s">
        <v>8613</v>
      </c>
      <c r="B8532" t="s">
        <v>67</v>
      </c>
      <c r="C8532" s="2">
        <v>44140</v>
      </c>
      <c r="D8532" t="s">
        <v>26</v>
      </c>
      <c r="E8532">
        <v>453</v>
      </c>
    </row>
    <row r="8533" spans="1:5" x14ac:dyDescent="0.55000000000000004">
      <c r="A8533" t="s">
        <v>8614</v>
      </c>
      <c r="B8533" t="s">
        <v>67</v>
      </c>
      <c r="C8533" s="2">
        <v>44360</v>
      </c>
      <c r="D8533" t="s">
        <v>26</v>
      </c>
      <c r="E8533">
        <v>1005</v>
      </c>
    </row>
    <row r="8534" spans="1:5" x14ac:dyDescent="0.55000000000000004">
      <c r="A8534" t="s">
        <v>8615</v>
      </c>
      <c r="B8534" t="s">
        <v>86</v>
      </c>
      <c r="C8534" s="2">
        <v>43346</v>
      </c>
      <c r="D8534" t="s">
        <v>26</v>
      </c>
      <c r="E8534">
        <v>1789</v>
      </c>
    </row>
    <row r="8535" spans="1:5" x14ac:dyDescent="0.55000000000000004">
      <c r="A8535" t="s">
        <v>8616</v>
      </c>
      <c r="B8535" t="s">
        <v>94</v>
      </c>
      <c r="C8535" s="2">
        <v>45554</v>
      </c>
      <c r="D8535" t="s">
        <v>29</v>
      </c>
      <c r="E8535">
        <v>1749</v>
      </c>
    </row>
    <row r="8536" spans="1:5" x14ac:dyDescent="0.55000000000000004">
      <c r="A8536" t="s">
        <v>8617</v>
      </c>
      <c r="B8536" t="s">
        <v>99</v>
      </c>
      <c r="C8536" s="2">
        <v>44686</v>
      </c>
      <c r="D8536" t="s">
        <v>29</v>
      </c>
      <c r="E8536">
        <v>1986</v>
      </c>
    </row>
    <row r="8537" spans="1:5" x14ac:dyDescent="0.55000000000000004">
      <c r="A8537" t="s">
        <v>8618</v>
      </c>
      <c r="B8537" t="s">
        <v>140</v>
      </c>
      <c r="C8537" s="2">
        <v>44225</v>
      </c>
      <c r="D8537" t="s">
        <v>29</v>
      </c>
      <c r="E8537">
        <v>2057</v>
      </c>
    </row>
    <row r="8538" spans="1:5" x14ac:dyDescent="0.55000000000000004">
      <c r="A8538" t="s">
        <v>8619</v>
      </c>
      <c r="B8538" t="s">
        <v>14</v>
      </c>
      <c r="C8538" s="2">
        <v>44167</v>
      </c>
      <c r="D8538" t="s">
        <v>29</v>
      </c>
      <c r="E8538">
        <v>1140</v>
      </c>
    </row>
    <row r="8539" spans="1:5" x14ac:dyDescent="0.55000000000000004">
      <c r="A8539" t="s">
        <v>8620</v>
      </c>
      <c r="B8539" t="s">
        <v>111</v>
      </c>
      <c r="C8539" s="2">
        <v>44558</v>
      </c>
      <c r="D8539" t="s">
        <v>26</v>
      </c>
      <c r="E8539">
        <v>1964</v>
      </c>
    </row>
    <row r="8540" spans="1:5" x14ac:dyDescent="0.55000000000000004">
      <c r="A8540" t="s">
        <v>8621</v>
      </c>
      <c r="B8540" t="s">
        <v>84</v>
      </c>
      <c r="C8540" s="2">
        <v>44420</v>
      </c>
      <c r="D8540" t="s">
        <v>29</v>
      </c>
      <c r="E8540">
        <v>2353</v>
      </c>
    </row>
    <row r="8541" spans="1:5" x14ac:dyDescent="0.55000000000000004">
      <c r="A8541" t="s">
        <v>8622</v>
      </c>
      <c r="B8541" t="s">
        <v>111</v>
      </c>
      <c r="C8541" s="2">
        <v>44094</v>
      </c>
      <c r="D8541" t="s">
        <v>29</v>
      </c>
      <c r="E8541">
        <v>1371</v>
      </c>
    </row>
    <row r="8542" spans="1:5" x14ac:dyDescent="0.55000000000000004">
      <c r="A8542" t="s">
        <v>8623</v>
      </c>
      <c r="B8542" t="s">
        <v>72</v>
      </c>
      <c r="C8542" s="2">
        <v>43079</v>
      </c>
      <c r="D8542" t="s">
        <v>26</v>
      </c>
      <c r="E8542">
        <v>1463</v>
      </c>
    </row>
    <row r="8543" spans="1:5" x14ac:dyDescent="0.55000000000000004">
      <c r="A8543" t="s">
        <v>8624</v>
      </c>
      <c r="B8543" t="s">
        <v>35</v>
      </c>
      <c r="C8543" s="2">
        <v>44241</v>
      </c>
      <c r="D8543" t="s">
        <v>26</v>
      </c>
      <c r="E8543">
        <v>1956</v>
      </c>
    </row>
    <row r="8544" spans="1:5" x14ac:dyDescent="0.55000000000000004">
      <c r="A8544" t="s">
        <v>8625</v>
      </c>
      <c r="B8544" t="s">
        <v>111</v>
      </c>
      <c r="C8544" s="2">
        <v>43622</v>
      </c>
      <c r="D8544" t="s">
        <v>29</v>
      </c>
      <c r="E8544">
        <v>2456</v>
      </c>
    </row>
    <row r="8545" spans="1:5" x14ac:dyDescent="0.55000000000000004">
      <c r="A8545" t="s">
        <v>8626</v>
      </c>
      <c r="B8545" t="s">
        <v>35</v>
      </c>
      <c r="C8545" s="2">
        <v>44155</v>
      </c>
      <c r="D8545" t="s">
        <v>29</v>
      </c>
      <c r="E8545">
        <v>1124</v>
      </c>
    </row>
    <row r="8546" spans="1:5" x14ac:dyDescent="0.55000000000000004">
      <c r="A8546" t="s">
        <v>8627</v>
      </c>
      <c r="B8546" t="s">
        <v>99</v>
      </c>
      <c r="C8546" s="2">
        <v>45339</v>
      </c>
      <c r="D8546" t="s">
        <v>29</v>
      </c>
      <c r="E8546">
        <v>356</v>
      </c>
    </row>
    <row r="8547" spans="1:5" x14ac:dyDescent="0.55000000000000004">
      <c r="A8547" t="s">
        <v>8628</v>
      </c>
      <c r="B8547" t="s">
        <v>38</v>
      </c>
      <c r="C8547" s="2">
        <v>43962</v>
      </c>
      <c r="D8547" t="s">
        <v>29</v>
      </c>
      <c r="E8547">
        <v>2156</v>
      </c>
    </row>
    <row r="8548" spans="1:5" x14ac:dyDescent="0.55000000000000004">
      <c r="A8548" t="s">
        <v>8629</v>
      </c>
      <c r="B8548" t="s">
        <v>101</v>
      </c>
      <c r="C8548" s="2">
        <v>44317</v>
      </c>
      <c r="D8548" t="s">
        <v>26</v>
      </c>
      <c r="E8548">
        <v>1755</v>
      </c>
    </row>
    <row r="8549" spans="1:5" x14ac:dyDescent="0.55000000000000004">
      <c r="A8549" t="s">
        <v>8630</v>
      </c>
      <c r="B8549" t="s">
        <v>15</v>
      </c>
      <c r="C8549" s="2">
        <v>43578</v>
      </c>
      <c r="D8549" t="s">
        <v>26</v>
      </c>
      <c r="E8549">
        <v>2670</v>
      </c>
    </row>
    <row r="8550" spans="1:5" x14ac:dyDescent="0.55000000000000004">
      <c r="A8550" t="s">
        <v>8631</v>
      </c>
      <c r="B8550" t="s">
        <v>115</v>
      </c>
      <c r="C8550" s="2">
        <v>44534</v>
      </c>
      <c r="D8550" t="s">
        <v>29</v>
      </c>
      <c r="E8550">
        <v>1738</v>
      </c>
    </row>
    <row r="8551" spans="1:5" x14ac:dyDescent="0.55000000000000004">
      <c r="A8551" t="s">
        <v>8632</v>
      </c>
      <c r="B8551" t="s">
        <v>84</v>
      </c>
      <c r="C8551" s="2">
        <v>43602</v>
      </c>
      <c r="D8551" t="s">
        <v>26</v>
      </c>
      <c r="E8551">
        <v>1098</v>
      </c>
    </row>
    <row r="8552" spans="1:5" x14ac:dyDescent="0.55000000000000004">
      <c r="A8552" t="s">
        <v>8633</v>
      </c>
      <c r="B8552" t="s">
        <v>32</v>
      </c>
      <c r="C8552" s="2">
        <v>44663</v>
      </c>
      <c r="D8552" t="s">
        <v>29</v>
      </c>
      <c r="E8552">
        <v>1303</v>
      </c>
    </row>
    <row r="8553" spans="1:5" x14ac:dyDescent="0.55000000000000004">
      <c r="A8553" t="s">
        <v>8634</v>
      </c>
      <c r="B8553" t="s">
        <v>74</v>
      </c>
      <c r="C8553" s="2">
        <v>44488</v>
      </c>
      <c r="D8553" t="s">
        <v>29</v>
      </c>
      <c r="E8553">
        <v>2626</v>
      </c>
    </row>
    <row r="8554" spans="1:5" x14ac:dyDescent="0.55000000000000004">
      <c r="A8554" t="s">
        <v>8635</v>
      </c>
      <c r="B8554" t="s">
        <v>140</v>
      </c>
      <c r="C8554" s="2">
        <v>43553</v>
      </c>
      <c r="D8554" t="s">
        <v>26</v>
      </c>
      <c r="E8554">
        <v>2504</v>
      </c>
    </row>
    <row r="8555" spans="1:5" x14ac:dyDescent="0.55000000000000004">
      <c r="A8555" t="s">
        <v>8636</v>
      </c>
      <c r="B8555" t="s">
        <v>101</v>
      </c>
      <c r="C8555" s="2">
        <v>43819</v>
      </c>
      <c r="D8555" t="s">
        <v>29</v>
      </c>
      <c r="E8555">
        <v>973</v>
      </c>
    </row>
    <row r="8556" spans="1:5" x14ac:dyDescent="0.55000000000000004">
      <c r="A8556" t="s">
        <v>8637</v>
      </c>
      <c r="B8556" t="s">
        <v>78</v>
      </c>
      <c r="C8556" s="2">
        <v>43498</v>
      </c>
      <c r="D8556" t="s">
        <v>26</v>
      </c>
      <c r="E8556">
        <v>2317</v>
      </c>
    </row>
    <row r="8557" spans="1:5" x14ac:dyDescent="0.55000000000000004">
      <c r="A8557" t="s">
        <v>8638</v>
      </c>
      <c r="B8557" t="s">
        <v>151</v>
      </c>
      <c r="C8557" s="2">
        <v>43635</v>
      </c>
      <c r="D8557" t="s">
        <v>26</v>
      </c>
      <c r="E8557">
        <v>249</v>
      </c>
    </row>
    <row r="8558" spans="1:5" x14ac:dyDescent="0.55000000000000004">
      <c r="A8558" t="s">
        <v>8639</v>
      </c>
      <c r="B8558" t="s">
        <v>175</v>
      </c>
      <c r="C8558" s="2">
        <v>43917</v>
      </c>
      <c r="D8558" t="s">
        <v>29</v>
      </c>
      <c r="E8558">
        <v>785</v>
      </c>
    </row>
    <row r="8559" spans="1:5" x14ac:dyDescent="0.55000000000000004">
      <c r="A8559" t="s">
        <v>8640</v>
      </c>
      <c r="B8559" t="s">
        <v>175</v>
      </c>
      <c r="C8559" s="2">
        <v>43620</v>
      </c>
      <c r="D8559" t="s">
        <v>26</v>
      </c>
      <c r="E8559">
        <v>1340</v>
      </c>
    </row>
    <row r="8560" spans="1:5" x14ac:dyDescent="0.55000000000000004">
      <c r="A8560" t="s">
        <v>8641</v>
      </c>
      <c r="B8560" t="s">
        <v>23</v>
      </c>
      <c r="C8560" s="2">
        <v>44804</v>
      </c>
      <c r="D8560" t="s">
        <v>26</v>
      </c>
      <c r="E8560">
        <v>706</v>
      </c>
    </row>
    <row r="8561" spans="1:5" x14ac:dyDescent="0.55000000000000004">
      <c r="A8561" t="s">
        <v>8642</v>
      </c>
      <c r="B8561" t="s">
        <v>84</v>
      </c>
      <c r="C8561" s="2">
        <v>43213</v>
      </c>
      <c r="D8561" t="s">
        <v>26</v>
      </c>
      <c r="E8561">
        <v>2147</v>
      </c>
    </row>
    <row r="8562" spans="1:5" x14ac:dyDescent="0.55000000000000004">
      <c r="A8562" t="s">
        <v>8643</v>
      </c>
      <c r="B8562" t="s">
        <v>84</v>
      </c>
      <c r="C8562" s="2">
        <v>44472</v>
      </c>
      <c r="D8562" t="s">
        <v>26</v>
      </c>
      <c r="E8562">
        <v>1250</v>
      </c>
    </row>
    <row r="8563" spans="1:5" x14ac:dyDescent="0.55000000000000004">
      <c r="A8563" t="s">
        <v>8644</v>
      </c>
      <c r="B8563" t="s">
        <v>118</v>
      </c>
      <c r="C8563" s="2">
        <v>44151</v>
      </c>
      <c r="D8563" t="s">
        <v>29</v>
      </c>
      <c r="E8563">
        <v>1562</v>
      </c>
    </row>
    <row r="8564" spans="1:5" x14ac:dyDescent="0.55000000000000004">
      <c r="A8564" t="s">
        <v>8645</v>
      </c>
      <c r="B8564" t="s">
        <v>140</v>
      </c>
      <c r="C8564" s="2">
        <v>44050</v>
      </c>
      <c r="D8564" t="s">
        <v>26</v>
      </c>
      <c r="E8564">
        <v>2325</v>
      </c>
    </row>
    <row r="8565" spans="1:5" x14ac:dyDescent="0.55000000000000004">
      <c r="A8565" t="s">
        <v>8646</v>
      </c>
      <c r="B8565" t="s">
        <v>35</v>
      </c>
      <c r="C8565" s="2">
        <v>44895</v>
      </c>
      <c r="D8565" t="s">
        <v>29</v>
      </c>
      <c r="E8565">
        <v>1785</v>
      </c>
    </row>
    <row r="8566" spans="1:5" x14ac:dyDescent="0.55000000000000004">
      <c r="A8566" t="s">
        <v>8647</v>
      </c>
      <c r="B8566" t="s">
        <v>35</v>
      </c>
      <c r="C8566" s="2">
        <v>43931</v>
      </c>
      <c r="D8566" t="s">
        <v>26</v>
      </c>
      <c r="E8566">
        <v>2595</v>
      </c>
    </row>
    <row r="8567" spans="1:5" x14ac:dyDescent="0.55000000000000004">
      <c r="A8567" t="s">
        <v>8648</v>
      </c>
      <c r="B8567" t="s">
        <v>76</v>
      </c>
      <c r="C8567" s="2">
        <v>45539</v>
      </c>
      <c r="D8567" t="s">
        <v>26</v>
      </c>
      <c r="E8567">
        <v>1124</v>
      </c>
    </row>
    <row r="8568" spans="1:5" x14ac:dyDescent="0.55000000000000004">
      <c r="A8568" t="s">
        <v>8649</v>
      </c>
      <c r="B8568" t="s">
        <v>14</v>
      </c>
      <c r="C8568" s="2">
        <v>44542</v>
      </c>
      <c r="D8568" t="s">
        <v>26</v>
      </c>
      <c r="E8568">
        <v>805</v>
      </c>
    </row>
    <row r="8569" spans="1:5" x14ac:dyDescent="0.55000000000000004">
      <c r="A8569" t="s">
        <v>8650</v>
      </c>
      <c r="B8569" t="s">
        <v>156</v>
      </c>
      <c r="C8569" s="2">
        <v>44050</v>
      </c>
      <c r="D8569" t="s">
        <v>26</v>
      </c>
      <c r="E8569">
        <v>294</v>
      </c>
    </row>
    <row r="8570" spans="1:5" x14ac:dyDescent="0.55000000000000004">
      <c r="A8570" t="s">
        <v>8651</v>
      </c>
      <c r="B8570" t="s">
        <v>175</v>
      </c>
      <c r="C8570" s="2">
        <v>44832</v>
      </c>
      <c r="D8570" t="s">
        <v>26</v>
      </c>
      <c r="E8570">
        <v>1796</v>
      </c>
    </row>
    <row r="8571" spans="1:5" x14ac:dyDescent="0.55000000000000004">
      <c r="A8571" t="s">
        <v>8652</v>
      </c>
      <c r="B8571" t="s">
        <v>78</v>
      </c>
      <c r="C8571" s="2">
        <v>44457</v>
      </c>
      <c r="D8571" t="s">
        <v>29</v>
      </c>
      <c r="E8571">
        <v>2158</v>
      </c>
    </row>
    <row r="8572" spans="1:5" x14ac:dyDescent="0.55000000000000004">
      <c r="A8572" t="s">
        <v>8653</v>
      </c>
      <c r="B8572" t="s">
        <v>101</v>
      </c>
      <c r="C8572" s="2">
        <v>43736</v>
      </c>
      <c r="D8572" t="s">
        <v>29</v>
      </c>
      <c r="E8572">
        <v>427</v>
      </c>
    </row>
    <row r="8573" spans="1:5" x14ac:dyDescent="0.55000000000000004">
      <c r="A8573" t="s">
        <v>8654</v>
      </c>
      <c r="B8573" t="s">
        <v>86</v>
      </c>
      <c r="C8573" s="2">
        <v>43585</v>
      </c>
      <c r="D8573" t="s">
        <v>29</v>
      </c>
      <c r="E8573">
        <v>1116</v>
      </c>
    </row>
    <row r="8574" spans="1:5" x14ac:dyDescent="0.55000000000000004">
      <c r="A8574" t="s">
        <v>8655</v>
      </c>
      <c r="B8574" t="s">
        <v>140</v>
      </c>
      <c r="C8574" s="2">
        <v>42949</v>
      </c>
      <c r="D8574" t="s">
        <v>29</v>
      </c>
      <c r="E8574">
        <v>1003</v>
      </c>
    </row>
    <row r="8575" spans="1:5" x14ac:dyDescent="0.55000000000000004">
      <c r="A8575" t="s">
        <v>8656</v>
      </c>
      <c r="B8575" t="s">
        <v>23</v>
      </c>
      <c r="C8575" s="2">
        <v>44146</v>
      </c>
      <c r="D8575" t="s">
        <v>29</v>
      </c>
      <c r="E8575">
        <v>167</v>
      </c>
    </row>
    <row r="8576" spans="1:5" x14ac:dyDescent="0.55000000000000004">
      <c r="A8576" t="s">
        <v>8657</v>
      </c>
      <c r="B8576" t="s">
        <v>32</v>
      </c>
      <c r="C8576" s="2">
        <v>44726</v>
      </c>
      <c r="D8576" t="s">
        <v>29</v>
      </c>
      <c r="E8576">
        <v>1094</v>
      </c>
    </row>
    <row r="8577" spans="1:5" x14ac:dyDescent="0.55000000000000004">
      <c r="A8577" t="s">
        <v>8658</v>
      </c>
      <c r="B8577" t="s">
        <v>78</v>
      </c>
      <c r="C8577" s="2">
        <v>45116</v>
      </c>
      <c r="D8577" t="s">
        <v>26</v>
      </c>
      <c r="E8577">
        <v>2030</v>
      </c>
    </row>
    <row r="8578" spans="1:5" x14ac:dyDescent="0.55000000000000004">
      <c r="A8578" t="s">
        <v>8659</v>
      </c>
      <c r="B8578" t="s">
        <v>72</v>
      </c>
      <c r="C8578" s="2">
        <v>43015</v>
      </c>
      <c r="D8578" t="s">
        <v>29</v>
      </c>
      <c r="E8578">
        <v>844</v>
      </c>
    </row>
    <row r="8579" spans="1:5" x14ac:dyDescent="0.55000000000000004">
      <c r="A8579" t="s">
        <v>8660</v>
      </c>
      <c r="B8579" t="s">
        <v>101</v>
      </c>
      <c r="C8579" s="2">
        <v>44343</v>
      </c>
      <c r="D8579" t="s">
        <v>29</v>
      </c>
      <c r="E8579">
        <v>2556</v>
      </c>
    </row>
    <row r="8580" spans="1:5" x14ac:dyDescent="0.55000000000000004">
      <c r="A8580" t="s">
        <v>8661</v>
      </c>
      <c r="B8580" t="s">
        <v>23</v>
      </c>
      <c r="C8580" s="2">
        <v>43959</v>
      </c>
      <c r="D8580" t="s">
        <v>26</v>
      </c>
      <c r="E8580">
        <v>2454</v>
      </c>
    </row>
    <row r="8581" spans="1:5" x14ac:dyDescent="0.55000000000000004">
      <c r="A8581" t="s">
        <v>8662</v>
      </c>
      <c r="B8581" t="s">
        <v>41</v>
      </c>
      <c r="C8581" s="2">
        <v>44144</v>
      </c>
      <c r="D8581" t="s">
        <v>29</v>
      </c>
      <c r="E8581">
        <v>1674</v>
      </c>
    </row>
    <row r="8582" spans="1:5" x14ac:dyDescent="0.55000000000000004">
      <c r="A8582" t="s">
        <v>8663</v>
      </c>
      <c r="B8582" t="s">
        <v>15</v>
      </c>
      <c r="C8582" s="2">
        <v>44430</v>
      </c>
      <c r="D8582" t="s">
        <v>26</v>
      </c>
      <c r="E8582">
        <v>2053</v>
      </c>
    </row>
    <row r="8583" spans="1:5" x14ac:dyDescent="0.55000000000000004">
      <c r="A8583" t="s">
        <v>8664</v>
      </c>
      <c r="B8583" t="s">
        <v>86</v>
      </c>
      <c r="C8583" s="2">
        <v>44428</v>
      </c>
      <c r="D8583" t="s">
        <v>26</v>
      </c>
      <c r="E8583">
        <v>699</v>
      </c>
    </row>
    <row r="8584" spans="1:5" x14ac:dyDescent="0.55000000000000004">
      <c r="A8584" t="s">
        <v>8665</v>
      </c>
      <c r="B8584" t="s">
        <v>74</v>
      </c>
      <c r="C8584" s="2">
        <v>43648</v>
      </c>
      <c r="D8584" t="s">
        <v>29</v>
      </c>
      <c r="E8584">
        <v>2959</v>
      </c>
    </row>
    <row r="8585" spans="1:5" x14ac:dyDescent="0.55000000000000004">
      <c r="A8585" t="s">
        <v>8666</v>
      </c>
      <c r="B8585" t="s">
        <v>94</v>
      </c>
      <c r="C8585" s="2">
        <v>44356</v>
      </c>
      <c r="D8585" t="s">
        <v>26</v>
      </c>
      <c r="E8585">
        <v>80</v>
      </c>
    </row>
    <row r="8586" spans="1:5" x14ac:dyDescent="0.55000000000000004">
      <c r="A8586" t="s">
        <v>8667</v>
      </c>
      <c r="B8586" t="s">
        <v>38</v>
      </c>
      <c r="C8586" s="2">
        <v>44849</v>
      </c>
      <c r="D8586" t="s">
        <v>29</v>
      </c>
      <c r="E8586">
        <v>1393</v>
      </c>
    </row>
    <row r="8587" spans="1:5" x14ac:dyDescent="0.55000000000000004">
      <c r="A8587" t="s">
        <v>8668</v>
      </c>
      <c r="B8587" t="s">
        <v>76</v>
      </c>
      <c r="C8587" s="2">
        <v>44776</v>
      </c>
      <c r="D8587" t="s">
        <v>26</v>
      </c>
      <c r="E8587">
        <v>365</v>
      </c>
    </row>
    <row r="8588" spans="1:5" x14ac:dyDescent="0.55000000000000004">
      <c r="A8588" t="s">
        <v>8669</v>
      </c>
      <c r="B8588" t="s">
        <v>105</v>
      </c>
      <c r="C8588" s="2">
        <v>43708</v>
      </c>
      <c r="D8588" t="s">
        <v>26</v>
      </c>
      <c r="E8588">
        <v>1707</v>
      </c>
    </row>
    <row r="8589" spans="1:5" x14ac:dyDescent="0.55000000000000004">
      <c r="A8589" t="s">
        <v>8670</v>
      </c>
      <c r="B8589" t="s">
        <v>84</v>
      </c>
      <c r="C8589" s="2">
        <v>43362</v>
      </c>
      <c r="D8589" t="s">
        <v>29</v>
      </c>
      <c r="E8589">
        <v>1628</v>
      </c>
    </row>
    <row r="8590" spans="1:5" x14ac:dyDescent="0.55000000000000004">
      <c r="A8590" t="s">
        <v>8671</v>
      </c>
      <c r="B8590" t="s">
        <v>96</v>
      </c>
      <c r="C8590" s="2">
        <v>45563</v>
      </c>
      <c r="D8590" t="s">
        <v>29</v>
      </c>
      <c r="E8590">
        <v>1181</v>
      </c>
    </row>
    <row r="8591" spans="1:5" x14ac:dyDescent="0.55000000000000004">
      <c r="A8591" t="s">
        <v>8672</v>
      </c>
      <c r="B8591" t="s">
        <v>78</v>
      </c>
      <c r="C8591" s="2">
        <v>45085</v>
      </c>
      <c r="D8591" t="s">
        <v>26</v>
      </c>
      <c r="E8591">
        <v>1826</v>
      </c>
    </row>
    <row r="8592" spans="1:5" x14ac:dyDescent="0.55000000000000004">
      <c r="A8592" t="s">
        <v>8673</v>
      </c>
      <c r="B8592" t="s">
        <v>99</v>
      </c>
      <c r="C8592" s="2">
        <v>43557</v>
      </c>
      <c r="D8592" t="s">
        <v>29</v>
      </c>
      <c r="E8592">
        <v>1406</v>
      </c>
    </row>
    <row r="8593" spans="1:5" x14ac:dyDescent="0.55000000000000004">
      <c r="A8593" t="s">
        <v>8674</v>
      </c>
      <c r="B8593" t="s">
        <v>74</v>
      </c>
      <c r="C8593" s="2">
        <v>44281</v>
      </c>
      <c r="D8593" t="s">
        <v>26</v>
      </c>
      <c r="E8593">
        <v>2486</v>
      </c>
    </row>
    <row r="8594" spans="1:5" x14ac:dyDescent="0.55000000000000004">
      <c r="A8594" t="s">
        <v>8675</v>
      </c>
      <c r="B8594" t="s">
        <v>67</v>
      </c>
      <c r="C8594" s="2">
        <v>43730</v>
      </c>
      <c r="D8594" t="s">
        <v>29</v>
      </c>
      <c r="E8594">
        <v>1979</v>
      </c>
    </row>
    <row r="8595" spans="1:5" x14ac:dyDescent="0.55000000000000004">
      <c r="A8595" t="s">
        <v>8676</v>
      </c>
      <c r="B8595" t="s">
        <v>86</v>
      </c>
      <c r="C8595" s="2">
        <v>43675</v>
      </c>
      <c r="D8595" t="s">
        <v>26</v>
      </c>
      <c r="E8595">
        <v>627</v>
      </c>
    </row>
    <row r="8596" spans="1:5" x14ac:dyDescent="0.55000000000000004">
      <c r="A8596" t="s">
        <v>8677</v>
      </c>
      <c r="B8596" t="s">
        <v>23</v>
      </c>
      <c r="C8596" s="2">
        <v>44398</v>
      </c>
      <c r="D8596" t="s">
        <v>29</v>
      </c>
      <c r="E8596">
        <v>393</v>
      </c>
    </row>
    <row r="8597" spans="1:5" x14ac:dyDescent="0.55000000000000004">
      <c r="A8597" t="s">
        <v>8678</v>
      </c>
      <c r="B8597" t="s">
        <v>137</v>
      </c>
      <c r="C8597" s="2">
        <v>44722</v>
      </c>
      <c r="D8597" t="s">
        <v>26</v>
      </c>
      <c r="E8597">
        <v>1388</v>
      </c>
    </row>
    <row r="8598" spans="1:5" x14ac:dyDescent="0.55000000000000004">
      <c r="A8598" t="s">
        <v>8679</v>
      </c>
      <c r="B8598" t="s">
        <v>151</v>
      </c>
      <c r="C8598" s="2">
        <v>44293</v>
      </c>
      <c r="D8598" t="s">
        <v>26</v>
      </c>
      <c r="E8598">
        <v>1759</v>
      </c>
    </row>
    <row r="8599" spans="1:5" x14ac:dyDescent="0.55000000000000004">
      <c r="A8599" t="s">
        <v>8680</v>
      </c>
      <c r="B8599" t="s">
        <v>84</v>
      </c>
      <c r="C8599" s="2">
        <v>44186</v>
      </c>
      <c r="D8599" t="s">
        <v>26</v>
      </c>
      <c r="E8599">
        <v>2129</v>
      </c>
    </row>
    <row r="8600" spans="1:5" x14ac:dyDescent="0.55000000000000004">
      <c r="A8600" t="s">
        <v>8681</v>
      </c>
      <c r="B8600" t="s">
        <v>118</v>
      </c>
      <c r="C8600" s="2">
        <v>44467</v>
      </c>
      <c r="D8600" t="s">
        <v>29</v>
      </c>
      <c r="E8600">
        <v>2715</v>
      </c>
    </row>
    <row r="8601" spans="1:5" x14ac:dyDescent="0.55000000000000004">
      <c r="A8601" t="s">
        <v>8682</v>
      </c>
      <c r="B8601" t="s">
        <v>23</v>
      </c>
      <c r="C8601" s="2">
        <v>44805</v>
      </c>
      <c r="D8601" t="s">
        <v>29</v>
      </c>
      <c r="E8601">
        <v>1802</v>
      </c>
    </row>
    <row r="8602" spans="1:5" x14ac:dyDescent="0.55000000000000004">
      <c r="A8602" t="s">
        <v>8683</v>
      </c>
      <c r="B8602" t="s">
        <v>15</v>
      </c>
      <c r="C8602" s="2">
        <v>43806</v>
      </c>
      <c r="D8602" t="s">
        <v>29</v>
      </c>
      <c r="E8602">
        <v>1553</v>
      </c>
    </row>
    <row r="8603" spans="1:5" x14ac:dyDescent="0.55000000000000004">
      <c r="A8603" t="s">
        <v>8684</v>
      </c>
      <c r="B8603" t="s">
        <v>118</v>
      </c>
      <c r="C8603" s="2">
        <v>44773</v>
      </c>
      <c r="D8603" t="s">
        <v>26</v>
      </c>
      <c r="E8603">
        <v>1971</v>
      </c>
    </row>
    <row r="8604" spans="1:5" x14ac:dyDescent="0.55000000000000004">
      <c r="A8604" t="s">
        <v>8685</v>
      </c>
      <c r="B8604" t="s">
        <v>14</v>
      </c>
      <c r="C8604" s="2">
        <v>43657</v>
      </c>
      <c r="D8604" t="s">
        <v>29</v>
      </c>
      <c r="E8604">
        <v>1241</v>
      </c>
    </row>
    <row r="8605" spans="1:5" x14ac:dyDescent="0.55000000000000004">
      <c r="A8605" t="s">
        <v>8686</v>
      </c>
      <c r="B8605" t="s">
        <v>78</v>
      </c>
      <c r="C8605" s="2">
        <v>44544</v>
      </c>
      <c r="D8605" t="s">
        <v>26</v>
      </c>
      <c r="E8605">
        <v>2615</v>
      </c>
    </row>
    <row r="8606" spans="1:5" x14ac:dyDescent="0.55000000000000004">
      <c r="A8606" t="s">
        <v>8687</v>
      </c>
      <c r="B8606" t="s">
        <v>175</v>
      </c>
      <c r="C8606" s="2">
        <v>44719</v>
      </c>
      <c r="D8606" t="s">
        <v>26</v>
      </c>
      <c r="E8606">
        <v>1769</v>
      </c>
    </row>
    <row r="8607" spans="1:5" x14ac:dyDescent="0.55000000000000004">
      <c r="A8607" t="s">
        <v>8688</v>
      </c>
      <c r="B8607" t="s">
        <v>99</v>
      </c>
      <c r="C8607" s="2">
        <v>45394</v>
      </c>
      <c r="D8607" t="s">
        <v>29</v>
      </c>
      <c r="E8607">
        <v>417</v>
      </c>
    </row>
    <row r="8608" spans="1:5" x14ac:dyDescent="0.55000000000000004">
      <c r="A8608" t="s">
        <v>8689</v>
      </c>
      <c r="B8608" t="s">
        <v>111</v>
      </c>
      <c r="C8608" s="2">
        <v>43757</v>
      </c>
      <c r="D8608" t="s">
        <v>26</v>
      </c>
      <c r="E8608">
        <v>576</v>
      </c>
    </row>
    <row r="8609" spans="1:5" x14ac:dyDescent="0.55000000000000004">
      <c r="A8609" t="s">
        <v>8690</v>
      </c>
      <c r="B8609" t="s">
        <v>78</v>
      </c>
      <c r="C8609" s="2">
        <v>43476</v>
      </c>
      <c r="D8609" t="s">
        <v>29</v>
      </c>
      <c r="E8609">
        <v>2508</v>
      </c>
    </row>
    <row r="8610" spans="1:5" x14ac:dyDescent="0.55000000000000004">
      <c r="A8610" t="s">
        <v>8691</v>
      </c>
      <c r="B8610" t="s">
        <v>76</v>
      </c>
      <c r="C8610" s="2">
        <v>43686</v>
      </c>
      <c r="D8610" t="s">
        <v>29</v>
      </c>
      <c r="E8610">
        <v>1658</v>
      </c>
    </row>
    <row r="8611" spans="1:5" x14ac:dyDescent="0.55000000000000004">
      <c r="A8611" t="s">
        <v>8692</v>
      </c>
      <c r="B8611" t="s">
        <v>41</v>
      </c>
      <c r="C8611" s="2">
        <v>44324</v>
      </c>
      <c r="D8611" t="s">
        <v>29</v>
      </c>
      <c r="E8611">
        <v>461</v>
      </c>
    </row>
    <row r="8612" spans="1:5" x14ac:dyDescent="0.55000000000000004">
      <c r="A8612" t="s">
        <v>8693</v>
      </c>
      <c r="B8612" t="s">
        <v>86</v>
      </c>
      <c r="C8612" s="2">
        <v>43348</v>
      </c>
      <c r="D8612" t="s">
        <v>29</v>
      </c>
      <c r="E8612">
        <v>2431</v>
      </c>
    </row>
    <row r="8613" spans="1:5" x14ac:dyDescent="0.55000000000000004">
      <c r="A8613" t="s">
        <v>8694</v>
      </c>
      <c r="B8613" t="s">
        <v>15</v>
      </c>
      <c r="C8613" s="2">
        <v>43872</v>
      </c>
      <c r="D8613" t="s">
        <v>26</v>
      </c>
      <c r="E8613">
        <v>208</v>
      </c>
    </row>
    <row r="8614" spans="1:5" x14ac:dyDescent="0.55000000000000004">
      <c r="A8614" t="s">
        <v>8695</v>
      </c>
      <c r="B8614" t="s">
        <v>38</v>
      </c>
      <c r="C8614" s="2">
        <v>43928</v>
      </c>
      <c r="D8614" t="s">
        <v>26</v>
      </c>
      <c r="E8614">
        <v>504</v>
      </c>
    </row>
    <row r="8615" spans="1:5" x14ac:dyDescent="0.55000000000000004">
      <c r="A8615" t="s">
        <v>8696</v>
      </c>
      <c r="B8615" t="s">
        <v>111</v>
      </c>
      <c r="C8615" s="2">
        <v>44234</v>
      </c>
      <c r="D8615" t="s">
        <v>29</v>
      </c>
      <c r="E8615">
        <v>1893</v>
      </c>
    </row>
    <row r="8616" spans="1:5" x14ac:dyDescent="0.55000000000000004">
      <c r="A8616" t="s">
        <v>8697</v>
      </c>
      <c r="B8616" t="s">
        <v>15</v>
      </c>
      <c r="C8616" s="2">
        <v>43385</v>
      </c>
      <c r="D8616" t="s">
        <v>29</v>
      </c>
      <c r="E8616">
        <v>2517</v>
      </c>
    </row>
    <row r="8617" spans="1:5" x14ac:dyDescent="0.55000000000000004">
      <c r="A8617" t="s">
        <v>8698</v>
      </c>
      <c r="B8617" t="s">
        <v>84</v>
      </c>
      <c r="C8617" s="2">
        <v>43409</v>
      </c>
      <c r="D8617" t="s">
        <v>26</v>
      </c>
      <c r="E8617">
        <v>2700</v>
      </c>
    </row>
    <row r="8618" spans="1:5" x14ac:dyDescent="0.55000000000000004">
      <c r="A8618" t="s">
        <v>8699</v>
      </c>
      <c r="B8618" t="s">
        <v>84</v>
      </c>
      <c r="C8618" s="2">
        <v>44338</v>
      </c>
      <c r="D8618" t="s">
        <v>29</v>
      </c>
      <c r="E8618">
        <v>546</v>
      </c>
    </row>
    <row r="8619" spans="1:5" x14ac:dyDescent="0.55000000000000004">
      <c r="A8619" t="s">
        <v>8700</v>
      </c>
      <c r="B8619" t="s">
        <v>105</v>
      </c>
      <c r="C8619" s="2">
        <v>43638</v>
      </c>
      <c r="D8619" t="s">
        <v>29</v>
      </c>
      <c r="E8619">
        <v>1918</v>
      </c>
    </row>
    <row r="8620" spans="1:5" x14ac:dyDescent="0.55000000000000004">
      <c r="A8620" t="s">
        <v>8701</v>
      </c>
      <c r="B8620" t="s">
        <v>67</v>
      </c>
      <c r="C8620" s="2">
        <v>44845</v>
      </c>
      <c r="D8620" t="s">
        <v>29</v>
      </c>
      <c r="E8620">
        <v>1042</v>
      </c>
    </row>
    <row r="8621" spans="1:5" x14ac:dyDescent="0.55000000000000004">
      <c r="A8621" t="s">
        <v>8702</v>
      </c>
      <c r="B8621" t="s">
        <v>115</v>
      </c>
      <c r="C8621" s="2">
        <v>43374</v>
      </c>
      <c r="D8621" t="s">
        <v>29</v>
      </c>
      <c r="E8621">
        <v>1107</v>
      </c>
    </row>
    <row r="8622" spans="1:5" x14ac:dyDescent="0.55000000000000004">
      <c r="A8622" t="s">
        <v>8703</v>
      </c>
      <c r="B8622" t="s">
        <v>35</v>
      </c>
      <c r="C8622" s="2">
        <v>44830</v>
      </c>
      <c r="D8622" t="s">
        <v>29</v>
      </c>
      <c r="E8622">
        <v>390</v>
      </c>
    </row>
    <row r="8623" spans="1:5" x14ac:dyDescent="0.55000000000000004">
      <c r="A8623" t="s">
        <v>8704</v>
      </c>
      <c r="B8623" t="s">
        <v>101</v>
      </c>
      <c r="C8623" s="2">
        <v>44010</v>
      </c>
      <c r="D8623" t="s">
        <v>29</v>
      </c>
      <c r="E8623">
        <v>2657</v>
      </c>
    </row>
    <row r="8624" spans="1:5" x14ac:dyDescent="0.55000000000000004">
      <c r="A8624" t="s">
        <v>8705</v>
      </c>
      <c r="B8624" t="s">
        <v>86</v>
      </c>
      <c r="C8624" s="2">
        <v>43874</v>
      </c>
      <c r="D8624" t="s">
        <v>26</v>
      </c>
      <c r="E8624">
        <v>2537</v>
      </c>
    </row>
    <row r="8625" spans="1:5" x14ac:dyDescent="0.55000000000000004">
      <c r="A8625" t="s">
        <v>8706</v>
      </c>
      <c r="B8625" t="s">
        <v>38</v>
      </c>
      <c r="C8625" s="2">
        <v>44474</v>
      </c>
      <c r="D8625" t="s">
        <v>26</v>
      </c>
      <c r="E8625">
        <v>973</v>
      </c>
    </row>
    <row r="8626" spans="1:5" x14ac:dyDescent="0.55000000000000004">
      <c r="A8626" t="s">
        <v>8707</v>
      </c>
      <c r="B8626" t="s">
        <v>76</v>
      </c>
      <c r="C8626" s="2">
        <v>44058</v>
      </c>
      <c r="D8626" t="s">
        <v>29</v>
      </c>
      <c r="E8626">
        <v>1527</v>
      </c>
    </row>
    <row r="8627" spans="1:5" x14ac:dyDescent="0.55000000000000004">
      <c r="A8627" t="s">
        <v>8708</v>
      </c>
      <c r="B8627" t="s">
        <v>86</v>
      </c>
      <c r="C8627" s="2">
        <v>44048</v>
      </c>
      <c r="D8627" t="s">
        <v>26</v>
      </c>
      <c r="E8627">
        <v>2761</v>
      </c>
    </row>
    <row r="8628" spans="1:5" x14ac:dyDescent="0.55000000000000004">
      <c r="A8628" t="s">
        <v>8709</v>
      </c>
      <c r="B8628" t="s">
        <v>78</v>
      </c>
      <c r="C8628" s="2">
        <v>44875</v>
      </c>
      <c r="D8628" t="s">
        <v>29</v>
      </c>
      <c r="E8628">
        <v>2448</v>
      </c>
    </row>
    <row r="8629" spans="1:5" x14ac:dyDescent="0.55000000000000004">
      <c r="A8629" t="s">
        <v>8710</v>
      </c>
      <c r="B8629" t="s">
        <v>156</v>
      </c>
      <c r="C8629" s="2">
        <v>43916</v>
      </c>
      <c r="D8629" t="s">
        <v>29</v>
      </c>
      <c r="E8629">
        <v>2054</v>
      </c>
    </row>
    <row r="8630" spans="1:5" x14ac:dyDescent="0.55000000000000004">
      <c r="A8630" t="s">
        <v>8711</v>
      </c>
      <c r="B8630" t="s">
        <v>115</v>
      </c>
      <c r="C8630" s="2">
        <v>44255</v>
      </c>
      <c r="D8630" t="s">
        <v>29</v>
      </c>
      <c r="E8630">
        <v>1648</v>
      </c>
    </row>
    <row r="8631" spans="1:5" x14ac:dyDescent="0.55000000000000004">
      <c r="A8631" t="s">
        <v>8712</v>
      </c>
      <c r="B8631" t="s">
        <v>142</v>
      </c>
      <c r="C8631" s="2">
        <v>43235</v>
      </c>
      <c r="D8631" t="s">
        <v>29</v>
      </c>
      <c r="E8631">
        <v>2572</v>
      </c>
    </row>
    <row r="8632" spans="1:5" x14ac:dyDescent="0.55000000000000004">
      <c r="A8632" t="s">
        <v>8713</v>
      </c>
      <c r="B8632" t="s">
        <v>35</v>
      </c>
      <c r="C8632" s="2">
        <v>44071</v>
      </c>
      <c r="D8632" t="s">
        <v>26</v>
      </c>
      <c r="E8632">
        <v>1681</v>
      </c>
    </row>
    <row r="8633" spans="1:5" x14ac:dyDescent="0.55000000000000004">
      <c r="A8633" t="s">
        <v>8714</v>
      </c>
      <c r="B8633" t="s">
        <v>105</v>
      </c>
      <c r="C8633" s="2">
        <v>43405</v>
      </c>
      <c r="D8633" t="s">
        <v>26</v>
      </c>
      <c r="E8633">
        <v>2683</v>
      </c>
    </row>
    <row r="8634" spans="1:5" x14ac:dyDescent="0.55000000000000004">
      <c r="A8634" t="s">
        <v>8715</v>
      </c>
      <c r="B8634" t="s">
        <v>137</v>
      </c>
      <c r="C8634" s="2">
        <v>44702</v>
      </c>
      <c r="D8634" t="s">
        <v>29</v>
      </c>
      <c r="E8634">
        <v>7</v>
      </c>
    </row>
    <row r="8635" spans="1:5" x14ac:dyDescent="0.55000000000000004">
      <c r="A8635" t="s">
        <v>8716</v>
      </c>
      <c r="B8635" t="s">
        <v>156</v>
      </c>
      <c r="C8635" s="2">
        <v>42954</v>
      </c>
      <c r="D8635" t="s">
        <v>29</v>
      </c>
      <c r="E8635">
        <v>416</v>
      </c>
    </row>
    <row r="8636" spans="1:5" x14ac:dyDescent="0.55000000000000004">
      <c r="A8636" t="s">
        <v>8717</v>
      </c>
      <c r="B8636" t="s">
        <v>84</v>
      </c>
      <c r="C8636" s="2">
        <v>43737</v>
      </c>
      <c r="D8636" t="s">
        <v>29</v>
      </c>
      <c r="E8636">
        <v>2595</v>
      </c>
    </row>
    <row r="8637" spans="1:5" x14ac:dyDescent="0.55000000000000004">
      <c r="A8637" t="s">
        <v>8718</v>
      </c>
      <c r="B8637" t="s">
        <v>41</v>
      </c>
      <c r="C8637" s="2">
        <v>44027</v>
      </c>
      <c r="D8637" t="s">
        <v>29</v>
      </c>
      <c r="E8637">
        <v>2988</v>
      </c>
    </row>
    <row r="8638" spans="1:5" x14ac:dyDescent="0.55000000000000004">
      <c r="A8638" t="s">
        <v>8719</v>
      </c>
      <c r="B8638" t="s">
        <v>96</v>
      </c>
      <c r="C8638" s="2">
        <v>45469</v>
      </c>
      <c r="D8638" t="s">
        <v>26</v>
      </c>
      <c r="E8638">
        <v>1191</v>
      </c>
    </row>
    <row r="8639" spans="1:5" x14ac:dyDescent="0.55000000000000004">
      <c r="A8639" t="s">
        <v>8720</v>
      </c>
      <c r="B8639" t="s">
        <v>115</v>
      </c>
      <c r="C8639" s="2">
        <v>44055</v>
      </c>
      <c r="D8639" t="s">
        <v>29</v>
      </c>
      <c r="E8639">
        <v>2923</v>
      </c>
    </row>
    <row r="8640" spans="1:5" x14ac:dyDescent="0.55000000000000004">
      <c r="A8640" t="s">
        <v>8721</v>
      </c>
      <c r="B8640" t="s">
        <v>111</v>
      </c>
      <c r="C8640" s="2">
        <v>44088</v>
      </c>
      <c r="D8640" t="s">
        <v>29</v>
      </c>
      <c r="E8640">
        <v>170</v>
      </c>
    </row>
    <row r="8641" spans="1:5" x14ac:dyDescent="0.55000000000000004">
      <c r="A8641" t="s">
        <v>8722</v>
      </c>
      <c r="B8641" t="s">
        <v>67</v>
      </c>
      <c r="C8641" s="2">
        <v>44353</v>
      </c>
      <c r="D8641" t="s">
        <v>29</v>
      </c>
      <c r="E8641">
        <v>1160</v>
      </c>
    </row>
    <row r="8642" spans="1:5" x14ac:dyDescent="0.55000000000000004">
      <c r="A8642" t="s">
        <v>8723</v>
      </c>
      <c r="B8642" t="s">
        <v>86</v>
      </c>
      <c r="C8642" s="2">
        <v>44379</v>
      </c>
      <c r="D8642" t="s">
        <v>29</v>
      </c>
      <c r="E8642">
        <v>151</v>
      </c>
    </row>
    <row r="8643" spans="1:5" x14ac:dyDescent="0.55000000000000004">
      <c r="A8643" t="s">
        <v>8724</v>
      </c>
      <c r="B8643" t="s">
        <v>115</v>
      </c>
      <c r="C8643" s="2">
        <v>43862</v>
      </c>
      <c r="D8643" t="s">
        <v>26</v>
      </c>
      <c r="E8643">
        <v>782</v>
      </c>
    </row>
    <row r="8644" spans="1:5" x14ac:dyDescent="0.55000000000000004">
      <c r="A8644" t="s">
        <v>8725</v>
      </c>
      <c r="B8644" t="s">
        <v>32</v>
      </c>
      <c r="C8644" s="2">
        <v>44626</v>
      </c>
      <c r="D8644" t="s">
        <v>26</v>
      </c>
      <c r="E8644">
        <v>79</v>
      </c>
    </row>
    <row r="8645" spans="1:5" x14ac:dyDescent="0.55000000000000004">
      <c r="A8645" t="s">
        <v>8726</v>
      </c>
      <c r="B8645" t="s">
        <v>74</v>
      </c>
      <c r="C8645" s="2">
        <v>43859</v>
      </c>
      <c r="D8645" t="s">
        <v>29</v>
      </c>
      <c r="E8645">
        <v>2522</v>
      </c>
    </row>
    <row r="8646" spans="1:5" x14ac:dyDescent="0.55000000000000004">
      <c r="A8646" t="s">
        <v>8727</v>
      </c>
      <c r="B8646" t="s">
        <v>38</v>
      </c>
      <c r="C8646" s="2">
        <v>43894</v>
      </c>
      <c r="D8646" t="s">
        <v>26</v>
      </c>
      <c r="E8646">
        <v>429</v>
      </c>
    </row>
    <row r="8647" spans="1:5" x14ac:dyDescent="0.55000000000000004">
      <c r="A8647" t="s">
        <v>8728</v>
      </c>
      <c r="B8647" t="s">
        <v>15</v>
      </c>
      <c r="C8647" s="2">
        <v>44452</v>
      </c>
      <c r="D8647" t="s">
        <v>26</v>
      </c>
      <c r="E8647">
        <v>1569</v>
      </c>
    </row>
    <row r="8648" spans="1:5" x14ac:dyDescent="0.55000000000000004">
      <c r="A8648" t="s">
        <v>8729</v>
      </c>
      <c r="B8648" t="s">
        <v>15</v>
      </c>
      <c r="C8648" s="2">
        <v>44090</v>
      </c>
      <c r="D8648" t="s">
        <v>29</v>
      </c>
      <c r="E8648">
        <v>2353</v>
      </c>
    </row>
    <row r="8649" spans="1:5" x14ac:dyDescent="0.55000000000000004">
      <c r="A8649" t="s">
        <v>8730</v>
      </c>
      <c r="B8649" t="s">
        <v>142</v>
      </c>
      <c r="C8649" s="2">
        <v>43918</v>
      </c>
      <c r="D8649" t="s">
        <v>29</v>
      </c>
      <c r="E8649">
        <v>2870</v>
      </c>
    </row>
    <row r="8650" spans="1:5" x14ac:dyDescent="0.55000000000000004">
      <c r="A8650" t="s">
        <v>8731</v>
      </c>
      <c r="B8650" t="s">
        <v>32</v>
      </c>
      <c r="C8650" s="2">
        <v>44195</v>
      </c>
      <c r="D8650" t="s">
        <v>29</v>
      </c>
      <c r="E8650">
        <v>1285</v>
      </c>
    </row>
    <row r="8651" spans="1:5" x14ac:dyDescent="0.55000000000000004">
      <c r="A8651" t="s">
        <v>8732</v>
      </c>
      <c r="B8651" t="s">
        <v>38</v>
      </c>
      <c r="C8651" s="2">
        <v>44031</v>
      </c>
      <c r="D8651" t="s">
        <v>29</v>
      </c>
      <c r="E8651">
        <v>2882</v>
      </c>
    </row>
    <row r="8652" spans="1:5" x14ac:dyDescent="0.55000000000000004">
      <c r="A8652" t="s">
        <v>8733</v>
      </c>
      <c r="B8652" t="s">
        <v>72</v>
      </c>
      <c r="C8652" s="2">
        <v>43141</v>
      </c>
      <c r="D8652" t="s">
        <v>29</v>
      </c>
      <c r="E8652">
        <v>2368</v>
      </c>
    </row>
    <row r="8653" spans="1:5" x14ac:dyDescent="0.55000000000000004">
      <c r="A8653" t="s">
        <v>8734</v>
      </c>
      <c r="B8653" t="s">
        <v>137</v>
      </c>
      <c r="C8653" s="2">
        <v>44434</v>
      </c>
      <c r="D8653" t="s">
        <v>29</v>
      </c>
      <c r="E8653">
        <v>1823</v>
      </c>
    </row>
    <row r="8654" spans="1:5" x14ac:dyDescent="0.55000000000000004">
      <c r="A8654" t="s">
        <v>8735</v>
      </c>
      <c r="B8654" t="s">
        <v>101</v>
      </c>
      <c r="C8654" s="2">
        <v>44303</v>
      </c>
      <c r="D8654" t="s">
        <v>26</v>
      </c>
      <c r="E8654">
        <v>1445</v>
      </c>
    </row>
    <row r="8655" spans="1:5" x14ac:dyDescent="0.55000000000000004">
      <c r="A8655" t="s">
        <v>8736</v>
      </c>
      <c r="B8655" t="s">
        <v>151</v>
      </c>
      <c r="C8655" s="2">
        <v>44536</v>
      </c>
      <c r="D8655" t="s">
        <v>29</v>
      </c>
      <c r="E8655">
        <v>1993</v>
      </c>
    </row>
    <row r="8656" spans="1:5" x14ac:dyDescent="0.55000000000000004">
      <c r="A8656" t="s">
        <v>8737</v>
      </c>
      <c r="B8656" t="s">
        <v>63</v>
      </c>
      <c r="C8656" s="2">
        <v>43670</v>
      </c>
      <c r="D8656" t="s">
        <v>29</v>
      </c>
      <c r="E8656">
        <v>2880</v>
      </c>
    </row>
    <row r="8657" spans="1:5" x14ac:dyDescent="0.55000000000000004">
      <c r="A8657" t="s">
        <v>8738</v>
      </c>
      <c r="B8657" t="s">
        <v>67</v>
      </c>
      <c r="C8657" s="2">
        <v>45135</v>
      </c>
      <c r="D8657" t="s">
        <v>26</v>
      </c>
      <c r="E8657">
        <v>2003</v>
      </c>
    </row>
    <row r="8658" spans="1:5" x14ac:dyDescent="0.55000000000000004">
      <c r="A8658" t="s">
        <v>8739</v>
      </c>
      <c r="B8658" t="s">
        <v>142</v>
      </c>
      <c r="C8658" s="2">
        <v>43847</v>
      </c>
      <c r="D8658" t="s">
        <v>26</v>
      </c>
      <c r="E8658">
        <v>544</v>
      </c>
    </row>
    <row r="8659" spans="1:5" x14ac:dyDescent="0.55000000000000004">
      <c r="A8659" t="s">
        <v>8740</v>
      </c>
      <c r="B8659" t="s">
        <v>99</v>
      </c>
      <c r="C8659" s="2">
        <v>45671</v>
      </c>
      <c r="D8659" t="s">
        <v>26</v>
      </c>
      <c r="E8659">
        <v>1106</v>
      </c>
    </row>
    <row r="8660" spans="1:5" x14ac:dyDescent="0.55000000000000004">
      <c r="A8660" t="s">
        <v>8741</v>
      </c>
      <c r="B8660" t="s">
        <v>118</v>
      </c>
      <c r="C8660" s="2">
        <v>43815</v>
      </c>
      <c r="D8660" t="s">
        <v>26</v>
      </c>
      <c r="E8660">
        <v>944</v>
      </c>
    </row>
    <row r="8661" spans="1:5" x14ac:dyDescent="0.55000000000000004">
      <c r="A8661" t="s">
        <v>8742</v>
      </c>
      <c r="B8661" t="s">
        <v>137</v>
      </c>
      <c r="C8661" s="2">
        <v>44880</v>
      </c>
      <c r="D8661" t="s">
        <v>26</v>
      </c>
      <c r="E8661">
        <v>794</v>
      </c>
    </row>
    <row r="8662" spans="1:5" x14ac:dyDescent="0.55000000000000004">
      <c r="A8662" t="s">
        <v>8743</v>
      </c>
      <c r="B8662" t="s">
        <v>32</v>
      </c>
      <c r="C8662" s="2">
        <v>43845</v>
      </c>
      <c r="D8662" t="s">
        <v>26</v>
      </c>
      <c r="E8662">
        <v>1114</v>
      </c>
    </row>
    <row r="8663" spans="1:5" x14ac:dyDescent="0.55000000000000004">
      <c r="A8663" t="s">
        <v>8744</v>
      </c>
      <c r="B8663" t="s">
        <v>151</v>
      </c>
      <c r="C8663" s="2">
        <v>43013</v>
      </c>
      <c r="D8663" t="s">
        <v>29</v>
      </c>
      <c r="E8663">
        <v>1269</v>
      </c>
    </row>
    <row r="8664" spans="1:5" x14ac:dyDescent="0.55000000000000004">
      <c r="A8664" t="s">
        <v>8745</v>
      </c>
      <c r="B8664" t="s">
        <v>105</v>
      </c>
      <c r="C8664" s="2">
        <v>43925</v>
      </c>
      <c r="D8664" t="s">
        <v>29</v>
      </c>
      <c r="E8664">
        <v>2516</v>
      </c>
    </row>
    <row r="8665" spans="1:5" x14ac:dyDescent="0.55000000000000004">
      <c r="A8665" t="s">
        <v>8746</v>
      </c>
      <c r="B8665" t="s">
        <v>63</v>
      </c>
      <c r="C8665" s="2">
        <v>43802</v>
      </c>
      <c r="D8665" t="s">
        <v>29</v>
      </c>
      <c r="E8665">
        <v>2754</v>
      </c>
    </row>
    <row r="8666" spans="1:5" x14ac:dyDescent="0.55000000000000004">
      <c r="A8666" t="s">
        <v>8747</v>
      </c>
      <c r="B8666" t="s">
        <v>63</v>
      </c>
      <c r="C8666" s="2">
        <v>43559</v>
      </c>
      <c r="D8666" t="s">
        <v>29</v>
      </c>
      <c r="E8666">
        <v>2917</v>
      </c>
    </row>
    <row r="8667" spans="1:5" x14ac:dyDescent="0.55000000000000004">
      <c r="A8667" t="s">
        <v>8748</v>
      </c>
      <c r="B8667" t="s">
        <v>118</v>
      </c>
      <c r="C8667" s="2">
        <v>45791</v>
      </c>
      <c r="D8667" t="s">
        <v>29</v>
      </c>
      <c r="E8667">
        <v>1808</v>
      </c>
    </row>
    <row r="8668" spans="1:5" x14ac:dyDescent="0.55000000000000004">
      <c r="A8668" t="s">
        <v>8749</v>
      </c>
      <c r="B8668" t="s">
        <v>118</v>
      </c>
      <c r="C8668" s="2">
        <v>43722</v>
      </c>
      <c r="D8668" t="s">
        <v>29</v>
      </c>
      <c r="E8668">
        <v>2130</v>
      </c>
    </row>
    <row r="8669" spans="1:5" x14ac:dyDescent="0.55000000000000004">
      <c r="A8669" t="s">
        <v>8750</v>
      </c>
      <c r="B8669" t="s">
        <v>14</v>
      </c>
      <c r="C8669" s="2">
        <v>43318</v>
      </c>
      <c r="D8669" t="s">
        <v>26</v>
      </c>
      <c r="E8669">
        <v>2720</v>
      </c>
    </row>
    <row r="8670" spans="1:5" x14ac:dyDescent="0.55000000000000004">
      <c r="A8670" t="s">
        <v>8751</v>
      </c>
      <c r="B8670" t="s">
        <v>142</v>
      </c>
      <c r="C8670" s="2">
        <v>43851</v>
      </c>
      <c r="D8670" t="s">
        <v>26</v>
      </c>
      <c r="E8670">
        <v>1491</v>
      </c>
    </row>
    <row r="8671" spans="1:5" x14ac:dyDescent="0.55000000000000004">
      <c r="A8671" t="s">
        <v>8752</v>
      </c>
      <c r="B8671" t="s">
        <v>118</v>
      </c>
      <c r="C8671" s="2">
        <v>45255</v>
      </c>
      <c r="D8671" t="s">
        <v>29</v>
      </c>
      <c r="E8671">
        <v>2296</v>
      </c>
    </row>
    <row r="8672" spans="1:5" x14ac:dyDescent="0.55000000000000004">
      <c r="A8672" t="s">
        <v>8753</v>
      </c>
      <c r="B8672" t="s">
        <v>175</v>
      </c>
      <c r="C8672" s="2">
        <v>44094</v>
      </c>
      <c r="D8672" t="s">
        <v>29</v>
      </c>
      <c r="E8672">
        <v>103</v>
      </c>
    </row>
    <row r="8673" spans="1:5" x14ac:dyDescent="0.55000000000000004">
      <c r="A8673" t="s">
        <v>8754</v>
      </c>
      <c r="B8673" t="s">
        <v>67</v>
      </c>
      <c r="C8673" s="2">
        <v>44179</v>
      </c>
      <c r="D8673" t="s">
        <v>29</v>
      </c>
      <c r="E8673">
        <v>743</v>
      </c>
    </row>
    <row r="8674" spans="1:5" x14ac:dyDescent="0.55000000000000004">
      <c r="A8674" t="s">
        <v>8755</v>
      </c>
      <c r="B8674" t="s">
        <v>38</v>
      </c>
      <c r="C8674" s="2">
        <v>44681</v>
      </c>
      <c r="D8674" t="s">
        <v>26</v>
      </c>
      <c r="E8674">
        <v>2987</v>
      </c>
    </row>
    <row r="8675" spans="1:5" x14ac:dyDescent="0.55000000000000004">
      <c r="A8675" t="s">
        <v>8756</v>
      </c>
      <c r="B8675" t="s">
        <v>96</v>
      </c>
      <c r="C8675" s="2">
        <v>44549</v>
      </c>
      <c r="D8675" t="s">
        <v>26</v>
      </c>
      <c r="E8675">
        <v>579</v>
      </c>
    </row>
    <row r="8676" spans="1:5" x14ac:dyDescent="0.55000000000000004">
      <c r="A8676" t="s">
        <v>8757</v>
      </c>
      <c r="B8676" t="s">
        <v>94</v>
      </c>
      <c r="C8676" s="2">
        <v>45540</v>
      </c>
      <c r="D8676" t="s">
        <v>29</v>
      </c>
      <c r="E8676">
        <v>1757</v>
      </c>
    </row>
    <row r="8677" spans="1:5" x14ac:dyDescent="0.55000000000000004">
      <c r="A8677" t="s">
        <v>8758</v>
      </c>
      <c r="B8677" t="s">
        <v>23</v>
      </c>
      <c r="C8677" s="2">
        <v>44043</v>
      </c>
      <c r="D8677" t="s">
        <v>26</v>
      </c>
      <c r="E8677">
        <v>517</v>
      </c>
    </row>
    <row r="8678" spans="1:5" x14ac:dyDescent="0.55000000000000004">
      <c r="A8678" t="s">
        <v>8759</v>
      </c>
      <c r="B8678" t="s">
        <v>38</v>
      </c>
      <c r="C8678" s="2">
        <v>44094</v>
      </c>
      <c r="D8678" t="s">
        <v>26</v>
      </c>
      <c r="E8678">
        <v>680</v>
      </c>
    </row>
    <row r="8679" spans="1:5" x14ac:dyDescent="0.55000000000000004">
      <c r="A8679" t="s">
        <v>8760</v>
      </c>
      <c r="B8679" t="s">
        <v>74</v>
      </c>
      <c r="C8679" s="2">
        <v>43457</v>
      </c>
      <c r="D8679" t="s">
        <v>26</v>
      </c>
      <c r="E8679">
        <v>1320</v>
      </c>
    </row>
    <row r="8680" spans="1:5" x14ac:dyDescent="0.55000000000000004">
      <c r="A8680" t="s">
        <v>8761</v>
      </c>
      <c r="B8680" t="s">
        <v>76</v>
      </c>
      <c r="C8680" s="2">
        <v>44117</v>
      </c>
      <c r="D8680" t="s">
        <v>29</v>
      </c>
      <c r="E8680">
        <v>338</v>
      </c>
    </row>
    <row r="8681" spans="1:5" x14ac:dyDescent="0.55000000000000004">
      <c r="A8681" t="s">
        <v>8762</v>
      </c>
      <c r="B8681" t="s">
        <v>115</v>
      </c>
      <c r="C8681" s="2">
        <v>44116</v>
      </c>
      <c r="D8681" t="s">
        <v>29</v>
      </c>
      <c r="E8681">
        <v>2629</v>
      </c>
    </row>
    <row r="8682" spans="1:5" x14ac:dyDescent="0.55000000000000004">
      <c r="A8682" t="s">
        <v>8763</v>
      </c>
      <c r="B8682" t="s">
        <v>99</v>
      </c>
      <c r="C8682" s="2">
        <v>45790</v>
      </c>
      <c r="D8682" t="s">
        <v>26</v>
      </c>
      <c r="E8682">
        <v>1364</v>
      </c>
    </row>
    <row r="8683" spans="1:5" x14ac:dyDescent="0.55000000000000004">
      <c r="A8683" t="s">
        <v>8764</v>
      </c>
      <c r="B8683" t="s">
        <v>137</v>
      </c>
      <c r="C8683" s="2">
        <v>44719</v>
      </c>
      <c r="D8683" t="s">
        <v>29</v>
      </c>
      <c r="E8683">
        <v>1304</v>
      </c>
    </row>
    <row r="8684" spans="1:5" x14ac:dyDescent="0.55000000000000004">
      <c r="A8684" t="s">
        <v>8765</v>
      </c>
      <c r="B8684" t="s">
        <v>15</v>
      </c>
      <c r="C8684" s="2">
        <v>43457</v>
      </c>
      <c r="D8684" t="s">
        <v>29</v>
      </c>
      <c r="E8684">
        <v>1546</v>
      </c>
    </row>
    <row r="8685" spans="1:5" x14ac:dyDescent="0.55000000000000004">
      <c r="A8685" t="s">
        <v>8766</v>
      </c>
      <c r="B8685" t="s">
        <v>86</v>
      </c>
      <c r="C8685" s="2">
        <v>44350</v>
      </c>
      <c r="D8685" t="s">
        <v>26</v>
      </c>
      <c r="E8685">
        <v>740</v>
      </c>
    </row>
    <row r="8686" spans="1:5" x14ac:dyDescent="0.55000000000000004">
      <c r="A8686" t="s">
        <v>8767</v>
      </c>
      <c r="B8686" t="s">
        <v>86</v>
      </c>
      <c r="C8686" s="2">
        <v>44322</v>
      </c>
      <c r="D8686" t="s">
        <v>29</v>
      </c>
      <c r="E8686">
        <v>1147</v>
      </c>
    </row>
    <row r="8687" spans="1:5" x14ac:dyDescent="0.55000000000000004">
      <c r="A8687" t="s">
        <v>8768</v>
      </c>
      <c r="B8687" t="s">
        <v>156</v>
      </c>
      <c r="C8687" s="2">
        <v>43073</v>
      </c>
      <c r="D8687" t="s">
        <v>26</v>
      </c>
      <c r="E8687">
        <v>2133</v>
      </c>
    </row>
    <row r="8688" spans="1:5" x14ac:dyDescent="0.55000000000000004">
      <c r="A8688" t="s">
        <v>8769</v>
      </c>
      <c r="B8688" t="s">
        <v>115</v>
      </c>
      <c r="C8688" s="2">
        <v>44549</v>
      </c>
      <c r="D8688" t="s">
        <v>29</v>
      </c>
      <c r="E8688">
        <v>349</v>
      </c>
    </row>
    <row r="8689" spans="1:5" x14ac:dyDescent="0.55000000000000004">
      <c r="A8689" t="s">
        <v>8770</v>
      </c>
      <c r="B8689" t="s">
        <v>151</v>
      </c>
      <c r="C8689" s="2">
        <v>43699</v>
      </c>
      <c r="D8689" t="s">
        <v>29</v>
      </c>
      <c r="E8689">
        <v>768</v>
      </c>
    </row>
    <row r="8690" spans="1:5" x14ac:dyDescent="0.55000000000000004">
      <c r="A8690" t="s">
        <v>8771</v>
      </c>
      <c r="B8690" t="s">
        <v>67</v>
      </c>
      <c r="C8690" s="2">
        <v>43540</v>
      </c>
      <c r="D8690" t="s">
        <v>29</v>
      </c>
      <c r="E8690">
        <v>591</v>
      </c>
    </row>
    <row r="8691" spans="1:5" x14ac:dyDescent="0.55000000000000004">
      <c r="A8691" t="s">
        <v>8772</v>
      </c>
      <c r="B8691" t="s">
        <v>142</v>
      </c>
      <c r="C8691" s="2">
        <v>43339</v>
      </c>
      <c r="D8691" t="s">
        <v>26</v>
      </c>
      <c r="E8691">
        <v>2826</v>
      </c>
    </row>
    <row r="8692" spans="1:5" x14ac:dyDescent="0.55000000000000004">
      <c r="A8692" t="s">
        <v>8773</v>
      </c>
      <c r="B8692" t="s">
        <v>23</v>
      </c>
      <c r="C8692" s="2">
        <v>44274</v>
      </c>
      <c r="D8692" t="s">
        <v>29</v>
      </c>
      <c r="E8692">
        <v>2958</v>
      </c>
    </row>
    <row r="8693" spans="1:5" x14ac:dyDescent="0.55000000000000004">
      <c r="A8693" t="s">
        <v>8774</v>
      </c>
      <c r="B8693" t="s">
        <v>140</v>
      </c>
      <c r="C8693" s="2">
        <v>43967</v>
      </c>
      <c r="D8693" t="s">
        <v>29</v>
      </c>
      <c r="E8693">
        <v>408</v>
      </c>
    </row>
    <row r="8694" spans="1:5" x14ac:dyDescent="0.55000000000000004">
      <c r="A8694" t="s">
        <v>8775</v>
      </c>
      <c r="B8694" t="s">
        <v>99</v>
      </c>
      <c r="C8694" s="2">
        <v>44610</v>
      </c>
      <c r="D8694" t="s">
        <v>29</v>
      </c>
      <c r="E8694">
        <v>328</v>
      </c>
    </row>
    <row r="8695" spans="1:5" x14ac:dyDescent="0.55000000000000004">
      <c r="A8695" t="s">
        <v>8776</v>
      </c>
      <c r="B8695" t="s">
        <v>84</v>
      </c>
      <c r="C8695" s="2">
        <v>43699</v>
      </c>
      <c r="D8695" t="s">
        <v>26</v>
      </c>
      <c r="E8695">
        <v>679</v>
      </c>
    </row>
    <row r="8696" spans="1:5" x14ac:dyDescent="0.55000000000000004">
      <c r="A8696" t="s">
        <v>8777</v>
      </c>
      <c r="B8696" t="s">
        <v>14</v>
      </c>
      <c r="C8696" s="2">
        <v>43069</v>
      </c>
      <c r="D8696" t="s">
        <v>29</v>
      </c>
      <c r="E8696">
        <v>2711</v>
      </c>
    </row>
    <row r="8697" spans="1:5" x14ac:dyDescent="0.55000000000000004">
      <c r="A8697" t="s">
        <v>8778</v>
      </c>
      <c r="B8697" t="s">
        <v>67</v>
      </c>
      <c r="C8697" s="2">
        <v>44464</v>
      </c>
      <c r="D8697" t="s">
        <v>26</v>
      </c>
      <c r="E8697">
        <v>995</v>
      </c>
    </row>
    <row r="8698" spans="1:5" x14ac:dyDescent="0.55000000000000004">
      <c r="A8698" t="s">
        <v>8779</v>
      </c>
      <c r="B8698" t="s">
        <v>111</v>
      </c>
      <c r="C8698" s="2">
        <v>43463</v>
      </c>
      <c r="D8698" t="s">
        <v>26</v>
      </c>
      <c r="E8698">
        <v>399</v>
      </c>
    </row>
    <row r="8699" spans="1:5" x14ac:dyDescent="0.55000000000000004">
      <c r="A8699" t="s">
        <v>8780</v>
      </c>
      <c r="B8699" t="s">
        <v>115</v>
      </c>
      <c r="C8699" s="2">
        <v>43295</v>
      </c>
      <c r="D8699" t="s">
        <v>29</v>
      </c>
      <c r="E8699">
        <v>692</v>
      </c>
    </row>
    <row r="8700" spans="1:5" x14ac:dyDescent="0.55000000000000004">
      <c r="A8700" t="s">
        <v>8781</v>
      </c>
      <c r="B8700" t="s">
        <v>99</v>
      </c>
      <c r="C8700" s="2">
        <v>44314</v>
      </c>
      <c r="D8700" t="s">
        <v>29</v>
      </c>
      <c r="E8700">
        <v>46</v>
      </c>
    </row>
    <row r="8701" spans="1:5" x14ac:dyDescent="0.55000000000000004">
      <c r="A8701" t="s">
        <v>8782</v>
      </c>
      <c r="B8701" t="s">
        <v>151</v>
      </c>
      <c r="C8701" s="2">
        <v>42920</v>
      </c>
      <c r="D8701" t="s">
        <v>29</v>
      </c>
      <c r="E8701">
        <v>1617</v>
      </c>
    </row>
    <row r="8702" spans="1:5" x14ac:dyDescent="0.55000000000000004">
      <c r="A8702" t="s">
        <v>8783</v>
      </c>
      <c r="B8702" t="s">
        <v>156</v>
      </c>
      <c r="C8702" s="2">
        <v>43876</v>
      </c>
      <c r="D8702" t="s">
        <v>29</v>
      </c>
      <c r="E8702">
        <v>189</v>
      </c>
    </row>
    <row r="8703" spans="1:5" x14ac:dyDescent="0.55000000000000004">
      <c r="A8703" t="s">
        <v>8784</v>
      </c>
      <c r="B8703" t="s">
        <v>78</v>
      </c>
      <c r="C8703" s="2">
        <v>45813</v>
      </c>
      <c r="D8703" t="s">
        <v>26</v>
      </c>
      <c r="E8703">
        <v>1727</v>
      </c>
    </row>
    <row r="8704" spans="1:5" x14ac:dyDescent="0.55000000000000004">
      <c r="A8704" t="s">
        <v>8785</v>
      </c>
      <c r="B8704" t="s">
        <v>38</v>
      </c>
      <c r="C8704" s="2">
        <v>44820</v>
      </c>
      <c r="D8704" t="s">
        <v>29</v>
      </c>
      <c r="E8704">
        <v>444</v>
      </c>
    </row>
    <row r="8705" spans="1:5" x14ac:dyDescent="0.55000000000000004">
      <c r="A8705" t="s">
        <v>8786</v>
      </c>
      <c r="B8705" t="s">
        <v>99</v>
      </c>
      <c r="C8705" s="2">
        <v>44437</v>
      </c>
      <c r="D8705" t="s">
        <v>29</v>
      </c>
      <c r="E8705">
        <v>1545</v>
      </c>
    </row>
    <row r="8706" spans="1:5" x14ac:dyDescent="0.55000000000000004">
      <c r="A8706" t="s">
        <v>8787</v>
      </c>
      <c r="B8706" t="s">
        <v>72</v>
      </c>
      <c r="C8706" s="2">
        <v>44433</v>
      </c>
      <c r="D8706" t="s">
        <v>29</v>
      </c>
      <c r="E8706">
        <v>10</v>
      </c>
    </row>
    <row r="8707" spans="1:5" x14ac:dyDescent="0.55000000000000004">
      <c r="A8707" t="s">
        <v>8788</v>
      </c>
      <c r="B8707" t="s">
        <v>96</v>
      </c>
      <c r="C8707" s="2">
        <v>45190</v>
      </c>
      <c r="D8707" t="s">
        <v>29</v>
      </c>
      <c r="E8707">
        <v>2822</v>
      </c>
    </row>
    <row r="8708" spans="1:5" x14ac:dyDescent="0.55000000000000004">
      <c r="A8708" t="s">
        <v>8789</v>
      </c>
      <c r="B8708" t="s">
        <v>175</v>
      </c>
      <c r="C8708" s="2">
        <v>43735</v>
      </c>
      <c r="D8708" t="s">
        <v>29</v>
      </c>
      <c r="E8708">
        <v>759</v>
      </c>
    </row>
    <row r="8709" spans="1:5" x14ac:dyDescent="0.55000000000000004">
      <c r="A8709" t="s">
        <v>8790</v>
      </c>
      <c r="B8709" t="s">
        <v>115</v>
      </c>
      <c r="C8709" s="2">
        <v>43938</v>
      </c>
      <c r="D8709" t="s">
        <v>26</v>
      </c>
      <c r="E8709">
        <v>171</v>
      </c>
    </row>
    <row r="8710" spans="1:5" x14ac:dyDescent="0.55000000000000004">
      <c r="A8710" t="s">
        <v>8791</v>
      </c>
      <c r="B8710" t="s">
        <v>156</v>
      </c>
      <c r="C8710" s="2">
        <v>44034</v>
      </c>
      <c r="D8710" t="s">
        <v>29</v>
      </c>
      <c r="E8710">
        <v>2297</v>
      </c>
    </row>
    <row r="8711" spans="1:5" x14ac:dyDescent="0.55000000000000004">
      <c r="A8711" t="s">
        <v>8792</v>
      </c>
      <c r="B8711" t="s">
        <v>142</v>
      </c>
      <c r="C8711" s="2">
        <v>44262</v>
      </c>
      <c r="D8711" t="s">
        <v>29</v>
      </c>
      <c r="E8711">
        <v>421</v>
      </c>
    </row>
    <row r="8712" spans="1:5" x14ac:dyDescent="0.55000000000000004">
      <c r="A8712" t="s">
        <v>8793</v>
      </c>
      <c r="B8712" t="s">
        <v>67</v>
      </c>
      <c r="C8712" s="2">
        <v>45063</v>
      </c>
      <c r="D8712" t="s">
        <v>26</v>
      </c>
      <c r="E8712">
        <v>183</v>
      </c>
    </row>
    <row r="8713" spans="1:5" x14ac:dyDescent="0.55000000000000004">
      <c r="A8713" t="s">
        <v>8794</v>
      </c>
      <c r="B8713" t="s">
        <v>63</v>
      </c>
      <c r="C8713" s="2">
        <v>44291</v>
      </c>
      <c r="D8713" t="s">
        <v>26</v>
      </c>
      <c r="E8713">
        <v>1585</v>
      </c>
    </row>
    <row r="8714" spans="1:5" x14ac:dyDescent="0.55000000000000004">
      <c r="A8714" t="s">
        <v>8795</v>
      </c>
      <c r="B8714" t="s">
        <v>76</v>
      </c>
      <c r="C8714" s="2">
        <v>44684</v>
      </c>
      <c r="D8714" t="s">
        <v>29</v>
      </c>
      <c r="E8714">
        <v>1640</v>
      </c>
    </row>
    <row r="8715" spans="1:5" x14ac:dyDescent="0.55000000000000004">
      <c r="A8715" t="s">
        <v>8796</v>
      </c>
      <c r="B8715" t="s">
        <v>84</v>
      </c>
      <c r="C8715" s="2">
        <v>44176</v>
      </c>
      <c r="D8715" t="s">
        <v>29</v>
      </c>
      <c r="E8715">
        <v>1913</v>
      </c>
    </row>
    <row r="8716" spans="1:5" x14ac:dyDescent="0.55000000000000004">
      <c r="A8716" t="s">
        <v>8797</v>
      </c>
      <c r="B8716" t="s">
        <v>156</v>
      </c>
      <c r="C8716" s="2">
        <v>43140</v>
      </c>
      <c r="D8716" t="s">
        <v>26</v>
      </c>
      <c r="E8716">
        <v>1643</v>
      </c>
    </row>
    <row r="8717" spans="1:5" x14ac:dyDescent="0.55000000000000004">
      <c r="A8717" t="s">
        <v>8798</v>
      </c>
      <c r="B8717" t="s">
        <v>142</v>
      </c>
      <c r="C8717" s="2">
        <v>43578</v>
      </c>
      <c r="D8717" t="s">
        <v>26</v>
      </c>
      <c r="E8717">
        <v>2495</v>
      </c>
    </row>
    <row r="8718" spans="1:5" x14ac:dyDescent="0.55000000000000004">
      <c r="A8718" t="s">
        <v>8799</v>
      </c>
      <c r="B8718" t="s">
        <v>38</v>
      </c>
      <c r="C8718" s="2">
        <v>43872</v>
      </c>
      <c r="D8718" t="s">
        <v>29</v>
      </c>
      <c r="E8718">
        <v>1024</v>
      </c>
    </row>
    <row r="8719" spans="1:5" x14ac:dyDescent="0.55000000000000004">
      <c r="A8719" t="s">
        <v>8800</v>
      </c>
      <c r="B8719" t="s">
        <v>137</v>
      </c>
      <c r="C8719" s="2">
        <v>45797</v>
      </c>
      <c r="D8719" t="s">
        <v>26</v>
      </c>
      <c r="E8719">
        <v>2312</v>
      </c>
    </row>
    <row r="8720" spans="1:5" x14ac:dyDescent="0.55000000000000004">
      <c r="A8720" t="s">
        <v>8801</v>
      </c>
      <c r="B8720" t="s">
        <v>78</v>
      </c>
      <c r="C8720" s="2">
        <v>45458</v>
      </c>
      <c r="D8720" t="s">
        <v>26</v>
      </c>
      <c r="E8720">
        <v>939</v>
      </c>
    </row>
    <row r="8721" spans="1:5" x14ac:dyDescent="0.55000000000000004">
      <c r="A8721" t="s">
        <v>8802</v>
      </c>
      <c r="B8721" t="s">
        <v>156</v>
      </c>
      <c r="C8721" s="2">
        <v>43184</v>
      </c>
      <c r="D8721" t="s">
        <v>29</v>
      </c>
      <c r="E8721">
        <v>2711</v>
      </c>
    </row>
    <row r="8722" spans="1:5" x14ac:dyDescent="0.55000000000000004">
      <c r="A8722" t="s">
        <v>8803</v>
      </c>
      <c r="B8722" t="s">
        <v>115</v>
      </c>
      <c r="C8722" s="2">
        <v>44361</v>
      </c>
      <c r="D8722" t="s">
        <v>29</v>
      </c>
      <c r="E8722">
        <v>2796</v>
      </c>
    </row>
    <row r="8723" spans="1:5" x14ac:dyDescent="0.55000000000000004">
      <c r="A8723" t="s">
        <v>8804</v>
      </c>
      <c r="B8723" t="s">
        <v>142</v>
      </c>
      <c r="C8723" s="2">
        <v>43169</v>
      </c>
      <c r="D8723" t="s">
        <v>26</v>
      </c>
      <c r="E8723">
        <v>1530</v>
      </c>
    </row>
    <row r="8724" spans="1:5" x14ac:dyDescent="0.55000000000000004">
      <c r="A8724" t="s">
        <v>8805</v>
      </c>
      <c r="B8724" t="s">
        <v>99</v>
      </c>
      <c r="C8724" s="2">
        <v>45816</v>
      </c>
      <c r="D8724" t="s">
        <v>26</v>
      </c>
      <c r="E8724">
        <v>769</v>
      </c>
    </row>
    <row r="8725" spans="1:5" x14ac:dyDescent="0.55000000000000004">
      <c r="A8725" t="s">
        <v>8806</v>
      </c>
      <c r="B8725" t="s">
        <v>101</v>
      </c>
      <c r="C8725" s="2">
        <v>44032</v>
      </c>
      <c r="D8725" t="s">
        <v>26</v>
      </c>
      <c r="E8725">
        <v>2373</v>
      </c>
    </row>
    <row r="8726" spans="1:5" x14ac:dyDescent="0.55000000000000004">
      <c r="A8726" t="s">
        <v>8807</v>
      </c>
      <c r="B8726" t="s">
        <v>101</v>
      </c>
      <c r="C8726" s="2">
        <v>43868</v>
      </c>
      <c r="D8726" t="s">
        <v>26</v>
      </c>
      <c r="E8726">
        <v>1893</v>
      </c>
    </row>
    <row r="8727" spans="1:5" x14ac:dyDescent="0.55000000000000004">
      <c r="A8727" t="s">
        <v>8808</v>
      </c>
      <c r="B8727" t="s">
        <v>84</v>
      </c>
      <c r="C8727" s="2">
        <v>43275</v>
      </c>
      <c r="D8727" t="s">
        <v>26</v>
      </c>
      <c r="E8727">
        <v>1360</v>
      </c>
    </row>
    <row r="8728" spans="1:5" x14ac:dyDescent="0.55000000000000004">
      <c r="A8728" t="s">
        <v>8809</v>
      </c>
      <c r="B8728" t="s">
        <v>63</v>
      </c>
      <c r="C8728" s="2">
        <v>43054</v>
      </c>
      <c r="D8728" t="s">
        <v>26</v>
      </c>
      <c r="E8728">
        <v>2611</v>
      </c>
    </row>
    <row r="8729" spans="1:5" x14ac:dyDescent="0.55000000000000004">
      <c r="A8729" t="s">
        <v>8810</v>
      </c>
      <c r="B8729" t="s">
        <v>94</v>
      </c>
      <c r="C8729" s="2">
        <v>45096</v>
      </c>
      <c r="D8729" t="s">
        <v>26</v>
      </c>
      <c r="E8729">
        <v>1396</v>
      </c>
    </row>
    <row r="8730" spans="1:5" x14ac:dyDescent="0.55000000000000004">
      <c r="A8730" t="s">
        <v>8811</v>
      </c>
      <c r="B8730" t="s">
        <v>105</v>
      </c>
      <c r="C8730" s="2">
        <v>43739</v>
      </c>
      <c r="D8730" t="s">
        <v>26</v>
      </c>
      <c r="E8730">
        <v>575</v>
      </c>
    </row>
    <row r="8731" spans="1:5" x14ac:dyDescent="0.55000000000000004">
      <c r="A8731" t="s">
        <v>8812</v>
      </c>
      <c r="B8731" t="s">
        <v>105</v>
      </c>
      <c r="C8731" s="2">
        <v>43148</v>
      </c>
      <c r="D8731" t="s">
        <v>29</v>
      </c>
      <c r="E8731">
        <v>2340</v>
      </c>
    </row>
    <row r="8732" spans="1:5" x14ac:dyDescent="0.55000000000000004">
      <c r="A8732" t="s">
        <v>8813</v>
      </c>
      <c r="B8732" t="s">
        <v>78</v>
      </c>
      <c r="C8732" s="2">
        <v>43568</v>
      </c>
      <c r="D8732" t="s">
        <v>29</v>
      </c>
      <c r="E8732">
        <v>1502</v>
      </c>
    </row>
    <row r="8733" spans="1:5" x14ac:dyDescent="0.55000000000000004">
      <c r="A8733" t="s">
        <v>8814</v>
      </c>
      <c r="B8733" t="s">
        <v>137</v>
      </c>
      <c r="C8733" s="2">
        <v>44597</v>
      </c>
      <c r="D8733" t="s">
        <v>26</v>
      </c>
      <c r="E8733">
        <v>579</v>
      </c>
    </row>
    <row r="8734" spans="1:5" x14ac:dyDescent="0.55000000000000004">
      <c r="A8734" t="s">
        <v>8815</v>
      </c>
      <c r="B8734" t="s">
        <v>76</v>
      </c>
      <c r="C8734" s="2">
        <v>44415</v>
      </c>
      <c r="D8734" t="s">
        <v>26</v>
      </c>
      <c r="E8734">
        <v>1507</v>
      </c>
    </row>
    <row r="8735" spans="1:5" x14ac:dyDescent="0.55000000000000004">
      <c r="A8735" t="s">
        <v>8816</v>
      </c>
      <c r="B8735" t="s">
        <v>99</v>
      </c>
      <c r="C8735" s="2">
        <v>44411</v>
      </c>
      <c r="D8735" t="s">
        <v>29</v>
      </c>
      <c r="E8735">
        <v>786</v>
      </c>
    </row>
    <row r="8736" spans="1:5" x14ac:dyDescent="0.55000000000000004">
      <c r="A8736" t="s">
        <v>8817</v>
      </c>
      <c r="B8736" t="s">
        <v>38</v>
      </c>
      <c r="C8736" s="2">
        <v>44000</v>
      </c>
      <c r="D8736" t="s">
        <v>26</v>
      </c>
      <c r="E8736">
        <v>1672</v>
      </c>
    </row>
    <row r="8737" spans="1:5" x14ac:dyDescent="0.55000000000000004">
      <c r="A8737" t="s">
        <v>8818</v>
      </c>
      <c r="B8737" t="s">
        <v>86</v>
      </c>
      <c r="C8737" s="2">
        <v>43835</v>
      </c>
      <c r="D8737" t="s">
        <v>26</v>
      </c>
      <c r="E8737">
        <v>1336</v>
      </c>
    </row>
    <row r="8738" spans="1:5" x14ac:dyDescent="0.55000000000000004">
      <c r="A8738" t="s">
        <v>8819</v>
      </c>
      <c r="B8738" t="s">
        <v>76</v>
      </c>
      <c r="C8738" s="2">
        <v>43811</v>
      </c>
      <c r="D8738" t="s">
        <v>29</v>
      </c>
      <c r="E8738">
        <v>1275</v>
      </c>
    </row>
    <row r="8739" spans="1:5" x14ac:dyDescent="0.55000000000000004">
      <c r="A8739" t="s">
        <v>8820</v>
      </c>
      <c r="B8739" t="s">
        <v>111</v>
      </c>
      <c r="C8739" s="2">
        <v>43436</v>
      </c>
      <c r="D8739" t="s">
        <v>29</v>
      </c>
      <c r="E8739">
        <v>2350</v>
      </c>
    </row>
    <row r="8740" spans="1:5" x14ac:dyDescent="0.55000000000000004">
      <c r="A8740" t="s">
        <v>8821</v>
      </c>
      <c r="B8740" t="s">
        <v>151</v>
      </c>
      <c r="C8740" s="2">
        <v>44497</v>
      </c>
      <c r="D8740" t="s">
        <v>29</v>
      </c>
      <c r="E8740">
        <v>500</v>
      </c>
    </row>
    <row r="8741" spans="1:5" x14ac:dyDescent="0.55000000000000004">
      <c r="A8741" t="s">
        <v>8822</v>
      </c>
      <c r="B8741" t="s">
        <v>14</v>
      </c>
      <c r="C8741" s="2">
        <v>43250</v>
      </c>
      <c r="D8741" t="s">
        <v>26</v>
      </c>
      <c r="E8741">
        <v>1246</v>
      </c>
    </row>
    <row r="8742" spans="1:5" x14ac:dyDescent="0.55000000000000004">
      <c r="A8742" t="s">
        <v>8823</v>
      </c>
      <c r="B8742" t="s">
        <v>142</v>
      </c>
      <c r="C8742" s="2">
        <v>44484</v>
      </c>
      <c r="D8742" t="s">
        <v>26</v>
      </c>
      <c r="E8742">
        <v>616</v>
      </c>
    </row>
    <row r="8743" spans="1:5" x14ac:dyDescent="0.55000000000000004">
      <c r="A8743" t="s">
        <v>8824</v>
      </c>
      <c r="B8743" t="s">
        <v>99</v>
      </c>
      <c r="C8743" s="2">
        <v>44467</v>
      </c>
      <c r="D8743" t="s">
        <v>26</v>
      </c>
      <c r="E8743">
        <v>355</v>
      </c>
    </row>
    <row r="8744" spans="1:5" x14ac:dyDescent="0.55000000000000004">
      <c r="A8744" t="s">
        <v>8825</v>
      </c>
      <c r="B8744" t="s">
        <v>23</v>
      </c>
      <c r="C8744" s="2">
        <v>44507</v>
      </c>
      <c r="D8744" t="s">
        <v>29</v>
      </c>
      <c r="E8744">
        <v>2102</v>
      </c>
    </row>
    <row r="8745" spans="1:5" x14ac:dyDescent="0.55000000000000004">
      <c r="A8745" t="s">
        <v>8826</v>
      </c>
      <c r="B8745" t="s">
        <v>35</v>
      </c>
      <c r="C8745" s="2">
        <v>44818</v>
      </c>
      <c r="D8745" t="s">
        <v>26</v>
      </c>
      <c r="E8745">
        <v>903</v>
      </c>
    </row>
    <row r="8746" spans="1:5" x14ac:dyDescent="0.55000000000000004">
      <c r="A8746" t="s">
        <v>8827</v>
      </c>
      <c r="B8746" t="s">
        <v>111</v>
      </c>
      <c r="C8746" s="2">
        <v>44470</v>
      </c>
      <c r="D8746" t="s">
        <v>29</v>
      </c>
      <c r="E8746">
        <v>409</v>
      </c>
    </row>
    <row r="8747" spans="1:5" x14ac:dyDescent="0.55000000000000004">
      <c r="A8747" t="s">
        <v>8828</v>
      </c>
      <c r="B8747" t="s">
        <v>96</v>
      </c>
      <c r="C8747" s="2">
        <v>45485</v>
      </c>
      <c r="D8747" t="s">
        <v>26</v>
      </c>
      <c r="E8747">
        <v>1990</v>
      </c>
    </row>
    <row r="8748" spans="1:5" x14ac:dyDescent="0.55000000000000004">
      <c r="A8748" t="s">
        <v>8829</v>
      </c>
      <c r="B8748" t="s">
        <v>41</v>
      </c>
      <c r="C8748" s="2">
        <v>43885</v>
      </c>
      <c r="D8748" t="s">
        <v>26</v>
      </c>
      <c r="E8748">
        <v>133</v>
      </c>
    </row>
    <row r="8749" spans="1:5" x14ac:dyDescent="0.55000000000000004">
      <c r="A8749" t="s">
        <v>8830</v>
      </c>
      <c r="B8749" t="s">
        <v>86</v>
      </c>
      <c r="C8749" s="2">
        <v>43758</v>
      </c>
      <c r="D8749" t="s">
        <v>29</v>
      </c>
      <c r="E8749">
        <v>233</v>
      </c>
    </row>
    <row r="8750" spans="1:5" x14ac:dyDescent="0.55000000000000004">
      <c r="A8750" t="s">
        <v>8831</v>
      </c>
      <c r="B8750" t="s">
        <v>94</v>
      </c>
      <c r="C8750" s="2">
        <v>45813</v>
      </c>
      <c r="D8750" t="s">
        <v>29</v>
      </c>
      <c r="E8750">
        <v>301</v>
      </c>
    </row>
    <row r="8751" spans="1:5" x14ac:dyDescent="0.55000000000000004">
      <c r="A8751" t="s">
        <v>8832</v>
      </c>
      <c r="B8751" t="s">
        <v>72</v>
      </c>
      <c r="C8751" s="2">
        <v>43436</v>
      </c>
      <c r="D8751" t="s">
        <v>29</v>
      </c>
      <c r="E8751">
        <v>19</v>
      </c>
    </row>
    <row r="8752" spans="1:5" x14ac:dyDescent="0.55000000000000004">
      <c r="A8752" t="s">
        <v>8833</v>
      </c>
      <c r="B8752" t="s">
        <v>111</v>
      </c>
      <c r="C8752" s="2">
        <v>43107</v>
      </c>
      <c r="D8752" t="s">
        <v>29</v>
      </c>
      <c r="E8752">
        <v>1037</v>
      </c>
    </row>
    <row r="8753" spans="1:5" x14ac:dyDescent="0.55000000000000004">
      <c r="A8753" t="s">
        <v>8834</v>
      </c>
      <c r="B8753" t="s">
        <v>99</v>
      </c>
      <c r="C8753" s="2">
        <v>44415</v>
      </c>
      <c r="D8753" t="s">
        <v>29</v>
      </c>
      <c r="E8753">
        <v>855</v>
      </c>
    </row>
    <row r="8754" spans="1:5" x14ac:dyDescent="0.55000000000000004">
      <c r="A8754" t="s">
        <v>8835</v>
      </c>
      <c r="B8754" t="s">
        <v>63</v>
      </c>
      <c r="C8754" s="2">
        <v>43834</v>
      </c>
      <c r="D8754" t="s">
        <v>29</v>
      </c>
      <c r="E8754">
        <v>2288</v>
      </c>
    </row>
    <row r="8755" spans="1:5" x14ac:dyDescent="0.55000000000000004">
      <c r="A8755" t="s">
        <v>8836</v>
      </c>
      <c r="B8755" t="s">
        <v>84</v>
      </c>
      <c r="C8755" s="2">
        <v>43153</v>
      </c>
      <c r="D8755" t="s">
        <v>29</v>
      </c>
      <c r="E8755">
        <v>1653</v>
      </c>
    </row>
    <row r="8756" spans="1:5" x14ac:dyDescent="0.55000000000000004">
      <c r="A8756" t="s">
        <v>8837</v>
      </c>
      <c r="B8756" t="s">
        <v>15</v>
      </c>
      <c r="C8756" s="2">
        <v>43868</v>
      </c>
      <c r="D8756" t="s">
        <v>29</v>
      </c>
      <c r="E8756">
        <v>248</v>
      </c>
    </row>
    <row r="8757" spans="1:5" x14ac:dyDescent="0.55000000000000004">
      <c r="A8757" t="s">
        <v>8838</v>
      </c>
      <c r="B8757" t="s">
        <v>14</v>
      </c>
      <c r="C8757" s="2">
        <v>43711</v>
      </c>
      <c r="D8757" t="s">
        <v>29</v>
      </c>
      <c r="E8757">
        <v>919</v>
      </c>
    </row>
    <row r="8758" spans="1:5" x14ac:dyDescent="0.55000000000000004">
      <c r="A8758" t="s">
        <v>8839</v>
      </c>
      <c r="B8758" t="s">
        <v>156</v>
      </c>
      <c r="C8758" s="2">
        <v>43581</v>
      </c>
      <c r="D8758" t="s">
        <v>29</v>
      </c>
      <c r="E8758">
        <v>2770</v>
      </c>
    </row>
    <row r="8759" spans="1:5" x14ac:dyDescent="0.55000000000000004">
      <c r="A8759" t="s">
        <v>8840</v>
      </c>
      <c r="B8759" t="s">
        <v>35</v>
      </c>
      <c r="C8759" s="2">
        <v>44308</v>
      </c>
      <c r="D8759" t="s">
        <v>26</v>
      </c>
      <c r="E8759">
        <v>2617</v>
      </c>
    </row>
    <row r="8760" spans="1:5" x14ac:dyDescent="0.55000000000000004">
      <c r="A8760" t="s">
        <v>8841</v>
      </c>
      <c r="B8760" t="s">
        <v>118</v>
      </c>
      <c r="C8760" s="2">
        <v>45401</v>
      </c>
      <c r="D8760" t="s">
        <v>26</v>
      </c>
      <c r="E8760">
        <v>182</v>
      </c>
    </row>
    <row r="8761" spans="1:5" x14ac:dyDescent="0.55000000000000004">
      <c r="A8761" t="s">
        <v>8842</v>
      </c>
      <c r="B8761" t="s">
        <v>63</v>
      </c>
      <c r="C8761" s="2">
        <v>43379</v>
      </c>
      <c r="D8761" t="s">
        <v>26</v>
      </c>
      <c r="E8761">
        <v>1082</v>
      </c>
    </row>
    <row r="8762" spans="1:5" x14ac:dyDescent="0.55000000000000004">
      <c r="A8762" t="s">
        <v>8843</v>
      </c>
      <c r="B8762" t="s">
        <v>23</v>
      </c>
      <c r="C8762" s="2">
        <v>44691</v>
      </c>
      <c r="D8762" t="s">
        <v>29</v>
      </c>
      <c r="E8762">
        <v>1365</v>
      </c>
    </row>
    <row r="8763" spans="1:5" x14ac:dyDescent="0.55000000000000004">
      <c r="A8763" t="s">
        <v>8844</v>
      </c>
      <c r="B8763" t="s">
        <v>118</v>
      </c>
      <c r="C8763" s="2">
        <v>45513</v>
      </c>
      <c r="D8763" t="s">
        <v>29</v>
      </c>
      <c r="E8763">
        <v>1393</v>
      </c>
    </row>
    <row r="8764" spans="1:5" x14ac:dyDescent="0.55000000000000004">
      <c r="A8764" t="s">
        <v>8845</v>
      </c>
      <c r="B8764" t="s">
        <v>115</v>
      </c>
      <c r="C8764" s="2">
        <v>44513</v>
      </c>
      <c r="D8764" t="s">
        <v>26</v>
      </c>
      <c r="E8764">
        <v>1237</v>
      </c>
    </row>
    <row r="8765" spans="1:5" x14ac:dyDescent="0.55000000000000004">
      <c r="A8765" t="s">
        <v>8846</v>
      </c>
      <c r="B8765" t="s">
        <v>99</v>
      </c>
      <c r="C8765" s="2">
        <v>44616</v>
      </c>
      <c r="D8765" t="s">
        <v>26</v>
      </c>
      <c r="E8765">
        <v>2402</v>
      </c>
    </row>
    <row r="8766" spans="1:5" x14ac:dyDescent="0.55000000000000004">
      <c r="A8766" t="s">
        <v>8847</v>
      </c>
      <c r="B8766" t="s">
        <v>156</v>
      </c>
      <c r="C8766" s="2">
        <v>44352</v>
      </c>
      <c r="D8766" t="s">
        <v>29</v>
      </c>
      <c r="E8766">
        <v>2971</v>
      </c>
    </row>
    <row r="8767" spans="1:5" x14ac:dyDescent="0.55000000000000004">
      <c r="A8767" t="s">
        <v>8848</v>
      </c>
      <c r="B8767" t="s">
        <v>137</v>
      </c>
      <c r="C8767" s="2">
        <v>44355</v>
      </c>
      <c r="D8767" t="s">
        <v>26</v>
      </c>
      <c r="E8767">
        <v>2217</v>
      </c>
    </row>
    <row r="8768" spans="1:5" x14ac:dyDescent="0.55000000000000004">
      <c r="A8768" t="s">
        <v>8849</v>
      </c>
      <c r="B8768" t="s">
        <v>74</v>
      </c>
      <c r="C8768" s="2">
        <v>43622</v>
      </c>
      <c r="D8768" t="s">
        <v>29</v>
      </c>
      <c r="E8768">
        <v>80</v>
      </c>
    </row>
    <row r="8769" spans="1:5" x14ac:dyDescent="0.55000000000000004">
      <c r="A8769" t="s">
        <v>8850</v>
      </c>
      <c r="B8769" t="s">
        <v>76</v>
      </c>
      <c r="C8769" s="2">
        <v>44862</v>
      </c>
      <c r="D8769" t="s">
        <v>29</v>
      </c>
      <c r="E8769">
        <v>664</v>
      </c>
    </row>
    <row r="8770" spans="1:5" x14ac:dyDescent="0.55000000000000004">
      <c r="A8770" t="s">
        <v>8851</v>
      </c>
      <c r="B8770" t="s">
        <v>96</v>
      </c>
      <c r="C8770" s="2">
        <v>43676</v>
      </c>
      <c r="D8770" t="s">
        <v>29</v>
      </c>
      <c r="E8770">
        <v>2434</v>
      </c>
    </row>
    <row r="8771" spans="1:5" x14ac:dyDescent="0.55000000000000004">
      <c r="A8771" t="s">
        <v>8852</v>
      </c>
      <c r="B8771" t="s">
        <v>118</v>
      </c>
      <c r="C8771" s="2">
        <v>44940</v>
      </c>
      <c r="D8771" t="s">
        <v>29</v>
      </c>
      <c r="E8771">
        <v>1955</v>
      </c>
    </row>
    <row r="8772" spans="1:5" x14ac:dyDescent="0.55000000000000004">
      <c r="A8772" t="s">
        <v>8853</v>
      </c>
      <c r="B8772" t="s">
        <v>140</v>
      </c>
      <c r="C8772" s="2">
        <v>43157</v>
      </c>
      <c r="D8772" t="s">
        <v>26</v>
      </c>
      <c r="E8772">
        <v>440</v>
      </c>
    </row>
    <row r="8773" spans="1:5" x14ac:dyDescent="0.55000000000000004">
      <c r="A8773" t="s">
        <v>8854</v>
      </c>
      <c r="B8773" t="s">
        <v>142</v>
      </c>
      <c r="C8773" s="2">
        <v>43908</v>
      </c>
      <c r="D8773" t="s">
        <v>29</v>
      </c>
      <c r="E8773">
        <v>1606</v>
      </c>
    </row>
    <row r="8774" spans="1:5" x14ac:dyDescent="0.55000000000000004">
      <c r="A8774" t="s">
        <v>8855</v>
      </c>
      <c r="B8774" t="s">
        <v>156</v>
      </c>
      <c r="C8774" s="2">
        <v>43837</v>
      </c>
      <c r="D8774" t="s">
        <v>29</v>
      </c>
      <c r="E8774">
        <v>1187</v>
      </c>
    </row>
    <row r="8775" spans="1:5" x14ac:dyDescent="0.55000000000000004">
      <c r="A8775" t="s">
        <v>8856</v>
      </c>
      <c r="B8775" t="s">
        <v>38</v>
      </c>
      <c r="C8775" s="2">
        <v>44550</v>
      </c>
      <c r="D8775" t="s">
        <v>29</v>
      </c>
      <c r="E8775">
        <v>1398</v>
      </c>
    </row>
    <row r="8776" spans="1:5" x14ac:dyDescent="0.55000000000000004">
      <c r="A8776" t="s">
        <v>8857</v>
      </c>
      <c r="B8776" t="s">
        <v>15</v>
      </c>
      <c r="C8776" s="2">
        <v>43223</v>
      </c>
      <c r="D8776" t="s">
        <v>29</v>
      </c>
      <c r="E8776">
        <v>621</v>
      </c>
    </row>
    <row r="8777" spans="1:5" x14ac:dyDescent="0.55000000000000004">
      <c r="A8777" t="s">
        <v>8858</v>
      </c>
      <c r="B8777" t="s">
        <v>105</v>
      </c>
      <c r="C8777" s="2">
        <v>43710</v>
      </c>
      <c r="D8777" t="s">
        <v>26</v>
      </c>
      <c r="E8777">
        <v>1212</v>
      </c>
    </row>
    <row r="8778" spans="1:5" x14ac:dyDescent="0.55000000000000004">
      <c r="A8778" t="s">
        <v>8859</v>
      </c>
      <c r="B8778" t="s">
        <v>67</v>
      </c>
      <c r="C8778" s="2">
        <v>44849</v>
      </c>
      <c r="D8778" t="s">
        <v>29</v>
      </c>
      <c r="E8778">
        <v>2786</v>
      </c>
    </row>
    <row r="8779" spans="1:5" x14ac:dyDescent="0.55000000000000004">
      <c r="A8779" t="s">
        <v>8860</v>
      </c>
      <c r="B8779" t="s">
        <v>14</v>
      </c>
      <c r="C8779" s="2">
        <v>44469</v>
      </c>
      <c r="D8779" t="s">
        <v>26</v>
      </c>
      <c r="E8779">
        <v>2375</v>
      </c>
    </row>
    <row r="8780" spans="1:5" x14ac:dyDescent="0.55000000000000004">
      <c r="A8780" t="s">
        <v>8861</v>
      </c>
      <c r="B8780" t="s">
        <v>14</v>
      </c>
      <c r="C8780" s="2">
        <v>44163</v>
      </c>
      <c r="D8780" t="s">
        <v>29</v>
      </c>
      <c r="E8780">
        <v>2806</v>
      </c>
    </row>
    <row r="8781" spans="1:5" x14ac:dyDescent="0.55000000000000004">
      <c r="A8781" t="s">
        <v>8862</v>
      </c>
      <c r="B8781" t="s">
        <v>101</v>
      </c>
      <c r="C8781" s="2">
        <v>43999</v>
      </c>
      <c r="D8781" t="s">
        <v>29</v>
      </c>
      <c r="E8781">
        <v>1707</v>
      </c>
    </row>
    <row r="8782" spans="1:5" x14ac:dyDescent="0.55000000000000004">
      <c r="A8782" t="s">
        <v>8863</v>
      </c>
      <c r="B8782" t="s">
        <v>14</v>
      </c>
      <c r="C8782" s="2">
        <v>43805</v>
      </c>
      <c r="D8782" t="s">
        <v>29</v>
      </c>
      <c r="E8782">
        <v>2963</v>
      </c>
    </row>
    <row r="8783" spans="1:5" x14ac:dyDescent="0.55000000000000004">
      <c r="A8783" t="s">
        <v>8864</v>
      </c>
      <c r="B8783" t="s">
        <v>23</v>
      </c>
      <c r="C8783" s="2">
        <v>44203</v>
      </c>
      <c r="D8783" t="s">
        <v>29</v>
      </c>
      <c r="E8783">
        <v>277</v>
      </c>
    </row>
    <row r="8784" spans="1:5" x14ac:dyDescent="0.55000000000000004">
      <c r="A8784" t="s">
        <v>8865</v>
      </c>
      <c r="B8784" t="s">
        <v>151</v>
      </c>
      <c r="C8784" s="2">
        <v>43980</v>
      </c>
      <c r="D8784" t="s">
        <v>26</v>
      </c>
      <c r="E8784">
        <v>1678</v>
      </c>
    </row>
    <row r="8785" spans="1:5" x14ac:dyDescent="0.55000000000000004">
      <c r="A8785" t="s">
        <v>8866</v>
      </c>
      <c r="B8785" t="s">
        <v>137</v>
      </c>
      <c r="C8785" s="2">
        <v>45710</v>
      </c>
      <c r="D8785" t="s">
        <v>29</v>
      </c>
      <c r="E8785">
        <v>138</v>
      </c>
    </row>
    <row r="8786" spans="1:5" x14ac:dyDescent="0.55000000000000004">
      <c r="A8786" t="s">
        <v>8867</v>
      </c>
      <c r="B8786" t="s">
        <v>32</v>
      </c>
      <c r="C8786" s="2">
        <v>44737</v>
      </c>
      <c r="D8786" t="s">
        <v>29</v>
      </c>
      <c r="E8786">
        <v>1868</v>
      </c>
    </row>
    <row r="8787" spans="1:5" x14ac:dyDescent="0.55000000000000004">
      <c r="A8787" t="s">
        <v>8868</v>
      </c>
      <c r="B8787" t="s">
        <v>15</v>
      </c>
      <c r="C8787" s="2">
        <v>44137</v>
      </c>
      <c r="D8787" t="s">
        <v>29</v>
      </c>
      <c r="E8787">
        <v>1918</v>
      </c>
    </row>
    <row r="8788" spans="1:5" x14ac:dyDescent="0.55000000000000004">
      <c r="A8788" t="s">
        <v>8869</v>
      </c>
      <c r="B8788" t="s">
        <v>142</v>
      </c>
      <c r="C8788" s="2">
        <v>44467</v>
      </c>
      <c r="D8788" t="s">
        <v>26</v>
      </c>
      <c r="E8788">
        <v>2332</v>
      </c>
    </row>
    <row r="8789" spans="1:5" x14ac:dyDescent="0.55000000000000004">
      <c r="A8789" t="s">
        <v>8870</v>
      </c>
      <c r="B8789" t="s">
        <v>23</v>
      </c>
      <c r="C8789" s="2">
        <v>44663</v>
      </c>
      <c r="D8789" t="s">
        <v>26</v>
      </c>
      <c r="E8789">
        <v>1541</v>
      </c>
    </row>
    <row r="8790" spans="1:5" x14ac:dyDescent="0.55000000000000004">
      <c r="A8790" t="s">
        <v>8871</v>
      </c>
      <c r="B8790" t="s">
        <v>63</v>
      </c>
      <c r="C8790" s="2">
        <v>43934</v>
      </c>
      <c r="D8790" t="s">
        <v>29</v>
      </c>
      <c r="E8790">
        <v>2413</v>
      </c>
    </row>
    <row r="8791" spans="1:5" x14ac:dyDescent="0.55000000000000004">
      <c r="A8791" t="s">
        <v>8872</v>
      </c>
      <c r="B8791" t="s">
        <v>105</v>
      </c>
      <c r="C8791" s="2">
        <v>44443</v>
      </c>
      <c r="D8791" t="s">
        <v>29</v>
      </c>
      <c r="E8791">
        <v>285</v>
      </c>
    </row>
    <row r="8792" spans="1:5" x14ac:dyDescent="0.55000000000000004">
      <c r="A8792" t="s">
        <v>8873</v>
      </c>
      <c r="B8792" t="s">
        <v>38</v>
      </c>
      <c r="C8792" s="2">
        <v>44005</v>
      </c>
      <c r="D8792" t="s">
        <v>26</v>
      </c>
      <c r="E8792">
        <v>1793</v>
      </c>
    </row>
    <row r="8793" spans="1:5" x14ac:dyDescent="0.55000000000000004">
      <c r="A8793" t="s">
        <v>8874</v>
      </c>
      <c r="B8793" t="s">
        <v>118</v>
      </c>
      <c r="C8793" s="2">
        <v>44442</v>
      </c>
      <c r="D8793" t="s">
        <v>29</v>
      </c>
      <c r="E8793">
        <v>504</v>
      </c>
    </row>
    <row r="8794" spans="1:5" x14ac:dyDescent="0.55000000000000004">
      <c r="A8794" t="s">
        <v>8875</v>
      </c>
      <c r="B8794" t="s">
        <v>72</v>
      </c>
      <c r="C8794" s="2">
        <v>44051</v>
      </c>
      <c r="D8794" t="s">
        <v>29</v>
      </c>
      <c r="E8794">
        <v>706</v>
      </c>
    </row>
    <row r="8795" spans="1:5" x14ac:dyDescent="0.55000000000000004">
      <c r="A8795" t="s">
        <v>8876</v>
      </c>
      <c r="B8795" t="s">
        <v>105</v>
      </c>
      <c r="C8795" s="2">
        <v>44270</v>
      </c>
      <c r="D8795" t="s">
        <v>26</v>
      </c>
      <c r="E8795">
        <v>1666</v>
      </c>
    </row>
    <row r="8796" spans="1:5" x14ac:dyDescent="0.55000000000000004">
      <c r="A8796" t="s">
        <v>8877</v>
      </c>
      <c r="B8796" t="s">
        <v>99</v>
      </c>
      <c r="C8796" s="2">
        <v>44153</v>
      </c>
      <c r="D8796" t="s">
        <v>29</v>
      </c>
      <c r="E8796">
        <v>826</v>
      </c>
    </row>
    <row r="8797" spans="1:5" x14ac:dyDescent="0.55000000000000004">
      <c r="A8797" t="s">
        <v>8878</v>
      </c>
      <c r="B8797" t="s">
        <v>105</v>
      </c>
      <c r="C8797" s="2">
        <v>43391</v>
      </c>
      <c r="D8797" t="s">
        <v>26</v>
      </c>
      <c r="E8797">
        <v>2803</v>
      </c>
    </row>
    <row r="8798" spans="1:5" x14ac:dyDescent="0.55000000000000004">
      <c r="A8798" t="s">
        <v>8879</v>
      </c>
      <c r="B8798" t="s">
        <v>118</v>
      </c>
      <c r="C8798" s="2">
        <v>44456</v>
      </c>
      <c r="D8798" t="s">
        <v>26</v>
      </c>
      <c r="E8798">
        <v>586</v>
      </c>
    </row>
    <row r="8799" spans="1:5" x14ac:dyDescent="0.55000000000000004">
      <c r="A8799" t="s">
        <v>8880</v>
      </c>
      <c r="B8799" t="s">
        <v>151</v>
      </c>
      <c r="C8799" s="2">
        <v>44180</v>
      </c>
      <c r="D8799" t="s">
        <v>26</v>
      </c>
      <c r="E8799">
        <v>1033</v>
      </c>
    </row>
    <row r="8800" spans="1:5" x14ac:dyDescent="0.55000000000000004">
      <c r="A8800" t="s">
        <v>8881</v>
      </c>
      <c r="B8800" t="s">
        <v>84</v>
      </c>
      <c r="C8800" s="2">
        <v>43693</v>
      </c>
      <c r="D8800" t="s">
        <v>26</v>
      </c>
      <c r="E8800">
        <v>1643</v>
      </c>
    </row>
    <row r="8801" spans="1:5" x14ac:dyDescent="0.55000000000000004">
      <c r="A8801" t="s">
        <v>8882</v>
      </c>
      <c r="B8801" t="s">
        <v>175</v>
      </c>
      <c r="C8801" s="2">
        <v>43578</v>
      </c>
      <c r="D8801" t="s">
        <v>29</v>
      </c>
      <c r="E8801">
        <v>2318</v>
      </c>
    </row>
    <row r="8802" spans="1:5" x14ac:dyDescent="0.55000000000000004">
      <c r="A8802" t="s">
        <v>8883</v>
      </c>
      <c r="B8802" t="s">
        <v>84</v>
      </c>
      <c r="C8802" s="2">
        <v>44366</v>
      </c>
      <c r="D8802" t="s">
        <v>26</v>
      </c>
      <c r="E8802">
        <v>2785</v>
      </c>
    </row>
    <row r="8803" spans="1:5" x14ac:dyDescent="0.55000000000000004">
      <c r="A8803" t="s">
        <v>8884</v>
      </c>
      <c r="B8803" t="s">
        <v>14</v>
      </c>
      <c r="C8803" s="2">
        <v>43733</v>
      </c>
      <c r="D8803" t="s">
        <v>29</v>
      </c>
      <c r="E8803">
        <v>2680</v>
      </c>
    </row>
    <row r="8804" spans="1:5" x14ac:dyDescent="0.55000000000000004">
      <c r="A8804" t="s">
        <v>8885</v>
      </c>
      <c r="B8804" t="s">
        <v>72</v>
      </c>
      <c r="C8804" s="2">
        <v>43307</v>
      </c>
      <c r="D8804" t="s">
        <v>29</v>
      </c>
      <c r="E8804">
        <v>1792</v>
      </c>
    </row>
    <row r="8805" spans="1:5" x14ac:dyDescent="0.55000000000000004">
      <c r="A8805" t="s">
        <v>8886</v>
      </c>
      <c r="B8805" t="s">
        <v>99</v>
      </c>
      <c r="C8805" s="2">
        <v>45070</v>
      </c>
      <c r="D8805" t="s">
        <v>29</v>
      </c>
      <c r="E8805">
        <v>575</v>
      </c>
    </row>
    <row r="8806" spans="1:5" x14ac:dyDescent="0.55000000000000004">
      <c r="A8806" t="s">
        <v>8887</v>
      </c>
      <c r="B8806" t="s">
        <v>32</v>
      </c>
      <c r="C8806" s="2">
        <v>44456</v>
      </c>
      <c r="D8806" t="s">
        <v>26</v>
      </c>
      <c r="E8806">
        <v>559</v>
      </c>
    </row>
    <row r="8807" spans="1:5" x14ac:dyDescent="0.55000000000000004">
      <c r="A8807" t="s">
        <v>8888</v>
      </c>
      <c r="B8807" t="s">
        <v>67</v>
      </c>
      <c r="C8807" s="2">
        <v>44873</v>
      </c>
      <c r="D8807" t="s">
        <v>26</v>
      </c>
      <c r="E8807">
        <v>1975</v>
      </c>
    </row>
    <row r="8808" spans="1:5" x14ac:dyDescent="0.55000000000000004">
      <c r="A8808" t="s">
        <v>8889</v>
      </c>
      <c r="B8808" t="s">
        <v>41</v>
      </c>
      <c r="C8808" s="2">
        <v>43930</v>
      </c>
      <c r="D8808" t="s">
        <v>26</v>
      </c>
      <c r="E8808">
        <v>1566</v>
      </c>
    </row>
    <row r="8809" spans="1:5" x14ac:dyDescent="0.55000000000000004">
      <c r="A8809" t="s">
        <v>8890</v>
      </c>
      <c r="B8809" t="s">
        <v>76</v>
      </c>
      <c r="C8809" s="2">
        <v>44551</v>
      </c>
      <c r="D8809" t="s">
        <v>29</v>
      </c>
      <c r="E8809">
        <v>2175</v>
      </c>
    </row>
    <row r="8810" spans="1:5" x14ac:dyDescent="0.55000000000000004">
      <c r="A8810" t="s">
        <v>8891</v>
      </c>
      <c r="B8810" t="s">
        <v>94</v>
      </c>
      <c r="C8810" s="2">
        <v>45742</v>
      </c>
      <c r="D8810" t="s">
        <v>29</v>
      </c>
      <c r="E8810">
        <v>1176</v>
      </c>
    </row>
    <row r="8811" spans="1:5" x14ac:dyDescent="0.55000000000000004">
      <c r="A8811" t="s">
        <v>8892</v>
      </c>
      <c r="B8811" t="s">
        <v>99</v>
      </c>
      <c r="C8811" s="2">
        <v>45427</v>
      </c>
      <c r="D8811" t="s">
        <v>29</v>
      </c>
      <c r="E8811">
        <v>1005</v>
      </c>
    </row>
    <row r="8812" spans="1:5" x14ac:dyDescent="0.55000000000000004">
      <c r="A8812" t="s">
        <v>8893</v>
      </c>
      <c r="B8812" t="s">
        <v>115</v>
      </c>
      <c r="C8812" s="2">
        <v>43155</v>
      </c>
      <c r="D8812" t="s">
        <v>26</v>
      </c>
      <c r="E8812">
        <v>1048</v>
      </c>
    </row>
    <row r="8813" spans="1:5" x14ac:dyDescent="0.55000000000000004">
      <c r="A8813" t="s">
        <v>8894</v>
      </c>
      <c r="B8813" t="s">
        <v>105</v>
      </c>
      <c r="C8813" s="2">
        <v>43658</v>
      </c>
      <c r="D8813" t="s">
        <v>29</v>
      </c>
      <c r="E8813">
        <v>1273</v>
      </c>
    </row>
    <row r="8814" spans="1:5" x14ac:dyDescent="0.55000000000000004">
      <c r="A8814" t="s">
        <v>8895</v>
      </c>
      <c r="B8814" t="s">
        <v>94</v>
      </c>
      <c r="C8814" s="2">
        <v>44052</v>
      </c>
      <c r="D8814" t="s">
        <v>26</v>
      </c>
      <c r="E8814">
        <v>1327</v>
      </c>
    </row>
    <row r="8815" spans="1:5" x14ac:dyDescent="0.55000000000000004">
      <c r="A8815" t="s">
        <v>8896</v>
      </c>
      <c r="B8815" t="s">
        <v>63</v>
      </c>
      <c r="C8815" s="2">
        <v>43826</v>
      </c>
      <c r="D8815" t="s">
        <v>29</v>
      </c>
      <c r="E8815">
        <v>1239</v>
      </c>
    </row>
    <row r="8816" spans="1:5" x14ac:dyDescent="0.55000000000000004">
      <c r="A8816" t="s">
        <v>8897</v>
      </c>
      <c r="B8816" t="s">
        <v>72</v>
      </c>
      <c r="C8816" s="2">
        <v>43664</v>
      </c>
      <c r="D8816" t="s">
        <v>29</v>
      </c>
      <c r="E8816">
        <v>122</v>
      </c>
    </row>
    <row r="8817" spans="1:5" x14ac:dyDescent="0.55000000000000004">
      <c r="A8817" t="s">
        <v>8898</v>
      </c>
      <c r="B8817" t="s">
        <v>96</v>
      </c>
      <c r="C8817" s="2">
        <v>45748</v>
      </c>
      <c r="D8817" t="s">
        <v>29</v>
      </c>
      <c r="E8817">
        <v>2255</v>
      </c>
    </row>
    <row r="8818" spans="1:5" x14ac:dyDescent="0.55000000000000004">
      <c r="A8818" t="s">
        <v>8899</v>
      </c>
      <c r="B8818" t="s">
        <v>67</v>
      </c>
      <c r="C8818" s="2">
        <v>45295</v>
      </c>
      <c r="D8818" t="s">
        <v>29</v>
      </c>
      <c r="E8818">
        <v>112</v>
      </c>
    </row>
    <row r="8819" spans="1:5" x14ac:dyDescent="0.55000000000000004">
      <c r="A8819" t="s">
        <v>8900</v>
      </c>
      <c r="B8819" t="s">
        <v>38</v>
      </c>
      <c r="C8819" s="2">
        <v>44200</v>
      </c>
      <c r="D8819" t="s">
        <v>26</v>
      </c>
      <c r="E8819">
        <v>936</v>
      </c>
    </row>
    <row r="8820" spans="1:5" x14ac:dyDescent="0.55000000000000004">
      <c r="A8820" t="s">
        <v>8901</v>
      </c>
      <c r="B8820" t="s">
        <v>78</v>
      </c>
      <c r="C8820" s="2">
        <v>43998</v>
      </c>
      <c r="D8820" t="s">
        <v>26</v>
      </c>
      <c r="E8820">
        <v>501</v>
      </c>
    </row>
    <row r="8821" spans="1:5" x14ac:dyDescent="0.55000000000000004">
      <c r="A8821" t="s">
        <v>8902</v>
      </c>
      <c r="B8821" t="s">
        <v>63</v>
      </c>
      <c r="C8821" s="2">
        <v>43070</v>
      </c>
      <c r="D8821" t="s">
        <v>29</v>
      </c>
      <c r="E8821">
        <v>140</v>
      </c>
    </row>
    <row r="8822" spans="1:5" x14ac:dyDescent="0.55000000000000004">
      <c r="A8822" t="s">
        <v>8903</v>
      </c>
      <c r="B8822" t="s">
        <v>94</v>
      </c>
      <c r="C8822" s="2">
        <v>43847</v>
      </c>
      <c r="D8822" t="s">
        <v>29</v>
      </c>
      <c r="E8822">
        <v>2294</v>
      </c>
    </row>
    <row r="8823" spans="1:5" x14ac:dyDescent="0.55000000000000004">
      <c r="A8823" t="s">
        <v>8904</v>
      </c>
      <c r="B8823" t="s">
        <v>101</v>
      </c>
      <c r="C8823" s="2">
        <v>43766</v>
      </c>
      <c r="D8823" t="s">
        <v>26</v>
      </c>
      <c r="E8823">
        <v>2424</v>
      </c>
    </row>
    <row r="8824" spans="1:5" x14ac:dyDescent="0.55000000000000004">
      <c r="A8824" t="s">
        <v>8905</v>
      </c>
      <c r="B8824" t="s">
        <v>118</v>
      </c>
      <c r="C8824" s="2">
        <v>45828</v>
      </c>
      <c r="D8824" t="s">
        <v>26</v>
      </c>
      <c r="E8824">
        <v>2211</v>
      </c>
    </row>
    <row r="8825" spans="1:5" x14ac:dyDescent="0.55000000000000004">
      <c r="A8825" t="s">
        <v>8906</v>
      </c>
      <c r="B8825" t="s">
        <v>137</v>
      </c>
      <c r="C8825" s="2">
        <v>45399</v>
      </c>
      <c r="D8825" t="s">
        <v>29</v>
      </c>
      <c r="E8825">
        <v>653</v>
      </c>
    </row>
    <row r="8826" spans="1:5" x14ac:dyDescent="0.55000000000000004">
      <c r="A8826" t="s">
        <v>8907</v>
      </c>
      <c r="B8826" t="s">
        <v>94</v>
      </c>
      <c r="C8826" s="2">
        <v>45593</v>
      </c>
      <c r="D8826" t="s">
        <v>29</v>
      </c>
      <c r="E8826">
        <v>831</v>
      </c>
    </row>
    <row r="8827" spans="1:5" x14ac:dyDescent="0.55000000000000004">
      <c r="A8827" t="s">
        <v>8908</v>
      </c>
      <c r="B8827" t="s">
        <v>175</v>
      </c>
      <c r="C8827" s="2">
        <v>43778</v>
      </c>
      <c r="D8827" t="s">
        <v>29</v>
      </c>
      <c r="E8827">
        <v>645</v>
      </c>
    </row>
    <row r="8828" spans="1:5" x14ac:dyDescent="0.55000000000000004">
      <c r="A8828" t="s">
        <v>8909</v>
      </c>
      <c r="B8828" t="s">
        <v>137</v>
      </c>
      <c r="C8828" s="2">
        <v>44734</v>
      </c>
      <c r="D8828" t="s">
        <v>29</v>
      </c>
      <c r="E8828">
        <v>1674</v>
      </c>
    </row>
    <row r="8829" spans="1:5" x14ac:dyDescent="0.55000000000000004">
      <c r="A8829" t="s">
        <v>8910</v>
      </c>
      <c r="B8829" t="s">
        <v>105</v>
      </c>
      <c r="C8829" s="2">
        <v>44097</v>
      </c>
      <c r="D8829" t="s">
        <v>26</v>
      </c>
      <c r="E8829">
        <v>1941</v>
      </c>
    </row>
    <row r="8830" spans="1:5" x14ac:dyDescent="0.55000000000000004">
      <c r="A8830" t="s">
        <v>8911</v>
      </c>
      <c r="B8830" t="s">
        <v>38</v>
      </c>
      <c r="C8830" s="2">
        <v>44634</v>
      </c>
      <c r="D8830" t="s">
        <v>29</v>
      </c>
      <c r="E8830">
        <v>1230</v>
      </c>
    </row>
    <row r="8831" spans="1:5" x14ac:dyDescent="0.55000000000000004">
      <c r="A8831" t="s">
        <v>8912</v>
      </c>
      <c r="B8831" t="s">
        <v>115</v>
      </c>
      <c r="C8831" s="2">
        <v>43791</v>
      </c>
      <c r="D8831" t="s">
        <v>26</v>
      </c>
      <c r="E8831">
        <v>960</v>
      </c>
    </row>
    <row r="8832" spans="1:5" x14ac:dyDescent="0.55000000000000004">
      <c r="A8832" t="s">
        <v>8913</v>
      </c>
      <c r="B8832" t="s">
        <v>151</v>
      </c>
      <c r="C8832" s="2">
        <v>44473</v>
      </c>
      <c r="D8832" t="s">
        <v>26</v>
      </c>
      <c r="E8832">
        <v>2219</v>
      </c>
    </row>
    <row r="8833" spans="1:5" x14ac:dyDescent="0.55000000000000004">
      <c r="A8833" t="s">
        <v>8914</v>
      </c>
      <c r="B8833" t="s">
        <v>99</v>
      </c>
      <c r="C8833" s="2">
        <v>45540</v>
      </c>
      <c r="D8833" t="s">
        <v>26</v>
      </c>
      <c r="E8833">
        <v>1929</v>
      </c>
    </row>
    <row r="8834" spans="1:5" x14ac:dyDescent="0.55000000000000004">
      <c r="A8834" t="s">
        <v>8915</v>
      </c>
      <c r="B8834" t="s">
        <v>14</v>
      </c>
      <c r="C8834" s="2">
        <v>42956</v>
      </c>
      <c r="D8834" t="s">
        <v>29</v>
      </c>
      <c r="E8834">
        <v>321</v>
      </c>
    </row>
    <row r="8835" spans="1:5" x14ac:dyDescent="0.55000000000000004">
      <c r="A8835" t="s">
        <v>8916</v>
      </c>
      <c r="B8835" t="s">
        <v>41</v>
      </c>
      <c r="C8835" s="2">
        <v>43915</v>
      </c>
      <c r="D8835" t="s">
        <v>26</v>
      </c>
      <c r="E8835">
        <v>2158</v>
      </c>
    </row>
    <row r="8836" spans="1:5" x14ac:dyDescent="0.55000000000000004">
      <c r="A8836" t="s">
        <v>8917</v>
      </c>
      <c r="B8836" t="s">
        <v>96</v>
      </c>
      <c r="C8836" s="2">
        <v>44744</v>
      </c>
      <c r="D8836" t="s">
        <v>29</v>
      </c>
      <c r="E8836">
        <v>2804</v>
      </c>
    </row>
    <row r="8837" spans="1:5" x14ac:dyDescent="0.55000000000000004">
      <c r="A8837" t="s">
        <v>8918</v>
      </c>
      <c r="B8837" t="s">
        <v>74</v>
      </c>
      <c r="C8837" s="2">
        <v>43224</v>
      </c>
      <c r="D8837" t="s">
        <v>26</v>
      </c>
      <c r="E8837">
        <v>602</v>
      </c>
    </row>
    <row r="8838" spans="1:5" x14ac:dyDescent="0.55000000000000004">
      <c r="A8838" t="s">
        <v>8919</v>
      </c>
      <c r="B8838" t="s">
        <v>38</v>
      </c>
      <c r="C8838" s="2">
        <v>44157</v>
      </c>
      <c r="D8838" t="s">
        <v>26</v>
      </c>
      <c r="E8838">
        <v>336</v>
      </c>
    </row>
    <row r="8839" spans="1:5" x14ac:dyDescent="0.55000000000000004">
      <c r="A8839" t="s">
        <v>8920</v>
      </c>
      <c r="B8839" t="s">
        <v>78</v>
      </c>
      <c r="C8839" s="2">
        <v>45469</v>
      </c>
      <c r="D8839" t="s">
        <v>29</v>
      </c>
      <c r="E8839">
        <v>1218</v>
      </c>
    </row>
    <row r="8840" spans="1:5" x14ac:dyDescent="0.55000000000000004">
      <c r="A8840" t="s">
        <v>8921</v>
      </c>
      <c r="B8840" t="s">
        <v>86</v>
      </c>
      <c r="C8840" s="2">
        <v>43473</v>
      </c>
      <c r="D8840" t="s">
        <v>26</v>
      </c>
      <c r="E8840">
        <v>1631</v>
      </c>
    </row>
    <row r="8841" spans="1:5" x14ac:dyDescent="0.55000000000000004">
      <c r="A8841" t="s">
        <v>8922</v>
      </c>
      <c r="B8841" t="s">
        <v>84</v>
      </c>
      <c r="C8841" s="2">
        <v>44002</v>
      </c>
      <c r="D8841" t="s">
        <v>29</v>
      </c>
      <c r="E8841">
        <v>2537</v>
      </c>
    </row>
    <row r="8842" spans="1:5" x14ac:dyDescent="0.55000000000000004">
      <c r="A8842" t="s">
        <v>8923</v>
      </c>
      <c r="B8842" t="s">
        <v>72</v>
      </c>
      <c r="C8842" s="2">
        <v>44265</v>
      </c>
      <c r="D8842" t="s">
        <v>26</v>
      </c>
      <c r="E8842">
        <v>227</v>
      </c>
    </row>
    <row r="8843" spans="1:5" x14ac:dyDescent="0.55000000000000004">
      <c r="A8843" t="s">
        <v>8924</v>
      </c>
      <c r="B8843" t="s">
        <v>76</v>
      </c>
      <c r="C8843" s="2">
        <v>44568</v>
      </c>
      <c r="D8843" t="s">
        <v>29</v>
      </c>
      <c r="E8843">
        <v>1700</v>
      </c>
    </row>
    <row r="8844" spans="1:5" x14ac:dyDescent="0.55000000000000004">
      <c r="A8844" t="s">
        <v>8925</v>
      </c>
      <c r="B8844" t="s">
        <v>72</v>
      </c>
      <c r="C8844" s="2">
        <v>43872</v>
      </c>
      <c r="D8844" t="s">
        <v>29</v>
      </c>
      <c r="E8844">
        <v>2663</v>
      </c>
    </row>
    <row r="8845" spans="1:5" x14ac:dyDescent="0.55000000000000004">
      <c r="A8845" t="s">
        <v>8926</v>
      </c>
      <c r="B8845" t="s">
        <v>78</v>
      </c>
      <c r="C8845" s="2">
        <v>43539</v>
      </c>
      <c r="D8845" t="s">
        <v>26</v>
      </c>
      <c r="E8845">
        <v>1456</v>
      </c>
    </row>
    <row r="8846" spans="1:5" x14ac:dyDescent="0.55000000000000004">
      <c r="A8846" t="s">
        <v>8927</v>
      </c>
      <c r="B8846" t="s">
        <v>105</v>
      </c>
      <c r="C8846" s="2">
        <v>43747</v>
      </c>
      <c r="D8846" t="s">
        <v>29</v>
      </c>
      <c r="E8846">
        <v>1035</v>
      </c>
    </row>
    <row r="8847" spans="1:5" x14ac:dyDescent="0.55000000000000004">
      <c r="A8847" t="s">
        <v>8928</v>
      </c>
      <c r="B8847" t="s">
        <v>84</v>
      </c>
      <c r="C8847" s="2">
        <v>43266</v>
      </c>
      <c r="D8847" t="s">
        <v>26</v>
      </c>
      <c r="E8847">
        <v>941</v>
      </c>
    </row>
    <row r="8848" spans="1:5" x14ac:dyDescent="0.55000000000000004">
      <c r="A8848" t="s">
        <v>8929</v>
      </c>
      <c r="B8848" t="s">
        <v>76</v>
      </c>
      <c r="C8848" s="2">
        <v>45097</v>
      </c>
      <c r="D8848" t="s">
        <v>26</v>
      </c>
      <c r="E8848">
        <v>1971</v>
      </c>
    </row>
    <row r="8849" spans="1:5" x14ac:dyDescent="0.55000000000000004">
      <c r="A8849" t="s">
        <v>8930</v>
      </c>
      <c r="B8849" t="s">
        <v>99</v>
      </c>
      <c r="C8849" s="2">
        <v>44865</v>
      </c>
      <c r="D8849" t="s">
        <v>29</v>
      </c>
      <c r="E8849">
        <v>2223</v>
      </c>
    </row>
    <row r="8850" spans="1:5" x14ac:dyDescent="0.55000000000000004">
      <c r="A8850" t="s">
        <v>8931</v>
      </c>
      <c r="B8850" t="s">
        <v>137</v>
      </c>
      <c r="C8850" s="2">
        <v>44238</v>
      </c>
      <c r="D8850" t="s">
        <v>26</v>
      </c>
      <c r="E8850">
        <v>54</v>
      </c>
    </row>
    <row r="8851" spans="1:5" x14ac:dyDescent="0.55000000000000004">
      <c r="A8851" t="s">
        <v>8932</v>
      </c>
      <c r="B8851" t="s">
        <v>23</v>
      </c>
      <c r="C8851" s="2">
        <v>44593</v>
      </c>
      <c r="D8851" t="s">
        <v>29</v>
      </c>
      <c r="E8851">
        <v>580</v>
      </c>
    </row>
    <row r="8852" spans="1:5" x14ac:dyDescent="0.55000000000000004">
      <c r="A8852" t="s">
        <v>8933</v>
      </c>
      <c r="B8852" t="s">
        <v>94</v>
      </c>
      <c r="C8852" s="2">
        <v>44440</v>
      </c>
      <c r="D8852" t="s">
        <v>26</v>
      </c>
      <c r="E8852">
        <v>1629</v>
      </c>
    </row>
    <row r="8853" spans="1:5" x14ac:dyDescent="0.55000000000000004">
      <c r="A8853" t="s">
        <v>8934</v>
      </c>
      <c r="B8853" t="s">
        <v>99</v>
      </c>
      <c r="C8853" s="2">
        <v>43508</v>
      </c>
      <c r="D8853" t="s">
        <v>29</v>
      </c>
      <c r="E8853">
        <v>200</v>
      </c>
    </row>
    <row r="8854" spans="1:5" x14ac:dyDescent="0.55000000000000004">
      <c r="A8854" t="s">
        <v>8935</v>
      </c>
      <c r="B8854" t="s">
        <v>137</v>
      </c>
      <c r="C8854" s="2">
        <v>43826</v>
      </c>
      <c r="D8854" t="s">
        <v>29</v>
      </c>
      <c r="E8854">
        <v>1374</v>
      </c>
    </row>
    <row r="8855" spans="1:5" x14ac:dyDescent="0.55000000000000004">
      <c r="A8855" t="s">
        <v>8936</v>
      </c>
      <c r="B8855" t="s">
        <v>15</v>
      </c>
      <c r="C8855" s="2">
        <v>44134</v>
      </c>
      <c r="D8855" t="s">
        <v>26</v>
      </c>
      <c r="E8855">
        <v>938</v>
      </c>
    </row>
    <row r="8856" spans="1:5" x14ac:dyDescent="0.55000000000000004">
      <c r="A8856" t="s">
        <v>8937</v>
      </c>
      <c r="B8856" t="s">
        <v>72</v>
      </c>
      <c r="C8856" s="2">
        <v>43738</v>
      </c>
      <c r="D8856" t="s">
        <v>29</v>
      </c>
      <c r="E8856">
        <v>309</v>
      </c>
    </row>
    <row r="8857" spans="1:5" x14ac:dyDescent="0.55000000000000004">
      <c r="A8857" t="s">
        <v>8938</v>
      </c>
      <c r="B8857" t="s">
        <v>84</v>
      </c>
      <c r="C8857" s="2">
        <v>44435</v>
      </c>
      <c r="D8857" t="s">
        <v>29</v>
      </c>
      <c r="E8857">
        <v>2048</v>
      </c>
    </row>
    <row r="8858" spans="1:5" x14ac:dyDescent="0.55000000000000004">
      <c r="A8858" t="s">
        <v>8939</v>
      </c>
      <c r="B8858" t="s">
        <v>41</v>
      </c>
      <c r="C8858" s="2">
        <v>44035</v>
      </c>
      <c r="D8858" t="s">
        <v>29</v>
      </c>
      <c r="E8858">
        <v>28</v>
      </c>
    </row>
    <row r="8859" spans="1:5" x14ac:dyDescent="0.55000000000000004">
      <c r="A8859" t="s">
        <v>8940</v>
      </c>
      <c r="B8859" t="s">
        <v>115</v>
      </c>
      <c r="C8859" s="2">
        <v>43664</v>
      </c>
      <c r="D8859" t="s">
        <v>26</v>
      </c>
      <c r="E8859">
        <v>2958</v>
      </c>
    </row>
    <row r="8860" spans="1:5" x14ac:dyDescent="0.55000000000000004">
      <c r="A8860" t="s">
        <v>8941</v>
      </c>
      <c r="B8860" t="s">
        <v>115</v>
      </c>
      <c r="C8860" s="2">
        <v>44075</v>
      </c>
      <c r="D8860" t="s">
        <v>29</v>
      </c>
      <c r="E8860">
        <v>2033</v>
      </c>
    </row>
    <row r="8861" spans="1:5" x14ac:dyDescent="0.55000000000000004">
      <c r="A8861" t="s">
        <v>8942</v>
      </c>
      <c r="B8861" t="s">
        <v>32</v>
      </c>
      <c r="C8861" s="2">
        <v>44820</v>
      </c>
      <c r="D8861" t="s">
        <v>26</v>
      </c>
      <c r="E8861">
        <v>113</v>
      </c>
    </row>
    <row r="8862" spans="1:5" x14ac:dyDescent="0.55000000000000004">
      <c r="A8862" t="s">
        <v>8943</v>
      </c>
      <c r="B8862" t="s">
        <v>32</v>
      </c>
      <c r="C8862" s="2">
        <v>44095</v>
      </c>
      <c r="D8862" t="s">
        <v>29</v>
      </c>
      <c r="E8862">
        <v>301</v>
      </c>
    </row>
    <row r="8863" spans="1:5" x14ac:dyDescent="0.55000000000000004">
      <c r="A8863" t="s">
        <v>8944</v>
      </c>
      <c r="B8863" t="s">
        <v>23</v>
      </c>
      <c r="C8863" s="2">
        <v>44098</v>
      </c>
      <c r="D8863" t="s">
        <v>26</v>
      </c>
      <c r="E8863">
        <v>488</v>
      </c>
    </row>
    <row r="8864" spans="1:5" x14ac:dyDescent="0.55000000000000004">
      <c r="A8864" t="s">
        <v>8945</v>
      </c>
      <c r="B8864" t="s">
        <v>76</v>
      </c>
      <c r="C8864" s="2">
        <v>45769</v>
      </c>
      <c r="D8864" t="s">
        <v>26</v>
      </c>
      <c r="E8864">
        <v>2251</v>
      </c>
    </row>
    <row r="8865" spans="1:5" x14ac:dyDescent="0.55000000000000004">
      <c r="A8865" t="s">
        <v>8946</v>
      </c>
      <c r="B8865" t="s">
        <v>78</v>
      </c>
      <c r="C8865" s="2">
        <v>44911</v>
      </c>
      <c r="D8865" t="s">
        <v>26</v>
      </c>
      <c r="E8865">
        <v>975</v>
      </c>
    </row>
    <row r="8866" spans="1:5" x14ac:dyDescent="0.55000000000000004">
      <c r="A8866" t="s">
        <v>8947</v>
      </c>
      <c r="B8866" t="s">
        <v>63</v>
      </c>
      <c r="C8866" s="2">
        <v>44360</v>
      </c>
      <c r="D8866" t="s">
        <v>26</v>
      </c>
      <c r="E8866">
        <v>2314</v>
      </c>
    </row>
    <row r="8867" spans="1:5" x14ac:dyDescent="0.55000000000000004">
      <c r="A8867" t="s">
        <v>8948</v>
      </c>
      <c r="B8867" t="s">
        <v>15</v>
      </c>
      <c r="C8867" s="2">
        <v>42924</v>
      </c>
      <c r="D8867" t="s">
        <v>29</v>
      </c>
      <c r="E8867">
        <v>2356</v>
      </c>
    </row>
    <row r="8868" spans="1:5" x14ac:dyDescent="0.55000000000000004">
      <c r="A8868" t="s">
        <v>8949</v>
      </c>
      <c r="B8868" t="s">
        <v>35</v>
      </c>
      <c r="C8868" s="2">
        <v>44235</v>
      </c>
      <c r="D8868" t="s">
        <v>29</v>
      </c>
      <c r="E8868">
        <v>2398</v>
      </c>
    </row>
    <row r="8869" spans="1:5" x14ac:dyDescent="0.55000000000000004">
      <c r="A8869" t="s">
        <v>8950</v>
      </c>
      <c r="B8869" t="s">
        <v>111</v>
      </c>
      <c r="C8869" s="2">
        <v>43952</v>
      </c>
      <c r="D8869" t="s">
        <v>26</v>
      </c>
      <c r="E8869">
        <v>2430</v>
      </c>
    </row>
    <row r="8870" spans="1:5" x14ac:dyDescent="0.55000000000000004">
      <c r="A8870" t="s">
        <v>8951</v>
      </c>
      <c r="B8870" t="s">
        <v>115</v>
      </c>
      <c r="C8870" s="2">
        <v>43620</v>
      </c>
      <c r="D8870" t="s">
        <v>29</v>
      </c>
      <c r="E8870">
        <v>1321</v>
      </c>
    </row>
    <row r="8871" spans="1:5" x14ac:dyDescent="0.55000000000000004">
      <c r="A8871" t="s">
        <v>8952</v>
      </c>
      <c r="B8871" t="s">
        <v>137</v>
      </c>
      <c r="C8871" s="2">
        <v>43977</v>
      </c>
      <c r="D8871" t="s">
        <v>26</v>
      </c>
      <c r="E8871">
        <v>1758</v>
      </c>
    </row>
    <row r="8872" spans="1:5" x14ac:dyDescent="0.55000000000000004">
      <c r="A8872" t="s">
        <v>8953</v>
      </c>
      <c r="B8872" t="s">
        <v>175</v>
      </c>
      <c r="C8872" s="2">
        <v>44330</v>
      </c>
      <c r="D8872" t="s">
        <v>29</v>
      </c>
      <c r="E8872">
        <v>341</v>
      </c>
    </row>
    <row r="8873" spans="1:5" x14ac:dyDescent="0.55000000000000004">
      <c r="A8873" t="s">
        <v>8954</v>
      </c>
      <c r="B8873" t="s">
        <v>156</v>
      </c>
      <c r="C8873" s="2">
        <v>44148</v>
      </c>
      <c r="D8873" t="s">
        <v>26</v>
      </c>
      <c r="E8873">
        <v>79</v>
      </c>
    </row>
    <row r="8874" spans="1:5" x14ac:dyDescent="0.55000000000000004">
      <c r="A8874" t="s">
        <v>8955</v>
      </c>
      <c r="B8874" t="s">
        <v>94</v>
      </c>
      <c r="C8874" s="2">
        <v>45377</v>
      </c>
      <c r="D8874" t="s">
        <v>29</v>
      </c>
      <c r="E8874">
        <v>1882</v>
      </c>
    </row>
    <row r="8875" spans="1:5" x14ac:dyDescent="0.55000000000000004">
      <c r="A8875" t="s">
        <v>8956</v>
      </c>
      <c r="B8875" t="s">
        <v>156</v>
      </c>
      <c r="C8875" s="2">
        <v>44342</v>
      </c>
      <c r="D8875" t="s">
        <v>26</v>
      </c>
      <c r="E8875">
        <v>1268</v>
      </c>
    </row>
    <row r="8876" spans="1:5" x14ac:dyDescent="0.55000000000000004">
      <c r="A8876" t="s">
        <v>8957</v>
      </c>
      <c r="B8876" t="s">
        <v>105</v>
      </c>
      <c r="C8876" s="2">
        <v>43529</v>
      </c>
      <c r="D8876" t="s">
        <v>29</v>
      </c>
      <c r="E8876">
        <v>975</v>
      </c>
    </row>
    <row r="8877" spans="1:5" x14ac:dyDescent="0.55000000000000004">
      <c r="A8877" t="s">
        <v>8958</v>
      </c>
      <c r="B8877" t="s">
        <v>23</v>
      </c>
      <c r="C8877" s="2">
        <v>44674</v>
      </c>
      <c r="D8877" t="s">
        <v>26</v>
      </c>
      <c r="E8877">
        <v>1578</v>
      </c>
    </row>
    <row r="8878" spans="1:5" x14ac:dyDescent="0.55000000000000004">
      <c r="A8878" t="s">
        <v>8959</v>
      </c>
      <c r="B8878" t="s">
        <v>72</v>
      </c>
      <c r="C8878" s="2">
        <v>43625</v>
      </c>
      <c r="D8878" t="s">
        <v>26</v>
      </c>
      <c r="E8878">
        <v>2118</v>
      </c>
    </row>
    <row r="8879" spans="1:5" x14ac:dyDescent="0.55000000000000004">
      <c r="A8879" t="s">
        <v>8960</v>
      </c>
      <c r="B8879" t="s">
        <v>99</v>
      </c>
      <c r="C8879" s="2">
        <v>44439</v>
      </c>
      <c r="D8879" t="s">
        <v>26</v>
      </c>
      <c r="E8879">
        <v>728</v>
      </c>
    </row>
    <row r="8880" spans="1:5" x14ac:dyDescent="0.55000000000000004">
      <c r="A8880" t="s">
        <v>8961</v>
      </c>
      <c r="B8880" t="s">
        <v>156</v>
      </c>
      <c r="C8880" s="2">
        <v>44254</v>
      </c>
      <c r="D8880" t="s">
        <v>29</v>
      </c>
      <c r="E8880">
        <v>2980</v>
      </c>
    </row>
    <row r="8881" spans="1:5" x14ac:dyDescent="0.55000000000000004">
      <c r="A8881" t="s">
        <v>8962</v>
      </c>
      <c r="B8881" t="s">
        <v>15</v>
      </c>
      <c r="C8881" s="2">
        <v>43399</v>
      </c>
      <c r="D8881" t="s">
        <v>29</v>
      </c>
      <c r="E8881">
        <v>2901</v>
      </c>
    </row>
    <row r="8882" spans="1:5" x14ac:dyDescent="0.55000000000000004">
      <c r="A8882" t="s">
        <v>8963</v>
      </c>
      <c r="B8882" t="s">
        <v>137</v>
      </c>
      <c r="C8882" s="2">
        <v>45354</v>
      </c>
      <c r="D8882" t="s">
        <v>29</v>
      </c>
      <c r="E8882">
        <v>703</v>
      </c>
    </row>
    <row r="8883" spans="1:5" x14ac:dyDescent="0.55000000000000004">
      <c r="A8883" t="s">
        <v>8964</v>
      </c>
      <c r="B8883" t="s">
        <v>94</v>
      </c>
      <c r="C8883" s="2">
        <v>44522</v>
      </c>
      <c r="D8883" t="s">
        <v>29</v>
      </c>
      <c r="E8883">
        <v>783</v>
      </c>
    </row>
    <row r="8884" spans="1:5" x14ac:dyDescent="0.55000000000000004">
      <c r="A8884" t="s">
        <v>8965</v>
      </c>
      <c r="B8884" t="s">
        <v>35</v>
      </c>
      <c r="C8884" s="2">
        <v>44457</v>
      </c>
      <c r="D8884" t="s">
        <v>26</v>
      </c>
      <c r="E8884">
        <v>2579</v>
      </c>
    </row>
    <row r="8885" spans="1:5" x14ac:dyDescent="0.55000000000000004">
      <c r="A8885" t="s">
        <v>8966</v>
      </c>
      <c r="B8885" t="s">
        <v>94</v>
      </c>
      <c r="C8885" s="2">
        <v>44869</v>
      </c>
      <c r="D8885" t="s">
        <v>29</v>
      </c>
      <c r="E8885">
        <v>2550</v>
      </c>
    </row>
    <row r="8886" spans="1:5" x14ac:dyDescent="0.55000000000000004">
      <c r="A8886" t="s">
        <v>8967</v>
      </c>
      <c r="B8886" t="s">
        <v>94</v>
      </c>
      <c r="C8886" s="2">
        <v>45360</v>
      </c>
      <c r="D8886" t="s">
        <v>29</v>
      </c>
      <c r="E8886">
        <v>674</v>
      </c>
    </row>
    <row r="8887" spans="1:5" x14ac:dyDescent="0.55000000000000004">
      <c r="A8887" t="s">
        <v>8968</v>
      </c>
      <c r="B8887" t="s">
        <v>32</v>
      </c>
      <c r="C8887" s="2">
        <v>44601</v>
      </c>
      <c r="D8887" t="s">
        <v>29</v>
      </c>
      <c r="E8887">
        <v>1951</v>
      </c>
    </row>
    <row r="8888" spans="1:5" x14ac:dyDescent="0.55000000000000004">
      <c r="A8888" t="s">
        <v>8969</v>
      </c>
      <c r="B8888" t="s">
        <v>115</v>
      </c>
      <c r="C8888" s="2">
        <v>43608</v>
      </c>
      <c r="D8888" t="s">
        <v>29</v>
      </c>
      <c r="E8888">
        <v>2912</v>
      </c>
    </row>
    <row r="8889" spans="1:5" x14ac:dyDescent="0.55000000000000004">
      <c r="A8889" t="s">
        <v>8970</v>
      </c>
      <c r="B8889" t="s">
        <v>76</v>
      </c>
      <c r="C8889" s="2">
        <v>44725</v>
      </c>
      <c r="D8889" t="s">
        <v>26</v>
      </c>
      <c r="E8889">
        <v>2123</v>
      </c>
    </row>
    <row r="8890" spans="1:5" x14ac:dyDescent="0.55000000000000004">
      <c r="A8890" t="s">
        <v>8971</v>
      </c>
      <c r="B8890" t="s">
        <v>76</v>
      </c>
      <c r="C8890" s="2">
        <v>43642</v>
      </c>
      <c r="D8890" t="s">
        <v>26</v>
      </c>
      <c r="E8890">
        <v>2512</v>
      </c>
    </row>
    <row r="8891" spans="1:5" x14ac:dyDescent="0.55000000000000004">
      <c r="A8891" t="s">
        <v>8972</v>
      </c>
      <c r="B8891" t="s">
        <v>23</v>
      </c>
      <c r="C8891" s="2">
        <v>43927</v>
      </c>
      <c r="D8891" t="s">
        <v>26</v>
      </c>
      <c r="E8891">
        <v>1106</v>
      </c>
    </row>
    <row r="8892" spans="1:5" x14ac:dyDescent="0.55000000000000004">
      <c r="A8892" t="s">
        <v>8973</v>
      </c>
      <c r="B8892" t="s">
        <v>99</v>
      </c>
      <c r="C8892" s="2">
        <v>43542</v>
      </c>
      <c r="D8892" t="s">
        <v>29</v>
      </c>
      <c r="E8892">
        <v>513</v>
      </c>
    </row>
    <row r="8893" spans="1:5" x14ac:dyDescent="0.55000000000000004">
      <c r="A8893" t="s">
        <v>8974</v>
      </c>
      <c r="B8893" t="s">
        <v>156</v>
      </c>
      <c r="C8893" s="2">
        <v>43881</v>
      </c>
      <c r="D8893" t="s">
        <v>29</v>
      </c>
      <c r="E8893">
        <v>207</v>
      </c>
    </row>
    <row r="8894" spans="1:5" x14ac:dyDescent="0.55000000000000004">
      <c r="A8894" t="s">
        <v>8975</v>
      </c>
      <c r="B8894" t="s">
        <v>35</v>
      </c>
      <c r="C8894" s="2">
        <v>43893</v>
      </c>
      <c r="D8894" t="s">
        <v>26</v>
      </c>
      <c r="E8894">
        <v>2324</v>
      </c>
    </row>
    <row r="8895" spans="1:5" x14ac:dyDescent="0.55000000000000004">
      <c r="A8895" t="s">
        <v>8976</v>
      </c>
      <c r="B8895" t="s">
        <v>156</v>
      </c>
      <c r="C8895" s="2">
        <v>42936</v>
      </c>
      <c r="D8895" t="s">
        <v>26</v>
      </c>
      <c r="E8895">
        <v>1716</v>
      </c>
    </row>
    <row r="8896" spans="1:5" x14ac:dyDescent="0.55000000000000004">
      <c r="A8896" t="s">
        <v>8977</v>
      </c>
      <c r="B8896" t="s">
        <v>41</v>
      </c>
      <c r="C8896" s="2">
        <v>44556</v>
      </c>
      <c r="D8896" t="s">
        <v>29</v>
      </c>
      <c r="E8896">
        <v>934</v>
      </c>
    </row>
    <row r="8897" spans="1:5" x14ac:dyDescent="0.55000000000000004">
      <c r="A8897" t="s">
        <v>8978</v>
      </c>
      <c r="B8897" t="s">
        <v>96</v>
      </c>
      <c r="C8897" s="2">
        <v>45166</v>
      </c>
      <c r="D8897" t="s">
        <v>26</v>
      </c>
      <c r="E8897">
        <v>1179</v>
      </c>
    </row>
    <row r="8898" spans="1:5" x14ac:dyDescent="0.55000000000000004">
      <c r="A8898" t="s">
        <v>8979</v>
      </c>
      <c r="B8898" t="s">
        <v>94</v>
      </c>
      <c r="C8898" s="2">
        <v>44153</v>
      </c>
      <c r="D8898" t="s">
        <v>29</v>
      </c>
      <c r="E8898">
        <v>1564</v>
      </c>
    </row>
    <row r="8899" spans="1:5" x14ac:dyDescent="0.55000000000000004">
      <c r="A8899" t="s">
        <v>8980</v>
      </c>
      <c r="B8899" t="s">
        <v>41</v>
      </c>
      <c r="C8899" s="2">
        <v>44114</v>
      </c>
      <c r="D8899" t="s">
        <v>26</v>
      </c>
      <c r="E8899">
        <v>1499</v>
      </c>
    </row>
    <row r="8900" spans="1:5" x14ac:dyDescent="0.55000000000000004">
      <c r="A8900" t="s">
        <v>8981</v>
      </c>
      <c r="B8900" t="s">
        <v>84</v>
      </c>
      <c r="C8900" s="2">
        <v>44133</v>
      </c>
      <c r="D8900" t="s">
        <v>26</v>
      </c>
      <c r="E8900">
        <v>135</v>
      </c>
    </row>
    <row r="8901" spans="1:5" x14ac:dyDescent="0.55000000000000004">
      <c r="A8901" t="s">
        <v>8982</v>
      </c>
      <c r="B8901" t="s">
        <v>63</v>
      </c>
      <c r="C8901" s="2">
        <v>43761</v>
      </c>
      <c r="D8901" t="s">
        <v>26</v>
      </c>
      <c r="E8901">
        <v>217</v>
      </c>
    </row>
    <row r="8902" spans="1:5" x14ac:dyDescent="0.55000000000000004">
      <c r="A8902" t="s">
        <v>8983</v>
      </c>
      <c r="B8902" t="s">
        <v>32</v>
      </c>
      <c r="C8902" s="2">
        <v>44004</v>
      </c>
      <c r="D8902" t="s">
        <v>29</v>
      </c>
      <c r="E8902">
        <v>2578</v>
      </c>
    </row>
    <row r="8903" spans="1:5" x14ac:dyDescent="0.55000000000000004">
      <c r="A8903" t="s">
        <v>8984</v>
      </c>
      <c r="B8903" t="s">
        <v>142</v>
      </c>
      <c r="C8903" s="2">
        <v>43122</v>
      </c>
      <c r="D8903" t="s">
        <v>29</v>
      </c>
      <c r="E8903">
        <v>607</v>
      </c>
    </row>
    <row r="8904" spans="1:5" x14ac:dyDescent="0.55000000000000004">
      <c r="A8904" t="s">
        <v>8985</v>
      </c>
      <c r="B8904" t="s">
        <v>15</v>
      </c>
      <c r="C8904" s="2">
        <v>43412</v>
      </c>
      <c r="D8904" t="s">
        <v>26</v>
      </c>
      <c r="E8904">
        <v>2911</v>
      </c>
    </row>
    <row r="8905" spans="1:5" x14ac:dyDescent="0.55000000000000004">
      <c r="A8905" t="s">
        <v>8986</v>
      </c>
      <c r="B8905" t="s">
        <v>115</v>
      </c>
      <c r="C8905" s="2">
        <v>44457</v>
      </c>
      <c r="D8905" t="s">
        <v>29</v>
      </c>
      <c r="E8905">
        <v>755</v>
      </c>
    </row>
    <row r="8906" spans="1:5" x14ac:dyDescent="0.55000000000000004">
      <c r="A8906" t="s">
        <v>8987</v>
      </c>
      <c r="B8906" t="s">
        <v>175</v>
      </c>
      <c r="C8906" s="2">
        <v>44212</v>
      </c>
      <c r="D8906" t="s">
        <v>29</v>
      </c>
      <c r="E8906">
        <v>1272</v>
      </c>
    </row>
    <row r="8907" spans="1:5" x14ac:dyDescent="0.55000000000000004">
      <c r="A8907" t="s">
        <v>8988</v>
      </c>
      <c r="B8907" t="s">
        <v>74</v>
      </c>
      <c r="C8907" s="2">
        <v>43446</v>
      </c>
      <c r="D8907" t="s">
        <v>29</v>
      </c>
      <c r="E8907">
        <v>1344</v>
      </c>
    </row>
    <row r="8908" spans="1:5" x14ac:dyDescent="0.55000000000000004">
      <c r="A8908" t="s">
        <v>8989</v>
      </c>
      <c r="B8908" t="s">
        <v>140</v>
      </c>
      <c r="C8908" s="2">
        <v>44087</v>
      </c>
      <c r="D8908" t="s">
        <v>26</v>
      </c>
      <c r="E8908">
        <v>47</v>
      </c>
    </row>
    <row r="8909" spans="1:5" x14ac:dyDescent="0.55000000000000004">
      <c r="A8909" t="s">
        <v>8990</v>
      </c>
      <c r="B8909" t="s">
        <v>35</v>
      </c>
      <c r="C8909" s="2">
        <v>43965</v>
      </c>
      <c r="D8909" t="s">
        <v>29</v>
      </c>
      <c r="E8909">
        <v>515</v>
      </c>
    </row>
    <row r="8910" spans="1:5" x14ac:dyDescent="0.55000000000000004">
      <c r="A8910" t="s">
        <v>8991</v>
      </c>
      <c r="B8910" t="s">
        <v>32</v>
      </c>
      <c r="C8910" s="2">
        <v>44287</v>
      </c>
      <c r="D8910" t="s">
        <v>26</v>
      </c>
      <c r="E8910">
        <v>1351</v>
      </c>
    </row>
    <row r="8911" spans="1:5" x14ac:dyDescent="0.55000000000000004">
      <c r="A8911" t="s">
        <v>8992</v>
      </c>
      <c r="B8911" t="s">
        <v>32</v>
      </c>
      <c r="C8911" s="2">
        <v>44911</v>
      </c>
      <c r="D8911" t="s">
        <v>29</v>
      </c>
      <c r="E8911">
        <v>1836</v>
      </c>
    </row>
    <row r="8912" spans="1:5" x14ac:dyDescent="0.55000000000000004">
      <c r="A8912" t="s">
        <v>8993</v>
      </c>
      <c r="B8912" t="s">
        <v>137</v>
      </c>
      <c r="C8912" s="2">
        <v>44720</v>
      </c>
      <c r="D8912" t="s">
        <v>26</v>
      </c>
      <c r="E8912">
        <v>646</v>
      </c>
    </row>
    <row r="8913" spans="1:5" x14ac:dyDescent="0.55000000000000004">
      <c r="A8913" t="s">
        <v>8994</v>
      </c>
      <c r="B8913" t="s">
        <v>23</v>
      </c>
      <c r="C8913" s="2">
        <v>44327</v>
      </c>
      <c r="D8913" t="s">
        <v>29</v>
      </c>
      <c r="E8913">
        <v>2525</v>
      </c>
    </row>
    <row r="8914" spans="1:5" x14ac:dyDescent="0.55000000000000004">
      <c r="A8914" t="s">
        <v>8995</v>
      </c>
      <c r="B8914" t="s">
        <v>140</v>
      </c>
      <c r="C8914" s="2">
        <v>44318</v>
      </c>
      <c r="D8914" t="s">
        <v>29</v>
      </c>
      <c r="E8914">
        <v>2840</v>
      </c>
    </row>
    <row r="8915" spans="1:5" x14ac:dyDescent="0.55000000000000004">
      <c r="A8915" t="s">
        <v>8996</v>
      </c>
      <c r="B8915" t="s">
        <v>96</v>
      </c>
      <c r="C8915" s="2">
        <v>45418</v>
      </c>
      <c r="D8915" t="s">
        <v>26</v>
      </c>
      <c r="E8915">
        <v>1445</v>
      </c>
    </row>
    <row r="8916" spans="1:5" x14ac:dyDescent="0.55000000000000004">
      <c r="A8916" t="s">
        <v>8997</v>
      </c>
      <c r="B8916" t="s">
        <v>63</v>
      </c>
      <c r="C8916" s="2">
        <v>44135</v>
      </c>
      <c r="D8916" t="s">
        <v>26</v>
      </c>
      <c r="E8916">
        <v>691</v>
      </c>
    </row>
    <row r="8917" spans="1:5" x14ac:dyDescent="0.55000000000000004">
      <c r="A8917" t="s">
        <v>8998</v>
      </c>
      <c r="B8917" t="s">
        <v>105</v>
      </c>
      <c r="C8917" s="2">
        <v>43800</v>
      </c>
      <c r="D8917" t="s">
        <v>26</v>
      </c>
      <c r="E8917">
        <v>1233</v>
      </c>
    </row>
    <row r="8918" spans="1:5" x14ac:dyDescent="0.55000000000000004">
      <c r="A8918" t="s">
        <v>8999</v>
      </c>
      <c r="B8918" t="s">
        <v>15</v>
      </c>
      <c r="C8918" s="2">
        <v>44409</v>
      </c>
      <c r="D8918" t="s">
        <v>26</v>
      </c>
      <c r="E8918">
        <v>1649</v>
      </c>
    </row>
    <row r="8919" spans="1:5" x14ac:dyDescent="0.55000000000000004">
      <c r="A8919" t="s">
        <v>9000</v>
      </c>
      <c r="B8919" t="s">
        <v>111</v>
      </c>
      <c r="C8919" s="2">
        <v>42938</v>
      </c>
      <c r="D8919" t="s">
        <v>26</v>
      </c>
      <c r="E8919">
        <v>2947</v>
      </c>
    </row>
    <row r="8920" spans="1:5" x14ac:dyDescent="0.55000000000000004">
      <c r="A8920" t="s">
        <v>9001</v>
      </c>
      <c r="B8920" t="s">
        <v>151</v>
      </c>
      <c r="C8920" s="2">
        <v>43210</v>
      </c>
      <c r="D8920" t="s">
        <v>26</v>
      </c>
      <c r="E8920">
        <v>2353</v>
      </c>
    </row>
    <row r="8921" spans="1:5" x14ac:dyDescent="0.55000000000000004">
      <c r="A8921" t="s">
        <v>9002</v>
      </c>
      <c r="B8921" t="s">
        <v>142</v>
      </c>
      <c r="C8921" s="2">
        <v>44357</v>
      </c>
      <c r="D8921" t="s">
        <v>26</v>
      </c>
      <c r="E8921">
        <v>1770</v>
      </c>
    </row>
    <row r="8922" spans="1:5" x14ac:dyDescent="0.55000000000000004">
      <c r="A8922" t="s">
        <v>9003</v>
      </c>
      <c r="B8922" t="s">
        <v>156</v>
      </c>
      <c r="C8922" s="2">
        <v>43845</v>
      </c>
      <c r="D8922" t="s">
        <v>29</v>
      </c>
      <c r="E8922">
        <v>276</v>
      </c>
    </row>
    <row r="8923" spans="1:5" x14ac:dyDescent="0.55000000000000004">
      <c r="A8923" t="s">
        <v>9004</v>
      </c>
      <c r="B8923" t="s">
        <v>76</v>
      </c>
      <c r="C8923" s="2">
        <v>44742</v>
      </c>
      <c r="D8923" t="s">
        <v>29</v>
      </c>
      <c r="E8923">
        <v>596</v>
      </c>
    </row>
    <row r="8924" spans="1:5" x14ac:dyDescent="0.55000000000000004">
      <c r="A8924" t="s">
        <v>9005</v>
      </c>
      <c r="B8924" t="s">
        <v>15</v>
      </c>
      <c r="C8924" s="2">
        <v>43947</v>
      </c>
      <c r="D8924" t="s">
        <v>29</v>
      </c>
      <c r="E8924">
        <v>1021</v>
      </c>
    </row>
    <row r="8925" spans="1:5" x14ac:dyDescent="0.55000000000000004">
      <c r="A8925" t="s">
        <v>9006</v>
      </c>
      <c r="B8925" t="s">
        <v>175</v>
      </c>
      <c r="C8925" s="2">
        <v>44796</v>
      </c>
      <c r="D8925" t="s">
        <v>29</v>
      </c>
      <c r="E8925">
        <v>1064</v>
      </c>
    </row>
    <row r="8926" spans="1:5" x14ac:dyDescent="0.55000000000000004">
      <c r="A8926" t="s">
        <v>9007</v>
      </c>
      <c r="B8926" t="s">
        <v>38</v>
      </c>
      <c r="C8926" s="2">
        <v>43938</v>
      </c>
      <c r="D8926" t="s">
        <v>29</v>
      </c>
      <c r="E8926">
        <v>721</v>
      </c>
    </row>
    <row r="8927" spans="1:5" x14ac:dyDescent="0.55000000000000004">
      <c r="A8927" t="s">
        <v>9008</v>
      </c>
      <c r="B8927" t="s">
        <v>35</v>
      </c>
      <c r="C8927" s="2">
        <v>44340</v>
      </c>
      <c r="D8927" t="s">
        <v>26</v>
      </c>
      <c r="E8927">
        <v>1640</v>
      </c>
    </row>
    <row r="8928" spans="1:5" x14ac:dyDescent="0.55000000000000004">
      <c r="A8928" t="s">
        <v>9009</v>
      </c>
      <c r="B8928" t="s">
        <v>32</v>
      </c>
      <c r="C8928" s="2">
        <v>44840</v>
      </c>
      <c r="D8928" t="s">
        <v>26</v>
      </c>
      <c r="E8928">
        <v>2965</v>
      </c>
    </row>
    <row r="8929" spans="1:5" x14ac:dyDescent="0.55000000000000004">
      <c r="A8929" t="s">
        <v>9010</v>
      </c>
      <c r="B8929" t="s">
        <v>41</v>
      </c>
      <c r="C8929" s="2">
        <v>43956</v>
      </c>
      <c r="D8929" t="s">
        <v>29</v>
      </c>
      <c r="E8929">
        <v>1814</v>
      </c>
    </row>
    <row r="8930" spans="1:5" x14ac:dyDescent="0.55000000000000004">
      <c r="A8930" t="s">
        <v>9011</v>
      </c>
      <c r="B8930" t="s">
        <v>86</v>
      </c>
      <c r="C8930" s="2">
        <v>43465</v>
      </c>
      <c r="D8930" t="s">
        <v>26</v>
      </c>
      <c r="E8930">
        <v>2547</v>
      </c>
    </row>
    <row r="8931" spans="1:5" x14ac:dyDescent="0.55000000000000004">
      <c r="A8931" t="s">
        <v>9012</v>
      </c>
      <c r="B8931" t="s">
        <v>151</v>
      </c>
      <c r="C8931" s="2">
        <v>43543</v>
      </c>
      <c r="D8931" t="s">
        <v>26</v>
      </c>
      <c r="E8931">
        <v>2801</v>
      </c>
    </row>
    <row r="8932" spans="1:5" x14ac:dyDescent="0.55000000000000004">
      <c r="A8932" t="s">
        <v>9013</v>
      </c>
      <c r="B8932" t="s">
        <v>23</v>
      </c>
      <c r="C8932" s="2">
        <v>44650</v>
      </c>
      <c r="D8932" t="s">
        <v>26</v>
      </c>
      <c r="E8932">
        <v>1135</v>
      </c>
    </row>
    <row r="8933" spans="1:5" x14ac:dyDescent="0.55000000000000004">
      <c r="A8933" t="s">
        <v>9014</v>
      </c>
      <c r="B8933" t="s">
        <v>111</v>
      </c>
      <c r="C8933" s="2">
        <v>43351</v>
      </c>
      <c r="D8933" t="s">
        <v>26</v>
      </c>
      <c r="E8933">
        <v>2821</v>
      </c>
    </row>
    <row r="8934" spans="1:5" x14ac:dyDescent="0.55000000000000004">
      <c r="A8934" t="s">
        <v>9015</v>
      </c>
      <c r="B8934" t="s">
        <v>86</v>
      </c>
      <c r="C8934" s="2">
        <v>43274</v>
      </c>
      <c r="D8934" t="s">
        <v>29</v>
      </c>
      <c r="E8934">
        <v>2285</v>
      </c>
    </row>
    <row r="8935" spans="1:5" x14ac:dyDescent="0.55000000000000004">
      <c r="A8935" t="s">
        <v>9016</v>
      </c>
      <c r="B8935" t="s">
        <v>41</v>
      </c>
      <c r="C8935" s="2">
        <v>44286</v>
      </c>
      <c r="D8935" t="s">
        <v>29</v>
      </c>
      <c r="E8935">
        <v>1870</v>
      </c>
    </row>
    <row r="8936" spans="1:5" x14ac:dyDescent="0.55000000000000004">
      <c r="A8936" t="s">
        <v>9017</v>
      </c>
      <c r="B8936" t="s">
        <v>151</v>
      </c>
      <c r="C8936" s="2">
        <v>43425</v>
      </c>
      <c r="D8936" t="s">
        <v>26</v>
      </c>
      <c r="E8936">
        <v>906</v>
      </c>
    </row>
    <row r="8937" spans="1:5" x14ac:dyDescent="0.55000000000000004">
      <c r="A8937" t="s">
        <v>9018</v>
      </c>
      <c r="B8937" t="s">
        <v>63</v>
      </c>
      <c r="C8937" s="2">
        <v>42957</v>
      </c>
      <c r="D8937" t="s">
        <v>29</v>
      </c>
      <c r="E8937">
        <v>952</v>
      </c>
    </row>
    <row r="8938" spans="1:5" x14ac:dyDescent="0.55000000000000004">
      <c r="A8938" t="s">
        <v>9019</v>
      </c>
      <c r="B8938" t="s">
        <v>84</v>
      </c>
      <c r="C8938" s="2">
        <v>43614</v>
      </c>
      <c r="D8938" t="s">
        <v>26</v>
      </c>
      <c r="E8938">
        <v>2576</v>
      </c>
    </row>
    <row r="8939" spans="1:5" x14ac:dyDescent="0.55000000000000004">
      <c r="A8939" t="s">
        <v>9020</v>
      </c>
      <c r="B8939" t="s">
        <v>94</v>
      </c>
      <c r="C8939" s="2">
        <v>44318</v>
      </c>
      <c r="D8939" t="s">
        <v>26</v>
      </c>
      <c r="E8939">
        <v>740</v>
      </c>
    </row>
    <row r="8940" spans="1:5" x14ac:dyDescent="0.55000000000000004">
      <c r="A8940" t="s">
        <v>9021</v>
      </c>
      <c r="B8940" t="s">
        <v>63</v>
      </c>
      <c r="C8940" s="2">
        <v>43783</v>
      </c>
      <c r="D8940" t="s">
        <v>29</v>
      </c>
      <c r="E8940">
        <v>415</v>
      </c>
    </row>
    <row r="8941" spans="1:5" x14ac:dyDescent="0.55000000000000004">
      <c r="A8941" t="s">
        <v>9022</v>
      </c>
      <c r="B8941" t="s">
        <v>76</v>
      </c>
      <c r="C8941" s="2">
        <v>44198</v>
      </c>
      <c r="D8941" t="s">
        <v>26</v>
      </c>
      <c r="E8941">
        <v>1200</v>
      </c>
    </row>
    <row r="8942" spans="1:5" x14ac:dyDescent="0.55000000000000004">
      <c r="A8942" t="s">
        <v>9023</v>
      </c>
      <c r="B8942" t="s">
        <v>118</v>
      </c>
      <c r="C8942" s="2">
        <v>45414</v>
      </c>
      <c r="D8942" t="s">
        <v>29</v>
      </c>
      <c r="E8942">
        <v>88</v>
      </c>
    </row>
    <row r="8943" spans="1:5" x14ac:dyDescent="0.55000000000000004">
      <c r="A8943" t="s">
        <v>9024</v>
      </c>
      <c r="B8943" t="s">
        <v>35</v>
      </c>
      <c r="C8943" s="2">
        <v>44597</v>
      </c>
      <c r="D8943" t="s">
        <v>26</v>
      </c>
      <c r="E8943">
        <v>2926</v>
      </c>
    </row>
    <row r="8944" spans="1:5" x14ac:dyDescent="0.55000000000000004">
      <c r="A8944" t="s">
        <v>9025</v>
      </c>
      <c r="B8944" t="s">
        <v>175</v>
      </c>
      <c r="C8944" s="2">
        <v>45344</v>
      </c>
      <c r="D8944" t="s">
        <v>26</v>
      </c>
      <c r="E8944">
        <v>225</v>
      </c>
    </row>
    <row r="8945" spans="1:5" x14ac:dyDescent="0.55000000000000004">
      <c r="A8945" t="s">
        <v>9026</v>
      </c>
      <c r="B8945" t="s">
        <v>63</v>
      </c>
      <c r="C8945" s="2">
        <v>43388</v>
      </c>
      <c r="D8945" t="s">
        <v>29</v>
      </c>
      <c r="E8945">
        <v>183</v>
      </c>
    </row>
    <row r="8946" spans="1:5" x14ac:dyDescent="0.55000000000000004">
      <c r="A8946" t="s">
        <v>9027</v>
      </c>
      <c r="B8946" t="s">
        <v>111</v>
      </c>
      <c r="C8946" s="2">
        <v>43065</v>
      </c>
      <c r="D8946" t="s">
        <v>29</v>
      </c>
      <c r="E8946">
        <v>197</v>
      </c>
    </row>
    <row r="8947" spans="1:5" x14ac:dyDescent="0.55000000000000004">
      <c r="A8947" t="s">
        <v>9028</v>
      </c>
      <c r="B8947" t="s">
        <v>72</v>
      </c>
      <c r="C8947" s="2">
        <v>43426</v>
      </c>
      <c r="D8947" t="s">
        <v>26</v>
      </c>
      <c r="E8947">
        <v>1337</v>
      </c>
    </row>
    <row r="8948" spans="1:5" x14ac:dyDescent="0.55000000000000004">
      <c r="A8948" t="s">
        <v>9029</v>
      </c>
      <c r="B8948" t="s">
        <v>115</v>
      </c>
      <c r="C8948" s="2">
        <v>42975</v>
      </c>
      <c r="D8948" t="s">
        <v>29</v>
      </c>
      <c r="E8948">
        <v>2902</v>
      </c>
    </row>
    <row r="8949" spans="1:5" x14ac:dyDescent="0.55000000000000004">
      <c r="A8949" t="s">
        <v>9030</v>
      </c>
      <c r="B8949" t="s">
        <v>74</v>
      </c>
      <c r="C8949" s="2">
        <v>43665</v>
      </c>
      <c r="D8949" t="s">
        <v>29</v>
      </c>
      <c r="E8949">
        <v>1328</v>
      </c>
    </row>
    <row r="8950" spans="1:5" x14ac:dyDescent="0.55000000000000004">
      <c r="A8950" t="s">
        <v>9031</v>
      </c>
      <c r="B8950" t="s">
        <v>99</v>
      </c>
      <c r="C8950" s="2">
        <v>45508</v>
      </c>
      <c r="D8950" t="s">
        <v>26</v>
      </c>
      <c r="E8950">
        <v>2407</v>
      </c>
    </row>
    <row r="8951" spans="1:5" x14ac:dyDescent="0.55000000000000004">
      <c r="A8951" t="s">
        <v>9032</v>
      </c>
      <c r="B8951" t="s">
        <v>84</v>
      </c>
      <c r="C8951" s="2">
        <v>44215</v>
      </c>
      <c r="D8951" t="s">
        <v>26</v>
      </c>
      <c r="E8951">
        <v>1119</v>
      </c>
    </row>
    <row r="8952" spans="1:5" x14ac:dyDescent="0.55000000000000004">
      <c r="A8952" t="s">
        <v>9033</v>
      </c>
      <c r="B8952" t="s">
        <v>72</v>
      </c>
      <c r="C8952" s="2">
        <v>43228</v>
      </c>
      <c r="D8952" t="s">
        <v>29</v>
      </c>
      <c r="E8952">
        <v>1396</v>
      </c>
    </row>
    <row r="8953" spans="1:5" x14ac:dyDescent="0.55000000000000004">
      <c r="A8953" t="s">
        <v>9034</v>
      </c>
      <c r="B8953" t="s">
        <v>101</v>
      </c>
      <c r="C8953" s="2">
        <v>43542</v>
      </c>
      <c r="D8953" t="s">
        <v>26</v>
      </c>
      <c r="E8953">
        <v>322</v>
      </c>
    </row>
    <row r="8954" spans="1:5" x14ac:dyDescent="0.55000000000000004">
      <c r="A8954" t="s">
        <v>9035</v>
      </c>
      <c r="B8954" t="s">
        <v>23</v>
      </c>
      <c r="C8954" s="2">
        <v>44151</v>
      </c>
      <c r="D8954" t="s">
        <v>29</v>
      </c>
      <c r="E8954">
        <v>1524</v>
      </c>
    </row>
    <row r="8955" spans="1:5" x14ac:dyDescent="0.55000000000000004">
      <c r="A8955" t="s">
        <v>9036</v>
      </c>
      <c r="B8955" t="s">
        <v>76</v>
      </c>
      <c r="C8955" s="2">
        <v>43824</v>
      </c>
      <c r="D8955" t="s">
        <v>26</v>
      </c>
      <c r="E8955">
        <v>1313</v>
      </c>
    </row>
    <row r="8956" spans="1:5" x14ac:dyDescent="0.55000000000000004">
      <c r="A8956" t="s">
        <v>9037</v>
      </c>
      <c r="B8956" t="s">
        <v>63</v>
      </c>
      <c r="C8956" s="2">
        <v>43962</v>
      </c>
      <c r="D8956" t="s">
        <v>26</v>
      </c>
      <c r="E8956">
        <v>1991</v>
      </c>
    </row>
    <row r="8957" spans="1:5" x14ac:dyDescent="0.55000000000000004">
      <c r="A8957" t="s">
        <v>9038</v>
      </c>
      <c r="B8957" t="s">
        <v>118</v>
      </c>
      <c r="C8957" s="2">
        <v>45583</v>
      </c>
      <c r="D8957" t="s">
        <v>26</v>
      </c>
      <c r="E8957">
        <v>2401</v>
      </c>
    </row>
    <row r="8958" spans="1:5" x14ac:dyDescent="0.55000000000000004">
      <c r="A8958" t="s">
        <v>9039</v>
      </c>
      <c r="B8958" t="s">
        <v>74</v>
      </c>
      <c r="C8958" s="2">
        <v>43427</v>
      </c>
      <c r="D8958" t="s">
        <v>29</v>
      </c>
      <c r="E8958">
        <v>87</v>
      </c>
    </row>
    <row r="8959" spans="1:5" x14ac:dyDescent="0.55000000000000004">
      <c r="A8959" t="s">
        <v>9040</v>
      </c>
      <c r="B8959" t="s">
        <v>86</v>
      </c>
      <c r="C8959" s="2">
        <v>44382</v>
      </c>
      <c r="D8959" t="s">
        <v>26</v>
      </c>
      <c r="E8959">
        <v>2986</v>
      </c>
    </row>
    <row r="8960" spans="1:5" x14ac:dyDescent="0.55000000000000004">
      <c r="A8960" t="s">
        <v>9041</v>
      </c>
      <c r="B8960" t="s">
        <v>41</v>
      </c>
      <c r="C8960" s="2">
        <v>44466</v>
      </c>
      <c r="D8960" t="s">
        <v>29</v>
      </c>
      <c r="E8960">
        <v>280</v>
      </c>
    </row>
    <row r="8961" spans="1:5" x14ac:dyDescent="0.55000000000000004">
      <c r="A8961" t="s">
        <v>9042</v>
      </c>
      <c r="B8961" t="s">
        <v>32</v>
      </c>
      <c r="C8961" s="2">
        <v>44794</v>
      </c>
      <c r="D8961" t="s">
        <v>26</v>
      </c>
      <c r="E8961">
        <v>1364</v>
      </c>
    </row>
    <row r="8962" spans="1:5" x14ac:dyDescent="0.55000000000000004">
      <c r="A8962" t="s">
        <v>9043</v>
      </c>
      <c r="B8962" t="s">
        <v>41</v>
      </c>
      <c r="C8962" s="2">
        <v>44849</v>
      </c>
      <c r="D8962" t="s">
        <v>29</v>
      </c>
      <c r="E8962">
        <v>1466</v>
      </c>
    </row>
    <row r="8963" spans="1:5" x14ac:dyDescent="0.55000000000000004">
      <c r="A8963" t="s">
        <v>9044</v>
      </c>
      <c r="B8963" t="s">
        <v>96</v>
      </c>
      <c r="C8963" s="2">
        <v>43962</v>
      </c>
      <c r="D8963" t="s">
        <v>29</v>
      </c>
      <c r="E8963">
        <v>1770</v>
      </c>
    </row>
    <row r="8964" spans="1:5" x14ac:dyDescent="0.55000000000000004">
      <c r="A8964" t="s">
        <v>9045</v>
      </c>
      <c r="B8964" t="s">
        <v>137</v>
      </c>
      <c r="C8964" s="2">
        <v>44410</v>
      </c>
      <c r="D8964" t="s">
        <v>26</v>
      </c>
      <c r="E8964">
        <v>2109</v>
      </c>
    </row>
    <row r="8965" spans="1:5" x14ac:dyDescent="0.55000000000000004">
      <c r="A8965" t="s">
        <v>9046</v>
      </c>
      <c r="B8965" t="s">
        <v>35</v>
      </c>
      <c r="C8965" s="2">
        <v>44100</v>
      </c>
      <c r="D8965" t="s">
        <v>29</v>
      </c>
      <c r="E8965">
        <v>1677</v>
      </c>
    </row>
    <row r="8966" spans="1:5" x14ac:dyDescent="0.55000000000000004">
      <c r="A8966" t="s">
        <v>9047</v>
      </c>
      <c r="B8966" t="s">
        <v>63</v>
      </c>
      <c r="C8966" s="2">
        <v>42952</v>
      </c>
      <c r="D8966" t="s">
        <v>29</v>
      </c>
      <c r="E8966">
        <v>492</v>
      </c>
    </row>
    <row r="8967" spans="1:5" x14ac:dyDescent="0.55000000000000004">
      <c r="A8967" t="s">
        <v>9048</v>
      </c>
      <c r="B8967" t="s">
        <v>78</v>
      </c>
      <c r="C8967" s="2">
        <v>45147</v>
      </c>
      <c r="D8967" t="s">
        <v>26</v>
      </c>
      <c r="E8967">
        <v>304</v>
      </c>
    </row>
    <row r="8968" spans="1:5" x14ac:dyDescent="0.55000000000000004">
      <c r="A8968" t="s">
        <v>9049</v>
      </c>
      <c r="B8968" t="s">
        <v>38</v>
      </c>
      <c r="C8968" s="2">
        <v>44577</v>
      </c>
      <c r="D8968" t="s">
        <v>29</v>
      </c>
      <c r="E8968">
        <v>972</v>
      </c>
    </row>
    <row r="8969" spans="1:5" x14ac:dyDescent="0.55000000000000004">
      <c r="A8969" t="s">
        <v>9050</v>
      </c>
      <c r="B8969" t="s">
        <v>111</v>
      </c>
      <c r="C8969" s="2">
        <v>43186</v>
      </c>
      <c r="D8969" t="s">
        <v>26</v>
      </c>
      <c r="E8969">
        <v>3</v>
      </c>
    </row>
    <row r="8970" spans="1:5" x14ac:dyDescent="0.55000000000000004">
      <c r="A8970" t="s">
        <v>9051</v>
      </c>
      <c r="B8970" t="s">
        <v>15</v>
      </c>
      <c r="C8970" s="2">
        <v>43809</v>
      </c>
      <c r="D8970" t="s">
        <v>26</v>
      </c>
      <c r="E8970">
        <v>1280</v>
      </c>
    </row>
    <row r="8971" spans="1:5" x14ac:dyDescent="0.55000000000000004">
      <c r="A8971" t="s">
        <v>9052</v>
      </c>
      <c r="B8971" t="s">
        <v>142</v>
      </c>
      <c r="C8971" s="2">
        <v>43509</v>
      </c>
      <c r="D8971" t="s">
        <v>26</v>
      </c>
      <c r="E8971">
        <v>224</v>
      </c>
    </row>
    <row r="8972" spans="1:5" x14ac:dyDescent="0.55000000000000004">
      <c r="A8972" t="s">
        <v>9053</v>
      </c>
      <c r="B8972" t="s">
        <v>111</v>
      </c>
      <c r="C8972" s="2">
        <v>44160</v>
      </c>
      <c r="D8972" t="s">
        <v>29</v>
      </c>
      <c r="E8972">
        <v>2051</v>
      </c>
    </row>
    <row r="8973" spans="1:5" x14ac:dyDescent="0.55000000000000004">
      <c r="A8973" t="s">
        <v>9054</v>
      </c>
      <c r="B8973" t="s">
        <v>137</v>
      </c>
      <c r="C8973" s="2">
        <v>44934</v>
      </c>
      <c r="D8973" t="s">
        <v>29</v>
      </c>
      <c r="E8973">
        <v>2439</v>
      </c>
    </row>
    <row r="8974" spans="1:5" x14ac:dyDescent="0.55000000000000004">
      <c r="A8974" t="s">
        <v>9055</v>
      </c>
      <c r="B8974" t="s">
        <v>15</v>
      </c>
      <c r="C8974" s="2">
        <v>43860</v>
      </c>
      <c r="D8974" t="s">
        <v>26</v>
      </c>
      <c r="E8974">
        <v>1253</v>
      </c>
    </row>
    <row r="8975" spans="1:5" x14ac:dyDescent="0.55000000000000004">
      <c r="A8975" t="s">
        <v>9056</v>
      </c>
      <c r="B8975" t="s">
        <v>151</v>
      </c>
      <c r="C8975" s="2">
        <v>44321</v>
      </c>
      <c r="D8975" t="s">
        <v>26</v>
      </c>
      <c r="E8975">
        <v>2837</v>
      </c>
    </row>
    <row r="8976" spans="1:5" x14ac:dyDescent="0.55000000000000004">
      <c r="A8976" t="s">
        <v>9057</v>
      </c>
      <c r="B8976" t="s">
        <v>140</v>
      </c>
      <c r="C8976" s="2">
        <v>42966</v>
      </c>
      <c r="D8976" t="s">
        <v>26</v>
      </c>
      <c r="E8976">
        <v>2428</v>
      </c>
    </row>
    <row r="8977" spans="1:5" x14ac:dyDescent="0.55000000000000004">
      <c r="A8977" t="s">
        <v>9058</v>
      </c>
      <c r="B8977" t="s">
        <v>142</v>
      </c>
      <c r="C8977" s="2">
        <v>43140</v>
      </c>
      <c r="D8977" t="s">
        <v>26</v>
      </c>
      <c r="E8977">
        <v>322</v>
      </c>
    </row>
    <row r="8978" spans="1:5" x14ac:dyDescent="0.55000000000000004">
      <c r="A8978" t="s">
        <v>9059</v>
      </c>
      <c r="B8978" t="s">
        <v>156</v>
      </c>
      <c r="C8978" s="2">
        <v>44484</v>
      </c>
      <c r="D8978" t="s">
        <v>29</v>
      </c>
      <c r="E8978">
        <v>393</v>
      </c>
    </row>
    <row r="8979" spans="1:5" x14ac:dyDescent="0.55000000000000004">
      <c r="A8979" t="s">
        <v>9060</v>
      </c>
      <c r="B8979" t="s">
        <v>76</v>
      </c>
      <c r="C8979" s="2">
        <v>43671</v>
      </c>
      <c r="D8979" t="s">
        <v>26</v>
      </c>
      <c r="E8979">
        <v>2457</v>
      </c>
    </row>
    <row r="8980" spans="1:5" x14ac:dyDescent="0.55000000000000004">
      <c r="A8980" t="s">
        <v>9061</v>
      </c>
      <c r="B8980" t="s">
        <v>72</v>
      </c>
      <c r="C8980" s="2">
        <v>43911</v>
      </c>
      <c r="D8980" t="s">
        <v>26</v>
      </c>
      <c r="E8980">
        <v>2203</v>
      </c>
    </row>
    <row r="8981" spans="1:5" x14ac:dyDescent="0.55000000000000004">
      <c r="A8981" t="s">
        <v>9062</v>
      </c>
      <c r="B8981" t="s">
        <v>32</v>
      </c>
      <c r="C8981" s="2">
        <v>44255</v>
      </c>
      <c r="D8981" t="s">
        <v>26</v>
      </c>
      <c r="E8981">
        <v>1151</v>
      </c>
    </row>
    <row r="8982" spans="1:5" x14ac:dyDescent="0.55000000000000004">
      <c r="A8982" t="s">
        <v>9063</v>
      </c>
      <c r="B8982" t="s">
        <v>137</v>
      </c>
      <c r="C8982" s="2">
        <v>45066</v>
      </c>
      <c r="D8982" t="s">
        <v>26</v>
      </c>
      <c r="E8982">
        <v>1580</v>
      </c>
    </row>
    <row r="8983" spans="1:5" x14ac:dyDescent="0.55000000000000004">
      <c r="A8983" t="s">
        <v>9064</v>
      </c>
      <c r="B8983" t="s">
        <v>63</v>
      </c>
      <c r="C8983" s="2">
        <v>44053</v>
      </c>
      <c r="D8983" t="s">
        <v>26</v>
      </c>
      <c r="E8983">
        <v>1669</v>
      </c>
    </row>
    <row r="8984" spans="1:5" x14ac:dyDescent="0.55000000000000004">
      <c r="A8984" t="s">
        <v>9065</v>
      </c>
      <c r="B8984" t="s">
        <v>67</v>
      </c>
      <c r="C8984" s="2">
        <v>45403</v>
      </c>
      <c r="D8984" t="s">
        <v>29</v>
      </c>
      <c r="E8984">
        <v>362</v>
      </c>
    </row>
    <row r="8985" spans="1:5" x14ac:dyDescent="0.55000000000000004">
      <c r="A8985" t="s">
        <v>9066</v>
      </c>
      <c r="B8985" t="s">
        <v>67</v>
      </c>
      <c r="C8985" s="2">
        <v>44912</v>
      </c>
      <c r="D8985" t="s">
        <v>29</v>
      </c>
      <c r="E8985">
        <v>2440</v>
      </c>
    </row>
    <row r="8986" spans="1:5" x14ac:dyDescent="0.55000000000000004">
      <c r="A8986" t="s">
        <v>9067</v>
      </c>
      <c r="B8986" t="s">
        <v>142</v>
      </c>
      <c r="C8986" s="2">
        <v>43634</v>
      </c>
      <c r="D8986" t="s">
        <v>26</v>
      </c>
      <c r="E8986">
        <v>2706</v>
      </c>
    </row>
    <row r="8987" spans="1:5" x14ac:dyDescent="0.55000000000000004">
      <c r="A8987" t="s">
        <v>9068</v>
      </c>
      <c r="B8987" t="s">
        <v>23</v>
      </c>
      <c r="C8987" s="2">
        <v>44612</v>
      </c>
      <c r="D8987" t="s">
        <v>29</v>
      </c>
      <c r="E8987">
        <v>1639</v>
      </c>
    </row>
    <row r="8988" spans="1:5" x14ac:dyDescent="0.55000000000000004">
      <c r="A8988" t="s">
        <v>9069</v>
      </c>
      <c r="B8988" t="s">
        <v>118</v>
      </c>
      <c r="C8988" s="2">
        <v>45746</v>
      </c>
      <c r="D8988" t="s">
        <v>26</v>
      </c>
      <c r="E8988">
        <v>1557</v>
      </c>
    </row>
    <row r="8989" spans="1:5" x14ac:dyDescent="0.55000000000000004">
      <c r="A8989" t="s">
        <v>9070</v>
      </c>
      <c r="B8989" t="s">
        <v>96</v>
      </c>
      <c r="C8989" s="2">
        <v>44187</v>
      </c>
      <c r="D8989" t="s">
        <v>26</v>
      </c>
      <c r="E8989">
        <v>49</v>
      </c>
    </row>
    <row r="8990" spans="1:5" x14ac:dyDescent="0.55000000000000004">
      <c r="A8990" t="s">
        <v>9071</v>
      </c>
      <c r="B8990" t="s">
        <v>96</v>
      </c>
      <c r="C8990" s="2">
        <v>44105</v>
      </c>
      <c r="D8990" t="s">
        <v>29</v>
      </c>
      <c r="E8990">
        <v>641</v>
      </c>
    </row>
    <row r="8991" spans="1:5" x14ac:dyDescent="0.55000000000000004">
      <c r="A8991" t="s">
        <v>9072</v>
      </c>
      <c r="B8991" t="s">
        <v>175</v>
      </c>
      <c r="C8991" s="2">
        <v>43473</v>
      </c>
      <c r="D8991" t="s">
        <v>26</v>
      </c>
      <c r="E8991">
        <v>2757</v>
      </c>
    </row>
    <row r="8992" spans="1:5" x14ac:dyDescent="0.55000000000000004">
      <c r="A8992" t="s">
        <v>9073</v>
      </c>
      <c r="B8992" t="s">
        <v>38</v>
      </c>
      <c r="C8992" s="2">
        <v>44425</v>
      </c>
      <c r="D8992" t="s">
        <v>29</v>
      </c>
      <c r="E8992">
        <v>632</v>
      </c>
    </row>
    <row r="8993" spans="1:5" x14ac:dyDescent="0.55000000000000004">
      <c r="A8993" t="s">
        <v>9074</v>
      </c>
      <c r="B8993" t="s">
        <v>35</v>
      </c>
      <c r="C8993" s="2">
        <v>44226</v>
      </c>
      <c r="D8993" t="s">
        <v>29</v>
      </c>
      <c r="E8993">
        <v>863</v>
      </c>
    </row>
    <row r="8994" spans="1:5" x14ac:dyDescent="0.55000000000000004">
      <c r="A8994" t="s">
        <v>9075</v>
      </c>
      <c r="B8994" t="s">
        <v>86</v>
      </c>
      <c r="C8994" s="2">
        <v>43777</v>
      </c>
      <c r="D8994" t="s">
        <v>29</v>
      </c>
      <c r="E8994">
        <v>72</v>
      </c>
    </row>
    <row r="8995" spans="1:5" x14ac:dyDescent="0.55000000000000004">
      <c r="A8995" t="s">
        <v>9076</v>
      </c>
      <c r="B8995" t="s">
        <v>15</v>
      </c>
      <c r="C8995" s="2">
        <v>43973</v>
      </c>
      <c r="D8995" t="s">
        <v>26</v>
      </c>
      <c r="E8995">
        <v>2978</v>
      </c>
    </row>
    <row r="8996" spans="1:5" x14ac:dyDescent="0.55000000000000004">
      <c r="A8996" t="s">
        <v>9077</v>
      </c>
      <c r="B8996" t="s">
        <v>78</v>
      </c>
      <c r="C8996" s="2">
        <v>43583</v>
      </c>
      <c r="D8996" t="s">
        <v>26</v>
      </c>
      <c r="E8996">
        <v>203</v>
      </c>
    </row>
    <row r="8997" spans="1:5" x14ac:dyDescent="0.55000000000000004">
      <c r="A8997" t="s">
        <v>9078</v>
      </c>
      <c r="B8997" t="s">
        <v>118</v>
      </c>
      <c r="C8997" s="2">
        <v>45105</v>
      </c>
      <c r="D8997" t="s">
        <v>29</v>
      </c>
      <c r="E8997">
        <v>2131</v>
      </c>
    </row>
    <row r="8998" spans="1:5" x14ac:dyDescent="0.55000000000000004">
      <c r="A8998" t="s">
        <v>9079</v>
      </c>
      <c r="B8998" t="s">
        <v>118</v>
      </c>
      <c r="C8998" s="2">
        <v>45799</v>
      </c>
      <c r="D8998" t="s">
        <v>29</v>
      </c>
      <c r="E8998">
        <v>422</v>
      </c>
    </row>
    <row r="8999" spans="1:5" x14ac:dyDescent="0.55000000000000004">
      <c r="A8999" t="s">
        <v>9080</v>
      </c>
      <c r="B8999" t="s">
        <v>35</v>
      </c>
      <c r="C8999" s="2">
        <v>44353</v>
      </c>
      <c r="D8999" t="s">
        <v>29</v>
      </c>
      <c r="E8999">
        <v>1163</v>
      </c>
    </row>
    <row r="9000" spans="1:5" x14ac:dyDescent="0.55000000000000004">
      <c r="A9000" t="s">
        <v>9081</v>
      </c>
      <c r="B9000" t="s">
        <v>32</v>
      </c>
      <c r="C9000" s="2">
        <v>44249</v>
      </c>
      <c r="D9000" t="s">
        <v>29</v>
      </c>
      <c r="E9000">
        <v>1890</v>
      </c>
    </row>
    <row r="9001" spans="1:5" x14ac:dyDescent="0.55000000000000004">
      <c r="A9001" t="s">
        <v>9082</v>
      </c>
      <c r="B9001" t="s">
        <v>94</v>
      </c>
      <c r="C9001" s="2">
        <v>43791</v>
      </c>
      <c r="D9001" t="s">
        <v>29</v>
      </c>
      <c r="E9001">
        <v>1587</v>
      </c>
    </row>
    <row r="9002" spans="1:5" x14ac:dyDescent="0.55000000000000004">
      <c r="A9002" t="s">
        <v>9083</v>
      </c>
      <c r="B9002" t="s">
        <v>96</v>
      </c>
      <c r="C9002" s="2">
        <v>44545</v>
      </c>
      <c r="D9002" t="s">
        <v>26</v>
      </c>
      <c r="E9002">
        <v>1780</v>
      </c>
    </row>
    <row r="9003" spans="1:5" x14ac:dyDescent="0.55000000000000004">
      <c r="A9003" t="s">
        <v>9084</v>
      </c>
      <c r="B9003" t="s">
        <v>101</v>
      </c>
      <c r="C9003" s="2">
        <v>43995</v>
      </c>
      <c r="D9003" t="s">
        <v>29</v>
      </c>
      <c r="E9003">
        <v>1840</v>
      </c>
    </row>
    <row r="9004" spans="1:5" x14ac:dyDescent="0.55000000000000004">
      <c r="A9004" t="s">
        <v>9085</v>
      </c>
      <c r="B9004" t="s">
        <v>86</v>
      </c>
      <c r="C9004" s="2">
        <v>43057</v>
      </c>
      <c r="D9004" t="s">
        <v>29</v>
      </c>
      <c r="E9004">
        <v>2012</v>
      </c>
    </row>
    <row r="9005" spans="1:5" x14ac:dyDescent="0.55000000000000004">
      <c r="A9005" t="s">
        <v>9086</v>
      </c>
      <c r="B9005" t="s">
        <v>94</v>
      </c>
      <c r="C9005" s="2">
        <v>43879</v>
      </c>
      <c r="D9005" t="s">
        <v>26</v>
      </c>
      <c r="E9005">
        <v>1740</v>
      </c>
    </row>
    <row r="9006" spans="1:5" x14ac:dyDescent="0.55000000000000004">
      <c r="A9006" t="s">
        <v>9087</v>
      </c>
      <c r="B9006" t="s">
        <v>156</v>
      </c>
      <c r="C9006" s="2">
        <v>43642</v>
      </c>
      <c r="D9006" t="s">
        <v>29</v>
      </c>
      <c r="E9006">
        <v>186</v>
      </c>
    </row>
    <row r="9007" spans="1:5" x14ac:dyDescent="0.55000000000000004">
      <c r="A9007" t="s">
        <v>9088</v>
      </c>
      <c r="B9007" t="s">
        <v>86</v>
      </c>
      <c r="C9007" s="2">
        <v>44286</v>
      </c>
      <c r="D9007" t="s">
        <v>29</v>
      </c>
      <c r="E9007">
        <v>1647</v>
      </c>
    </row>
    <row r="9008" spans="1:5" x14ac:dyDescent="0.55000000000000004">
      <c r="A9008" t="s">
        <v>9089</v>
      </c>
      <c r="B9008" t="s">
        <v>151</v>
      </c>
      <c r="C9008" s="2">
        <v>43538</v>
      </c>
      <c r="D9008" t="s">
        <v>26</v>
      </c>
      <c r="E9008">
        <v>366</v>
      </c>
    </row>
    <row r="9009" spans="1:5" x14ac:dyDescent="0.55000000000000004">
      <c r="A9009" t="s">
        <v>9090</v>
      </c>
      <c r="B9009" t="s">
        <v>67</v>
      </c>
      <c r="C9009" s="2">
        <v>43665</v>
      </c>
      <c r="D9009" t="s">
        <v>29</v>
      </c>
      <c r="E9009">
        <v>858</v>
      </c>
    </row>
    <row r="9010" spans="1:5" x14ac:dyDescent="0.55000000000000004">
      <c r="A9010" t="s">
        <v>9091</v>
      </c>
      <c r="B9010" t="s">
        <v>23</v>
      </c>
      <c r="C9010" s="2">
        <v>44131</v>
      </c>
      <c r="D9010" t="s">
        <v>26</v>
      </c>
      <c r="E9010">
        <v>2948</v>
      </c>
    </row>
    <row r="9011" spans="1:5" x14ac:dyDescent="0.55000000000000004">
      <c r="A9011" t="s">
        <v>9092</v>
      </c>
      <c r="B9011" t="s">
        <v>142</v>
      </c>
      <c r="C9011" s="2">
        <v>43192</v>
      </c>
      <c r="D9011" t="s">
        <v>29</v>
      </c>
      <c r="E9011">
        <v>2167</v>
      </c>
    </row>
    <row r="9012" spans="1:5" x14ac:dyDescent="0.55000000000000004">
      <c r="A9012" t="s">
        <v>9093</v>
      </c>
      <c r="B9012" t="s">
        <v>175</v>
      </c>
      <c r="C9012" s="2">
        <v>44883</v>
      </c>
      <c r="D9012" t="s">
        <v>29</v>
      </c>
      <c r="E9012">
        <v>1356</v>
      </c>
    </row>
    <row r="9013" spans="1:5" x14ac:dyDescent="0.55000000000000004">
      <c r="A9013" t="s">
        <v>9094</v>
      </c>
      <c r="B9013" t="s">
        <v>118</v>
      </c>
      <c r="C9013" s="2">
        <v>44342</v>
      </c>
      <c r="D9013" t="s">
        <v>26</v>
      </c>
      <c r="E9013">
        <v>1923</v>
      </c>
    </row>
    <row r="9014" spans="1:5" x14ac:dyDescent="0.55000000000000004">
      <c r="A9014" t="s">
        <v>9095</v>
      </c>
      <c r="B9014" t="s">
        <v>41</v>
      </c>
      <c r="C9014" s="2">
        <v>44807</v>
      </c>
      <c r="D9014" t="s">
        <v>29</v>
      </c>
      <c r="E9014">
        <v>991</v>
      </c>
    </row>
    <row r="9015" spans="1:5" x14ac:dyDescent="0.55000000000000004">
      <c r="A9015" t="s">
        <v>9096</v>
      </c>
      <c r="B9015" t="s">
        <v>14</v>
      </c>
      <c r="C9015" s="2">
        <v>44303</v>
      </c>
      <c r="D9015" t="s">
        <v>26</v>
      </c>
      <c r="E9015">
        <v>407</v>
      </c>
    </row>
    <row r="9016" spans="1:5" x14ac:dyDescent="0.55000000000000004">
      <c r="A9016" t="s">
        <v>9097</v>
      </c>
      <c r="B9016" t="s">
        <v>101</v>
      </c>
      <c r="C9016" s="2">
        <v>43931</v>
      </c>
      <c r="D9016" t="s">
        <v>29</v>
      </c>
      <c r="E9016">
        <v>443</v>
      </c>
    </row>
    <row r="9017" spans="1:5" x14ac:dyDescent="0.55000000000000004">
      <c r="A9017" t="s">
        <v>9098</v>
      </c>
      <c r="B9017" t="s">
        <v>23</v>
      </c>
      <c r="C9017" s="2">
        <v>44160</v>
      </c>
      <c r="D9017" t="s">
        <v>29</v>
      </c>
      <c r="E9017">
        <v>441</v>
      </c>
    </row>
    <row r="9018" spans="1:5" x14ac:dyDescent="0.55000000000000004">
      <c r="A9018" t="s">
        <v>9099</v>
      </c>
      <c r="B9018" t="s">
        <v>86</v>
      </c>
      <c r="C9018" s="2">
        <v>43496</v>
      </c>
      <c r="D9018" t="s">
        <v>29</v>
      </c>
      <c r="E9018">
        <v>2757</v>
      </c>
    </row>
    <row r="9019" spans="1:5" x14ac:dyDescent="0.55000000000000004">
      <c r="A9019" t="s">
        <v>9100</v>
      </c>
      <c r="B9019" t="s">
        <v>72</v>
      </c>
      <c r="C9019" s="2">
        <v>42942</v>
      </c>
      <c r="D9019" t="s">
        <v>26</v>
      </c>
      <c r="E9019">
        <v>588</v>
      </c>
    </row>
    <row r="9020" spans="1:5" x14ac:dyDescent="0.55000000000000004">
      <c r="A9020" t="s">
        <v>9101</v>
      </c>
      <c r="B9020" t="s">
        <v>84</v>
      </c>
      <c r="C9020" s="2">
        <v>44278</v>
      </c>
      <c r="D9020" t="s">
        <v>26</v>
      </c>
      <c r="E9020">
        <v>567</v>
      </c>
    </row>
    <row r="9021" spans="1:5" x14ac:dyDescent="0.55000000000000004">
      <c r="A9021" t="s">
        <v>9102</v>
      </c>
      <c r="B9021" t="s">
        <v>86</v>
      </c>
      <c r="C9021" s="2">
        <v>43511</v>
      </c>
      <c r="D9021" t="s">
        <v>29</v>
      </c>
      <c r="E9021">
        <v>1315</v>
      </c>
    </row>
    <row r="9022" spans="1:5" x14ac:dyDescent="0.55000000000000004">
      <c r="A9022" t="s">
        <v>9103</v>
      </c>
      <c r="B9022" t="s">
        <v>14</v>
      </c>
      <c r="C9022" s="2">
        <v>44264</v>
      </c>
      <c r="D9022" t="s">
        <v>26</v>
      </c>
      <c r="E9022">
        <v>1401</v>
      </c>
    </row>
    <row r="9023" spans="1:5" x14ac:dyDescent="0.55000000000000004">
      <c r="A9023" t="s">
        <v>9104</v>
      </c>
      <c r="B9023" t="s">
        <v>156</v>
      </c>
      <c r="C9023" s="2">
        <v>44125</v>
      </c>
      <c r="D9023" t="s">
        <v>26</v>
      </c>
      <c r="E9023">
        <v>2077</v>
      </c>
    </row>
    <row r="9024" spans="1:5" x14ac:dyDescent="0.55000000000000004">
      <c r="A9024" t="s">
        <v>9105</v>
      </c>
      <c r="B9024" t="s">
        <v>78</v>
      </c>
      <c r="C9024" s="2">
        <v>43615</v>
      </c>
      <c r="D9024" t="s">
        <v>26</v>
      </c>
      <c r="E9024">
        <v>2326</v>
      </c>
    </row>
    <row r="9025" spans="1:5" x14ac:dyDescent="0.55000000000000004">
      <c r="A9025" t="s">
        <v>9106</v>
      </c>
      <c r="B9025" t="s">
        <v>76</v>
      </c>
      <c r="C9025" s="2">
        <v>45497</v>
      </c>
      <c r="D9025" t="s">
        <v>29</v>
      </c>
      <c r="E9025">
        <v>2584</v>
      </c>
    </row>
    <row r="9026" spans="1:5" x14ac:dyDescent="0.55000000000000004">
      <c r="A9026" t="s">
        <v>9107</v>
      </c>
      <c r="B9026" t="s">
        <v>15</v>
      </c>
      <c r="C9026" s="2">
        <v>43402</v>
      </c>
      <c r="D9026" t="s">
        <v>29</v>
      </c>
      <c r="E9026">
        <v>553</v>
      </c>
    </row>
    <row r="9027" spans="1:5" x14ac:dyDescent="0.55000000000000004">
      <c r="A9027" t="s">
        <v>9108</v>
      </c>
      <c r="B9027" t="s">
        <v>156</v>
      </c>
      <c r="C9027" s="2">
        <v>43690</v>
      </c>
      <c r="D9027" t="s">
        <v>26</v>
      </c>
      <c r="E9027">
        <v>1604</v>
      </c>
    </row>
    <row r="9028" spans="1:5" x14ac:dyDescent="0.55000000000000004">
      <c r="A9028" t="s">
        <v>9109</v>
      </c>
      <c r="B9028" t="s">
        <v>151</v>
      </c>
      <c r="C9028" s="2">
        <v>42944</v>
      </c>
      <c r="D9028" t="s">
        <v>26</v>
      </c>
      <c r="E9028">
        <v>1155</v>
      </c>
    </row>
    <row r="9029" spans="1:5" x14ac:dyDescent="0.55000000000000004">
      <c r="A9029" t="s">
        <v>9110</v>
      </c>
      <c r="B9029" t="s">
        <v>63</v>
      </c>
      <c r="C9029" s="2">
        <v>43994</v>
      </c>
      <c r="D9029" t="s">
        <v>26</v>
      </c>
      <c r="E9029">
        <v>2749</v>
      </c>
    </row>
    <row r="9030" spans="1:5" x14ac:dyDescent="0.55000000000000004">
      <c r="A9030" t="s">
        <v>9111</v>
      </c>
      <c r="B9030" t="s">
        <v>142</v>
      </c>
      <c r="C9030" s="2">
        <v>42973</v>
      </c>
      <c r="D9030" t="s">
        <v>26</v>
      </c>
      <c r="E9030">
        <v>2376</v>
      </c>
    </row>
    <row r="9031" spans="1:5" x14ac:dyDescent="0.55000000000000004">
      <c r="A9031" t="s">
        <v>9112</v>
      </c>
      <c r="B9031" t="s">
        <v>74</v>
      </c>
      <c r="C9031" s="2">
        <v>43513</v>
      </c>
      <c r="D9031" t="s">
        <v>26</v>
      </c>
      <c r="E9031">
        <v>1281</v>
      </c>
    </row>
    <row r="9032" spans="1:5" x14ac:dyDescent="0.55000000000000004">
      <c r="A9032" t="s">
        <v>9113</v>
      </c>
      <c r="B9032" t="s">
        <v>105</v>
      </c>
      <c r="C9032" s="2">
        <v>44176</v>
      </c>
      <c r="D9032" t="s">
        <v>29</v>
      </c>
      <c r="E9032">
        <v>2533</v>
      </c>
    </row>
    <row r="9033" spans="1:5" x14ac:dyDescent="0.55000000000000004">
      <c r="A9033" t="s">
        <v>9114</v>
      </c>
      <c r="B9033" t="s">
        <v>63</v>
      </c>
      <c r="C9033" s="2">
        <v>42953</v>
      </c>
      <c r="D9033" t="s">
        <v>29</v>
      </c>
      <c r="E9033">
        <v>2832</v>
      </c>
    </row>
    <row r="9034" spans="1:5" x14ac:dyDescent="0.55000000000000004">
      <c r="A9034" t="s">
        <v>9115</v>
      </c>
      <c r="B9034" t="s">
        <v>41</v>
      </c>
      <c r="C9034" s="2">
        <v>44400</v>
      </c>
      <c r="D9034" t="s">
        <v>26</v>
      </c>
      <c r="E9034">
        <v>1792</v>
      </c>
    </row>
    <row r="9035" spans="1:5" x14ac:dyDescent="0.55000000000000004">
      <c r="A9035" t="s">
        <v>9116</v>
      </c>
      <c r="B9035" t="s">
        <v>23</v>
      </c>
      <c r="C9035" s="2">
        <v>44676</v>
      </c>
      <c r="D9035" t="s">
        <v>29</v>
      </c>
      <c r="E9035">
        <v>1111</v>
      </c>
    </row>
    <row r="9036" spans="1:5" x14ac:dyDescent="0.55000000000000004">
      <c r="A9036" t="s">
        <v>9117</v>
      </c>
      <c r="B9036" t="s">
        <v>140</v>
      </c>
      <c r="C9036" s="2">
        <v>44462</v>
      </c>
      <c r="D9036" t="s">
        <v>29</v>
      </c>
      <c r="E9036">
        <v>625</v>
      </c>
    </row>
    <row r="9037" spans="1:5" x14ac:dyDescent="0.55000000000000004">
      <c r="A9037" t="s">
        <v>9118</v>
      </c>
      <c r="B9037" t="s">
        <v>67</v>
      </c>
      <c r="C9037" s="2">
        <v>45499</v>
      </c>
      <c r="D9037" t="s">
        <v>26</v>
      </c>
      <c r="E9037">
        <v>1471</v>
      </c>
    </row>
    <row r="9038" spans="1:5" x14ac:dyDescent="0.55000000000000004">
      <c r="A9038" t="s">
        <v>9119</v>
      </c>
      <c r="B9038" t="s">
        <v>115</v>
      </c>
      <c r="C9038" s="2">
        <v>43985</v>
      </c>
      <c r="D9038" t="s">
        <v>29</v>
      </c>
      <c r="E9038">
        <v>642</v>
      </c>
    </row>
    <row r="9039" spans="1:5" x14ac:dyDescent="0.55000000000000004">
      <c r="A9039" t="s">
        <v>9120</v>
      </c>
      <c r="B9039" t="s">
        <v>72</v>
      </c>
      <c r="C9039" s="2">
        <v>43606</v>
      </c>
      <c r="D9039" t="s">
        <v>26</v>
      </c>
      <c r="E9039">
        <v>1852</v>
      </c>
    </row>
    <row r="9040" spans="1:5" x14ac:dyDescent="0.55000000000000004">
      <c r="A9040" t="s">
        <v>9121</v>
      </c>
      <c r="B9040" t="s">
        <v>118</v>
      </c>
      <c r="C9040" s="2">
        <v>44806</v>
      </c>
      <c r="D9040" t="s">
        <v>29</v>
      </c>
      <c r="E9040">
        <v>228</v>
      </c>
    </row>
    <row r="9041" spans="1:5" x14ac:dyDescent="0.55000000000000004">
      <c r="A9041" t="s">
        <v>9122</v>
      </c>
      <c r="B9041" t="s">
        <v>14</v>
      </c>
      <c r="C9041" s="2">
        <v>43256</v>
      </c>
      <c r="D9041" t="s">
        <v>26</v>
      </c>
      <c r="E9041">
        <v>1023</v>
      </c>
    </row>
    <row r="9042" spans="1:5" x14ac:dyDescent="0.55000000000000004">
      <c r="A9042" t="s">
        <v>9123</v>
      </c>
      <c r="B9042" t="s">
        <v>142</v>
      </c>
      <c r="C9042" s="2">
        <v>43182</v>
      </c>
      <c r="D9042" t="s">
        <v>26</v>
      </c>
      <c r="E9042">
        <v>1175</v>
      </c>
    </row>
    <row r="9043" spans="1:5" x14ac:dyDescent="0.55000000000000004">
      <c r="A9043" t="s">
        <v>9124</v>
      </c>
      <c r="B9043" t="s">
        <v>142</v>
      </c>
      <c r="C9043" s="2">
        <v>43679</v>
      </c>
      <c r="D9043" t="s">
        <v>29</v>
      </c>
      <c r="E9043">
        <v>1917</v>
      </c>
    </row>
    <row r="9044" spans="1:5" x14ac:dyDescent="0.55000000000000004">
      <c r="A9044" t="s">
        <v>9125</v>
      </c>
      <c r="B9044" t="s">
        <v>15</v>
      </c>
      <c r="C9044" s="2">
        <v>43126</v>
      </c>
      <c r="D9044" t="s">
        <v>26</v>
      </c>
      <c r="E9044">
        <v>1472</v>
      </c>
    </row>
    <row r="9045" spans="1:5" x14ac:dyDescent="0.55000000000000004">
      <c r="A9045" t="s">
        <v>9126</v>
      </c>
      <c r="B9045" t="s">
        <v>74</v>
      </c>
      <c r="C9045" s="2">
        <v>44267</v>
      </c>
      <c r="D9045" t="s">
        <v>29</v>
      </c>
      <c r="E9045">
        <v>2124</v>
      </c>
    </row>
    <row r="9046" spans="1:5" x14ac:dyDescent="0.55000000000000004">
      <c r="A9046" t="s">
        <v>9127</v>
      </c>
      <c r="B9046" t="s">
        <v>23</v>
      </c>
      <c r="C9046" s="2">
        <v>43920</v>
      </c>
      <c r="D9046" t="s">
        <v>29</v>
      </c>
      <c r="E9046">
        <v>418</v>
      </c>
    </row>
    <row r="9047" spans="1:5" x14ac:dyDescent="0.55000000000000004">
      <c r="A9047" t="s">
        <v>9128</v>
      </c>
      <c r="B9047" t="s">
        <v>67</v>
      </c>
      <c r="C9047" s="2">
        <v>44145</v>
      </c>
      <c r="D9047" t="s">
        <v>26</v>
      </c>
      <c r="E9047">
        <v>1379</v>
      </c>
    </row>
    <row r="9048" spans="1:5" x14ac:dyDescent="0.55000000000000004">
      <c r="A9048" t="s">
        <v>9129</v>
      </c>
      <c r="B9048" t="s">
        <v>74</v>
      </c>
      <c r="C9048" s="2">
        <v>43762</v>
      </c>
      <c r="D9048" t="s">
        <v>29</v>
      </c>
      <c r="E9048">
        <v>1766</v>
      </c>
    </row>
    <row r="9049" spans="1:5" x14ac:dyDescent="0.55000000000000004">
      <c r="A9049" t="s">
        <v>9130</v>
      </c>
      <c r="B9049" t="s">
        <v>142</v>
      </c>
      <c r="C9049" s="2">
        <v>44370</v>
      </c>
      <c r="D9049" t="s">
        <v>26</v>
      </c>
      <c r="E9049">
        <v>736</v>
      </c>
    </row>
    <row r="9050" spans="1:5" x14ac:dyDescent="0.55000000000000004">
      <c r="A9050" t="s">
        <v>9131</v>
      </c>
      <c r="B9050" t="s">
        <v>151</v>
      </c>
      <c r="C9050" s="2">
        <v>44103</v>
      </c>
      <c r="D9050" t="s">
        <v>26</v>
      </c>
      <c r="E9050">
        <v>1998</v>
      </c>
    </row>
    <row r="9051" spans="1:5" x14ac:dyDescent="0.55000000000000004">
      <c r="A9051" t="s">
        <v>9132</v>
      </c>
      <c r="B9051" t="s">
        <v>67</v>
      </c>
      <c r="C9051" s="2">
        <v>45732</v>
      </c>
      <c r="D9051" t="s">
        <v>29</v>
      </c>
      <c r="E9051">
        <v>1128</v>
      </c>
    </row>
    <row r="9052" spans="1:5" x14ac:dyDescent="0.55000000000000004">
      <c r="A9052" t="s">
        <v>9133</v>
      </c>
      <c r="B9052" t="s">
        <v>96</v>
      </c>
      <c r="C9052" s="2">
        <v>43603</v>
      </c>
      <c r="D9052" t="s">
        <v>29</v>
      </c>
      <c r="E9052">
        <v>793</v>
      </c>
    </row>
    <row r="9053" spans="1:5" x14ac:dyDescent="0.55000000000000004">
      <c r="A9053" t="s">
        <v>9134</v>
      </c>
      <c r="B9053" t="s">
        <v>140</v>
      </c>
      <c r="C9053" s="2">
        <v>43086</v>
      </c>
      <c r="D9053" t="s">
        <v>29</v>
      </c>
      <c r="E9053">
        <v>575</v>
      </c>
    </row>
    <row r="9054" spans="1:5" x14ac:dyDescent="0.55000000000000004">
      <c r="A9054" t="s">
        <v>9135</v>
      </c>
      <c r="B9054" t="s">
        <v>96</v>
      </c>
      <c r="C9054" s="2">
        <v>45067</v>
      </c>
      <c r="D9054" t="s">
        <v>29</v>
      </c>
      <c r="E9054">
        <v>2259</v>
      </c>
    </row>
    <row r="9055" spans="1:5" x14ac:dyDescent="0.55000000000000004">
      <c r="A9055" t="s">
        <v>9136</v>
      </c>
      <c r="B9055" t="s">
        <v>137</v>
      </c>
      <c r="C9055" s="2">
        <v>44620</v>
      </c>
      <c r="D9055" t="s">
        <v>29</v>
      </c>
      <c r="E9055">
        <v>1240</v>
      </c>
    </row>
    <row r="9056" spans="1:5" x14ac:dyDescent="0.55000000000000004">
      <c r="A9056" t="s">
        <v>9137</v>
      </c>
      <c r="B9056" t="s">
        <v>72</v>
      </c>
      <c r="C9056" s="2">
        <v>42947</v>
      </c>
      <c r="D9056" t="s">
        <v>26</v>
      </c>
      <c r="E9056">
        <v>655</v>
      </c>
    </row>
    <row r="9057" spans="1:5" x14ac:dyDescent="0.55000000000000004">
      <c r="A9057" t="s">
        <v>9138</v>
      </c>
      <c r="B9057" t="s">
        <v>137</v>
      </c>
      <c r="C9057" s="2">
        <v>44529</v>
      </c>
      <c r="D9057" t="s">
        <v>26</v>
      </c>
      <c r="E9057">
        <v>1028</v>
      </c>
    </row>
    <row r="9058" spans="1:5" x14ac:dyDescent="0.55000000000000004">
      <c r="A9058" t="s">
        <v>9139</v>
      </c>
      <c r="B9058" t="s">
        <v>99</v>
      </c>
      <c r="C9058" s="2">
        <v>45695</v>
      </c>
      <c r="D9058" t="s">
        <v>29</v>
      </c>
      <c r="E9058">
        <v>783</v>
      </c>
    </row>
    <row r="9059" spans="1:5" x14ac:dyDescent="0.55000000000000004">
      <c r="A9059" t="s">
        <v>9140</v>
      </c>
      <c r="B9059" t="s">
        <v>78</v>
      </c>
      <c r="C9059" s="2">
        <v>43754</v>
      </c>
      <c r="D9059" t="s">
        <v>26</v>
      </c>
      <c r="E9059">
        <v>1890</v>
      </c>
    </row>
    <row r="9060" spans="1:5" x14ac:dyDescent="0.55000000000000004">
      <c r="A9060" t="s">
        <v>9141</v>
      </c>
      <c r="B9060" t="s">
        <v>63</v>
      </c>
      <c r="C9060" s="2">
        <v>43863</v>
      </c>
      <c r="D9060" t="s">
        <v>26</v>
      </c>
      <c r="E9060">
        <v>1229</v>
      </c>
    </row>
    <row r="9061" spans="1:5" x14ac:dyDescent="0.55000000000000004">
      <c r="A9061" t="s">
        <v>9142</v>
      </c>
      <c r="B9061" t="s">
        <v>86</v>
      </c>
      <c r="C9061" s="2">
        <v>43002</v>
      </c>
      <c r="D9061" t="s">
        <v>26</v>
      </c>
      <c r="E9061">
        <v>301</v>
      </c>
    </row>
    <row r="9062" spans="1:5" x14ac:dyDescent="0.55000000000000004">
      <c r="A9062" t="s">
        <v>9143</v>
      </c>
      <c r="B9062" t="s">
        <v>175</v>
      </c>
      <c r="C9062" s="2">
        <v>43916</v>
      </c>
      <c r="D9062" t="s">
        <v>26</v>
      </c>
      <c r="E9062">
        <v>2848</v>
      </c>
    </row>
    <row r="9063" spans="1:5" x14ac:dyDescent="0.55000000000000004">
      <c r="A9063" t="s">
        <v>9144</v>
      </c>
      <c r="B9063" t="s">
        <v>72</v>
      </c>
      <c r="C9063" s="2">
        <v>43695</v>
      </c>
      <c r="D9063" t="s">
        <v>29</v>
      </c>
      <c r="E9063">
        <v>2585</v>
      </c>
    </row>
    <row r="9064" spans="1:5" x14ac:dyDescent="0.55000000000000004">
      <c r="A9064" t="s">
        <v>9145</v>
      </c>
      <c r="B9064" t="s">
        <v>23</v>
      </c>
      <c r="C9064" s="2">
        <v>44080</v>
      </c>
      <c r="D9064" t="s">
        <v>29</v>
      </c>
      <c r="E9064">
        <v>497</v>
      </c>
    </row>
    <row r="9065" spans="1:5" x14ac:dyDescent="0.55000000000000004">
      <c r="A9065" t="s">
        <v>9146</v>
      </c>
      <c r="B9065" t="s">
        <v>32</v>
      </c>
      <c r="C9065" s="2">
        <v>44340</v>
      </c>
      <c r="D9065" t="s">
        <v>29</v>
      </c>
      <c r="E9065">
        <v>26</v>
      </c>
    </row>
    <row r="9066" spans="1:5" x14ac:dyDescent="0.55000000000000004">
      <c r="A9066" t="s">
        <v>9147</v>
      </c>
      <c r="B9066" t="s">
        <v>101</v>
      </c>
      <c r="C9066" s="2">
        <v>43091</v>
      </c>
      <c r="D9066" t="s">
        <v>26</v>
      </c>
      <c r="E9066">
        <v>1080</v>
      </c>
    </row>
    <row r="9067" spans="1:5" x14ac:dyDescent="0.55000000000000004">
      <c r="A9067" t="s">
        <v>9148</v>
      </c>
      <c r="B9067" t="s">
        <v>15</v>
      </c>
      <c r="C9067" s="2">
        <v>44519</v>
      </c>
      <c r="D9067" t="s">
        <v>26</v>
      </c>
      <c r="E9067">
        <v>2053</v>
      </c>
    </row>
    <row r="9068" spans="1:5" x14ac:dyDescent="0.55000000000000004">
      <c r="A9068" t="s">
        <v>9149</v>
      </c>
      <c r="B9068" t="s">
        <v>23</v>
      </c>
      <c r="C9068" s="2">
        <v>44085</v>
      </c>
      <c r="D9068" t="s">
        <v>26</v>
      </c>
      <c r="E9068">
        <v>2376</v>
      </c>
    </row>
    <row r="9069" spans="1:5" x14ac:dyDescent="0.55000000000000004">
      <c r="A9069" t="s">
        <v>9150</v>
      </c>
      <c r="B9069" t="s">
        <v>137</v>
      </c>
      <c r="C9069" s="2">
        <v>43978</v>
      </c>
      <c r="D9069" t="s">
        <v>29</v>
      </c>
      <c r="E9069">
        <v>1549</v>
      </c>
    </row>
    <row r="9070" spans="1:5" x14ac:dyDescent="0.55000000000000004">
      <c r="A9070" t="s">
        <v>9151</v>
      </c>
      <c r="B9070" t="s">
        <v>38</v>
      </c>
      <c r="C9070" s="2">
        <v>44123</v>
      </c>
      <c r="D9070" t="s">
        <v>29</v>
      </c>
      <c r="E9070">
        <v>2974</v>
      </c>
    </row>
    <row r="9071" spans="1:5" x14ac:dyDescent="0.55000000000000004">
      <c r="A9071" t="s">
        <v>9152</v>
      </c>
      <c r="B9071" t="s">
        <v>96</v>
      </c>
      <c r="C9071" s="2">
        <v>45142</v>
      </c>
      <c r="D9071" t="s">
        <v>26</v>
      </c>
      <c r="E9071">
        <v>1185</v>
      </c>
    </row>
    <row r="9072" spans="1:5" x14ac:dyDescent="0.55000000000000004">
      <c r="A9072" t="s">
        <v>9153</v>
      </c>
      <c r="B9072" t="s">
        <v>74</v>
      </c>
      <c r="C9072" s="2">
        <v>43009</v>
      </c>
      <c r="D9072" t="s">
        <v>26</v>
      </c>
      <c r="E9072">
        <v>1072</v>
      </c>
    </row>
    <row r="9073" spans="1:5" x14ac:dyDescent="0.55000000000000004">
      <c r="A9073" t="s">
        <v>9154</v>
      </c>
      <c r="B9073" t="s">
        <v>74</v>
      </c>
      <c r="C9073" s="2">
        <v>43492</v>
      </c>
      <c r="D9073" t="s">
        <v>26</v>
      </c>
      <c r="E9073">
        <v>811</v>
      </c>
    </row>
    <row r="9074" spans="1:5" x14ac:dyDescent="0.55000000000000004">
      <c r="A9074" t="s">
        <v>9155</v>
      </c>
      <c r="B9074" t="s">
        <v>118</v>
      </c>
      <c r="C9074" s="2">
        <v>43751</v>
      </c>
      <c r="D9074" t="s">
        <v>26</v>
      </c>
      <c r="E9074">
        <v>454</v>
      </c>
    </row>
    <row r="9075" spans="1:5" x14ac:dyDescent="0.55000000000000004">
      <c r="A9075" t="s">
        <v>9156</v>
      </c>
      <c r="B9075" t="s">
        <v>76</v>
      </c>
      <c r="C9075" s="2">
        <v>45769</v>
      </c>
      <c r="D9075" t="s">
        <v>26</v>
      </c>
      <c r="E9075">
        <v>1278</v>
      </c>
    </row>
    <row r="9076" spans="1:5" x14ac:dyDescent="0.55000000000000004">
      <c r="A9076" t="s">
        <v>9157</v>
      </c>
      <c r="B9076" t="s">
        <v>14</v>
      </c>
      <c r="C9076" s="2">
        <v>43617</v>
      </c>
      <c r="D9076" t="s">
        <v>26</v>
      </c>
      <c r="E9076">
        <v>2856</v>
      </c>
    </row>
    <row r="9077" spans="1:5" x14ac:dyDescent="0.55000000000000004">
      <c r="A9077" t="s">
        <v>9158</v>
      </c>
      <c r="B9077" t="s">
        <v>41</v>
      </c>
      <c r="C9077" s="2">
        <v>44305</v>
      </c>
      <c r="D9077" t="s">
        <v>26</v>
      </c>
      <c r="E9077">
        <v>1289</v>
      </c>
    </row>
    <row r="9078" spans="1:5" x14ac:dyDescent="0.55000000000000004">
      <c r="A9078" t="s">
        <v>9159</v>
      </c>
      <c r="B9078" t="s">
        <v>35</v>
      </c>
      <c r="C9078" s="2">
        <v>44068</v>
      </c>
      <c r="D9078" t="s">
        <v>29</v>
      </c>
      <c r="E9078">
        <v>2405</v>
      </c>
    </row>
    <row r="9079" spans="1:5" x14ac:dyDescent="0.55000000000000004">
      <c r="A9079" t="s">
        <v>9160</v>
      </c>
      <c r="B9079" t="s">
        <v>38</v>
      </c>
      <c r="C9079" s="2">
        <v>43835</v>
      </c>
      <c r="D9079" t="s">
        <v>29</v>
      </c>
      <c r="E9079">
        <v>1277</v>
      </c>
    </row>
    <row r="9080" spans="1:5" x14ac:dyDescent="0.55000000000000004">
      <c r="A9080" t="s">
        <v>9161</v>
      </c>
      <c r="B9080" t="s">
        <v>15</v>
      </c>
      <c r="C9080" s="2">
        <v>42995</v>
      </c>
      <c r="D9080" t="s">
        <v>29</v>
      </c>
      <c r="E9080">
        <v>1696</v>
      </c>
    </row>
    <row r="9081" spans="1:5" x14ac:dyDescent="0.55000000000000004">
      <c r="A9081" t="s">
        <v>9162</v>
      </c>
      <c r="B9081" t="s">
        <v>14</v>
      </c>
      <c r="C9081" s="2">
        <v>44089</v>
      </c>
      <c r="D9081" t="s">
        <v>29</v>
      </c>
      <c r="E9081">
        <v>195</v>
      </c>
    </row>
    <row r="9082" spans="1:5" x14ac:dyDescent="0.55000000000000004">
      <c r="A9082" t="s">
        <v>9163</v>
      </c>
      <c r="B9082" t="s">
        <v>137</v>
      </c>
      <c r="C9082" s="2">
        <v>45048</v>
      </c>
      <c r="D9082" t="s">
        <v>29</v>
      </c>
      <c r="E9082">
        <v>409</v>
      </c>
    </row>
    <row r="9083" spans="1:5" x14ac:dyDescent="0.55000000000000004">
      <c r="A9083" t="s">
        <v>9164</v>
      </c>
      <c r="B9083" t="s">
        <v>156</v>
      </c>
      <c r="C9083" s="2">
        <v>44269</v>
      </c>
      <c r="D9083" t="s">
        <v>29</v>
      </c>
      <c r="E9083">
        <v>2156</v>
      </c>
    </row>
    <row r="9084" spans="1:5" x14ac:dyDescent="0.55000000000000004">
      <c r="A9084" t="s">
        <v>9165</v>
      </c>
      <c r="B9084" t="s">
        <v>151</v>
      </c>
      <c r="C9084" s="2">
        <v>43058</v>
      </c>
      <c r="D9084" t="s">
        <v>26</v>
      </c>
      <c r="E9084">
        <v>810</v>
      </c>
    </row>
    <row r="9085" spans="1:5" x14ac:dyDescent="0.55000000000000004">
      <c r="A9085" t="s">
        <v>9166</v>
      </c>
      <c r="B9085" t="s">
        <v>115</v>
      </c>
      <c r="C9085" s="2">
        <v>43454</v>
      </c>
      <c r="D9085" t="s">
        <v>29</v>
      </c>
      <c r="E9085">
        <v>1596</v>
      </c>
    </row>
    <row r="9086" spans="1:5" x14ac:dyDescent="0.55000000000000004">
      <c r="A9086" t="s">
        <v>9167</v>
      </c>
      <c r="B9086" t="s">
        <v>84</v>
      </c>
      <c r="C9086" s="2">
        <v>43561</v>
      </c>
      <c r="D9086" t="s">
        <v>29</v>
      </c>
      <c r="E9086">
        <v>512</v>
      </c>
    </row>
    <row r="9087" spans="1:5" x14ac:dyDescent="0.55000000000000004">
      <c r="A9087" t="s">
        <v>9168</v>
      </c>
      <c r="B9087" t="s">
        <v>118</v>
      </c>
      <c r="C9087" s="2">
        <v>44090</v>
      </c>
      <c r="D9087" t="s">
        <v>29</v>
      </c>
      <c r="E9087">
        <v>1343</v>
      </c>
    </row>
    <row r="9088" spans="1:5" x14ac:dyDescent="0.55000000000000004">
      <c r="A9088" t="s">
        <v>9169</v>
      </c>
      <c r="B9088" t="s">
        <v>38</v>
      </c>
      <c r="C9088" s="2">
        <v>44798</v>
      </c>
      <c r="D9088" t="s">
        <v>29</v>
      </c>
      <c r="E9088">
        <v>223</v>
      </c>
    </row>
    <row r="9089" spans="1:5" x14ac:dyDescent="0.55000000000000004">
      <c r="A9089" t="s">
        <v>9170</v>
      </c>
      <c r="B9089" t="s">
        <v>15</v>
      </c>
      <c r="C9089" s="2">
        <v>44403</v>
      </c>
      <c r="D9089" t="s">
        <v>29</v>
      </c>
      <c r="E9089">
        <v>111</v>
      </c>
    </row>
    <row r="9090" spans="1:5" x14ac:dyDescent="0.55000000000000004">
      <c r="A9090" t="s">
        <v>9171</v>
      </c>
      <c r="B9090" t="s">
        <v>63</v>
      </c>
      <c r="C9090" s="2">
        <v>43356</v>
      </c>
      <c r="D9090" t="s">
        <v>29</v>
      </c>
      <c r="E9090">
        <v>1087</v>
      </c>
    </row>
    <row r="9091" spans="1:5" x14ac:dyDescent="0.55000000000000004">
      <c r="A9091" t="s">
        <v>9172</v>
      </c>
      <c r="B9091" t="s">
        <v>84</v>
      </c>
      <c r="C9091" s="2">
        <v>44183</v>
      </c>
      <c r="D9091" t="s">
        <v>29</v>
      </c>
      <c r="E9091">
        <v>15</v>
      </c>
    </row>
    <row r="9092" spans="1:5" x14ac:dyDescent="0.55000000000000004">
      <c r="A9092" t="s">
        <v>9173</v>
      </c>
      <c r="B9092" t="s">
        <v>32</v>
      </c>
      <c r="C9092" s="2">
        <v>44301</v>
      </c>
      <c r="D9092" t="s">
        <v>26</v>
      </c>
      <c r="E9092">
        <v>2492</v>
      </c>
    </row>
    <row r="9093" spans="1:5" x14ac:dyDescent="0.55000000000000004">
      <c r="A9093" t="s">
        <v>9174</v>
      </c>
      <c r="B9093" t="s">
        <v>115</v>
      </c>
      <c r="C9093" s="2">
        <v>44367</v>
      </c>
      <c r="D9093" t="s">
        <v>26</v>
      </c>
      <c r="E9093">
        <v>1610</v>
      </c>
    </row>
    <row r="9094" spans="1:5" x14ac:dyDescent="0.55000000000000004">
      <c r="A9094" t="s">
        <v>9175</v>
      </c>
      <c r="B9094" t="s">
        <v>78</v>
      </c>
      <c r="C9094" s="2">
        <v>44649</v>
      </c>
      <c r="D9094" t="s">
        <v>26</v>
      </c>
      <c r="E9094">
        <v>761</v>
      </c>
    </row>
    <row r="9095" spans="1:5" x14ac:dyDescent="0.55000000000000004">
      <c r="A9095" t="s">
        <v>9176</v>
      </c>
      <c r="B9095" t="s">
        <v>175</v>
      </c>
      <c r="C9095" s="2">
        <v>45122</v>
      </c>
      <c r="D9095" t="s">
        <v>29</v>
      </c>
      <c r="E9095">
        <v>290</v>
      </c>
    </row>
    <row r="9096" spans="1:5" x14ac:dyDescent="0.55000000000000004">
      <c r="A9096" t="s">
        <v>9177</v>
      </c>
      <c r="B9096" t="s">
        <v>14</v>
      </c>
      <c r="C9096" s="2">
        <v>43706</v>
      </c>
      <c r="D9096" t="s">
        <v>26</v>
      </c>
      <c r="E9096">
        <v>918</v>
      </c>
    </row>
    <row r="9097" spans="1:5" x14ac:dyDescent="0.55000000000000004">
      <c r="A9097" t="s">
        <v>9178</v>
      </c>
      <c r="B9097" t="s">
        <v>105</v>
      </c>
      <c r="C9097" s="2">
        <v>43790</v>
      </c>
      <c r="D9097" t="s">
        <v>29</v>
      </c>
      <c r="E9097">
        <v>1436</v>
      </c>
    </row>
    <row r="9098" spans="1:5" x14ac:dyDescent="0.55000000000000004">
      <c r="A9098" t="s">
        <v>9179</v>
      </c>
      <c r="B9098" t="s">
        <v>63</v>
      </c>
      <c r="C9098" s="2">
        <v>43050</v>
      </c>
      <c r="D9098" t="s">
        <v>26</v>
      </c>
      <c r="E9098">
        <v>1424</v>
      </c>
    </row>
    <row r="9099" spans="1:5" x14ac:dyDescent="0.55000000000000004">
      <c r="A9099" t="s">
        <v>9180</v>
      </c>
      <c r="B9099" t="s">
        <v>96</v>
      </c>
      <c r="C9099" s="2">
        <v>45090</v>
      </c>
      <c r="D9099" t="s">
        <v>26</v>
      </c>
      <c r="E9099">
        <v>358</v>
      </c>
    </row>
    <row r="9100" spans="1:5" x14ac:dyDescent="0.55000000000000004">
      <c r="A9100" t="s">
        <v>9181</v>
      </c>
      <c r="B9100" t="s">
        <v>38</v>
      </c>
      <c r="C9100" s="2">
        <v>43905</v>
      </c>
      <c r="D9100" t="s">
        <v>26</v>
      </c>
      <c r="E9100">
        <v>109</v>
      </c>
    </row>
    <row r="9101" spans="1:5" x14ac:dyDescent="0.55000000000000004">
      <c r="A9101" t="s">
        <v>9182</v>
      </c>
      <c r="B9101" t="s">
        <v>99</v>
      </c>
      <c r="C9101" s="2">
        <v>45129</v>
      </c>
      <c r="D9101" t="s">
        <v>29</v>
      </c>
      <c r="E9101">
        <v>1209</v>
      </c>
    </row>
    <row r="9102" spans="1:5" x14ac:dyDescent="0.55000000000000004">
      <c r="A9102" t="s">
        <v>9183</v>
      </c>
      <c r="B9102" t="s">
        <v>140</v>
      </c>
      <c r="C9102" s="2">
        <v>44528</v>
      </c>
      <c r="D9102" t="s">
        <v>26</v>
      </c>
      <c r="E9102">
        <v>678</v>
      </c>
    </row>
    <row r="9103" spans="1:5" x14ac:dyDescent="0.55000000000000004">
      <c r="A9103" t="s">
        <v>9184</v>
      </c>
      <c r="B9103" t="s">
        <v>111</v>
      </c>
      <c r="C9103" s="2">
        <v>43379</v>
      </c>
      <c r="D9103" t="s">
        <v>29</v>
      </c>
      <c r="E9103">
        <v>153</v>
      </c>
    </row>
    <row r="9104" spans="1:5" x14ac:dyDescent="0.55000000000000004">
      <c r="A9104" t="s">
        <v>9185</v>
      </c>
      <c r="B9104" t="s">
        <v>101</v>
      </c>
      <c r="C9104" s="2">
        <v>43508</v>
      </c>
      <c r="D9104" t="s">
        <v>26</v>
      </c>
      <c r="E9104">
        <v>251</v>
      </c>
    </row>
    <row r="9105" spans="1:5" x14ac:dyDescent="0.55000000000000004">
      <c r="A9105" t="s">
        <v>9186</v>
      </c>
      <c r="B9105" t="s">
        <v>84</v>
      </c>
      <c r="C9105" s="2">
        <v>43819</v>
      </c>
      <c r="D9105" t="s">
        <v>29</v>
      </c>
      <c r="E9105">
        <v>2134</v>
      </c>
    </row>
    <row r="9106" spans="1:5" x14ac:dyDescent="0.55000000000000004">
      <c r="A9106" t="s">
        <v>9187</v>
      </c>
      <c r="B9106" t="s">
        <v>101</v>
      </c>
      <c r="C9106" s="2">
        <v>43867</v>
      </c>
      <c r="D9106" t="s">
        <v>29</v>
      </c>
      <c r="E9106">
        <v>2299</v>
      </c>
    </row>
    <row r="9107" spans="1:5" x14ac:dyDescent="0.55000000000000004">
      <c r="A9107" t="s">
        <v>9188</v>
      </c>
      <c r="B9107" t="s">
        <v>101</v>
      </c>
      <c r="C9107" s="2">
        <v>44503</v>
      </c>
      <c r="D9107" t="s">
        <v>29</v>
      </c>
      <c r="E9107">
        <v>2083</v>
      </c>
    </row>
    <row r="9108" spans="1:5" x14ac:dyDescent="0.55000000000000004">
      <c r="A9108" t="s">
        <v>9189</v>
      </c>
      <c r="B9108" t="s">
        <v>84</v>
      </c>
      <c r="C9108" s="2">
        <v>43975</v>
      </c>
      <c r="D9108" t="s">
        <v>26</v>
      </c>
      <c r="E9108">
        <v>1914</v>
      </c>
    </row>
    <row r="9109" spans="1:5" x14ac:dyDescent="0.55000000000000004">
      <c r="A9109" t="s">
        <v>9190</v>
      </c>
      <c r="B9109" t="s">
        <v>14</v>
      </c>
      <c r="C9109" s="2">
        <v>44247</v>
      </c>
      <c r="D9109" t="s">
        <v>26</v>
      </c>
      <c r="E9109">
        <v>1660</v>
      </c>
    </row>
    <row r="9110" spans="1:5" x14ac:dyDescent="0.55000000000000004">
      <c r="A9110" t="s">
        <v>9191</v>
      </c>
      <c r="B9110" t="s">
        <v>137</v>
      </c>
      <c r="C9110" s="2">
        <v>43902</v>
      </c>
      <c r="D9110" t="s">
        <v>26</v>
      </c>
      <c r="E9110">
        <v>219</v>
      </c>
    </row>
    <row r="9111" spans="1:5" x14ac:dyDescent="0.55000000000000004">
      <c r="A9111" t="s">
        <v>9192</v>
      </c>
      <c r="B9111" t="s">
        <v>94</v>
      </c>
      <c r="C9111" s="2">
        <v>45333</v>
      </c>
      <c r="D9111" t="s">
        <v>29</v>
      </c>
      <c r="E9111">
        <v>16</v>
      </c>
    </row>
    <row r="9112" spans="1:5" x14ac:dyDescent="0.55000000000000004">
      <c r="A9112" t="s">
        <v>9193</v>
      </c>
      <c r="B9112" t="s">
        <v>118</v>
      </c>
      <c r="C9112" s="2">
        <v>43760</v>
      </c>
      <c r="D9112" t="s">
        <v>29</v>
      </c>
      <c r="E9112">
        <v>1991</v>
      </c>
    </row>
    <row r="9113" spans="1:5" x14ac:dyDescent="0.55000000000000004">
      <c r="A9113" t="s">
        <v>9194</v>
      </c>
      <c r="B9113" t="s">
        <v>118</v>
      </c>
      <c r="C9113" s="2">
        <v>44374</v>
      </c>
      <c r="D9113" t="s">
        <v>29</v>
      </c>
      <c r="E9113">
        <v>1282</v>
      </c>
    </row>
    <row r="9114" spans="1:5" x14ac:dyDescent="0.55000000000000004">
      <c r="A9114" t="s">
        <v>9195</v>
      </c>
      <c r="B9114" t="s">
        <v>23</v>
      </c>
      <c r="C9114" s="2">
        <v>44465</v>
      </c>
      <c r="D9114" t="s">
        <v>26</v>
      </c>
      <c r="E9114">
        <v>827</v>
      </c>
    </row>
    <row r="9115" spans="1:5" x14ac:dyDescent="0.55000000000000004">
      <c r="A9115" t="s">
        <v>9196</v>
      </c>
      <c r="B9115" t="s">
        <v>175</v>
      </c>
      <c r="C9115" s="2">
        <v>43617</v>
      </c>
      <c r="D9115" t="s">
        <v>29</v>
      </c>
      <c r="E9115">
        <v>2161</v>
      </c>
    </row>
    <row r="9116" spans="1:5" x14ac:dyDescent="0.55000000000000004">
      <c r="A9116" t="s">
        <v>9197</v>
      </c>
      <c r="B9116" t="s">
        <v>115</v>
      </c>
      <c r="C9116" s="2">
        <v>43143</v>
      </c>
      <c r="D9116" t="s">
        <v>26</v>
      </c>
      <c r="E9116">
        <v>1811</v>
      </c>
    </row>
    <row r="9117" spans="1:5" x14ac:dyDescent="0.55000000000000004">
      <c r="A9117" t="s">
        <v>9198</v>
      </c>
      <c r="B9117" t="s">
        <v>115</v>
      </c>
      <c r="C9117" s="2">
        <v>44092</v>
      </c>
      <c r="D9117" t="s">
        <v>29</v>
      </c>
      <c r="E9117">
        <v>213</v>
      </c>
    </row>
    <row r="9118" spans="1:5" x14ac:dyDescent="0.55000000000000004">
      <c r="A9118" t="s">
        <v>9199</v>
      </c>
      <c r="B9118" t="s">
        <v>142</v>
      </c>
      <c r="C9118" s="2">
        <v>43486</v>
      </c>
      <c r="D9118" t="s">
        <v>26</v>
      </c>
      <c r="E9118">
        <v>697</v>
      </c>
    </row>
    <row r="9119" spans="1:5" x14ac:dyDescent="0.55000000000000004">
      <c r="A9119" t="s">
        <v>9200</v>
      </c>
      <c r="B9119" t="s">
        <v>74</v>
      </c>
      <c r="C9119" s="2">
        <v>43465</v>
      </c>
      <c r="D9119" t="s">
        <v>29</v>
      </c>
      <c r="E9119">
        <v>1203</v>
      </c>
    </row>
    <row r="9120" spans="1:5" x14ac:dyDescent="0.55000000000000004">
      <c r="A9120" t="s">
        <v>9201</v>
      </c>
      <c r="B9120" t="s">
        <v>74</v>
      </c>
      <c r="C9120" s="2">
        <v>43647</v>
      </c>
      <c r="D9120" t="s">
        <v>29</v>
      </c>
      <c r="E9120">
        <v>2424</v>
      </c>
    </row>
    <row r="9121" spans="1:5" x14ac:dyDescent="0.55000000000000004">
      <c r="A9121" t="s">
        <v>9202</v>
      </c>
      <c r="B9121" t="s">
        <v>140</v>
      </c>
      <c r="C9121" s="2">
        <v>43833</v>
      </c>
      <c r="D9121" t="s">
        <v>29</v>
      </c>
      <c r="E9121">
        <v>931</v>
      </c>
    </row>
    <row r="9122" spans="1:5" x14ac:dyDescent="0.55000000000000004">
      <c r="A9122" t="s">
        <v>9203</v>
      </c>
      <c r="B9122" t="s">
        <v>63</v>
      </c>
      <c r="C9122" s="2">
        <v>43394</v>
      </c>
      <c r="D9122" t="s">
        <v>29</v>
      </c>
      <c r="E9122">
        <v>2718</v>
      </c>
    </row>
    <row r="9123" spans="1:5" x14ac:dyDescent="0.55000000000000004">
      <c r="A9123" t="s">
        <v>9204</v>
      </c>
      <c r="B9123" t="s">
        <v>23</v>
      </c>
      <c r="C9123" s="2">
        <v>44664</v>
      </c>
      <c r="D9123" t="s">
        <v>29</v>
      </c>
      <c r="E9123">
        <v>1532</v>
      </c>
    </row>
    <row r="9124" spans="1:5" x14ac:dyDescent="0.55000000000000004">
      <c r="A9124" t="s">
        <v>9205</v>
      </c>
      <c r="B9124" t="s">
        <v>105</v>
      </c>
      <c r="C9124" s="2">
        <v>43385</v>
      </c>
      <c r="D9124" t="s">
        <v>26</v>
      </c>
      <c r="E9124">
        <v>1966</v>
      </c>
    </row>
    <row r="9125" spans="1:5" x14ac:dyDescent="0.55000000000000004">
      <c r="A9125" t="s">
        <v>9206</v>
      </c>
      <c r="B9125" t="s">
        <v>118</v>
      </c>
      <c r="C9125" s="2">
        <v>43574</v>
      </c>
      <c r="D9125" t="s">
        <v>26</v>
      </c>
      <c r="E9125">
        <v>2977</v>
      </c>
    </row>
    <row r="9126" spans="1:5" x14ac:dyDescent="0.55000000000000004">
      <c r="A9126" t="s">
        <v>9207</v>
      </c>
      <c r="B9126" t="s">
        <v>63</v>
      </c>
      <c r="C9126" s="2">
        <v>43654</v>
      </c>
      <c r="D9126" t="s">
        <v>26</v>
      </c>
      <c r="E9126">
        <v>5</v>
      </c>
    </row>
    <row r="9127" spans="1:5" x14ac:dyDescent="0.55000000000000004">
      <c r="A9127" t="s">
        <v>9208</v>
      </c>
      <c r="B9127" t="s">
        <v>94</v>
      </c>
      <c r="C9127" s="2">
        <v>43692</v>
      </c>
      <c r="D9127" t="s">
        <v>29</v>
      </c>
      <c r="E9127">
        <v>2528</v>
      </c>
    </row>
    <row r="9128" spans="1:5" x14ac:dyDescent="0.55000000000000004">
      <c r="A9128" t="s">
        <v>9209</v>
      </c>
      <c r="B9128" t="s">
        <v>41</v>
      </c>
      <c r="C9128" s="2">
        <v>44199</v>
      </c>
      <c r="D9128" t="s">
        <v>29</v>
      </c>
      <c r="E9128">
        <v>2566</v>
      </c>
    </row>
    <row r="9129" spans="1:5" x14ac:dyDescent="0.55000000000000004">
      <c r="A9129" t="s">
        <v>9210</v>
      </c>
      <c r="B9129" t="s">
        <v>101</v>
      </c>
      <c r="C9129" s="2">
        <v>43629</v>
      </c>
      <c r="D9129" t="s">
        <v>26</v>
      </c>
      <c r="E9129">
        <v>2946</v>
      </c>
    </row>
    <row r="9130" spans="1:5" x14ac:dyDescent="0.55000000000000004">
      <c r="A9130" t="s">
        <v>9211</v>
      </c>
      <c r="B9130" t="s">
        <v>101</v>
      </c>
      <c r="C9130" s="2">
        <v>44386</v>
      </c>
      <c r="D9130" t="s">
        <v>26</v>
      </c>
      <c r="E9130">
        <v>2512</v>
      </c>
    </row>
    <row r="9131" spans="1:5" x14ac:dyDescent="0.55000000000000004">
      <c r="A9131" t="s">
        <v>9212</v>
      </c>
      <c r="B9131" t="s">
        <v>96</v>
      </c>
      <c r="C9131" s="2">
        <v>45335</v>
      </c>
      <c r="D9131" t="s">
        <v>26</v>
      </c>
      <c r="E9131">
        <v>425</v>
      </c>
    </row>
    <row r="9132" spans="1:5" x14ac:dyDescent="0.55000000000000004">
      <c r="A9132" t="s">
        <v>9213</v>
      </c>
      <c r="B9132" t="s">
        <v>15</v>
      </c>
      <c r="C9132" s="2">
        <v>43360</v>
      </c>
      <c r="D9132" t="s">
        <v>29</v>
      </c>
      <c r="E9132">
        <v>1751</v>
      </c>
    </row>
    <row r="9133" spans="1:5" x14ac:dyDescent="0.55000000000000004">
      <c r="A9133" t="s">
        <v>9214</v>
      </c>
      <c r="B9133" t="s">
        <v>41</v>
      </c>
      <c r="C9133" s="2">
        <v>44147</v>
      </c>
      <c r="D9133" t="s">
        <v>29</v>
      </c>
      <c r="E9133">
        <v>2074</v>
      </c>
    </row>
    <row r="9134" spans="1:5" x14ac:dyDescent="0.55000000000000004">
      <c r="A9134" t="s">
        <v>9215</v>
      </c>
      <c r="B9134" t="s">
        <v>96</v>
      </c>
      <c r="C9134" s="2">
        <v>44089</v>
      </c>
      <c r="D9134" t="s">
        <v>26</v>
      </c>
      <c r="E9134">
        <v>2294</v>
      </c>
    </row>
    <row r="9135" spans="1:5" x14ac:dyDescent="0.55000000000000004">
      <c r="A9135" t="s">
        <v>9216</v>
      </c>
      <c r="B9135" t="s">
        <v>175</v>
      </c>
      <c r="C9135" s="2">
        <v>44895</v>
      </c>
      <c r="D9135" t="s">
        <v>29</v>
      </c>
      <c r="E9135">
        <v>1349</v>
      </c>
    </row>
    <row r="9136" spans="1:5" x14ac:dyDescent="0.55000000000000004">
      <c r="A9136" t="s">
        <v>9217</v>
      </c>
      <c r="B9136" t="s">
        <v>38</v>
      </c>
      <c r="C9136" s="2">
        <v>44329</v>
      </c>
      <c r="D9136" t="s">
        <v>26</v>
      </c>
      <c r="E9136">
        <v>1962</v>
      </c>
    </row>
    <row r="9137" spans="1:5" x14ac:dyDescent="0.55000000000000004">
      <c r="A9137" t="s">
        <v>9218</v>
      </c>
      <c r="B9137" t="s">
        <v>38</v>
      </c>
      <c r="C9137" s="2">
        <v>44625</v>
      </c>
      <c r="D9137" t="s">
        <v>29</v>
      </c>
      <c r="E9137">
        <v>2718</v>
      </c>
    </row>
    <row r="9138" spans="1:5" x14ac:dyDescent="0.55000000000000004">
      <c r="A9138" t="s">
        <v>9219</v>
      </c>
      <c r="B9138" t="s">
        <v>74</v>
      </c>
      <c r="C9138" s="2">
        <v>43451</v>
      </c>
      <c r="D9138" t="s">
        <v>26</v>
      </c>
      <c r="E9138">
        <v>988</v>
      </c>
    </row>
    <row r="9139" spans="1:5" x14ac:dyDescent="0.55000000000000004">
      <c r="A9139" t="s">
        <v>9220</v>
      </c>
      <c r="B9139" t="s">
        <v>84</v>
      </c>
      <c r="C9139" s="2">
        <v>44097</v>
      </c>
      <c r="D9139" t="s">
        <v>26</v>
      </c>
      <c r="E9139">
        <v>509</v>
      </c>
    </row>
    <row r="9140" spans="1:5" x14ac:dyDescent="0.55000000000000004">
      <c r="A9140" t="s">
        <v>9221</v>
      </c>
      <c r="B9140" t="s">
        <v>94</v>
      </c>
      <c r="C9140" s="2">
        <v>45438</v>
      </c>
      <c r="D9140" t="s">
        <v>29</v>
      </c>
      <c r="E9140">
        <v>1803</v>
      </c>
    </row>
    <row r="9141" spans="1:5" x14ac:dyDescent="0.55000000000000004">
      <c r="A9141" t="s">
        <v>9222</v>
      </c>
      <c r="B9141" t="s">
        <v>142</v>
      </c>
      <c r="C9141" s="2">
        <v>43798</v>
      </c>
      <c r="D9141" t="s">
        <v>26</v>
      </c>
      <c r="E9141">
        <v>1496</v>
      </c>
    </row>
    <row r="9142" spans="1:5" x14ac:dyDescent="0.55000000000000004">
      <c r="A9142" t="s">
        <v>9223</v>
      </c>
      <c r="B9142" t="s">
        <v>86</v>
      </c>
      <c r="C9142" s="2">
        <v>44062</v>
      </c>
      <c r="D9142" t="s">
        <v>26</v>
      </c>
      <c r="E9142">
        <v>1956</v>
      </c>
    </row>
    <row r="9143" spans="1:5" x14ac:dyDescent="0.55000000000000004">
      <c r="A9143" t="s">
        <v>9224</v>
      </c>
      <c r="B9143" t="s">
        <v>76</v>
      </c>
      <c r="C9143" s="2">
        <v>44403</v>
      </c>
      <c r="D9143" t="s">
        <v>29</v>
      </c>
      <c r="E9143">
        <v>1894</v>
      </c>
    </row>
    <row r="9144" spans="1:5" x14ac:dyDescent="0.55000000000000004">
      <c r="A9144" t="s">
        <v>9225</v>
      </c>
      <c r="B9144" t="s">
        <v>32</v>
      </c>
      <c r="C9144" s="2">
        <v>44087</v>
      </c>
      <c r="D9144" t="s">
        <v>26</v>
      </c>
      <c r="E9144">
        <v>2937</v>
      </c>
    </row>
    <row r="9145" spans="1:5" x14ac:dyDescent="0.55000000000000004">
      <c r="A9145" t="s">
        <v>9226</v>
      </c>
      <c r="B9145" t="s">
        <v>115</v>
      </c>
      <c r="C9145" s="2">
        <v>43712</v>
      </c>
      <c r="D9145" t="s">
        <v>26</v>
      </c>
      <c r="E9145">
        <v>1388</v>
      </c>
    </row>
    <row r="9146" spans="1:5" x14ac:dyDescent="0.55000000000000004">
      <c r="A9146" t="s">
        <v>9227</v>
      </c>
      <c r="B9146" t="s">
        <v>14</v>
      </c>
      <c r="C9146" s="2">
        <v>43722</v>
      </c>
      <c r="D9146" t="s">
        <v>26</v>
      </c>
      <c r="E9146">
        <v>1519</v>
      </c>
    </row>
    <row r="9147" spans="1:5" x14ac:dyDescent="0.55000000000000004">
      <c r="A9147" t="s">
        <v>9228</v>
      </c>
      <c r="B9147" t="s">
        <v>118</v>
      </c>
      <c r="C9147" s="2">
        <v>44543</v>
      </c>
      <c r="D9147" t="s">
        <v>29</v>
      </c>
      <c r="E9147">
        <v>1238</v>
      </c>
    </row>
    <row r="9148" spans="1:5" x14ac:dyDescent="0.55000000000000004">
      <c r="A9148" t="s">
        <v>9229</v>
      </c>
      <c r="B9148" t="s">
        <v>101</v>
      </c>
      <c r="C9148" s="2">
        <v>43344</v>
      </c>
      <c r="D9148" t="s">
        <v>29</v>
      </c>
      <c r="E9148">
        <v>63</v>
      </c>
    </row>
    <row r="9149" spans="1:5" x14ac:dyDescent="0.55000000000000004">
      <c r="A9149" t="s">
        <v>9230</v>
      </c>
      <c r="B9149" t="s">
        <v>115</v>
      </c>
      <c r="C9149" s="2">
        <v>43523</v>
      </c>
      <c r="D9149" t="s">
        <v>29</v>
      </c>
      <c r="E9149">
        <v>1477</v>
      </c>
    </row>
    <row r="9150" spans="1:5" x14ac:dyDescent="0.55000000000000004">
      <c r="A9150" t="s">
        <v>9231</v>
      </c>
      <c r="B9150" t="s">
        <v>96</v>
      </c>
      <c r="C9150" s="2">
        <v>43486</v>
      </c>
      <c r="D9150" t="s">
        <v>26</v>
      </c>
      <c r="E9150">
        <v>2454</v>
      </c>
    </row>
    <row r="9151" spans="1:5" x14ac:dyDescent="0.55000000000000004">
      <c r="A9151" t="s">
        <v>9232</v>
      </c>
      <c r="B9151" t="s">
        <v>41</v>
      </c>
      <c r="C9151" s="2">
        <v>44317</v>
      </c>
      <c r="D9151" t="s">
        <v>29</v>
      </c>
      <c r="E9151">
        <v>2709</v>
      </c>
    </row>
    <row r="9152" spans="1:5" x14ac:dyDescent="0.55000000000000004">
      <c r="A9152" t="s">
        <v>9233</v>
      </c>
      <c r="B9152" t="s">
        <v>72</v>
      </c>
      <c r="C9152" s="2">
        <v>43890</v>
      </c>
      <c r="D9152" t="s">
        <v>26</v>
      </c>
      <c r="E9152">
        <v>2966</v>
      </c>
    </row>
    <row r="9153" spans="1:5" x14ac:dyDescent="0.55000000000000004">
      <c r="A9153" t="s">
        <v>9234</v>
      </c>
      <c r="B9153" t="s">
        <v>99</v>
      </c>
      <c r="C9153" s="2">
        <v>45084</v>
      </c>
      <c r="D9153" t="s">
        <v>29</v>
      </c>
      <c r="E9153">
        <v>2388</v>
      </c>
    </row>
    <row r="9154" spans="1:5" x14ac:dyDescent="0.55000000000000004">
      <c r="A9154" t="s">
        <v>9235</v>
      </c>
      <c r="B9154" t="s">
        <v>72</v>
      </c>
      <c r="C9154" s="2">
        <v>43658</v>
      </c>
      <c r="D9154" t="s">
        <v>29</v>
      </c>
      <c r="E9154">
        <v>516</v>
      </c>
    </row>
    <row r="9155" spans="1:5" x14ac:dyDescent="0.55000000000000004">
      <c r="A9155" t="s">
        <v>9236</v>
      </c>
      <c r="B9155" t="s">
        <v>32</v>
      </c>
      <c r="C9155" s="2">
        <v>43943</v>
      </c>
      <c r="D9155" t="s">
        <v>29</v>
      </c>
      <c r="E9155">
        <v>97</v>
      </c>
    </row>
    <row r="9156" spans="1:5" x14ac:dyDescent="0.55000000000000004">
      <c r="A9156" t="s">
        <v>9237</v>
      </c>
      <c r="B9156" t="s">
        <v>32</v>
      </c>
      <c r="C9156" s="2">
        <v>44186</v>
      </c>
      <c r="D9156" t="s">
        <v>29</v>
      </c>
      <c r="E9156">
        <v>219</v>
      </c>
    </row>
    <row r="9157" spans="1:5" x14ac:dyDescent="0.55000000000000004">
      <c r="A9157" t="s">
        <v>9238</v>
      </c>
      <c r="B9157" t="s">
        <v>14</v>
      </c>
      <c r="C9157" s="2">
        <v>43015</v>
      </c>
      <c r="D9157" t="s">
        <v>26</v>
      </c>
      <c r="E9157">
        <v>455</v>
      </c>
    </row>
    <row r="9158" spans="1:5" x14ac:dyDescent="0.55000000000000004">
      <c r="A9158" t="s">
        <v>9239</v>
      </c>
      <c r="B9158" t="s">
        <v>38</v>
      </c>
      <c r="C9158" s="2">
        <v>43944</v>
      </c>
      <c r="D9158" t="s">
        <v>26</v>
      </c>
      <c r="E9158">
        <v>1338</v>
      </c>
    </row>
    <row r="9159" spans="1:5" x14ac:dyDescent="0.55000000000000004">
      <c r="A9159" t="s">
        <v>9240</v>
      </c>
      <c r="B9159" t="s">
        <v>140</v>
      </c>
      <c r="C9159" s="2">
        <v>43068</v>
      </c>
      <c r="D9159" t="s">
        <v>29</v>
      </c>
      <c r="E9159">
        <v>288</v>
      </c>
    </row>
    <row r="9160" spans="1:5" x14ac:dyDescent="0.55000000000000004">
      <c r="A9160" t="s">
        <v>9241</v>
      </c>
      <c r="B9160" t="s">
        <v>76</v>
      </c>
      <c r="C9160" s="2">
        <v>45348</v>
      </c>
      <c r="D9160" t="s">
        <v>26</v>
      </c>
      <c r="E9160">
        <v>2301</v>
      </c>
    </row>
    <row r="9161" spans="1:5" x14ac:dyDescent="0.55000000000000004">
      <c r="A9161" t="s">
        <v>9242</v>
      </c>
      <c r="B9161" t="s">
        <v>84</v>
      </c>
      <c r="C9161" s="2">
        <v>44530</v>
      </c>
      <c r="D9161" t="s">
        <v>29</v>
      </c>
      <c r="E9161">
        <v>2553</v>
      </c>
    </row>
    <row r="9162" spans="1:5" x14ac:dyDescent="0.55000000000000004">
      <c r="A9162" t="s">
        <v>9243</v>
      </c>
      <c r="B9162" t="s">
        <v>35</v>
      </c>
      <c r="C9162" s="2">
        <v>44884</v>
      </c>
      <c r="D9162" t="s">
        <v>26</v>
      </c>
      <c r="E9162">
        <v>570</v>
      </c>
    </row>
    <row r="9163" spans="1:5" x14ac:dyDescent="0.55000000000000004">
      <c r="A9163" t="s">
        <v>9244</v>
      </c>
      <c r="B9163" t="s">
        <v>74</v>
      </c>
      <c r="C9163" s="2">
        <v>43390</v>
      </c>
      <c r="D9163" t="s">
        <v>26</v>
      </c>
      <c r="E9163">
        <v>192</v>
      </c>
    </row>
    <row r="9164" spans="1:5" x14ac:dyDescent="0.55000000000000004">
      <c r="A9164" t="s">
        <v>9245</v>
      </c>
      <c r="B9164" t="s">
        <v>38</v>
      </c>
      <c r="C9164" s="2">
        <v>44879</v>
      </c>
      <c r="D9164" t="s">
        <v>26</v>
      </c>
      <c r="E9164">
        <v>2683</v>
      </c>
    </row>
    <row r="9165" spans="1:5" x14ac:dyDescent="0.55000000000000004">
      <c r="A9165" t="s">
        <v>9246</v>
      </c>
      <c r="B9165" t="s">
        <v>118</v>
      </c>
      <c r="C9165" s="2">
        <v>44257</v>
      </c>
      <c r="D9165" t="s">
        <v>29</v>
      </c>
      <c r="E9165">
        <v>2727</v>
      </c>
    </row>
    <row r="9166" spans="1:5" x14ac:dyDescent="0.55000000000000004">
      <c r="A9166" t="s">
        <v>9247</v>
      </c>
      <c r="B9166" t="s">
        <v>101</v>
      </c>
      <c r="C9166" s="2">
        <v>44090</v>
      </c>
      <c r="D9166" t="s">
        <v>26</v>
      </c>
      <c r="E9166">
        <v>2786</v>
      </c>
    </row>
    <row r="9167" spans="1:5" x14ac:dyDescent="0.55000000000000004">
      <c r="A9167" t="s">
        <v>9248</v>
      </c>
      <c r="B9167" t="s">
        <v>38</v>
      </c>
      <c r="C9167" s="2">
        <v>44660</v>
      </c>
      <c r="D9167" t="s">
        <v>29</v>
      </c>
      <c r="E9167">
        <v>523</v>
      </c>
    </row>
    <row r="9168" spans="1:5" x14ac:dyDescent="0.55000000000000004">
      <c r="A9168" t="s">
        <v>9249</v>
      </c>
      <c r="B9168" t="s">
        <v>151</v>
      </c>
      <c r="C9168" s="2">
        <v>44297</v>
      </c>
      <c r="D9168" t="s">
        <v>26</v>
      </c>
      <c r="E9168">
        <v>301</v>
      </c>
    </row>
    <row r="9169" spans="1:5" x14ac:dyDescent="0.55000000000000004">
      <c r="A9169" t="s">
        <v>9250</v>
      </c>
      <c r="B9169" t="s">
        <v>142</v>
      </c>
      <c r="C9169" s="2">
        <v>43457</v>
      </c>
      <c r="D9169" t="s">
        <v>29</v>
      </c>
      <c r="E9169">
        <v>2167</v>
      </c>
    </row>
    <row r="9170" spans="1:5" x14ac:dyDescent="0.55000000000000004">
      <c r="A9170" t="s">
        <v>9251</v>
      </c>
      <c r="B9170" t="s">
        <v>115</v>
      </c>
      <c r="C9170" s="2">
        <v>43928</v>
      </c>
      <c r="D9170" t="s">
        <v>29</v>
      </c>
      <c r="E9170">
        <v>2572</v>
      </c>
    </row>
    <row r="9171" spans="1:5" x14ac:dyDescent="0.55000000000000004">
      <c r="A9171" t="s">
        <v>9252</v>
      </c>
      <c r="B9171" t="s">
        <v>63</v>
      </c>
      <c r="C9171" s="2">
        <v>44203</v>
      </c>
      <c r="D9171" t="s">
        <v>29</v>
      </c>
      <c r="E9171">
        <v>1486</v>
      </c>
    </row>
    <row r="9172" spans="1:5" x14ac:dyDescent="0.55000000000000004">
      <c r="A9172" t="s">
        <v>9253</v>
      </c>
      <c r="B9172" t="s">
        <v>111</v>
      </c>
      <c r="C9172" s="2">
        <v>44401</v>
      </c>
      <c r="D9172" t="s">
        <v>29</v>
      </c>
      <c r="E9172">
        <v>287</v>
      </c>
    </row>
    <row r="9173" spans="1:5" x14ac:dyDescent="0.55000000000000004">
      <c r="A9173" t="s">
        <v>9254</v>
      </c>
      <c r="B9173" t="s">
        <v>32</v>
      </c>
      <c r="C9173" s="2">
        <v>44114</v>
      </c>
      <c r="D9173" t="s">
        <v>26</v>
      </c>
      <c r="E9173">
        <v>294</v>
      </c>
    </row>
    <row r="9174" spans="1:5" x14ac:dyDescent="0.55000000000000004">
      <c r="A9174" t="s">
        <v>9255</v>
      </c>
      <c r="B9174" t="s">
        <v>118</v>
      </c>
      <c r="C9174" s="2">
        <v>45638</v>
      </c>
      <c r="D9174" t="s">
        <v>26</v>
      </c>
      <c r="E9174">
        <v>572</v>
      </c>
    </row>
    <row r="9175" spans="1:5" x14ac:dyDescent="0.55000000000000004">
      <c r="A9175" t="s">
        <v>9256</v>
      </c>
      <c r="B9175" t="s">
        <v>14</v>
      </c>
      <c r="C9175" s="2">
        <v>43758</v>
      </c>
      <c r="D9175" t="s">
        <v>26</v>
      </c>
      <c r="E9175">
        <v>334</v>
      </c>
    </row>
    <row r="9176" spans="1:5" x14ac:dyDescent="0.55000000000000004">
      <c r="A9176" t="s">
        <v>9257</v>
      </c>
      <c r="B9176" t="s">
        <v>67</v>
      </c>
      <c r="C9176" s="2">
        <v>45094</v>
      </c>
      <c r="D9176" t="s">
        <v>29</v>
      </c>
      <c r="E9176">
        <v>497</v>
      </c>
    </row>
    <row r="9177" spans="1:5" x14ac:dyDescent="0.55000000000000004">
      <c r="A9177" t="s">
        <v>9258</v>
      </c>
      <c r="B9177" t="s">
        <v>96</v>
      </c>
      <c r="C9177" s="2">
        <v>45040</v>
      </c>
      <c r="D9177" t="s">
        <v>26</v>
      </c>
      <c r="E9177">
        <v>2613</v>
      </c>
    </row>
    <row r="9178" spans="1:5" x14ac:dyDescent="0.55000000000000004">
      <c r="A9178" t="s">
        <v>9259</v>
      </c>
      <c r="B9178" t="s">
        <v>35</v>
      </c>
      <c r="C9178" s="2">
        <v>44288</v>
      </c>
      <c r="D9178" t="s">
        <v>26</v>
      </c>
      <c r="E9178">
        <v>637</v>
      </c>
    </row>
    <row r="9179" spans="1:5" x14ac:dyDescent="0.55000000000000004">
      <c r="A9179" t="s">
        <v>9260</v>
      </c>
      <c r="B9179" t="s">
        <v>151</v>
      </c>
      <c r="C9179" s="2">
        <v>43763</v>
      </c>
      <c r="D9179" t="s">
        <v>29</v>
      </c>
      <c r="E9179">
        <v>476</v>
      </c>
    </row>
    <row r="9180" spans="1:5" x14ac:dyDescent="0.55000000000000004">
      <c r="A9180" t="s">
        <v>9261</v>
      </c>
      <c r="B9180" t="s">
        <v>41</v>
      </c>
      <c r="C9180" s="2">
        <v>44724</v>
      </c>
      <c r="D9180" t="s">
        <v>26</v>
      </c>
      <c r="E9180">
        <v>1734</v>
      </c>
    </row>
    <row r="9181" spans="1:5" x14ac:dyDescent="0.55000000000000004">
      <c r="A9181" t="s">
        <v>9262</v>
      </c>
      <c r="B9181" t="s">
        <v>67</v>
      </c>
      <c r="C9181" s="2">
        <v>44241</v>
      </c>
      <c r="D9181" t="s">
        <v>29</v>
      </c>
      <c r="E9181">
        <v>2562</v>
      </c>
    </row>
    <row r="9182" spans="1:5" x14ac:dyDescent="0.55000000000000004">
      <c r="A9182" t="s">
        <v>9263</v>
      </c>
      <c r="B9182" t="s">
        <v>32</v>
      </c>
      <c r="C9182" s="2">
        <v>43966</v>
      </c>
      <c r="D9182" t="s">
        <v>29</v>
      </c>
      <c r="E9182">
        <v>1894</v>
      </c>
    </row>
    <row r="9183" spans="1:5" x14ac:dyDescent="0.55000000000000004">
      <c r="A9183" t="s">
        <v>9264</v>
      </c>
      <c r="B9183" t="s">
        <v>140</v>
      </c>
      <c r="C9183" s="2">
        <v>43477</v>
      </c>
      <c r="D9183" t="s">
        <v>26</v>
      </c>
      <c r="E9183">
        <v>998</v>
      </c>
    </row>
    <row r="9184" spans="1:5" x14ac:dyDescent="0.55000000000000004">
      <c r="A9184" t="s">
        <v>9265</v>
      </c>
      <c r="B9184" t="s">
        <v>72</v>
      </c>
      <c r="C9184" s="2">
        <v>43378</v>
      </c>
      <c r="D9184" t="s">
        <v>26</v>
      </c>
      <c r="E9184">
        <v>2920</v>
      </c>
    </row>
    <row r="9185" spans="1:5" x14ac:dyDescent="0.55000000000000004">
      <c r="A9185" t="s">
        <v>9266</v>
      </c>
      <c r="B9185" t="s">
        <v>23</v>
      </c>
      <c r="C9185" s="2">
        <v>44298</v>
      </c>
      <c r="D9185" t="s">
        <v>26</v>
      </c>
      <c r="E9185">
        <v>1406</v>
      </c>
    </row>
    <row r="9186" spans="1:5" x14ac:dyDescent="0.55000000000000004">
      <c r="A9186" t="s">
        <v>9267</v>
      </c>
      <c r="B9186" t="s">
        <v>72</v>
      </c>
      <c r="C9186" s="2">
        <v>44531</v>
      </c>
      <c r="D9186" t="s">
        <v>26</v>
      </c>
      <c r="E9186">
        <v>2601</v>
      </c>
    </row>
    <row r="9187" spans="1:5" x14ac:dyDescent="0.55000000000000004">
      <c r="A9187" t="s">
        <v>9268</v>
      </c>
      <c r="B9187" t="s">
        <v>137</v>
      </c>
      <c r="C9187" s="2">
        <v>45113</v>
      </c>
      <c r="D9187" t="s">
        <v>29</v>
      </c>
      <c r="E9187">
        <v>416</v>
      </c>
    </row>
    <row r="9188" spans="1:5" x14ac:dyDescent="0.55000000000000004">
      <c r="A9188" t="s">
        <v>9269</v>
      </c>
      <c r="B9188" t="s">
        <v>105</v>
      </c>
      <c r="C9188" s="2">
        <v>43696</v>
      </c>
      <c r="D9188" t="s">
        <v>26</v>
      </c>
      <c r="E9188">
        <v>1888</v>
      </c>
    </row>
    <row r="9189" spans="1:5" x14ac:dyDescent="0.55000000000000004">
      <c r="A9189" t="s">
        <v>9270</v>
      </c>
      <c r="B9189" t="s">
        <v>23</v>
      </c>
      <c r="C9189" s="2">
        <v>44363</v>
      </c>
      <c r="D9189" t="s">
        <v>29</v>
      </c>
      <c r="E9189">
        <v>677</v>
      </c>
    </row>
    <row r="9190" spans="1:5" x14ac:dyDescent="0.55000000000000004">
      <c r="A9190" t="s">
        <v>9271</v>
      </c>
      <c r="B9190" t="s">
        <v>105</v>
      </c>
      <c r="C9190" s="2">
        <v>43558</v>
      </c>
      <c r="D9190" t="s">
        <v>26</v>
      </c>
      <c r="E9190">
        <v>2518</v>
      </c>
    </row>
    <row r="9191" spans="1:5" x14ac:dyDescent="0.55000000000000004">
      <c r="A9191" t="s">
        <v>9272</v>
      </c>
      <c r="B9191" t="s">
        <v>140</v>
      </c>
      <c r="C9191" s="2">
        <v>44476</v>
      </c>
      <c r="D9191" t="s">
        <v>29</v>
      </c>
      <c r="E9191">
        <v>1057</v>
      </c>
    </row>
    <row r="9192" spans="1:5" x14ac:dyDescent="0.55000000000000004">
      <c r="A9192" t="s">
        <v>9273</v>
      </c>
      <c r="B9192" t="s">
        <v>156</v>
      </c>
      <c r="C9192" s="2">
        <v>44317</v>
      </c>
      <c r="D9192" t="s">
        <v>29</v>
      </c>
      <c r="E9192">
        <v>1017</v>
      </c>
    </row>
    <row r="9193" spans="1:5" x14ac:dyDescent="0.55000000000000004">
      <c r="A9193" t="s">
        <v>9274</v>
      </c>
      <c r="B9193" t="s">
        <v>137</v>
      </c>
      <c r="C9193" s="2">
        <v>45224</v>
      </c>
      <c r="D9193" t="s">
        <v>29</v>
      </c>
      <c r="E9193">
        <v>2077</v>
      </c>
    </row>
    <row r="9194" spans="1:5" x14ac:dyDescent="0.55000000000000004">
      <c r="A9194" t="s">
        <v>9275</v>
      </c>
      <c r="B9194" t="s">
        <v>115</v>
      </c>
      <c r="C9194" s="2">
        <v>43154</v>
      </c>
      <c r="D9194" t="s">
        <v>26</v>
      </c>
      <c r="E9194">
        <v>1266</v>
      </c>
    </row>
    <row r="9195" spans="1:5" x14ac:dyDescent="0.55000000000000004">
      <c r="A9195" t="s">
        <v>9276</v>
      </c>
      <c r="B9195" t="s">
        <v>137</v>
      </c>
      <c r="C9195" s="2">
        <v>44377</v>
      </c>
      <c r="D9195" t="s">
        <v>26</v>
      </c>
      <c r="E9195">
        <v>189</v>
      </c>
    </row>
    <row r="9196" spans="1:5" x14ac:dyDescent="0.55000000000000004">
      <c r="A9196" t="s">
        <v>9277</v>
      </c>
      <c r="B9196" t="s">
        <v>140</v>
      </c>
      <c r="C9196" s="2">
        <v>43444</v>
      </c>
      <c r="D9196" t="s">
        <v>26</v>
      </c>
      <c r="E9196">
        <v>2478</v>
      </c>
    </row>
    <row r="9197" spans="1:5" x14ac:dyDescent="0.55000000000000004">
      <c r="A9197" t="s">
        <v>9278</v>
      </c>
      <c r="B9197" t="s">
        <v>41</v>
      </c>
      <c r="C9197" s="2">
        <v>44895</v>
      </c>
      <c r="D9197" t="s">
        <v>26</v>
      </c>
      <c r="E9197">
        <v>1312</v>
      </c>
    </row>
    <row r="9198" spans="1:5" x14ac:dyDescent="0.55000000000000004">
      <c r="A9198" t="s">
        <v>9279</v>
      </c>
      <c r="B9198" t="s">
        <v>99</v>
      </c>
      <c r="C9198" s="2">
        <v>45512</v>
      </c>
      <c r="D9198" t="s">
        <v>29</v>
      </c>
      <c r="E9198">
        <v>348</v>
      </c>
    </row>
    <row r="9199" spans="1:5" x14ac:dyDescent="0.55000000000000004">
      <c r="A9199" t="s">
        <v>9280</v>
      </c>
      <c r="B9199" t="s">
        <v>175</v>
      </c>
      <c r="C9199" s="2">
        <v>44833</v>
      </c>
      <c r="D9199" t="s">
        <v>29</v>
      </c>
      <c r="E9199">
        <v>2877</v>
      </c>
    </row>
    <row r="9200" spans="1:5" x14ac:dyDescent="0.55000000000000004">
      <c r="A9200" t="s">
        <v>9281</v>
      </c>
      <c r="B9200" t="s">
        <v>86</v>
      </c>
      <c r="C9200" s="2">
        <v>44133</v>
      </c>
      <c r="D9200" t="s">
        <v>26</v>
      </c>
      <c r="E9200">
        <v>2622</v>
      </c>
    </row>
    <row r="9201" spans="1:5" x14ac:dyDescent="0.55000000000000004">
      <c r="A9201" t="s">
        <v>9282</v>
      </c>
      <c r="B9201" t="s">
        <v>101</v>
      </c>
      <c r="C9201" s="2">
        <v>44347</v>
      </c>
      <c r="D9201" t="s">
        <v>26</v>
      </c>
      <c r="E9201">
        <v>1972</v>
      </c>
    </row>
    <row r="9202" spans="1:5" x14ac:dyDescent="0.55000000000000004">
      <c r="A9202" t="s">
        <v>9283</v>
      </c>
      <c r="B9202" t="s">
        <v>67</v>
      </c>
      <c r="C9202" s="2">
        <v>45427</v>
      </c>
      <c r="D9202" t="s">
        <v>26</v>
      </c>
      <c r="E9202">
        <v>703</v>
      </c>
    </row>
    <row r="9203" spans="1:5" x14ac:dyDescent="0.55000000000000004">
      <c r="A9203" t="s">
        <v>9284</v>
      </c>
      <c r="B9203" t="s">
        <v>86</v>
      </c>
      <c r="C9203" s="2">
        <v>44098</v>
      </c>
      <c r="D9203" t="s">
        <v>26</v>
      </c>
      <c r="E9203">
        <v>2818</v>
      </c>
    </row>
    <row r="9204" spans="1:5" x14ac:dyDescent="0.55000000000000004">
      <c r="A9204" t="s">
        <v>9285</v>
      </c>
      <c r="B9204" t="s">
        <v>72</v>
      </c>
      <c r="C9204" s="2">
        <v>42949</v>
      </c>
      <c r="D9204" t="s">
        <v>29</v>
      </c>
      <c r="E9204">
        <v>1598</v>
      </c>
    </row>
    <row r="9205" spans="1:5" x14ac:dyDescent="0.55000000000000004">
      <c r="A9205" t="s">
        <v>9286</v>
      </c>
      <c r="B9205" t="s">
        <v>63</v>
      </c>
      <c r="C9205" s="2">
        <v>43875</v>
      </c>
      <c r="D9205" t="s">
        <v>26</v>
      </c>
      <c r="E9205">
        <v>476</v>
      </c>
    </row>
    <row r="9206" spans="1:5" x14ac:dyDescent="0.55000000000000004">
      <c r="A9206" t="s">
        <v>9287</v>
      </c>
      <c r="B9206" t="s">
        <v>140</v>
      </c>
      <c r="C9206" s="2">
        <v>43282</v>
      </c>
      <c r="D9206" t="s">
        <v>29</v>
      </c>
      <c r="E9206">
        <v>1619</v>
      </c>
    </row>
    <row r="9207" spans="1:5" x14ac:dyDescent="0.55000000000000004">
      <c r="A9207" t="s">
        <v>9288</v>
      </c>
      <c r="B9207" t="s">
        <v>78</v>
      </c>
      <c r="C9207" s="2">
        <v>43558</v>
      </c>
      <c r="D9207" t="s">
        <v>26</v>
      </c>
      <c r="E9207">
        <v>597</v>
      </c>
    </row>
    <row r="9208" spans="1:5" x14ac:dyDescent="0.55000000000000004">
      <c r="A9208" t="s">
        <v>9289</v>
      </c>
      <c r="B9208" t="s">
        <v>151</v>
      </c>
      <c r="C9208" s="2">
        <v>43580</v>
      </c>
      <c r="D9208" t="s">
        <v>29</v>
      </c>
      <c r="E9208">
        <v>296</v>
      </c>
    </row>
    <row r="9209" spans="1:5" x14ac:dyDescent="0.55000000000000004">
      <c r="A9209" t="s">
        <v>9290</v>
      </c>
      <c r="B9209" t="s">
        <v>99</v>
      </c>
      <c r="C9209" s="2">
        <v>43493</v>
      </c>
      <c r="D9209" t="s">
        <v>26</v>
      </c>
      <c r="E9209">
        <v>2549</v>
      </c>
    </row>
    <row r="9210" spans="1:5" x14ac:dyDescent="0.55000000000000004">
      <c r="A9210" t="s">
        <v>9291</v>
      </c>
      <c r="B9210" t="s">
        <v>111</v>
      </c>
      <c r="C9210" s="2">
        <v>43622</v>
      </c>
      <c r="D9210" t="s">
        <v>29</v>
      </c>
      <c r="E9210">
        <v>1918</v>
      </c>
    </row>
    <row r="9211" spans="1:5" x14ac:dyDescent="0.55000000000000004">
      <c r="A9211" t="s">
        <v>9292</v>
      </c>
      <c r="B9211" t="s">
        <v>118</v>
      </c>
      <c r="C9211" s="2">
        <v>44397</v>
      </c>
      <c r="D9211" t="s">
        <v>29</v>
      </c>
      <c r="E9211">
        <v>2339</v>
      </c>
    </row>
    <row r="9212" spans="1:5" x14ac:dyDescent="0.55000000000000004">
      <c r="A9212" t="s">
        <v>9293</v>
      </c>
      <c r="B9212" t="s">
        <v>151</v>
      </c>
      <c r="C9212" s="2">
        <v>44149</v>
      </c>
      <c r="D9212" t="s">
        <v>29</v>
      </c>
      <c r="E9212">
        <v>2002</v>
      </c>
    </row>
    <row r="9213" spans="1:5" x14ac:dyDescent="0.55000000000000004">
      <c r="A9213" t="s">
        <v>9294</v>
      </c>
      <c r="B9213" t="s">
        <v>76</v>
      </c>
      <c r="C9213" s="2">
        <v>45837</v>
      </c>
      <c r="D9213" t="s">
        <v>29</v>
      </c>
      <c r="E9213">
        <v>1418</v>
      </c>
    </row>
    <row r="9214" spans="1:5" x14ac:dyDescent="0.55000000000000004">
      <c r="A9214" t="s">
        <v>9295</v>
      </c>
      <c r="B9214" t="s">
        <v>74</v>
      </c>
      <c r="C9214" s="2">
        <v>44072</v>
      </c>
      <c r="D9214" t="s">
        <v>26</v>
      </c>
      <c r="E9214">
        <v>1043</v>
      </c>
    </row>
    <row r="9215" spans="1:5" x14ac:dyDescent="0.55000000000000004">
      <c r="A9215" t="s">
        <v>9296</v>
      </c>
      <c r="B9215" t="s">
        <v>78</v>
      </c>
      <c r="C9215" s="2">
        <v>45315</v>
      </c>
      <c r="D9215" t="s">
        <v>29</v>
      </c>
      <c r="E9215">
        <v>2794</v>
      </c>
    </row>
    <row r="9216" spans="1:5" x14ac:dyDescent="0.55000000000000004">
      <c r="A9216" t="s">
        <v>9297</v>
      </c>
      <c r="B9216" t="s">
        <v>74</v>
      </c>
      <c r="C9216" s="2">
        <v>43067</v>
      </c>
      <c r="D9216" t="s">
        <v>26</v>
      </c>
      <c r="E9216">
        <v>1963</v>
      </c>
    </row>
    <row r="9217" spans="1:5" x14ac:dyDescent="0.55000000000000004">
      <c r="A9217" t="s">
        <v>9298</v>
      </c>
      <c r="B9217" t="s">
        <v>38</v>
      </c>
      <c r="C9217" s="2">
        <v>44274</v>
      </c>
      <c r="D9217" t="s">
        <v>29</v>
      </c>
      <c r="E9217">
        <v>1867</v>
      </c>
    </row>
    <row r="9218" spans="1:5" x14ac:dyDescent="0.55000000000000004">
      <c r="A9218" t="s">
        <v>9299</v>
      </c>
      <c r="B9218" t="s">
        <v>14</v>
      </c>
      <c r="C9218" s="2">
        <v>43364</v>
      </c>
      <c r="D9218" t="s">
        <v>29</v>
      </c>
      <c r="E9218">
        <v>607</v>
      </c>
    </row>
    <row r="9219" spans="1:5" x14ac:dyDescent="0.55000000000000004">
      <c r="A9219" t="s">
        <v>9300</v>
      </c>
      <c r="B9219" t="s">
        <v>86</v>
      </c>
      <c r="C9219" s="2">
        <v>43721</v>
      </c>
      <c r="D9219" t="s">
        <v>29</v>
      </c>
      <c r="E9219">
        <v>1765</v>
      </c>
    </row>
    <row r="9220" spans="1:5" x14ac:dyDescent="0.55000000000000004">
      <c r="A9220" t="s">
        <v>9301</v>
      </c>
      <c r="B9220" t="s">
        <v>115</v>
      </c>
      <c r="C9220" s="2">
        <v>43128</v>
      </c>
      <c r="D9220" t="s">
        <v>26</v>
      </c>
      <c r="E9220">
        <v>1494</v>
      </c>
    </row>
    <row r="9221" spans="1:5" x14ac:dyDescent="0.55000000000000004">
      <c r="A9221" t="s">
        <v>9302</v>
      </c>
      <c r="B9221" t="s">
        <v>99</v>
      </c>
      <c r="C9221" s="2">
        <v>44660</v>
      </c>
      <c r="D9221" t="s">
        <v>26</v>
      </c>
      <c r="E9221">
        <v>840</v>
      </c>
    </row>
    <row r="9222" spans="1:5" x14ac:dyDescent="0.55000000000000004">
      <c r="A9222" t="s">
        <v>9303</v>
      </c>
      <c r="B9222" t="s">
        <v>151</v>
      </c>
      <c r="C9222" s="2">
        <v>42979</v>
      </c>
      <c r="D9222" t="s">
        <v>26</v>
      </c>
      <c r="E9222">
        <v>2224</v>
      </c>
    </row>
    <row r="9223" spans="1:5" x14ac:dyDescent="0.55000000000000004">
      <c r="A9223" t="s">
        <v>9304</v>
      </c>
      <c r="B9223" t="s">
        <v>142</v>
      </c>
      <c r="C9223" s="2">
        <v>43657</v>
      </c>
      <c r="D9223" t="s">
        <v>29</v>
      </c>
      <c r="E9223">
        <v>1020</v>
      </c>
    </row>
    <row r="9224" spans="1:5" x14ac:dyDescent="0.55000000000000004">
      <c r="A9224" t="s">
        <v>9305</v>
      </c>
      <c r="B9224" t="s">
        <v>142</v>
      </c>
      <c r="C9224" s="2">
        <v>44438</v>
      </c>
      <c r="D9224" t="s">
        <v>26</v>
      </c>
      <c r="E9224">
        <v>2367</v>
      </c>
    </row>
    <row r="9225" spans="1:5" x14ac:dyDescent="0.55000000000000004">
      <c r="A9225" t="s">
        <v>9306</v>
      </c>
      <c r="B9225" t="s">
        <v>105</v>
      </c>
      <c r="C9225" s="2">
        <v>44203</v>
      </c>
      <c r="D9225" t="s">
        <v>29</v>
      </c>
      <c r="E9225">
        <v>2611</v>
      </c>
    </row>
    <row r="9226" spans="1:5" x14ac:dyDescent="0.55000000000000004">
      <c r="A9226" t="s">
        <v>9307</v>
      </c>
      <c r="B9226" t="s">
        <v>99</v>
      </c>
      <c r="C9226" s="2">
        <v>44036</v>
      </c>
      <c r="D9226" t="s">
        <v>29</v>
      </c>
      <c r="E9226">
        <v>914</v>
      </c>
    </row>
    <row r="9227" spans="1:5" x14ac:dyDescent="0.55000000000000004">
      <c r="A9227" t="s">
        <v>9308</v>
      </c>
      <c r="B9227" t="s">
        <v>175</v>
      </c>
      <c r="C9227" s="2">
        <v>44167</v>
      </c>
      <c r="D9227" t="s">
        <v>26</v>
      </c>
      <c r="E9227">
        <v>161</v>
      </c>
    </row>
    <row r="9228" spans="1:5" x14ac:dyDescent="0.55000000000000004">
      <c r="A9228" t="s">
        <v>9309</v>
      </c>
      <c r="B9228" t="s">
        <v>94</v>
      </c>
      <c r="C9228" s="2">
        <v>45398</v>
      </c>
      <c r="D9228" t="s">
        <v>26</v>
      </c>
      <c r="E9228">
        <v>340</v>
      </c>
    </row>
    <row r="9229" spans="1:5" x14ac:dyDescent="0.55000000000000004">
      <c r="A9229" t="s">
        <v>9310</v>
      </c>
      <c r="B9229" t="s">
        <v>105</v>
      </c>
      <c r="C9229" s="2">
        <v>44220</v>
      </c>
      <c r="D9229" t="s">
        <v>29</v>
      </c>
      <c r="E9229">
        <v>940</v>
      </c>
    </row>
    <row r="9230" spans="1:5" x14ac:dyDescent="0.55000000000000004">
      <c r="A9230" t="s">
        <v>9311</v>
      </c>
      <c r="B9230" t="s">
        <v>41</v>
      </c>
      <c r="C9230" s="2">
        <v>44705</v>
      </c>
      <c r="D9230" t="s">
        <v>29</v>
      </c>
      <c r="E9230">
        <v>1190</v>
      </c>
    </row>
    <row r="9231" spans="1:5" x14ac:dyDescent="0.55000000000000004">
      <c r="A9231" t="s">
        <v>9312</v>
      </c>
      <c r="B9231" t="s">
        <v>99</v>
      </c>
      <c r="C9231" s="2">
        <v>44895</v>
      </c>
      <c r="D9231" t="s">
        <v>26</v>
      </c>
      <c r="E9231">
        <v>753</v>
      </c>
    </row>
    <row r="9232" spans="1:5" x14ac:dyDescent="0.55000000000000004">
      <c r="A9232" t="s">
        <v>9313</v>
      </c>
      <c r="B9232" t="s">
        <v>14</v>
      </c>
      <c r="C9232" s="2">
        <v>43883</v>
      </c>
      <c r="D9232" t="s">
        <v>26</v>
      </c>
      <c r="E9232">
        <v>26</v>
      </c>
    </row>
    <row r="9233" spans="1:5" x14ac:dyDescent="0.55000000000000004">
      <c r="A9233" t="s">
        <v>9314</v>
      </c>
      <c r="B9233" t="s">
        <v>74</v>
      </c>
      <c r="C9233" s="2">
        <v>44180</v>
      </c>
      <c r="D9233" t="s">
        <v>29</v>
      </c>
      <c r="E9233">
        <v>92</v>
      </c>
    </row>
    <row r="9234" spans="1:5" x14ac:dyDescent="0.55000000000000004">
      <c r="A9234" t="s">
        <v>9315</v>
      </c>
      <c r="B9234" t="s">
        <v>99</v>
      </c>
      <c r="C9234" s="2">
        <v>44674</v>
      </c>
      <c r="D9234" t="s">
        <v>26</v>
      </c>
      <c r="E9234">
        <v>2231</v>
      </c>
    </row>
    <row r="9235" spans="1:5" x14ac:dyDescent="0.55000000000000004">
      <c r="A9235" t="s">
        <v>9316</v>
      </c>
      <c r="B9235" t="s">
        <v>96</v>
      </c>
      <c r="C9235" s="2">
        <v>44503</v>
      </c>
      <c r="D9235" t="s">
        <v>26</v>
      </c>
      <c r="E9235">
        <v>1789</v>
      </c>
    </row>
    <row r="9236" spans="1:5" x14ac:dyDescent="0.55000000000000004">
      <c r="A9236" t="s">
        <v>9317</v>
      </c>
      <c r="B9236" t="s">
        <v>38</v>
      </c>
      <c r="C9236" s="2">
        <v>44159</v>
      </c>
      <c r="D9236" t="s">
        <v>29</v>
      </c>
      <c r="E9236">
        <v>2511</v>
      </c>
    </row>
    <row r="9237" spans="1:5" x14ac:dyDescent="0.55000000000000004">
      <c r="A9237" t="s">
        <v>9318</v>
      </c>
      <c r="B9237" t="s">
        <v>41</v>
      </c>
      <c r="C9237" s="2">
        <v>44711</v>
      </c>
      <c r="D9237" t="s">
        <v>26</v>
      </c>
      <c r="E9237">
        <v>2577</v>
      </c>
    </row>
    <row r="9238" spans="1:5" x14ac:dyDescent="0.55000000000000004">
      <c r="A9238" t="s">
        <v>9319</v>
      </c>
      <c r="B9238" t="s">
        <v>101</v>
      </c>
      <c r="C9238" s="2">
        <v>43585</v>
      </c>
      <c r="D9238" t="s">
        <v>26</v>
      </c>
      <c r="E9238">
        <v>643</v>
      </c>
    </row>
    <row r="9239" spans="1:5" x14ac:dyDescent="0.55000000000000004">
      <c r="A9239" t="s">
        <v>9320</v>
      </c>
      <c r="B9239" t="s">
        <v>32</v>
      </c>
      <c r="C9239" s="2">
        <v>44501</v>
      </c>
      <c r="D9239" t="s">
        <v>29</v>
      </c>
      <c r="E9239">
        <v>1359</v>
      </c>
    </row>
    <row r="9240" spans="1:5" x14ac:dyDescent="0.55000000000000004">
      <c r="A9240" t="s">
        <v>9321</v>
      </c>
      <c r="B9240" t="s">
        <v>74</v>
      </c>
      <c r="C9240" s="2">
        <v>44318</v>
      </c>
      <c r="D9240" t="s">
        <v>26</v>
      </c>
      <c r="E9240">
        <v>75</v>
      </c>
    </row>
    <row r="9241" spans="1:5" x14ac:dyDescent="0.55000000000000004">
      <c r="A9241" t="s">
        <v>9322</v>
      </c>
      <c r="B9241" t="s">
        <v>86</v>
      </c>
      <c r="C9241" s="2">
        <v>43082</v>
      </c>
      <c r="D9241" t="s">
        <v>26</v>
      </c>
      <c r="E9241">
        <v>2102</v>
      </c>
    </row>
    <row r="9242" spans="1:5" x14ac:dyDescent="0.55000000000000004">
      <c r="A9242" t="s">
        <v>9323</v>
      </c>
      <c r="B9242" t="s">
        <v>115</v>
      </c>
      <c r="C9242" s="2">
        <v>44183</v>
      </c>
      <c r="D9242" t="s">
        <v>29</v>
      </c>
      <c r="E9242">
        <v>2820</v>
      </c>
    </row>
    <row r="9243" spans="1:5" x14ac:dyDescent="0.55000000000000004">
      <c r="A9243" t="s">
        <v>9324</v>
      </c>
      <c r="B9243" t="s">
        <v>99</v>
      </c>
      <c r="C9243" s="2">
        <v>44514</v>
      </c>
      <c r="D9243" t="s">
        <v>26</v>
      </c>
      <c r="E9243">
        <v>527</v>
      </c>
    </row>
    <row r="9244" spans="1:5" x14ac:dyDescent="0.55000000000000004">
      <c r="A9244" t="s">
        <v>9325</v>
      </c>
      <c r="B9244" t="s">
        <v>140</v>
      </c>
      <c r="C9244" s="2">
        <v>43271</v>
      </c>
      <c r="D9244" t="s">
        <v>26</v>
      </c>
      <c r="E9244">
        <v>2826</v>
      </c>
    </row>
    <row r="9245" spans="1:5" x14ac:dyDescent="0.55000000000000004">
      <c r="A9245" t="s">
        <v>9326</v>
      </c>
      <c r="B9245" t="s">
        <v>142</v>
      </c>
      <c r="C9245" s="2">
        <v>42943</v>
      </c>
      <c r="D9245" t="s">
        <v>26</v>
      </c>
      <c r="E9245">
        <v>1713</v>
      </c>
    </row>
    <row r="9246" spans="1:5" x14ac:dyDescent="0.55000000000000004">
      <c r="A9246" t="s">
        <v>9327</v>
      </c>
      <c r="B9246" t="s">
        <v>14</v>
      </c>
      <c r="C9246" s="2">
        <v>43842</v>
      </c>
      <c r="D9246" t="s">
        <v>26</v>
      </c>
      <c r="E9246">
        <v>528</v>
      </c>
    </row>
    <row r="9247" spans="1:5" x14ac:dyDescent="0.55000000000000004">
      <c r="A9247" t="s">
        <v>9328</v>
      </c>
      <c r="B9247" t="s">
        <v>63</v>
      </c>
      <c r="C9247" s="2">
        <v>43576</v>
      </c>
      <c r="D9247" t="s">
        <v>26</v>
      </c>
      <c r="E9247">
        <v>628</v>
      </c>
    </row>
    <row r="9248" spans="1:5" x14ac:dyDescent="0.55000000000000004">
      <c r="A9248" t="s">
        <v>9329</v>
      </c>
      <c r="B9248" t="s">
        <v>78</v>
      </c>
      <c r="C9248" s="2">
        <v>45632</v>
      </c>
      <c r="D9248" t="s">
        <v>26</v>
      </c>
      <c r="E9248">
        <v>11</v>
      </c>
    </row>
    <row r="9249" spans="1:5" x14ac:dyDescent="0.55000000000000004">
      <c r="A9249" t="s">
        <v>9330</v>
      </c>
      <c r="B9249" t="s">
        <v>41</v>
      </c>
      <c r="C9249" s="2">
        <v>44220</v>
      </c>
      <c r="D9249" t="s">
        <v>29</v>
      </c>
      <c r="E9249">
        <v>2796</v>
      </c>
    </row>
    <row r="9250" spans="1:5" x14ac:dyDescent="0.55000000000000004">
      <c r="A9250" t="s">
        <v>9331</v>
      </c>
      <c r="B9250" t="s">
        <v>72</v>
      </c>
      <c r="C9250" s="2">
        <v>44227</v>
      </c>
      <c r="D9250" t="s">
        <v>29</v>
      </c>
      <c r="E9250">
        <v>808</v>
      </c>
    </row>
    <row r="9251" spans="1:5" x14ac:dyDescent="0.55000000000000004">
      <c r="A9251" t="s">
        <v>9332</v>
      </c>
      <c r="B9251" t="s">
        <v>15</v>
      </c>
      <c r="C9251" s="2">
        <v>43594</v>
      </c>
      <c r="D9251" t="s">
        <v>26</v>
      </c>
      <c r="E9251">
        <v>2352</v>
      </c>
    </row>
    <row r="9252" spans="1:5" x14ac:dyDescent="0.55000000000000004">
      <c r="A9252" t="s">
        <v>9333</v>
      </c>
      <c r="B9252" t="s">
        <v>115</v>
      </c>
      <c r="C9252" s="2">
        <v>43807</v>
      </c>
      <c r="D9252" t="s">
        <v>26</v>
      </c>
      <c r="E9252">
        <v>2294</v>
      </c>
    </row>
    <row r="9253" spans="1:5" x14ac:dyDescent="0.55000000000000004">
      <c r="A9253" t="s">
        <v>9334</v>
      </c>
      <c r="B9253" t="s">
        <v>14</v>
      </c>
      <c r="C9253" s="2">
        <v>44158</v>
      </c>
      <c r="D9253" t="s">
        <v>26</v>
      </c>
      <c r="E9253">
        <v>1702</v>
      </c>
    </row>
    <row r="9254" spans="1:5" x14ac:dyDescent="0.55000000000000004">
      <c r="A9254" t="s">
        <v>9335</v>
      </c>
      <c r="B9254" t="s">
        <v>41</v>
      </c>
      <c r="C9254" s="2">
        <v>44642</v>
      </c>
      <c r="D9254" t="s">
        <v>26</v>
      </c>
      <c r="E9254">
        <v>507</v>
      </c>
    </row>
    <row r="9255" spans="1:5" x14ac:dyDescent="0.55000000000000004">
      <c r="A9255" t="s">
        <v>9336</v>
      </c>
      <c r="B9255" t="s">
        <v>140</v>
      </c>
      <c r="C9255" s="2">
        <v>44523</v>
      </c>
      <c r="D9255" t="s">
        <v>29</v>
      </c>
      <c r="E9255">
        <v>2507</v>
      </c>
    </row>
    <row r="9256" spans="1:5" x14ac:dyDescent="0.55000000000000004">
      <c r="A9256" t="s">
        <v>9337</v>
      </c>
      <c r="B9256" t="s">
        <v>101</v>
      </c>
      <c r="C9256" s="2">
        <v>44060</v>
      </c>
      <c r="D9256" t="s">
        <v>29</v>
      </c>
      <c r="E9256">
        <v>2977</v>
      </c>
    </row>
    <row r="9257" spans="1:5" x14ac:dyDescent="0.55000000000000004">
      <c r="A9257" t="s">
        <v>9338</v>
      </c>
      <c r="B9257" t="s">
        <v>38</v>
      </c>
      <c r="C9257" s="2">
        <v>44456</v>
      </c>
      <c r="D9257" t="s">
        <v>26</v>
      </c>
      <c r="E9257">
        <v>1018</v>
      </c>
    </row>
    <row r="9258" spans="1:5" x14ac:dyDescent="0.55000000000000004">
      <c r="A9258" t="s">
        <v>9339</v>
      </c>
      <c r="B9258" t="s">
        <v>151</v>
      </c>
      <c r="C9258" s="2">
        <v>42919</v>
      </c>
      <c r="D9258" t="s">
        <v>29</v>
      </c>
      <c r="E9258">
        <v>1531</v>
      </c>
    </row>
    <row r="9259" spans="1:5" x14ac:dyDescent="0.55000000000000004">
      <c r="A9259" t="s">
        <v>9340</v>
      </c>
      <c r="B9259" t="s">
        <v>84</v>
      </c>
      <c r="C9259" s="2">
        <v>43434</v>
      </c>
      <c r="D9259" t="s">
        <v>26</v>
      </c>
      <c r="E9259">
        <v>77</v>
      </c>
    </row>
    <row r="9260" spans="1:5" x14ac:dyDescent="0.55000000000000004">
      <c r="A9260" t="s">
        <v>9341</v>
      </c>
      <c r="B9260" t="s">
        <v>101</v>
      </c>
      <c r="C9260" s="2">
        <v>43120</v>
      </c>
      <c r="D9260" t="s">
        <v>29</v>
      </c>
      <c r="E9260">
        <v>1601</v>
      </c>
    </row>
    <row r="9261" spans="1:5" x14ac:dyDescent="0.55000000000000004">
      <c r="A9261" t="s">
        <v>9342</v>
      </c>
      <c r="B9261" t="s">
        <v>84</v>
      </c>
      <c r="C9261" s="2">
        <v>44105</v>
      </c>
      <c r="D9261" t="s">
        <v>29</v>
      </c>
      <c r="E9261">
        <v>17</v>
      </c>
    </row>
    <row r="9262" spans="1:5" x14ac:dyDescent="0.55000000000000004">
      <c r="A9262" t="s">
        <v>9343</v>
      </c>
      <c r="B9262" t="s">
        <v>14</v>
      </c>
      <c r="C9262" s="2">
        <v>44321</v>
      </c>
      <c r="D9262" t="s">
        <v>29</v>
      </c>
      <c r="E9262">
        <v>1188</v>
      </c>
    </row>
    <row r="9263" spans="1:5" x14ac:dyDescent="0.55000000000000004">
      <c r="A9263" t="s">
        <v>9344</v>
      </c>
      <c r="B9263" t="s">
        <v>137</v>
      </c>
      <c r="C9263" s="2">
        <v>44822</v>
      </c>
      <c r="D9263" t="s">
        <v>26</v>
      </c>
      <c r="E9263">
        <v>408</v>
      </c>
    </row>
    <row r="9264" spans="1:5" x14ac:dyDescent="0.55000000000000004">
      <c r="A9264" t="s">
        <v>9345</v>
      </c>
      <c r="B9264" t="s">
        <v>111</v>
      </c>
      <c r="C9264" s="2">
        <v>44409</v>
      </c>
      <c r="D9264" t="s">
        <v>26</v>
      </c>
      <c r="E9264">
        <v>2006</v>
      </c>
    </row>
    <row r="9265" spans="1:5" x14ac:dyDescent="0.55000000000000004">
      <c r="A9265" t="s">
        <v>9346</v>
      </c>
      <c r="B9265" t="s">
        <v>140</v>
      </c>
      <c r="C9265" s="2">
        <v>43530</v>
      </c>
      <c r="D9265" t="s">
        <v>26</v>
      </c>
      <c r="E9265">
        <v>2376</v>
      </c>
    </row>
    <row r="9266" spans="1:5" x14ac:dyDescent="0.55000000000000004">
      <c r="A9266" t="s">
        <v>9347</v>
      </c>
      <c r="B9266" t="s">
        <v>140</v>
      </c>
      <c r="C9266" s="2">
        <v>44336</v>
      </c>
      <c r="D9266" t="s">
        <v>26</v>
      </c>
      <c r="E9266">
        <v>2112</v>
      </c>
    </row>
    <row r="9267" spans="1:5" x14ac:dyDescent="0.55000000000000004">
      <c r="A9267" t="s">
        <v>9348</v>
      </c>
      <c r="B9267" t="s">
        <v>14</v>
      </c>
      <c r="C9267" s="2">
        <v>44117</v>
      </c>
      <c r="D9267" t="s">
        <v>26</v>
      </c>
      <c r="E9267">
        <v>1211</v>
      </c>
    </row>
    <row r="9268" spans="1:5" x14ac:dyDescent="0.55000000000000004">
      <c r="A9268" t="s">
        <v>9349</v>
      </c>
      <c r="B9268" t="s">
        <v>115</v>
      </c>
      <c r="C9268" s="2">
        <v>43160</v>
      </c>
      <c r="D9268" t="s">
        <v>29</v>
      </c>
      <c r="E9268">
        <v>24</v>
      </c>
    </row>
    <row r="9269" spans="1:5" x14ac:dyDescent="0.55000000000000004">
      <c r="A9269" t="s">
        <v>9350</v>
      </c>
      <c r="B9269" t="s">
        <v>111</v>
      </c>
      <c r="C9269" s="2">
        <v>42954</v>
      </c>
      <c r="D9269" t="s">
        <v>29</v>
      </c>
      <c r="E9269">
        <v>2520</v>
      </c>
    </row>
    <row r="9270" spans="1:5" x14ac:dyDescent="0.55000000000000004">
      <c r="A9270" t="s">
        <v>9351</v>
      </c>
      <c r="B9270" t="s">
        <v>23</v>
      </c>
      <c r="C9270" s="2">
        <v>44682</v>
      </c>
      <c r="D9270" t="s">
        <v>26</v>
      </c>
      <c r="E9270">
        <v>2993</v>
      </c>
    </row>
    <row r="9271" spans="1:5" x14ac:dyDescent="0.55000000000000004">
      <c r="A9271" t="s">
        <v>9352</v>
      </c>
      <c r="B9271" t="s">
        <v>78</v>
      </c>
      <c r="C9271" s="2">
        <v>44265</v>
      </c>
      <c r="D9271" t="s">
        <v>26</v>
      </c>
      <c r="E9271">
        <v>1351</v>
      </c>
    </row>
    <row r="9272" spans="1:5" x14ac:dyDescent="0.55000000000000004">
      <c r="A9272" t="s">
        <v>9353</v>
      </c>
      <c r="B9272" t="s">
        <v>175</v>
      </c>
      <c r="C9272" s="2">
        <v>44131</v>
      </c>
      <c r="D9272" t="s">
        <v>29</v>
      </c>
      <c r="E9272">
        <v>1525</v>
      </c>
    </row>
    <row r="9273" spans="1:5" x14ac:dyDescent="0.55000000000000004">
      <c r="A9273" t="s">
        <v>9354</v>
      </c>
      <c r="B9273" t="s">
        <v>105</v>
      </c>
      <c r="C9273" s="2">
        <v>44346</v>
      </c>
      <c r="D9273" t="s">
        <v>26</v>
      </c>
      <c r="E9273">
        <v>2852</v>
      </c>
    </row>
    <row r="9274" spans="1:5" x14ac:dyDescent="0.55000000000000004">
      <c r="A9274" t="s">
        <v>9355</v>
      </c>
      <c r="B9274" t="s">
        <v>105</v>
      </c>
      <c r="C9274" s="2">
        <v>43189</v>
      </c>
      <c r="D9274" t="s">
        <v>26</v>
      </c>
      <c r="E9274">
        <v>1328</v>
      </c>
    </row>
    <row r="9275" spans="1:5" x14ac:dyDescent="0.55000000000000004">
      <c r="A9275" t="s">
        <v>9356</v>
      </c>
      <c r="B9275" t="s">
        <v>67</v>
      </c>
      <c r="C9275" s="2">
        <v>45711</v>
      </c>
      <c r="D9275" t="s">
        <v>26</v>
      </c>
      <c r="E9275">
        <v>1867</v>
      </c>
    </row>
    <row r="9276" spans="1:5" x14ac:dyDescent="0.55000000000000004">
      <c r="A9276" t="s">
        <v>9357</v>
      </c>
      <c r="B9276" t="s">
        <v>35</v>
      </c>
      <c r="C9276" s="2">
        <v>44742</v>
      </c>
      <c r="D9276" t="s">
        <v>29</v>
      </c>
      <c r="E9276">
        <v>962</v>
      </c>
    </row>
    <row r="9277" spans="1:5" x14ac:dyDescent="0.55000000000000004">
      <c r="A9277" t="s">
        <v>9358</v>
      </c>
      <c r="B9277" t="s">
        <v>86</v>
      </c>
      <c r="C9277" s="2">
        <v>43472</v>
      </c>
      <c r="D9277" t="s">
        <v>26</v>
      </c>
      <c r="E9277">
        <v>2864</v>
      </c>
    </row>
    <row r="9278" spans="1:5" x14ac:dyDescent="0.55000000000000004">
      <c r="A9278" t="s">
        <v>9359</v>
      </c>
      <c r="B9278" t="s">
        <v>76</v>
      </c>
      <c r="C9278" s="2">
        <v>44719</v>
      </c>
      <c r="D9278" t="s">
        <v>29</v>
      </c>
      <c r="E9278">
        <v>1657</v>
      </c>
    </row>
    <row r="9279" spans="1:5" x14ac:dyDescent="0.55000000000000004">
      <c r="A9279" t="s">
        <v>9360</v>
      </c>
      <c r="B9279" t="s">
        <v>105</v>
      </c>
      <c r="C9279" s="2">
        <v>43613</v>
      </c>
      <c r="D9279" t="s">
        <v>26</v>
      </c>
      <c r="E9279">
        <v>2440</v>
      </c>
    </row>
    <row r="9280" spans="1:5" x14ac:dyDescent="0.55000000000000004">
      <c r="A9280" t="s">
        <v>9361</v>
      </c>
      <c r="B9280" t="s">
        <v>86</v>
      </c>
      <c r="C9280" s="2">
        <v>43012</v>
      </c>
      <c r="D9280" t="s">
        <v>26</v>
      </c>
      <c r="E9280">
        <v>356</v>
      </c>
    </row>
    <row r="9281" spans="1:5" x14ac:dyDescent="0.55000000000000004">
      <c r="A9281" t="s">
        <v>9362</v>
      </c>
      <c r="B9281" t="s">
        <v>115</v>
      </c>
      <c r="C9281" s="2">
        <v>43592</v>
      </c>
      <c r="D9281" t="s">
        <v>26</v>
      </c>
      <c r="E9281">
        <v>1329</v>
      </c>
    </row>
    <row r="9282" spans="1:5" x14ac:dyDescent="0.55000000000000004">
      <c r="A9282" t="s">
        <v>9363</v>
      </c>
      <c r="B9282" t="s">
        <v>111</v>
      </c>
      <c r="C9282" s="2">
        <v>43954</v>
      </c>
      <c r="D9282" t="s">
        <v>29</v>
      </c>
      <c r="E9282">
        <v>743</v>
      </c>
    </row>
    <row r="9283" spans="1:5" x14ac:dyDescent="0.55000000000000004">
      <c r="A9283" t="s">
        <v>9364</v>
      </c>
      <c r="B9283" t="s">
        <v>15</v>
      </c>
      <c r="C9283" s="2">
        <v>43829</v>
      </c>
      <c r="D9283" t="s">
        <v>26</v>
      </c>
      <c r="E9283">
        <v>1646</v>
      </c>
    </row>
    <row r="9284" spans="1:5" x14ac:dyDescent="0.55000000000000004">
      <c r="A9284" t="s">
        <v>9365</v>
      </c>
      <c r="B9284" t="s">
        <v>142</v>
      </c>
      <c r="C9284" s="2">
        <v>43369</v>
      </c>
      <c r="D9284" t="s">
        <v>26</v>
      </c>
      <c r="E9284">
        <v>1823</v>
      </c>
    </row>
    <row r="9285" spans="1:5" x14ac:dyDescent="0.55000000000000004">
      <c r="A9285" t="s">
        <v>9366</v>
      </c>
      <c r="B9285" t="s">
        <v>84</v>
      </c>
      <c r="C9285" s="2">
        <v>44005</v>
      </c>
      <c r="D9285" t="s">
        <v>26</v>
      </c>
      <c r="E9285">
        <v>974</v>
      </c>
    </row>
    <row r="9286" spans="1:5" x14ac:dyDescent="0.55000000000000004">
      <c r="A9286" t="s">
        <v>9367</v>
      </c>
      <c r="B9286" t="s">
        <v>14</v>
      </c>
      <c r="C9286" s="2">
        <v>43438</v>
      </c>
      <c r="D9286" t="s">
        <v>29</v>
      </c>
      <c r="E9286">
        <v>2185</v>
      </c>
    </row>
    <row r="9287" spans="1:5" x14ac:dyDescent="0.55000000000000004">
      <c r="A9287" t="s">
        <v>9368</v>
      </c>
      <c r="B9287" t="s">
        <v>94</v>
      </c>
      <c r="C9287" s="2">
        <v>45544</v>
      </c>
      <c r="D9287" t="s">
        <v>26</v>
      </c>
      <c r="E9287">
        <v>2894</v>
      </c>
    </row>
    <row r="9288" spans="1:5" x14ac:dyDescent="0.55000000000000004">
      <c r="A9288" t="s">
        <v>9369</v>
      </c>
      <c r="B9288" t="s">
        <v>118</v>
      </c>
      <c r="C9288" s="2">
        <v>45394</v>
      </c>
      <c r="D9288" t="s">
        <v>26</v>
      </c>
      <c r="E9288">
        <v>2226</v>
      </c>
    </row>
    <row r="9289" spans="1:5" x14ac:dyDescent="0.55000000000000004">
      <c r="A9289" t="s">
        <v>9370</v>
      </c>
      <c r="B9289" t="s">
        <v>140</v>
      </c>
      <c r="C9289" s="2">
        <v>43055</v>
      </c>
      <c r="D9289" t="s">
        <v>29</v>
      </c>
      <c r="E9289">
        <v>537</v>
      </c>
    </row>
    <row r="9290" spans="1:5" x14ac:dyDescent="0.55000000000000004">
      <c r="A9290" t="s">
        <v>9371</v>
      </c>
      <c r="B9290" t="s">
        <v>105</v>
      </c>
      <c r="C9290" s="2">
        <v>44164</v>
      </c>
      <c r="D9290" t="s">
        <v>26</v>
      </c>
      <c r="E9290">
        <v>1507</v>
      </c>
    </row>
    <row r="9291" spans="1:5" x14ac:dyDescent="0.55000000000000004">
      <c r="A9291" t="s">
        <v>9372</v>
      </c>
      <c r="B9291" t="s">
        <v>41</v>
      </c>
      <c r="C9291" s="2">
        <v>44503</v>
      </c>
      <c r="D9291" t="s">
        <v>29</v>
      </c>
      <c r="E9291">
        <v>2706</v>
      </c>
    </row>
    <row r="9292" spans="1:5" x14ac:dyDescent="0.55000000000000004">
      <c r="A9292" t="s">
        <v>9373</v>
      </c>
      <c r="B9292" t="s">
        <v>78</v>
      </c>
      <c r="C9292" s="2">
        <v>44958</v>
      </c>
      <c r="D9292" t="s">
        <v>26</v>
      </c>
      <c r="E9292">
        <v>185</v>
      </c>
    </row>
    <row r="9293" spans="1:5" x14ac:dyDescent="0.55000000000000004">
      <c r="A9293" t="s">
        <v>9374</v>
      </c>
      <c r="B9293" t="s">
        <v>111</v>
      </c>
      <c r="C9293" s="2">
        <v>44425</v>
      </c>
      <c r="D9293" t="s">
        <v>29</v>
      </c>
      <c r="E9293">
        <v>2308</v>
      </c>
    </row>
    <row r="9294" spans="1:5" x14ac:dyDescent="0.55000000000000004">
      <c r="A9294" t="s">
        <v>9375</v>
      </c>
      <c r="B9294" t="s">
        <v>140</v>
      </c>
      <c r="C9294" s="2">
        <v>43824</v>
      </c>
      <c r="D9294" t="s">
        <v>29</v>
      </c>
      <c r="E9294">
        <v>1822</v>
      </c>
    </row>
    <row r="9295" spans="1:5" x14ac:dyDescent="0.55000000000000004">
      <c r="A9295" t="s">
        <v>9376</v>
      </c>
      <c r="B9295" t="s">
        <v>96</v>
      </c>
      <c r="C9295" s="2">
        <v>43827</v>
      </c>
      <c r="D9295" t="s">
        <v>26</v>
      </c>
      <c r="E9295">
        <v>2787</v>
      </c>
    </row>
    <row r="9296" spans="1:5" x14ac:dyDescent="0.55000000000000004">
      <c r="A9296" t="s">
        <v>9377</v>
      </c>
      <c r="B9296" t="s">
        <v>151</v>
      </c>
      <c r="C9296" s="2">
        <v>44525</v>
      </c>
      <c r="D9296" t="s">
        <v>29</v>
      </c>
      <c r="E9296">
        <v>2426</v>
      </c>
    </row>
    <row r="9297" spans="1:5" x14ac:dyDescent="0.55000000000000004">
      <c r="A9297" t="s">
        <v>9378</v>
      </c>
      <c r="B9297" t="s">
        <v>137</v>
      </c>
      <c r="C9297" s="2">
        <v>45711</v>
      </c>
      <c r="D9297" t="s">
        <v>26</v>
      </c>
      <c r="E9297">
        <v>75</v>
      </c>
    </row>
    <row r="9298" spans="1:5" x14ac:dyDescent="0.55000000000000004">
      <c r="A9298" t="s">
        <v>9379</v>
      </c>
      <c r="B9298" t="s">
        <v>41</v>
      </c>
      <c r="C9298" s="2">
        <v>44456</v>
      </c>
      <c r="D9298" t="s">
        <v>29</v>
      </c>
      <c r="E9298">
        <v>1915</v>
      </c>
    </row>
    <row r="9299" spans="1:5" x14ac:dyDescent="0.55000000000000004">
      <c r="A9299" t="s">
        <v>9380</v>
      </c>
      <c r="B9299" t="s">
        <v>140</v>
      </c>
      <c r="C9299" s="2">
        <v>43209</v>
      </c>
      <c r="D9299" t="s">
        <v>29</v>
      </c>
      <c r="E9299">
        <v>1024</v>
      </c>
    </row>
    <row r="9300" spans="1:5" x14ac:dyDescent="0.55000000000000004">
      <c r="A9300" t="s">
        <v>9381</v>
      </c>
      <c r="B9300" t="s">
        <v>111</v>
      </c>
      <c r="C9300" s="2">
        <v>44487</v>
      </c>
      <c r="D9300" t="s">
        <v>26</v>
      </c>
      <c r="E9300">
        <v>359</v>
      </c>
    </row>
    <row r="9301" spans="1:5" x14ac:dyDescent="0.55000000000000004">
      <c r="A9301" t="s">
        <v>9382</v>
      </c>
      <c r="B9301" t="s">
        <v>101</v>
      </c>
      <c r="C9301" s="2">
        <v>42918</v>
      </c>
      <c r="D9301" t="s">
        <v>29</v>
      </c>
      <c r="E9301">
        <v>2173</v>
      </c>
    </row>
    <row r="9302" spans="1:5" x14ac:dyDescent="0.55000000000000004">
      <c r="A9302" t="s">
        <v>9383</v>
      </c>
      <c r="B9302" t="s">
        <v>23</v>
      </c>
      <c r="C9302" s="2">
        <v>44782</v>
      </c>
      <c r="D9302" t="s">
        <v>26</v>
      </c>
      <c r="E9302">
        <v>446</v>
      </c>
    </row>
    <row r="9303" spans="1:5" x14ac:dyDescent="0.55000000000000004">
      <c r="A9303" t="s">
        <v>9384</v>
      </c>
      <c r="B9303" t="s">
        <v>94</v>
      </c>
      <c r="C9303" s="2">
        <v>44893</v>
      </c>
      <c r="D9303" t="s">
        <v>26</v>
      </c>
      <c r="E9303">
        <v>743</v>
      </c>
    </row>
    <row r="9304" spans="1:5" x14ac:dyDescent="0.55000000000000004">
      <c r="A9304" t="s">
        <v>9385</v>
      </c>
      <c r="B9304" t="s">
        <v>115</v>
      </c>
      <c r="C9304" s="2">
        <v>44507</v>
      </c>
      <c r="D9304" t="s">
        <v>26</v>
      </c>
      <c r="E9304">
        <v>825</v>
      </c>
    </row>
    <row r="9305" spans="1:5" x14ac:dyDescent="0.55000000000000004">
      <c r="A9305" t="s">
        <v>9386</v>
      </c>
      <c r="B9305" t="s">
        <v>101</v>
      </c>
      <c r="C9305" s="2">
        <v>44369</v>
      </c>
      <c r="D9305" t="s">
        <v>29</v>
      </c>
      <c r="E9305">
        <v>248</v>
      </c>
    </row>
    <row r="9306" spans="1:5" x14ac:dyDescent="0.55000000000000004">
      <c r="A9306" t="s">
        <v>9387</v>
      </c>
      <c r="B9306" t="s">
        <v>14</v>
      </c>
      <c r="C9306" s="2">
        <v>43969</v>
      </c>
      <c r="D9306" t="s">
        <v>26</v>
      </c>
      <c r="E9306">
        <v>1115</v>
      </c>
    </row>
    <row r="9307" spans="1:5" x14ac:dyDescent="0.55000000000000004">
      <c r="A9307" t="s">
        <v>9388</v>
      </c>
      <c r="B9307" t="s">
        <v>15</v>
      </c>
      <c r="C9307" s="2">
        <v>43803</v>
      </c>
      <c r="D9307" t="s">
        <v>26</v>
      </c>
      <c r="E9307">
        <v>532</v>
      </c>
    </row>
    <row r="9308" spans="1:5" x14ac:dyDescent="0.55000000000000004">
      <c r="A9308" t="s">
        <v>9389</v>
      </c>
      <c r="B9308" t="s">
        <v>38</v>
      </c>
      <c r="C9308" s="2">
        <v>44870</v>
      </c>
      <c r="D9308" t="s">
        <v>26</v>
      </c>
      <c r="E9308">
        <v>28</v>
      </c>
    </row>
    <row r="9309" spans="1:5" x14ac:dyDescent="0.55000000000000004">
      <c r="A9309" t="s">
        <v>9390</v>
      </c>
      <c r="B9309" t="s">
        <v>38</v>
      </c>
      <c r="C9309" s="2">
        <v>44846</v>
      </c>
      <c r="D9309" t="s">
        <v>29</v>
      </c>
      <c r="E9309">
        <v>1599</v>
      </c>
    </row>
    <row r="9310" spans="1:5" x14ac:dyDescent="0.55000000000000004">
      <c r="A9310" t="s">
        <v>9391</v>
      </c>
      <c r="B9310" t="s">
        <v>94</v>
      </c>
      <c r="C9310" s="2">
        <v>43899</v>
      </c>
      <c r="D9310" t="s">
        <v>26</v>
      </c>
      <c r="E9310">
        <v>1009</v>
      </c>
    </row>
    <row r="9311" spans="1:5" x14ac:dyDescent="0.55000000000000004">
      <c r="A9311" t="s">
        <v>9392</v>
      </c>
      <c r="B9311" t="s">
        <v>78</v>
      </c>
      <c r="C9311" s="2">
        <v>45809</v>
      </c>
      <c r="D9311" t="s">
        <v>29</v>
      </c>
      <c r="E9311">
        <v>2364</v>
      </c>
    </row>
    <row r="9312" spans="1:5" x14ac:dyDescent="0.55000000000000004">
      <c r="A9312" t="s">
        <v>9393</v>
      </c>
      <c r="B9312" t="s">
        <v>94</v>
      </c>
      <c r="C9312" s="2">
        <v>43984</v>
      </c>
      <c r="D9312" t="s">
        <v>29</v>
      </c>
      <c r="E9312">
        <v>430</v>
      </c>
    </row>
    <row r="9313" spans="1:5" x14ac:dyDescent="0.55000000000000004">
      <c r="A9313" t="s">
        <v>9394</v>
      </c>
      <c r="B9313" t="s">
        <v>35</v>
      </c>
      <c r="C9313" s="2">
        <v>44503</v>
      </c>
      <c r="D9313" t="s">
        <v>29</v>
      </c>
      <c r="E9313">
        <v>199</v>
      </c>
    </row>
    <row r="9314" spans="1:5" x14ac:dyDescent="0.55000000000000004">
      <c r="A9314" t="s">
        <v>9395</v>
      </c>
      <c r="B9314" t="s">
        <v>137</v>
      </c>
      <c r="C9314" s="2">
        <v>44368</v>
      </c>
      <c r="D9314" t="s">
        <v>26</v>
      </c>
      <c r="E9314">
        <v>2133</v>
      </c>
    </row>
    <row r="9315" spans="1:5" x14ac:dyDescent="0.55000000000000004">
      <c r="A9315" t="s">
        <v>9396</v>
      </c>
      <c r="B9315" t="s">
        <v>38</v>
      </c>
      <c r="C9315" s="2">
        <v>44825</v>
      </c>
      <c r="D9315" t="s">
        <v>29</v>
      </c>
      <c r="E9315">
        <v>596</v>
      </c>
    </row>
    <row r="9316" spans="1:5" x14ac:dyDescent="0.55000000000000004">
      <c r="A9316" t="s">
        <v>9397</v>
      </c>
      <c r="B9316" t="s">
        <v>67</v>
      </c>
      <c r="C9316" s="2">
        <v>44963</v>
      </c>
      <c r="D9316" t="s">
        <v>29</v>
      </c>
      <c r="E9316">
        <v>2099</v>
      </c>
    </row>
    <row r="9317" spans="1:5" x14ac:dyDescent="0.55000000000000004">
      <c r="A9317" t="s">
        <v>9398</v>
      </c>
      <c r="B9317" t="s">
        <v>35</v>
      </c>
      <c r="C9317" s="2">
        <v>44045</v>
      </c>
      <c r="D9317" t="s">
        <v>29</v>
      </c>
      <c r="E9317">
        <v>961</v>
      </c>
    </row>
    <row r="9318" spans="1:5" x14ac:dyDescent="0.55000000000000004">
      <c r="A9318" t="s">
        <v>9399</v>
      </c>
      <c r="B9318" t="s">
        <v>23</v>
      </c>
      <c r="C9318" s="2">
        <v>44788</v>
      </c>
      <c r="D9318" t="s">
        <v>29</v>
      </c>
      <c r="E9318">
        <v>2853</v>
      </c>
    </row>
    <row r="9319" spans="1:5" x14ac:dyDescent="0.55000000000000004">
      <c r="A9319" t="s">
        <v>9400</v>
      </c>
      <c r="B9319" t="s">
        <v>63</v>
      </c>
      <c r="C9319" s="2">
        <v>43021</v>
      </c>
      <c r="D9319" t="s">
        <v>26</v>
      </c>
      <c r="E9319">
        <v>2642</v>
      </c>
    </row>
    <row r="9320" spans="1:5" x14ac:dyDescent="0.55000000000000004">
      <c r="A9320" t="s">
        <v>9401</v>
      </c>
      <c r="B9320" t="s">
        <v>14</v>
      </c>
      <c r="C9320" s="2">
        <v>43880</v>
      </c>
      <c r="D9320" t="s">
        <v>26</v>
      </c>
      <c r="E9320">
        <v>2033</v>
      </c>
    </row>
    <row r="9321" spans="1:5" x14ac:dyDescent="0.55000000000000004">
      <c r="A9321" t="s">
        <v>9402</v>
      </c>
      <c r="B9321" t="s">
        <v>23</v>
      </c>
      <c r="C9321" s="2">
        <v>44413</v>
      </c>
      <c r="D9321" t="s">
        <v>29</v>
      </c>
      <c r="E9321">
        <v>1133</v>
      </c>
    </row>
    <row r="9322" spans="1:5" x14ac:dyDescent="0.55000000000000004">
      <c r="A9322" t="s">
        <v>9403</v>
      </c>
      <c r="B9322" t="s">
        <v>111</v>
      </c>
      <c r="C9322" s="2">
        <v>43864</v>
      </c>
      <c r="D9322" t="s">
        <v>29</v>
      </c>
      <c r="E9322">
        <v>1268</v>
      </c>
    </row>
    <row r="9323" spans="1:5" x14ac:dyDescent="0.55000000000000004">
      <c r="A9323" t="s">
        <v>9404</v>
      </c>
      <c r="B9323" t="s">
        <v>84</v>
      </c>
      <c r="C9323" s="2">
        <v>43142</v>
      </c>
      <c r="D9323" t="s">
        <v>26</v>
      </c>
      <c r="E9323">
        <v>1850</v>
      </c>
    </row>
    <row r="9324" spans="1:5" x14ac:dyDescent="0.55000000000000004">
      <c r="A9324" t="s">
        <v>9405</v>
      </c>
      <c r="B9324" t="s">
        <v>101</v>
      </c>
      <c r="C9324" s="2">
        <v>44107</v>
      </c>
      <c r="D9324" t="s">
        <v>26</v>
      </c>
      <c r="E9324">
        <v>1745</v>
      </c>
    </row>
    <row r="9325" spans="1:5" x14ac:dyDescent="0.55000000000000004">
      <c r="A9325" t="s">
        <v>9406</v>
      </c>
      <c r="B9325" t="s">
        <v>72</v>
      </c>
      <c r="C9325" s="2">
        <v>43706</v>
      </c>
      <c r="D9325" t="s">
        <v>29</v>
      </c>
      <c r="E9325">
        <v>1166</v>
      </c>
    </row>
    <row r="9326" spans="1:5" x14ac:dyDescent="0.55000000000000004">
      <c r="A9326" t="s">
        <v>9407</v>
      </c>
      <c r="B9326" t="s">
        <v>35</v>
      </c>
      <c r="C9326" s="2">
        <v>44306</v>
      </c>
      <c r="D9326" t="s">
        <v>29</v>
      </c>
      <c r="E9326">
        <v>1851</v>
      </c>
    </row>
    <row r="9327" spans="1:5" x14ac:dyDescent="0.55000000000000004">
      <c r="A9327" t="s">
        <v>9408</v>
      </c>
      <c r="B9327" t="s">
        <v>175</v>
      </c>
      <c r="C9327" s="2">
        <v>44918</v>
      </c>
      <c r="D9327" t="s">
        <v>26</v>
      </c>
      <c r="E9327">
        <v>2823</v>
      </c>
    </row>
    <row r="9328" spans="1:5" x14ac:dyDescent="0.55000000000000004">
      <c r="A9328" t="s">
        <v>9409</v>
      </c>
      <c r="B9328" t="s">
        <v>101</v>
      </c>
      <c r="C9328" s="2">
        <v>42980</v>
      </c>
      <c r="D9328" t="s">
        <v>29</v>
      </c>
      <c r="E9328">
        <v>1021</v>
      </c>
    </row>
    <row r="9329" spans="1:5" x14ac:dyDescent="0.55000000000000004">
      <c r="A9329" t="s">
        <v>9410</v>
      </c>
      <c r="B9329" t="s">
        <v>111</v>
      </c>
      <c r="C9329" s="2">
        <v>44104</v>
      </c>
      <c r="D9329" t="s">
        <v>26</v>
      </c>
      <c r="E9329">
        <v>2503</v>
      </c>
    </row>
    <row r="9330" spans="1:5" x14ac:dyDescent="0.55000000000000004">
      <c r="A9330" t="s">
        <v>9411</v>
      </c>
      <c r="B9330" t="s">
        <v>67</v>
      </c>
      <c r="C9330" s="2">
        <v>44815</v>
      </c>
      <c r="D9330" t="s">
        <v>26</v>
      </c>
      <c r="E9330">
        <v>1892</v>
      </c>
    </row>
    <row r="9331" spans="1:5" x14ac:dyDescent="0.55000000000000004">
      <c r="A9331" t="s">
        <v>9412</v>
      </c>
      <c r="B9331" t="s">
        <v>137</v>
      </c>
      <c r="C9331" s="2">
        <v>45810</v>
      </c>
      <c r="D9331" t="s">
        <v>29</v>
      </c>
      <c r="E9331">
        <v>1490</v>
      </c>
    </row>
    <row r="9332" spans="1:5" x14ac:dyDescent="0.55000000000000004">
      <c r="A9332" t="s">
        <v>9413</v>
      </c>
      <c r="B9332" t="s">
        <v>67</v>
      </c>
      <c r="C9332" s="2">
        <v>44753</v>
      </c>
      <c r="D9332" t="s">
        <v>29</v>
      </c>
      <c r="E9332">
        <v>2078</v>
      </c>
    </row>
    <row r="9333" spans="1:5" x14ac:dyDescent="0.55000000000000004">
      <c r="A9333" t="s">
        <v>9414</v>
      </c>
      <c r="B9333" t="s">
        <v>118</v>
      </c>
      <c r="C9333" s="2">
        <v>44379</v>
      </c>
      <c r="D9333" t="s">
        <v>29</v>
      </c>
      <c r="E9333">
        <v>1351</v>
      </c>
    </row>
    <row r="9334" spans="1:5" x14ac:dyDescent="0.55000000000000004">
      <c r="A9334" t="s">
        <v>9415</v>
      </c>
      <c r="B9334" t="s">
        <v>140</v>
      </c>
      <c r="C9334" s="2">
        <v>44280</v>
      </c>
      <c r="D9334" t="s">
        <v>26</v>
      </c>
      <c r="E9334">
        <v>1549</v>
      </c>
    </row>
    <row r="9335" spans="1:5" x14ac:dyDescent="0.55000000000000004">
      <c r="A9335" t="s">
        <v>9416</v>
      </c>
      <c r="B9335" t="s">
        <v>96</v>
      </c>
      <c r="C9335" s="2">
        <v>45621</v>
      </c>
      <c r="D9335" t="s">
        <v>29</v>
      </c>
      <c r="E9335">
        <v>893</v>
      </c>
    </row>
    <row r="9336" spans="1:5" x14ac:dyDescent="0.55000000000000004">
      <c r="A9336" t="s">
        <v>9417</v>
      </c>
      <c r="B9336" t="s">
        <v>156</v>
      </c>
      <c r="C9336" s="2">
        <v>44303</v>
      </c>
      <c r="D9336" t="s">
        <v>26</v>
      </c>
      <c r="E9336">
        <v>2002</v>
      </c>
    </row>
    <row r="9337" spans="1:5" x14ac:dyDescent="0.55000000000000004">
      <c r="A9337" t="s">
        <v>9418</v>
      </c>
      <c r="B9337" t="s">
        <v>175</v>
      </c>
      <c r="C9337" s="2">
        <v>44328</v>
      </c>
      <c r="D9337" t="s">
        <v>26</v>
      </c>
      <c r="E9337">
        <v>1813</v>
      </c>
    </row>
    <row r="9338" spans="1:5" x14ac:dyDescent="0.55000000000000004">
      <c r="A9338" t="s">
        <v>9419</v>
      </c>
      <c r="B9338" t="s">
        <v>35</v>
      </c>
      <c r="C9338" s="2">
        <v>44031</v>
      </c>
      <c r="D9338" t="s">
        <v>29</v>
      </c>
      <c r="E9338">
        <v>1907</v>
      </c>
    </row>
    <row r="9339" spans="1:5" x14ac:dyDescent="0.55000000000000004">
      <c r="A9339" t="s">
        <v>9420</v>
      </c>
      <c r="B9339" t="s">
        <v>101</v>
      </c>
      <c r="C9339" s="2">
        <v>43109</v>
      </c>
      <c r="D9339" t="s">
        <v>26</v>
      </c>
      <c r="E9339">
        <v>1295</v>
      </c>
    </row>
    <row r="9340" spans="1:5" x14ac:dyDescent="0.55000000000000004">
      <c r="A9340" t="s">
        <v>9421</v>
      </c>
      <c r="B9340" t="s">
        <v>38</v>
      </c>
      <c r="C9340" s="2">
        <v>43883</v>
      </c>
      <c r="D9340" t="s">
        <v>26</v>
      </c>
      <c r="E9340">
        <v>2014</v>
      </c>
    </row>
    <row r="9341" spans="1:5" x14ac:dyDescent="0.55000000000000004">
      <c r="A9341" t="s">
        <v>9422</v>
      </c>
      <c r="B9341" t="s">
        <v>67</v>
      </c>
      <c r="C9341" s="2">
        <v>45655</v>
      </c>
      <c r="D9341" t="s">
        <v>26</v>
      </c>
      <c r="E9341">
        <v>1588</v>
      </c>
    </row>
    <row r="9342" spans="1:5" x14ac:dyDescent="0.55000000000000004">
      <c r="A9342" t="s">
        <v>9423</v>
      </c>
      <c r="B9342" t="s">
        <v>23</v>
      </c>
      <c r="C9342" s="2">
        <v>44151</v>
      </c>
      <c r="D9342" t="s">
        <v>26</v>
      </c>
      <c r="E9342">
        <v>781</v>
      </c>
    </row>
    <row r="9343" spans="1:5" x14ac:dyDescent="0.55000000000000004">
      <c r="A9343" t="s">
        <v>9424</v>
      </c>
      <c r="B9343" t="s">
        <v>151</v>
      </c>
      <c r="C9343" s="2">
        <v>44382</v>
      </c>
      <c r="D9343" t="s">
        <v>29</v>
      </c>
      <c r="E9343">
        <v>1157</v>
      </c>
    </row>
    <row r="9344" spans="1:5" x14ac:dyDescent="0.55000000000000004">
      <c r="A9344" t="s">
        <v>9425</v>
      </c>
      <c r="B9344" t="s">
        <v>14</v>
      </c>
      <c r="C9344" s="2">
        <v>43400</v>
      </c>
      <c r="D9344" t="s">
        <v>26</v>
      </c>
      <c r="E9344">
        <v>1674</v>
      </c>
    </row>
    <row r="9345" spans="1:5" x14ac:dyDescent="0.55000000000000004">
      <c r="A9345" t="s">
        <v>9426</v>
      </c>
      <c r="B9345" t="s">
        <v>23</v>
      </c>
      <c r="C9345" s="2">
        <v>44527</v>
      </c>
      <c r="D9345" t="s">
        <v>26</v>
      </c>
      <c r="E9345">
        <v>2270</v>
      </c>
    </row>
    <row r="9346" spans="1:5" x14ac:dyDescent="0.55000000000000004">
      <c r="A9346" t="s">
        <v>9427</v>
      </c>
      <c r="B9346" t="s">
        <v>111</v>
      </c>
      <c r="C9346" s="2">
        <v>44313</v>
      </c>
      <c r="D9346" t="s">
        <v>26</v>
      </c>
      <c r="E9346">
        <v>2982</v>
      </c>
    </row>
    <row r="9347" spans="1:5" x14ac:dyDescent="0.55000000000000004">
      <c r="A9347" t="s">
        <v>9428</v>
      </c>
      <c r="B9347" t="s">
        <v>105</v>
      </c>
      <c r="C9347" s="2">
        <v>43376</v>
      </c>
      <c r="D9347" t="s">
        <v>26</v>
      </c>
      <c r="E9347">
        <v>566</v>
      </c>
    </row>
    <row r="9348" spans="1:5" x14ac:dyDescent="0.55000000000000004">
      <c r="A9348" t="s">
        <v>9429</v>
      </c>
      <c r="B9348" t="s">
        <v>175</v>
      </c>
      <c r="C9348" s="2">
        <v>45074</v>
      </c>
      <c r="D9348" t="s">
        <v>29</v>
      </c>
      <c r="E9348">
        <v>801</v>
      </c>
    </row>
    <row r="9349" spans="1:5" x14ac:dyDescent="0.55000000000000004">
      <c r="A9349" t="s">
        <v>9430</v>
      </c>
      <c r="B9349" t="s">
        <v>105</v>
      </c>
      <c r="C9349" s="2">
        <v>43856</v>
      </c>
      <c r="D9349" t="s">
        <v>26</v>
      </c>
      <c r="E9349">
        <v>1284</v>
      </c>
    </row>
    <row r="9350" spans="1:5" x14ac:dyDescent="0.55000000000000004">
      <c r="A9350" t="s">
        <v>9431</v>
      </c>
      <c r="B9350" t="s">
        <v>41</v>
      </c>
      <c r="C9350" s="2">
        <v>44508</v>
      </c>
      <c r="D9350" t="s">
        <v>26</v>
      </c>
      <c r="E9350">
        <v>1166</v>
      </c>
    </row>
    <row r="9351" spans="1:5" x14ac:dyDescent="0.55000000000000004">
      <c r="A9351" t="s">
        <v>9432</v>
      </c>
      <c r="B9351" t="s">
        <v>32</v>
      </c>
      <c r="C9351" s="2">
        <v>44753</v>
      </c>
      <c r="D9351" t="s">
        <v>26</v>
      </c>
      <c r="E9351">
        <v>1075</v>
      </c>
    </row>
    <row r="9352" spans="1:5" x14ac:dyDescent="0.55000000000000004">
      <c r="A9352" t="s">
        <v>9433</v>
      </c>
      <c r="B9352" t="s">
        <v>32</v>
      </c>
      <c r="C9352" s="2">
        <v>43940</v>
      </c>
      <c r="D9352" t="s">
        <v>26</v>
      </c>
      <c r="E9352">
        <v>572</v>
      </c>
    </row>
    <row r="9353" spans="1:5" x14ac:dyDescent="0.55000000000000004">
      <c r="A9353" t="s">
        <v>9434</v>
      </c>
      <c r="B9353" t="s">
        <v>72</v>
      </c>
      <c r="C9353" s="2">
        <v>43420</v>
      </c>
      <c r="D9353" t="s">
        <v>29</v>
      </c>
      <c r="E9353">
        <v>1974</v>
      </c>
    </row>
    <row r="9354" spans="1:5" x14ac:dyDescent="0.55000000000000004">
      <c r="A9354" t="s">
        <v>9435</v>
      </c>
      <c r="B9354" t="s">
        <v>96</v>
      </c>
      <c r="C9354" s="2">
        <v>43772</v>
      </c>
      <c r="D9354" t="s">
        <v>29</v>
      </c>
      <c r="E9354">
        <v>1736</v>
      </c>
    </row>
    <row r="9355" spans="1:5" x14ac:dyDescent="0.55000000000000004">
      <c r="A9355" t="s">
        <v>9436</v>
      </c>
      <c r="B9355" t="s">
        <v>137</v>
      </c>
      <c r="C9355" s="2">
        <v>44816</v>
      </c>
      <c r="D9355" t="s">
        <v>26</v>
      </c>
      <c r="E9355">
        <v>2396</v>
      </c>
    </row>
    <row r="9356" spans="1:5" x14ac:dyDescent="0.55000000000000004">
      <c r="A9356" t="s">
        <v>9437</v>
      </c>
      <c r="B9356" t="s">
        <v>63</v>
      </c>
      <c r="C9356" s="2">
        <v>44371</v>
      </c>
      <c r="D9356" t="s">
        <v>29</v>
      </c>
      <c r="E9356">
        <v>1285</v>
      </c>
    </row>
    <row r="9357" spans="1:5" x14ac:dyDescent="0.55000000000000004">
      <c r="A9357" t="s">
        <v>9438</v>
      </c>
      <c r="B9357" t="s">
        <v>86</v>
      </c>
      <c r="C9357" s="2">
        <v>43622</v>
      </c>
      <c r="D9357" t="s">
        <v>29</v>
      </c>
      <c r="E9357">
        <v>171</v>
      </c>
    </row>
    <row r="9358" spans="1:5" x14ac:dyDescent="0.55000000000000004">
      <c r="A9358" t="s">
        <v>9439</v>
      </c>
      <c r="B9358" t="s">
        <v>72</v>
      </c>
      <c r="C9358" s="2">
        <v>42992</v>
      </c>
      <c r="D9358" t="s">
        <v>26</v>
      </c>
      <c r="E9358">
        <v>1683</v>
      </c>
    </row>
    <row r="9359" spans="1:5" x14ac:dyDescent="0.55000000000000004">
      <c r="A9359" t="s">
        <v>9440</v>
      </c>
      <c r="B9359" t="s">
        <v>115</v>
      </c>
      <c r="C9359" s="2">
        <v>43880</v>
      </c>
      <c r="D9359" t="s">
        <v>29</v>
      </c>
      <c r="E9359">
        <v>301</v>
      </c>
    </row>
    <row r="9360" spans="1:5" x14ac:dyDescent="0.55000000000000004">
      <c r="A9360" t="s">
        <v>9441</v>
      </c>
      <c r="B9360" t="s">
        <v>151</v>
      </c>
      <c r="C9360" s="2">
        <v>43773</v>
      </c>
      <c r="D9360" t="s">
        <v>29</v>
      </c>
      <c r="E9360">
        <v>1087</v>
      </c>
    </row>
    <row r="9361" spans="1:5" x14ac:dyDescent="0.55000000000000004">
      <c r="A9361" t="s">
        <v>9442</v>
      </c>
      <c r="B9361" t="s">
        <v>137</v>
      </c>
      <c r="C9361" s="2">
        <v>44942</v>
      </c>
      <c r="D9361" t="s">
        <v>29</v>
      </c>
      <c r="E9361">
        <v>1925</v>
      </c>
    </row>
    <row r="9362" spans="1:5" x14ac:dyDescent="0.55000000000000004">
      <c r="A9362" t="s">
        <v>9443</v>
      </c>
      <c r="B9362" t="s">
        <v>137</v>
      </c>
      <c r="C9362" s="2">
        <v>45070</v>
      </c>
      <c r="D9362" t="s">
        <v>26</v>
      </c>
      <c r="E9362">
        <v>655</v>
      </c>
    </row>
    <row r="9363" spans="1:5" x14ac:dyDescent="0.55000000000000004">
      <c r="A9363" t="s">
        <v>9444</v>
      </c>
      <c r="B9363" t="s">
        <v>115</v>
      </c>
      <c r="C9363" s="2">
        <v>44045</v>
      </c>
      <c r="D9363" t="s">
        <v>26</v>
      </c>
      <c r="E9363">
        <v>2714</v>
      </c>
    </row>
    <row r="9364" spans="1:5" x14ac:dyDescent="0.55000000000000004">
      <c r="A9364" t="s">
        <v>9445</v>
      </c>
      <c r="B9364" t="s">
        <v>32</v>
      </c>
      <c r="C9364" s="2">
        <v>44021</v>
      </c>
      <c r="D9364" t="s">
        <v>26</v>
      </c>
      <c r="E9364">
        <v>1956</v>
      </c>
    </row>
    <row r="9365" spans="1:5" x14ac:dyDescent="0.55000000000000004">
      <c r="A9365" t="s">
        <v>9446</v>
      </c>
      <c r="B9365" t="s">
        <v>38</v>
      </c>
      <c r="C9365" s="2">
        <v>43860</v>
      </c>
      <c r="D9365" t="s">
        <v>29</v>
      </c>
      <c r="E9365">
        <v>1330</v>
      </c>
    </row>
    <row r="9366" spans="1:5" x14ac:dyDescent="0.55000000000000004">
      <c r="A9366" t="s">
        <v>9447</v>
      </c>
      <c r="B9366" t="s">
        <v>14</v>
      </c>
      <c r="C9366" s="2">
        <v>43813</v>
      </c>
      <c r="D9366" t="s">
        <v>29</v>
      </c>
      <c r="E9366">
        <v>423</v>
      </c>
    </row>
    <row r="9367" spans="1:5" x14ac:dyDescent="0.55000000000000004">
      <c r="A9367" t="s">
        <v>9448</v>
      </c>
      <c r="B9367" t="s">
        <v>94</v>
      </c>
      <c r="C9367" s="2">
        <v>44096</v>
      </c>
      <c r="D9367" t="s">
        <v>26</v>
      </c>
      <c r="E9367">
        <v>612</v>
      </c>
    </row>
    <row r="9368" spans="1:5" x14ac:dyDescent="0.55000000000000004">
      <c r="A9368" t="s">
        <v>9449</v>
      </c>
      <c r="B9368" t="s">
        <v>99</v>
      </c>
      <c r="C9368" s="2">
        <v>44436</v>
      </c>
      <c r="D9368" t="s">
        <v>26</v>
      </c>
      <c r="E9368">
        <v>1493</v>
      </c>
    </row>
    <row r="9369" spans="1:5" x14ac:dyDescent="0.55000000000000004">
      <c r="A9369" t="s">
        <v>9450</v>
      </c>
      <c r="B9369" t="s">
        <v>101</v>
      </c>
      <c r="C9369" s="2">
        <v>43523</v>
      </c>
      <c r="D9369" t="s">
        <v>29</v>
      </c>
      <c r="E9369">
        <v>1717</v>
      </c>
    </row>
    <row r="9370" spans="1:5" x14ac:dyDescent="0.55000000000000004">
      <c r="A9370" t="s">
        <v>9451</v>
      </c>
      <c r="B9370" t="s">
        <v>99</v>
      </c>
      <c r="C9370" s="2">
        <v>44910</v>
      </c>
      <c r="D9370" t="s">
        <v>26</v>
      </c>
      <c r="E9370">
        <v>2749</v>
      </c>
    </row>
    <row r="9371" spans="1:5" x14ac:dyDescent="0.55000000000000004">
      <c r="A9371" t="s">
        <v>9452</v>
      </c>
      <c r="B9371" t="s">
        <v>14</v>
      </c>
      <c r="C9371" s="2">
        <v>43442</v>
      </c>
      <c r="D9371" t="s">
        <v>29</v>
      </c>
      <c r="E9371">
        <v>1514</v>
      </c>
    </row>
    <row r="9372" spans="1:5" x14ac:dyDescent="0.55000000000000004">
      <c r="A9372" t="s">
        <v>9453</v>
      </c>
      <c r="B9372" t="s">
        <v>111</v>
      </c>
      <c r="C9372" s="2">
        <v>43613</v>
      </c>
      <c r="D9372" t="s">
        <v>29</v>
      </c>
      <c r="E9372">
        <v>209</v>
      </c>
    </row>
    <row r="9373" spans="1:5" x14ac:dyDescent="0.55000000000000004">
      <c r="A9373" t="s">
        <v>9454</v>
      </c>
      <c r="B9373" t="s">
        <v>72</v>
      </c>
      <c r="C9373" s="2">
        <v>43752</v>
      </c>
      <c r="D9373" t="s">
        <v>26</v>
      </c>
      <c r="E9373">
        <v>2890</v>
      </c>
    </row>
    <row r="9374" spans="1:5" x14ac:dyDescent="0.55000000000000004">
      <c r="A9374" t="s">
        <v>9455</v>
      </c>
      <c r="B9374" t="s">
        <v>111</v>
      </c>
      <c r="C9374" s="2">
        <v>43794</v>
      </c>
      <c r="D9374" t="s">
        <v>26</v>
      </c>
      <c r="E9374">
        <v>2046</v>
      </c>
    </row>
    <row r="9375" spans="1:5" x14ac:dyDescent="0.55000000000000004">
      <c r="A9375" t="s">
        <v>9456</v>
      </c>
      <c r="B9375" t="s">
        <v>96</v>
      </c>
      <c r="C9375" s="2">
        <v>45461</v>
      </c>
      <c r="D9375" t="s">
        <v>29</v>
      </c>
      <c r="E9375">
        <v>886</v>
      </c>
    </row>
    <row r="9376" spans="1:5" x14ac:dyDescent="0.55000000000000004">
      <c r="A9376" t="s">
        <v>9457</v>
      </c>
      <c r="B9376" t="s">
        <v>63</v>
      </c>
      <c r="C9376" s="2">
        <v>44240</v>
      </c>
      <c r="D9376" t="s">
        <v>26</v>
      </c>
      <c r="E9376">
        <v>1999</v>
      </c>
    </row>
    <row r="9377" spans="1:5" x14ac:dyDescent="0.55000000000000004">
      <c r="A9377" t="s">
        <v>9458</v>
      </c>
      <c r="B9377" t="s">
        <v>140</v>
      </c>
      <c r="C9377" s="2">
        <v>43309</v>
      </c>
      <c r="D9377" t="s">
        <v>26</v>
      </c>
      <c r="E9377">
        <v>1076</v>
      </c>
    </row>
    <row r="9378" spans="1:5" x14ac:dyDescent="0.55000000000000004">
      <c r="A9378" t="s">
        <v>9459</v>
      </c>
      <c r="B9378" t="s">
        <v>38</v>
      </c>
      <c r="C9378" s="2">
        <v>44672</v>
      </c>
      <c r="D9378" t="s">
        <v>26</v>
      </c>
      <c r="E9378">
        <v>119</v>
      </c>
    </row>
    <row r="9379" spans="1:5" x14ac:dyDescent="0.55000000000000004">
      <c r="A9379" t="s">
        <v>9460</v>
      </c>
      <c r="B9379" t="s">
        <v>67</v>
      </c>
      <c r="C9379" s="2">
        <v>44194</v>
      </c>
      <c r="D9379" t="s">
        <v>26</v>
      </c>
      <c r="E9379">
        <v>1639</v>
      </c>
    </row>
    <row r="9380" spans="1:5" x14ac:dyDescent="0.55000000000000004">
      <c r="A9380" t="s">
        <v>9461</v>
      </c>
      <c r="B9380" t="s">
        <v>23</v>
      </c>
      <c r="C9380" s="2">
        <v>44603</v>
      </c>
      <c r="D9380" t="s">
        <v>26</v>
      </c>
      <c r="E9380">
        <v>1737</v>
      </c>
    </row>
    <row r="9381" spans="1:5" x14ac:dyDescent="0.55000000000000004">
      <c r="A9381" t="s">
        <v>9462</v>
      </c>
      <c r="B9381" t="s">
        <v>94</v>
      </c>
      <c r="C9381" s="2">
        <v>45771</v>
      </c>
      <c r="D9381" t="s">
        <v>26</v>
      </c>
      <c r="E9381">
        <v>752</v>
      </c>
    </row>
    <row r="9382" spans="1:5" x14ac:dyDescent="0.55000000000000004">
      <c r="A9382" t="s">
        <v>9463</v>
      </c>
      <c r="B9382" t="s">
        <v>38</v>
      </c>
      <c r="C9382" s="2">
        <v>44207</v>
      </c>
      <c r="D9382" t="s">
        <v>26</v>
      </c>
      <c r="E9382">
        <v>254</v>
      </c>
    </row>
    <row r="9383" spans="1:5" x14ac:dyDescent="0.55000000000000004">
      <c r="A9383" t="s">
        <v>9464</v>
      </c>
      <c r="B9383" t="s">
        <v>23</v>
      </c>
      <c r="C9383" s="2">
        <v>44740</v>
      </c>
      <c r="D9383" t="s">
        <v>29</v>
      </c>
      <c r="E9383">
        <v>1381</v>
      </c>
    </row>
    <row r="9384" spans="1:5" x14ac:dyDescent="0.55000000000000004">
      <c r="A9384" t="s">
        <v>9465</v>
      </c>
      <c r="B9384" t="s">
        <v>38</v>
      </c>
      <c r="C9384" s="2">
        <v>43878</v>
      </c>
      <c r="D9384" t="s">
        <v>29</v>
      </c>
      <c r="E9384">
        <v>426</v>
      </c>
    </row>
    <row r="9385" spans="1:5" x14ac:dyDescent="0.55000000000000004">
      <c r="A9385" t="s">
        <v>9466</v>
      </c>
      <c r="B9385" t="s">
        <v>15</v>
      </c>
      <c r="C9385" s="2">
        <v>44500</v>
      </c>
      <c r="D9385" t="s">
        <v>26</v>
      </c>
      <c r="E9385">
        <v>1768</v>
      </c>
    </row>
    <row r="9386" spans="1:5" x14ac:dyDescent="0.55000000000000004">
      <c r="A9386" t="s">
        <v>9467</v>
      </c>
      <c r="B9386" t="s">
        <v>35</v>
      </c>
      <c r="C9386" s="2">
        <v>44777</v>
      </c>
      <c r="D9386" t="s">
        <v>26</v>
      </c>
      <c r="E9386">
        <v>2954</v>
      </c>
    </row>
    <row r="9387" spans="1:5" x14ac:dyDescent="0.55000000000000004">
      <c r="A9387" t="s">
        <v>9468</v>
      </c>
      <c r="B9387" t="s">
        <v>74</v>
      </c>
      <c r="C9387" s="2">
        <v>43614</v>
      </c>
      <c r="D9387" t="s">
        <v>26</v>
      </c>
      <c r="E9387">
        <v>707</v>
      </c>
    </row>
    <row r="9388" spans="1:5" x14ac:dyDescent="0.55000000000000004">
      <c r="A9388" t="s">
        <v>9469</v>
      </c>
      <c r="B9388" t="s">
        <v>142</v>
      </c>
      <c r="C9388" s="2">
        <v>43031</v>
      </c>
      <c r="D9388" t="s">
        <v>26</v>
      </c>
      <c r="E9388">
        <v>2392</v>
      </c>
    </row>
    <row r="9389" spans="1:5" x14ac:dyDescent="0.55000000000000004">
      <c r="A9389" t="s">
        <v>9470</v>
      </c>
      <c r="B9389" t="s">
        <v>76</v>
      </c>
      <c r="C9389" s="2">
        <v>44321</v>
      </c>
      <c r="D9389" t="s">
        <v>29</v>
      </c>
      <c r="E9389">
        <v>1267</v>
      </c>
    </row>
    <row r="9390" spans="1:5" x14ac:dyDescent="0.55000000000000004">
      <c r="A9390" t="s">
        <v>9471</v>
      </c>
      <c r="B9390" t="s">
        <v>32</v>
      </c>
      <c r="C9390" s="2">
        <v>43898</v>
      </c>
      <c r="D9390" t="s">
        <v>29</v>
      </c>
      <c r="E9390">
        <v>1787</v>
      </c>
    </row>
    <row r="9391" spans="1:5" x14ac:dyDescent="0.55000000000000004">
      <c r="A9391" t="s">
        <v>9472</v>
      </c>
      <c r="B9391" t="s">
        <v>32</v>
      </c>
      <c r="C9391" s="2">
        <v>44805</v>
      </c>
      <c r="D9391" t="s">
        <v>26</v>
      </c>
      <c r="E9391">
        <v>469</v>
      </c>
    </row>
    <row r="9392" spans="1:5" x14ac:dyDescent="0.55000000000000004">
      <c r="A9392" t="s">
        <v>9473</v>
      </c>
      <c r="B9392" t="s">
        <v>101</v>
      </c>
      <c r="C9392" s="2">
        <v>43290</v>
      </c>
      <c r="D9392" t="s">
        <v>26</v>
      </c>
      <c r="E9392">
        <v>2257</v>
      </c>
    </row>
    <row r="9393" spans="1:5" x14ac:dyDescent="0.55000000000000004">
      <c r="A9393" t="s">
        <v>9474</v>
      </c>
      <c r="B9393" t="s">
        <v>35</v>
      </c>
      <c r="C9393" s="2">
        <v>44227</v>
      </c>
      <c r="D9393" t="s">
        <v>26</v>
      </c>
      <c r="E9393">
        <v>2810</v>
      </c>
    </row>
    <row r="9394" spans="1:5" x14ac:dyDescent="0.55000000000000004">
      <c r="A9394" t="s">
        <v>9475</v>
      </c>
      <c r="B9394" t="s">
        <v>175</v>
      </c>
      <c r="C9394" s="2">
        <v>44413</v>
      </c>
      <c r="D9394" t="s">
        <v>26</v>
      </c>
      <c r="E9394">
        <v>2442</v>
      </c>
    </row>
    <row r="9395" spans="1:5" x14ac:dyDescent="0.55000000000000004">
      <c r="A9395" t="s">
        <v>9476</v>
      </c>
      <c r="B9395" t="s">
        <v>105</v>
      </c>
      <c r="C9395" s="2">
        <v>44100</v>
      </c>
      <c r="D9395" t="s">
        <v>29</v>
      </c>
      <c r="E9395">
        <v>2657</v>
      </c>
    </row>
    <row r="9396" spans="1:5" x14ac:dyDescent="0.55000000000000004">
      <c r="A9396" t="s">
        <v>9477</v>
      </c>
      <c r="B9396" t="s">
        <v>32</v>
      </c>
      <c r="C9396" s="2">
        <v>44131</v>
      </c>
      <c r="D9396" t="s">
        <v>26</v>
      </c>
      <c r="E9396">
        <v>10</v>
      </c>
    </row>
    <row r="9397" spans="1:5" x14ac:dyDescent="0.55000000000000004">
      <c r="A9397" t="s">
        <v>9478</v>
      </c>
      <c r="B9397" t="s">
        <v>76</v>
      </c>
      <c r="C9397" s="2">
        <v>44847</v>
      </c>
      <c r="D9397" t="s">
        <v>26</v>
      </c>
      <c r="E9397">
        <v>101</v>
      </c>
    </row>
    <row r="9398" spans="1:5" x14ac:dyDescent="0.55000000000000004">
      <c r="A9398" t="s">
        <v>9479</v>
      </c>
      <c r="B9398" t="s">
        <v>96</v>
      </c>
      <c r="C9398" s="2">
        <v>43814</v>
      </c>
      <c r="D9398" t="s">
        <v>26</v>
      </c>
      <c r="E9398">
        <v>709</v>
      </c>
    </row>
    <row r="9399" spans="1:5" x14ac:dyDescent="0.55000000000000004">
      <c r="A9399" t="s">
        <v>9480</v>
      </c>
      <c r="B9399" t="s">
        <v>140</v>
      </c>
      <c r="C9399" s="2">
        <v>43003</v>
      </c>
      <c r="D9399" t="s">
        <v>26</v>
      </c>
      <c r="E9399">
        <v>2290</v>
      </c>
    </row>
    <row r="9400" spans="1:5" x14ac:dyDescent="0.55000000000000004">
      <c r="A9400" t="s">
        <v>9481</v>
      </c>
      <c r="B9400" t="s">
        <v>72</v>
      </c>
      <c r="C9400" s="2">
        <v>43214</v>
      </c>
      <c r="D9400" t="s">
        <v>26</v>
      </c>
      <c r="E9400">
        <v>2672</v>
      </c>
    </row>
    <row r="9401" spans="1:5" x14ac:dyDescent="0.55000000000000004">
      <c r="A9401" t="s">
        <v>9482</v>
      </c>
      <c r="B9401" t="s">
        <v>15</v>
      </c>
      <c r="C9401" s="2">
        <v>43827</v>
      </c>
      <c r="D9401" t="s">
        <v>29</v>
      </c>
      <c r="E9401">
        <v>744</v>
      </c>
    </row>
    <row r="9402" spans="1:5" x14ac:dyDescent="0.55000000000000004">
      <c r="A9402" t="s">
        <v>9483</v>
      </c>
      <c r="B9402" t="s">
        <v>15</v>
      </c>
      <c r="C9402" s="2">
        <v>44513</v>
      </c>
      <c r="D9402" t="s">
        <v>26</v>
      </c>
      <c r="E9402">
        <v>1292</v>
      </c>
    </row>
    <row r="9403" spans="1:5" x14ac:dyDescent="0.55000000000000004">
      <c r="A9403" t="s">
        <v>9484</v>
      </c>
      <c r="B9403" t="s">
        <v>156</v>
      </c>
      <c r="C9403" s="2">
        <v>44187</v>
      </c>
      <c r="D9403" t="s">
        <v>29</v>
      </c>
      <c r="E9403">
        <v>2011</v>
      </c>
    </row>
    <row r="9404" spans="1:5" x14ac:dyDescent="0.55000000000000004">
      <c r="A9404" t="s">
        <v>9485</v>
      </c>
      <c r="B9404" t="s">
        <v>78</v>
      </c>
      <c r="C9404" s="2">
        <v>45683</v>
      </c>
      <c r="D9404" t="s">
        <v>29</v>
      </c>
      <c r="E9404">
        <v>682</v>
      </c>
    </row>
    <row r="9405" spans="1:5" x14ac:dyDescent="0.55000000000000004">
      <c r="A9405" t="s">
        <v>9486</v>
      </c>
      <c r="B9405" t="s">
        <v>94</v>
      </c>
      <c r="C9405" s="2">
        <v>45708</v>
      </c>
      <c r="D9405" t="s">
        <v>26</v>
      </c>
      <c r="E9405">
        <v>254</v>
      </c>
    </row>
    <row r="9406" spans="1:5" x14ac:dyDescent="0.55000000000000004">
      <c r="A9406" t="s">
        <v>9487</v>
      </c>
      <c r="B9406" t="s">
        <v>101</v>
      </c>
      <c r="C9406" s="2">
        <v>43313</v>
      </c>
      <c r="D9406" t="s">
        <v>26</v>
      </c>
      <c r="E9406">
        <v>650</v>
      </c>
    </row>
    <row r="9407" spans="1:5" x14ac:dyDescent="0.55000000000000004">
      <c r="A9407" t="s">
        <v>9488</v>
      </c>
      <c r="B9407" t="s">
        <v>41</v>
      </c>
      <c r="C9407" s="2">
        <v>44892</v>
      </c>
      <c r="D9407" t="s">
        <v>26</v>
      </c>
      <c r="E9407">
        <v>324</v>
      </c>
    </row>
    <row r="9408" spans="1:5" x14ac:dyDescent="0.55000000000000004">
      <c r="A9408" t="s">
        <v>9489</v>
      </c>
      <c r="B9408" t="s">
        <v>105</v>
      </c>
      <c r="C9408" s="2">
        <v>43780</v>
      </c>
      <c r="D9408" t="s">
        <v>26</v>
      </c>
      <c r="E9408">
        <v>1192</v>
      </c>
    </row>
    <row r="9409" spans="1:5" x14ac:dyDescent="0.55000000000000004">
      <c r="A9409" t="s">
        <v>9490</v>
      </c>
      <c r="B9409" t="s">
        <v>84</v>
      </c>
      <c r="C9409" s="2">
        <v>43768</v>
      </c>
      <c r="D9409" t="s">
        <v>29</v>
      </c>
      <c r="E9409">
        <v>1497</v>
      </c>
    </row>
    <row r="9410" spans="1:5" x14ac:dyDescent="0.55000000000000004">
      <c r="A9410" t="s">
        <v>9491</v>
      </c>
      <c r="B9410" t="s">
        <v>67</v>
      </c>
      <c r="C9410" s="2">
        <v>44793</v>
      </c>
      <c r="D9410" t="s">
        <v>26</v>
      </c>
      <c r="E9410">
        <v>1108</v>
      </c>
    </row>
    <row r="9411" spans="1:5" x14ac:dyDescent="0.55000000000000004">
      <c r="A9411" t="s">
        <v>9492</v>
      </c>
      <c r="B9411" t="s">
        <v>96</v>
      </c>
      <c r="C9411" s="2">
        <v>45138</v>
      </c>
      <c r="D9411" t="s">
        <v>26</v>
      </c>
      <c r="E9411">
        <v>2325</v>
      </c>
    </row>
    <row r="9412" spans="1:5" x14ac:dyDescent="0.55000000000000004">
      <c r="A9412" t="s">
        <v>9493</v>
      </c>
      <c r="B9412" t="s">
        <v>140</v>
      </c>
      <c r="C9412" s="2">
        <v>44335</v>
      </c>
      <c r="D9412" t="s">
        <v>26</v>
      </c>
      <c r="E9412">
        <v>2649</v>
      </c>
    </row>
    <row r="9413" spans="1:5" x14ac:dyDescent="0.55000000000000004">
      <c r="A9413" t="s">
        <v>9494</v>
      </c>
      <c r="B9413" t="s">
        <v>140</v>
      </c>
      <c r="C9413" s="2">
        <v>43460</v>
      </c>
      <c r="D9413" t="s">
        <v>29</v>
      </c>
      <c r="E9413">
        <v>637</v>
      </c>
    </row>
    <row r="9414" spans="1:5" x14ac:dyDescent="0.55000000000000004">
      <c r="A9414" t="s">
        <v>9495</v>
      </c>
      <c r="B9414" t="s">
        <v>41</v>
      </c>
      <c r="C9414" s="2">
        <v>44357</v>
      </c>
      <c r="D9414" t="s">
        <v>29</v>
      </c>
      <c r="E9414">
        <v>724</v>
      </c>
    </row>
    <row r="9415" spans="1:5" x14ac:dyDescent="0.55000000000000004">
      <c r="A9415" t="s">
        <v>9496</v>
      </c>
      <c r="B9415" t="s">
        <v>86</v>
      </c>
      <c r="C9415" s="2">
        <v>43861</v>
      </c>
      <c r="D9415" t="s">
        <v>26</v>
      </c>
      <c r="E9415">
        <v>1855</v>
      </c>
    </row>
    <row r="9416" spans="1:5" x14ac:dyDescent="0.55000000000000004">
      <c r="A9416" t="s">
        <v>9497</v>
      </c>
      <c r="B9416" t="s">
        <v>99</v>
      </c>
      <c r="C9416" s="2">
        <v>45373</v>
      </c>
      <c r="D9416" t="s">
        <v>29</v>
      </c>
      <c r="E9416">
        <v>1922</v>
      </c>
    </row>
    <row r="9417" spans="1:5" x14ac:dyDescent="0.55000000000000004">
      <c r="A9417" t="s">
        <v>9498</v>
      </c>
      <c r="B9417" t="s">
        <v>96</v>
      </c>
      <c r="C9417" s="2">
        <v>45708</v>
      </c>
      <c r="D9417" t="s">
        <v>29</v>
      </c>
      <c r="E9417">
        <v>57</v>
      </c>
    </row>
    <row r="9418" spans="1:5" x14ac:dyDescent="0.55000000000000004">
      <c r="A9418" t="s">
        <v>9499</v>
      </c>
      <c r="B9418" t="s">
        <v>15</v>
      </c>
      <c r="C9418" s="2">
        <v>42924</v>
      </c>
      <c r="D9418" t="s">
        <v>29</v>
      </c>
      <c r="E9418">
        <v>1706</v>
      </c>
    </row>
    <row r="9419" spans="1:5" x14ac:dyDescent="0.55000000000000004">
      <c r="A9419" t="s">
        <v>9500</v>
      </c>
      <c r="B9419" t="s">
        <v>111</v>
      </c>
      <c r="C9419" s="2">
        <v>43897</v>
      </c>
      <c r="D9419" t="s">
        <v>29</v>
      </c>
      <c r="E9419">
        <v>1876</v>
      </c>
    </row>
    <row r="9420" spans="1:5" x14ac:dyDescent="0.55000000000000004">
      <c r="A9420" t="s">
        <v>9501</v>
      </c>
      <c r="B9420" t="s">
        <v>118</v>
      </c>
      <c r="C9420" s="2">
        <v>43682</v>
      </c>
      <c r="D9420" t="s">
        <v>29</v>
      </c>
      <c r="E9420">
        <v>353</v>
      </c>
    </row>
    <row r="9421" spans="1:5" x14ac:dyDescent="0.55000000000000004">
      <c r="A9421" t="s">
        <v>9502</v>
      </c>
      <c r="B9421" t="s">
        <v>72</v>
      </c>
      <c r="C9421" s="2">
        <v>44176</v>
      </c>
      <c r="D9421" t="s">
        <v>29</v>
      </c>
      <c r="E9421">
        <v>627</v>
      </c>
    </row>
    <row r="9422" spans="1:5" x14ac:dyDescent="0.55000000000000004">
      <c r="A9422" t="s">
        <v>9503</v>
      </c>
      <c r="B9422" t="s">
        <v>99</v>
      </c>
      <c r="C9422" s="2">
        <v>44720</v>
      </c>
      <c r="D9422" t="s">
        <v>26</v>
      </c>
      <c r="E9422">
        <v>1633</v>
      </c>
    </row>
    <row r="9423" spans="1:5" x14ac:dyDescent="0.55000000000000004">
      <c r="A9423" t="s">
        <v>9504</v>
      </c>
      <c r="B9423" t="s">
        <v>67</v>
      </c>
      <c r="C9423" s="2">
        <v>43717</v>
      </c>
      <c r="D9423" t="s">
        <v>26</v>
      </c>
      <c r="E9423">
        <v>2099</v>
      </c>
    </row>
    <row r="9424" spans="1:5" x14ac:dyDescent="0.55000000000000004">
      <c r="A9424" t="s">
        <v>9505</v>
      </c>
      <c r="B9424" t="s">
        <v>137</v>
      </c>
      <c r="C9424" s="2">
        <v>44066</v>
      </c>
      <c r="D9424" t="s">
        <v>29</v>
      </c>
      <c r="E9424">
        <v>2814</v>
      </c>
    </row>
    <row r="9425" spans="1:5" x14ac:dyDescent="0.55000000000000004">
      <c r="A9425" t="s">
        <v>9506</v>
      </c>
      <c r="B9425" t="s">
        <v>78</v>
      </c>
      <c r="C9425" s="2">
        <v>43757</v>
      </c>
      <c r="D9425" t="s">
        <v>29</v>
      </c>
      <c r="E9425">
        <v>1053</v>
      </c>
    </row>
    <row r="9426" spans="1:5" x14ac:dyDescent="0.55000000000000004">
      <c r="A9426" t="s">
        <v>9507</v>
      </c>
      <c r="B9426" t="s">
        <v>115</v>
      </c>
      <c r="C9426" s="2">
        <v>43813</v>
      </c>
      <c r="D9426" t="s">
        <v>26</v>
      </c>
      <c r="E9426">
        <v>5</v>
      </c>
    </row>
    <row r="9427" spans="1:5" x14ac:dyDescent="0.55000000000000004">
      <c r="A9427" t="s">
        <v>9508</v>
      </c>
      <c r="B9427" t="s">
        <v>111</v>
      </c>
      <c r="C9427" s="2">
        <v>43318</v>
      </c>
      <c r="D9427" t="s">
        <v>29</v>
      </c>
      <c r="E9427">
        <v>305</v>
      </c>
    </row>
    <row r="9428" spans="1:5" x14ac:dyDescent="0.55000000000000004">
      <c r="A9428" t="s">
        <v>9509</v>
      </c>
      <c r="B9428" t="s">
        <v>35</v>
      </c>
      <c r="C9428" s="2">
        <v>44887</v>
      </c>
      <c r="D9428" t="s">
        <v>29</v>
      </c>
      <c r="E9428">
        <v>136</v>
      </c>
    </row>
    <row r="9429" spans="1:5" x14ac:dyDescent="0.55000000000000004">
      <c r="A9429" t="s">
        <v>9510</v>
      </c>
      <c r="B9429" t="s">
        <v>111</v>
      </c>
      <c r="C9429" s="2">
        <v>43709</v>
      </c>
      <c r="D9429" t="s">
        <v>29</v>
      </c>
      <c r="E9429">
        <v>2223</v>
      </c>
    </row>
    <row r="9430" spans="1:5" x14ac:dyDescent="0.55000000000000004">
      <c r="A9430" t="s">
        <v>9511</v>
      </c>
      <c r="B9430" t="s">
        <v>67</v>
      </c>
      <c r="C9430" s="2">
        <v>43509</v>
      </c>
      <c r="D9430" t="s">
        <v>26</v>
      </c>
      <c r="E9430">
        <v>304</v>
      </c>
    </row>
    <row r="9431" spans="1:5" x14ac:dyDescent="0.55000000000000004">
      <c r="A9431" t="s">
        <v>9512</v>
      </c>
      <c r="B9431" t="s">
        <v>41</v>
      </c>
      <c r="C9431" s="2">
        <v>44653</v>
      </c>
      <c r="D9431" t="s">
        <v>29</v>
      </c>
      <c r="E9431">
        <v>1251</v>
      </c>
    </row>
    <row r="9432" spans="1:5" x14ac:dyDescent="0.55000000000000004">
      <c r="A9432" t="s">
        <v>9513</v>
      </c>
      <c r="B9432" t="s">
        <v>96</v>
      </c>
      <c r="C9432" s="2">
        <v>45830</v>
      </c>
      <c r="D9432" t="s">
        <v>29</v>
      </c>
      <c r="E9432">
        <v>2604</v>
      </c>
    </row>
    <row r="9433" spans="1:5" x14ac:dyDescent="0.55000000000000004">
      <c r="A9433" t="s">
        <v>9514</v>
      </c>
      <c r="B9433" t="s">
        <v>74</v>
      </c>
      <c r="C9433" s="2">
        <v>43212</v>
      </c>
      <c r="D9433" t="s">
        <v>29</v>
      </c>
      <c r="E9433">
        <v>2386</v>
      </c>
    </row>
    <row r="9434" spans="1:5" x14ac:dyDescent="0.55000000000000004">
      <c r="A9434" t="s">
        <v>9515</v>
      </c>
      <c r="B9434" t="s">
        <v>67</v>
      </c>
      <c r="C9434" s="2">
        <v>44247</v>
      </c>
      <c r="D9434" t="s">
        <v>26</v>
      </c>
      <c r="E9434">
        <v>713</v>
      </c>
    </row>
    <row r="9435" spans="1:5" x14ac:dyDescent="0.55000000000000004">
      <c r="A9435" t="s">
        <v>9516</v>
      </c>
      <c r="B9435" t="s">
        <v>118</v>
      </c>
      <c r="C9435" s="2">
        <v>44541</v>
      </c>
      <c r="D9435" t="s">
        <v>26</v>
      </c>
      <c r="E9435">
        <v>2280</v>
      </c>
    </row>
    <row r="9436" spans="1:5" x14ac:dyDescent="0.55000000000000004">
      <c r="A9436" t="s">
        <v>9517</v>
      </c>
      <c r="B9436" t="s">
        <v>38</v>
      </c>
      <c r="C9436" s="2">
        <v>44570</v>
      </c>
      <c r="D9436" t="s">
        <v>26</v>
      </c>
      <c r="E9436">
        <v>1528</v>
      </c>
    </row>
    <row r="9437" spans="1:5" x14ac:dyDescent="0.55000000000000004">
      <c r="A9437" t="s">
        <v>9518</v>
      </c>
      <c r="B9437" t="s">
        <v>38</v>
      </c>
      <c r="C9437" s="2">
        <v>44384</v>
      </c>
      <c r="D9437" t="s">
        <v>26</v>
      </c>
      <c r="E9437">
        <v>1633</v>
      </c>
    </row>
    <row r="9438" spans="1:5" x14ac:dyDescent="0.55000000000000004">
      <c r="A9438" t="s">
        <v>9519</v>
      </c>
      <c r="B9438" t="s">
        <v>137</v>
      </c>
      <c r="C9438" s="2">
        <v>43539</v>
      </c>
      <c r="D9438" t="s">
        <v>26</v>
      </c>
      <c r="E9438">
        <v>2362</v>
      </c>
    </row>
    <row r="9439" spans="1:5" x14ac:dyDescent="0.55000000000000004">
      <c r="A9439" t="s">
        <v>9520</v>
      </c>
      <c r="B9439" t="s">
        <v>32</v>
      </c>
      <c r="C9439" s="2">
        <v>44006</v>
      </c>
      <c r="D9439" t="s">
        <v>29</v>
      </c>
      <c r="E9439">
        <v>2278</v>
      </c>
    </row>
    <row r="9440" spans="1:5" x14ac:dyDescent="0.55000000000000004">
      <c r="A9440" t="s">
        <v>9521</v>
      </c>
      <c r="B9440" t="s">
        <v>14</v>
      </c>
      <c r="C9440" s="2">
        <v>43986</v>
      </c>
      <c r="D9440" t="s">
        <v>29</v>
      </c>
      <c r="E9440">
        <v>11</v>
      </c>
    </row>
    <row r="9441" spans="1:5" x14ac:dyDescent="0.55000000000000004">
      <c r="A9441" t="s">
        <v>9522</v>
      </c>
      <c r="B9441" t="s">
        <v>41</v>
      </c>
      <c r="C9441" s="2">
        <v>44073</v>
      </c>
      <c r="D9441" t="s">
        <v>29</v>
      </c>
      <c r="E9441">
        <v>4</v>
      </c>
    </row>
    <row r="9442" spans="1:5" x14ac:dyDescent="0.55000000000000004">
      <c r="A9442" t="s">
        <v>9523</v>
      </c>
      <c r="B9442" t="s">
        <v>41</v>
      </c>
      <c r="C9442" s="2">
        <v>44884</v>
      </c>
      <c r="D9442" t="s">
        <v>29</v>
      </c>
      <c r="E9442">
        <v>1990</v>
      </c>
    </row>
    <row r="9443" spans="1:5" x14ac:dyDescent="0.55000000000000004">
      <c r="A9443" t="s">
        <v>9524</v>
      </c>
      <c r="B9443" t="s">
        <v>76</v>
      </c>
      <c r="C9443" s="2">
        <v>43886</v>
      </c>
      <c r="D9443" t="s">
        <v>29</v>
      </c>
      <c r="E9443">
        <v>698</v>
      </c>
    </row>
    <row r="9444" spans="1:5" x14ac:dyDescent="0.55000000000000004">
      <c r="A9444" t="s">
        <v>9525</v>
      </c>
      <c r="B9444" t="s">
        <v>142</v>
      </c>
      <c r="C9444" s="2">
        <v>43899</v>
      </c>
      <c r="D9444" t="s">
        <v>29</v>
      </c>
      <c r="E9444">
        <v>2657</v>
      </c>
    </row>
    <row r="9445" spans="1:5" x14ac:dyDescent="0.55000000000000004">
      <c r="A9445" t="s">
        <v>9526</v>
      </c>
      <c r="B9445" t="s">
        <v>115</v>
      </c>
      <c r="C9445" s="2">
        <v>44400</v>
      </c>
      <c r="D9445" t="s">
        <v>26</v>
      </c>
      <c r="E9445">
        <v>1930</v>
      </c>
    </row>
    <row r="9446" spans="1:5" x14ac:dyDescent="0.55000000000000004">
      <c r="A9446" t="s">
        <v>9527</v>
      </c>
      <c r="B9446" t="s">
        <v>175</v>
      </c>
      <c r="C9446" s="2">
        <v>44634</v>
      </c>
      <c r="D9446" t="s">
        <v>26</v>
      </c>
      <c r="E9446">
        <v>1167</v>
      </c>
    </row>
    <row r="9447" spans="1:5" x14ac:dyDescent="0.55000000000000004">
      <c r="A9447" t="s">
        <v>9528</v>
      </c>
      <c r="B9447" t="s">
        <v>63</v>
      </c>
      <c r="C9447" s="2">
        <v>43377</v>
      </c>
      <c r="D9447" t="s">
        <v>29</v>
      </c>
      <c r="E9447">
        <v>2244</v>
      </c>
    </row>
    <row r="9448" spans="1:5" x14ac:dyDescent="0.55000000000000004">
      <c r="A9448" t="s">
        <v>9529</v>
      </c>
      <c r="B9448" t="s">
        <v>23</v>
      </c>
      <c r="C9448" s="2">
        <v>44594</v>
      </c>
      <c r="D9448" t="s">
        <v>29</v>
      </c>
      <c r="E9448">
        <v>2445</v>
      </c>
    </row>
    <row r="9449" spans="1:5" x14ac:dyDescent="0.55000000000000004">
      <c r="A9449" t="s">
        <v>9530</v>
      </c>
      <c r="B9449" t="s">
        <v>101</v>
      </c>
      <c r="C9449" s="2">
        <v>43844</v>
      </c>
      <c r="D9449" t="s">
        <v>26</v>
      </c>
      <c r="E9449">
        <v>2654</v>
      </c>
    </row>
    <row r="9450" spans="1:5" x14ac:dyDescent="0.55000000000000004">
      <c r="A9450" t="s">
        <v>9531</v>
      </c>
      <c r="B9450" t="s">
        <v>156</v>
      </c>
      <c r="C9450" s="2">
        <v>43761</v>
      </c>
      <c r="D9450" t="s">
        <v>26</v>
      </c>
      <c r="E9450">
        <v>2743</v>
      </c>
    </row>
    <row r="9451" spans="1:5" x14ac:dyDescent="0.55000000000000004">
      <c r="A9451" t="s">
        <v>9532</v>
      </c>
      <c r="B9451" t="s">
        <v>142</v>
      </c>
      <c r="C9451" s="2">
        <v>43587</v>
      </c>
      <c r="D9451" t="s">
        <v>26</v>
      </c>
      <c r="E9451">
        <v>375</v>
      </c>
    </row>
    <row r="9452" spans="1:5" x14ac:dyDescent="0.55000000000000004">
      <c r="A9452" t="s">
        <v>9533</v>
      </c>
      <c r="B9452" t="s">
        <v>142</v>
      </c>
      <c r="C9452" s="2">
        <v>44085</v>
      </c>
      <c r="D9452" t="s">
        <v>26</v>
      </c>
      <c r="E9452">
        <v>209</v>
      </c>
    </row>
    <row r="9453" spans="1:5" x14ac:dyDescent="0.55000000000000004">
      <c r="A9453" t="s">
        <v>9534</v>
      </c>
      <c r="B9453" t="s">
        <v>38</v>
      </c>
      <c r="C9453" s="2">
        <v>44791</v>
      </c>
      <c r="D9453" t="s">
        <v>26</v>
      </c>
      <c r="E9453">
        <v>434</v>
      </c>
    </row>
    <row r="9454" spans="1:5" x14ac:dyDescent="0.55000000000000004">
      <c r="A9454" t="s">
        <v>9535</v>
      </c>
      <c r="B9454" t="s">
        <v>96</v>
      </c>
      <c r="C9454" s="2">
        <v>45740</v>
      </c>
      <c r="D9454" t="s">
        <v>29</v>
      </c>
      <c r="E9454">
        <v>115</v>
      </c>
    </row>
    <row r="9455" spans="1:5" x14ac:dyDescent="0.55000000000000004">
      <c r="A9455" t="s">
        <v>9536</v>
      </c>
      <c r="B9455" t="s">
        <v>78</v>
      </c>
      <c r="C9455" s="2">
        <v>44189</v>
      </c>
      <c r="D9455" t="s">
        <v>26</v>
      </c>
      <c r="E9455">
        <v>1524</v>
      </c>
    </row>
    <row r="9456" spans="1:5" x14ac:dyDescent="0.55000000000000004">
      <c r="A9456" t="s">
        <v>9537</v>
      </c>
      <c r="B9456" t="s">
        <v>142</v>
      </c>
      <c r="C9456" s="2">
        <v>43221</v>
      </c>
      <c r="D9456" t="s">
        <v>29</v>
      </c>
      <c r="E9456">
        <v>2724</v>
      </c>
    </row>
    <row r="9457" spans="1:5" x14ac:dyDescent="0.55000000000000004">
      <c r="A9457" t="s">
        <v>9538</v>
      </c>
      <c r="B9457" t="s">
        <v>156</v>
      </c>
      <c r="C9457" s="2">
        <v>44074</v>
      </c>
      <c r="D9457" t="s">
        <v>29</v>
      </c>
      <c r="E9457">
        <v>669</v>
      </c>
    </row>
    <row r="9458" spans="1:5" x14ac:dyDescent="0.55000000000000004">
      <c r="A9458" t="s">
        <v>9539</v>
      </c>
      <c r="B9458" t="s">
        <v>38</v>
      </c>
      <c r="C9458" s="2">
        <v>44301</v>
      </c>
      <c r="D9458" t="s">
        <v>26</v>
      </c>
      <c r="E9458">
        <v>134</v>
      </c>
    </row>
    <row r="9459" spans="1:5" x14ac:dyDescent="0.55000000000000004">
      <c r="A9459" t="s">
        <v>9540</v>
      </c>
      <c r="B9459" t="s">
        <v>74</v>
      </c>
      <c r="C9459" s="2">
        <v>42941</v>
      </c>
      <c r="D9459" t="s">
        <v>26</v>
      </c>
      <c r="E9459">
        <v>2539</v>
      </c>
    </row>
    <row r="9460" spans="1:5" x14ac:dyDescent="0.55000000000000004">
      <c r="A9460" t="s">
        <v>9541</v>
      </c>
      <c r="B9460" t="s">
        <v>94</v>
      </c>
      <c r="C9460" s="2">
        <v>45393</v>
      </c>
      <c r="D9460" t="s">
        <v>29</v>
      </c>
      <c r="E9460">
        <v>2557</v>
      </c>
    </row>
    <row r="9461" spans="1:5" x14ac:dyDescent="0.55000000000000004">
      <c r="A9461" t="s">
        <v>9542</v>
      </c>
      <c r="B9461" t="s">
        <v>137</v>
      </c>
      <c r="C9461" s="2">
        <v>45404</v>
      </c>
      <c r="D9461" t="s">
        <v>29</v>
      </c>
      <c r="E9461">
        <v>2655</v>
      </c>
    </row>
    <row r="9462" spans="1:5" x14ac:dyDescent="0.55000000000000004">
      <c r="A9462" t="s">
        <v>9543</v>
      </c>
      <c r="B9462" t="s">
        <v>15</v>
      </c>
      <c r="C9462" s="2">
        <v>44298</v>
      </c>
      <c r="D9462" t="s">
        <v>29</v>
      </c>
      <c r="E9462">
        <v>2621</v>
      </c>
    </row>
    <row r="9463" spans="1:5" x14ac:dyDescent="0.55000000000000004">
      <c r="A9463" t="s">
        <v>9544</v>
      </c>
      <c r="B9463" t="s">
        <v>63</v>
      </c>
      <c r="C9463" s="2">
        <v>44144</v>
      </c>
      <c r="D9463" t="s">
        <v>29</v>
      </c>
      <c r="E9463">
        <v>1316</v>
      </c>
    </row>
    <row r="9464" spans="1:5" x14ac:dyDescent="0.55000000000000004">
      <c r="A9464" t="s">
        <v>9545</v>
      </c>
      <c r="B9464" t="s">
        <v>32</v>
      </c>
      <c r="C9464" s="2">
        <v>44755</v>
      </c>
      <c r="D9464" t="s">
        <v>29</v>
      </c>
      <c r="E9464">
        <v>1042</v>
      </c>
    </row>
    <row r="9465" spans="1:5" x14ac:dyDescent="0.55000000000000004">
      <c r="A9465" t="s">
        <v>9546</v>
      </c>
      <c r="B9465" t="s">
        <v>175</v>
      </c>
      <c r="C9465" s="2">
        <v>44150</v>
      </c>
      <c r="D9465" t="s">
        <v>29</v>
      </c>
      <c r="E9465">
        <v>619</v>
      </c>
    </row>
    <row r="9466" spans="1:5" x14ac:dyDescent="0.55000000000000004">
      <c r="A9466" t="s">
        <v>9547</v>
      </c>
      <c r="B9466" t="s">
        <v>101</v>
      </c>
      <c r="C9466" s="2">
        <v>44275</v>
      </c>
      <c r="D9466" t="s">
        <v>29</v>
      </c>
      <c r="E9466">
        <v>2740</v>
      </c>
    </row>
    <row r="9467" spans="1:5" x14ac:dyDescent="0.55000000000000004">
      <c r="A9467" t="s">
        <v>9548</v>
      </c>
      <c r="B9467" t="s">
        <v>35</v>
      </c>
      <c r="C9467" s="2">
        <v>44170</v>
      </c>
      <c r="D9467" t="s">
        <v>26</v>
      </c>
      <c r="E9467">
        <v>1152</v>
      </c>
    </row>
    <row r="9468" spans="1:5" x14ac:dyDescent="0.55000000000000004">
      <c r="A9468" t="s">
        <v>9549</v>
      </c>
      <c r="B9468" t="s">
        <v>74</v>
      </c>
      <c r="C9468" s="2">
        <v>43745</v>
      </c>
      <c r="D9468" t="s">
        <v>29</v>
      </c>
      <c r="E9468">
        <v>462</v>
      </c>
    </row>
    <row r="9469" spans="1:5" x14ac:dyDescent="0.55000000000000004">
      <c r="A9469" t="s">
        <v>9550</v>
      </c>
      <c r="B9469" t="s">
        <v>86</v>
      </c>
      <c r="C9469" s="2">
        <v>44511</v>
      </c>
      <c r="D9469" t="s">
        <v>26</v>
      </c>
      <c r="E9469">
        <v>1805</v>
      </c>
    </row>
    <row r="9470" spans="1:5" x14ac:dyDescent="0.55000000000000004">
      <c r="A9470" t="s">
        <v>9551</v>
      </c>
      <c r="B9470" t="s">
        <v>156</v>
      </c>
      <c r="C9470" s="2">
        <v>42997</v>
      </c>
      <c r="D9470" t="s">
        <v>29</v>
      </c>
      <c r="E9470">
        <v>380</v>
      </c>
    </row>
    <row r="9471" spans="1:5" x14ac:dyDescent="0.55000000000000004">
      <c r="A9471" t="s">
        <v>9552</v>
      </c>
      <c r="B9471" t="s">
        <v>94</v>
      </c>
      <c r="C9471" s="2">
        <v>44234</v>
      </c>
      <c r="D9471" t="s">
        <v>26</v>
      </c>
      <c r="E9471">
        <v>1878</v>
      </c>
    </row>
    <row r="9472" spans="1:5" x14ac:dyDescent="0.55000000000000004">
      <c r="A9472" t="s">
        <v>9553</v>
      </c>
      <c r="B9472" t="s">
        <v>118</v>
      </c>
      <c r="C9472" s="2">
        <v>44407</v>
      </c>
      <c r="D9472" t="s">
        <v>29</v>
      </c>
      <c r="E9472">
        <v>1735</v>
      </c>
    </row>
    <row r="9473" spans="1:5" x14ac:dyDescent="0.55000000000000004">
      <c r="A9473" t="s">
        <v>9554</v>
      </c>
      <c r="B9473" t="s">
        <v>137</v>
      </c>
      <c r="C9473" s="2">
        <v>45085</v>
      </c>
      <c r="D9473" t="s">
        <v>29</v>
      </c>
      <c r="E9473">
        <v>1553</v>
      </c>
    </row>
    <row r="9474" spans="1:5" x14ac:dyDescent="0.55000000000000004">
      <c r="A9474" t="s">
        <v>9555</v>
      </c>
      <c r="B9474" t="s">
        <v>99</v>
      </c>
      <c r="C9474" s="2">
        <v>43937</v>
      </c>
      <c r="D9474" t="s">
        <v>29</v>
      </c>
      <c r="E9474">
        <v>19</v>
      </c>
    </row>
    <row r="9475" spans="1:5" x14ac:dyDescent="0.55000000000000004">
      <c r="A9475" t="s">
        <v>9556</v>
      </c>
      <c r="B9475" t="s">
        <v>175</v>
      </c>
      <c r="C9475" s="2">
        <v>45637</v>
      </c>
      <c r="D9475" t="s">
        <v>29</v>
      </c>
      <c r="E9475">
        <v>1406</v>
      </c>
    </row>
    <row r="9476" spans="1:5" x14ac:dyDescent="0.55000000000000004">
      <c r="A9476" t="s">
        <v>9557</v>
      </c>
      <c r="B9476" t="s">
        <v>96</v>
      </c>
      <c r="C9476" s="2">
        <v>43828</v>
      </c>
      <c r="D9476" t="s">
        <v>29</v>
      </c>
      <c r="E9476">
        <v>1233</v>
      </c>
    </row>
    <row r="9477" spans="1:5" x14ac:dyDescent="0.55000000000000004">
      <c r="A9477" t="s">
        <v>9558</v>
      </c>
      <c r="B9477" t="s">
        <v>32</v>
      </c>
      <c r="C9477" s="2">
        <v>43926</v>
      </c>
      <c r="D9477" t="s">
        <v>29</v>
      </c>
      <c r="E9477">
        <v>2133</v>
      </c>
    </row>
    <row r="9478" spans="1:5" x14ac:dyDescent="0.55000000000000004">
      <c r="A9478" t="s">
        <v>9559</v>
      </c>
      <c r="B9478" t="s">
        <v>156</v>
      </c>
      <c r="C9478" s="2">
        <v>44177</v>
      </c>
      <c r="D9478" t="s">
        <v>29</v>
      </c>
      <c r="E9478">
        <v>2114</v>
      </c>
    </row>
    <row r="9479" spans="1:5" x14ac:dyDescent="0.55000000000000004">
      <c r="A9479" t="s">
        <v>9560</v>
      </c>
      <c r="B9479" t="s">
        <v>67</v>
      </c>
      <c r="C9479" s="2">
        <v>43788</v>
      </c>
      <c r="D9479" t="s">
        <v>29</v>
      </c>
      <c r="E9479">
        <v>1117</v>
      </c>
    </row>
    <row r="9480" spans="1:5" x14ac:dyDescent="0.55000000000000004">
      <c r="A9480" t="s">
        <v>9561</v>
      </c>
      <c r="B9480" t="s">
        <v>23</v>
      </c>
      <c r="C9480" s="2">
        <v>43902</v>
      </c>
      <c r="D9480" t="s">
        <v>26</v>
      </c>
      <c r="E9480">
        <v>866</v>
      </c>
    </row>
    <row r="9481" spans="1:5" x14ac:dyDescent="0.55000000000000004">
      <c r="A9481" t="s">
        <v>9562</v>
      </c>
      <c r="B9481" t="s">
        <v>175</v>
      </c>
      <c r="C9481" s="2">
        <v>44848</v>
      </c>
      <c r="D9481" t="s">
        <v>29</v>
      </c>
      <c r="E9481">
        <v>700</v>
      </c>
    </row>
    <row r="9482" spans="1:5" x14ac:dyDescent="0.55000000000000004">
      <c r="A9482" t="s">
        <v>9563</v>
      </c>
      <c r="B9482" t="s">
        <v>156</v>
      </c>
      <c r="C9482" s="2">
        <v>44421</v>
      </c>
      <c r="D9482" t="s">
        <v>26</v>
      </c>
      <c r="E9482">
        <v>2760</v>
      </c>
    </row>
    <row r="9483" spans="1:5" x14ac:dyDescent="0.55000000000000004">
      <c r="A9483" t="s">
        <v>9564</v>
      </c>
      <c r="B9483" t="s">
        <v>86</v>
      </c>
      <c r="C9483" s="2">
        <v>43826</v>
      </c>
      <c r="D9483" t="s">
        <v>29</v>
      </c>
      <c r="E9483">
        <v>1087</v>
      </c>
    </row>
    <row r="9484" spans="1:5" x14ac:dyDescent="0.55000000000000004">
      <c r="A9484" t="s">
        <v>9565</v>
      </c>
      <c r="B9484" t="s">
        <v>111</v>
      </c>
      <c r="C9484" s="2">
        <v>42971</v>
      </c>
      <c r="D9484" t="s">
        <v>29</v>
      </c>
      <c r="E9484">
        <v>856</v>
      </c>
    </row>
    <row r="9485" spans="1:5" x14ac:dyDescent="0.55000000000000004">
      <c r="A9485" t="s">
        <v>9566</v>
      </c>
      <c r="B9485" t="s">
        <v>105</v>
      </c>
      <c r="C9485" s="2">
        <v>43446</v>
      </c>
      <c r="D9485" t="s">
        <v>29</v>
      </c>
      <c r="E9485">
        <v>997</v>
      </c>
    </row>
    <row r="9486" spans="1:5" x14ac:dyDescent="0.55000000000000004">
      <c r="A9486" t="s">
        <v>9567</v>
      </c>
      <c r="B9486" t="s">
        <v>111</v>
      </c>
      <c r="C9486" s="2">
        <v>43214</v>
      </c>
      <c r="D9486" t="s">
        <v>29</v>
      </c>
      <c r="E9486">
        <v>2421</v>
      </c>
    </row>
    <row r="9487" spans="1:5" x14ac:dyDescent="0.55000000000000004">
      <c r="A9487" t="s">
        <v>9568</v>
      </c>
      <c r="B9487" t="s">
        <v>115</v>
      </c>
      <c r="C9487" s="2">
        <v>43116</v>
      </c>
      <c r="D9487" t="s">
        <v>26</v>
      </c>
      <c r="E9487">
        <v>370</v>
      </c>
    </row>
    <row r="9488" spans="1:5" x14ac:dyDescent="0.55000000000000004">
      <c r="A9488" t="s">
        <v>9569</v>
      </c>
      <c r="B9488" t="s">
        <v>41</v>
      </c>
      <c r="C9488" s="2">
        <v>43947</v>
      </c>
      <c r="D9488" t="s">
        <v>29</v>
      </c>
      <c r="E9488">
        <v>2838</v>
      </c>
    </row>
    <row r="9489" spans="1:5" x14ac:dyDescent="0.55000000000000004">
      <c r="A9489" t="s">
        <v>9570</v>
      </c>
      <c r="B9489" t="s">
        <v>76</v>
      </c>
      <c r="C9489" s="2">
        <v>43756</v>
      </c>
      <c r="D9489" t="s">
        <v>29</v>
      </c>
      <c r="E9489">
        <v>1680</v>
      </c>
    </row>
    <row r="9490" spans="1:5" x14ac:dyDescent="0.55000000000000004">
      <c r="A9490" t="s">
        <v>9571</v>
      </c>
      <c r="B9490" t="s">
        <v>38</v>
      </c>
      <c r="C9490" s="2">
        <v>44699</v>
      </c>
      <c r="D9490" t="s">
        <v>29</v>
      </c>
      <c r="E9490">
        <v>2443</v>
      </c>
    </row>
    <row r="9491" spans="1:5" x14ac:dyDescent="0.55000000000000004">
      <c r="A9491" t="s">
        <v>9572</v>
      </c>
      <c r="B9491" t="s">
        <v>63</v>
      </c>
      <c r="C9491" s="2">
        <v>43256</v>
      </c>
      <c r="D9491" t="s">
        <v>26</v>
      </c>
      <c r="E9491">
        <v>994</v>
      </c>
    </row>
    <row r="9492" spans="1:5" x14ac:dyDescent="0.55000000000000004">
      <c r="A9492" t="s">
        <v>9573</v>
      </c>
      <c r="B9492" t="s">
        <v>86</v>
      </c>
      <c r="C9492" s="2">
        <v>44098</v>
      </c>
      <c r="D9492" t="s">
        <v>29</v>
      </c>
      <c r="E9492">
        <v>482</v>
      </c>
    </row>
    <row r="9493" spans="1:5" x14ac:dyDescent="0.55000000000000004">
      <c r="A9493" t="s">
        <v>9574</v>
      </c>
      <c r="B9493" t="s">
        <v>67</v>
      </c>
      <c r="C9493" s="2">
        <v>44324</v>
      </c>
      <c r="D9493" t="s">
        <v>26</v>
      </c>
      <c r="E9493">
        <v>2699</v>
      </c>
    </row>
    <row r="9494" spans="1:5" x14ac:dyDescent="0.55000000000000004">
      <c r="A9494" t="s">
        <v>9575</v>
      </c>
      <c r="B9494" t="s">
        <v>15</v>
      </c>
      <c r="C9494" s="2">
        <v>44398</v>
      </c>
      <c r="D9494" t="s">
        <v>26</v>
      </c>
      <c r="E9494">
        <v>2665</v>
      </c>
    </row>
    <row r="9495" spans="1:5" x14ac:dyDescent="0.55000000000000004">
      <c r="A9495" t="s">
        <v>9576</v>
      </c>
      <c r="B9495" t="s">
        <v>84</v>
      </c>
      <c r="C9495" s="2">
        <v>44336</v>
      </c>
      <c r="D9495" t="s">
        <v>26</v>
      </c>
      <c r="E9495">
        <v>163</v>
      </c>
    </row>
    <row r="9496" spans="1:5" x14ac:dyDescent="0.55000000000000004">
      <c r="A9496" t="s">
        <v>9577</v>
      </c>
      <c r="B9496" t="s">
        <v>94</v>
      </c>
      <c r="C9496" s="2">
        <v>44105</v>
      </c>
      <c r="D9496" t="s">
        <v>26</v>
      </c>
      <c r="E9496">
        <v>2689</v>
      </c>
    </row>
    <row r="9497" spans="1:5" x14ac:dyDescent="0.55000000000000004">
      <c r="A9497" t="s">
        <v>9578</v>
      </c>
      <c r="B9497" t="s">
        <v>76</v>
      </c>
      <c r="C9497" s="2">
        <v>45180</v>
      </c>
      <c r="D9497" t="s">
        <v>29</v>
      </c>
      <c r="E9497">
        <v>634</v>
      </c>
    </row>
    <row r="9498" spans="1:5" x14ac:dyDescent="0.55000000000000004">
      <c r="A9498" t="s">
        <v>9579</v>
      </c>
      <c r="B9498" t="s">
        <v>86</v>
      </c>
      <c r="C9498" s="2">
        <v>44178</v>
      </c>
      <c r="D9498" t="s">
        <v>29</v>
      </c>
      <c r="E9498">
        <v>2714</v>
      </c>
    </row>
    <row r="9499" spans="1:5" x14ac:dyDescent="0.55000000000000004">
      <c r="A9499" t="s">
        <v>9580</v>
      </c>
      <c r="B9499" t="s">
        <v>72</v>
      </c>
      <c r="C9499" s="2">
        <v>42934</v>
      </c>
      <c r="D9499" t="s">
        <v>29</v>
      </c>
      <c r="E9499">
        <v>1359</v>
      </c>
    </row>
    <row r="9500" spans="1:5" x14ac:dyDescent="0.55000000000000004">
      <c r="A9500" t="s">
        <v>9581</v>
      </c>
      <c r="B9500" t="s">
        <v>156</v>
      </c>
      <c r="C9500" s="2">
        <v>44036</v>
      </c>
      <c r="D9500" t="s">
        <v>26</v>
      </c>
      <c r="E9500">
        <v>2352</v>
      </c>
    </row>
    <row r="9501" spans="1:5" x14ac:dyDescent="0.55000000000000004">
      <c r="A9501" t="s">
        <v>9582</v>
      </c>
      <c r="B9501" t="s">
        <v>67</v>
      </c>
      <c r="C9501" s="2">
        <v>45449</v>
      </c>
      <c r="D9501" t="s">
        <v>26</v>
      </c>
      <c r="E9501">
        <v>2941</v>
      </c>
    </row>
    <row r="9502" spans="1:5" x14ac:dyDescent="0.55000000000000004">
      <c r="A9502" t="s">
        <v>9583</v>
      </c>
      <c r="B9502" t="s">
        <v>32</v>
      </c>
      <c r="C9502" s="2">
        <v>44119</v>
      </c>
      <c r="D9502" t="s">
        <v>26</v>
      </c>
      <c r="E9502">
        <v>1154</v>
      </c>
    </row>
    <row r="9503" spans="1:5" x14ac:dyDescent="0.55000000000000004">
      <c r="A9503" t="s">
        <v>9584</v>
      </c>
      <c r="B9503" t="s">
        <v>96</v>
      </c>
      <c r="C9503" s="2">
        <v>44512</v>
      </c>
      <c r="D9503" t="s">
        <v>29</v>
      </c>
      <c r="E9503">
        <v>1830</v>
      </c>
    </row>
    <row r="9504" spans="1:5" x14ac:dyDescent="0.55000000000000004">
      <c r="A9504" t="s">
        <v>9585</v>
      </c>
      <c r="B9504" t="s">
        <v>156</v>
      </c>
      <c r="C9504" s="2">
        <v>43708</v>
      </c>
      <c r="D9504" t="s">
        <v>26</v>
      </c>
      <c r="E9504">
        <v>1207</v>
      </c>
    </row>
    <row r="9505" spans="1:5" x14ac:dyDescent="0.55000000000000004">
      <c r="A9505" t="s">
        <v>9586</v>
      </c>
      <c r="B9505" t="s">
        <v>105</v>
      </c>
      <c r="C9505" s="2">
        <v>44112</v>
      </c>
      <c r="D9505" t="s">
        <v>26</v>
      </c>
      <c r="E9505">
        <v>1866</v>
      </c>
    </row>
    <row r="9506" spans="1:5" x14ac:dyDescent="0.55000000000000004">
      <c r="A9506" t="s">
        <v>9587</v>
      </c>
      <c r="B9506" t="s">
        <v>115</v>
      </c>
      <c r="C9506" s="2">
        <v>43903</v>
      </c>
      <c r="D9506" t="s">
        <v>29</v>
      </c>
      <c r="E9506">
        <v>2794</v>
      </c>
    </row>
    <row r="9507" spans="1:5" x14ac:dyDescent="0.55000000000000004">
      <c r="A9507" t="s">
        <v>9588</v>
      </c>
      <c r="B9507" t="s">
        <v>96</v>
      </c>
      <c r="C9507" s="2">
        <v>44204</v>
      </c>
      <c r="D9507" t="s">
        <v>26</v>
      </c>
      <c r="E9507">
        <v>1074</v>
      </c>
    </row>
    <row r="9508" spans="1:5" x14ac:dyDescent="0.55000000000000004">
      <c r="A9508" t="s">
        <v>9589</v>
      </c>
      <c r="B9508" t="s">
        <v>140</v>
      </c>
      <c r="C9508" s="2">
        <v>43077</v>
      </c>
      <c r="D9508" t="s">
        <v>29</v>
      </c>
      <c r="E9508">
        <v>750</v>
      </c>
    </row>
    <row r="9509" spans="1:5" x14ac:dyDescent="0.55000000000000004">
      <c r="A9509" t="s">
        <v>9590</v>
      </c>
      <c r="B9509" t="s">
        <v>96</v>
      </c>
      <c r="C9509" s="2">
        <v>44842</v>
      </c>
      <c r="D9509" t="s">
        <v>26</v>
      </c>
      <c r="E9509">
        <v>1111</v>
      </c>
    </row>
    <row r="9510" spans="1:5" x14ac:dyDescent="0.55000000000000004">
      <c r="A9510" t="s">
        <v>9591</v>
      </c>
      <c r="B9510" t="s">
        <v>86</v>
      </c>
      <c r="C9510" s="2">
        <v>44556</v>
      </c>
      <c r="D9510" t="s">
        <v>26</v>
      </c>
      <c r="E9510">
        <v>2545</v>
      </c>
    </row>
    <row r="9511" spans="1:5" x14ac:dyDescent="0.55000000000000004">
      <c r="A9511" t="s">
        <v>9592</v>
      </c>
      <c r="B9511" t="s">
        <v>175</v>
      </c>
      <c r="C9511" s="2">
        <v>44207</v>
      </c>
      <c r="D9511" t="s">
        <v>29</v>
      </c>
      <c r="E9511">
        <v>1826</v>
      </c>
    </row>
    <row r="9512" spans="1:5" x14ac:dyDescent="0.55000000000000004">
      <c r="A9512" t="s">
        <v>9593</v>
      </c>
      <c r="B9512" t="s">
        <v>76</v>
      </c>
      <c r="C9512" s="2">
        <v>45218</v>
      </c>
      <c r="D9512" t="s">
        <v>29</v>
      </c>
      <c r="E9512">
        <v>2415</v>
      </c>
    </row>
    <row r="9513" spans="1:5" x14ac:dyDescent="0.55000000000000004">
      <c r="A9513" t="s">
        <v>9594</v>
      </c>
      <c r="B9513" t="s">
        <v>99</v>
      </c>
      <c r="C9513" s="2">
        <v>45615</v>
      </c>
      <c r="D9513" t="s">
        <v>29</v>
      </c>
      <c r="E9513">
        <v>1927</v>
      </c>
    </row>
    <row r="9514" spans="1:5" x14ac:dyDescent="0.55000000000000004">
      <c r="A9514" t="s">
        <v>9595</v>
      </c>
      <c r="B9514" t="s">
        <v>111</v>
      </c>
      <c r="C9514" s="2">
        <v>43517</v>
      </c>
      <c r="D9514" t="s">
        <v>29</v>
      </c>
      <c r="E9514">
        <v>1349</v>
      </c>
    </row>
    <row r="9515" spans="1:5" x14ac:dyDescent="0.55000000000000004">
      <c r="A9515" t="s">
        <v>9596</v>
      </c>
      <c r="B9515" t="s">
        <v>67</v>
      </c>
      <c r="C9515" s="2">
        <v>44522</v>
      </c>
      <c r="D9515" t="s">
        <v>29</v>
      </c>
      <c r="E9515">
        <v>1207</v>
      </c>
    </row>
    <row r="9516" spans="1:5" x14ac:dyDescent="0.55000000000000004">
      <c r="A9516" t="s">
        <v>9597</v>
      </c>
      <c r="B9516" t="s">
        <v>74</v>
      </c>
      <c r="C9516" s="2">
        <v>43399</v>
      </c>
      <c r="D9516" t="s">
        <v>29</v>
      </c>
      <c r="E9516">
        <v>17</v>
      </c>
    </row>
    <row r="9517" spans="1:5" x14ac:dyDescent="0.55000000000000004">
      <c r="A9517" t="s">
        <v>9598</v>
      </c>
      <c r="B9517" t="s">
        <v>115</v>
      </c>
      <c r="C9517" s="2">
        <v>44167</v>
      </c>
      <c r="D9517" t="s">
        <v>26</v>
      </c>
      <c r="E9517">
        <v>2957</v>
      </c>
    </row>
    <row r="9518" spans="1:5" x14ac:dyDescent="0.55000000000000004">
      <c r="A9518" t="s">
        <v>9599</v>
      </c>
      <c r="B9518" t="s">
        <v>23</v>
      </c>
      <c r="C9518" s="2">
        <v>44267</v>
      </c>
      <c r="D9518" t="s">
        <v>29</v>
      </c>
      <c r="E9518">
        <v>13</v>
      </c>
    </row>
    <row r="9519" spans="1:5" x14ac:dyDescent="0.55000000000000004">
      <c r="A9519" t="s">
        <v>9600</v>
      </c>
      <c r="B9519" t="s">
        <v>41</v>
      </c>
      <c r="C9519" s="2">
        <v>44503</v>
      </c>
      <c r="D9519" t="s">
        <v>29</v>
      </c>
      <c r="E9519">
        <v>745</v>
      </c>
    </row>
    <row r="9520" spans="1:5" x14ac:dyDescent="0.55000000000000004">
      <c r="A9520" t="s">
        <v>9601</v>
      </c>
      <c r="B9520" t="s">
        <v>41</v>
      </c>
      <c r="C9520" s="2">
        <v>44760</v>
      </c>
      <c r="D9520" t="s">
        <v>29</v>
      </c>
      <c r="E9520">
        <v>2717</v>
      </c>
    </row>
    <row r="9521" spans="1:5" x14ac:dyDescent="0.55000000000000004">
      <c r="A9521" t="s">
        <v>9602</v>
      </c>
      <c r="B9521" t="s">
        <v>74</v>
      </c>
      <c r="C9521" s="2">
        <v>44347</v>
      </c>
      <c r="D9521" t="s">
        <v>26</v>
      </c>
      <c r="E9521">
        <v>1028</v>
      </c>
    </row>
    <row r="9522" spans="1:5" x14ac:dyDescent="0.55000000000000004">
      <c r="A9522" t="s">
        <v>9603</v>
      </c>
      <c r="B9522" t="s">
        <v>101</v>
      </c>
      <c r="C9522" s="2">
        <v>43427</v>
      </c>
      <c r="D9522" t="s">
        <v>26</v>
      </c>
      <c r="E9522">
        <v>454</v>
      </c>
    </row>
    <row r="9523" spans="1:5" x14ac:dyDescent="0.55000000000000004">
      <c r="A9523" t="s">
        <v>9604</v>
      </c>
      <c r="B9523" t="s">
        <v>72</v>
      </c>
      <c r="C9523" s="2">
        <v>43487</v>
      </c>
      <c r="D9523" t="s">
        <v>29</v>
      </c>
      <c r="E9523">
        <v>1206</v>
      </c>
    </row>
    <row r="9524" spans="1:5" x14ac:dyDescent="0.55000000000000004">
      <c r="A9524" t="s">
        <v>9605</v>
      </c>
      <c r="B9524" t="s">
        <v>96</v>
      </c>
      <c r="C9524" s="2">
        <v>44458</v>
      </c>
      <c r="D9524" t="s">
        <v>29</v>
      </c>
      <c r="E9524">
        <v>2944</v>
      </c>
    </row>
    <row r="9525" spans="1:5" x14ac:dyDescent="0.55000000000000004">
      <c r="A9525" t="s">
        <v>9606</v>
      </c>
      <c r="B9525" t="s">
        <v>137</v>
      </c>
      <c r="C9525" s="2">
        <v>44897</v>
      </c>
      <c r="D9525" t="s">
        <v>29</v>
      </c>
      <c r="E9525">
        <v>486</v>
      </c>
    </row>
    <row r="9526" spans="1:5" x14ac:dyDescent="0.55000000000000004">
      <c r="A9526" t="s">
        <v>9607</v>
      </c>
      <c r="B9526" t="s">
        <v>94</v>
      </c>
      <c r="C9526" s="2">
        <v>43752</v>
      </c>
      <c r="D9526" t="s">
        <v>29</v>
      </c>
      <c r="E9526">
        <v>1677</v>
      </c>
    </row>
    <row r="9527" spans="1:5" x14ac:dyDescent="0.55000000000000004">
      <c r="A9527" t="s">
        <v>9608</v>
      </c>
      <c r="B9527" t="s">
        <v>99</v>
      </c>
      <c r="C9527" s="2">
        <v>45112</v>
      </c>
      <c r="D9527" t="s">
        <v>26</v>
      </c>
      <c r="E9527">
        <v>2888</v>
      </c>
    </row>
    <row r="9528" spans="1:5" x14ac:dyDescent="0.55000000000000004">
      <c r="A9528" t="s">
        <v>9609</v>
      </c>
      <c r="B9528" t="s">
        <v>72</v>
      </c>
      <c r="C9528" s="2">
        <v>44353</v>
      </c>
      <c r="D9528" t="s">
        <v>26</v>
      </c>
      <c r="E9528">
        <v>254</v>
      </c>
    </row>
    <row r="9529" spans="1:5" x14ac:dyDescent="0.55000000000000004">
      <c r="A9529" t="s">
        <v>9610</v>
      </c>
      <c r="B9529" t="s">
        <v>137</v>
      </c>
      <c r="C9529" s="2">
        <v>45372</v>
      </c>
      <c r="D9529" t="s">
        <v>26</v>
      </c>
      <c r="E9529">
        <v>2692</v>
      </c>
    </row>
    <row r="9530" spans="1:5" x14ac:dyDescent="0.55000000000000004">
      <c r="A9530" t="s">
        <v>9611</v>
      </c>
      <c r="B9530" t="s">
        <v>140</v>
      </c>
      <c r="C9530" s="2">
        <v>43603</v>
      </c>
      <c r="D9530" t="s">
        <v>29</v>
      </c>
      <c r="E9530">
        <v>2123</v>
      </c>
    </row>
    <row r="9531" spans="1:5" x14ac:dyDescent="0.55000000000000004">
      <c r="A9531" t="s">
        <v>9612</v>
      </c>
      <c r="B9531" t="s">
        <v>14</v>
      </c>
      <c r="C9531" s="2">
        <v>43564</v>
      </c>
      <c r="D9531" t="s">
        <v>26</v>
      </c>
      <c r="E9531">
        <v>418</v>
      </c>
    </row>
    <row r="9532" spans="1:5" x14ac:dyDescent="0.55000000000000004">
      <c r="A9532" t="s">
        <v>9613</v>
      </c>
      <c r="B9532" t="s">
        <v>101</v>
      </c>
      <c r="C9532" s="2">
        <v>42988</v>
      </c>
      <c r="D9532" t="s">
        <v>26</v>
      </c>
      <c r="E9532">
        <v>2894</v>
      </c>
    </row>
    <row r="9533" spans="1:5" x14ac:dyDescent="0.55000000000000004">
      <c r="A9533" t="s">
        <v>9614</v>
      </c>
      <c r="B9533" t="s">
        <v>72</v>
      </c>
      <c r="C9533" s="2">
        <v>43837</v>
      </c>
      <c r="D9533" t="s">
        <v>29</v>
      </c>
      <c r="E9533">
        <v>988</v>
      </c>
    </row>
    <row r="9534" spans="1:5" x14ac:dyDescent="0.55000000000000004">
      <c r="A9534" t="s">
        <v>9615</v>
      </c>
      <c r="B9534" t="s">
        <v>63</v>
      </c>
      <c r="C9534" s="2">
        <v>43025</v>
      </c>
      <c r="D9534" t="s">
        <v>26</v>
      </c>
      <c r="E9534">
        <v>1802</v>
      </c>
    </row>
    <row r="9535" spans="1:5" x14ac:dyDescent="0.55000000000000004">
      <c r="A9535" t="s">
        <v>9616</v>
      </c>
      <c r="B9535" t="s">
        <v>38</v>
      </c>
      <c r="C9535" s="2">
        <v>44191</v>
      </c>
      <c r="D9535" t="s">
        <v>29</v>
      </c>
      <c r="E9535">
        <v>276</v>
      </c>
    </row>
    <row r="9536" spans="1:5" x14ac:dyDescent="0.55000000000000004">
      <c r="A9536" t="s">
        <v>9617</v>
      </c>
      <c r="B9536" t="s">
        <v>99</v>
      </c>
      <c r="C9536" s="2">
        <v>45161</v>
      </c>
      <c r="D9536" t="s">
        <v>26</v>
      </c>
      <c r="E9536">
        <v>1164</v>
      </c>
    </row>
    <row r="9537" spans="1:5" x14ac:dyDescent="0.55000000000000004">
      <c r="A9537" t="s">
        <v>9618</v>
      </c>
      <c r="B9537" t="s">
        <v>156</v>
      </c>
      <c r="C9537" s="2">
        <v>43852</v>
      </c>
      <c r="D9537" t="s">
        <v>29</v>
      </c>
      <c r="E9537">
        <v>1713</v>
      </c>
    </row>
    <row r="9538" spans="1:5" x14ac:dyDescent="0.55000000000000004">
      <c r="A9538" t="s">
        <v>9619</v>
      </c>
      <c r="B9538" t="s">
        <v>151</v>
      </c>
      <c r="C9538" s="2">
        <v>43045</v>
      </c>
      <c r="D9538" t="s">
        <v>26</v>
      </c>
      <c r="E9538">
        <v>532</v>
      </c>
    </row>
    <row r="9539" spans="1:5" x14ac:dyDescent="0.55000000000000004">
      <c r="A9539" t="s">
        <v>9620</v>
      </c>
      <c r="B9539" t="s">
        <v>35</v>
      </c>
      <c r="C9539" s="2">
        <v>43987</v>
      </c>
      <c r="D9539" t="s">
        <v>26</v>
      </c>
      <c r="E9539">
        <v>2226</v>
      </c>
    </row>
    <row r="9540" spans="1:5" x14ac:dyDescent="0.55000000000000004">
      <c r="A9540" t="s">
        <v>9621</v>
      </c>
      <c r="B9540" t="s">
        <v>41</v>
      </c>
      <c r="C9540" s="2">
        <v>43860</v>
      </c>
      <c r="D9540" t="s">
        <v>29</v>
      </c>
      <c r="E9540">
        <v>2230</v>
      </c>
    </row>
    <row r="9541" spans="1:5" x14ac:dyDescent="0.55000000000000004">
      <c r="A9541" t="s">
        <v>9622</v>
      </c>
      <c r="B9541" t="s">
        <v>76</v>
      </c>
      <c r="C9541" s="2">
        <v>44227</v>
      </c>
      <c r="D9541" t="s">
        <v>29</v>
      </c>
      <c r="E9541">
        <v>2210</v>
      </c>
    </row>
    <row r="9542" spans="1:5" x14ac:dyDescent="0.55000000000000004">
      <c r="A9542" t="s">
        <v>9623</v>
      </c>
      <c r="B9542" t="s">
        <v>118</v>
      </c>
      <c r="C9542" s="2">
        <v>43660</v>
      </c>
      <c r="D9542" t="s">
        <v>29</v>
      </c>
      <c r="E9542">
        <v>1704</v>
      </c>
    </row>
    <row r="9543" spans="1:5" x14ac:dyDescent="0.55000000000000004">
      <c r="A9543" t="s">
        <v>9624</v>
      </c>
      <c r="B9543" t="s">
        <v>74</v>
      </c>
      <c r="C9543" s="2">
        <v>43570</v>
      </c>
      <c r="D9543" t="s">
        <v>29</v>
      </c>
      <c r="E9543">
        <v>1420</v>
      </c>
    </row>
    <row r="9544" spans="1:5" x14ac:dyDescent="0.55000000000000004">
      <c r="A9544" t="s">
        <v>9625</v>
      </c>
      <c r="B9544" t="s">
        <v>32</v>
      </c>
      <c r="C9544" s="2">
        <v>44876</v>
      </c>
      <c r="D9544" t="s">
        <v>29</v>
      </c>
      <c r="E9544">
        <v>2103</v>
      </c>
    </row>
    <row r="9545" spans="1:5" x14ac:dyDescent="0.55000000000000004">
      <c r="A9545" t="s">
        <v>9626</v>
      </c>
      <c r="B9545" t="s">
        <v>101</v>
      </c>
      <c r="C9545" s="2">
        <v>43688</v>
      </c>
      <c r="D9545" t="s">
        <v>26</v>
      </c>
      <c r="E9545">
        <v>1448</v>
      </c>
    </row>
    <row r="9546" spans="1:5" x14ac:dyDescent="0.55000000000000004">
      <c r="A9546" t="s">
        <v>9627</v>
      </c>
      <c r="B9546" t="s">
        <v>140</v>
      </c>
      <c r="C9546" s="2">
        <v>43584</v>
      </c>
      <c r="D9546" t="s">
        <v>29</v>
      </c>
      <c r="E9546">
        <v>327</v>
      </c>
    </row>
    <row r="9547" spans="1:5" x14ac:dyDescent="0.55000000000000004">
      <c r="A9547" t="s">
        <v>9628</v>
      </c>
      <c r="B9547" t="s">
        <v>67</v>
      </c>
      <c r="C9547" s="2">
        <v>43583</v>
      </c>
      <c r="D9547" t="s">
        <v>26</v>
      </c>
      <c r="E9547">
        <v>2574</v>
      </c>
    </row>
    <row r="9548" spans="1:5" x14ac:dyDescent="0.55000000000000004">
      <c r="A9548" t="s">
        <v>9629</v>
      </c>
      <c r="B9548" t="s">
        <v>76</v>
      </c>
      <c r="C9548" s="2">
        <v>45722</v>
      </c>
      <c r="D9548" t="s">
        <v>26</v>
      </c>
      <c r="E9548">
        <v>1386</v>
      </c>
    </row>
    <row r="9549" spans="1:5" x14ac:dyDescent="0.55000000000000004">
      <c r="A9549" t="s">
        <v>9630</v>
      </c>
      <c r="B9549" t="s">
        <v>72</v>
      </c>
      <c r="C9549" s="2">
        <v>43072</v>
      </c>
      <c r="D9549" t="s">
        <v>26</v>
      </c>
      <c r="E9549">
        <v>2714</v>
      </c>
    </row>
    <row r="9550" spans="1:5" x14ac:dyDescent="0.55000000000000004">
      <c r="A9550" t="s">
        <v>9631</v>
      </c>
      <c r="B9550" t="s">
        <v>67</v>
      </c>
      <c r="C9550" s="2">
        <v>45679</v>
      </c>
      <c r="D9550" t="s">
        <v>29</v>
      </c>
      <c r="E9550">
        <v>1772</v>
      </c>
    </row>
    <row r="9551" spans="1:5" x14ac:dyDescent="0.55000000000000004">
      <c r="A9551" t="s">
        <v>9632</v>
      </c>
      <c r="B9551" t="s">
        <v>23</v>
      </c>
      <c r="C9551" s="2">
        <v>43915</v>
      </c>
      <c r="D9551" t="s">
        <v>29</v>
      </c>
      <c r="E9551">
        <v>2512</v>
      </c>
    </row>
    <row r="9552" spans="1:5" x14ac:dyDescent="0.55000000000000004">
      <c r="A9552" t="s">
        <v>9633</v>
      </c>
      <c r="B9552" t="s">
        <v>84</v>
      </c>
      <c r="C9552" s="2">
        <v>43715</v>
      </c>
      <c r="D9552" t="s">
        <v>29</v>
      </c>
      <c r="E9552">
        <v>719</v>
      </c>
    </row>
    <row r="9553" spans="1:5" x14ac:dyDescent="0.55000000000000004">
      <c r="A9553" t="s">
        <v>9634</v>
      </c>
      <c r="B9553" t="s">
        <v>99</v>
      </c>
      <c r="C9553" s="2">
        <v>45520</v>
      </c>
      <c r="D9553" t="s">
        <v>26</v>
      </c>
      <c r="E9553">
        <v>2837</v>
      </c>
    </row>
    <row r="9554" spans="1:5" x14ac:dyDescent="0.55000000000000004">
      <c r="A9554" t="s">
        <v>9635</v>
      </c>
      <c r="B9554" t="s">
        <v>175</v>
      </c>
      <c r="C9554" s="2">
        <v>45647</v>
      </c>
      <c r="D9554" t="s">
        <v>29</v>
      </c>
      <c r="E9554">
        <v>1839</v>
      </c>
    </row>
    <row r="9555" spans="1:5" x14ac:dyDescent="0.55000000000000004">
      <c r="A9555" t="s">
        <v>9636</v>
      </c>
      <c r="B9555" t="s">
        <v>94</v>
      </c>
      <c r="C9555" s="2">
        <v>43613</v>
      </c>
      <c r="D9555" t="s">
        <v>29</v>
      </c>
      <c r="E9555">
        <v>631</v>
      </c>
    </row>
    <row r="9556" spans="1:5" x14ac:dyDescent="0.55000000000000004">
      <c r="A9556" t="s">
        <v>9637</v>
      </c>
      <c r="B9556" t="s">
        <v>142</v>
      </c>
      <c r="C9556" s="2">
        <v>43413</v>
      </c>
      <c r="D9556" t="s">
        <v>26</v>
      </c>
      <c r="E9556">
        <v>2743</v>
      </c>
    </row>
    <row r="9557" spans="1:5" x14ac:dyDescent="0.55000000000000004">
      <c r="A9557" t="s">
        <v>9638</v>
      </c>
      <c r="B9557" t="s">
        <v>63</v>
      </c>
      <c r="C9557" s="2">
        <v>44298</v>
      </c>
      <c r="D9557" t="s">
        <v>26</v>
      </c>
      <c r="E9557">
        <v>2526</v>
      </c>
    </row>
    <row r="9558" spans="1:5" x14ac:dyDescent="0.55000000000000004">
      <c r="A9558" t="s">
        <v>9639</v>
      </c>
      <c r="B9558" t="s">
        <v>99</v>
      </c>
      <c r="C9558" s="2">
        <v>45741</v>
      </c>
      <c r="D9558" t="s">
        <v>29</v>
      </c>
      <c r="E9558">
        <v>373</v>
      </c>
    </row>
    <row r="9559" spans="1:5" x14ac:dyDescent="0.55000000000000004">
      <c r="A9559" t="s">
        <v>9640</v>
      </c>
      <c r="B9559" t="s">
        <v>137</v>
      </c>
      <c r="C9559" s="2">
        <v>44152</v>
      </c>
      <c r="D9559" t="s">
        <v>26</v>
      </c>
      <c r="E9559">
        <v>652</v>
      </c>
    </row>
    <row r="9560" spans="1:5" x14ac:dyDescent="0.55000000000000004">
      <c r="A9560" t="s">
        <v>9641</v>
      </c>
      <c r="B9560" t="s">
        <v>14</v>
      </c>
      <c r="C9560" s="2">
        <v>43342</v>
      </c>
      <c r="D9560" t="s">
        <v>29</v>
      </c>
      <c r="E9560">
        <v>1563</v>
      </c>
    </row>
    <row r="9561" spans="1:5" x14ac:dyDescent="0.55000000000000004">
      <c r="A9561" t="s">
        <v>9642</v>
      </c>
      <c r="B9561" t="s">
        <v>67</v>
      </c>
      <c r="C9561" s="2">
        <v>45253</v>
      </c>
      <c r="D9561" t="s">
        <v>29</v>
      </c>
      <c r="E9561">
        <v>519</v>
      </c>
    </row>
    <row r="9562" spans="1:5" x14ac:dyDescent="0.55000000000000004">
      <c r="A9562" t="s">
        <v>9643</v>
      </c>
      <c r="B9562" t="s">
        <v>137</v>
      </c>
      <c r="C9562" s="2">
        <v>45278</v>
      </c>
      <c r="D9562" t="s">
        <v>29</v>
      </c>
      <c r="E9562">
        <v>2232</v>
      </c>
    </row>
    <row r="9563" spans="1:5" x14ac:dyDescent="0.55000000000000004">
      <c r="A9563" t="s">
        <v>9644</v>
      </c>
      <c r="B9563" t="s">
        <v>101</v>
      </c>
      <c r="C9563" s="2">
        <v>43195</v>
      </c>
      <c r="D9563" t="s">
        <v>29</v>
      </c>
      <c r="E9563">
        <v>2218</v>
      </c>
    </row>
    <row r="9564" spans="1:5" x14ac:dyDescent="0.55000000000000004">
      <c r="A9564" t="s">
        <v>9645</v>
      </c>
      <c r="B9564" t="s">
        <v>41</v>
      </c>
      <c r="C9564" s="2">
        <v>44523</v>
      </c>
      <c r="D9564" t="s">
        <v>26</v>
      </c>
      <c r="E9564">
        <v>1930</v>
      </c>
    </row>
    <row r="9565" spans="1:5" x14ac:dyDescent="0.55000000000000004">
      <c r="A9565" t="s">
        <v>9646</v>
      </c>
      <c r="B9565" t="s">
        <v>72</v>
      </c>
      <c r="C9565" s="2">
        <v>44000</v>
      </c>
      <c r="D9565" t="s">
        <v>29</v>
      </c>
      <c r="E9565">
        <v>1551</v>
      </c>
    </row>
    <row r="9566" spans="1:5" x14ac:dyDescent="0.55000000000000004">
      <c r="A9566" t="s">
        <v>9647</v>
      </c>
      <c r="B9566" t="s">
        <v>14</v>
      </c>
      <c r="C9566" s="2">
        <v>44396</v>
      </c>
      <c r="D9566" t="s">
        <v>26</v>
      </c>
      <c r="E9566">
        <v>612</v>
      </c>
    </row>
    <row r="9567" spans="1:5" x14ac:dyDescent="0.55000000000000004">
      <c r="A9567" t="s">
        <v>9648</v>
      </c>
      <c r="B9567" t="s">
        <v>14</v>
      </c>
      <c r="C9567" s="2">
        <v>43952</v>
      </c>
      <c r="D9567" t="s">
        <v>29</v>
      </c>
      <c r="E9567">
        <v>1838</v>
      </c>
    </row>
    <row r="9568" spans="1:5" x14ac:dyDescent="0.55000000000000004">
      <c r="A9568" t="s">
        <v>9649</v>
      </c>
      <c r="B9568" t="s">
        <v>99</v>
      </c>
      <c r="C9568" s="2">
        <v>44393</v>
      </c>
      <c r="D9568" t="s">
        <v>29</v>
      </c>
      <c r="E9568">
        <v>1792</v>
      </c>
    </row>
    <row r="9569" spans="1:5" x14ac:dyDescent="0.55000000000000004">
      <c r="A9569" t="s">
        <v>9650</v>
      </c>
      <c r="B9569" t="s">
        <v>74</v>
      </c>
      <c r="C9569" s="2">
        <v>44439</v>
      </c>
      <c r="D9569" t="s">
        <v>26</v>
      </c>
      <c r="E9569">
        <v>1665</v>
      </c>
    </row>
    <row r="9570" spans="1:5" x14ac:dyDescent="0.55000000000000004">
      <c r="A9570" t="s">
        <v>9651</v>
      </c>
      <c r="B9570" t="s">
        <v>105</v>
      </c>
      <c r="C9570" s="2">
        <v>44280</v>
      </c>
      <c r="D9570" t="s">
        <v>26</v>
      </c>
      <c r="E9570">
        <v>908</v>
      </c>
    </row>
    <row r="9571" spans="1:5" x14ac:dyDescent="0.55000000000000004">
      <c r="A9571" t="s">
        <v>9652</v>
      </c>
      <c r="B9571" t="s">
        <v>84</v>
      </c>
      <c r="C9571" s="2">
        <v>44223</v>
      </c>
      <c r="D9571" t="s">
        <v>29</v>
      </c>
      <c r="E9571">
        <v>2607</v>
      </c>
    </row>
    <row r="9572" spans="1:5" x14ac:dyDescent="0.55000000000000004">
      <c r="A9572" t="s">
        <v>9653</v>
      </c>
      <c r="B9572" t="s">
        <v>41</v>
      </c>
      <c r="C9572" s="2">
        <v>44585</v>
      </c>
      <c r="D9572" t="s">
        <v>29</v>
      </c>
      <c r="E9572">
        <v>994</v>
      </c>
    </row>
    <row r="9573" spans="1:5" x14ac:dyDescent="0.55000000000000004">
      <c r="A9573" t="s">
        <v>9654</v>
      </c>
      <c r="B9573" t="s">
        <v>111</v>
      </c>
      <c r="C9573" s="2">
        <v>43787</v>
      </c>
      <c r="D9573" t="s">
        <v>26</v>
      </c>
      <c r="E9573">
        <v>790</v>
      </c>
    </row>
    <row r="9574" spans="1:5" x14ac:dyDescent="0.55000000000000004">
      <c r="A9574" t="s">
        <v>9655</v>
      </c>
      <c r="B9574" t="s">
        <v>35</v>
      </c>
      <c r="C9574" s="2">
        <v>44095</v>
      </c>
      <c r="D9574" t="s">
        <v>29</v>
      </c>
      <c r="E9574">
        <v>2046</v>
      </c>
    </row>
    <row r="9575" spans="1:5" x14ac:dyDescent="0.55000000000000004">
      <c r="A9575" t="s">
        <v>9656</v>
      </c>
      <c r="B9575" t="s">
        <v>35</v>
      </c>
      <c r="C9575" s="2">
        <v>43905</v>
      </c>
      <c r="D9575" t="s">
        <v>26</v>
      </c>
      <c r="E9575">
        <v>1043</v>
      </c>
    </row>
    <row r="9576" spans="1:5" x14ac:dyDescent="0.55000000000000004">
      <c r="A9576" t="s">
        <v>9657</v>
      </c>
      <c r="B9576" t="s">
        <v>111</v>
      </c>
      <c r="C9576" s="2">
        <v>43353</v>
      </c>
      <c r="D9576" t="s">
        <v>29</v>
      </c>
      <c r="E9576">
        <v>2173</v>
      </c>
    </row>
    <row r="9577" spans="1:5" x14ac:dyDescent="0.55000000000000004">
      <c r="A9577" t="s">
        <v>9658</v>
      </c>
      <c r="B9577" t="s">
        <v>86</v>
      </c>
      <c r="C9577" s="2">
        <v>44362</v>
      </c>
      <c r="D9577" t="s">
        <v>29</v>
      </c>
      <c r="E9577">
        <v>894</v>
      </c>
    </row>
    <row r="9578" spans="1:5" x14ac:dyDescent="0.55000000000000004">
      <c r="A9578" t="s">
        <v>9659</v>
      </c>
      <c r="B9578" t="s">
        <v>142</v>
      </c>
      <c r="C9578" s="2">
        <v>43174</v>
      </c>
      <c r="D9578" t="s">
        <v>29</v>
      </c>
      <c r="E9578">
        <v>903</v>
      </c>
    </row>
    <row r="9579" spans="1:5" x14ac:dyDescent="0.55000000000000004">
      <c r="A9579" t="s">
        <v>9660</v>
      </c>
      <c r="B9579" t="s">
        <v>78</v>
      </c>
      <c r="C9579" s="2">
        <v>43984</v>
      </c>
      <c r="D9579" t="s">
        <v>26</v>
      </c>
      <c r="E9579">
        <v>2255</v>
      </c>
    </row>
    <row r="9580" spans="1:5" x14ac:dyDescent="0.55000000000000004">
      <c r="A9580" t="s">
        <v>9661</v>
      </c>
      <c r="B9580" t="s">
        <v>86</v>
      </c>
      <c r="C9580" s="2">
        <v>43834</v>
      </c>
      <c r="D9580" t="s">
        <v>26</v>
      </c>
      <c r="E9580">
        <v>1278</v>
      </c>
    </row>
    <row r="9581" spans="1:5" x14ac:dyDescent="0.55000000000000004">
      <c r="A9581" t="s">
        <v>9662</v>
      </c>
      <c r="B9581" t="s">
        <v>41</v>
      </c>
      <c r="C9581" s="2">
        <v>44165</v>
      </c>
      <c r="D9581" t="s">
        <v>29</v>
      </c>
      <c r="E9581">
        <v>171</v>
      </c>
    </row>
    <row r="9582" spans="1:5" x14ac:dyDescent="0.55000000000000004">
      <c r="A9582" t="s">
        <v>9663</v>
      </c>
      <c r="B9582" t="s">
        <v>118</v>
      </c>
      <c r="C9582" s="2">
        <v>44090</v>
      </c>
      <c r="D9582" t="s">
        <v>29</v>
      </c>
      <c r="E9582">
        <v>1401</v>
      </c>
    </row>
    <row r="9583" spans="1:5" x14ac:dyDescent="0.55000000000000004">
      <c r="A9583" t="s">
        <v>9664</v>
      </c>
      <c r="B9583" t="s">
        <v>111</v>
      </c>
      <c r="C9583" s="2">
        <v>43511</v>
      </c>
      <c r="D9583" t="s">
        <v>29</v>
      </c>
      <c r="E9583">
        <v>2134</v>
      </c>
    </row>
    <row r="9584" spans="1:5" x14ac:dyDescent="0.55000000000000004">
      <c r="A9584" t="s">
        <v>9665</v>
      </c>
      <c r="B9584" t="s">
        <v>32</v>
      </c>
      <c r="C9584" s="2">
        <v>44287</v>
      </c>
      <c r="D9584" t="s">
        <v>29</v>
      </c>
      <c r="E9584">
        <v>1876</v>
      </c>
    </row>
    <row r="9585" spans="1:5" x14ac:dyDescent="0.55000000000000004">
      <c r="A9585" t="s">
        <v>9666</v>
      </c>
      <c r="B9585" t="s">
        <v>35</v>
      </c>
      <c r="C9585" s="2">
        <v>43910</v>
      </c>
      <c r="D9585" t="s">
        <v>29</v>
      </c>
      <c r="E9585">
        <v>427</v>
      </c>
    </row>
    <row r="9586" spans="1:5" x14ac:dyDescent="0.55000000000000004">
      <c r="A9586" t="s">
        <v>9667</v>
      </c>
      <c r="B9586" t="s">
        <v>115</v>
      </c>
      <c r="C9586" s="2">
        <v>43768</v>
      </c>
      <c r="D9586" t="s">
        <v>29</v>
      </c>
      <c r="E9586">
        <v>2285</v>
      </c>
    </row>
    <row r="9587" spans="1:5" x14ac:dyDescent="0.55000000000000004">
      <c r="A9587" t="s">
        <v>9668</v>
      </c>
      <c r="B9587" t="s">
        <v>99</v>
      </c>
      <c r="C9587" s="2">
        <v>43749</v>
      </c>
      <c r="D9587" t="s">
        <v>29</v>
      </c>
      <c r="E9587">
        <v>2391</v>
      </c>
    </row>
    <row r="9588" spans="1:5" x14ac:dyDescent="0.55000000000000004">
      <c r="A9588" t="s">
        <v>9669</v>
      </c>
      <c r="B9588" t="s">
        <v>140</v>
      </c>
      <c r="C9588" s="2">
        <v>44222</v>
      </c>
      <c r="D9588" t="s">
        <v>29</v>
      </c>
      <c r="E9588">
        <v>1637</v>
      </c>
    </row>
    <row r="9589" spans="1:5" x14ac:dyDescent="0.55000000000000004">
      <c r="A9589" t="s">
        <v>9670</v>
      </c>
      <c r="B9589" t="s">
        <v>76</v>
      </c>
      <c r="C9589" s="2">
        <v>45351</v>
      </c>
      <c r="D9589" t="s">
        <v>26</v>
      </c>
      <c r="E9589">
        <v>2161</v>
      </c>
    </row>
    <row r="9590" spans="1:5" x14ac:dyDescent="0.55000000000000004">
      <c r="A9590" t="s">
        <v>9671</v>
      </c>
      <c r="B9590" t="s">
        <v>101</v>
      </c>
      <c r="C9590" s="2">
        <v>44528</v>
      </c>
      <c r="D9590" t="s">
        <v>29</v>
      </c>
      <c r="E9590">
        <v>1556</v>
      </c>
    </row>
    <row r="9591" spans="1:5" x14ac:dyDescent="0.55000000000000004">
      <c r="A9591" t="s">
        <v>9672</v>
      </c>
      <c r="B9591" t="s">
        <v>32</v>
      </c>
      <c r="C9591" s="2">
        <v>43851</v>
      </c>
      <c r="D9591" t="s">
        <v>29</v>
      </c>
      <c r="E9591">
        <v>1140</v>
      </c>
    </row>
    <row r="9592" spans="1:5" x14ac:dyDescent="0.55000000000000004">
      <c r="A9592" t="s">
        <v>9673</v>
      </c>
      <c r="B9592" t="s">
        <v>67</v>
      </c>
      <c r="C9592" s="2">
        <v>44549</v>
      </c>
      <c r="D9592" t="s">
        <v>29</v>
      </c>
      <c r="E9592">
        <v>2045</v>
      </c>
    </row>
    <row r="9593" spans="1:5" x14ac:dyDescent="0.55000000000000004">
      <c r="A9593" t="s">
        <v>9674</v>
      </c>
      <c r="B9593" t="s">
        <v>78</v>
      </c>
      <c r="C9593" s="2">
        <v>44400</v>
      </c>
      <c r="D9593" t="s">
        <v>26</v>
      </c>
      <c r="E9593">
        <v>767</v>
      </c>
    </row>
    <row r="9594" spans="1:5" x14ac:dyDescent="0.55000000000000004">
      <c r="A9594" t="s">
        <v>9675</v>
      </c>
      <c r="B9594" t="s">
        <v>41</v>
      </c>
      <c r="C9594" s="2">
        <v>44196</v>
      </c>
      <c r="D9594" t="s">
        <v>26</v>
      </c>
      <c r="E9594">
        <v>2825</v>
      </c>
    </row>
    <row r="9595" spans="1:5" x14ac:dyDescent="0.55000000000000004">
      <c r="A9595" t="s">
        <v>9676</v>
      </c>
      <c r="B9595" t="s">
        <v>105</v>
      </c>
      <c r="C9595" s="2">
        <v>43497</v>
      </c>
      <c r="D9595" t="s">
        <v>29</v>
      </c>
      <c r="E9595">
        <v>1442</v>
      </c>
    </row>
    <row r="9596" spans="1:5" x14ac:dyDescent="0.55000000000000004">
      <c r="A9596" t="s">
        <v>9677</v>
      </c>
      <c r="B9596" t="s">
        <v>99</v>
      </c>
      <c r="C9596" s="2">
        <v>45371</v>
      </c>
      <c r="D9596" t="s">
        <v>29</v>
      </c>
      <c r="E9596">
        <v>118</v>
      </c>
    </row>
    <row r="9597" spans="1:5" x14ac:dyDescent="0.55000000000000004">
      <c r="A9597" t="s">
        <v>9678</v>
      </c>
      <c r="B9597" t="s">
        <v>14</v>
      </c>
      <c r="C9597" s="2">
        <v>44267</v>
      </c>
      <c r="D9597" t="s">
        <v>29</v>
      </c>
      <c r="E9597">
        <v>662</v>
      </c>
    </row>
    <row r="9598" spans="1:5" x14ac:dyDescent="0.55000000000000004">
      <c r="A9598" t="s">
        <v>9679</v>
      </c>
      <c r="B9598" t="s">
        <v>63</v>
      </c>
      <c r="C9598" s="2">
        <v>44304</v>
      </c>
      <c r="D9598" t="s">
        <v>29</v>
      </c>
      <c r="E9598">
        <v>1281</v>
      </c>
    </row>
    <row r="9599" spans="1:5" x14ac:dyDescent="0.55000000000000004">
      <c r="A9599" t="s">
        <v>9680</v>
      </c>
      <c r="B9599" t="s">
        <v>23</v>
      </c>
      <c r="C9599" s="2">
        <v>44402</v>
      </c>
      <c r="D9599" t="s">
        <v>26</v>
      </c>
      <c r="E9599">
        <v>1727</v>
      </c>
    </row>
    <row r="9600" spans="1:5" x14ac:dyDescent="0.55000000000000004">
      <c r="A9600" t="s">
        <v>9681</v>
      </c>
      <c r="B9600" t="s">
        <v>84</v>
      </c>
      <c r="C9600" s="2">
        <v>42982</v>
      </c>
      <c r="D9600" t="s">
        <v>29</v>
      </c>
      <c r="E9600">
        <v>1689</v>
      </c>
    </row>
    <row r="9601" spans="1:5" x14ac:dyDescent="0.55000000000000004">
      <c r="A9601" t="s">
        <v>9682</v>
      </c>
      <c r="B9601" t="s">
        <v>14</v>
      </c>
      <c r="C9601" s="2">
        <v>44219</v>
      </c>
      <c r="D9601" t="s">
        <v>29</v>
      </c>
      <c r="E9601">
        <v>845</v>
      </c>
    </row>
    <row r="9602" spans="1:5" x14ac:dyDescent="0.55000000000000004">
      <c r="A9602" t="s">
        <v>9683</v>
      </c>
      <c r="B9602" t="s">
        <v>142</v>
      </c>
      <c r="C9602" s="2">
        <v>43091</v>
      </c>
      <c r="D9602" t="s">
        <v>26</v>
      </c>
      <c r="E9602">
        <v>2942</v>
      </c>
    </row>
    <row r="9603" spans="1:5" x14ac:dyDescent="0.55000000000000004">
      <c r="A9603" t="s">
        <v>9684</v>
      </c>
      <c r="B9603" t="s">
        <v>142</v>
      </c>
      <c r="C9603" s="2">
        <v>43378</v>
      </c>
      <c r="D9603" t="s">
        <v>26</v>
      </c>
      <c r="E9603">
        <v>2358</v>
      </c>
    </row>
    <row r="9604" spans="1:5" x14ac:dyDescent="0.55000000000000004">
      <c r="A9604" t="s">
        <v>9685</v>
      </c>
      <c r="B9604" t="s">
        <v>67</v>
      </c>
      <c r="C9604" s="2">
        <v>43584</v>
      </c>
      <c r="D9604" t="s">
        <v>26</v>
      </c>
      <c r="E9604">
        <v>988</v>
      </c>
    </row>
    <row r="9605" spans="1:5" x14ac:dyDescent="0.55000000000000004">
      <c r="A9605" t="s">
        <v>9686</v>
      </c>
      <c r="B9605" t="s">
        <v>78</v>
      </c>
      <c r="C9605" s="2">
        <v>45532</v>
      </c>
      <c r="D9605" t="s">
        <v>29</v>
      </c>
      <c r="E9605">
        <v>373</v>
      </c>
    </row>
    <row r="9606" spans="1:5" x14ac:dyDescent="0.55000000000000004">
      <c r="A9606" t="s">
        <v>9687</v>
      </c>
      <c r="B9606" t="s">
        <v>76</v>
      </c>
      <c r="C9606" s="2">
        <v>45005</v>
      </c>
      <c r="D9606" t="s">
        <v>26</v>
      </c>
      <c r="E9606">
        <v>2229</v>
      </c>
    </row>
    <row r="9607" spans="1:5" x14ac:dyDescent="0.55000000000000004">
      <c r="A9607" t="s">
        <v>9688</v>
      </c>
      <c r="B9607" t="s">
        <v>63</v>
      </c>
      <c r="C9607" s="2">
        <v>43424</v>
      </c>
      <c r="D9607" t="s">
        <v>29</v>
      </c>
      <c r="E9607">
        <v>1737</v>
      </c>
    </row>
    <row r="9608" spans="1:5" x14ac:dyDescent="0.55000000000000004">
      <c r="A9608" t="s">
        <v>9689</v>
      </c>
      <c r="B9608" t="s">
        <v>99</v>
      </c>
      <c r="C9608" s="2">
        <v>43684</v>
      </c>
      <c r="D9608" t="s">
        <v>29</v>
      </c>
      <c r="E9608">
        <v>2245</v>
      </c>
    </row>
    <row r="9609" spans="1:5" x14ac:dyDescent="0.55000000000000004">
      <c r="A9609" t="s">
        <v>9690</v>
      </c>
      <c r="B9609" t="s">
        <v>118</v>
      </c>
      <c r="C9609" s="2">
        <v>43776</v>
      </c>
      <c r="D9609" t="s">
        <v>26</v>
      </c>
      <c r="E9609">
        <v>2215</v>
      </c>
    </row>
    <row r="9610" spans="1:5" x14ac:dyDescent="0.55000000000000004">
      <c r="A9610" t="s">
        <v>9691</v>
      </c>
      <c r="B9610" t="s">
        <v>38</v>
      </c>
      <c r="C9610" s="2">
        <v>43865</v>
      </c>
      <c r="D9610" t="s">
        <v>26</v>
      </c>
      <c r="E9610">
        <v>1499</v>
      </c>
    </row>
    <row r="9611" spans="1:5" x14ac:dyDescent="0.55000000000000004">
      <c r="A9611" t="s">
        <v>9692</v>
      </c>
      <c r="B9611" t="s">
        <v>175</v>
      </c>
      <c r="C9611" s="2">
        <v>44360</v>
      </c>
      <c r="D9611" t="s">
        <v>26</v>
      </c>
      <c r="E9611">
        <v>1872</v>
      </c>
    </row>
    <row r="9612" spans="1:5" x14ac:dyDescent="0.55000000000000004">
      <c r="A9612" t="s">
        <v>9693</v>
      </c>
      <c r="B9612" t="s">
        <v>84</v>
      </c>
      <c r="C9612" s="2">
        <v>43321</v>
      </c>
      <c r="D9612" t="s">
        <v>29</v>
      </c>
      <c r="E9612">
        <v>1653</v>
      </c>
    </row>
    <row r="9613" spans="1:5" x14ac:dyDescent="0.55000000000000004">
      <c r="A9613" t="s">
        <v>9694</v>
      </c>
      <c r="B9613" t="s">
        <v>15</v>
      </c>
      <c r="C9613" s="2">
        <v>42960</v>
      </c>
      <c r="D9613" t="s">
        <v>26</v>
      </c>
      <c r="E9613">
        <v>2604</v>
      </c>
    </row>
    <row r="9614" spans="1:5" x14ac:dyDescent="0.55000000000000004">
      <c r="A9614" t="s">
        <v>9695</v>
      </c>
      <c r="B9614" t="s">
        <v>35</v>
      </c>
      <c r="C9614" s="2">
        <v>44752</v>
      </c>
      <c r="D9614" t="s">
        <v>29</v>
      </c>
      <c r="E9614">
        <v>678</v>
      </c>
    </row>
    <row r="9615" spans="1:5" x14ac:dyDescent="0.55000000000000004">
      <c r="A9615" t="s">
        <v>9696</v>
      </c>
      <c r="B9615" t="s">
        <v>67</v>
      </c>
      <c r="C9615" s="2">
        <v>45353</v>
      </c>
      <c r="D9615" t="s">
        <v>26</v>
      </c>
      <c r="E9615">
        <v>1305</v>
      </c>
    </row>
    <row r="9616" spans="1:5" x14ac:dyDescent="0.55000000000000004">
      <c r="A9616" t="s">
        <v>9697</v>
      </c>
      <c r="B9616" t="s">
        <v>101</v>
      </c>
      <c r="C9616" s="2">
        <v>43666</v>
      </c>
      <c r="D9616" t="s">
        <v>29</v>
      </c>
      <c r="E9616">
        <v>2703</v>
      </c>
    </row>
    <row r="9617" spans="1:5" x14ac:dyDescent="0.55000000000000004">
      <c r="A9617" t="s">
        <v>9698</v>
      </c>
      <c r="B9617" t="s">
        <v>32</v>
      </c>
      <c r="C9617" s="2">
        <v>44584</v>
      </c>
      <c r="D9617" t="s">
        <v>29</v>
      </c>
      <c r="E9617">
        <v>2854</v>
      </c>
    </row>
    <row r="9618" spans="1:5" x14ac:dyDescent="0.55000000000000004">
      <c r="A9618" t="s">
        <v>9699</v>
      </c>
      <c r="B9618" t="s">
        <v>23</v>
      </c>
      <c r="C9618" s="2">
        <v>44436</v>
      </c>
      <c r="D9618" t="s">
        <v>29</v>
      </c>
      <c r="E9618">
        <v>2026</v>
      </c>
    </row>
    <row r="9619" spans="1:5" x14ac:dyDescent="0.55000000000000004">
      <c r="A9619" t="s">
        <v>9700</v>
      </c>
      <c r="B9619" t="s">
        <v>111</v>
      </c>
      <c r="C9619" s="2">
        <v>44080</v>
      </c>
      <c r="D9619" t="s">
        <v>29</v>
      </c>
      <c r="E9619">
        <v>2505</v>
      </c>
    </row>
    <row r="9620" spans="1:5" x14ac:dyDescent="0.55000000000000004">
      <c r="A9620" t="s">
        <v>9701</v>
      </c>
      <c r="B9620" t="s">
        <v>23</v>
      </c>
      <c r="C9620" s="2">
        <v>44590</v>
      </c>
      <c r="D9620" t="s">
        <v>29</v>
      </c>
      <c r="E9620">
        <v>104</v>
      </c>
    </row>
    <row r="9621" spans="1:5" x14ac:dyDescent="0.55000000000000004">
      <c r="A9621" t="s">
        <v>9702</v>
      </c>
      <c r="B9621" t="s">
        <v>94</v>
      </c>
      <c r="C9621" s="2">
        <v>44869</v>
      </c>
      <c r="D9621" t="s">
        <v>29</v>
      </c>
      <c r="E9621">
        <v>2656</v>
      </c>
    </row>
    <row r="9622" spans="1:5" x14ac:dyDescent="0.55000000000000004">
      <c r="A9622" t="s">
        <v>9703</v>
      </c>
      <c r="B9622" t="s">
        <v>63</v>
      </c>
      <c r="C9622" s="2">
        <v>44326</v>
      </c>
      <c r="D9622" t="s">
        <v>29</v>
      </c>
      <c r="E9622">
        <v>548</v>
      </c>
    </row>
    <row r="9623" spans="1:5" x14ac:dyDescent="0.55000000000000004">
      <c r="A9623" t="s">
        <v>9704</v>
      </c>
      <c r="B9623" t="s">
        <v>23</v>
      </c>
      <c r="C9623" s="2">
        <v>44000</v>
      </c>
      <c r="D9623" t="s">
        <v>29</v>
      </c>
      <c r="E9623">
        <v>469</v>
      </c>
    </row>
    <row r="9624" spans="1:5" x14ac:dyDescent="0.55000000000000004">
      <c r="A9624" t="s">
        <v>9705</v>
      </c>
      <c r="B9624" t="s">
        <v>156</v>
      </c>
      <c r="C9624" s="2">
        <v>43969</v>
      </c>
      <c r="D9624" t="s">
        <v>29</v>
      </c>
      <c r="E9624">
        <v>1172</v>
      </c>
    </row>
    <row r="9625" spans="1:5" x14ac:dyDescent="0.55000000000000004">
      <c r="A9625" t="s">
        <v>9706</v>
      </c>
      <c r="B9625" t="s">
        <v>94</v>
      </c>
      <c r="C9625" s="2">
        <v>43770</v>
      </c>
      <c r="D9625" t="s">
        <v>26</v>
      </c>
      <c r="E9625">
        <v>2556</v>
      </c>
    </row>
    <row r="9626" spans="1:5" x14ac:dyDescent="0.55000000000000004">
      <c r="A9626" t="s">
        <v>9707</v>
      </c>
      <c r="B9626" t="s">
        <v>86</v>
      </c>
      <c r="C9626" s="2">
        <v>43245</v>
      </c>
      <c r="D9626" t="s">
        <v>29</v>
      </c>
      <c r="E9626">
        <v>536</v>
      </c>
    </row>
    <row r="9627" spans="1:5" x14ac:dyDescent="0.55000000000000004">
      <c r="A9627" t="s">
        <v>9708</v>
      </c>
      <c r="B9627" t="s">
        <v>78</v>
      </c>
      <c r="C9627" s="2">
        <v>44969</v>
      </c>
      <c r="D9627" t="s">
        <v>26</v>
      </c>
      <c r="E9627">
        <v>252</v>
      </c>
    </row>
    <row r="9628" spans="1:5" x14ac:dyDescent="0.55000000000000004">
      <c r="A9628" t="s">
        <v>9709</v>
      </c>
      <c r="B9628" t="s">
        <v>15</v>
      </c>
      <c r="C9628" s="2">
        <v>44286</v>
      </c>
      <c r="D9628" t="s">
        <v>26</v>
      </c>
      <c r="E9628">
        <v>304</v>
      </c>
    </row>
    <row r="9629" spans="1:5" x14ac:dyDescent="0.55000000000000004">
      <c r="A9629" t="s">
        <v>9710</v>
      </c>
      <c r="B9629" t="s">
        <v>101</v>
      </c>
      <c r="C9629" s="2">
        <v>44248</v>
      </c>
      <c r="D9629" t="s">
        <v>29</v>
      </c>
      <c r="E9629">
        <v>394</v>
      </c>
    </row>
    <row r="9630" spans="1:5" x14ac:dyDescent="0.55000000000000004">
      <c r="A9630" t="s">
        <v>9711</v>
      </c>
      <c r="B9630" t="s">
        <v>76</v>
      </c>
      <c r="C9630" s="2">
        <v>43740</v>
      </c>
      <c r="D9630" t="s">
        <v>26</v>
      </c>
      <c r="E9630">
        <v>379</v>
      </c>
    </row>
    <row r="9631" spans="1:5" x14ac:dyDescent="0.55000000000000004">
      <c r="A9631" t="s">
        <v>9712</v>
      </c>
      <c r="B9631" t="s">
        <v>156</v>
      </c>
      <c r="C9631" s="2">
        <v>43683</v>
      </c>
      <c r="D9631" t="s">
        <v>29</v>
      </c>
      <c r="E9631">
        <v>1209</v>
      </c>
    </row>
    <row r="9632" spans="1:5" x14ac:dyDescent="0.55000000000000004">
      <c r="A9632" t="s">
        <v>9713</v>
      </c>
      <c r="B9632" t="s">
        <v>41</v>
      </c>
      <c r="C9632" s="2">
        <v>44436</v>
      </c>
      <c r="D9632" t="s">
        <v>29</v>
      </c>
      <c r="E9632">
        <v>610</v>
      </c>
    </row>
    <row r="9633" spans="1:5" x14ac:dyDescent="0.55000000000000004">
      <c r="A9633" t="s">
        <v>9714</v>
      </c>
      <c r="B9633" t="s">
        <v>142</v>
      </c>
      <c r="C9633" s="2">
        <v>43335</v>
      </c>
      <c r="D9633" t="s">
        <v>26</v>
      </c>
      <c r="E9633">
        <v>2723</v>
      </c>
    </row>
    <row r="9634" spans="1:5" x14ac:dyDescent="0.55000000000000004">
      <c r="A9634" t="s">
        <v>9715</v>
      </c>
      <c r="B9634" t="s">
        <v>72</v>
      </c>
      <c r="C9634" s="2">
        <v>43886</v>
      </c>
      <c r="D9634" t="s">
        <v>29</v>
      </c>
      <c r="E9634">
        <v>2551</v>
      </c>
    </row>
    <row r="9635" spans="1:5" x14ac:dyDescent="0.55000000000000004">
      <c r="A9635" t="s">
        <v>9716</v>
      </c>
      <c r="B9635" t="s">
        <v>94</v>
      </c>
      <c r="C9635" s="2">
        <v>44539</v>
      </c>
      <c r="D9635" t="s">
        <v>29</v>
      </c>
      <c r="E9635">
        <v>829</v>
      </c>
    </row>
    <row r="9636" spans="1:5" x14ac:dyDescent="0.55000000000000004">
      <c r="A9636" t="s">
        <v>9717</v>
      </c>
      <c r="B9636" t="s">
        <v>14</v>
      </c>
      <c r="C9636" s="2">
        <v>43967</v>
      </c>
      <c r="D9636" t="s">
        <v>26</v>
      </c>
      <c r="E9636">
        <v>1229</v>
      </c>
    </row>
    <row r="9637" spans="1:5" x14ac:dyDescent="0.55000000000000004">
      <c r="A9637" t="s">
        <v>9718</v>
      </c>
      <c r="B9637" t="s">
        <v>142</v>
      </c>
      <c r="C9637" s="2">
        <v>43303</v>
      </c>
      <c r="D9637" t="s">
        <v>29</v>
      </c>
      <c r="E9637">
        <v>2798</v>
      </c>
    </row>
    <row r="9638" spans="1:5" x14ac:dyDescent="0.55000000000000004">
      <c r="A9638" t="s">
        <v>9719</v>
      </c>
      <c r="B9638" t="s">
        <v>76</v>
      </c>
      <c r="C9638" s="2">
        <v>44457</v>
      </c>
      <c r="D9638" t="s">
        <v>26</v>
      </c>
      <c r="E9638">
        <v>2963</v>
      </c>
    </row>
    <row r="9639" spans="1:5" x14ac:dyDescent="0.55000000000000004">
      <c r="A9639" t="s">
        <v>9720</v>
      </c>
      <c r="B9639" t="s">
        <v>74</v>
      </c>
      <c r="C9639" s="2">
        <v>44526</v>
      </c>
      <c r="D9639" t="s">
        <v>26</v>
      </c>
      <c r="E9639">
        <v>1165</v>
      </c>
    </row>
    <row r="9640" spans="1:5" x14ac:dyDescent="0.55000000000000004">
      <c r="A9640" t="s">
        <v>9721</v>
      </c>
      <c r="B9640" t="s">
        <v>94</v>
      </c>
      <c r="C9640" s="2">
        <v>44636</v>
      </c>
      <c r="D9640" t="s">
        <v>26</v>
      </c>
      <c r="E9640">
        <v>2876</v>
      </c>
    </row>
    <row r="9641" spans="1:5" x14ac:dyDescent="0.55000000000000004">
      <c r="A9641" t="s">
        <v>9722</v>
      </c>
      <c r="B9641" t="s">
        <v>105</v>
      </c>
      <c r="C9641" s="2">
        <v>44110</v>
      </c>
      <c r="D9641" t="s">
        <v>26</v>
      </c>
      <c r="E9641">
        <v>1787</v>
      </c>
    </row>
    <row r="9642" spans="1:5" x14ac:dyDescent="0.55000000000000004">
      <c r="A9642" t="s">
        <v>9723</v>
      </c>
      <c r="B9642" t="s">
        <v>63</v>
      </c>
      <c r="C9642" s="2">
        <v>43510</v>
      </c>
      <c r="D9642" t="s">
        <v>26</v>
      </c>
      <c r="E9642">
        <v>2358</v>
      </c>
    </row>
    <row r="9643" spans="1:5" x14ac:dyDescent="0.55000000000000004">
      <c r="A9643" t="s">
        <v>9724</v>
      </c>
      <c r="B9643" t="s">
        <v>84</v>
      </c>
      <c r="C9643" s="2">
        <v>43101</v>
      </c>
      <c r="D9643" t="s">
        <v>26</v>
      </c>
      <c r="E9643">
        <v>2934</v>
      </c>
    </row>
    <row r="9644" spans="1:5" x14ac:dyDescent="0.55000000000000004">
      <c r="A9644" t="s">
        <v>9725</v>
      </c>
      <c r="B9644" t="s">
        <v>74</v>
      </c>
      <c r="C9644" s="2">
        <v>44046</v>
      </c>
      <c r="D9644" t="s">
        <v>26</v>
      </c>
      <c r="E9644">
        <v>1481</v>
      </c>
    </row>
    <row r="9645" spans="1:5" x14ac:dyDescent="0.55000000000000004">
      <c r="A9645" t="s">
        <v>9726</v>
      </c>
      <c r="B9645" t="s">
        <v>41</v>
      </c>
      <c r="C9645" s="2">
        <v>44168</v>
      </c>
      <c r="D9645" t="s">
        <v>29</v>
      </c>
      <c r="E9645">
        <v>1958</v>
      </c>
    </row>
    <row r="9646" spans="1:5" x14ac:dyDescent="0.55000000000000004">
      <c r="A9646" t="s">
        <v>9727</v>
      </c>
      <c r="B9646" t="s">
        <v>23</v>
      </c>
      <c r="C9646" s="2">
        <v>44480</v>
      </c>
      <c r="D9646" t="s">
        <v>26</v>
      </c>
      <c r="E9646">
        <v>2897</v>
      </c>
    </row>
    <row r="9647" spans="1:5" x14ac:dyDescent="0.55000000000000004">
      <c r="A9647" t="s">
        <v>9728</v>
      </c>
      <c r="B9647" t="s">
        <v>14</v>
      </c>
      <c r="C9647" s="2">
        <v>43495</v>
      </c>
      <c r="D9647" t="s">
        <v>29</v>
      </c>
      <c r="E9647">
        <v>2489</v>
      </c>
    </row>
    <row r="9648" spans="1:5" x14ac:dyDescent="0.55000000000000004">
      <c r="A9648" t="s">
        <v>9729</v>
      </c>
      <c r="B9648" t="s">
        <v>84</v>
      </c>
      <c r="C9648" s="2">
        <v>43098</v>
      </c>
      <c r="D9648" t="s">
        <v>26</v>
      </c>
      <c r="E9648">
        <v>2684</v>
      </c>
    </row>
    <row r="9649" spans="1:5" x14ac:dyDescent="0.55000000000000004">
      <c r="A9649" t="s">
        <v>9730</v>
      </c>
      <c r="B9649" t="s">
        <v>63</v>
      </c>
      <c r="C9649" s="2">
        <v>43232</v>
      </c>
      <c r="D9649" t="s">
        <v>29</v>
      </c>
      <c r="E9649">
        <v>1238</v>
      </c>
    </row>
    <row r="9650" spans="1:5" x14ac:dyDescent="0.55000000000000004">
      <c r="A9650" t="s">
        <v>9731</v>
      </c>
      <c r="B9650" t="s">
        <v>140</v>
      </c>
      <c r="C9650" s="2">
        <v>42933</v>
      </c>
      <c r="D9650" t="s">
        <v>26</v>
      </c>
      <c r="E9650">
        <v>2267</v>
      </c>
    </row>
    <row r="9651" spans="1:5" x14ac:dyDescent="0.55000000000000004">
      <c r="A9651" t="s">
        <v>9732</v>
      </c>
      <c r="B9651" t="s">
        <v>94</v>
      </c>
      <c r="C9651" s="2">
        <v>43822</v>
      </c>
      <c r="D9651" t="s">
        <v>26</v>
      </c>
      <c r="E9651">
        <v>835</v>
      </c>
    </row>
    <row r="9652" spans="1:5" x14ac:dyDescent="0.55000000000000004">
      <c r="A9652" t="s">
        <v>9733</v>
      </c>
      <c r="B9652" t="s">
        <v>137</v>
      </c>
      <c r="C9652" s="2">
        <v>44705</v>
      </c>
      <c r="D9652" t="s">
        <v>26</v>
      </c>
      <c r="E9652">
        <v>1073</v>
      </c>
    </row>
    <row r="9653" spans="1:5" x14ac:dyDescent="0.55000000000000004">
      <c r="A9653" t="s">
        <v>9734</v>
      </c>
      <c r="B9653" t="s">
        <v>137</v>
      </c>
      <c r="C9653" s="2">
        <v>45523</v>
      </c>
      <c r="D9653" t="s">
        <v>29</v>
      </c>
      <c r="E9653">
        <v>1937</v>
      </c>
    </row>
    <row r="9654" spans="1:5" x14ac:dyDescent="0.55000000000000004">
      <c r="A9654" t="s">
        <v>9735</v>
      </c>
      <c r="B9654" t="s">
        <v>74</v>
      </c>
      <c r="C9654" s="2">
        <v>43330</v>
      </c>
      <c r="D9654" t="s">
        <v>26</v>
      </c>
      <c r="E9654">
        <v>2460</v>
      </c>
    </row>
    <row r="9655" spans="1:5" x14ac:dyDescent="0.55000000000000004">
      <c r="A9655" t="s">
        <v>9736</v>
      </c>
      <c r="B9655" t="s">
        <v>118</v>
      </c>
      <c r="C9655" s="2">
        <v>45237</v>
      </c>
      <c r="D9655" t="s">
        <v>26</v>
      </c>
      <c r="E9655">
        <v>1891</v>
      </c>
    </row>
    <row r="9656" spans="1:5" x14ac:dyDescent="0.55000000000000004">
      <c r="A9656" t="s">
        <v>9737</v>
      </c>
      <c r="B9656" t="s">
        <v>140</v>
      </c>
      <c r="C9656" s="2">
        <v>44036</v>
      </c>
      <c r="D9656" t="s">
        <v>29</v>
      </c>
      <c r="E9656">
        <v>357</v>
      </c>
    </row>
    <row r="9657" spans="1:5" x14ac:dyDescent="0.55000000000000004">
      <c r="A9657" t="s">
        <v>9738</v>
      </c>
      <c r="B9657" t="s">
        <v>105</v>
      </c>
      <c r="C9657" s="2">
        <v>43927</v>
      </c>
      <c r="D9657" t="s">
        <v>26</v>
      </c>
      <c r="E9657">
        <v>1189</v>
      </c>
    </row>
    <row r="9658" spans="1:5" x14ac:dyDescent="0.55000000000000004">
      <c r="A9658" t="s">
        <v>9739</v>
      </c>
      <c r="B9658" t="s">
        <v>175</v>
      </c>
      <c r="C9658" s="2">
        <v>43992</v>
      </c>
      <c r="D9658" t="s">
        <v>26</v>
      </c>
      <c r="E9658">
        <v>477</v>
      </c>
    </row>
    <row r="9659" spans="1:5" x14ac:dyDescent="0.55000000000000004">
      <c r="A9659" t="s">
        <v>9740</v>
      </c>
      <c r="B9659" t="s">
        <v>72</v>
      </c>
      <c r="C9659" s="2">
        <v>42970</v>
      </c>
      <c r="D9659" t="s">
        <v>26</v>
      </c>
      <c r="E9659">
        <v>2536</v>
      </c>
    </row>
    <row r="9660" spans="1:5" x14ac:dyDescent="0.55000000000000004">
      <c r="A9660" t="s">
        <v>9741</v>
      </c>
      <c r="B9660" t="s">
        <v>74</v>
      </c>
      <c r="C9660" s="2">
        <v>44342</v>
      </c>
      <c r="D9660" t="s">
        <v>26</v>
      </c>
      <c r="E9660">
        <v>2058</v>
      </c>
    </row>
    <row r="9661" spans="1:5" x14ac:dyDescent="0.55000000000000004">
      <c r="A9661" t="s">
        <v>9742</v>
      </c>
      <c r="B9661" t="s">
        <v>74</v>
      </c>
      <c r="C9661" s="2">
        <v>43375</v>
      </c>
      <c r="D9661" t="s">
        <v>26</v>
      </c>
      <c r="E9661">
        <v>377</v>
      </c>
    </row>
    <row r="9662" spans="1:5" x14ac:dyDescent="0.55000000000000004">
      <c r="A9662" t="s">
        <v>9743</v>
      </c>
      <c r="B9662" t="s">
        <v>156</v>
      </c>
      <c r="C9662" s="2">
        <v>44129</v>
      </c>
      <c r="D9662" t="s">
        <v>29</v>
      </c>
      <c r="E9662">
        <v>2295</v>
      </c>
    </row>
    <row r="9663" spans="1:5" x14ac:dyDescent="0.55000000000000004">
      <c r="A9663" t="s">
        <v>9744</v>
      </c>
      <c r="B9663" t="s">
        <v>142</v>
      </c>
      <c r="C9663" s="2">
        <v>43250</v>
      </c>
      <c r="D9663" t="s">
        <v>26</v>
      </c>
      <c r="E9663">
        <v>2277</v>
      </c>
    </row>
    <row r="9664" spans="1:5" x14ac:dyDescent="0.55000000000000004">
      <c r="A9664" t="s">
        <v>9745</v>
      </c>
      <c r="B9664" t="s">
        <v>99</v>
      </c>
      <c r="C9664" s="2">
        <v>45629</v>
      </c>
      <c r="D9664" t="s">
        <v>26</v>
      </c>
      <c r="E9664">
        <v>2369</v>
      </c>
    </row>
    <row r="9665" spans="1:5" x14ac:dyDescent="0.55000000000000004">
      <c r="A9665" t="s">
        <v>9746</v>
      </c>
      <c r="B9665" t="s">
        <v>101</v>
      </c>
      <c r="C9665" s="2">
        <v>44304</v>
      </c>
      <c r="D9665" t="s">
        <v>29</v>
      </c>
      <c r="E9665">
        <v>1237</v>
      </c>
    </row>
    <row r="9666" spans="1:5" x14ac:dyDescent="0.55000000000000004">
      <c r="A9666" t="s">
        <v>9747</v>
      </c>
      <c r="B9666" t="s">
        <v>137</v>
      </c>
      <c r="C9666" s="2">
        <v>44942</v>
      </c>
      <c r="D9666" t="s">
        <v>26</v>
      </c>
      <c r="E9666">
        <v>771</v>
      </c>
    </row>
    <row r="9667" spans="1:5" x14ac:dyDescent="0.55000000000000004">
      <c r="A9667" t="s">
        <v>9748</v>
      </c>
      <c r="B9667" t="s">
        <v>115</v>
      </c>
      <c r="C9667" s="2">
        <v>44089</v>
      </c>
      <c r="D9667" t="s">
        <v>26</v>
      </c>
      <c r="E9667">
        <v>2769</v>
      </c>
    </row>
    <row r="9668" spans="1:5" x14ac:dyDescent="0.55000000000000004">
      <c r="A9668" t="s">
        <v>9749</v>
      </c>
      <c r="B9668" t="s">
        <v>23</v>
      </c>
      <c r="C9668" s="2">
        <v>43904</v>
      </c>
      <c r="D9668" t="s">
        <v>26</v>
      </c>
      <c r="E9668">
        <v>287</v>
      </c>
    </row>
    <row r="9669" spans="1:5" x14ac:dyDescent="0.55000000000000004">
      <c r="A9669" t="s">
        <v>9750</v>
      </c>
      <c r="B9669" t="s">
        <v>38</v>
      </c>
      <c r="C9669" s="2">
        <v>44275</v>
      </c>
      <c r="D9669" t="s">
        <v>26</v>
      </c>
      <c r="E9669">
        <v>1314</v>
      </c>
    </row>
    <row r="9670" spans="1:5" x14ac:dyDescent="0.55000000000000004">
      <c r="A9670" t="s">
        <v>9751</v>
      </c>
      <c r="B9670" t="s">
        <v>101</v>
      </c>
      <c r="C9670" s="2">
        <v>44067</v>
      </c>
      <c r="D9670" t="s">
        <v>26</v>
      </c>
      <c r="E9670">
        <v>385</v>
      </c>
    </row>
    <row r="9671" spans="1:5" x14ac:dyDescent="0.55000000000000004">
      <c r="A9671" t="s">
        <v>9752</v>
      </c>
      <c r="B9671" t="s">
        <v>15</v>
      </c>
      <c r="C9671" s="2">
        <v>43227</v>
      </c>
      <c r="D9671" t="s">
        <v>26</v>
      </c>
      <c r="E9671">
        <v>1765</v>
      </c>
    </row>
    <row r="9672" spans="1:5" x14ac:dyDescent="0.55000000000000004">
      <c r="A9672" t="s">
        <v>9753</v>
      </c>
      <c r="B9672" t="s">
        <v>94</v>
      </c>
      <c r="C9672" s="2">
        <v>45099</v>
      </c>
      <c r="D9672" t="s">
        <v>29</v>
      </c>
      <c r="E9672">
        <v>220</v>
      </c>
    </row>
    <row r="9673" spans="1:5" x14ac:dyDescent="0.55000000000000004">
      <c r="A9673" t="s">
        <v>9754</v>
      </c>
      <c r="B9673" t="s">
        <v>156</v>
      </c>
      <c r="C9673" s="2">
        <v>44374</v>
      </c>
      <c r="D9673" t="s">
        <v>26</v>
      </c>
      <c r="E9673">
        <v>1983</v>
      </c>
    </row>
    <row r="9674" spans="1:5" x14ac:dyDescent="0.55000000000000004">
      <c r="A9674" t="s">
        <v>9755</v>
      </c>
      <c r="B9674" t="s">
        <v>74</v>
      </c>
      <c r="C9674" s="2">
        <v>42940</v>
      </c>
      <c r="D9674" t="s">
        <v>26</v>
      </c>
      <c r="E9674">
        <v>2829</v>
      </c>
    </row>
    <row r="9675" spans="1:5" x14ac:dyDescent="0.55000000000000004">
      <c r="A9675" t="s">
        <v>9756</v>
      </c>
      <c r="B9675" t="s">
        <v>99</v>
      </c>
      <c r="C9675" s="2">
        <v>45772</v>
      </c>
      <c r="D9675" t="s">
        <v>26</v>
      </c>
      <c r="E9675">
        <v>2532</v>
      </c>
    </row>
    <row r="9676" spans="1:5" x14ac:dyDescent="0.55000000000000004">
      <c r="A9676" t="s">
        <v>9757</v>
      </c>
      <c r="B9676" t="s">
        <v>115</v>
      </c>
      <c r="C9676" s="2">
        <v>43953</v>
      </c>
      <c r="D9676" t="s">
        <v>29</v>
      </c>
      <c r="E9676">
        <v>1190</v>
      </c>
    </row>
    <row r="9677" spans="1:5" x14ac:dyDescent="0.55000000000000004">
      <c r="A9677" t="s">
        <v>9758</v>
      </c>
      <c r="B9677" t="s">
        <v>142</v>
      </c>
      <c r="C9677" s="2">
        <v>43574</v>
      </c>
      <c r="D9677" t="s">
        <v>26</v>
      </c>
      <c r="E9677">
        <v>458</v>
      </c>
    </row>
    <row r="9678" spans="1:5" x14ac:dyDescent="0.55000000000000004">
      <c r="A9678" t="s">
        <v>9759</v>
      </c>
      <c r="B9678" t="s">
        <v>63</v>
      </c>
      <c r="C9678" s="2">
        <v>44396</v>
      </c>
      <c r="D9678" t="s">
        <v>26</v>
      </c>
      <c r="E9678">
        <v>650</v>
      </c>
    </row>
    <row r="9679" spans="1:5" x14ac:dyDescent="0.55000000000000004">
      <c r="A9679" t="s">
        <v>9760</v>
      </c>
      <c r="B9679" t="s">
        <v>14</v>
      </c>
      <c r="C9679" s="2">
        <v>44480</v>
      </c>
      <c r="D9679" t="s">
        <v>26</v>
      </c>
      <c r="E9679">
        <v>1115</v>
      </c>
    </row>
    <row r="9680" spans="1:5" x14ac:dyDescent="0.55000000000000004">
      <c r="A9680" t="s">
        <v>9761</v>
      </c>
      <c r="B9680" t="s">
        <v>137</v>
      </c>
      <c r="C9680" s="2">
        <v>44545</v>
      </c>
      <c r="D9680" t="s">
        <v>29</v>
      </c>
      <c r="E9680">
        <v>1760</v>
      </c>
    </row>
    <row r="9681" spans="1:5" x14ac:dyDescent="0.55000000000000004">
      <c r="A9681" t="s">
        <v>9762</v>
      </c>
      <c r="B9681" t="s">
        <v>14</v>
      </c>
      <c r="C9681" s="2">
        <v>43926</v>
      </c>
      <c r="D9681" t="s">
        <v>26</v>
      </c>
      <c r="E9681">
        <v>1048</v>
      </c>
    </row>
    <row r="9682" spans="1:5" x14ac:dyDescent="0.55000000000000004">
      <c r="A9682" t="s">
        <v>9763</v>
      </c>
      <c r="B9682" t="s">
        <v>94</v>
      </c>
      <c r="C9682" s="2">
        <v>45592</v>
      </c>
      <c r="D9682" t="s">
        <v>29</v>
      </c>
      <c r="E9682">
        <v>1600</v>
      </c>
    </row>
    <row r="9683" spans="1:5" x14ac:dyDescent="0.55000000000000004">
      <c r="A9683" t="s">
        <v>9764</v>
      </c>
      <c r="B9683" t="s">
        <v>86</v>
      </c>
      <c r="C9683" s="2">
        <v>43035</v>
      </c>
      <c r="D9683" t="s">
        <v>29</v>
      </c>
      <c r="E9683">
        <v>1858</v>
      </c>
    </row>
    <row r="9684" spans="1:5" x14ac:dyDescent="0.55000000000000004">
      <c r="A9684" t="s">
        <v>9765</v>
      </c>
      <c r="B9684" t="s">
        <v>86</v>
      </c>
      <c r="C9684" s="2">
        <v>44455</v>
      </c>
      <c r="D9684" t="s">
        <v>26</v>
      </c>
      <c r="E9684">
        <v>1466</v>
      </c>
    </row>
    <row r="9685" spans="1:5" x14ac:dyDescent="0.55000000000000004">
      <c r="A9685" t="s">
        <v>9766</v>
      </c>
      <c r="B9685" t="s">
        <v>41</v>
      </c>
      <c r="C9685" s="2">
        <v>44771</v>
      </c>
      <c r="D9685" t="s">
        <v>26</v>
      </c>
      <c r="E9685">
        <v>926</v>
      </c>
    </row>
    <row r="9686" spans="1:5" x14ac:dyDescent="0.55000000000000004">
      <c r="A9686" t="s">
        <v>9767</v>
      </c>
      <c r="B9686" t="s">
        <v>74</v>
      </c>
      <c r="C9686" s="2">
        <v>43689</v>
      </c>
      <c r="D9686" t="s">
        <v>26</v>
      </c>
      <c r="E9686">
        <v>481</v>
      </c>
    </row>
    <row r="9687" spans="1:5" x14ac:dyDescent="0.55000000000000004">
      <c r="A9687" t="s">
        <v>9768</v>
      </c>
      <c r="B9687" t="s">
        <v>101</v>
      </c>
      <c r="C9687" s="2">
        <v>42970</v>
      </c>
      <c r="D9687" t="s">
        <v>26</v>
      </c>
      <c r="E9687">
        <v>2712</v>
      </c>
    </row>
    <row r="9688" spans="1:5" x14ac:dyDescent="0.55000000000000004">
      <c r="A9688" t="s">
        <v>9769</v>
      </c>
      <c r="B9688" t="s">
        <v>96</v>
      </c>
      <c r="C9688" s="2">
        <v>45529</v>
      </c>
      <c r="D9688" t="s">
        <v>26</v>
      </c>
      <c r="E9688">
        <v>380</v>
      </c>
    </row>
    <row r="9689" spans="1:5" x14ac:dyDescent="0.55000000000000004">
      <c r="A9689" t="s">
        <v>9770</v>
      </c>
      <c r="B9689" t="s">
        <v>35</v>
      </c>
      <c r="C9689" s="2">
        <v>43943</v>
      </c>
      <c r="D9689" t="s">
        <v>29</v>
      </c>
      <c r="E9689">
        <v>2826</v>
      </c>
    </row>
    <row r="9690" spans="1:5" x14ac:dyDescent="0.55000000000000004">
      <c r="A9690" t="s">
        <v>9771</v>
      </c>
      <c r="B9690" t="s">
        <v>118</v>
      </c>
      <c r="C9690" s="2">
        <v>45266</v>
      </c>
      <c r="D9690" t="s">
        <v>26</v>
      </c>
      <c r="E9690">
        <v>769</v>
      </c>
    </row>
    <row r="9691" spans="1:5" x14ac:dyDescent="0.55000000000000004">
      <c r="A9691" t="s">
        <v>9772</v>
      </c>
      <c r="B9691" t="s">
        <v>118</v>
      </c>
      <c r="C9691" s="2">
        <v>45814</v>
      </c>
      <c r="D9691" t="s">
        <v>29</v>
      </c>
      <c r="E9691">
        <v>842</v>
      </c>
    </row>
    <row r="9692" spans="1:5" x14ac:dyDescent="0.55000000000000004">
      <c r="A9692" t="s">
        <v>9773</v>
      </c>
      <c r="B9692" t="s">
        <v>142</v>
      </c>
      <c r="C9692" s="2">
        <v>43786</v>
      </c>
      <c r="D9692" t="s">
        <v>29</v>
      </c>
      <c r="E9692">
        <v>1890</v>
      </c>
    </row>
    <row r="9693" spans="1:5" x14ac:dyDescent="0.55000000000000004">
      <c r="A9693" t="s">
        <v>9774</v>
      </c>
      <c r="B9693" t="s">
        <v>14</v>
      </c>
      <c r="C9693" s="2">
        <v>42944</v>
      </c>
      <c r="D9693" t="s">
        <v>29</v>
      </c>
      <c r="E9693">
        <v>2432</v>
      </c>
    </row>
    <row r="9694" spans="1:5" x14ac:dyDescent="0.55000000000000004">
      <c r="A9694" t="s">
        <v>9775</v>
      </c>
      <c r="B9694" t="s">
        <v>32</v>
      </c>
      <c r="C9694" s="2">
        <v>44406</v>
      </c>
      <c r="D9694" t="s">
        <v>29</v>
      </c>
      <c r="E9694">
        <v>2446</v>
      </c>
    </row>
    <row r="9695" spans="1:5" x14ac:dyDescent="0.55000000000000004">
      <c r="A9695" t="s">
        <v>9776</v>
      </c>
      <c r="B9695" t="s">
        <v>76</v>
      </c>
      <c r="C9695" s="2">
        <v>45091</v>
      </c>
      <c r="D9695" t="s">
        <v>29</v>
      </c>
      <c r="E9695">
        <v>2811</v>
      </c>
    </row>
    <row r="9696" spans="1:5" x14ac:dyDescent="0.55000000000000004">
      <c r="A9696" t="s">
        <v>9777</v>
      </c>
      <c r="B9696" t="s">
        <v>32</v>
      </c>
      <c r="C9696" s="2">
        <v>44333</v>
      </c>
      <c r="D9696" t="s">
        <v>26</v>
      </c>
      <c r="E9696">
        <v>1015</v>
      </c>
    </row>
    <row r="9697" spans="1:5" x14ac:dyDescent="0.55000000000000004">
      <c r="A9697" t="s">
        <v>9778</v>
      </c>
      <c r="B9697" t="s">
        <v>151</v>
      </c>
      <c r="C9697" s="2">
        <v>44330</v>
      </c>
      <c r="D9697" t="s">
        <v>29</v>
      </c>
      <c r="E9697">
        <v>242</v>
      </c>
    </row>
    <row r="9698" spans="1:5" x14ac:dyDescent="0.55000000000000004">
      <c r="A9698" t="s">
        <v>9779</v>
      </c>
      <c r="B9698" t="s">
        <v>14</v>
      </c>
      <c r="C9698" s="2">
        <v>43926</v>
      </c>
      <c r="D9698" t="s">
        <v>26</v>
      </c>
      <c r="E9698">
        <v>2790</v>
      </c>
    </row>
    <row r="9699" spans="1:5" x14ac:dyDescent="0.55000000000000004">
      <c r="A9699" t="s">
        <v>9780</v>
      </c>
      <c r="B9699" t="s">
        <v>111</v>
      </c>
      <c r="C9699" s="2">
        <v>43987</v>
      </c>
      <c r="D9699" t="s">
        <v>26</v>
      </c>
      <c r="E9699">
        <v>108</v>
      </c>
    </row>
    <row r="9700" spans="1:5" x14ac:dyDescent="0.55000000000000004">
      <c r="A9700" t="s">
        <v>9781</v>
      </c>
      <c r="B9700" t="s">
        <v>23</v>
      </c>
      <c r="C9700" s="2">
        <v>44845</v>
      </c>
      <c r="D9700" t="s">
        <v>26</v>
      </c>
      <c r="E9700">
        <v>1123</v>
      </c>
    </row>
    <row r="9701" spans="1:5" x14ac:dyDescent="0.55000000000000004">
      <c r="A9701" t="s">
        <v>9782</v>
      </c>
      <c r="B9701" t="s">
        <v>35</v>
      </c>
      <c r="C9701" s="2">
        <v>43930</v>
      </c>
      <c r="D9701" t="s">
        <v>29</v>
      </c>
      <c r="E9701">
        <v>810</v>
      </c>
    </row>
    <row r="9702" spans="1:5" x14ac:dyDescent="0.55000000000000004">
      <c r="A9702" t="s">
        <v>9783</v>
      </c>
      <c r="B9702" t="s">
        <v>63</v>
      </c>
      <c r="C9702" s="2">
        <v>43290</v>
      </c>
      <c r="D9702" t="s">
        <v>26</v>
      </c>
      <c r="E9702">
        <v>1221</v>
      </c>
    </row>
    <row r="9703" spans="1:5" x14ac:dyDescent="0.55000000000000004">
      <c r="A9703" t="s">
        <v>9784</v>
      </c>
      <c r="B9703" t="s">
        <v>151</v>
      </c>
      <c r="C9703" s="2">
        <v>42979</v>
      </c>
      <c r="D9703" t="s">
        <v>29</v>
      </c>
      <c r="E9703">
        <v>1382</v>
      </c>
    </row>
    <row r="9704" spans="1:5" x14ac:dyDescent="0.55000000000000004">
      <c r="A9704" t="s">
        <v>9785</v>
      </c>
      <c r="B9704" t="s">
        <v>94</v>
      </c>
      <c r="C9704" s="2">
        <v>45655</v>
      </c>
      <c r="D9704" t="s">
        <v>29</v>
      </c>
      <c r="E9704">
        <v>1200</v>
      </c>
    </row>
    <row r="9705" spans="1:5" x14ac:dyDescent="0.55000000000000004">
      <c r="A9705" t="s">
        <v>9786</v>
      </c>
      <c r="B9705" t="s">
        <v>156</v>
      </c>
      <c r="C9705" s="2">
        <v>44342</v>
      </c>
      <c r="D9705" t="s">
        <v>26</v>
      </c>
      <c r="E9705">
        <v>2552</v>
      </c>
    </row>
    <row r="9706" spans="1:5" x14ac:dyDescent="0.55000000000000004">
      <c r="A9706" t="s">
        <v>9787</v>
      </c>
      <c r="B9706" t="s">
        <v>94</v>
      </c>
      <c r="C9706" s="2">
        <v>44166</v>
      </c>
      <c r="D9706" t="s">
        <v>26</v>
      </c>
      <c r="E9706">
        <v>1917</v>
      </c>
    </row>
    <row r="9707" spans="1:5" x14ac:dyDescent="0.55000000000000004">
      <c r="A9707" t="s">
        <v>9788</v>
      </c>
      <c r="B9707" t="s">
        <v>111</v>
      </c>
      <c r="C9707" s="2">
        <v>44145</v>
      </c>
      <c r="D9707" t="s">
        <v>26</v>
      </c>
      <c r="E9707">
        <v>2366</v>
      </c>
    </row>
    <row r="9708" spans="1:5" x14ac:dyDescent="0.55000000000000004">
      <c r="A9708" t="s">
        <v>9789</v>
      </c>
      <c r="B9708" t="s">
        <v>96</v>
      </c>
      <c r="C9708" s="2">
        <v>44229</v>
      </c>
      <c r="D9708" t="s">
        <v>26</v>
      </c>
      <c r="E9708">
        <v>2148</v>
      </c>
    </row>
    <row r="9709" spans="1:5" x14ac:dyDescent="0.55000000000000004">
      <c r="A9709" t="s">
        <v>9790</v>
      </c>
      <c r="B9709" t="s">
        <v>76</v>
      </c>
      <c r="C9709" s="2">
        <v>44797</v>
      </c>
      <c r="D9709" t="s">
        <v>26</v>
      </c>
      <c r="E9709">
        <v>2809</v>
      </c>
    </row>
    <row r="9710" spans="1:5" x14ac:dyDescent="0.55000000000000004">
      <c r="A9710" t="s">
        <v>9791</v>
      </c>
      <c r="B9710" t="s">
        <v>86</v>
      </c>
      <c r="C9710" s="2">
        <v>44044</v>
      </c>
      <c r="D9710" t="s">
        <v>29</v>
      </c>
      <c r="E9710">
        <v>1123</v>
      </c>
    </row>
    <row r="9711" spans="1:5" x14ac:dyDescent="0.55000000000000004">
      <c r="A9711" t="s">
        <v>9792</v>
      </c>
      <c r="B9711" t="s">
        <v>86</v>
      </c>
      <c r="C9711" s="2">
        <v>43564</v>
      </c>
      <c r="D9711" t="s">
        <v>26</v>
      </c>
      <c r="E9711">
        <v>866</v>
      </c>
    </row>
    <row r="9712" spans="1:5" x14ac:dyDescent="0.55000000000000004">
      <c r="A9712" t="s">
        <v>9793</v>
      </c>
      <c r="B9712" t="s">
        <v>32</v>
      </c>
      <c r="C9712" s="2">
        <v>44065</v>
      </c>
      <c r="D9712" t="s">
        <v>29</v>
      </c>
      <c r="E9712">
        <v>98</v>
      </c>
    </row>
    <row r="9713" spans="1:5" x14ac:dyDescent="0.55000000000000004">
      <c r="A9713" t="s">
        <v>9794</v>
      </c>
      <c r="B9713" t="s">
        <v>151</v>
      </c>
      <c r="C9713" s="2">
        <v>43553</v>
      </c>
      <c r="D9713" t="s">
        <v>26</v>
      </c>
      <c r="E9713">
        <v>963</v>
      </c>
    </row>
    <row r="9714" spans="1:5" x14ac:dyDescent="0.55000000000000004">
      <c r="A9714" t="s">
        <v>9795</v>
      </c>
      <c r="B9714" t="s">
        <v>140</v>
      </c>
      <c r="C9714" s="2">
        <v>43932</v>
      </c>
      <c r="D9714" t="s">
        <v>26</v>
      </c>
      <c r="E9714">
        <v>2243</v>
      </c>
    </row>
    <row r="9715" spans="1:5" x14ac:dyDescent="0.55000000000000004">
      <c r="A9715" t="s">
        <v>9796</v>
      </c>
      <c r="B9715" t="s">
        <v>41</v>
      </c>
      <c r="C9715" s="2">
        <v>44832</v>
      </c>
      <c r="D9715" t="s">
        <v>26</v>
      </c>
      <c r="E9715">
        <v>1623</v>
      </c>
    </row>
    <row r="9716" spans="1:5" x14ac:dyDescent="0.55000000000000004">
      <c r="A9716" t="s">
        <v>9797</v>
      </c>
      <c r="B9716" t="s">
        <v>94</v>
      </c>
      <c r="C9716" s="2">
        <v>45770</v>
      </c>
      <c r="D9716" t="s">
        <v>26</v>
      </c>
      <c r="E9716">
        <v>595</v>
      </c>
    </row>
    <row r="9717" spans="1:5" x14ac:dyDescent="0.55000000000000004">
      <c r="A9717" t="s">
        <v>9798</v>
      </c>
      <c r="B9717" t="s">
        <v>63</v>
      </c>
      <c r="C9717" s="2">
        <v>44006</v>
      </c>
      <c r="D9717" t="s">
        <v>26</v>
      </c>
      <c r="E9717">
        <v>133</v>
      </c>
    </row>
    <row r="9718" spans="1:5" x14ac:dyDescent="0.55000000000000004">
      <c r="A9718" t="s">
        <v>9799</v>
      </c>
      <c r="B9718" t="s">
        <v>84</v>
      </c>
      <c r="C9718" s="2">
        <v>44340</v>
      </c>
      <c r="D9718" t="s">
        <v>26</v>
      </c>
      <c r="E9718">
        <v>1684</v>
      </c>
    </row>
    <row r="9719" spans="1:5" x14ac:dyDescent="0.55000000000000004">
      <c r="A9719" t="s">
        <v>9800</v>
      </c>
      <c r="B9719" t="s">
        <v>84</v>
      </c>
      <c r="C9719" s="2">
        <v>43816</v>
      </c>
      <c r="D9719" t="s">
        <v>29</v>
      </c>
      <c r="E9719">
        <v>2125</v>
      </c>
    </row>
    <row r="9720" spans="1:5" x14ac:dyDescent="0.55000000000000004">
      <c r="A9720" t="s">
        <v>9801</v>
      </c>
      <c r="B9720" t="s">
        <v>156</v>
      </c>
      <c r="C9720" s="2">
        <v>43763</v>
      </c>
      <c r="D9720" t="s">
        <v>29</v>
      </c>
      <c r="E9720">
        <v>1120</v>
      </c>
    </row>
    <row r="9721" spans="1:5" x14ac:dyDescent="0.55000000000000004">
      <c r="A9721" t="s">
        <v>9802</v>
      </c>
      <c r="B9721" t="s">
        <v>67</v>
      </c>
      <c r="C9721" s="2">
        <v>45230</v>
      </c>
      <c r="D9721" t="s">
        <v>29</v>
      </c>
      <c r="E9721">
        <v>2915</v>
      </c>
    </row>
    <row r="9722" spans="1:5" x14ac:dyDescent="0.55000000000000004">
      <c r="A9722" t="s">
        <v>9803</v>
      </c>
      <c r="B9722" t="s">
        <v>84</v>
      </c>
      <c r="C9722" s="2">
        <v>43118</v>
      </c>
      <c r="D9722" t="s">
        <v>29</v>
      </c>
      <c r="E9722">
        <v>945</v>
      </c>
    </row>
    <row r="9723" spans="1:5" x14ac:dyDescent="0.55000000000000004">
      <c r="A9723" t="s">
        <v>9804</v>
      </c>
      <c r="B9723" t="s">
        <v>96</v>
      </c>
      <c r="C9723" s="2">
        <v>43827</v>
      </c>
      <c r="D9723" t="s">
        <v>26</v>
      </c>
      <c r="E9723">
        <v>158</v>
      </c>
    </row>
    <row r="9724" spans="1:5" x14ac:dyDescent="0.55000000000000004">
      <c r="A9724" t="s">
        <v>9805</v>
      </c>
      <c r="B9724" t="s">
        <v>101</v>
      </c>
      <c r="C9724" s="2">
        <v>43383</v>
      </c>
      <c r="D9724" t="s">
        <v>26</v>
      </c>
      <c r="E9724">
        <v>1873</v>
      </c>
    </row>
    <row r="9725" spans="1:5" x14ac:dyDescent="0.55000000000000004">
      <c r="A9725" t="s">
        <v>9806</v>
      </c>
      <c r="B9725" t="s">
        <v>111</v>
      </c>
      <c r="C9725" s="2">
        <v>43623</v>
      </c>
      <c r="D9725" t="s">
        <v>26</v>
      </c>
      <c r="E9725">
        <v>2355</v>
      </c>
    </row>
    <row r="9726" spans="1:5" x14ac:dyDescent="0.55000000000000004">
      <c r="A9726" t="s">
        <v>9807</v>
      </c>
      <c r="B9726" t="s">
        <v>15</v>
      </c>
      <c r="C9726" s="2">
        <v>43901</v>
      </c>
      <c r="D9726" t="s">
        <v>29</v>
      </c>
      <c r="E9726">
        <v>152</v>
      </c>
    </row>
    <row r="9727" spans="1:5" x14ac:dyDescent="0.55000000000000004">
      <c r="A9727" t="s">
        <v>9808</v>
      </c>
      <c r="B9727" t="s">
        <v>115</v>
      </c>
      <c r="C9727" s="2">
        <v>43449</v>
      </c>
      <c r="D9727" t="s">
        <v>29</v>
      </c>
      <c r="E9727">
        <v>2102</v>
      </c>
    </row>
    <row r="9728" spans="1:5" x14ac:dyDescent="0.55000000000000004">
      <c r="A9728" t="s">
        <v>9809</v>
      </c>
      <c r="B9728" t="s">
        <v>156</v>
      </c>
      <c r="C9728" s="2">
        <v>42926</v>
      </c>
      <c r="D9728" t="s">
        <v>26</v>
      </c>
      <c r="E9728">
        <v>454</v>
      </c>
    </row>
    <row r="9729" spans="1:5" x14ac:dyDescent="0.55000000000000004">
      <c r="A9729" t="s">
        <v>9810</v>
      </c>
      <c r="B9729" t="s">
        <v>78</v>
      </c>
      <c r="C9729" s="2">
        <v>44569</v>
      </c>
      <c r="D9729" t="s">
        <v>29</v>
      </c>
      <c r="E9729">
        <v>325</v>
      </c>
    </row>
    <row r="9730" spans="1:5" x14ac:dyDescent="0.55000000000000004">
      <c r="A9730" t="s">
        <v>9811</v>
      </c>
      <c r="B9730" t="s">
        <v>86</v>
      </c>
      <c r="C9730" s="2">
        <v>43816</v>
      </c>
      <c r="D9730" t="s">
        <v>26</v>
      </c>
      <c r="E9730">
        <v>2228</v>
      </c>
    </row>
    <row r="9731" spans="1:5" x14ac:dyDescent="0.55000000000000004">
      <c r="A9731" t="s">
        <v>9812</v>
      </c>
      <c r="B9731" t="s">
        <v>115</v>
      </c>
      <c r="C9731" s="2">
        <v>44364</v>
      </c>
      <c r="D9731" t="s">
        <v>29</v>
      </c>
      <c r="E9731">
        <v>2913</v>
      </c>
    </row>
    <row r="9732" spans="1:5" x14ac:dyDescent="0.55000000000000004">
      <c r="A9732" t="s">
        <v>9813</v>
      </c>
      <c r="B9732" t="s">
        <v>151</v>
      </c>
      <c r="C9732" s="2">
        <v>44356</v>
      </c>
      <c r="D9732" t="s">
        <v>29</v>
      </c>
      <c r="E9732">
        <v>280</v>
      </c>
    </row>
    <row r="9733" spans="1:5" x14ac:dyDescent="0.55000000000000004">
      <c r="A9733" t="s">
        <v>9814</v>
      </c>
      <c r="B9733" t="s">
        <v>74</v>
      </c>
      <c r="C9733" s="2">
        <v>43765</v>
      </c>
      <c r="D9733" t="s">
        <v>29</v>
      </c>
      <c r="E9733">
        <v>484</v>
      </c>
    </row>
    <row r="9734" spans="1:5" x14ac:dyDescent="0.55000000000000004">
      <c r="A9734" t="s">
        <v>9815</v>
      </c>
      <c r="B9734" t="s">
        <v>115</v>
      </c>
      <c r="C9734" s="2">
        <v>43545</v>
      </c>
      <c r="D9734" t="s">
        <v>29</v>
      </c>
      <c r="E9734">
        <v>127</v>
      </c>
    </row>
    <row r="9735" spans="1:5" x14ac:dyDescent="0.55000000000000004">
      <c r="A9735" t="s">
        <v>9816</v>
      </c>
      <c r="B9735" t="s">
        <v>76</v>
      </c>
      <c r="C9735" s="2">
        <v>44278</v>
      </c>
      <c r="D9735" t="s">
        <v>29</v>
      </c>
      <c r="E9735">
        <v>311</v>
      </c>
    </row>
    <row r="9736" spans="1:5" x14ac:dyDescent="0.55000000000000004">
      <c r="A9736" t="s">
        <v>9817</v>
      </c>
      <c r="B9736" t="s">
        <v>74</v>
      </c>
      <c r="C9736" s="2">
        <v>43974</v>
      </c>
      <c r="D9736" t="s">
        <v>26</v>
      </c>
      <c r="E9736">
        <v>1637</v>
      </c>
    </row>
    <row r="9737" spans="1:5" x14ac:dyDescent="0.55000000000000004">
      <c r="A9737" t="s">
        <v>9818</v>
      </c>
      <c r="B9737" t="s">
        <v>78</v>
      </c>
      <c r="C9737" s="2">
        <v>43556</v>
      </c>
      <c r="D9737" t="s">
        <v>29</v>
      </c>
      <c r="E9737">
        <v>1399</v>
      </c>
    </row>
    <row r="9738" spans="1:5" x14ac:dyDescent="0.55000000000000004">
      <c r="A9738" t="s">
        <v>9819</v>
      </c>
      <c r="B9738" t="s">
        <v>111</v>
      </c>
      <c r="C9738" s="2">
        <v>44369</v>
      </c>
      <c r="D9738" t="s">
        <v>29</v>
      </c>
      <c r="E9738">
        <v>1552</v>
      </c>
    </row>
    <row r="9739" spans="1:5" x14ac:dyDescent="0.55000000000000004">
      <c r="A9739" t="s">
        <v>9820</v>
      </c>
      <c r="B9739" t="s">
        <v>86</v>
      </c>
      <c r="C9739" s="2">
        <v>43445</v>
      </c>
      <c r="D9739" t="s">
        <v>26</v>
      </c>
      <c r="E9739">
        <v>1631</v>
      </c>
    </row>
    <row r="9740" spans="1:5" x14ac:dyDescent="0.55000000000000004">
      <c r="A9740" t="s">
        <v>9821</v>
      </c>
      <c r="B9740" t="s">
        <v>67</v>
      </c>
      <c r="C9740" s="2">
        <v>44476</v>
      </c>
      <c r="D9740" t="s">
        <v>29</v>
      </c>
      <c r="E9740">
        <v>2074</v>
      </c>
    </row>
    <row r="9741" spans="1:5" x14ac:dyDescent="0.55000000000000004">
      <c r="A9741" t="s">
        <v>9822</v>
      </c>
      <c r="B9741" t="s">
        <v>118</v>
      </c>
      <c r="C9741" s="2">
        <v>44512</v>
      </c>
      <c r="D9741" t="s">
        <v>26</v>
      </c>
      <c r="E9741">
        <v>2047</v>
      </c>
    </row>
    <row r="9742" spans="1:5" x14ac:dyDescent="0.55000000000000004">
      <c r="A9742" t="s">
        <v>9823</v>
      </c>
      <c r="B9742" t="s">
        <v>15</v>
      </c>
      <c r="C9742" s="2">
        <v>43100</v>
      </c>
      <c r="D9742" t="s">
        <v>29</v>
      </c>
      <c r="E9742">
        <v>111</v>
      </c>
    </row>
    <row r="9743" spans="1:5" x14ac:dyDescent="0.55000000000000004">
      <c r="A9743" t="s">
        <v>9824</v>
      </c>
      <c r="B9743" t="s">
        <v>151</v>
      </c>
      <c r="C9743" s="2">
        <v>43511</v>
      </c>
      <c r="D9743" t="s">
        <v>29</v>
      </c>
      <c r="E9743">
        <v>2588</v>
      </c>
    </row>
    <row r="9744" spans="1:5" x14ac:dyDescent="0.55000000000000004">
      <c r="A9744" t="s">
        <v>9825</v>
      </c>
      <c r="B9744" t="s">
        <v>38</v>
      </c>
      <c r="C9744" s="2">
        <v>44475</v>
      </c>
      <c r="D9744" t="s">
        <v>29</v>
      </c>
      <c r="E9744">
        <v>1384</v>
      </c>
    </row>
    <row r="9745" spans="1:5" x14ac:dyDescent="0.55000000000000004">
      <c r="A9745" t="s">
        <v>9826</v>
      </c>
      <c r="B9745" t="s">
        <v>76</v>
      </c>
      <c r="C9745" s="2">
        <v>45786</v>
      </c>
      <c r="D9745" t="s">
        <v>29</v>
      </c>
      <c r="E9745">
        <v>2763</v>
      </c>
    </row>
    <row r="9746" spans="1:5" x14ac:dyDescent="0.55000000000000004">
      <c r="A9746" t="s">
        <v>9827</v>
      </c>
      <c r="B9746" t="s">
        <v>140</v>
      </c>
      <c r="C9746" s="2">
        <v>44530</v>
      </c>
      <c r="D9746" t="s">
        <v>29</v>
      </c>
      <c r="E9746">
        <v>117</v>
      </c>
    </row>
    <row r="9747" spans="1:5" x14ac:dyDescent="0.55000000000000004">
      <c r="A9747" t="s">
        <v>9828</v>
      </c>
      <c r="B9747" t="s">
        <v>14</v>
      </c>
      <c r="C9747" s="2">
        <v>43389</v>
      </c>
      <c r="D9747" t="s">
        <v>26</v>
      </c>
      <c r="E9747">
        <v>353</v>
      </c>
    </row>
    <row r="9748" spans="1:5" x14ac:dyDescent="0.55000000000000004">
      <c r="A9748" t="s">
        <v>9829</v>
      </c>
      <c r="B9748" t="s">
        <v>74</v>
      </c>
      <c r="C9748" s="2">
        <v>44147</v>
      </c>
      <c r="D9748" t="s">
        <v>29</v>
      </c>
      <c r="E9748">
        <v>2635</v>
      </c>
    </row>
    <row r="9749" spans="1:5" x14ac:dyDescent="0.55000000000000004">
      <c r="A9749" t="s">
        <v>9830</v>
      </c>
      <c r="B9749" t="s">
        <v>72</v>
      </c>
      <c r="C9749" s="2">
        <v>43228</v>
      </c>
      <c r="D9749" t="s">
        <v>29</v>
      </c>
      <c r="E9749">
        <v>613</v>
      </c>
    </row>
    <row r="9750" spans="1:5" x14ac:dyDescent="0.55000000000000004">
      <c r="A9750" t="s">
        <v>9831</v>
      </c>
      <c r="B9750" t="s">
        <v>63</v>
      </c>
      <c r="C9750" s="2">
        <v>43987</v>
      </c>
      <c r="D9750" t="s">
        <v>29</v>
      </c>
      <c r="E9750">
        <v>2404</v>
      </c>
    </row>
    <row r="9751" spans="1:5" x14ac:dyDescent="0.55000000000000004">
      <c r="A9751" t="s">
        <v>9832</v>
      </c>
      <c r="B9751" t="s">
        <v>96</v>
      </c>
      <c r="C9751" s="2">
        <v>44559</v>
      </c>
      <c r="D9751" t="s">
        <v>26</v>
      </c>
      <c r="E9751">
        <v>2828</v>
      </c>
    </row>
    <row r="9752" spans="1:5" x14ac:dyDescent="0.55000000000000004">
      <c r="A9752" t="s">
        <v>9833</v>
      </c>
      <c r="B9752" t="s">
        <v>115</v>
      </c>
      <c r="C9752" s="2">
        <v>44251</v>
      </c>
      <c r="D9752" t="s">
        <v>29</v>
      </c>
      <c r="E9752">
        <v>850</v>
      </c>
    </row>
    <row r="9753" spans="1:5" x14ac:dyDescent="0.55000000000000004">
      <c r="A9753" t="s">
        <v>9834</v>
      </c>
      <c r="B9753" t="s">
        <v>101</v>
      </c>
      <c r="C9753" s="2">
        <v>44550</v>
      </c>
      <c r="D9753" t="s">
        <v>26</v>
      </c>
      <c r="E9753">
        <v>2191</v>
      </c>
    </row>
    <row r="9754" spans="1:5" x14ac:dyDescent="0.55000000000000004">
      <c r="A9754" t="s">
        <v>9835</v>
      </c>
      <c r="B9754" t="s">
        <v>86</v>
      </c>
      <c r="C9754" s="2">
        <v>44264</v>
      </c>
      <c r="D9754" t="s">
        <v>26</v>
      </c>
      <c r="E9754">
        <v>2379</v>
      </c>
    </row>
    <row r="9755" spans="1:5" x14ac:dyDescent="0.55000000000000004">
      <c r="A9755" t="s">
        <v>9836</v>
      </c>
      <c r="B9755" t="s">
        <v>111</v>
      </c>
      <c r="C9755" s="2">
        <v>44307</v>
      </c>
      <c r="D9755" t="s">
        <v>29</v>
      </c>
      <c r="E9755">
        <v>87</v>
      </c>
    </row>
    <row r="9756" spans="1:5" x14ac:dyDescent="0.55000000000000004">
      <c r="A9756" t="s">
        <v>9837</v>
      </c>
      <c r="B9756" t="s">
        <v>137</v>
      </c>
      <c r="C9756" s="2">
        <v>44259</v>
      </c>
      <c r="D9756" t="s">
        <v>29</v>
      </c>
      <c r="E9756">
        <v>120</v>
      </c>
    </row>
    <row r="9757" spans="1:5" x14ac:dyDescent="0.55000000000000004">
      <c r="A9757" t="s">
        <v>9838</v>
      </c>
      <c r="B9757" t="s">
        <v>118</v>
      </c>
      <c r="C9757" s="2">
        <v>45815</v>
      </c>
      <c r="D9757" t="s">
        <v>26</v>
      </c>
      <c r="E9757">
        <v>1664</v>
      </c>
    </row>
    <row r="9758" spans="1:5" x14ac:dyDescent="0.55000000000000004">
      <c r="A9758" t="s">
        <v>9839</v>
      </c>
      <c r="B9758" t="s">
        <v>38</v>
      </c>
      <c r="C9758" s="2">
        <v>44569</v>
      </c>
      <c r="D9758" t="s">
        <v>26</v>
      </c>
      <c r="E9758">
        <v>2226</v>
      </c>
    </row>
    <row r="9759" spans="1:5" x14ac:dyDescent="0.55000000000000004">
      <c r="A9759" t="s">
        <v>9840</v>
      </c>
      <c r="B9759" t="s">
        <v>115</v>
      </c>
      <c r="C9759" s="2">
        <v>43059</v>
      </c>
      <c r="D9759" t="s">
        <v>26</v>
      </c>
      <c r="E9759">
        <v>1686</v>
      </c>
    </row>
    <row r="9760" spans="1:5" x14ac:dyDescent="0.55000000000000004">
      <c r="A9760" t="s">
        <v>9841</v>
      </c>
      <c r="B9760" t="s">
        <v>137</v>
      </c>
      <c r="C9760" s="2">
        <v>44529</v>
      </c>
      <c r="D9760" t="s">
        <v>26</v>
      </c>
      <c r="E9760">
        <v>985</v>
      </c>
    </row>
    <row r="9761" spans="1:5" x14ac:dyDescent="0.55000000000000004">
      <c r="A9761" t="s">
        <v>9842</v>
      </c>
      <c r="B9761" t="s">
        <v>84</v>
      </c>
      <c r="C9761" s="2">
        <v>43997</v>
      </c>
      <c r="D9761" t="s">
        <v>29</v>
      </c>
      <c r="E9761">
        <v>2301</v>
      </c>
    </row>
    <row r="9762" spans="1:5" x14ac:dyDescent="0.55000000000000004">
      <c r="A9762" t="s">
        <v>9843</v>
      </c>
      <c r="B9762" t="s">
        <v>84</v>
      </c>
      <c r="C9762" s="2">
        <v>43303</v>
      </c>
      <c r="D9762" t="s">
        <v>29</v>
      </c>
      <c r="E9762">
        <v>1898</v>
      </c>
    </row>
    <row r="9763" spans="1:5" x14ac:dyDescent="0.55000000000000004">
      <c r="A9763" t="s">
        <v>9844</v>
      </c>
      <c r="B9763" t="s">
        <v>142</v>
      </c>
      <c r="C9763" s="2">
        <v>42948</v>
      </c>
      <c r="D9763" t="s">
        <v>29</v>
      </c>
      <c r="E9763">
        <v>707</v>
      </c>
    </row>
    <row r="9764" spans="1:5" x14ac:dyDescent="0.55000000000000004">
      <c r="A9764" t="s">
        <v>9845</v>
      </c>
      <c r="B9764" t="s">
        <v>137</v>
      </c>
      <c r="C9764" s="2">
        <v>45460</v>
      </c>
      <c r="D9764" t="s">
        <v>29</v>
      </c>
      <c r="E9764">
        <v>2918</v>
      </c>
    </row>
    <row r="9765" spans="1:5" x14ac:dyDescent="0.55000000000000004">
      <c r="A9765" t="s">
        <v>9846</v>
      </c>
      <c r="B9765" t="s">
        <v>38</v>
      </c>
      <c r="C9765" s="2">
        <v>44517</v>
      </c>
      <c r="D9765" t="s">
        <v>26</v>
      </c>
      <c r="E9765">
        <v>1248</v>
      </c>
    </row>
    <row r="9766" spans="1:5" x14ac:dyDescent="0.55000000000000004">
      <c r="A9766" t="s">
        <v>9847</v>
      </c>
      <c r="B9766" t="s">
        <v>137</v>
      </c>
      <c r="C9766" s="2">
        <v>44208</v>
      </c>
      <c r="D9766" t="s">
        <v>29</v>
      </c>
      <c r="E9766">
        <v>1044</v>
      </c>
    </row>
    <row r="9767" spans="1:5" x14ac:dyDescent="0.55000000000000004">
      <c r="A9767" t="s">
        <v>9848</v>
      </c>
      <c r="B9767" t="s">
        <v>156</v>
      </c>
      <c r="C9767" s="2">
        <v>44172</v>
      </c>
      <c r="D9767" t="s">
        <v>29</v>
      </c>
      <c r="E9767">
        <v>1752</v>
      </c>
    </row>
    <row r="9768" spans="1:5" x14ac:dyDescent="0.55000000000000004">
      <c r="A9768" t="s">
        <v>9849</v>
      </c>
      <c r="B9768" t="s">
        <v>23</v>
      </c>
      <c r="C9768" s="2">
        <v>44505</v>
      </c>
      <c r="D9768" t="s">
        <v>29</v>
      </c>
      <c r="E9768">
        <v>566</v>
      </c>
    </row>
    <row r="9769" spans="1:5" x14ac:dyDescent="0.55000000000000004">
      <c r="A9769" t="s">
        <v>9850</v>
      </c>
      <c r="B9769" t="s">
        <v>175</v>
      </c>
      <c r="C9769" s="2">
        <v>43812</v>
      </c>
      <c r="D9769" t="s">
        <v>29</v>
      </c>
      <c r="E9769">
        <v>2848</v>
      </c>
    </row>
    <row r="9770" spans="1:5" x14ac:dyDescent="0.55000000000000004">
      <c r="A9770" t="s">
        <v>9851</v>
      </c>
      <c r="B9770" t="s">
        <v>41</v>
      </c>
      <c r="C9770" s="2">
        <v>44555</v>
      </c>
      <c r="D9770" t="s">
        <v>29</v>
      </c>
      <c r="E9770">
        <v>534</v>
      </c>
    </row>
    <row r="9771" spans="1:5" x14ac:dyDescent="0.55000000000000004">
      <c r="A9771" t="s">
        <v>9852</v>
      </c>
      <c r="B9771" t="s">
        <v>96</v>
      </c>
      <c r="C9771" s="2">
        <v>44870</v>
      </c>
      <c r="D9771" t="s">
        <v>26</v>
      </c>
      <c r="E9771">
        <v>2050</v>
      </c>
    </row>
    <row r="9772" spans="1:5" x14ac:dyDescent="0.55000000000000004">
      <c r="A9772" t="s">
        <v>9853</v>
      </c>
      <c r="B9772" t="s">
        <v>14</v>
      </c>
      <c r="C9772" s="2">
        <v>42941</v>
      </c>
      <c r="D9772" t="s">
        <v>26</v>
      </c>
      <c r="E9772">
        <v>1699</v>
      </c>
    </row>
    <row r="9773" spans="1:5" x14ac:dyDescent="0.55000000000000004">
      <c r="A9773" t="s">
        <v>9854</v>
      </c>
      <c r="B9773" t="s">
        <v>78</v>
      </c>
      <c r="C9773" s="2">
        <v>43739</v>
      </c>
      <c r="D9773" t="s">
        <v>29</v>
      </c>
      <c r="E9773">
        <v>838</v>
      </c>
    </row>
    <row r="9774" spans="1:5" x14ac:dyDescent="0.55000000000000004">
      <c r="A9774" t="s">
        <v>9855</v>
      </c>
      <c r="B9774" t="s">
        <v>84</v>
      </c>
      <c r="C9774" s="2">
        <v>43543</v>
      </c>
      <c r="D9774" t="s">
        <v>29</v>
      </c>
      <c r="E9774">
        <v>2375</v>
      </c>
    </row>
    <row r="9775" spans="1:5" x14ac:dyDescent="0.55000000000000004">
      <c r="A9775" t="s">
        <v>9856</v>
      </c>
      <c r="B9775" t="s">
        <v>38</v>
      </c>
      <c r="C9775" s="2">
        <v>44413</v>
      </c>
      <c r="D9775" t="s">
        <v>29</v>
      </c>
      <c r="E9775">
        <v>2396</v>
      </c>
    </row>
    <row r="9776" spans="1:5" x14ac:dyDescent="0.55000000000000004">
      <c r="A9776" t="s">
        <v>9857</v>
      </c>
      <c r="B9776" t="s">
        <v>105</v>
      </c>
      <c r="C9776" s="2">
        <v>43396</v>
      </c>
      <c r="D9776" t="s">
        <v>29</v>
      </c>
      <c r="E9776">
        <v>2761</v>
      </c>
    </row>
    <row r="9777" spans="1:5" x14ac:dyDescent="0.55000000000000004">
      <c r="A9777" t="s">
        <v>9858</v>
      </c>
      <c r="B9777" t="s">
        <v>115</v>
      </c>
      <c r="C9777" s="2">
        <v>43755</v>
      </c>
      <c r="D9777" t="s">
        <v>26</v>
      </c>
      <c r="E9777">
        <v>2256</v>
      </c>
    </row>
    <row r="9778" spans="1:5" x14ac:dyDescent="0.55000000000000004">
      <c r="A9778" t="s">
        <v>9859</v>
      </c>
      <c r="B9778" t="s">
        <v>63</v>
      </c>
      <c r="C9778" s="2">
        <v>43249</v>
      </c>
      <c r="D9778" t="s">
        <v>29</v>
      </c>
      <c r="E9778">
        <v>1140</v>
      </c>
    </row>
    <row r="9779" spans="1:5" x14ac:dyDescent="0.55000000000000004">
      <c r="A9779" t="s">
        <v>9860</v>
      </c>
      <c r="B9779" t="s">
        <v>78</v>
      </c>
      <c r="C9779" s="2">
        <v>45572</v>
      </c>
      <c r="D9779" t="s">
        <v>29</v>
      </c>
      <c r="E9779">
        <v>2942</v>
      </c>
    </row>
    <row r="9780" spans="1:5" x14ac:dyDescent="0.55000000000000004">
      <c r="A9780" t="s">
        <v>9861</v>
      </c>
      <c r="B9780" t="s">
        <v>74</v>
      </c>
      <c r="C9780" s="2">
        <v>44323</v>
      </c>
      <c r="D9780" t="s">
        <v>26</v>
      </c>
      <c r="E9780">
        <v>217</v>
      </c>
    </row>
    <row r="9781" spans="1:5" x14ac:dyDescent="0.55000000000000004">
      <c r="A9781" t="s">
        <v>9862</v>
      </c>
      <c r="B9781" t="s">
        <v>74</v>
      </c>
      <c r="C9781" s="2">
        <v>43828</v>
      </c>
      <c r="D9781" t="s">
        <v>26</v>
      </c>
      <c r="E9781">
        <v>1905</v>
      </c>
    </row>
    <row r="9782" spans="1:5" x14ac:dyDescent="0.55000000000000004">
      <c r="A9782" t="s">
        <v>9863</v>
      </c>
      <c r="B9782" t="s">
        <v>99</v>
      </c>
      <c r="C9782" s="2">
        <v>43889</v>
      </c>
      <c r="D9782" t="s">
        <v>26</v>
      </c>
      <c r="E9782">
        <v>2797</v>
      </c>
    </row>
    <row r="9783" spans="1:5" x14ac:dyDescent="0.55000000000000004">
      <c r="A9783" t="s">
        <v>9864</v>
      </c>
      <c r="B9783" t="s">
        <v>41</v>
      </c>
      <c r="C9783" s="2">
        <v>44412</v>
      </c>
      <c r="D9783" t="s">
        <v>29</v>
      </c>
      <c r="E9783">
        <v>1836</v>
      </c>
    </row>
    <row r="9784" spans="1:5" x14ac:dyDescent="0.55000000000000004">
      <c r="A9784" t="s">
        <v>9865</v>
      </c>
      <c r="B9784" t="s">
        <v>101</v>
      </c>
      <c r="C9784" s="2">
        <v>43070</v>
      </c>
      <c r="D9784" t="s">
        <v>26</v>
      </c>
      <c r="E9784">
        <v>167</v>
      </c>
    </row>
    <row r="9785" spans="1:5" x14ac:dyDescent="0.55000000000000004">
      <c r="A9785" t="s">
        <v>9866</v>
      </c>
      <c r="B9785" t="s">
        <v>76</v>
      </c>
      <c r="C9785" s="2">
        <v>44574</v>
      </c>
      <c r="D9785" t="s">
        <v>29</v>
      </c>
      <c r="E9785">
        <v>2291</v>
      </c>
    </row>
    <row r="9786" spans="1:5" x14ac:dyDescent="0.55000000000000004">
      <c r="A9786" t="s">
        <v>9867</v>
      </c>
      <c r="B9786" t="s">
        <v>156</v>
      </c>
      <c r="C9786" s="2">
        <v>43101</v>
      </c>
      <c r="D9786" t="s">
        <v>29</v>
      </c>
      <c r="E9786">
        <v>711</v>
      </c>
    </row>
    <row r="9787" spans="1:5" x14ac:dyDescent="0.55000000000000004">
      <c r="A9787" t="s">
        <v>9868</v>
      </c>
      <c r="B9787" t="s">
        <v>35</v>
      </c>
      <c r="C9787" s="2">
        <v>44333</v>
      </c>
      <c r="D9787" t="s">
        <v>29</v>
      </c>
      <c r="E9787">
        <v>2923</v>
      </c>
    </row>
    <row r="9788" spans="1:5" x14ac:dyDescent="0.55000000000000004">
      <c r="A9788" t="s">
        <v>9869</v>
      </c>
      <c r="B9788" t="s">
        <v>86</v>
      </c>
      <c r="C9788" s="2">
        <v>44501</v>
      </c>
      <c r="D9788" t="s">
        <v>26</v>
      </c>
      <c r="E9788">
        <v>2219</v>
      </c>
    </row>
    <row r="9789" spans="1:5" x14ac:dyDescent="0.55000000000000004">
      <c r="A9789" t="s">
        <v>9870</v>
      </c>
      <c r="B9789" t="s">
        <v>151</v>
      </c>
      <c r="C9789" s="2">
        <v>44227</v>
      </c>
      <c r="D9789" t="s">
        <v>26</v>
      </c>
      <c r="E9789">
        <v>1979</v>
      </c>
    </row>
    <row r="9790" spans="1:5" x14ac:dyDescent="0.55000000000000004">
      <c r="A9790" t="s">
        <v>9871</v>
      </c>
      <c r="B9790" t="s">
        <v>105</v>
      </c>
      <c r="C9790" s="2">
        <v>44298</v>
      </c>
      <c r="D9790" t="s">
        <v>29</v>
      </c>
      <c r="E9790">
        <v>2920</v>
      </c>
    </row>
    <row r="9791" spans="1:5" x14ac:dyDescent="0.55000000000000004">
      <c r="A9791" t="s">
        <v>9872</v>
      </c>
      <c r="B9791" t="s">
        <v>86</v>
      </c>
      <c r="C9791" s="2">
        <v>43747</v>
      </c>
      <c r="D9791" t="s">
        <v>29</v>
      </c>
      <c r="E9791">
        <v>2350</v>
      </c>
    </row>
    <row r="9792" spans="1:5" x14ac:dyDescent="0.55000000000000004">
      <c r="A9792" t="s">
        <v>9873</v>
      </c>
      <c r="B9792" t="s">
        <v>99</v>
      </c>
      <c r="C9792" s="2">
        <v>43976</v>
      </c>
      <c r="D9792" t="s">
        <v>26</v>
      </c>
      <c r="E9792">
        <v>197</v>
      </c>
    </row>
    <row r="9793" spans="1:5" x14ac:dyDescent="0.55000000000000004">
      <c r="A9793" t="s">
        <v>9874</v>
      </c>
      <c r="B9793" t="s">
        <v>72</v>
      </c>
      <c r="C9793" s="2">
        <v>43766</v>
      </c>
      <c r="D9793" t="s">
        <v>29</v>
      </c>
      <c r="E9793">
        <v>1549</v>
      </c>
    </row>
    <row r="9794" spans="1:5" x14ac:dyDescent="0.55000000000000004">
      <c r="A9794" t="s">
        <v>9875</v>
      </c>
      <c r="B9794" t="s">
        <v>84</v>
      </c>
      <c r="C9794" s="2">
        <v>44222</v>
      </c>
      <c r="D9794" t="s">
        <v>29</v>
      </c>
      <c r="E9794">
        <v>2912</v>
      </c>
    </row>
    <row r="9795" spans="1:5" x14ac:dyDescent="0.55000000000000004">
      <c r="A9795" t="s">
        <v>9876</v>
      </c>
      <c r="B9795" t="s">
        <v>96</v>
      </c>
      <c r="C9795" s="2">
        <v>43858</v>
      </c>
      <c r="D9795" t="s">
        <v>26</v>
      </c>
      <c r="E9795">
        <v>1399</v>
      </c>
    </row>
    <row r="9796" spans="1:5" x14ac:dyDescent="0.55000000000000004">
      <c r="A9796" t="s">
        <v>9877</v>
      </c>
      <c r="B9796" t="s">
        <v>67</v>
      </c>
      <c r="C9796" s="2">
        <v>45761</v>
      </c>
      <c r="D9796" t="s">
        <v>26</v>
      </c>
      <c r="E9796">
        <v>2985</v>
      </c>
    </row>
    <row r="9797" spans="1:5" x14ac:dyDescent="0.55000000000000004">
      <c r="A9797" t="s">
        <v>9878</v>
      </c>
      <c r="B9797" t="s">
        <v>78</v>
      </c>
      <c r="C9797" s="2">
        <v>43731</v>
      </c>
      <c r="D9797" t="s">
        <v>29</v>
      </c>
      <c r="E9797">
        <v>153</v>
      </c>
    </row>
    <row r="9798" spans="1:5" x14ac:dyDescent="0.55000000000000004">
      <c r="A9798" t="s">
        <v>9879</v>
      </c>
      <c r="B9798" t="s">
        <v>38</v>
      </c>
      <c r="C9798" s="2">
        <v>44899</v>
      </c>
      <c r="D9798" t="s">
        <v>29</v>
      </c>
      <c r="E9798">
        <v>298</v>
      </c>
    </row>
    <row r="9799" spans="1:5" x14ac:dyDescent="0.55000000000000004">
      <c r="A9799" t="s">
        <v>9880</v>
      </c>
      <c r="B9799" t="s">
        <v>78</v>
      </c>
      <c r="C9799" s="2">
        <v>43474</v>
      </c>
      <c r="D9799" t="s">
        <v>29</v>
      </c>
      <c r="E9799">
        <v>2980</v>
      </c>
    </row>
    <row r="9800" spans="1:5" x14ac:dyDescent="0.55000000000000004">
      <c r="A9800" t="s">
        <v>9881</v>
      </c>
      <c r="B9800" t="s">
        <v>23</v>
      </c>
      <c r="C9800" s="2">
        <v>44078</v>
      </c>
      <c r="D9800" t="s">
        <v>26</v>
      </c>
      <c r="E9800">
        <v>1706</v>
      </c>
    </row>
    <row r="9801" spans="1:5" x14ac:dyDescent="0.55000000000000004">
      <c r="A9801" t="s">
        <v>9882</v>
      </c>
      <c r="B9801" t="s">
        <v>115</v>
      </c>
      <c r="C9801" s="2">
        <v>43072</v>
      </c>
      <c r="D9801" t="s">
        <v>29</v>
      </c>
      <c r="E9801">
        <v>1643</v>
      </c>
    </row>
    <row r="9802" spans="1:5" x14ac:dyDescent="0.55000000000000004">
      <c r="A9802" t="s">
        <v>9883</v>
      </c>
      <c r="B9802" t="s">
        <v>84</v>
      </c>
      <c r="C9802" s="2">
        <v>43438</v>
      </c>
      <c r="D9802" t="s">
        <v>29</v>
      </c>
      <c r="E9802">
        <v>2918</v>
      </c>
    </row>
    <row r="9803" spans="1:5" x14ac:dyDescent="0.55000000000000004">
      <c r="A9803" t="s">
        <v>9884</v>
      </c>
      <c r="B9803" t="s">
        <v>35</v>
      </c>
      <c r="C9803" s="2">
        <v>43998</v>
      </c>
      <c r="D9803" t="s">
        <v>26</v>
      </c>
      <c r="E9803">
        <v>2386</v>
      </c>
    </row>
    <row r="9804" spans="1:5" x14ac:dyDescent="0.55000000000000004">
      <c r="A9804" t="s">
        <v>9885</v>
      </c>
      <c r="B9804" t="s">
        <v>76</v>
      </c>
      <c r="C9804" s="2">
        <v>45533</v>
      </c>
      <c r="D9804" t="s">
        <v>26</v>
      </c>
      <c r="E9804">
        <v>247</v>
      </c>
    </row>
    <row r="9805" spans="1:5" x14ac:dyDescent="0.55000000000000004">
      <c r="A9805" t="s">
        <v>9886</v>
      </c>
      <c r="B9805" t="s">
        <v>118</v>
      </c>
      <c r="C9805" s="2">
        <v>45827</v>
      </c>
      <c r="D9805" t="s">
        <v>29</v>
      </c>
      <c r="E9805">
        <v>1487</v>
      </c>
    </row>
    <row r="9806" spans="1:5" x14ac:dyDescent="0.55000000000000004">
      <c r="A9806" t="s">
        <v>9887</v>
      </c>
      <c r="B9806" t="s">
        <v>137</v>
      </c>
      <c r="C9806" s="2">
        <v>44708</v>
      </c>
      <c r="D9806" t="s">
        <v>26</v>
      </c>
      <c r="E9806">
        <v>2996</v>
      </c>
    </row>
    <row r="9807" spans="1:5" x14ac:dyDescent="0.55000000000000004">
      <c r="A9807" t="s">
        <v>9888</v>
      </c>
      <c r="B9807" t="s">
        <v>118</v>
      </c>
      <c r="C9807" s="2">
        <v>44702</v>
      </c>
      <c r="D9807" t="s">
        <v>29</v>
      </c>
      <c r="E9807">
        <v>871</v>
      </c>
    </row>
    <row r="9808" spans="1:5" x14ac:dyDescent="0.55000000000000004">
      <c r="A9808" t="s">
        <v>9889</v>
      </c>
      <c r="B9808" t="s">
        <v>78</v>
      </c>
      <c r="C9808" s="2">
        <v>45580</v>
      </c>
      <c r="D9808" t="s">
        <v>29</v>
      </c>
      <c r="E9808">
        <v>2909</v>
      </c>
    </row>
    <row r="9809" spans="1:5" x14ac:dyDescent="0.55000000000000004">
      <c r="A9809" t="s">
        <v>9890</v>
      </c>
      <c r="B9809" t="s">
        <v>105</v>
      </c>
      <c r="C9809" s="2">
        <v>43410</v>
      </c>
      <c r="D9809" t="s">
        <v>29</v>
      </c>
      <c r="E9809">
        <v>2955</v>
      </c>
    </row>
    <row r="9810" spans="1:5" x14ac:dyDescent="0.55000000000000004">
      <c r="A9810" t="s">
        <v>9891</v>
      </c>
      <c r="B9810" t="s">
        <v>38</v>
      </c>
      <c r="C9810" s="2">
        <v>44819</v>
      </c>
      <c r="D9810" t="s">
        <v>29</v>
      </c>
      <c r="E9810">
        <v>2291</v>
      </c>
    </row>
    <row r="9811" spans="1:5" x14ac:dyDescent="0.55000000000000004">
      <c r="A9811" t="s">
        <v>9892</v>
      </c>
      <c r="B9811" t="s">
        <v>38</v>
      </c>
      <c r="C9811" s="2">
        <v>44845</v>
      </c>
      <c r="D9811" t="s">
        <v>29</v>
      </c>
      <c r="E9811">
        <v>19</v>
      </c>
    </row>
    <row r="9812" spans="1:5" x14ac:dyDescent="0.55000000000000004">
      <c r="A9812" t="s">
        <v>9893</v>
      </c>
      <c r="B9812" t="s">
        <v>142</v>
      </c>
      <c r="C9812" s="2">
        <v>43877</v>
      </c>
      <c r="D9812" t="s">
        <v>26</v>
      </c>
      <c r="E9812">
        <v>2590</v>
      </c>
    </row>
    <row r="9813" spans="1:5" x14ac:dyDescent="0.55000000000000004">
      <c r="A9813" t="s">
        <v>9894</v>
      </c>
      <c r="B9813" t="s">
        <v>72</v>
      </c>
      <c r="C9813" s="2">
        <v>43614</v>
      </c>
      <c r="D9813" t="s">
        <v>26</v>
      </c>
      <c r="E9813">
        <v>706</v>
      </c>
    </row>
    <row r="9814" spans="1:5" x14ac:dyDescent="0.55000000000000004">
      <c r="A9814" t="s">
        <v>9895</v>
      </c>
      <c r="B9814" t="s">
        <v>111</v>
      </c>
      <c r="C9814" s="2">
        <v>43111</v>
      </c>
      <c r="D9814" t="s">
        <v>26</v>
      </c>
      <c r="E9814">
        <v>354</v>
      </c>
    </row>
    <row r="9815" spans="1:5" x14ac:dyDescent="0.55000000000000004">
      <c r="A9815" t="s">
        <v>9896</v>
      </c>
      <c r="B9815" t="s">
        <v>118</v>
      </c>
      <c r="C9815" s="2">
        <v>45738</v>
      </c>
      <c r="D9815" t="s">
        <v>26</v>
      </c>
      <c r="E9815">
        <v>2255</v>
      </c>
    </row>
    <row r="9816" spans="1:5" x14ac:dyDescent="0.55000000000000004">
      <c r="A9816" t="s">
        <v>9897</v>
      </c>
      <c r="B9816" t="s">
        <v>105</v>
      </c>
      <c r="C9816" s="2">
        <v>44463</v>
      </c>
      <c r="D9816" t="s">
        <v>26</v>
      </c>
      <c r="E9816">
        <v>1663</v>
      </c>
    </row>
    <row r="9817" spans="1:5" x14ac:dyDescent="0.55000000000000004">
      <c r="A9817" t="s">
        <v>9898</v>
      </c>
      <c r="B9817" t="s">
        <v>96</v>
      </c>
      <c r="C9817" s="2">
        <v>45807</v>
      </c>
      <c r="D9817" t="s">
        <v>26</v>
      </c>
      <c r="E9817">
        <v>2517</v>
      </c>
    </row>
    <row r="9818" spans="1:5" x14ac:dyDescent="0.55000000000000004">
      <c r="A9818" t="s">
        <v>9899</v>
      </c>
      <c r="B9818" t="s">
        <v>140</v>
      </c>
      <c r="C9818" s="2">
        <v>44280</v>
      </c>
      <c r="D9818" t="s">
        <v>29</v>
      </c>
      <c r="E9818">
        <v>1687</v>
      </c>
    </row>
    <row r="9819" spans="1:5" x14ac:dyDescent="0.55000000000000004">
      <c r="A9819" t="s">
        <v>9900</v>
      </c>
      <c r="B9819" t="s">
        <v>78</v>
      </c>
      <c r="C9819" s="2">
        <v>43545</v>
      </c>
      <c r="D9819" t="s">
        <v>26</v>
      </c>
      <c r="E9819">
        <v>2216</v>
      </c>
    </row>
    <row r="9820" spans="1:5" x14ac:dyDescent="0.55000000000000004">
      <c r="A9820" t="s">
        <v>9901</v>
      </c>
      <c r="B9820" t="s">
        <v>140</v>
      </c>
      <c r="C9820" s="2">
        <v>43655</v>
      </c>
      <c r="D9820" t="s">
        <v>26</v>
      </c>
      <c r="E9820">
        <v>2249</v>
      </c>
    </row>
    <row r="9821" spans="1:5" x14ac:dyDescent="0.55000000000000004">
      <c r="A9821" t="s">
        <v>9902</v>
      </c>
      <c r="B9821" t="s">
        <v>151</v>
      </c>
      <c r="C9821" s="2">
        <v>44086</v>
      </c>
      <c r="D9821" t="s">
        <v>29</v>
      </c>
      <c r="E9821">
        <v>1881</v>
      </c>
    </row>
    <row r="9822" spans="1:5" x14ac:dyDescent="0.55000000000000004">
      <c r="A9822" t="s">
        <v>9903</v>
      </c>
      <c r="B9822" t="s">
        <v>74</v>
      </c>
      <c r="C9822" s="2">
        <v>43756</v>
      </c>
      <c r="D9822" t="s">
        <v>29</v>
      </c>
      <c r="E9822">
        <v>1648</v>
      </c>
    </row>
    <row r="9823" spans="1:5" x14ac:dyDescent="0.55000000000000004">
      <c r="A9823" t="s">
        <v>9904</v>
      </c>
      <c r="B9823" t="s">
        <v>118</v>
      </c>
      <c r="C9823" s="2">
        <v>45635</v>
      </c>
      <c r="D9823" t="s">
        <v>26</v>
      </c>
      <c r="E9823">
        <v>444</v>
      </c>
    </row>
    <row r="9824" spans="1:5" x14ac:dyDescent="0.55000000000000004">
      <c r="A9824" t="s">
        <v>9905</v>
      </c>
      <c r="B9824" t="s">
        <v>118</v>
      </c>
      <c r="C9824" s="2">
        <v>43470</v>
      </c>
      <c r="D9824" t="s">
        <v>26</v>
      </c>
      <c r="E9824">
        <v>773</v>
      </c>
    </row>
    <row r="9825" spans="1:5" x14ac:dyDescent="0.55000000000000004">
      <c r="A9825" t="s">
        <v>9906</v>
      </c>
      <c r="B9825" t="s">
        <v>38</v>
      </c>
      <c r="C9825" s="2">
        <v>44798</v>
      </c>
      <c r="D9825" t="s">
        <v>26</v>
      </c>
      <c r="E9825">
        <v>2431</v>
      </c>
    </row>
    <row r="9826" spans="1:5" x14ac:dyDescent="0.55000000000000004">
      <c r="A9826" t="s">
        <v>9907</v>
      </c>
      <c r="B9826" t="s">
        <v>175</v>
      </c>
      <c r="C9826" s="2">
        <v>43552</v>
      </c>
      <c r="D9826" t="s">
        <v>29</v>
      </c>
      <c r="E9826">
        <v>191</v>
      </c>
    </row>
    <row r="9827" spans="1:5" x14ac:dyDescent="0.55000000000000004">
      <c r="A9827" t="s">
        <v>9908</v>
      </c>
      <c r="B9827" t="s">
        <v>137</v>
      </c>
      <c r="C9827" s="2">
        <v>44473</v>
      </c>
      <c r="D9827" t="s">
        <v>29</v>
      </c>
      <c r="E9827">
        <v>2130</v>
      </c>
    </row>
    <row r="9828" spans="1:5" x14ac:dyDescent="0.55000000000000004">
      <c r="A9828" t="s">
        <v>9909</v>
      </c>
      <c r="B9828" t="s">
        <v>118</v>
      </c>
      <c r="C9828" s="2">
        <v>43714</v>
      </c>
      <c r="D9828" t="s">
        <v>29</v>
      </c>
      <c r="E9828">
        <v>2922</v>
      </c>
    </row>
    <row r="9829" spans="1:5" x14ac:dyDescent="0.55000000000000004">
      <c r="A9829" t="s">
        <v>9910</v>
      </c>
      <c r="B9829" t="s">
        <v>41</v>
      </c>
      <c r="C9829" s="2">
        <v>44721</v>
      </c>
      <c r="D9829" t="s">
        <v>26</v>
      </c>
      <c r="E9829">
        <v>672</v>
      </c>
    </row>
    <row r="9830" spans="1:5" x14ac:dyDescent="0.55000000000000004">
      <c r="A9830" t="s">
        <v>9911</v>
      </c>
      <c r="B9830" t="s">
        <v>142</v>
      </c>
      <c r="C9830" s="2">
        <v>43938</v>
      </c>
      <c r="D9830" t="s">
        <v>26</v>
      </c>
      <c r="E9830">
        <v>2337</v>
      </c>
    </row>
    <row r="9831" spans="1:5" x14ac:dyDescent="0.55000000000000004">
      <c r="A9831" t="s">
        <v>9912</v>
      </c>
      <c r="B9831" t="s">
        <v>94</v>
      </c>
      <c r="C9831" s="2">
        <v>45574</v>
      </c>
      <c r="D9831" t="s">
        <v>26</v>
      </c>
      <c r="E9831">
        <v>1118</v>
      </c>
    </row>
    <row r="9832" spans="1:5" x14ac:dyDescent="0.55000000000000004">
      <c r="A9832" t="s">
        <v>9913</v>
      </c>
      <c r="B9832" t="s">
        <v>67</v>
      </c>
      <c r="C9832" s="2">
        <v>44577</v>
      </c>
      <c r="D9832" t="s">
        <v>26</v>
      </c>
      <c r="E9832">
        <v>2754</v>
      </c>
    </row>
    <row r="9833" spans="1:5" x14ac:dyDescent="0.55000000000000004">
      <c r="A9833" t="s">
        <v>9914</v>
      </c>
      <c r="B9833" t="s">
        <v>41</v>
      </c>
      <c r="C9833" s="2">
        <v>44722</v>
      </c>
      <c r="D9833" t="s">
        <v>29</v>
      </c>
      <c r="E9833">
        <v>2959</v>
      </c>
    </row>
    <row r="9834" spans="1:5" x14ac:dyDescent="0.55000000000000004">
      <c r="A9834" t="s">
        <v>9915</v>
      </c>
      <c r="B9834" t="s">
        <v>156</v>
      </c>
      <c r="C9834" s="2">
        <v>44024</v>
      </c>
      <c r="D9834" t="s">
        <v>29</v>
      </c>
      <c r="E9834">
        <v>1676</v>
      </c>
    </row>
    <row r="9835" spans="1:5" x14ac:dyDescent="0.55000000000000004">
      <c r="A9835" t="s">
        <v>9916</v>
      </c>
      <c r="B9835" t="s">
        <v>38</v>
      </c>
      <c r="C9835" s="2">
        <v>44191</v>
      </c>
      <c r="D9835" t="s">
        <v>29</v>
      </c>
      <c r="E9835">
        <v>1423</v>
      </c>
    </row>
    <row r="9836" spans="1:5" x14ac:dyDescent="0.55000000000000004">
      <c r="A9836" t="s">
        <v>9917</v>
      </c>
      <c r="B9836" t="s">
        <v>142</v>
      </c>
      <c r="C9836" s="2">
        <v>43889</v>
      </c>
      <c r="D9836" t="s">
        <v>29</v>
      </c>
      <c r="E9836">
        <v>2757</v>
      </c>
    </row>
    <row r="9837" spans="1:5" x14ac:dyDescent="0.55000000000000004">
      <c r="A9837" t="s">
        <v>9918</v>
      </c>
      <c r="B9837" t="s">
        <v>76</v>
      </c>
      <c r="C9837" s="2">
        <v>44567</v>
      </c>
      <c r="D9837" t="s">
        <v>29</v>
      </c>
      <c r="E9837">
        <v>1617</v>
      </c>
    </row>
    <row r="9838" spans="1:5" x14ac:dyDescent="0.55000000000000004">
      <c r="A9838" t="s">
        <v>9919</v>
      </c>
      <c r="B9838" t="s">
        <v>111</v>
      </c>
      <c r="C9838" s="2">
        <v>43821</v>
      </c>
      <c r="D9838" t="s">
        <v>26</v>
      </c>
      <c r="E9838">
        <v>1749</v>
      </c>
    </row>
    <row r="9839" spans="1:5" x14ac:dyDescent="0.55000000000000004">
      <c r="A9839" t="s">
        <v>9920</v>
      </c>
      <c r="B9839" t="s">
        <v>96</v>
      </c>
      <c r="C9839" s="2">
        <v>45084</v>
      </c>
      <c r="D9839" t="s">
        <v>29</v>
      </c>
      <c r="E9839">
        <v>2772</v>
      </c>
    </row>
    <row r="9840" spans="1:5" x14ac:dyDescent="0.55000000000000004">
      <c r="A9840" t="s">
        <v>9921</v>
      </c>
      <c r="B9840" t="s">
        <v>84</v>
      </c>
      <c r="C9840" s="2">
        <v>43100</v>
      </c>
      <c r="D9840" t="s">
        <v>26</v>
      </c>
      <c r="E9840">
        <v>2056</v>
      </c>
    </row>
    <row r="9841" spans="1:5" x14ac:dyDescent="0.55000000000000004">
      <c r="A9841" t="s">
        <v>9922</v>
      </c>
      <c r="B9841" t="s">
        <v>115</v>
      </c>
      <c r="C9841" s="2">
        <v>43831</v>
      </c>
      <c r="D9841" t="s">
        <v>29</v>
      </c>
      <c r="E9841">
        <v>2041</v>
      </c>
    </row>
    <row r="9842" spans="1:5" x14ac:dyDescent="0.55000000000000004">
      <c r="A9842" t="s">
        <v>9923</v>
      </c>
      <c r="B9842" t="s">
        <v>96</v>
      </c>
      <c r="C9842" s="2">
        <v>45831</v>
      </c>
      <c r="D9842" t="s">
        <v>29</v>
      </c>
      <c r="E9842">
        <v>14</v>
      </c>
    </row>
    <row r="9843" spans="1:5" x14ac:dyDescent="0.55000000000000004">
      <c r="A9843" t="s">
        <v>9924</v>
      </c>
      <c r="B9843" t="s">
        <v>76</v>
      </c>
      <c r="C9843" s="2">
        <v>43631</v>
      </c>
      <c r="D9843" t="s">
        <v>26</v>
      </c>
      <c r="E9843">
        <v>1258</v>
      </c>
    </row>
    <row r="9844" spans="1:5" x14ac:dyDescent="0.55000000000000004">
      <c r="A9844" t="s">
        <v>9925</v>
      </c>
      <c r="B9844" t="s">
        <v>111</v>
      </c>
      <c r="C9844" s="2">
        <v>44483</v>
      </c>
      <c r="D9844" t="s">
        <v>26</v>
      </c>
      <c r="E9844">
        <v>610</v>
      </c>
    </row>
    <row r="9845" spans="1:5" x14ac:dyDescent="0.55000000000000004">
      <c r="A9845" t="s">
        <v>9926</v>
      </c>
      <c r="B9845" t="s">
        <v>142</v>
      </c>
      <c r="C9845" s="2">
        <v>43297</v>
      </c>
      <c r="D9845" t="s">
        <v>29</v>
      </c>
      <c r="E9845">
        <v>735</v>
      </c>
    </row>
    <row r="9846" spans="1:5" x14ac:dyDescent="0.55000000000000004">
      <c r="A9846" t="s">
        <v>9927</v>
      </c>
      <c r="B9846" t="s">
        <v>101</v>
      </c>
      <c r="C9846" s="2">
        <v>44169</v>
      </c>
      <c r="D9846" t="s">
        <v>26</v>
      </c>
      <c r="E9846">
        <v>238</v>
      </c>
    </row>
    <row r="9847" spans="1:5" x14ac:dyDescent="0.55000000000000004">
      <c r="A9847" t="s">
        <v>9928</v>
      </c>
      <c r="B9847" t="s">
        <v>151</v>
      </c>
      <c r="C9847" s="2">
        <v>43173</v>
      </c>
      <c r="D9847" t="s">
        <v>29</v>
      </c>
      <c r="E9847">
        <v>2716</v>
      </c>
    </row>
    <row r="9848" spans="1:5" x14ac:dyDescent="0.55000000000000004">
      <c r="A9848" t="s">
        <v>9929</v>
      </c>
      <c r="B9848" t="s">
        <v>94</v>
      </c>
      <c r="C9848" s="2">
        <v>44513</v>
      </c>
      <c r="D9848" t="s">
        <v>29</v>
      </c>
      <c r="E9848">
        <v>703</v>
      </c>
    </row>
    <row r="9849" spans="1:5" x14ac:dyDescent="0.55000000000000004">
      <c r="A9849" t="s">
        <v>9930</v>
      </c>
      <c r="B9849" t="s">
        <v>86</v>
      </c>
      <c r="C9849" s="2">
        <v>43824</v>
      </c>
      <c r="D9849" t="s">
        <v>26</v>
      </c>
      <c r="E9849">
        <v>989</v>
      </c>
    </row>
    <row r="9850" spans="1:5" x14ac:dyDescent="0.55000000000000004">
      <c r="A9850" t="s">
        <v>9931</v>
      </c>
      <c r="B9850" t="s">
        <v>14</v>
      </c>
      <c r="C9850" s="2">
        <v>44169</v>
      </c>
      <c r="D9850" t="s">
        <v>26</v>
      </c>
      <c r="E9850">
        <v>1890</v>
      </c>
    </row>
    <row r="9851" spans="1:5" x14ac:dyDescent="0.55000000000000004">
      <c r="A9851" t="s">
        <v>9932</v>
      </c>
      <c r="B9851" t="s">
        <v>118</v>
      </c>
      <c r="C9851" s="2">
        <v>44522</v>
      </c>
      <c r="D9851" t="s">
        <v>26</v>
      </c>
      <c r="E9851">
        <v>3000</v>
      </c>
    </row>
    <row r="9852" spans="1:5" x14ac:dyDescent="0.55000000000000004">
      <c r="A9852" t="s">
        <v>9933</v>
      </c>
      <c r="B9852" t="s">
        <v>101</v>
      </c>
      <c r="C9852" s="2">
        <v>43382</v>
      </c>
      <c r="D9852" t="s">
        <v>29</v>
      </c>
      <c r="E9852">
        <v>354</v>
      </c>
    </row>
    <row r="9853" spans="1:5" x14ac:dyDescent="0.55000000000000004">
      <c r="A9853" t="s">
        <v>9934</v>
      </c>
      <c r="B9853" t="s">
        <v>140</v>
      </c>
      <c r="C9853" s="2">
        <v>43971</v>
      </c>
      <c r="D9853" t="s">
        <v>29</v>
      </c>
      <c r="E9853">
        <v>600</v>
      </c>
    </row>
    <row r="9854" spans="1:5" x14ac:dyDescent="0.55000000000000004">
      <c r="A9854" t="s">
        <v>9935</v>
      </c>
      <c r="B9854" t="s">
        <v>35</v>
      </c>
      <c r="C9854" s="2">
        <v>44135</v>
      </c>
      <c r="D9854" t="s">
        <v>29</v>
      </c>
      <c r="E9854">
        <v>1904</v>
      </c>
    </row>
    <row r="9855" spans="1:5" x14ac:dyDescent="0.55000000000000004">
      <c r="A9855" t="s">
        <v>9936</v>
      </c>
      <c r="B9855" t="s">
        <v>101</v>
      </c>
      <c r="C9855" s="2">
        <v>44442</v>
      </c>
      <c r="D9855" t="s">
        <v>29</v>
      </c>
      <c r="E9855">
        <v>1507</v>
      </c>
    </row>
    <row r="9856" spans="1:5" x14ac:dyDescent="0.55000000000000004">
      <c r="A9856" t="s">
        <v>9937</v>
      </c>
      <c r="B9856" t="s">
        <v>115</v>
      </c>
      <c r="C9856" s="2">
        <v>43173</v>
      </c>
      <c r="D9856" t="s">
        <v>29</v>
      </c>
      <c r="E9856">
        <v>2900</v>
      </c>
    </row>
    <row r="9857" spans="1:5" x14ac:dyDescent="0.55000000000000004">
      <c r="A9857" t="s">
        <v>9938</v>
      </c>
      <c r="B9857" t="s">
        <v>99</v>
      </c>
      <c r="C9857" s="2">
        <v>44285</v>
      </c>
      <c r="D9857" t="s">
        <v>29</v>
      </c>
      <c r="E9857">
        <v>2592</v>
      </c>
    </row>
    <row r="9858" spans="1:5" x14ac:dyDescent="0.55000000000000004">
      <c r="A9858" t="s">
        <v>9939</v>
      </c>
      <c r="B9858" t="s">
        <v>23</v>
      </c>
      <c r="C9858" s="2">
        <v>43881</v>
      </c>
      <c r="D9858" t="s">
        <v>26</v>
      </c>
      <c r="E9858">
        <v>2949</v>
      </c>
    </row>
    <row r="9859" spans="1:5" x14ac:dyDescent="0.55000000000000004">
      <c r="A9859" t="s">
        <v>9940</v>
      </c>
      <c r="B9859" t="s">
        <v>137</v>
      </c>
      <c r="C9859" s="2">
        <v>44933</v>
      </c>
      <c r="D9859" t="s">
        <v>26</v>
      </c>
      <c r="E9859">
        <v>1636</v>
      </c>
    </row>
    <row r="9860" spans="1:5" x14ac:dyDescent="0.55000000000000004">
      <c r="A9860" t="s">
        <v>9941</v>
      </c>
      <c r="B9860" t="s">
        <v>78</v>
      </c>
      <c r="C9860" s="2">
        <v>45137</v>
      </c>
      <c r="D9860" t="s">
        <v>26</v>
      </c>
      <c r="E9860">
        <v>795</v>
      </c>
    </row>
    <row r="9861" spans="1:5" x14ac:dyDescent="0.55000000000000004">
      <c r="A9861" t="s">
        <v>9942</v>
      </c>
      <c r="B9861" t="s">
        <v>72</v>
      </c>
      <c r="C9861" s="2">
        <v>43925</v>
      </c>
      <c r="D9861" t="s">
        <v>29</v>
      </c>
      <c r="E9861">
        <v>944</v>
      </c>
    </row>
    <row r="9862" spans="1:5" x14ac:dyDescent="0.55000000000000004">
      <c r="A9862" t="s">
        <v>9943</v>
      </c>
      <c r="B9862" t="s">
        <v>151</v>
      </c>
      <c r="C9862" s="2">
        <v>43445</v>
      </c>
      <c r="D9862" t="s">
        <v>26</v>
      </c>
      <c r="E9862">
        <v>612</v>
      </c>
    </row>
    <row r="9863" spans="1:5" x14ac:dyDescent="0.55000000000000004">
      <c r="A9863" t="s">
        <v>9944</v>
      </c>
      <c r="B9863" t="s">
        <v>99</v>
      </c>
      <c r="C9863" s="2">
        <v>44919</v>
      </c>
      <c r="D9863" t="s">
        <v>29</v>
      </c>
      <c r="E9863">
        <v>652</v>
      </c>
    </row>
    <row r="9864" spans="1:5" x14ac:dyDescent="0.55000000000000004">
      <c r="A9864" t="s">
        <v>9945</v>
      </c>
      <c r="B9864" t="s">
        <v>118</v>
      </c>
      <c r="C9864" s="2">
        <v>45594</v>
      </c>
      <c r="D9864" t="s">
        <v>26</v>
      </c>
      <c r="E9864">
        <v>1906</v>
      </c>
    </row>
    <row r="9865" spans="1:5" x14ac:dyDescent="0.55000000000000004">
      <c r="A9865" t="s">
        <v>9946</v>
      </c>
      <c r="B9865" t="s">
        <v>72</v>
      </c>
      <c r="C9865" s="2">
        <v>44527</v>
      </c>
      <c r="D9865" t="s">
        <v>26</v>
      </c>
      <c r="E9865">
        <v>2036</v>
      </c>
    </row>
    <row r="9866" spans="1:5" x14ac:dyDescent="0.55000000000000004">
      <c r="A9866" t="s">
        <v>9947</v>
      </c>
      <c r="B9866" t="s">
        <v>38</v>
      </c>
      <c r="C9866" s="2">
        <v>44192</v>
      </c>
      <c r="D9866" t="s">
        <v>26</v>
      </c>
      <c r="E9866">
        <v>1380</v>
      </c>
    </row>
    <row r="9867" spans="1:5" x14ac:dyDescent="0.55000000000000004">
      <c r="A9867" t="s">
        <v>9948</v>
      </c>
      <c r="B9867" t="s">
        <v>118</v>
      </c>
      <c r="C9867" s="2">
        <v>44317</v>
      </c>
      <c r="D9867" t="s">
        <v>26</v>
      </c>
      <c r="E9867">
        <v>144</v>
      </c>
    </row>
    <row r="9868" spans="1:5" x14ac:dyDescent="0.55000000000000004">
      <c r="A9868" t="s">
        <v>9949</v>
      </c>
      <c r="B9868" t="s">
        <v>63</v>
      </c>
      <c r="C9868" s="2">
        <v>43386</v>
      </c>
      <c r="D9868" t="s">
        <v>29</v>
      </c>
      <c r="E9868">
        <v>2862</v>
      </c>
    </row>
    <row r="9869" spans="1:5" x14ac:dyDescent="0.55000000000000004">
      <c r="A9869" t="s">
        <v>9950</v>
      </c>
      <c r="B9869" t="s">
        <v>41</v>
      </c>
      <c r="C9869" s="2">
        <v>43939</v>
      </c>
      <c r="D9869" t="s">
        <v>26</v>
      </c>
      <c r="E9869">
        <v>2225</v>
      </c>
    </row>
    <row r="9870" spans="1:5" x14ac:dyDescent="0.55000000000000004">
      <c r="A9870" t="s">
        <v>9951</v>
      </c>
      <c r="B9870" t="s">
        <v>41</v>
      </c>
      <c r="C9870" s="2">
        <v>44470</v>
      </c>
      <c r="D9870" t="s">
        <v>26</v>
      </c>
      <c r="E9870">
        <v>2682</v>
      </c>
    </row>
    <row r="9871" spans="1:5" x14ac:dyDescent="0.55000000000000004">
      <c r="A9871" t="s">
        <v>9952</v>
      </c>
      <c r="B9871" t="s">
        <v>151</v>
      </c>
      <c r="C9871" s="2">
        <v>43431</v>
      </c>
      <c r="D9871" t="s">
        <v>26</v>
      </c>
      <c r="E9871">
        <v>837</v>
      </c>
    </row>
    <row r="9872" spans="1:5" x14ac:dyDescent="0.55000000000000004">
      <c r="A9872" t="s">
        <v>9953</v>
      </c>
      <c r="B9872" t="s">
        <v>78</v>
      </c>
      <c r="C9872" s="2">
        <v>45291</v>
      </c>
      <c r="D9872" t="s">
        <v>26</v>
      </c>
      <c r="E9872">
        <v>1094</v>
      </c>
    </row>
    <row r="9873" spans="1:5" x14ac:dyDescent="0.55000000000000004">
      <c r="A9873" t="s">
        <v>9954</v>
      </c>
      <c r="B9873" t="s">
        <v>151</v>
      </c>
      <c r="C9873" s="2">
        <v>43308</v>
      </c>
      <c r="D9873" t="s">
        <v>26</v>
      </c>
      <c r="E9873">
        <v>805</v>
      </c>
    </row>
    <row r="9874" spans="1:5" x14ac:dyDescent="0.55000000000000004">
      <c r="A9874" t="s">
        <v>9955</v>
      </c>
      <c r="B9874" t="s">
        <v>38</v>
      </c>
      <c r="C9874" s="2">
        <v>44084</v>
      </c>
      <c r="D9874" t="s">
        <v>26</v>
      </c>
      <c r="E9874">
        <v>2184</v>
      </c>
    </row>
    <row r="9875" spans="1:5" x14ac:dyDescent="0.55000000000000004">
      <c r="A9875" t="s">
        <v>9956</v>
      </c>
      <c r="B9875" t="s">
        <v>84</v>
      </c>
      <c r="C9875" s="2">
        <v>43668</v>
      </c>
      <c r="D9875" t="s">
        <v>29</v>
      </c>
      <c r="E9875">
        <v>2599</v>
      </c>
    </row>
    <row r="9876" spans="1:5" x14ac:dyDescent="0.55000000000000004">
      <c r="A9876" t="s">
        <v>9957</v>
      </c>
      <c r="B9876" t="s">
        <v>118</v>
      </c>
      <c r="C9876" s="2">
        <v>43803</v>
      </c>
      <c r="D9876" t="s">
        <v>26</v>
      </c>
      <c r="E9876">
        <v>1474</v>
      </c>
    </row>
    <row r="9877" spans="1:5" x14ac:dyDescent="0.55000000000000004">
      <c r="A9877" t="s">
        <v>9958</v>
      </c>
      <c r="B9877" t="s">
        <v>35</v>
      </c>
      <c r="C9877" s="2">
        <v>44828</v>
      </c>
      <c r="D9877" t="s">
        <v>26</v>
      </c>
      <c r="E9877">
        <v>1103</v>
      </c>
    </row>
    <row r="9878" spans="1:5" x14ac:dyDescent="0.55000000000000004">
      <c r="A9878" t="s">
        <v>9959</v>
      </c>
      <c r="B9878" t="s">
        <v>15</v>
      </c>
      <c r="C9878" s="2">
        <v>43365</v>
      </c>
      <c r="D9878" t="s">
        <v>29</v>
      </c>
      <c r="E9878">
        <v>413</v>
      </c>
    </row>
    <row r="9879" spans="1:5" x14ac:dyDescent="0.55000000000000004">
      <c r="A9879" t="s">
        <v>9960</v>
      </c>
      <c r="B9879" t="s">
        <v>23</v>
      </c>
      <c r="C9879" s="2">
        <v>44903</v>
      </c>
      <c r="D9879" t="s">
        <v>29</v>
      </c>
      <c r="E9879">
        <v>2814</v>
      </c>
    </row>
    <row r="9880" spans="1:5" x14ac:dyDescent="0.55000000000000004">
      <c r="A9880" t="s">
        <v>9961</v>
      </c>
      <c r="B9880" t="s">
        <v>38</v>
      </c>
      <c r="C9880" s="2">
        <v>44063</v>
      </c>
      <c r="D9880" t="s">
        <v>29</v>
      </c>
      <c r="E9880">
        <v>1724</v>
      </c>
    </row>
    <row r="9881" spans="1:5" x14ac:dyDescent="0.55000000000000004">
      <c r="A9881" t="s">
        <v>9962</v>
      </c>
      <c r="B9881" t="s">
        <v>23</v>
      </c>
      <c r="C9881" s="2">
        <v>44620</v>
      </c>
      <c r="D9881" t="s">
        <v>26</v>
      </c>
      <c r="E9881">
        <v>2672</v>
      </c>
    </row>
    <row r="9882" spans="1:5" x14ac:dyDescent="0.55000000000000004">
      <c r="A9882" t="s">
        <v>9963</v>
      </c>
      <c r="B9882" t="s">
        <v>35</v>
      </c>
      <c r="C9882" s="2">
        <v>44621</v>
      </c>
      <c r="D9882" t="s">
        <v>29</v>
      </c>
      <c r="E9882">
        <v>1513</v>
      </c>
    </row>
    <row r="9883" spans="1:5" x14ac:dyDescent="0.55000000000000004">
      <c r="A9883" t="s">
        <v>9964</v>
      </c>
      <c r="B9883" t="s">
        <v>76</v>
      </c>
      <c r="C9883" s="2">
        <v>44926</v>
      </c>
      <c r="D9883" t="s">
        <v>29</v>
      </c>
      <c r="E9883">
        <v>1238</v>
      </c>
    </row>
    <row r="9884" spans="1:5" x14ac:dyDescent="0.55000000000000004">
      <c r="A9884" t="s">
        <v>9965</v>
      </c>
      <c r="B9884" t="s">
        <v>78</v>
      </c>
      <c r="C9884" s="2">
        <v>44056</v>
      </c>
      <c r="D9884" t="s">
        <v>26</v>
      </c>
      <c r="E9884">
        <v>1505</v>
      </c>
    </row>
    <row r="9885" spans="1:5" x14ac:dyDescent="0.55000000000000004">
      <c r="A9885" t="s">
        <v>9966</v>
      </c>
      <c r="B9885" t="s">
        <v>96</v>
      </c>
      <c r="C9885" s="2">
        <v>45675</v>
      </c>
      <c r="D9885" t="s">
        <v>26</v>
      </c>
      <c r="E9885">
        <v>1898</v>
      </c>
    </row>
    <row r="9886" spans="1:5" x14ac:dyDescent="0.55000000000000004">
      <c r="A9886" t="s">
        <v>9967</v>
      </c>
      <c r="B9886" t="s">
        <v>32</v>
      </c>
      <c r="C9886" s="2">
        <v>44153</v>
      </c>
      <c r="D9886" t="s">
        <v>29</v>
      </c>
      <c r="E9886">
        <v>1185</v>
      </c>
    </row>
    <row r="9887" spans="1:5" x14ac:dyDescent="0.55000000000000004">
      <c r="A9887" t="s">
        <v>9968</v>
      </c>
      <c r="B9887" t="s">
        <v>14</v>
      </c>
      <c r="C9887" s="2">
        <v>43578</v>
      </c>
      <c r="D9887" t="s">
        <v>26</v>
      </c>
      <c r="E9887">
        <v>2921</v>
      </c>
    </row>
    <row r="9888" spans="1:5" x14ac:dyDescent="0.55000000000000004">
      <c r="A9888" t="s">
        <v>9969</v>
      </c>
      <c r="B9888" t="s">
        <v>72</v>
      </c>
      <c r="C9888" s="2">
        <v>44205</v>
      </c>
      <c r="D9888" t="s">
        <v>29</v>
      </c>
      <c r="E9888">
        <v>811</v>
      </c>
    </row>
    <row r="9889" spans="1:5" x14ac:dyDescent="0.55000000000000004">
      <c r="A9889" t="s">
        <v>9970</v>
      </c>
      <c r="B9889" t="s">
        <v>35</v>
      </c>
      <c r="C9889" s="2">
        <v>44708</v>
      </c>
      <c r="D9889" t="s">
        <v>29</v>
      </c>
      <c r="E9889">
        <v>2526</v>
      </c>
    </row>
    <row r="9890" spans="1:5" x14ac:dyDescent="0.55000000000000004">
      <c r="A9890" t="s">
        <v>9971</v>
      </c>
      <c r="B9890" t="s">
        <v>151</v>
      </c>
      <c r="C9890" s="2">
        <v>43455</v>
      </c>
      <c r="D9890" t="s">
        <v>26</v>
      </c>
      <c r="E9890">
        <v>2155</v>
      </c>
    </row>
    <row r="9891" spans="1:5" x14ac:dyDescent="0.55000000000000004">
      <c r="A9891" t="s">
        <v>9972</v>
      </c>
      <c r="B9891" t="s">
        <v>99</v>
      </c>
      <c r="C9891" s="2">
        <v>44340</v>
      </c>
      <c r="D9891" t="s">
        <v>26</v>
      </c>
      <c r="E9891">
        <v>905</v>
      </c>
    </row>
    <row r="9892" spans="1:5" x14ac:dyDescent="0.55000000000000004">
      <c r="A9892" t="s">
        <v>9973</v>
      </c>
      <c r="B9892" t="s">
        <v>32</v>
      </c>
      <c r="C9892" s="2">
        <v>44766</v>
      </c>
      <c r="D9892" t="s">
        <v>29</v>
      </c>
      <c r="E9892">
        <v>2772</v>
      </c>
    </row>
    <row r="9893" spans="1:5" x14ac:dyDescent="0.55000000000000004">
      <c r="A9893" t="s">
        <v>9974</v>
      </c>
      <c r="B9893" t="s">
        <v>38</v>
      </c>
      <c r="C9893" s="2">
        <v>44891</v>
      </c>
      <c r="D9893" t="s">
        <v>26</v>
      </c>
      <c r="E9893">
        <v>2775</v>
      </c>
    </row>
    <row r="9894" spans="1:5" x14ac:dyDescent="0.55000000000000004">
      <c r="A9894" t="s">
        <v>9975</v>
      </c>
      <c r="B9894" t="s">
        <v>151</v>
      </c>
      <c r="C9894" s="2">
        <v>43081</v>
      </c>
      <c r="D9894" t="s">
        <v>29</v>
      </c>
      <c r="E9894">
        <v>93</v>
      </c>
    </row>
    <row r="9895" spans="1:5" x14ac:dyDescent="0.55000000000000004">
      <c r="A9895" t="s">
        <v>9976</v>
      </c>
      <c r="B9895" t="s">
        <v>63</v>
      </c>
      <c r="C9895" s="2">
        <v>43254</v>
      </c>
      <c r="D9895" t="s">
        <v>26</v>
      </c>
      <c r="E9895">
        <v>2432</v>
      </c>
    </row>
    <row r="9896" spans="1:5" x14ac:dyDescent="0.55000000000000004">
      <c r="A9896" t="s">
        <v>9977</v>
      </c>
      <c r="B9896" t="s">
        <v>67</v>
      </c>
      <c r="C9896" s="2">
        <v>44998</v>
      </c>
      <c r="D9896" t="s">
        <v>29</v>
      </c>
      <c r="E9896">
        <v>1414</v>
      </c>
    </row>
    <row r="9897" spans="1:5" x14ac:dyDescent="0.55000000000000004">
      <c r="A9897" t="s">
        <v>9978</v>
      </c>
      <c r="B9897" t="s">
        <v>137</v>
      </c>
      <c r="C9897" s="2">
        <v>44952</v>
      </c>
      <c r="D9897" t="s">
        <v>26</v>
      </c>
      <c r="E9897">
        <v>2789</v>
      </c>
    </row>
    <row r="9898" spans="1:5" x14ac:dyDescent="0.55000000000000004">
      <c r="A9898" t="s">
        <v>9979</v>
      </c>
      <c r="B9898" t="s">
        <v>38</v>
      </c>
      <c r="C9898" s="2">
        <v>43892</v>
      </c>
      <c r="D9898" t="s">
        <v>26</v>
      </c>
      <c r="E9898">
        <v>1358</v>
      </c>
    </row>
    <row r="9899" spans="1:5" x14ac:dyDescent="0.55000000000000004">
      <c r="A9899" t="s">
        <v>9980</v>
      </c>
      <c r="B9899" t="s">
        <v>14</v>
      </c>
      <c r="C9899" s="2">
        <v>43728</v>
      </c>
      <c r="D9899" t="s">
        <v>29</v>
      </c>
      <c r="E9899">
        <v>1779</v>
      </c>
    </row>
    <row r="9900" spans="1:5" x14ac:dyDescent="0.55000000000000004">
      <c r="A9900" t="s">
        <v>9981</v>
      </c>
      <c r="B9900" t="s">
        <v>94</v>
      </c>
      <c r="C9900" s="2">
        <v>45612</v>
      </c>
      <c r="D9900" t="s">
        <v>29</v>
      </c>
      <c r="E9900">
        <v>2612</v>
      </c>
    </row>
    <row r="9901" spans="1:5" x14ac:dyDescent="0.55000000000000004">
      <c r="A9901" t="s">
        <v>9982</v>
      </c>
      <c r="B9901" t="s">
        <v>38</v>
      </c>
      <c r="C9901" s="2">
        <v>43906</v>
      </c>
      <c r="D9901" t="s">
        <v>29</v>
      </c>
      <c r="E9901">
        <v>2646</v>
      </c>
    </row>
    <row r="9902" spans="1:5" x14ac:dyDescent="0.55000000000000004">
      <c r="A9902" t="s">
        <v>9983</v>
      </c>
      <c r="B9902" t="s">
        <v>15</v>
      </c>
      <c r="C9902" s="2">
        <v>43374</v>
      </c>
      <c r="D9902" t="s">
        <v>29</v>
      </c>
      <c r="E9902">
        <v>2024</v>
      </c>
    </row>
    <row r="9903" spans="1:5" x14ac:dyDescent="0.55000000000000004">
      <c r="A9903" t="s">
        <v>9984</v>
      </c>
      <c r="B9903" t="s">
        <v>140</v>
      </c>
      <c r="C9903" s="2">
        <v>43881</v>
      </c>
      <c r="D9903" t="s">
        <v>26</v>
      </c>
      <c r="E9903">
        <v>1219</v>
      </c>
    </row>
    <row r="9904" spans="1:5" x14ac:dyDescent="0.55000000000000004">
      <c r="A9904" t="s">
        <v>9985</v>
      </c>
      <c r="B9904" t="s">
        <v>175</v>
      </c>
      <c r="C9904" s="2">
        <v>45793</v>
      </c>
      <c r="D9904" t="s">
        <v>29</v>
      </c>
      <c r="E9904">
        <v>1010</v>
      </c>
    </row>
    <row r="9905" spans="1:5" x14ac:dyDescent="0.55000000000000004">
      <c r="A9905" t="s">
        <v>9986</v>
      </c>
      <c r="B9905" t="s">
        <v>72</v>
      </c>
      <c r="C9905" s="2">
        <v>44062</v>
      </c>
      <c r="D9905" t="s">
        <v>29</v>
      </c>
      <c r="E9905">
        <v>2966</v>
      </c>
    </row>
    <row r="9906" spans="1:5" x14ac:dyDescent="0.55000000000000004">
      <c r="A9906" t="s">
        <v>9987</v>
      </c>
      <c r="B9906" t="s">
        <v>32</v>
      </c>
      <c r="C9906" s="2">
        <v>44013</v>
      </c>
      <c r="D9906" t="s">
        <v>26</v>
      </c>
      <c r="E9906">
        <v>946</v>
      </c>
    </row>
    <row r="9907" spans="1:5" x14ac:dyDescent="0.55000000000000004">
      <c r="A9907" t="s">
        <v>9988</v>
      </c>
      <c r="B9907" t="s">
        <v>67</v>
      </c>
      <c r="C9907" s="2">
        <v>44837</v>
      </c>
      <c r="D9907" t="s">
        <v>26</v>
      </c>
      <c r="E9907">
        <v>1271</v>
      </c>
    </row>
    <row r="9908" spans="1:5" x14ac:dyDescent="0.55000000000000004">
      <c r="A9908" t="s">
        <v>9989</v>
      </c>
      <c r="B9908" t="s">
        <v>72</v>
      </c>
      <c r="C9908" s="2">
        <v>43878</v>
      </c>
      <c r="D9908" t="s">
        <v>29</v>
      </c>
      <c r="E9908">
        <v>691</v>
      </c>
    </row>
    <row r="9909" spans="1:5" x14ac:dyDescent="0.55000000000000004">
      <c r="A9909" t="s">
        <v>9990</v>
      </c>
      <c r="B9909" t="s">
        <v>72</v>
      </c>
      <c r="C9909" s="2">
        <v>43128</v>
      </c>
      <c r="D9909" t="s">
        <v>29</v>
      </c>
      <c r="E9909">
        <v>1443</v>
      </c>
    </row>
    <row r="9910" spans="1:5" x14ac:dyDescent="0.55000000000000004">
      <c r="A9910" t="s">
        <v>9991</v>
      </c>
      <c r="B9910" t="s">
        <v>23</v>
      </c>
      <c r="C9910" s="2">
        <v>44651</v>
      </c>
      <c r="D9910" t="s">
        <v>26</v>
      </c>
      <c r="E9910">
        <v>2773</v>
      </c>
    </row>
    <row r="9911" spans="1:5" x14ac:dyDescent="0.55000000000000004">
      <c r="A9911" t="s">
        <v>9992</v>
      </c>
      <c r="B9911" t="s">
        <v>15</v>
      </c>
      <c r="C9911" s="2">
        <v>43521</v>
      </c>
      <c r="D9911" t="s">
        <v>26</v>
      </c>
      <c r="E9911">
        <v>2346</v>
      </c>
    </row>
    <row r="9912" spans="1:5" x14ac:dyDescent="0.55000000000000004">
      <c r="A9912" t="s">
        <v>9993</v>
      </c>
      <c r="B9912" t="s">
        <v>38</v>
      </c>
      <c r="C9912" s="2">
        <v>44680</v>
      </c>
      <c r="D9912" t="s">
        <v>26</v>
      </c>
      <c r="E9912">
        <v>2443</v>
      </c>
    </row>
    <row r="9913" spans="1:5" x14ac:dyDescent="0.55000000000000004">
      <c r="A9913" t="s">
        <v>9994</v>
      </c>
      <c r="B9913" t="s">
        <v>32</v>
      </c>
      <c r="C9913" s="2">
        <v>44357</v>
      </c>
      <c r="D9913" t="s">
        <v>29</v>
      </c>
      <c r="E9913">
        <v>2443</v>
      </c>
    </row>
    <row r="9914" spans="1:5" x14ac:dyDescent="0.55000000000000004">
      <c r="A9914" t="s">
        <v>9995</v>
      </c>
      <c r="B9914" t="s">
        <v>156</v>
      </c>
      <c r="C9914" s="2">
        <v>42931</v>
      </c>
      <c r="D9914" t="s">
        <v>26</v>
      </c>
      <c r="E9914">
        <v>2278</v>
      </c>
    </row>
    <row r="9915" spans="1:5" x14ac:dyDescent="0.55000000000000004">
      <c r="A9915" t="s">
        <v>9996</v>
      </c>
      <c r="B9915" t="s">
        <v>23</v>
      </c>
      <c r="C9915" s="2">
        <v>44543</v>
      </c>
      <c r="D9915" t="s">
        <v>29</v>
      </c>
      <c r="E9915">
        <v>1171</v>
      </c>
    </row>
    <row r="9916" spans="1:5" x14ac:dyDescent="0.55000000000000004">
      <c r="A9916" t="s">
        <v>9997</v>
      </c>
      <c r="B9916" t="s">
        <v>140</v>
      </c>
      <c r="C9916" s="2">
        <v>43658</v>
      </c>
      <c r="D9916" t="s">
        <v>29</v>
      </c>
      <c r="E9916">
        <v>2713</v>
      </c>
    </row>
    <row r="9917" spans="1:5" x14ac:dyDescent="0.55000000000000004">
      <c r="A9917" t="s">
        <v>9998</v>
      </c>
      <c r="B9917" t="s">
        <v>35</v>
      </c>
      <c r="C9917" s="2">
        <v>44584</v>
      </c>
      <c r="D9917" t="s">
        <v>26</v>
      </c>
      <c r="E9917">
        <v>305</v>
      </c>
    </row>
    <row r="9918" spans="1:5" x14ac:dyDescent="0.55000000000000004">
      <c r="A9918" t="s">
        <v>9999</v>
      </c>
      <c r="B9918" t="s">
        <v>96</v>
      </c>
      <c r="C9918" s="2">
        <v>43704</v>
      </c>
      <c r="D9918" t="s">
        <v>29</v>
      </c>
      <c r="E9918">
        <v>889</v>
      </c>
    </row>
    <row r="9919" spans="1:5" x14ac:dyDescent="0.55000000000000004">
      <c r="A9919" t="s">
        <v>10000</v>
      </c>
      <c r="B9919" t="s">
        <v>142</v>
      </c>
      <c r="C9919" s="2">
        <v>43026</v>
      </c>
      <c r="D9919" t="s">
        <v>26</v>
      </c>
      <c r="E9919">
        <v>372</v>
      </c>
    </row>
    <row r="9920" spans="1:5" x14ac:dyDescent="0.55000000000000004">
      <c r="A9920" t="s">
        <v>10001</v>
      </c>
      <c r="B9920" t="s">
        <v>14</v>
      </c>
      <c r="C9920" s="2">
        <v>44273</v>
      </c>
      <c r="D9920" t="s">
        <v>26</v>
      </c>
      <c r="E9920">
        <v>1915</v>
      </c>
    </row>
    <row r="9921" spans="1:5" x14ac:dyDescent="0.55000000000000004">
      <c r="A9921" t="s">
        <v>10002</v>
      </c>
      <c r="B9921" t="s">
        <v>151</v>
      </c>
      <c r="C9921" s="2">
        <v>43695</v>
      </c>
      <c r="D9921" t="s">
        <v>29</v>
      </c>
      <c r="E9921">
        <v>907</v>
      </c>
    </row>
    <row r="9922" spans="1:5" x14ac:dyDescent="0.55000000000000004">
      <c r="A9922" t="s">
        <v>10003</v>
      </c>
      <c r="B9922" t="s">
        <v>38</v>
      </c>
      <c r="C9922" s="2">
        <v>44174</v>
      </c>
      <c r="D9922" t="s">
        <v>29</v>
      </c>
      <c r="E9922">
        <v>1599</v>
      </c>
    </row>
    <row r="9923" spans="1:5" x14ac:dyDescent="0.55000000000000004">
      <c r="A9923" t="s">
        <v>10004</v>
      </c>
      <c r="B9923" t="s">
        <v>38</v>
      </c>
      <c r="C9923" s="2">
        <v>44775</v>
      </c>
      <c r="D9923" t="s">
        <v>26</v>
      </c>
      <c r="E9923">
        <v>2948</v>
      </c>
    </row>
    <row r="9924" spans="1:5" x14ac:dyDescent="0.55000000000000004">
      <c r="A9924" t="s">
        <v>10005</v>
      </c>
      <c r="B9924" t="s">
        <v>41</v>
      </c>
      <c r="C9924" s="2">
        <v>44211</v>
      </c>
      <c r="D9924" t="s">
        <v>26</v>
      </c>
      <c r="E9924">
        <v>2988</v>
      </c>
    </row>
    <row r="9925" spans="1:5" x14ac:dyDescent="0.55000000000000004">
      <c r="A9925" t="s">
        <v>10006</v>
      </c>
      <c r="B9925" t="s">
        <v>151</v>
      </c>
      <c r="C9925" s="2">
        <v>43500</v>
      </c>
      <c r="D9925" t="s">
        <v>29</v>
      </c>
      <c r="E9925">
        <v>1097</v>
      </c>
    </row>
    <row r="9926" spans="1:5" x14ac:dyDescent="0.55000000000000004">
      <c r="A9926" t="s">
        <v>10007</v>
      </c>
      <c r="B9926" t="s">
        <v>23</v>
      </c>
      <c r="C9926" s="2">
        <v>44268</v>
      </c>
      <c r="D9926" t="s">
        <v>26</v>
      </c>
      <c r="E9926">
        <v>1745</v>
      </c>
    </row>
    <row r="9927" spans="1:5" x14ac:dyDescent="0.55000000000000004">
      <c r="A9927" t="s">
        <v>10008</v>
      </c>
      <c r="B9927" t="s">
        <v>38</v>
      </c>
      <c r="C9927" s="2">
        <v>44632</v>
      </c>
      <c r="D9927" t="s">
        <v>26</v>
      </c>
      <c r="E9927">
        <v>393</v>
      </c>
    </row>
    <row r="9928" spans="1:5" x14ac:dyDescent="0.55000000000000004">
      <c r="A9928" t="s">
        <v>10009</v>
      </c>
      <c r="B9928" t="s">
        <v>23</v>
      </c>
      <c r="C9928" s="2">
        <v>44084</v>
      </c>
      <c r="D9928" t="s">
        <v>26</v>
      </c>
      <c r="E9928">
        <v>2470</v>
      </c>
    </row>
    <row r="9929" spans="1:5" x14ac:dyDescent="0.55000000000000004">
      <c r="A9929" t="s">
        <v>10010</v>
      </c>
      <c r="B9929" t="s">
        <v>14</v>
      </c>
      <c r="C9929" s="2">
        <v>43536</v>
      </c>
      <c r="D9929" t="s">
        <v>29</v>
      </c>
      <c r="E9929">
        <v>1623</v>
      </c>
    </row>
    <row r="9930" spans="1:5" x14ac:dyDescent="0.55000000000000004">
      <c r="A9930" t="s">
        <v>10011</v>
      </c>
      <c r="B9930" t="s">
        <v>78</v>
      </c>
      <c r="C9930" s="2">
        <v>43559</v>
      </c>
      <c r="D9930" t="s">
        <v>29</v>
      </c>
      <c r="E9930">
        <v>851</v>
      </c>
    </row>
    <row r="9931" spans="1:5" x14ac:dyDescent="0.55000000000000004">
      <c r="A9931" t="s">
        <v>10012</v>
      </c>
      <c r="B9931" t="s">
        <v>76</v>
      </c>
      <c r="C9931" s="2">
        <v>44097</v>
      </c>
      <c r="D9931" t="s">
        <v>29</v>
      </c>
      <c r="E9931">
        <v>1267</v>
      </c>
    </row>
    <row r="9932" spans="1:5" x14ac:dyDescent="0.55000000000000004">
      <c r="A9932" t="s">
        <v>10013</v>
      </c>
      <c r="B9932" t="s">
        <v>156</v>
      </c>
      <c r="C9932" s="2">
        <v>44464</v>
      </c>
      <c r="D9932" t="s">
        <v>29</v>
      </c>
      <c r="E9932">
        <v>2284</v>
      </c>
    </row>
    <row r="9933" spans="1:5" x14ac:dyDescent="0.55000000000000004">
      <c r="A9933" t="s">
        <v>10014</v>
      </c>
      <c r="B9933" t="s">
        <v>94</v>
      </c>
      <c r="C9933" s="2">
        <v>45804</v>
      </c>
      <c r="D9933" t="s">
        <v>26</v>
      </c>
      <c r="E9933">
        <v>2721</v>
      </c>
    </row>
    <row r="9934" spans="1:5" x14ac:dyDescent="0.55000000000000004">
      <c r="A9934" t="s">
        <v>10015</v>
      </c>
      <c r="B9934" t="s">
        <v>96</v>
      </c>
      <c r="C9934" s="2">
        <v>45571</v>
      </c>
      <c r="D9934" t="s">
        <v>29</v>
      </c>
      <c r="E9934">
        <v>2515</v>
      </c>
    </row>
    <row r="9935" spans="1:5" x14ac:dyDescent="0.55000000000000004">
      <c r="A9935" t="s">
        <v>10016</v>
      </c>
      <c r="B9935" t="s">
        <v>86</v>
      </c>
      <c r="C9935" s="2">
        <v>44207</v>
      </c>
      <c r="D9935" t="s">
        <v>29</v>
      </c>
      <c r="E9935">
        <v>374</v>
      </c>
    </row>
    <row r="9936" spans="1:5" x14ac:dyDescent="0.55000000000000004">
      <c r="A9936" t="s">
        <v>10017</v>
      </c>
      <c r="B9936" t="s">
        <v>96</v>
      </c>
      <c r="C9936" s="2">
        <v>45230</v>
      </c>
      <c r="D9936" t="s">
        <v>26</v>
      </c>
      <c r="E9936">
        <v>2524</v>
      </c>
    </row>
    <row r="9937" spans="1:5" x14ac:dyDescent="0.55000000000000004">
      <c r="A9937" t="s">
        <v>10018</v>
      </c>
      <c r="B9937" t="s">
        <v>38</v>
      </c>
      <c r="C9937" s="2">
        <v>43878</v>
      </c>
      <c r="D9937" t="s">
        <v>26</v>
      </c>
      <c r="E9937">
        <v>2030</v>
      </c>
    </row>
    <row r="9938" spans="1:5" x14ac:dyDescent="0.55000000000000004">
      <c r="A9938" t="s">
        <v>10019</v>
      </c>
      <c r="B9938" t="s">
        <v>115</v>
      </c>
      <c r="C9938" s="2">
        <v>43766</v>
      </c>
      <c r="D9938" t="s">
        <v>29</v>
      </c>
      <c r="E9938">
        <v>2896</v>
      </c>
    </row>
    <row r="9939" spans="1:5" x14ac:dyDescent="0.55000000000000004">
      <c r="A9939" t="s">
        <v>10020</v>
      </c>
      <c r="B9939" t="s">
        <v>38</v>
      </c>
      <c r="C9939" s="2">
        <v>44580</v>
      </c>
      <c r="D9939" t="s">
        <v>26</v>
      </c>
      <c r="E9939">
        <v>59</v>
      </c>
    </row>
    <row r="9940" spans="1:5" x14ac:dyDescent="0.55000000000000004">
      <c r="A9940" t="s">
        <v>10021</v>
      </c>
      <c r="B9940" t="s">
        <v>156</v>
      </c>
      <c r="C9940" s="2">
        <v>43633</v>
      </c>
      <c r="D9940" t="s">
        <v>29</v>
      </c>
      <c r="E9940">
        <v>1011</v>
      </c>
    </row>
    <row r="9941" spans="1:5" x14ac:dyDescent="0.55000000000000004">
      <c r="A9941" t="s">
        <v>10022</v>
      </c>
      <c r="B9941" t="s">
        <v>41</v>
      </c>
      <c r="C9941" s="2">
        <v>44387</v>
      </c>
      <c r="D9941" t="s">
        <v>29</v>
      </c>
      <c r="E9941">
        <v>1783</v>
      </c>
    </row>
    <row r="9942" spans="1:5" x14ac:dyDescent="0.55000000000000004">
      <c r="A9942" t="s">
        <v>10023</v>
      </c>
      <c r="B9942" t="s">
        <v>23</v>
      </c>
      <c r="C9942" s="2">
        <v>44445</v>
      </c>
      <c r="D9942" t="s">
        <v>29</v>
      </c>
      <c r="E9942">
        <v>2022</v>
      </c>
    </row>
    <row r="9943" spans="1:5" x14ac:dyDescent="0.55000000000000004">
      <c r="A9943" t="s">
        <v>10024</v>
      </c>
      <c r="B9943" t="s">
        <v>137</v>
      </c>
      <c r="C9943" s="2">
        <v>44340</v>
      </c>
      <c r="D9943" t="s">
        <v>26</v>
      </c>
      <c r="E9943">
        <v>2210</v>
      </c>
    </row>
    <row r="9944" spans="1:5" x14ac:dyDescent="0.55000000000000004">
      <c r="A9944" t="s">
        <v>10025</v>
      </c>
      <c r="B9944" t="s">
        <v>15</v>
      </c>
      <c r="C9944" s="2">
        <v>44490</v>
      </c>
      <c r="D9944" t="s">
        <v>26</v>
      </c>
      <c r="E9944">
        <v>2914</v>
      </c>
    </row>
    <row r="9945" spans="1:5" x14ac:dyDescent="0.55000000000000004">
      <c r="A9945" t="s">
        <v>10026</v>
      </c>
      <c r="B9945" t="s">
        <v>111</v>
      </c>
      <c r="C9945" s="2">
        <v>43184</v>
      </c>
      <c r="D9945" t="s">
        <v>26</v>
      </c>
      <c r="E9945">
        <v>2700</v>
      </c>
    </row>
    <row r="9946" spans="1:5" x14ac:dyDescent="0.55000000000000004">
      <c r="A9946" t="s">
        <v>10027</v>
      </c>
      <c r="B9946" t="s">
        <v>111</v>
      </c>
      <c r="C9946" s="2">
        <v>43713</v>
      </c>
      <c r="D9946" t="s">
        <v>29</v>
      </c>
      <c r="E9946">
        <v>1412</v>
      </c>
    </row>
    <row r="9947" spans="1:5" x14ac:dyDescent="0.55000000000000004">
      <c r="A9947" t="s">
        <v>10028</v>
      </c>
      <c r="B9947" t="s">
        <v>74</v>
      </c>
      <c r="C9947" s="2">
        <v>44049</v>
      </c>
      <c r="D9947" t="s">
        <v>26</v>
      </c>
      <c r="E9947">
        <v>1812</v>
      </c>
    </row>
    <row r="9948" spans="1:5" x14ac:dyDescent="0.55000000000000004">
      <c r="A9948" t="s">
        <v>10029</v>
      </c>
      <c r="B9948" t="s">
        <v>99</v>
      </c>
      <c r="C9948" s="2">
        <v>44706</v>
      </c>
      <c r="D9948" t="s">
        <v>29</v>
      </c>
      <c r="E9948">
        <v>1812</v>
      </c>
    </row>
    <row r="9949" spans="1:5" x14ac:dyDescent="0.55000000000000004">
      <c r="A9949" t="s">
        <v>10030</v>
      </c>
      <c r="B9949" t="s">
        <v>74</v>
      </c>
      <c r="C9949" s="2">
        <v>44132</v>
      </c>
      <c r="D9949" t="s">
        <v>26</v>
      </c>
      <c r="E9949">
        <v>1822</v>
      </c>
    </row>
    <row r="9950" spans="1:5" x14ac:dyDescent="0.55000000000000004">
      <c r="A9950" t="s">
        <v>10031</v>
      </c>
      <c r="B9950" t="s">
        <v>84</v>
      </c>
      <c r="C9950" s="2">
        <v>43419</v>
      </c>
      <c r="D9950" t="s">
        <v>29</v>
      </c>
      <c r="E9950">
        <v>1453</v>
      </c>
    </row>
    <row r="9951" spans="1:5" x14ac:dyDescent="0.55000000000000004">
      <c r="A9951" t="s">
        <v>10032</v>
      </c>
      <c r="B9951" t="s">
        <v>142</v>
      </c>
      <c r="C9951" s="2">
        <v>44158</v>
      </c>
      <c r="D9951" t="s">
        <v>29</v>
      </c>
      <c r="E9951">
        <v>2081</v>
      </c>
    </row>
    <row r="9952" spans="1:5" x14ac:dyDescent="0.55000000000000004">
      <c r="A9952" t="s">
        <v>10033</v>
      </c>
      <c r="B9952" t="s">
        <v>111</v>
      </c>
      <c r="C9952" s="2">
        <v>44184</v>
      </c>
      <c r="D9952" t="s">
        <v>26</v>
      </c>
      <c r="E9952">
        <v>2061</v>
      </c>
    </row>
    <row r="9953" spans="1:5" x14ac:dyDescent="0.55000000000000004">
      <c r="A9953" t="s">
        <v>10034</v>
      </c>
      <c r="B9953" t="s">
        <v>142</v>
      </c>
      <c r="C9953" s="2">
        <v>43726</v>
      </c>
      <c r="D9953" t="s">
        <v>26</v>
      </c>
      <c r="E9953">
        <v>1324</v>
      </c>
    </row>
    <row r="9954" spans="1:5" x14ac:dyDescent="0.55000000000000004">
      <c r="A9954" t="s">
        <v>10035</v>
      </c>
      <c r="B9954" t="s">
        <v>142</v>
      </c>
      <c r="C9954" s="2">
        <v>43223</v>
      </c>
      <c r="D9954" t="s">
        <v>26</v>
      </c>
      <c r="E9954">
        <v>184</v>
      </c>
    </row>
    <row r="9955" spans="1:5" x14ac:dyDescent="0.55000000000000004">
      <c r="A9955" t="s">
        <v>10036</v>
      </c>
      <c r="B9955" t="s">
        <v>67</v>
      </c>
      <c r="C9955" s="2">
        <v>45803</v>
      </c>
      <c r="D9955" t="s">
        <v>29</v>
      </c>
      <c r="E9955">
        <v>1148</v>
      </c>
    </row>
    <row r="9956" spans="1:5" x14ac:dyDescent="0.55000000000000004">
      <c r="A9956" t="s">
        <v>10037</v>
      </c>
      <c r="B9956" t="s">
        <v>101</v>
      </c>
      <c r="C9956" s="2">
        <v>44559</v>
      </c>
      <c r="D9956" t="s">
        <v>26</v>
      </c>
      <c r="E9956">
        <v>1086</v>
      </c>
    </row>
    <row r="9957" spans="1:5" x14ac:dyDescent="0.55000000000000004">
      <c r="A9957" t="s">
        <v>10038</v>
      </c>
      <c r="B9957" t="s">
        <v>63</v>
      </c>
      <c r="C9957" s="2">
        <v>43527</v>
      </c>
      <c r="D9957" t="s">
        <v>26</v>
      </c>
      <c r="E9957">
        <v>1467</v>
      </c>
    </row>
    <row r="9958" spans="1:5" x14ac:dyDescent="0.55000000000000004">
      <c r="A9958" t="s">
        <v>10039</v>
      </c>
      <c r="B9958" t="s">
        <v>84</v>
      </c>
      <c r="C9958" s="2">
        <v>43999</v>
      </c>
      <c r="D9958" t="s">
        <v>29</v>
      </c>
      <c r="E9958">
        <v>2436</v>
      </c>
    </row>
    <row r="9959" spans="1:5" x14ac:dyDescent="0.55000000000000004">
      <c r="A9959" t="s">
        <v>10040</v>
      </c>
      <c r="B9959" t="s">
        <v>111</v>
      </c>
      <c r="C9959" s="2">
        <v>43279</v>
      </c>
      <c r="D9959" t="s">
        <v>26</v>
      </c>
      <c r="E9959">
        <v>764</v>
      </c>
    </row>
    <row r="9960" spans="1:5" x14ac:dyDescent="0.55000000000000004">
      <c r="A9960" t="s">
        <v>10041</v>
      </c>
      <c r="B9960" t="s">
        <v>175</v>
      </c>
      <c r="C9960" s="2">
        <v>43884</v>
      </c>
      <c r="D9960" t="s">
        <v>29</v>
      </c>
      <c r="E9960">
        <v>1592</v>
      </c>
    </row>
    <row r="9961" spans="1:5" x14ac:dyDescent="0.55000000000000004">
      <c r="A9961" t="s">
        <v>10042</v>
      </c>
      <c r="B9961" t="s">
        <v>142</v>
      </c>
      <c r="C9961" s="2">
        <v>43398</v>
      </c>
      <c r="D9961" t="s">
        <v>29</v>
      </c>
      <c r="E9961">
        <v>260</v>
      </c>
    </row>
    <row r="9962" spans="1:5" x14ac:dyDescent="0.55000000000000004">
      <c r="A9962" t="s">
        <v>10043</v>
      </c>
      <c r="B9962" t="s">
        <v>14</v>
      </c>
      <c r="C9962" s="2">
        <v>43984</v>
      </c>
      <c r="D9962" t="s">
        <v>26</v>
      </c>
      <c r="E9962">
        <v>858</v>
      </c>
    </row>
    <row r="9963" spans="1:5" x14ac:dyDescent="0.55000000000000004">
      <c r="A9963" t="s">
        <v>10044</v>
      </c>
      <c r="B9963" t="s">
        <v>111</v>
      </c>
      <c r="C9963" s="2">
        <v>43552</v>
      </c>
      <c r="D9963" t="s">
        <v>29</v>
      </c>
      <c r="E9963">
        <v>2547</v>
      </c>
    </row>
    <row r="9964" spans="1:5" x14ac:dyDescent="0.55000000000000004">
      <c r="A9964" t="s">
        <v>10045</v>
      </c>
      <c r="B9964" t="s">
        <v>156</v>
      </c>
      <c r="C9964" s="2">
        <v>43698</v>
      </c>
      <c r="D9964" t="s">
        <v>29</v>
      </c>
      <c r="E9964">
        <v>2</v>
      </c>
    </row>
    <row r="9965" spans="1:5" x14ac:dyDescent="0.55000000000000004">
      <c r="A9965" t="s">
        <v>10046</v>
      </c>
      <c r="B9965" t="s">
        <v>94</v>
      </c>
      <c r="C9965" s="2">
        <v>44693</v>
      </c>
      <c r="D9965" t="s">
        <v>26</v>
      </c>
      <c r="E9965">
        <v>868</v>
      </c>
    </row>
    <row r="9966" spans="1:5" x14ac:dyDescent="0.55000000000000004">
      <c r="A9966" t="s">
        <v>10047</v>
      </c>
      <c r="B9966" t="s">
        <v>96</v>
      </c>
      <c r="C9966" s="2">
        <v>45114</v>
      </c>
      <c r="D9966" t="s">
        <v>29</v>
      </c>
      <c r="E9966">
        <v>1807</v>
      </c>
    </row>
    <row r="9967" spans="1:5" x14ac:dyDescent="0.55000000000000004">
      <c r="A9967" t="s">
        <v>10048</v>
      </c>
      <c r="B9967" t="s">
        <v>84</v>
      </c>
      <c r="C9967" s="2">
        <v>43858</v>
      </c>
      <c r="D9967" t="s">
        <v>29</v>
      </c>
      <c r="E9967">
        <v>2387</v>
      </c>
    </row>
    <row r="9968" spans="1:5" x14ac:dyDescent="0.55000000000000004">
      <c r="A9968" t="s">
        <v>10049</v>
      </c>
      <c r="B9968" t="s">
        <v>115</v>
      </c>
      <c r="C9968" s="2">
        <v>44262</v>
      </c>
      <c r="D9968" t="s">
        <v>26</v>
      </c>
      <c r="E9968">
        <v>1745</v>
      </c>
    </row>
    <row r="9969" spans="1:5" x14ac:dyDescent="0.55000000000000004">
      <c r="A9969" t="s">
        <v>10050</v>
      </c>
      <c r="B9969" t="s">
        <v>74</v>
      </c>
      <c r="C9969" s="2">
        <v>43298</v>
      </c>
      <c r="D9969" t="s">
        <v>26</v>
      </c>
      <c r="E9969">
        <v>474</v>
      </c>
    </row>
    <row r="9970" spans="1:5" x14ac:dyDescent="0.55000000000000004">
      <c r="A9970" t="s">
        <v>10051</v>
      </c>
      <c r="B9970" t="s">
        <v>137</v>
      </c>
      <c r="C9970" s="2">
        <v>44850</v>
      </c>
      <c r="D9970" t="s">
        <v>26</v>
      </c>
      <c r="E9970">
        <v>973</v>
      </c>
    </row>
    <row r="9971" spans="1:5" x14ac:dyDescent="0.55000000000000004">
      <c r="A9971" t="s">
        <v>10052</v>
      </c>
      <c r="B9971" t="s">
        <v>78</v>
      </c>
      <c r="C9971" s="2">
        <v>45819</v>
      </c>
      <c r="D9971" t="s">
        <v>29</v>
      </c>
      <c r="E9971">
        <v>2862</v>
      </c>
    </row>
    <row r="9972" spans="1:5" x14ac:dyDescent="0.55000000000000004">
      <c r="A9972" t="s">
        <v>10053</v>
      </c>
      <c r="B9972" t="s">
        <v>111</v>
      </c>
      <c r="C9972" s="2">
        <v>43636</v>
      </c>
      <c r="D9972" t="s">
        <v>29</v>
      </c>
      <c r="E9972">
        <v>2908</v>
      </c>
    </row>
    <row r="9973" spans="1:5" x14ac:dyDescent="0.55000000000000004">
      <c r="A9973" t="s">
        <v>10054</v>
      </c>
      <c r="B9973" t="s">
        <v>67</v>
      </c>
      <c r="C9973" s="2">
        <v>43753</v>
      </c>
      <c r="D9973" t="s">
        <v>26</v>
      </c>
      <c r="E9973">
        <v>173</v>
      </c>
    </row>
    <row r="9974" spans="1:5" x14ac:dyDescent="0.55000000000000004">
      <c r="A9974" t="s">
        <v>10055</v>
      </c>
      <c r="B9974" t="s">
        <v>137</v>
      </c>
      <c r="C9974" s="2">
        <v>44705</v>
      </c>
      <c r="D9974" t="s">
        <v>26</v>
      </c>
      <c r="E9974">
        <v>1285</v>
      </c>
    </row>
    <row r="9975" spans="1:5" x14ac:dyDescent="0.55000000000000004">
      <c r="A9975" t="s">
        <v>10056</v>
      </c>
      <c r="B9975" t="s">
        <v>67</v>
      </c>
      <c r="C9975" s="2">
        <v>44373</v>
      </c>
      <c r="D9975" t="s">
        <v>26</v>
      </c>
      <c r="E9975">
        <v>887</v>
      </c>
    </row>
    <row r="9976" spans="1:5" x14ac:dyDescent="0.55000000000000004">
      <c r="A9976" t="s">
        <v>10057</v>
      </c>
      <c r="B9976" t="s">
        <v>86</v>
      </c>
      <c r="C9976" s="2">
        <v>43185</v>
      </c>
      <c r="D9976" t="s">
        <v>29</v>
      </c>
      <c r="E9976">
        <v>2927</v>
      </c>
    </row>
    <row r="9977" spans="1:5" x14ac:dyDescent="0.55000000000000004">
      <c r="A9977" t="s">
        <v>10058</v>
      </c>
      <c r="B9977" t="s">
        <v>41</v>
      </c>
      <c r="C9977" s="2">
        <v>44652</v>
      </c>
      <c r="D9977" t="s">
        <v>26</v>
      </c>
      <c r="E9977">
        <v>411</v>
      </c>
    </row>
    <row r="9978" spans="1:5" x14ac:dyDescent="0.55000000000000004">
      <c r="A9978" t="s">
        <v>10059</v>
      </c>
      <c r="B9978" t="s">
        <v>175</v>
      </c>
      <c r="C9978" s="2">
        <v>44381</v>
      </c>
      <c r="D9978" t="s">
        <v>29</v>
      </c>
      <c r="E9978">
        <v>1292</v>
      </c>
    </row>
    <row r="9979" spans="1:5" x14ac:dyDescent="0.55000000000000004">
      <c r="A9979" t="s">
        <v>10060</v>
      </c>
      <c r="B9979" t="s">
        <v>78</v>
      </c>
      <c r="C9979" s="2">
        <v>43467</v>
      </c>
      <c r="D9979" t="s">
        <v>26</v>
      </c>
      <c r="E9979">
        <v>685</v>
      </c>
    </row>
    <row r="9980" spans="1:5" x14ac:dyDescent="0.55000000000000004">
      <c r="A9980" t="s">
        <v>10061</v>
      </c>
      <c r="B9980" t="s">
        <v>23</v>
      </c>
      <c r="C9980" s="2">
        <v>44524</v>
      </c>
      <c r="D9980" t="s">
        <v>29</v>
      </c>
      <c r="E9980">
        <v>790</v>
      </c>
    </row>
    <row r="9981" spans="1:5" x14ac:dyDescent="0.55000000000000004">
      <c r="A9981" t="s">
        <v>10062</v>
      </c>
      <c r="B9981" t="s">
        <v>137</v>
      </c>
      <c r="C9981" s="2">
        <v>45590</v>
      </c>
      <c r="D9981" t="s">
        <v>26</v>
      </c>
      <c r="E9981">
        <v>433</v>
      </c>
    </row>
    <row r="9982" spans="1:5" x14ac:dyDescent="0.55000000000000004">
      <c r="A9982" t="s">
        <v>10063</v>
      </c>
      <c r="B9982" t="s">
        <v>94</v>
      </c>
      <c r="C9982" s="2">
        <v>43593</v>
      </c>
      <c r="D9982" t="s">
        <v>26</v>
      </c>
      <c r="E9982">
        <v>755</v>
      </c>
    </row>
    <row r="9983" spans="1:5" x14ac:dyDescent="0.55000000000000004">
      <c r="A9983" t="s">
        <v>10064</v>
      </c>
      <c r="B9983" t="s">
        <v>76</v>
      </c>
      <c r="C9983" s="2">
        <v>44671</v>
      </c>
      <c r="D9983" t="s">
        <v>29</v>
      </c>
      <c r="E9983">
        <v>1907</v>
      </c>
    </row>
    <row r="9984" spans="1:5" x14ac:dyDescent="0.55000000000000004">
      <c r="A9984" t="s">
        <v>10065</v>
      </c>
      <c r="B9984" t="s">
        <v>115</v>
      </c>
      <c r="C9984" s="2">
        <v>44026</v>
      </c>
      <c r="D9984" t="s">
        <v>26</v>
      </c>
      <c r="E9984">
        <v>1535</v>
      </c>
    </row>
    <row r="9985" spans="1:5" x14ac:dyDescent="0.55000000000000004">
      <c r="A9985" t="s">
        <v>10066</v>
      </c>
      <c r="B9985" t="s">
        <v>99</v>
      </c>
      <c r="C9985" s="2">
        <v>43690</v>
      </c>
      <c r="D9985" t="s">
        <v>29</v>
      </c>
      <c r="E9985">
        <v>2679</v>
      </c>
    </row>
    <row r="9986" spans="1:5" x14ac:dyDescent="0.55000000000000004">
      <c r="A9986" t="s">
        <v>10067</v>
      </c>
      <c r="B9986" t="s">
        <v>137</v>
      </c>
      <c r="C9986" s="2">
        <v>43837</v>
      </c>
      <c r="D9986" t="s">
        <v>29</v>
      </c>
      <c r="E9986">
        <v>2488</v>
      </c>
    </row>
    <row r="9987" spans="1:5" x14ac:dyDescent="0.55000000000000004">
      <c r="A9987" t="s">
        <v>10068</v>
      </c>
      <c r="B9987" t="s">
        <v>23</v>
      </c>
      <c r="C9987" s="2">
        <v>44068</v>
      </c>
      <c r="D9987" t="s">
        <v>26</v>
      </c>
      <c r="E9987">
        <v>1643</v>
      </c>
    </row>
    <row r="9988" spans="1:5" x14ac:dyDescent="0.55000000000000004">
      <c r="A9988" t="s">
        <v>10069</v>
      </c>
      <c r="B9988" t="s">
        <v>35</v>
      </c>
      <c r="C9988" s="2">
        <v>44596</v>
      </c>
      <c r="D9988" t="s">
        <v>26</v>
      </c>
      <c r="E9988">
        <v>1459</v>
      </c>
    </row>
    <row r="9989" spans="1:5" x14ac:dyDescent="0.55000000000000004">
      <c r="A9989" t="s">
        <v>10070</v>
      </c>
      <c r="B9989" t="s">
        <v>111</v>
      </c>
      <c r="C9989" s="2">
        <v>43164</v>
      </c>
      <c r="D9989" t="s">
        <v>26</v>
      </c>
      <c r="E9989">
        <v>2751</v>
      </c>
    </row>
    <row r="9990" spans="1:5" x14ac:dyDescent="0.55000000000000004">
      <c r="A9990" t="s">
        <v>10071</v>
      </c>
      <c r="B9990" t="s">
        <v>175</v>
      </c>
      <c r="C9990" s="2">
        <v>44377</v>
      </c>
      <c r="D9990" t="s">
        <v>29</v>
      </c>
      <c r="E9990">
        <v>2180</v>
      </c>
    </row>
    <row r="9991" spans="1:5" x14ac:dyDescent="0.55000000000000004">
      <c r="A9991" t="s">
        <v>10072</v>
      </c>
      <c r="B9991" t="s">
        <v>15</v>
      </c>
      <c r="C9991" s="2">
        <v>43083</v>
      </c>
      <c r="D9991" t="s">
        <v>29</v>
      </c>
      <c r="E9991">
        <v>2704</v>
      </c>
    </row>
    <row r="9992" spans="1:5" x14ac:dyDescent="0.55000000000000004">
      <c r="A9992" t="s">
        <v>10073</v>
      </c>
      <c r="B9992" t="s">
        <v>96</v>
      </c>
      <c r="C9992" s="2">
        <v>43780</v>
      </c>
      <c r="D9992" t="s">
        <v>29</v>
      </c>
      <c r="E9992">
        <v>31</v>
      </c>
    </row>
    <row r="9993" spans="1:5" x14ac:dyDescent="0.55000000000000004">
      <c r="A9993" t="s">
        <v>10074</v>
      </c>
      <c r="B9993" t="s">
        <v>99</v>
      </c>
      <c r="C9993" s="2">
        <v>43512</v>
      </c>
      <c r="D9993" t="s">
        <v>29</v>
      </c>
      <c r="E9993">
        <v>2499</v>
      </c>
    </row>
    <row r="9994" spans="1:5" x14ac:dyDescent="0.55000000000000004">
      <c r="A9994" t="s">
        <v>10075</v>
      </c>
      <c r="B9994" t="s">
        <v>72</v>
      </c>
      <c r="C9994" s="2">
        <v>44140</v>
      </c>
      <c r="D9994" t="s">
        <v>26</v>
      </c>
      <c r="E9994">
        <v>2896</v>
      </c>
    </row>
    <row r="9995" spans="1:5" x14ac:dyDescent="0.55000000000000004">
      <c r="A9995" t="s">
        <v>10076</v>
      </c>
      <c r="B9995" t="s">
        <v>105</v>
      </c>
      <c r="C9995" s="2">
        <v>44455</v>
      </c>
      <c r="D9995" t="s">
        <v>29</v>
      </c>
      <c r="E9995">
        <v>70</v>
      </c>
    </row>
    <row r="9996" spans="1:5" x14ac:dyDescent="0.55000000000000004">
      <c r="A9996" t="s">
        <v>10077</v>
      </c>
      <c r="B9996" t="s">
        <v>96</v>
      </c>
      <c r="C9996" s="2">
        <v>43881</v>
      </c>
      <c r="D9996" t="s">
        <v>29</v>
      </c>
      <c r="E9996">
        <v>342</v>
      </c>
    </row>
    <row r="9997" spans="1:5" x14ac:dyDescent="0.55000000000000004">
      <c r="A9997" t="s">
        <v>10078</v>
      </c>
      <c r="B9997" t="s">
        <v>72</v>
      </c>
      <c r="C9997" s="2">
        <v>44127</v>
      </c>
      <c r="D9997" t="s">
        <v>26</v>
      </c>
      <c r="E9997">
        <v>850</v>
      </c>
    </row>
    <row r="9998" spans="1:5" x14ac:dyDescent="0.55000000000000004">
      <c r="A9998" t="s">
        <v>10079</v>
      </c>
      <c r="B9998" t="s">
        <v>175</v>
      </c>
      <c r="C9998" s="2">
        <v>44041</v>
      </c>
      <c r="D9998" t="s">
        <v>26</v>
      </c>
      <c r="E9998">
        <v>797</v>
      </c>
    </row>
    <row r="9999" spans="1:5" x14ac:dyDescent="0.55000000000000004">
      <c r="A9999" t="s">
        <v>10080</v>
      </c>
      <c r="B9999" t="s">
        <v>84</v>
      </c>
      <c r="C9999" s="2">
        <v>44097</v>
      </c>
      <c r="D9999" t="s">
        <v>29</v>
      </c>
      <c r="E9999">
        <v>668</v>
      </c>
    </row>
    <row r="10000" spans="1:5" x14ac:dyDescent="0.55000000000000004">
      <c r="A10000" t="s">
        <v>10081</v>
      </c>
      <c r="B10000" t="s">
        <v>72</v>
      </c>
      <c r="C10000" s="2">
        <v>43003</v>
      </c>
      <c r="D10000" t="s">
        <v>29</v>
      </c>
      <c r="E10000">
        <v>169</v>
      </c>
    </row>
    <row r="10001" spans="1:5" x14ac:dyDescent="0.55000000000000004">
      <c r="A10001" t="s">
        <v>10082</v>
      </c>
      <c r="B10001" t="s">
        <v>38</v>
      </c>
      <c r="C10001" s="2">
        <v>43937</v>
      </c>
      <c r="D10001" t="s">
        <v>26</v>
      </c>
      <c r="E10001">
        <v>1957</v>
      </c>
    </row>
    <row r="10002" spans="1:5" x14ac:dyDescent="0.55000000000000004">
      <c r="A10002" t="s">
        <v>10083</v>
      </c>
      <c r="B10002" t="s">
        <v>76</v>
      </c>
      <c r="C10002" s="2">
        <v>43765</v>
      </c>
      <c r="D10002" t="s">
        <v>29</v>
      </c>
      <c r="E10002">
        <v>2031</v>
      </c>
    </row>
    <row r="10003" spans="1:5" x14ac:dyDescent="0.55000000000000004">
      <c r="A10003" t="s">
        <v>10084</v>
      </c>
      <c r="B10003" t="s">
        <v>86</v>
      </c>
      <c r="C10003" s="2">
        <v>43986</v>
      </c>
      <c r="D10003" t="s">
        <v>29</v>
      </c>
      <c r="E10003">
        <v>1578</v>
      </c>
    </row>
    <row r="10004" spans="1:5" x14ac:dyDescent="0.55000000000000004">
      <c r="A10004" t="s">
        <v>10085</v>
      </c>
      <c r="B10004" t="s">
        <v>72</v>
      </c>
      <c r="C10004" s="2">
        <v>44384</v>
      </c>
      <c r="D10004" t="s">
        <v>29</v>
      </c>
      <c r="E10004">
        <v>1044</v>
      </c>
    </row>
    <row r="10005" spans="1:5" x14ac:dyDescent="0.55000000000000004">
      <c r="A10005" t="s">
        <v>10086</v>
      </c>
      <c r="B10005" t="s">
        <v>99</v>
      </c>
      <c r="C10005" s="2">
        <v>43494</v>
      </c>
      <c r="D10005" t="s">
        <v>29</v>
      </c>
      <c r="E10005">
        <v>1636</v>
      </c>
    </row>
    <row r="10006" spans="1:5" x14ac:dyDescent="0.55000000000000004">
      <c r="A10006" t="s">
        <v>10087</v>
      </c>
      <c r="B10006" t="s">
        <v>115</v>
      </c>
      <c r="C10006" s="2">
        <v>43056</v>
      </c>
      <c r="D10006" t="s">
        <v>26</v>
      </c>
      <c r="E10006">
        <v>1697</v>
      </c>
    </row>
    <row r="10007" spans="1:5" x14ac:dyDescent="0.55000000000000004">
      <c r="A10007" t="s">
        <v>10088</v>
      </c>
      <c r="B10007" t="s">
        <v>137</v>
      </c>
      <c r="C10007" s="2">
        <v>44003</v>
      </c>
      <c r="D10007" t="s">
        <v>26</v>
      </c>
      <c r="E10007">
        <v>2661</v>
      </c>
    </row>
    <row r="10008" spans="1:5" x14ac:dyDescent="0.55000000000000004">
      <c r="A10008" t="s">
        <v>10089</v>
      </c>
      <c r="B10008" t="s">
        <v>63</v>
      </c>
      <c r="C10008" s="2">
        <v>43038</v>
      </c>
      <c r="D10008" t="s">
        <v>29</v>
      </c>
      <c r="E10008">
        <v>2424</v>
      </c>
    </row>
    <row r="10009" spans="1:5" x14ac:dyDescent="0.55000000000000004">
      <c r="A10009" t="s">
        <v>10090</v>
      </c>
      <c r="B10009" t="s">
        <v>175</v>
      </c>
      <c r="C10009" s="2">
        <v>44983</v>
      </c>
      <c r="D10009" t="s">
        <v>26</v>
      </c>
      <c r="E10009">
        <v>1758</v>
      </c>
    </row>
    <row r="10010" spans="1:5" x14ac:dyDescent="0.55000000000000004">
      <c r="A10010" t="s">
        <v>10091</v>
      </c>
      <c r="B10010" t="s">
        <v>111</v>
      </c>
      <c r="C10010" s="2">
        <v>43921</v>
      </c>
      <c r="D10010" t="s">
        <v>26</v>
      </c>
      <c r="E10010">
        <v>688</v>
      </c>
    </row>
    <row r="10011" spans="1:5" x14ac:dyDescent="0.55000000000000004">
      <c r="A10011" t="s">
        <v>10092</v>
      </c>
      <c r="B10011" t="s">
        <v>115</v>
      </c>
      <c r="C10011" s="2">
        <v>43158</v>
      </c>
      <c r="D10011" t="s">
        <v>29</v>
      </c>
      <c r="E10011">
        <v>196</v>
      </c>
    </row>
    <row r="10012" spans="1:5" x14ac:dyDescent="0.55000000000000004">
      <c r="A10012" t="s">
        <v>10093</v>
      </c>
      <c r="B10012" t="s">
        <v>175</v>
      </c>
      <c r="C10012" s="2">
        <v>43725</v>
      </c>
      <c r="D10012" t="s">
        <v>26</v>
      </c>
      <c r="E10012">
        <v>497</v>
      </c>
    </row>
    <row r="10013" spans="1:5" x14ac:dyDescent="0.55000000000000004">
      <c r="A10013" t="s">
        <v>10094</v>
      </c>
      <c r="B10013" t="s">
        <v>38</v>
      </c>
      <c r="C10013" s="2">
        <v>44100</v>
      </c>
      <c r="D10013" t="s">
        <v>26</v>
      </c>
      <c r="E10013">
        <v>2783</v>
      </c>
    </row>
    <row r="10014" spans="1:5" x14ac:dyDescent="0.55000000000000004">
      <c r="A10014" t="s">
        <v>10095</v>
      </c>
      <c r="B10014" t="s">
        <v>32</v>
      </c>
      <c r="C10014" s="2">
        <v>44284</v>
      </c>
      <c r="D10014" t="s">
        <v>26</v>
      </c>
      <c r="E10014">
        <v>242</v>
      </c>
    </row>
    <row r="10015" spans="1:5" x14ac:dyDescent="0.55000000000000004">
      <c r="A10015" t="s">
        <v>10096</v>
      </c>
      <c r="B10015" t="s">
        <v>105</v>
      </c>
      <c r="C10015" s="2">
        <v>43581</v>
      </c>
      <c r="D10015" t="s">
        <v>29</v>
      </c>
      <c r="E10015">
        <v>2390</v>
      </c>
    </row>
    <row r="10016" spans="1:5" x14ac:dyDescent="0.55000000000000004">
      <c r="A10016" t="s">
        <v>10097</v>
      </c>
      <c r="B10016" t="s">
        <v>76</v>
      </c>
      <c r="C10016" s="2">
        <v>45546</v>
      </c>
      <c r="D10016" t="s">
        <v>29</v>
      </c>
      <c r="E10016">
        <v>2378</v>
      </c>
    </row>
    <row r="10017" spans="1:5" x14ac:dyDescent="0.55000000000000004">
      <c r="A10017" t="s">
        <v>10098</v>
      </c>
      <c r="B10017" t="s">
        <v>78</v>
      </c>
      <c r="C10017" s="2">
        <v>44021</v>
      </c>
      <c r="D10017" t="s">
        <v>26</v>
      </c>
      <c r="E10017">
        <v>1757</v>
      </c>
    </row>
    <row r="10018" spans="1:5" x14ac:dyDescent="0.55000000000000004">
      <c r="A10018" t="s">
        <v>10099</v>
      </c>
      <c r="B10018" t="s">
        <v>137</v>
      </c>
      <c r="C10018" s="2">
        <v>44083</v>
      </c>
      <c r="D10018" t="s">
        <v>26</v>
      </c>
      <c r="E10018">
        <v>471</v>
      </c>
    </row>
    <row r="10019" spans="1:5" x14ac:dyDescent="0.55000000000000004">
      <c r="A10019" t="s">
        <v>10100</v>
      </c>
      <c r="B10019" t="s">
        <v>137</v>
      </c>
      <c r="C10019" s="2">
        <v>44631</v>
      </c>
      <c r="D10019" t="s">
        <v>29</v>
      </c>
      <c r="E10019">
        <v>2457</v>
      </c>
    </row>
    <row r="10020" spans="1:5" x14ac:dyDescent="0.55000000000000004">
      <c r="A10020" t="s">
        <v>10101</v>
      </c>
      <c r="B10020" t="s">
        <v>140</v>
      </c>
      <c r="C10020" s="2">
        <v>44053</v>
      </c>
      <c r="D10020" t="s">
        <v>26</v>
      </c>
      <c r="E10020">
        <v>82</v>
      </c>
    </row>
    <row r="10021" spans="1:5" x14ac:dyDescent="0.55000000000000004">
      <c r="A10021" t="s">
        <v>10102</v>
      </c>
      <c r="B10021" t="s">
        <v>94</v>
      </c>
      <c r="C10021" s="2">
        <v>45050</v>
      </c>
      <c r="D10021" t="s">
        <v>26</v>
      </c>
      <c r="E10021">
        <v>2337</v>
      </c>
    </row>
    <row r="10022" spans="1:5" x14ac:dyDescent="0.55000000000000004">
      <c r="A10022" t="s">
        <v>10103</v>
      </c>
      <c r="B10022" t="s">
        <v>118</v>
      </c>
      <c r="C10022" s="2">
        <v>45123</v>
      </c>
      <c r="D10022" t="s">
        <v>26</v>
      </c>
      <c r="E10022">
        <v>1180</v>
      </c>
    </row>
    <row r="10023" spans="1:5" x14ac:dyDescent="0.55000000000000004">
      <c r="A10023" t="s">
        <v>10104</v>
      </c>
      <c r="B10023" t="s">
        <v>86</v>
      </c>
      <c r="C10023" s="2">
        <v>42980</v>
      </c>
      <c r="D10023" t="s">
        <v>29</v>
      </c>
      <c r="E10023">
        <v>668</v>
      </c>
    </row>
    <row r="10024" spans="1:5" x14ac:dyDescent="0.55000000000000004">
      <c r="A10024" t="s">
        <v>10105</v>
      </c>
      <c r="B10024" t="s">
        <v>74</v>
      </c>
      <c r="C10024" s="2">
        <v>43050</v>
      </c>
      <c r="D10024" t="s">
        <v>26</v>
      </c>
      <c r="E10024">
        <v>200</v>
      </c>
    </row>
    <row r="10025" spans="1:5" x14ac:dyDescent="0.55000000000000004">
      <c r="A10025" t="s">
        <v>10106</v>
      </c>
      <c r="B10025" t="s">
        <v>175</v>
      </c>
      <c r="C10025" s="2">
        <v>44355</v>
      </c>
      <c r="D10025" t="s">
        <v>29</v>
      </c>
      <c r="E10025">
        <v>24</v>
      </c>
    </row>
    <row r="10026" spans="1:5" x14ac:dyDescent="0.55000000000000004">
      <c r="A10026" t="s">
        <v>10107</v>
      </c>
      <c r="B10026" t="s">
        <v>67</v>
      </c>
      <c r="C10026" s="2">
        <v>43967</v>
      </c>
      <c r="D10026" t="s">
        <v>29</v>
      </c>
      <c r="E10026">
        <v>1122</v>
      </c>
    </row>
    <row r="10027" spans="1:5" x14ac:dyDescent="0.55000000000000004">
      <c r="A10027" t="s">
        <v>10108</v>
      </c>
      <c r="B10027" t="s">
        <v>118</v>
      </c>
      <c r="C10027" s="2">
        <v>43888</v>
      </c>
      <c r="D10027" t="s">
        <v>26</v>
      </c>
      <c r="E10027">
        <v>1036</v>
      </c>
    </row>
    <row r="10028" spans="1:5" x14ac:dyDescent="0.55000000000000004">
      <c r="A10028" t="s">
        <v>10109</v>
      </c>
      <c r="B10028" t="s">
        <v>84</v>
      </c>
      <c r="C10028" s="2">
        <v>44447</v>
      </c>
      <c r="D10028" t="s">
        <v>29</v>
      </c>
      <c r="E10028">
        <v>174</v>
      </c>
    </row>
    <row r="10029" spans="1:5" x14ac:dyDescent="0.55000000000000004">
      <c r="A10029" t="s">
        <v>10110</v>
      </c>
      <c r="B10029" t="s">
        <v>94</v>
      </c>
      <c r="C10029" s="2">
        <v>45682</v>
      </c>
      <c r="D10029" t="s">
        <v>26</v>
      </c>
      <c r="E10029">
        <v>2833</v>
      </c>
    </row>
    <row r="10030" spans="1:5" x14ac:dyDescent="0.55000000000000004">
      <c r="A10030" t="s">
        <v>10111</v>
      </c>
      <c r="B10030" t="s">
        <v>32</v>
      </c>
      <c r="C10030" s="2">
        <v>44854</v>
      </c>
      <c r="D10030" t="s">
        <v>26</v>
      </c>
      <c r="E10030">
        <v>1051</v>
      </c>
    </row>
    <row r="10031" spans="1:5" x14ac:dyDescent="0.55000000000000004">
      <c r="A10031" t="s">
        <v>10112</v>
      </c>
      <c r="B10031" t="s">
        <v>142</v>
      </c>
      <c r="C10031" s="2">
        <v>44503</v>
      </c>
      <c r="D10031" t="s">
        <v>26</v>
      </c>
      <c r="E10031">
        <v>1118</v>
      </c>
    </row>
    <row r="10032" spans="1:5" x14ac:dyDescent="0.55000000000000004">
      <c r="A10032" t="s">
        <v>10113</v>
      </c>
      <c r="B10032" t="s">
        <v>140</v>
      </c>
      <c r="C10032" s="2">
        <v>44071</v>
      </c>
      <c r="D10032" t="s">
        <v>29</v>
      </c>
      <c r="E10032">
        <v>1079</v>
      </c>
    </row>
    <row r="10033" spans="1:5" x14ac:dyDescent="0.55000000000000004">
      <c r="A10033" t="s">
        <v>10114</v>
      </c>
      <c r="B10033" t="s">
        <v>84</v>
      </c>
      <c r="C10033" s="2">
        <v>44076</v>
      </c>
      <c r="D10033" t="s">
        <v>29</v>
      </c>
      <c r="E10033">
        <v>122</v>
      </c>
    </row>
    <row r="10034" spans="1:5" x14ac:dyDescent="0.55000000000000004">
      <c r="A10034" t="s">
        <v>10115</v>
      </c>
      <c r="B10034" t="s">
        <v>175</v>
      </c>
      <c r="C10034" s="2">
        <v>45120</v>
      </c>
      <c r="D10034" t="s">
        <v>26</v>
      </c>
      <c r="E10034">
        <v>2419</v>
      </c>
    </row>
    <row r="10035" spans="1:5" x14ac:dyDescent="0.55000000000000004">
      <c r="A10035" t="s">
        <v>10116</v>
      </c>
      <c r="B10035" t="s">
        <v>38</v>
      </c>
      <c r="C10035" s="2">
        <v>44511</v>
      </c>
      <c r="D10035" t="s">
        <v>26</v>
      </c>
      <c r="E10035">
        <v>1695</v>
      </c>
    </row>
    <row r="10036" spans="1:5" x14ac:dyDescent="0.55000000000000004">
      <c r="A10036" t="s">
        <v>10117</v>
      </c>
      <c r="B10036" t="s">
        <v>175</v>
      </c>
      <c r="C10036" s="2">
        <v>44005</v>
      </c>
      <c r="D10036" t="s">
        <v>29</v>
      </c>
      <c r="E10036">
        <v>1074</v>
      </c>
    </row>
    <row r="10037" spans="1:5" x14ac:dyDescent="0.55000000000000004">
      <c r="A10037" t="s">
        <v>10118</v>
      </c>
      <c r="B10037" t="s">
        <v>111</v>
      </c>
      <c r="C10037" s="2">
        <v>43732</v>
      </c>
      <c r="D10037" t="s">
        <v>29</v>
      </c>
      <c r="E10037">
        <v>2433</v>
      </c>
    </row>
    <row r="10038" spans="1:5" x14ac:dyDescent="0.55000000000000004">
      <c r="A10038" t="s">
        <v>10119</v>
      </c>
      <c r="B10038" t="s">
        <v>99</v>
      </c>
      <c r="C10038" s="2">
        <v>44368</v>
      </c>
      <c r="D10038" t="s">
        <v>29</v>
      </c>
      <c r="E10038">
        <v>2340</v>
      </c>
    </row>
    <row r="10039" spans="1:5" x14ac:dyDescent="0.55000000000000004">
      <c r="A10039" t="s">
        <v>10120</v>
      </c>
      <c r="B10039" t="s">
        <v>35</v>
      </c>
      <c r="C10039" s="2">
        <v>43914</v>
      </c>
      <c r="D10039" t="s">
        <v>29</v>
      </c>
      <c r="E10039">
        <v>1056</v>
      </c>
    </row>
    <row r="10040" spans="1:5" x14ac:dyDescent="0.55000000000000004">
      <c r="A10040" t="s">
        <v>10121</v>
      </c>
      <c r="B10040" t="s">
        <v>72</v>
      </c>
      <c r="C10040" s="2">
        <v>44162</v>
      </c>
      <c r="D10040" t="s">
        <v>29</v>
      </c>
      <c r="E10040">
        <v>320</v>
      </c>
    </row>
    <row r="10041" spans="1:5" x14ac:dyDescent="0.55000000000000004">
      <c r="A10041" t="s">
        <v>10122</v>
      </c>
      <c r="B10041" t="s">
        <v>156</v>
      </c>
      <c r="C10041" s="2">
        <v>43210</v>
      </c>
      <c r="D10041" t="s">
        <v>26</v>
      </c>
      <c r="E10041">
        <v>1189</v>
      </c>
    </row>
    <row r="10042" spans="1:5" x14ac:dyDescent="0.55000000000000004">
      <c r="A10042" t="s">
        <v>10123</v>
      </c>
      <c r="B10042" t="s">
        <v>32</v>
      </c>
      <c r="C10042" s="2">
        <v>44566</v>
      </c>
      <c r="D10042" t="s">
        <v>29</v>
      </c>
      <c r="E10042">
        <v>2664</v>
      </c>
    </row>
    <row r="10043" spans="1:5" x14ac:dyDescent="0.55000000000000004">
      <c r="A10043" t="s">
        <v>10124</v>
      </c>
      <c r="B10043" t="s">
        <v>15</v>
      </c>
      <c r="C10043" s="2">
        <v>43799</v>
      </c>
      <c r="D10043" t="s">
        <v>26</v>
      </c>
      <c r="E10043">
        <v>1295</v>
      </c>
    </row>
    <row r="10044" spans="1:5" x14ac:dyDescent="0.55000000000000004">
      <c r="A10044" t="s">
        <v>10125</v>
      </c>
      <c r="B10044" t="s">
        <v>76</v>
      </c>
      <c r="C10044" s="2">
        <v>44246</v>
      </c>
      <c r="D10044" t="s">
        <v>29</v>
      </c>
      <c r="E10044">
        <v>1860</v>
      </c>
    </row>
    <row r="10045" spans="1:5" x14ac:dyDescent="0.55000000000000004">
      <c r="A10045" t="s">
        <v>10126</v>
      </c>
      <c r="B10045" t="s">
        <v>101</v>
      </c>
      <c r="C10045" s="2">
        <v>44458</v>
      </c>
      <c r="D10045" t="s">
        <v>29</v>
      </c>
      <c r="E10045">
        <v>2477</v>
      </c>
    </row>
    <row r="10046" spans="1:5" x14ac:dyDescent="0.55000000000000004">
      <c r="A10046" t="s">
        <v>10127</v>
      </c>
      <c r="B10046" t="s">
        <v>74</v>
      </c>
      <c r="C10046" s="2">
        <v>44146</v>
      </c>
      <c r="D10046" t="s">
        <v>29</v>
      </c>
      <c r="E10046">
        <v>799</v>
      </c>
    </row>
    <row r="10047" spans="1:5" x14ac:dyDescent="0.55000000000000004">
      <c r="A10047" t="s">
        <v>10128</v>
      </c>
      <c r="B10047" t="s">
        <v>142</v>
      </c>
      <c r="C10047" s="2">
        <v>43113</v>
      </c>
      <c r="D10047" t="s">
        <v>29</v>
      </c>
      <c r="E10047">
        <v>1170</v>
      </c>
    </row>
    <row r="10048" spans="1:5" x14ac:dyDescent="0.55000000000000004">
      <c r="A10048" t="s">
        <v>10129</v>
      </c>
      <c r="B10048" t="s">
        <v>96</v>
      </c>
      <c r="C10048" s="2">
        <v>44035</v>
      </c>
      <c r="D10048" t="s">
        <v>29</v>
      </c>
      <c r="E10048">
        <v>505</v>
      </c>
    </row>
    <row r="10049" spans="1:5" x14ac:dyDescent="0.55000000000000004">
      <c r="A10049" t="s">
        <v>10130</v>
      </c>
      <c r="B10049" t="s">
        <v>96</v>
      </c>
      <c r="C10049" s="2">
        <v>44668</v>
      </c>
      <c r="D10049" t="s">
        <v>29</v>
      </c>
      <c r="E10049">
        <v>2124</v>
      </c>
    </row>
    <row r="10050" spans="1:5" x14ac:dyDescent="0.55000000000000004">
      <c r="A10050" t="s">
        <v>10131</v>
      </c>
      <c r="B10050" t="s">
        <v>111</v>
      </c>
      <c r="C10050" s="2">
        <v>44109</v>
      </c>
      <c r="D10050" t="s">
        <v>26</v>
      </c>
      <c r="E10050">
        <v>551</v>
      </c>
    </row>
    <row r="10051" spans="1:5" x14ac:dyDescent="0.55000000000000004">
      <c r="A10051" t="s">
        <v>10132</v>
      </c>
      <c r="B10051" t="s">
        <v>137</v>
      </c>
      <c r="C10051" s="2">
        <v>45052</v>
      </c>
      <c r="D10051" t="s">
        <v>26</v>
      </c>
      <c r="E10051">
        <v>2493</v>
      </c>
    </row>
    <row r="10052" spans="1:5" x14ac:dyDescent="0.55000000000000004">
      <c r="A10052" t="s">
        <v>10133</v>
      </c>
      <c r="B10052" t="s">
        <v>137</v>
      </c>
      <c r="C10052" s="2">
        <v>45292</v>
      </c>
      <c r="D10052" t="s">
        <v>29</v>
      </c>
      <c r="E10052">
        <v>347</v>
      </c>
    </row>
    <row r="10053" spans="1:5" x14ac:dyDescent="0.55000000000000004">
      <c r="A10053" t="s">
        <v>10134</v>
      </c>
      <c r="B10053" t="s">
        <v>115</v>
      </c>
      <c r="C10053" s="2">
        <v>44470</v>
      </c>
      <c r="D10053" t="s">
        <v>29</v>
      </c>
      <c r="E10053">
        <v>1584</v>
      </c>
    </row>
    <row r="10054" spans="1:5" x14ac:dyDescent="0.55000000000000004">
      <c r="A10054" t="s">
        <v>10135</v>
      </c>
      <c r="B10054" t="s">
        <v>72</v>
      </c>
      <c r="C10054" s="2">
        <v>44491</v>
      </c>
      <c r="D10054" t="s">
        <v>29</v>
      </c>
      <c r="E10054">
        <v>1783</v>
      </c>
    </row>
    <row r="10055" spans="1:5" x14ac:dyDescent="0.55000000000000004">
      <c r="A10055" t="s">
        <v>10136</v>
      </c>
      <c r="B10055" t="s">
        <v>14</v>
      </c>
      <c r="C10055" s="2">
        <v>44489</v>
      </c>
      <c r="D10055" t="s">
        <v>26</v>
      </c>
      <c r="E10055">
        <v>1263</v>
      </c>
    </row>
    <row r="10056" spans="1:5" x14ac:dyDescent="0.55000000000000004">
      <c r="A10056" t="s">
        <v>10137</v>
      </c>
      <c r="B10056" t="s">
        <v>32</v>
      </c>
      <c r="C10056" s="2">
        <v>44900</v>
      </c>
      <c r="D10056" t="s">
        <v>26</v>
      </c>
      <c r="E10056">
        <v>1106</v>
      </c>
    </row>
    <row r="10057" spans="1:5" x14ac:dyDescent="0.55000000000000004">
      <c r="A10057" t="s">
        <v>10138</v>
      </c>
      <c r="B10057" t="s">
        <v>137</v>
      </c>
      <c r="C10057" s="2">
        <v>45104</v>
      </c>
      <c r="D10057" t="s">
        <v>29</v>
      </c>
      <c r="E10057">
        <v>1978</v>
      </c>
    </row>
    <row r="10058" spans="1:5" x14ac:dyDescent="0.55000000000000004">
      <c r="A10058" t="s">
        <v>10139</v>
      </c>
      <c r="B10058" t="s">
        <v>35</v>
      </c>
      <c r="C10058" s="2">
        <v>43925</v>
      </c>
      <c r="D10058" t="s">
        <v>26</v>
      </c>
      <c r="E10058">
        <v>1621</v>
      </c>
    </row>
    <row r="10059" spans="1:5" x14ac:dyDescent="0.55000000000000004">
      <c r="A10059" t="s">
        <v>10140</v>
      </c>
      <c r="B10059" t="s">
        <v>86</v>
      </c>
      <c r="C10059" s="2">
        <v>43692</v>
      </c>
      <c r="D10059" t="s">
        <v>26</v>
      </c>
      <c r="E10059">
        <v>2038</v>
      </c>
    </row>
    <row r="10060" spans="1:5" x14ac:dyDescent="0.55000000000000004">
      <c r="A10060" t="s">
        <v>10141</v>
      </c>
      <c r="B10060" t="s">
        <v>78</v>
      </c>
      <c r="C10060" s="2">
        <v>45477</v>
      </c>
      <c r="D10060" t="s">
        <v>29</v>
      </c>
      <c r="E10060">
        <v>183</v>
      </c>
    </row>
    <row r="10061" spans="1:5" x14ac:dyDescent="0.55000000000000004">
      <c r="A10061" t="s">
        <v>10142</v>
      </c>
      <c r="B10061" t="s">
        <v>105</v>
      </c>
      <c r="C10061" s="2">
        <v>43045</v>
      </c>
      <c r="D10061" t="s">
        <v>29</v>
      </c>
      <c r="E10061">
        <v>2036</v>
      </c>
    </row>
    <row r="10062" spans="1:5" x14ac:dyDescent="0.55000000000000004">
      <c r="A10062" t="s">
        <v>10143</v>
      </c>
      <c r="B10062" t="s">
        <v>72</v>
      </c>
      <c r="C10062" s="2">
        <v>43339</v>
      </c>
      <c r="D10062" t="s">
        <v>26</v>
      </c>
      <c r="E10062">
        <v>2936</v>
      </c>
    </row>
    <row r="10063" spans="1:5" x14ac:dyDescent="0.55000000000000004">
      <c r="A10063" t="s">
        <v>10144</v>
      </c>
      <c r="B10063" t="s">
        <v>72</v>
      </c>
      <c r="C10063" s="2">
        <v>43577</v>
      </c>
      <c r="D10063" t="s">
        <v>26</v>
      </c>
      <c r="E10063">
        <v>1120</v>
      </c>
    </row>
    <row r="10064" spans="1:5" x14ac:dyDescent="0.55000000000000004">
      <c r="A10064" t="s">
        <v>10145</v>
      </c>
      <c r="B10064" t="s">
        <v>105</v>
      </c>
      <c r="C10064" s="2">
        <v>43332</v>
      </c>
      <c r="D10064" t="s">
        <v>29</v>
      </c>
      <c r="E10064">
        <v>620</v>
      </c>
    </row>
    <row r="10065" spans="1:5" x14ac:dyDescent="0.55000000000000004">
      <c r="A10065" t="s">
        <v>10146</v>
      </c>
      <c r="B10065" t="s">
        <v>111</v>
      </c>
      <c r="C10065" s="2">
        <v>44438</v>
      </c>
      <c r="D10065" t="s">
        <v>29</v>
      </c>
      <c r="E10065">
        <v>138</v>
      </c>
    </row>
    <row r="10066" spans="1:5" x14ac:dyDescent="0.55000000000000004">
      <c r="A10066" t="s">
        <v>10147</v>
      </c>
      <c r="B10066" t="s">
        <v>14</v>
      </c>
      <c r="C10066" s="2">
        <v>43984</v>
      </c>
      <c r="D10066" t="s">
        <v>29</v>
      </c>
      <c r="E10066">
        <v>2140</v>
      </c>
    </row>
    <row r="10067" spans="1:5" x14ac:dyDescent="0.55000000000000004">
      <c r="A10067" t="s">
        <v>10148</v>
      </c>
      <c r="B10067" t="s">
        <v>175</v>
      </c>
      <c r="C10067" s="2">
        <v>44731</v>
      </c>
      <c r="D10067" t="s">
        <v>29</v>
      </c>
      <c r="E10067">
        <v>256</v>
      </c>
    </row>
    <row r="10068" spans="1:5" x14ac:dyDescent="0.55000000000000004">
      <c r="A10068" t="s">
        <v>10149</v>
      </c>
      <c r="B10068" t="s">
        <v>15</v>
      </c>
      <c r="C10068" s="2">
        <v>43285</v>
      </c>
      <c r="D10068" t="s">
        <v>26</v>
      </c>
      <c r="E10068">
        <v>1482</v>
      </c>
    </row>
    <row r="10069" spans="1:5" x14ac:dyDescent="0.55000000000000004">
      <c r="A10069" t="s">
        <v>10150</v>
      </c>
      <c r="B10069" t="s">
        <v>76</v>
      </c>
      <c r="C10069" s="2">
        <v>43697</v>
      </c>
      <c r="D10069" t="s">
        <v>29</v>
      </c>
      <c r="E10069">
        <v>615</v>
      </c>
    </row>
    <row r="10070" spans="1:5" x14ac:dyDescent="0.55000000000000004">
      <c r="A10070" t="s">
        <v>10151</v>
      </c>
      <c r="B10070" t="s">
        <v>14</v>
      </c>
      <c r="C10070" s="2">
        <v>44198</v>
      </c>
      <c r="D10070" t="s">
        <v>29</v>
      </c>
      <c r="E10070">
        <v>2998</v>
      </c>
    </row>
    <row r="10071" spans="1:5" x14ac:dyDescent="0.55000000000000004">
      <c r="A10071" t="s">
        <v>10152</v>
      </c>
      <c r="B10071" t="s">
        <v>94</v>
      </c>
      <c r="C10071" s="2">
        <v>44398</v>
      </c>
      <c r="D10071" t="s">
        <v>29</v>
      </c>
      <c r="E10071">
        <v>815</v>
      </c>
    </row>
    <row r="10072" spans="1:5" x14ac:dyDescent="0.55000000000000004">
      <c r="A10072" t="s">
        <v>10153</v>
      </c>
      <c r="B10072" t="s">
        <v>118</v>
      </c>
      <c r="C10072" s="2">
        <v>43825</v>
      </c>
      <c r="D10072" t="s">
        <v>26</v>
      </c>
      <c r="E10072">
        <v>2944</v>
      </c>
    </row>
    <row r="10073" spans="1:5" x14ac:dyDescent="0.55000000000000004">
      <c r="A10073" t="s">
        <v>10154</v>
      </c>
      <c r="B10073" t="s">
        <v>115</v>
      </c>
      <c r="C10073" s="2">
        <v>43971</v>
      </c>
      <c r="D10073" t="s">
        <v>29</v>
      </c>
      <c r="E10073">
        <v>1521</v>
      </c>
    </row>
    <row r="10074" spans="1:5" x14ac:dyDescent="0.55000000000000004">
      <c r="A10074" t="s">
        <v>10155</v>
      </c>
      <c r="B10074" t="s">
        <v>140</v>
      </c>
      <c r="C10074" s="2">
        <v>42951</v>
      </c>
      <c r="D10074" t="s">
        <v>29</v>
      </c>
      <c r="E10074">
        <v>2509</v>
      </c>
    </row>
    <row r="10075" spans="1:5" x14ac:dyDescent="0.55000000000000004">
      <c r="A10075" t="s">
        <v>10156</v>
      </c>
      <c r="B10075" t="s">
        <v>175</v>
      </c>
      <c r="C10075" s="2">
        <v>44407</v>
      </c>
      <c r="D10075" t="s">
        <v>29</v>
      </c>
      <c r="E10075">
        <v>2719</v>
      </c>
    </row>
    <row r="10076" spans="1:5" x14ac:dyDescent="0.55000000000000004">
      <c r="A10076" t="s">
        <v>10157</v>
      </c>
      <c r="B10076" t="s">
        <v>72</v>
      </c>
      <c r="C10076" s="2">
        <v>43413</v>
      </c>
      <c r="D10076" t="s">
        <v>26</v>
      </c>
      <c r="E10076">
        <v>519</v>
      </c>
    </row>
    <row r="10077" spans="1:5" x14ac:dyDescent="0.55000000000000004">
      <c r="A10077" t="s">
        <v>10158</v>
      </c>
      <c r="B10077" t="s">
        <v>78</v>
      </c>
      <c r="C10077" s="2">
        <v>43972</v>
      </c>
      <c r="D10077" t="s">
        <v>26</v>
      </c>
      <c r="E10077">
        <v>2476</v>
      </c>
    </row>
    <row r="10078" spans="1:5" x14ac:dyDescent="0.55000000000000004">
      <c r="A10078" t="s">
        <v>10159</v>
      </c>
      <c r="B10078" t="s">
        <v>74</v>
      </c>
      <c r="C10078" s="2">
        <v>43217</v>
      </c>
      <c r="D10078" t="s">
        <v>29</v>
      </c>
      <c r="E10078">
        <v>1057</v>
      </c>
    </row>
    <row r="10079" spans="1:5" x14ac:dyDescent="0.55000000000000004">
      <c r="A10079" t="s">
        <v>10160</v>
      </c>
      <c r="B10079" t="s">
        <v>94</v>
      </c>
      <c r="C10079" s="2">
        <v>44392</v>
      </c>
      <c r="D10079" t="s">
        <v>26</v>
      </c>
      <c r="E10079">
        <v>1135</v>
      </c>
    </row>
    <row r="10080" spans="1:5" x14ac:dyDescent="0.55000000000000004">
      <c r="A10080" t="s">
        <v>10161</v>
      </c>
      <c r="B10080" t="s">
        <v>41</v>
      </c>
      <c r="C10080" s="2">
        <v>43984</v>
      </c>
      <c r="D10080" t="s">
        <v>29</v>
      </c>
      <c r="E10080">
        <v>126</v>
      </c>
    </row>
    <row r="10081" spans="1:5" x14ac:dyDescent="0.55000000000000004">
      <c r="A10081" t="s">
        <v>10162</v>
      </c>
      <c r="B10081" t="s">
        <v>137</v>
      </c>
      <c r="C10081" s="2">
        <v>45670</v>
      </c>
      <c r="D10081" t="s">
        <v>29</v>
      </c>
      <c r="E10081">
        <v>2097</v>
      </c>
    </row>
    <row r="10082" spans="1:5" x14ac:dyDescent="0.55000000000000004">
      <c r="A10082" t="s">
        <v>10163</v>
      </c>
      <c r="B10082" t="s">
        <v>63</v>
      </c>
      <c r="C10082" s="2">
        <v>43460</v>
      </c>
      <c r="D10082" t="s">
        <v>26</v>
      </c>
      <c r="E10082">
        <v>2789</v>
      </c>
    </row>
    <row r="10083" spans="1:5" x14ac:dyDescent="0.55000000000000004">
      <c r="A10083" t="s">
        <v>10164</v>
      </c>
      <c r="B10083" t="s">
        <v>175</v>
      </c>
      <c r="C10083" s="2">
        <v>45373</v>
      </c>
      <c r="D10083" t="s">
        <v>29</v>
      </c>
      <c r="E10083">
        <v>2423</v>
      </c>
    </row>
    <row r="10084" spans="1:5" x14ac:dyDescent="0.55000000000000004">
      <c r="A10084" t="s">
        <v>10165</v>
      </c>
      <c r="B10084" t="s">
        <v>118</v>
      </c>
      <c r="C10084" s="2">
        <v>45694</v>
      </c>
      <c r="D10084" t="s">
        <v>26</v>
      </c>
      <c r="E10084">
        <v>2822</v>
      </c>
    </row>
    <row r="10085" spans="1:5" x14ac:dyDescent="0.55000000000000004">
      <c r="A10085" t="s">
        <v>10166</v>
      </c>
      <c r="B10085" t="s">
        <v>76</v>
      </c>
      <c r="C10085" s="2">
        <v>44710</v>
      </c>
      <c r="D10085" t="s">
        <v>26</v>
      </c>
      <c r="E10085">
        <v>608</v>
      </c>
    </row>
    <row r="10086" spans="1:5" x14ac:dyDescent="0.55000000000000004">
      <c r="A10086" t="s">
        <v>10167</v>
      </c>
      <c r="B10086" t="s">
        <v>115</v>
      </c>
      <c r="C10086" s="2">
        <v>43152</v>
      </c>
      <c r="D10086" t="s">
        <v>29</v>
      </c>
      <c r="E10086">
        <v>2174</v>
      </c>
    </row>
    <row r="10087" spans="1:5" x14ac:dyDescent="0.55000000000000004">
      <c r="A10087" t="s">
        <v>10168</v>
      </c>
      <c r="B10087" t="s">
        <v>72</v>
      </c>
      <c r="C10087" s="2">
        <v>43384</v>
      </c>
      <c r="D10087" t="s">
        <v>26</v>
      </c>
      <c r="E10087">
        <v>888</v>
      </c>
    </row>
    <row r="10088" spans="1:5" x14ac:dyDescent="0.55000000000000004">
      <c r="A10088" t="s">
        <v>10169</v>
      </c>
      <c r="B10088" t="s">
        <v>96</v>
      </c>
      <c r="C10088" s="2">
        <v>45783</v>
      </c>
      <c r="D10088" t="s">
        <v>26</v>
      </c>
      <c r="E10088">
        <v>2057</v>
      </c>
    </row>
    <row r="10089" spans="1:5" x14ac:dyDescent="0.55000000000000004">
      <c r="A10089" t="s">
        <v>10170</v>
      </c>
      <c r="B10089" t="s">
        <v>115</v>
      </c>
      <c r="C10089" s="2">
        <v>44254</v>
      </c>
      <c r="D10089" t="s">
        <v>26</v>
      </c>
      <c r="E10089">
        <v>174</v>
      </c>
    </row>
    <row r="10090" spans="1:5" x14ac:dyDescent="0.55000000000000004">
      <c r="A10090" t="s">
        <v>10171</v>
      </c>
      <c r="B10090" t="s">
        <v>137</v>
      </c>
      <c r="C10090" s="2">
        <v>45787</v>
      </c>
      <c r="D10090" t="s">
        <v>29</v>
      </c>
      <c r="E10090">
        <v>616</v>
      </c>
    </row>
    <row r="10091" spans="1:5" x14ac:dyDescent="0.55000000000000004">
      <c r="A10091" t="s">
        <v>10172</v>
      </c>
      <c r="B10091" t="s">
        <v>76</v>
      </c>
      <c r="C10091" s="2">
        <v>44738</v>
      </c>
      <c r="D10091" t="s">
        <v>26</v>
      </c>
      <c r="E10091">
        <v>1672</v>
      </c>
    </row>
    <row r="10092" spans="1:5" x14ac:dyDescent="0.55000000000000004">
      <c r="A10092" t="s">
        <v>10173</v>
      </c>
      <c r="B10092" t="s">
        <v>86</v>
      </c>
      <c r="C10092" s="2">
        <v>43865</v>
      </c>
      <c r="D10092" t="s">
        <v>29</v>
      </c>
      <c r="E10092">
        <v>889</v>
      </c>
    </row>
    <row r="10093" spans="1:5" x14ac:dyDescent="0.55000000000000004">
      <c r="A10093" t="s">
        <v>10174</v>
      </c>
      <c r="B10093" t="s">
        <v>38</v>
      </c>
      <c r="C10093" s="2">
        <v>44511</v>
      </c>
      <c r="D10093" t="s">
        <v>29</v>
      </c>
      <c r="E10093">
        <v>2064</v>
      </c>
    </row>
    <row r="10094" spans="1:5" x14ac:dyDescent="0.55000000000000004">
      <c r="A10094" t="s">
        <v>10175</v>
      </c>
      <c r="B10094" t="s">
        <v>96</v>
      </c>
      <c r="C10094" s="2">
        <v>45315</v>
      </c>
      <c r="D10094" t="s">
        <v>29</v>
      </c>
      <c r="E10094">
        <v>1420</v>
      </c>
    </row>
    <row r="10095" spans="1:5" x14ac:dyDescent="0.55000000000000004">
      <c r="A10095" t="s">
        <v>10176</v>
      </c>
      <c r="B10095" t="s">
        <v>76</v>
      </c>
      <c r="C10095" s="2">
        <v>43988</v>
      </c>
      <c r="D10095" t="s">
        <v>29</v>
      </c>
      <c r="E10095">
        <v>873</v>
      </c>
    </row>
    <row r="10096" spans="1:5" x14ac:dyDescent="0.55000000000000004">
      <c r="A10096" t="s">
        <v>10177</v>
      </c>
      <c r="B10096" t="s">
        <v>118</v>
      </c>
      <c r="C10096" s="2">
        <v>44696</v>
      </c>
      <c r="D10096" t="s">
        <v>26</v>
      </c>
      <c r="E10096">
        <v>800</v>
      </c>
    </row>
    <row r="10097" spans="1:5" x14ac:dyDescent="0.55000000000000004">
      <c r="A10097" t="s">
        <v>10178</v>
      </c>
      <c r="B10097" t="s">
        <v>78</v>
      </c>
      <c r="C10097" s="2">
        <v>45489</v>
      </c>
      <c r="D10097" t="s">
        <v>26</v>
      </c>
      <c r="E10097">
        <v>1288</v>
      </c>
    </row>
    <row r="10098" spans="1:5" x14ac:dyDescent="0.55000000000000004">
      <c r="A10098" t="s">
        <v>10179</v>
      </c>
      <c r="B10098" t="s">
        <v>156</v>
      </c>
      <c r="C10098" s="2">
        <v>43522</v>
      </c>
      <c r="D10098" t="s">
        <v>26</v>
      </c>
      <c r="E10098">
        <v>525</v>
      </c>
    </row>
    <row r="10099" spans="1:5" x14ac:dyDescent="0.55000000000000004">
      <c r="A10099" t="s">
        <v>10180</v>
      </c>
      <c r="B10099" t="s">
        <v>35</v>
      </c>
      <c r="C10099" s="2">
        <v>44490</v>
      </c>
      <c r="D10099" t="s">
        <v>26</v>
      </c>
      <c r="E10099">
        <v>1339</v>
      </c>
    </row>
    <row r="10100" spans="1:5" x14ac:dyDescent="0.55000000000000004">
      <c r="A10100" t="s">
        <v>10181</v>
      </c>
      <c r="B10100" t="s">
        <v>115</v>
      </c>
      <c r="C10100" s="2">
        <v>43055</v>
      </c>
      <c r="D10100" t="s">
        <v>29</v>
      </c>
      <c r="E10100">
        <v>2156</v>
      </c>
    </row>
    <row r="10101" spans="1:5" x14ac:dyDescent="0.55000000000000004">
      <c r="A10101" t="s">
        <v>10182</v>
      </c>
      <c r="B10101" t="s">
        <v>38</v>
      </c>
      <c r="C10101" s="2">
        <v>44213</v>
      </c>
      <c r="D10101" t="s">
        <v>26</v>
      </c>
      <c r="E10101">
        <v>1356</v>
      </c>
    </row>
    <row r="10102" spans="1:5" x14ac:dyDescent="0.55000000000000004">
      <c r="A10102" t="s">
        <v>10183</v>
      </c>
      <c r="B10102" t="s">
        <v>142</v>
      </c>
      <c r="C10102" s="2">
        <v>43428</v>
      </c>
      <c r="D10102" t="s">
        <v>29</v>
      </c>
      <c r="E10102">
        <v>1377</v>
      </c>
    </row>
    <row r="10103" spans="1:5" x14ac:dyDescent="0.55000000000000004">
      <c r="A10103" t="s">
        <v>10184</v>
      </c>
      <c r="B10103" t="s">
        <v>86</v>
      </c>
      <c r="C10103" s="2">
        <v>43388</v>
      </c>
      <c r="D10103" t="s">
        <v>26</v>
      </c>
      <c r="E10103">
        <v>2092</v>
      </c>
    </row>
    <row r="10104" spans="1:5" x14ac:dyDescent="0.55000000000000004">
      <c r="A10104" t="s">
        <v>10185</v>
      </c>
      <c r="B10104" t="s">
        <v>96</v>
      </c>
      <c r="C10104" s="2">
        <v>44116</v>
      </c>
      <c r="D10104" t="s">
        <v>26</v>
      </c>
      <c r="E10104">
        <v>1073</v>
      </c>
    </row>
    <row r="10105" spans="1:5" x14ac:dyDescent="0.55000000000000004">
      <c r="A10105" t="s">
        <v>10186</v>
      </c>
      <c r="B10105" t="s">
        <v>15</v>
      </c>
      <c r="C10105" s="2">
        <v>43729</v>
      </c>
      <c r="D10105" t="s">
        <v>29</v>
      </c>
      <c r="E10105">
        <v>1782</v>
      </c>
    </row>
    <row r="10106" spans="1:5" x14ac:dyDescent="0.55000000000000004">
      <c r="A10106" t="s">
        <v>10187</v>
      </c>
      <c r="B10106" t="s">
        <v>101</v>
      </c>
      <c r="C10106" s="2">
        <v>43692</v>
      </c>
      <c r="D10106" t="s">
        <v>26</v>
      </c>
      <c r="E10106">
        <v>2180</v>
      </c>
    </row>
    <row r="10107" spans="1:5" x14ac:dyDescent="0.55000000000000004">
      <c r="A10107" t="s">
        <v>10188</v>
      </c>
      <c r="B10107" t="s">
        <v>72</v>
      </c>
      <c r="C10107" s="2">
        <v>44023</v>
      </c>
      <c r="D10107" t="s">
        <v>29</v>
      </c>
      <c r="E10107">
        <v>1225</v>
      </c>
    </row>
    <row r="10108" spans="1:5" x14ac:dyDescent="0.55000000000000004">
      <c r="A10108" t="s">
        <v>10189</v>
      </c>
      <c r="B10108" t="s">
        <v>111</v>
      </c>
      <c r="C10108" s="2">
        <v>44364</v>
      </c>
      <c r="D10108" t="s">
        <v>29</v>
      </c>
      <c r="E10108">
        <v>323</v>
      </c>
    </row>
    <row r="10109" spans="1:5" x14ac:dyDescent="0.55000000000000004">
      <c r="A10109" t="s">
        <v>10190</v>
      </c>
      <c r="B10109" t="s">
        <v>78</v>
      </c>
      <c r="C10109" s="2">
        <v>43995</v>
      </c>
      <c r="D10109" t="s">
        <v>26</v>
      </c>
      <c r="E10109">
        <v>2563</v>
      </c>
    </row>
    <row r="10110" spans="1:5" x14ac:dyDescent="0.55000000000000004">
      <c r="A10110" t="s">
        <v>10191</v>
      </c>
      <c r="B10110" t="s">
        <v>96</v>
      </c>
      <c r="C10110" s="2">
        <v>44749</v>
      </c>
      <c r="D10110" t="s">
        <v>26</v>
      </c>
      <c r="E10110">
        <v>295</v>
      </c>
    </row>
    <row r="10111" spans="1:5" x14ac:dyDescent="0.55000000000000004">
      <c r="A10111" t="s">
        <v>10192</v>
      </c>
      <c r="B10111" t="s">
        <v>38</v>
      </c>
      <c r="C10111" s="2">
        <v>44271</v>
      </c>
      <c r="D10111" t="s">
        <v>29</v>
      </c>
      <c r="E10111">
        <v>2275</v>
      </c>
    </row>
    <row r="10112" spans="1:5" x14ac:dyDescent="0.55000000000000004">
      <c r="A10112" t="s">
        <v>10193</v>
      </c>
      <c r="B10112" t="s">
        <v>86</v>
      </c>
      <c r="C10112" s="2">
        <v>44154</v>
      </c>
      <c r="D10112" t="s">
        <v>26</v>
      </c>
      <c r="E10112">
        <v>420</v>
      </c>
    </row>
    <row r="10113" spans="1:5" x14ac:dyDescent="0.55000000000000004">
      <c r="A10113" t="s">
        <v>10194</v>
      </c>
      <c r="B10113" t="s">
        <v>86</v>
      </c>
      <c r="C10113" s="2">
        <v>44508</v>
      </c>
      <c r="D10113" t="s">
        <v>26</v>
      </c>
      <c r="E10113">
        <v>1622</v>
      </c>
    </row>
    <row r="10114" spans="1:5" x14ac:dyDescent="0.55000000000000004">
      <c r="A10114" t="s">
        <v>10195</v>
      </c>
      <c r="B10114" t="s">
        <v>72</v>
      </c>
      <c r="C10114" s="2">
        <v>43112</v>
      </c>
      <c r="D10114" t="s">
        <v>26</v>
      </c>
      <c r="E10114">
        <v>1969</v>
      </c>
    </row>
    <row r="10115" spans="1:5" x14ac:dyDescent="0.55000000000000004">
      <c r="A10115" t="s">
        <v>10196</v>
      </c>
      <c r="B10115" t="s">
        <v>175</v>
      </c>
      <c r="C10115" s="2">
        <v>44676</v>
      </c>
      <c r="D10115" t="s">
        <v>26</v>
      </c>
      <c r="E10115">
        <v>1052</v>
      </c>
    </row>
    <row r="10116" spans="1:5" x14ac:dyDescent="0.55000000000000004">
      <c r="A10116" t="s">
        <v>10197</v>
      </c>
      <c r="B10116" t="s">
        <v>137</v>
      </c>
      <c r="C10116" s="2">
        <v>44544</v>
      </c>
      <c r="D10116" t="s">
        <v>26</v>
      </c>
      <c r="E10116">
        <v>15</v>
      </c>
    </row>
    <row r="10117" spans="1:5" x14ac:dyDescent="0.55000000000000004">
      <c r="A10117" t="s">
        <v>10198</v>
      </c>
      <c r="B10117" t="s">
        <v>35</v>
      </c>
      <c r="C10117" s="2">
        <v>44080</v>
      </c>
      <c r="D10117" t="s">
        <v>26</v>
      </c>
      <c r="E10117">
        <v>1587</v>
      </c>
    </row>
    <row r="10118" spans="1:5" x14ac:dyDescent="0.55000000000000004">
      <c r="A10118" t="s">
        <v>10199</v>
      </c>
      <c r="B10118" t="s">
        <v>74</v>
      </c>
      <c r="C10118" s="2">
        <v>43485</v>
      </c>
      <c r="D10118" t="s">
        <v>29</v>
      </c>
      <c r="E10118">
        <v>1456</v>
      </c>
    </row>
    <row r="10119" spans="1:5" x14ac:dyDescent="0.55000000000000004">
      <c r="A10119" t="s">
        <v>10200</v>
      </c>
      <c r="B10119" t="s">
        <v>72</v>
      </c>
      <c r="C10119" s="2">
        <v>44127</v>
      </c>
      <c r="D10119" t="s">
        <v>29</v>
      </c>
      <c r="E10119">
        <v>1252</v>
      </c>
    </row>
    <row r="10120" spans="1:5" x14ac:dyDescent="0.55000000000000004">
      <c r="A10120" t="s">
        <v>10201</v>
      </c>
      <c r="B10120" t="s">
        <v>86</v>
      </c>
      <c r="C10120" s="2">
        <v>44366</v>
      </c>
      <c r="D10120" t="s">
        <v>29</v>
      </c>
      <c r="E10120">
        <v>1277</v>
      </c>
    </row>
    <row r="10121" spans="1:5" x14ac:dyDescent="0.55000000000000004">
      <c r="A10121" t="s">
        <v>10202</v>
      </c>
      <c r="B10121" t="s">
        <v>84</v>
      </c>
      <c r="C10121" s="2">
        <v>43336</v>
      </c>
      <c r="D10121" t="s">
        <v>26</v>
      </c>
      <c r="E10121">
        <v>283</v>
      </c>
    </row>
    <row r="10122" spans="1:5" x14ac:dyDescent="0.55000000000000004">
      <c r="A10122" t="s">
        <v>10203</v>
      </c>
      <c r="B10122" t="s">
        <v>32</v>
      </c>
      <c r="C10122" s="2">
        <v>44811</v>
      </c>
      <c r="D10122" t="s">
        <v>26</v>
      </c>
      <c r="E10122">
        <v>501</v>
      </c>
    </row>
    <row r="10123" spans="1:5" x14ac:dyDescent="0.55000000000000004">
      <c r="A10123" t="s">
        <v>10204</v>
      </c>
      <c r="B10123" t="s">
        <v>38</v>
      </c>
      <c r="C10123" s="2">
        <v>44573</v>
      </c>
      <c r="D10123" t="s">
        <v>26</v>
      </c>
      <c r="E10123">
        <v>930</v>
      </c>
    </row>
    <row r="10124" spans="1:5" x14ac:dyDescent="0.55000000000000004">
      <c r="A10124" t="s">
        <v>10205</v>
      </c>
      <c r="B10124" t="s">
        <v>175</v>
      </c>
      <c r="C10124" s="2">
        <v>44461</v>
      </c>
      <c r="D10124" t="s">
        <v>29</v>
      </c>
      <c r="E10124">
        <v>2378</v>
      </c>
    </row>
    <row r="10125" spans="1:5" x14ac:dyDescent="0.55000000000000004">
      <c r="A10125" t="s">
        <v>10206</v>
      </c>
      <c r="B10125" t="s">
        <v>15</v>
      </c>
      <c r="C10125" s="2">
        <v>43254</v>
      </c>
      <c r="D10125" t="s">
        <v>29</v>
      </c>
      <c r="E10125">
        <v>2520</v>
      </c>
    </row>
    <row r="10126" spans="1:5" x14ac:dyDescent="0.55000000000000004">
      <c r="A10126" t="s">
        <v>10207</v>
      </c>
      <c r="B10126" t="s">
        <v>15</v>
      </c>
      <c r="C10126" s="2">
        <v>42975</v>
      </c>
      <c r="D10126" t="s">
        <v>26</v>
      </c>
      <c r="E10126">
        <v>103</v>
      </c>
    </row>
    <row r="10127" spans="1:5" x14ac:dyDescent="0.55000000000000004">
      <c r="A10127" t="s">
        <v>10208</v>
      </c>
      <c r="B10127" t="s">
        <v>118</v>
      </c>
      <c r="C10127" s="2">
        <v>43653</v>
      </c>
      <c r="D10127" t="s">
        <v>26</v>
      </c>
      <c r="E10127">
        <v>2593</v>
      </c>
    </row>
    <row r="10128" spans="1:5" x14ac:dyDescent="0.55000000000000004">
      <c r="A10128" t="s">
        <v>10209</v>
      </c>
      <c r="B10128" t="s">
        <v>156</v>
      </c>
      <c r="C10128" s="2">
        <v>43380</v>
      </c>
      <c r="D10128" t="s">
        <v>29</v>
      </c>
      <c r="E10128">
        <v>1235</v>
      </c>
    </row>
    <row r="10129" spans="1:5" x14ac:dyDescent="0.55000000000000004">
      <c r="A10129" t="s">
        <v>10210</v>
      </c>
      <c r="B10129" t="s">
        <v>32</v>
      </c>
      <c r="C10129" s="2">
        <v>44847</v>
      </c>
      <c r="D10129" t="s">
        <v>29</v>
      </c>
      <c r="E10129">
        <v>2914</v>
      </c>
    </row>
    <row r="10130" spans="1:5" x14ac:dyDescent="0.55000000000000004">
      <c r="A10130" t="s">
        <v>10211</v>
      </c>
      <c r="B10130" t="s">
        <v>99</v>
      </c>
      <c r="C10130" s="2">
        <v>44923</v>
      </c>
      <c r="D10130" t="s">
        <v>29</v>
      </c>
      <c r="E10130">
        <v>2567</v>
      </c>
    </row>
    <row r="10131" spans="1:5" x14ac:dyDescent="0.55000000000000004">
      <c r="A10131" t="s">
        <v>10212</v>
      </c>
      <c r="B10131" t="s">
        <v>74</v>
      </c>
      <c r="C10131" s="2">
        <v>44419</v>
      </c>
      <c r="D10131" t="s">
        <v>26</v>
      </c>
      <c r="E10131">
        <v>1950</v>
      </c>
    </row>
    <row r="10132" spans="1:5" x14ac:dyDescent="0.55000000000000004">
      <c r="A10132" t="s">
        <v>10213</v>
      </c>
      <c r="B10132" t="s">
        <v>67</v>
      </c>
      <c r="C10132" s="2">
        <v>45118</v>
      </c>
      <c r="D10132" t="s">
        <v>26</v>
      </c>
      <c r="E10132">
        <v>2910</v>
      </c>
    </row>
    <row r="10133" spans="1:5" x14ac:dyDescent="0.55000000000000004">
      <c r="A10133" t="s">
        <v>10214</v>
      </c>
      <c r="B10133" t="s">
        <v>137</v>
      </c>
      <c r="C10133" s="2">
        <v>44001</v>
      </c>
      <c r="D10133" t="s">
        <v>26</v>
      </c>
      <c r="E10133">
        <v>1500</v>
      </c>
    </row>
    <row r="10134" spans="1:5" x14ac:dyDescent="0.55000000000000004">
      <c r="A10134" t="s">
        <v>10215</v>
      </c>
      <c r="B10134" t="s">
        <v>23</v>
      </c>
      <c r="C10134" s="2">
        <v>44145</v>
      </c>
      <c r="D10134" t="s">
        <v>29</v>
      </c>
      <c r="E10134">
        <v>2486</v>
      </c>
    </row>
    <row r="10135" spans="1:5" x14ac:dyDescent="0.55000000000000004">
      <c r="A10135" t="s">
        <v>10216</v>
      </c>
      <c r="B10135" t="s">
        <v>84</v>
      </c>
      <c r="C10135" s="2">
        <v>43362</v>
      </c>
      <c r="D10135" t="s">
        <v>29</v>
      </c>
      <c r="E10135">
        <v>1790</v>
      </c>
    </row>
    <row r="10136" spans="1:5" x14ac:dyDescent="0.55000000000000004">
      <c r="A10136" t="s">
        <v>10217</v>
      </c>
      <c r="B10136" t="s">
        <v>63</v>
      </c>
      <c r="C10136" s="2">
        <v>43971</v>
      </c>
      <c r="D10136" t="s">
        <v>26</v>
      </c>
      <c r="E10136">
        <v>2011</v>
      </c>
    </row>
    <row r="10137" spans="1:5" x14ac:dyDescent="0.55000000000000004">
      <c r="A10137" t="s">
        <v>10218</v>
      </c>
      <c r="B10137" t="s">
        <v>94</v>
      </c>
      <c r="C10137" s="2">
        <v>44647</v>
      </c>
      <c r="D10137" t="s">
        <v>26</v>
      </c>
      <c r="E10137">
        <v>862</v>
      </c>
    </row>
    <row r="10138" spans="1:5" x14ac:dyDescent="0.55000000000000004">
      <c r="A10138" t="s">
        <v>10219</v>
      </c>
      <c r="B10138" t="s">
        <v>151</v>
      </c>
      <c r="C10138" s="2">
        <v>43157</v>
      </c>
      <c r="D10138" t="s">
        <v>26</v>
      </c>
      <c r="E10138">
        <v>685</v>
      </c>
    </row>
    <row r="10139" spans="1:5" x14ac:dyDescent="0.55000000000000004">
      <c r="A10139" t="s">
        <v>10220</v>
      </c>
      <c r="B10139" t="s">
        <v>105</v>
      </c>
      <c r="C10139" s="2">
        <v>43386</v>
      </c>
      <c r="D10139" t="s">
        <v>29</v>
      </c>
      <c r="E10139">
        <v>1081</v>
      </c>
    </row>
    <row r="10140" spans="1:5" x14ac:dyDescent="0.55000000000000004">
      <c r="A10140" t="s">
        <v>10221</v>
      </c>
      <c r="B10140" t="s">
        <v>99</v>
      </c>
      <c r="C10140" s="2">
        <v>43633</v>
      </c>
      <c r="D10140" t="s">
        <v>29</v>
      </c>
      <c r="E10140">
        <v>56</v>
      </c>
    </row>
    <row r="10141" spans="1:5" x14ac:dyDescent="0.55000000000000004">
      <c r="A10141" t="s">
        <v>10222</v>
      </c>
      <c r="B10141" t="s">
        <v>156</v>
      </c>
      <c r="C10141" s="2">
        <v>43839</v>
      </c>
      <c r="D10141" t="s">
        <v>26</v>
      </c>
      <c r="E10141">
        <v>2808</v>
      </c>
    </row>
    <row r="10142" spans="1:5" x14ac:dyDescent="0.55000000000000004">
      <c r="A10142" t="s">
        <v>10223</v>
      </c>
      <c r="B10142" t="s">
        <v>115</v>
      </c>
      <c r="C10142" s="2">
        <v>43556</v>
      </c>
      <c r="D10142" t="s">
        <v>26</v>
      </c>
      <c r="E10142">
        <v>1623</v>
      </c>
    </row>
    <row r="10143" spans="1:5" x14ac:dyDescent="0.55000000000000004">
      <c r="A10143" t="s">
        <v>10224</v>
      </c>
      <c r="B10143" t="s">
        <v>99</v>
      </c>
      <c r="C10143" s="2">
        <v>45363</v>
      </c>
      <c r="D10143" t="s">
        <v>29</v>
      </c>
      <c r="E10143">
        <v>1883</v>
      </c>
    </row>
    <row r="10144" spans="1:5" x14ac:dyDescent="0.55000000000000004">
      <c r="A10144" t="s">
        <v>10225</v>
      </c>
      <c r="B10144" t="s">
        <v>96</v>
      </c>
      <c r="C10144" s="2">
        <v>45499</v>
      </c>
      <c r="D10144" t="s">
        <v>29</v>
      </c>
      <c r="E10144">
        <v>26</v>
      </c>
    </row>
    <row r="10145" spans="1:5" x14ac:dyDescent="0.55000000000000004">
      <c r="A10145" t="s">
        <v>10226</v>
      </c>
      <c r="B10145" t="s">
        <v>15</v>
      </c>
      <c r="C10145" s="2">
        <v>42953</v>
      </c>
      <c r="D10145" t="s">
        <v>26</v>
      </c>
      <c r="E10145">
        <v>1649</v>
      </c>
    </row>
    <row r="10146" spans="1:5" x14ac:dyDescent="0.55000000000000004">
      <c r="A10146" t="s">
        <v>10227</v>
      </c>
      <c r="B10146" t="s">
        <v>101</v>
      </c>
      <c r="C10146" s="2">
        <v>43758</v>
      </c>
      <c r="D10146" t="s">
        <v>29</v>
      </c>
      <c r="E10146">
        <v>1647</v>
      </c>
    </row>
    <row r="10147" spans="1:5" x14ac:dyDescent="0.55000000000000004">
      <c r="A10147" t="s">
        <v>10228</v>
      </c>
      <c r="B10147" t="s">
        <v>14</v>
      </c>
      <c r="C10147" s="2">
        <v>42924</v>
      </c>
      <c r="D10147" t="s">
        <v>29</v>
      </c>
      <c r="E10147">
        <v>1546</v>
      </c>
    </row>
    <row r="10148" spans="1:5" x14ac:dyDescent="0.55000000000000004">
      <c r="A10148" t="s">
        <v>10229</v>
      </c>
      <c r="B10148" t="s">
        <v>41</v>
      </c>
      <c r="C10148" s="2">
        <v>44116</v>
      </c>
      <c r="D10148" t="s">
        <v>26</v>
      </c>
      <c r="E10148">
        <v>2251</v>
      </c>
    </row>
    <row r="10149" spans="1:5" x14ac:dyDescent="0.55000000000000004">
      <c r="A10149" t="s">
        <v>10230</v>
      </c>
      <c r="B10149" t="s">
        <v>76</v>
      </c>
      <c r="C10149" s="2">
        <v>44099</v>
      </c>
      <c r="D10149" t="s">
        <v>26</v>
      </c>
      <c r="E10149">
        <v>741</v>
      </c>
    </row>
    <row r="10150" spans="1:5" x14ac:dyDescent="0.55000000000000004">
      <c r="A10150" t="s">
        <v>10231</v>
      </c>
      <c r="B10150" t="s">
        <v>137</v>
      </c>
      <c r="C10150" s="2">
        <v>45672</v>
      </c>
      <c r="D10150" t="s">
        <v>26</v>
      </c>
      <c r="E10150">
        <v>495</v>
      </c>
    </row>
    <row r="10151" spans="1:5" x14ac:dyDescent="0.55000000000000004">
      <c r="A10151" t="s">
        <v>10232</v>
      </c>
      <c r="B10151" t="s">
        <v>23</v>
      </c>
      <c r="C10151" s="2">
        <v>44266</v>
      </c>
      <c r="D10151" t="s">
        <v>29</v>
      </c>
      <c r="E10151">
        <v>2200</v>
      </c>
    </row>
    <row r="10152" spans="1:5" x14ac:dyDescent="0.55000000000000004">
      <c r="A10152" t="s">
        <v>10233</v>
      </c>
      <c r="B10152" t="s">
        <v>105</v>
      </c>
      <c r="C10152" s="2">
        <v>43901</v>
      </c>
      <c r="D10152" t="s">
        <v>29</v>
      </c>
      <c r="E10152">
        <v>1803</v>
      </c>
    </row>
    <row r="10153" spans="1:5" x14ac:dyDescent="0.55000000000000004">
      <c r="A10153" t="s">
        <v>10234</v>
      </c>
      <c r="B10153" t="s">
        <v>72</v>
      </c>
      <c r="C10153" s="2">
        <v>43790</v>
      </c>
      <c r="D10153" t="s">
        <v>29</v>
      </c>
      <c r="E10153">
        <v>2901</v>
      </c>
    </row>
    <row r="10154" spans="1:5" x14ac:dyDescent="0.55000000000000004">
      <c r="A10154" t="s">
        <v>10235</v>
      </c>
      <c r="B10154" t="s">
        <v>137</v>
      </c>
      <c r="C10154" s="2">
        <v>44348</v>
      </c>
      <c r="D10154" t="s">
        <v>26</v>
      </c>
      <c r="E10154">
        <v>809</v>
      </c>
    </row>
    <row r="10155" spans="1:5" x14ac:dyDescent="0.55000000000000004">
      <c r="A10155" t="s">
        <v>10236</v>
      </c>
      <c r="B10155" t="s">
        <v>76</v>
      </c>
      <c r="C10155" s="2">
        <v>43511</v>
      </c>
      <c r="D10155" t="s">
        <v>29</v>
      </c>
      <c r="E10155">
        <v>2956</v>
      </c>
    </row>
    <row r="10156" spans="1:5" x14ac:dyDescent="0.55000000000000004">
      <c r="A10156" t="s">
        <v>10237</v>
      </c>
      <c r="B10156" t="s">
        <v>118</v>
      </c>
      <c r="C10156" s="2">
        <v>44941</v>
      </c>
      <c r="D10156" t="s">
        <v>29</v>
      </c>
      <c r="E10156">
        <v>2334</v>
      </c>
    </row>
    <row r="10157" spans="1:5" x14ac:dyDescent="0.55000000000000004">
      <c r="A10157" t="s">
        <v>10238</v>
      </c>
      <c r="B10157" t="s">
        <v>105</v>
      </c>
      <c r="C10157" s="2">
        <v>44273</v>
      </c>
      <c r="D10157" t="s">
        <v>26</v>
      </c>
      <c r="E10157">
        <v>1647</v>
      </c>
    </row>
    <row r="10158" spans="1:5" x14ac:dyDescent="0.55000000000000004">
      <c r="A10158" t="s">
        <v>10239</v>
      </c>
      <c r="B10158" t="s">
        <v>101</v>
      </c>
      <c r="C10158" s="2">
        <v>44268</v>
      </c>
      <c r="D10158" t="s">
        <v>29</v>
      </c>
      <c r="E10158">
        <v>132</v>
      </c>
    </row>
    <row r="10159" spans="1:5" x14ac:dyDescent="0.55000000000000004">
      <c r="A10159" t="s">
        <v>10240</v>
      </c>
      <c r="B10159" t="s">
        <v>94</v>
      </c>
      <c r="C10159" s="2">
        <v>44584</v>
      </c>
      <c r="D10159" t="s">
        <v>29</v>
      </c>
      <c r="E10159">
        <v>948</v>
      </c>
    </row>
    <row r="10160" spans="1:5" x14ac:dyDescent="0.55000000000000004">
      <c r="A10160" t="s">
        <v>10241</v>
      </c>
      <c r="B10160" t="s">
        <v>115</v>
      </c>
      <c r="C10160" s="2">
        <v>43289</v>
      </c>
      <c r="D10160" t="s">
        <v>26</v>
      </c>
      <c r="E10160">
        <v>1033</v>
      </c>
    </row>
    <row r="10161" spans="1:5" x14ac:dyDescent="0.55000000000000004">
      <c r="A10161" t="s">
        <v>10242</v>
      </c>
      <c r="B10161" t="s">
        <v>35</v>
      </c>
      <c r="C10161" s="2">
        <v>44372</v>
      </c>
      <c r="D10161" t="s">
        <v>26</v>
      </c>
      <c r="E10161">
        <v>1392</v>
      </c>
    </row>
    <row r="10162" spans="1:5" x14ac:dyDescent="0.55000000000000004">
      <c r="A10162" t="s">
        <v>10243</v>
      </c>
      <c r="B10162" t="s">
        <v>67</v>
      </c>
      <c r="C10162" s="2">
        <v>44601</v>
      </c>
      <c r="D10162" t="s">
        <v>26</v>
      </c>
      <c r="E10162">
        <v>460</v>
      </c>
    </row>
    <row r="10163" spans="1:5" x14ac:dyDescent="0.55000000000000004">
      <c r="A10163" t="s">
        <v>10244</v>
      </c>
      <c r="B10163" t="s">
        <v>67</v>
      </c>
      <c r="C10163" s="2">
        <v>44732</v>
      </c>
      <c r="D10163" t="s">
        <v>29</v>
      </c>
      <c r="E10163">
        <v>1439</v>
      </c>
    </row>
    <row r="10164" spans="1:5" x14ac:dyDescent="0.55000000000000004">
      <c r="A10164" t="s">
        <v>10245</v>
      </c>
      <c r="B10164" t="s">
        <v>115</v>
      </c>
      <c r="C10164" s="2">
        <v>43232</v>
      </c>
      <c r="D10164" t="s">
        <v>29</v>
      </c>
      <c r="E10164">
        <v>742</v>
      </c>
    </row>
    <row r="10165" spans="1:5" x14ac:dyDescent="0.55000000000000004">
      <c r="A10165" t="s">
        <v>10246</v>
      </c>
      <c r="B10165" t="s">
        <v>115</v>
      </c>
      <c r="C10165" s="2">
        <v>42976</v>
      </c>
      <c r="D10165" t="s">
        <v>29</v>
      </c>
      <c r="E10165">
        <v>962</v>
      </c>
    </row>
    <row r="10166" spans="1:5" x14ac:dyDescent="0.55000000000000004">
      <c r="A10166" t="s">
        <v>10247</v>
      </c>
      <c r="B10166" t="s">
        <v>15</v>
      </c>
      <c r="C10166" s="2">
        <v>44058</v>
      </c>
      <c r="D10166" t="s">
        <v>26</v>
      </c>
      <c r="E10166">
        <v>1940</v>
      </c>
    </row>
    <row r="10167" spans="1:5" x14ac:dyDescent="0.55000000000000004">
      <c r="A10167" t="s">
        <v>10248</v>
      </c>
      <c r="B10167" t="s">
        <v>118</v>
      </c>
      <c r="C10167" s="2">
        <v>43543</v>
      </c>
      <c r="D10167" t="s">
        <v>29</v>
      </c>
      <c r="E10167">
        <v>2290</v>
      </c>
    </row>
    <row r="10168" spans="1:5" x14ac:dyDescent="0.55000000000000004">
      <c r="A10168" t="s">
        <v>10249</v>
      </c>
      <c r="B10168" t="s">
        <v>41</v>
      </c>
      <c r="C10168" s="2">
        <v>44292</v>
      </c>
      <c r="D10168" t="s">
        <v>29</v>
      </c>
      <c r="E10168">
        <v>1033</v>
      </c>
    </row>
    <row r="10169" spans="1:5" x14ac:dyDescent="0.55000000000000004">
      <c r="A10169" t="s">
        <v>10250</v>
      </c>
      <c r="B10169" t="s">
        <v>35</v>
      </c>
      <c r="C10169" s="2">
        <v>44914</v>
      </c>
      <c r="D10169" t="s">
        <v>26</v>
      </c>
      <c r="E10169">
        <v>340</v>
      </c>
    </row>
    <row r="10170" spans="1:5" x14ac:dyDescent="0.55000000000000004">
      <c r="A10170" t="s">
        <v>10251</v>
      </c>
      <c r="B10170" t="s">
        <v>41</v>
      </c>
      <c r="C10170" s="2">
        <v>44672</v>
      </c>
      <c r="D10170" t="s">
        <v>29</v>
      </c>
      <c r="E10170">
        <v>2373</v>
      </c>
    </row>
    <row r="10171" spans="1:5" x14ac:dyDescent="0.55000000000000004">
      <c r="A10171" t="s">
        <v>10252</v>
      </c>
      <c r="B10171" t="s">
        <v>86</v>
      </c>
      <c r="C10171" s="2">
        <v>43657</v>
      </c>
      <c r="D10171" t="s">
        <v>29</v>
      </c>
      <c r="E10171">
        <v>2345</v>
      </c>
    </row>
    <row r="10172" spans="1:5" x14ac:dyDescent="0.55000000000000004">
      <c r="A10172" t="s">
        <v>10253</v>
      </c>
      <c r="B10172" t="s">
        <v>84</v>
      </c>
      <c r="C10172" s="2">
        <v>43258</v>
      </c>
      <c r="D10172" t="s">
        <v>26</v>
      </c>
      <c r="E10172">
        <v>2550</v>
      </c>
    </row>
    <row r="10173" spans="1:5" x14ac:dyDescent="0.55000000000000004">
      <c r="A10173" t="s">
        <v>10254</v>
      </c>
      <c r="B10173" t="s">
        <v>63</v>
      </c>
      <c r="C10173" s="2">
        <v>43940</v>
      </c>
      <c r="D10173" t="s">
        <v>26</v>
      </c>
      <c r="E10173">
        <v>427</v>
      </c>
    </row>
    <row r="10174" spans="1:5" x14ac:dyDescent="0.55000000000000004">
      <c r="A10174" t="s">
        <v>10255</v>
      </c>
      <c r="B10174" t="s">
        <v>151</v>
      </c>
      <c r="C10174" s="2">
        <v>44479</v>
      </c>
      <c r="D10174" t="s">
        <v>29</v>
      </c>
      <c r="E10174">
        <v>792</v>
      </c>
    </row>
    <row r="10175" spans="1:5" x14ac:dyDescent="0.55000000000000004">
      <c r="A10175" t="s">
        <v>10256</v>
      </c>
      <c r="B10175" t="s">
        <v>41</v>
      </c>
      <c r="C10175" s="2">
        <v>44637</v>
      </c>
      <c r="D10175" t="s">
        <v>29</v>
      </c>
      <c r="E10175">
        <v>2360</v>
      </c>
    </row>
    <row r="10176" spans="1:5" x14ac:dyDescent="0.55000000000000004">
      <c r="A10176" t="s">
        <v>10257</v>
      </c>
      <c r="B10176" t="s">
        <v>96</v>
      </c>
      <c r="C10176" s="2">
        <v>44192</v>
      </c>
      <c r="D10176" t="s">
        <v>29</v>
      </c>
      <c r="E10176">
        <v>1637</v>
      </c>
    </row>
    <row r="10177" spans="1:5" x14ac:dyDescent="0.55000000000000004">
      <c r="A10177" t="s">
        <v>10258</v>
      </c>
      <c r="B10177" t="s">
        <v>15</v>
      </c>
      <c r="C10177" s="2">
        <v>43792</v>
      </c>
      <c r="D10177" t="s">
        <v>29</v>
      </c>
      <c r="E10177">
        <v>1950</v>
      </c>
    </row>
    <row r="10178" spans="1:5" x14ac:dyDescent="0.55000000000000004">
      <c r="A10178" t="s">
        <v>10259</v>
      </c>
      <c r="B10178" t="s">
        <v>96</v>
      </c>
      <c r="C10178" s="2">
        <v>44965</v>
      </c>
      <c r="D10178" t="s">
        <v>26</v>
      </c>
      <c r="E10178">
        <v>1478</v>
      </c>
    </row>
    <row r="10179" spans="1:5" x14ac:dyDescent="0.55000000000000004">
      <c r="A10179" t="s">
        <v>10260</v>
      </c>
      <c r="B10179" t="s">
        <v>137</v>
      </c>
      <c r="C10179" s="2">
        <v>45755</v>
      </c>
      <c r="D10179" t="s">
        <v>29</v>
      </c>
      <c r="E10179">
        <v>294</v>
      </c>
    </row>
    <row r="10180" spans="1:5" x14ac:dyDescent="0.55000000000000004">
      <c r="A10180" t="s">
        <v>10261</v>
      </c>
      <c r="B10180" t="s">
        <v>151</v>
      </c>
      <c r="C10180" s="2">
        <v>44505</v>
      </c>
      <c r="D10180" t="s">
        <v>29</v>
      </c>
      <c r="E10180">
        <v>365</v>
      </c>
    </row>
    <row r="10181" spans="1:5" x14ac:dyDescent="0.55000000000000004">
      <c r="A10181" t="s">
        <v>10262</v>
      </c>
      <c r="B10181" t="s">
        <v>96</v>
      </c>
      <c r="C10181" s="2">
        <v>44518</v>
      </c>
      <c r="D10181" t="s">
        <v>26</v>
      </c>
      <c r="E10181">
        <v>2395</v>
      </c>
    </row>
    <row r="10182" spans="1:5" x14ac:dyDescent="0.55000000000000004">
      <c r="A10182" t="s">
        <v>10263</v>
      </c>
      <c r="B10182" t="s">
        <v>86</v>
      </c>
      <c r="C10182" s="2">
        <v>43367</v>
      </c>
      <c r="D10182" t="s">
        <v>26</v>
      </c>
      <c r="E10182">
        <v>2243</v>
      </c>
    </row>
    <row r="10183" spans="1:5" x14ac:dyDescent="0.55000000000000004">
      <c r="A10183" t="s">
        <v>10264</v>
      </c>
      <c r="B10183" t="s">
        <v>35</v>
      </c>
      <c r="C10183" s="2">
        <v>44440</v>
      </c>
      <c r="D10183" t="s">
        <v>26</v>
      </c>
      <c r="E10183">
        <v>1770</v>
      </c>
    </row>
    <row r="10184" spans="1:5" x14ac:dyDescent="0.55000000000000004">
      <c r="A10184" t="s">
        <v>10265</v>
      </c>
      <c r="B10184" t="s">
        <v>137</v>
      </c>
      <c r="C10184" s="2">
        <v>45478</v>
      </c>
      <c r="D10184" t="s">
        <v>26</v>
      </c>
      <c r="E10184">
        <v>786</v>
      </c>
    </row>
    <row r="10185" spans="1:5" x14ac:dyDescent="0.55000000000000004">
      <c r="A10185" t="s">
        <v>10266</v>
      </c>
      <c r="B10185" t="s">
        <v>151</v>
      </c>
      <c r="C10185" s="2">
        <v>44161</v>
      </c>
      <c r="D10185" t="s">
        <v>26</v>
      </c>
      <c r="E10185">
        <v>2783</v>
      </c>
    </row>
    <row r="10186" spans="1:5" x14ac:dyDescent="0.55000000000000004">
      <c r="A10186" t="s">
        <v>10267</v>
      </c>
      <c r="B10186" t="s">
        <v>137</v>
      </c>
      <c r="C10186" s="2">
        <v>45473</v>
      </c>
      <c r="D10186" t="s">
        <v>29</v>
      </c>
      <c r="E10186">
        <v>470</v>
      </c>
    </row>
    <row r="10187" spans="1:5" x14ac:dyDescent="0.55000000000000004">
      <c r="A10187" t="s">
        <v>10268</v>
      </c>
      <c r="B10187" t="s">
        <v>86</v>
      </c>
      <c r="C10187" s="2">
        <v>42973</v>
      </c>
      <c r="D10187" t="s">
        <v>26</v>
      </c>
      <c r="E10187">
        <v>384</v>
      </c>
    </row>
    <row r="10188" spans="1:5" x14ac:dyDescent="0.55000000000000004">
      <c r="A10188" t="s">
        <v>10269</v>
      </c>
      <c r="B10188" t="s">
        <v>74</v>
      </c>
      <c r="C10188" s="2">
        <v>43084</v>
      </c>
      <c r="D10188" t="s">
        <v>26</v>
      </c>
      <c r="E10188">
        <v>2497</v>
      </c>
    </row>
    <row r="10189" spans="1:5" x14ac:dyDescent="0.55000000000000004">
      <c r="A10189" t="s">
        <v>10270</v>
      </c>
      <c r="B10189" t="s">
        <v>115</v>
      </c>
      <c r="C10189" s="2">
        <v>43601</v>
      </c>
      <c r="D10189" t="s">
        <v>29</v>
      </c>
      <c r="E10189">
        <v>2153</v>
      </c>
    </row>
    <row r="10190" spans="1:5" x14ac:dyDescent="0.55000000000000004">
      <c r="A10190" t="s">
        <v>10271</v>
      </c>
      <c r="B10190" t="s">
        <v>14</v>
      </c>
      <c r="C10190" s="2">
        <v>43547</v>
      </c>
      <c r="D10190" t="s">
        <v>29</v>
      </c>
      <c r="E10190">
        <v>751</v>
      </c>
    </row>
    <row r="10191" spans="1:5" x14ac:dyDescent="0.55000000000000004">
      <c r="A10191" t="s">
        <v>10272</v>
      </c>
      <c r="B10191" t="s">
        <v>78</v>
      </c>
      <c r="C10191" s="2">
        <v>44280</v>
      </c>
      <c r="D10191" t="s">
        <v>29</v>
      </c>
      <c r="E10191">
        <v>1028</v>
      </c>
    </row>
    <row r="10192" spans="1:5" x14ac:dyDescent="0.55000000000000004">
      <c r="A10192" t="s">
        <v>10273</v>
      </c>
      <c r="B10192" t="s">
        <v>96</v>
      </c>
      <c r="C10192" s="2">
        <v>44106</v>
      </c>
      <c r="D10192" t="s">
        <v>26</v>
      </c>
      <c r="E10192">
        <v>1071</v>
      </c>
    </row>
    <row r="10193" spans="1:5" x14ac:dyDescent="0.55000000000000004">
      <c r="A10193" t="s">
        <v>10274</v>
      </c>
      <c r="B10193" t="s">
        <v>23</v>
      </c>
      <c r="C10193" s="2">
        <v>43857</v>
      </c>
      <c r="D10193" t="s">
        <v>26</v>
      </c>
      <c r="E10193">
        <v>10</v>
      </c>
    </row>
    <row r="10194" spans="1:5" x14ac:dyDescent="0.55000000000000004">
      <c r="A10194" t="s">
        <v>10275</v>
      </c>
      <c r="B10194" t="s">
        <v>76</v>
      </c>
      <c r="C10194" s="2">
        <v>45614</v>
      </c>
      <c r="D10194" t="s">
        <v>29</v>
      </c>
      <c r="E10194">
        <v>398</v>
      </c>
    </row>
    <row r="10195" spans="1:5" x14ac:dyDescent="0.55000000000000004">
      <c r="A10195" t="s">
        <v>10276</v>
      </c>
      <c r="B10195" t="s">
        <v>137</v>
      </c>
      <c r="C10195" s="2">
        <v>45040</v>
      </c>
      <c r="D10195" t="s">
        <v>29</v>
      </c>
      <c r="E10195">
        <v>1885</v>
      </c>
    </row>
    <row r="10196" spans="1:5" x14ac:dyDescent="0.55000000000000004">
      <c r="A10196" t="s">
        <v>10277</v>
      </c>
      <c r="B10196" t="s">
        <v>41</v>
      </c>
      <c r="C10196" s="2">
        <v>43868</v>
      </c>
      <c r="D10196" t="s">
        <v>29</v>
      </c>
      <c r="E10196">
        <v>2575</v>
      </c>
    </row>
    <row r="10197" spans="1:5" x14ac:dyDescent="0.55000000000000004">
      <c r="A10197" t="s">
        <v>10278</v>
      </c>
      <c r="B10197" t="s">
        <v>137</v>
      </c>
      <c r="C10197" s="2">
        <v>45803</v>
      </c>
      <c r="D10197" t="s">
        <v>26</v>
      </c>
      <c r="E10197">
        <v>1403</v>
      </c>
    </row>
    <row r="10198" spans="1:5" x14ac:dyDescent="0.55000000000000004">
      <c r="A10198" t="s">
        <v>10279</v>
      </c>
      <c r="B10198" t="s">
        <v>94</v>
      </c>
      <c r="C10198" s="2">
        <v>45437</v>
      </c>
      <c r="D10198" t="s">
        <v>26</v>
      </c>
      <c r="E10198">
        <v>2172</v>
      </c>
    </row>
    <row r="10199" spans="1:5" x14ac:dyDescent="0.55000000000000004">
      <c r="A10199" t="s">
        <v>10280</v>
      </c>
      <c r="B10199" t="s">
        <v>38</v>
      </c>
      <c r="C10199" s="2">
        <v>43885</v>
      </c>
      <c r="D10199" t="s">
        <v>29</v>
      </c>
      <c r="E10199">
        <v>1860</v>
      </c>
    </row>
    <row r="10200" spans="1:5" x14ac:dyDescent="0.55000000000000004">
      <c r="A10200" t="s">
        <v>10281</v>
      </c>
      <c r="B10200" t="s">
        <v>32</v>
      </c>
      <c r="C10200" s="2">
        <v>44611</v>
      </c>
      <c r="D10200" t="s">
        <v>29</v>
      </c>
      <c r="E10200">
        <v>2729</v>
      </c>
    </row>
    <row r="10201" spans="1:5" x14ac:dyDescent="0.55000000000000004">
      <c r="A10201" t="s">
        <v>10282</v>
      </c>
      <c r="B10201" t="s">
        <v>63</v>
      </c>
      <c r="C10201" s="2">
        <v>43709</v>
      </c>
      <c r="D10201" t="s">
        <v>29</v>
      </c>
      <c r="E10201">
        <v>743</v>
      </c>
    </row>
    <row r="10202" spans="1:5" x14ac:dyDescent="0.55000000000000004">
      <c r="A10202" t="s">
        <v>10283</v>
      </c>
      <c r="B10202" t="s">
        <v>142</v>
      </c>
      <c r="C10202" s="2">
        <v>44113</v>
      </c>
      <c r="D10202" t="s">
        <v>29</v>
      </c>
      <c r="E10202">
        <v>484</v>
      </c>
    </row>
    <row r="10203" spans="1:5" x14ac:dyDescent="0.55000000000000004">
      <c r="A10203" t="s">
        <v>10284</v>
      </c>
      <c r="B10203" t="s">
        <v>142</v>
      </c>
      <c r="C10203" s="2">
        <v>44557</v>
      </c>
      <c r="D10203" t="s">
        <v>26</v>
      </c>
      <c r="E10203">
        <v>793</v>
      </c>
    </row>
    <row r="10204" spans="1:5" x14ac:dyDescent="0.55000000000000004">
      <c r="A10204" t="s">
        <v>10285</v>
      </c>
      <c r="B10204" t="s">
        <v>15</v>
      </c>
      <c r="C10204" s="2">
        <v>43288</v>
      </c>
      <c r="D10204" t="s">
        <v>29</v>
      </c>
      <c r="E10204">
        <v>1251</v>
      </c>
    </row>
    <row r="10205" spans="1:5" x14ac:dyDescent="0.55000000000000004">
      <c r="A10205" t="s">
        <v>10286</v>
      </c>
      <c r="B10205" t="s">
        <v>63</v>
      </c>
      <c r="C10205" s="2">
        <v>44298</v>
      </c>
      <c r="D10205" t="s">
        <v>26</v>
      </c>
      <c r="E10205">
        <v>234</v>
      </c>
    </row>
    <row r="10206" spans="1:5" x14ac:dyDescent="0.55000000000000004">
      <c r="A10206" t="s">
        <v>10287</v>
      </c>
      <c r="B10206" t="s">
        <v>86</v>
      </c>
      <c r="C10206" s="2">
        <v>43959</v>
      </c>
      <c r="D10206" t="s">
        <v>29</v>
      </c>
      <c r="E10206">
        <v>2324</v>
      </c>
    </row>
    <row r="10207" spans="1:5" x14ac:dyDescent="0.55000000000000004">
      <c r="A10207" t="s">
        <v>10288</v>
      </c>
      <c r="B10207" t="s">
        <v>23</v>
      </c>
      <c r="C10207" s="2">
        <v>44729</v>
      </c>
      <c r="D10207" t="s">
        <v>26</v>
      </c>
      <c r="E10207">
        <v>1093</v>
      </c>
    </row>
    <row r="10208" spans="1:5" x14ac:dyDescent="0.55000000000000004">
      <c r="A10208" t="s">
        <v>10289</v>
      </c>
      <c r="B10208" t="s">
        <v>86</v>
      </c>
      <c r="C10208" s="2">
        <v>44187</v>
      </c>
      <c r="D10208" t="s">
        <v>29</v>
      </c>
      <c r="E10208">
        <v>424</v>
      </c>
    </row>
    <row r="10209" spans="1:5" x14ac:dyDescent="0.55000000000000004">
      <c r="A10209" t="s">
        <v>10290</v>
      </c>
      <c r="B10209" t="s">
        <v>38</v>
      </c>
      <c r="C10209" s="2">
        <v>44576</v>
      </c>
      <c r="D10209" t="s">
        <v>29</v>
      </c>
      <c r="E10209">
        <v>2793</v>
      </c>
    </row>
    <row r="10210" spans="1:5" x14ac:dyDescent="0.55000000000000004">
      <c r="A10210" t="s">
        <v>10291</v>
      </c>
      <c r="B10210" t="s">
        <v>15</v>
      </c>
      <c r="C10210" s="2">
        <v>44182</v>
      </c>
      <c r="D10210" t="s">
        <v>26</v>
      </c>
      <c r="E10210">
        <v>642</v>
      </c>
    </row>
    <row r="10211" spans="1:5" x14ac:dyDescent="0.55000000000000004">
      <c r="A10211" t="s">
        <v>10292</v>
      </c>
      <c r="B10211" t="s">
        <v>118</v>
      </c>
      <c r="C10211" s="2">
        <v>45468</v>
      </c>
      <c r="D10211" t="s">
        <v>29</v>
      </c>
      <c r="E10211">
        <v>29</v>
      </c>
    </row>
    <row r="10212" spans="1:5" x14ac:dyDescent="0.55000000000000004">
      <c r="A10212" t="s">
        <v>10293</v>
      </c>
      <c r="B10212" t="s">
        <v>115</v>
      </c>
      <c r="C10212" s="2">
        <v>43153</v>
      </c>
      <c r="D10212" t="s">
        <v>29</v>
      </c>
      <c r="E10212">
        <v>1262</v>
      </c>
    </row>
    <row r="10213" spans="1:5" x14ac:dyDescent="0.55000000000000004">
      <c r="A10213" t="s">
        <v>10294</v>
      </c>
      <c r="B10213" t="s">
        <v>38</v>
      </c>
      <c r="C10213" s="2">
        <v>44027</v>
      </c>
      <c r="D10213" t="s">
        <v>29</v>
      </c>
      <c r="E10213">
        <v>2768</v>
      </c>
    </row>
    <row r="10214" spans="1:5" x14ac:dyDescent="0.55000000000000004">
      <c r="A10214" t="s">
        <v>10295</v>
      </c>
      <c r="B10214" t="s">
        <v>96</v>
      </c>
      <c r="C10214" s="2">
        <v>44308</v>
      </c>
      <c r="D10214" t="s">
        <v>26</v>
      </c>
      <c r="E10214">
        <v>2990</v>
      </c>
    </row>
    <row r="10215" spans="1:5" x14ac:dyDescent="0.55000000000000004">
      <c r="A10215" t="s">
        <v>10296</v>
      </c>
      <c r="B10215" t="s">
        <v>175</v>
      </c>
      <c r="C10215" s="2">
        <v>45160</v>
      </c>
      <c r="D10215" t="s">
        <v>26</v>
      </c>
      <c r="E10215">
        <v>2401</v>
      </c>
    </row>
    <row r="10216" spans="1:5" x14ac:dyDescent="0.55000000000000004">
      <c r="A10216" t="s">
        <v>10297</v>
      </c>
      <c r="B10216" t="s">
        <v>140</v>
      </c>
      <c r="C10216" s="2">
        <v>43957</v>
      </c>
      <c r="D10216" t="s">
        <v>29</v>
      </c>
      <c r="E10216">
        <v>1664</v>
      </c>
    </row>
    <row r="10217" spans="1:5" x14ac:dyDescent="0.55000000000000004">
      <c r="A10217" t="s">
        <v>10298</v>
      </c>
      <c r="B10217" t="s">
        <v>67</v>
      </c>
      <c r="C10217" s="2">
        <v>45726</v>
      </c>
      <c r="D10217" t="s">
        <v>29</v>
      </c>
      <c r="E10217">
        <v>257</v>
      </c>
    </row>
    <row r="10218" spans="1:5" x14ac:dyDescent="0.55000000000000004">
      <c r="A10218" t="s">
        <v>10299</v>
      </c>
      <c r="B10218" t="s">
        <v>142</v>
      </c>
      <c r="C10218" s="2">
        <v>44465</v>
      </c>
      <c r="D10218" t="s">
        <v>29</v>
      </c>
      <c r="E10218">
        <v>2758</v>
      </c>
    </row>
    <row r="10219" spans="1:5" x14ac:dyDescent="0.55000000000000004">
      <c r="A10219" t="s">
        <v>10300</v>
      </c>
      <c r="B10219" t="s">
        <v>32</v>
      </c>
      <c r="C10219" s="2">
        <v>44802</v>
      </c>
      <c r="D10219" t="s">
        <v>26</v>
      </c>
      <c r="E10219">
        <v>1420</v>
      </c>
    </row>
    <row r="10220" spans="1:5" x14ac:dyDescent="0.55000000000000004">
      <c r="A10220" t="s">
        <v>10301</v>
      </c>
      <c r="B10220" t="s">
        <v>67</v>
      </c>
      <c r="C10220" s="2">
        <v>45016</v>
      </c>
      <c r="D10220" t="s">
        <v>29</v>
      </c>
      <c r="E10220">
        <v>2421</v>
      </c>
    </row>
    <row r="10221" spans="1:5" x14ac:dyDescent="0.55000000000000004">
      <c r="A10221" t="s">
        <v>10302</v>
      </c>
      <c r="B10221" t="s">
        <v>156</v>
      </c>
      <c r="C10221" s="2">
        <v>43352</v>
      </c>
      <c r="D10221" t="s">
        <v>26</v>
      </c>
      <c r="E10221">
        <v>1682</v>
      </c>
    </row>
    <row r="10222" spans="1:5" x14ac:dyDescent="0.55000000000000004">
      <c r="A10222" t="s">
        <v>10303</v>
      </c>
      <c r="B10222" t="s">
        <v>84</v>
      </c>
      <c r="C10222" s="2">
        <v>43473</v>
      </c>
      <c r="D10222" t="s">
        <v>29</v>
      </c>
      <c r="E10222">
        <v>209</v>
      </c>
    </row>
    <row r="10223" spans="1:5" x14ac:dyDescent="0.55000000000000004">
      <c r="A10223" t="s">
        <v>10304</v>
      </c>
      <c r="B10223" t="s">
        <v>105</v>
      </c>
      <c r="C10223" s="2">
        <v>43700</v>
      </c>
      <c r="D10223" t="s">
        <v>26</v>
      </c>
      <c r="E10223">
        <v>615</v>
      </c>
    </row>
    <row r="10224" spans="1:5" x14ac:dyDescent="0.55000000000000004">
      <c r="A10224" t="s">
        <v>10305</v>
      </c>
      <c r="B10224" t="s">
        <v>96</v>
      </c>
      <c r="C10224" s="2">
        <v>45086</v>
      </c>
      <c r="D10224" t="s">
        <v>29</v>
      </c>
      <c r="E10224">
        <v>2694</v>
      </c>
    </row>
    <row r="10225" spans="1:5" x14ac:dyDescent="0.55000000000000004">
      <c r="A10225" t="s">
        <v>10306</v>
      </c>
      <c r="B10225" t="s">
        <v>140</v>
      </c>
      <c r="C10225" s="2">
        <v>44559</v>
      </c>
      <c r="D10225" t="s">
        <v>29</v>
      </c>
      <c r="E10225">
        <v>2435</v>
      </c>
    </row>
    <row r="10226" spans="1:5" x14ac:dyDescent="0.55000000000000004">
      <c r="A10226" t="s">
        <v>10307</v>
      </c>
      <c r="B10226" t="s">
        <v>101</v>
      </c>
      <c r="C10226" s="2">
        <v>44552</v>
      </c>
      <c r="D10226" t="s">
        <v>29</v>
      </c>
      <c r="E10226">
        <v>1371</v>
      </c>
    </row>
    <row r="10227" spans="1:5" x14ac:dyDescent="0.55000000000000004">
      <c r="A10227" t="s">
        <v>10308</v>
      </c>
      <c r="B10227" t="s">
        <v>67</v>
      </c>
      <c r="C10227" s="2">
        <v>45286</v>
      </c>
      <c r="D10227" t="s">
        <v>29</v>
      </c>
      <c r="E10227">
        <v>1577</v>
      </c>
    </row>
    <row r="10228" spans="1:5" x14ac:dyDescent="0.55000000000000004">
      <c r="A10228" t="s">
        <v>10309</v>
      </c>
      <c r="B10228" t="s">
        <v>32</v>
      </c>
      <c r="C10228" s="2">
        <v>44362</v>
      </c>
      <c r="D10228" t="s">
        <v>29</v>
      </c>
      <c r="E10228">
        <v>1812</v>
      </c>
    </row>
    <row r="10229" spans="1:5" x14ac:dyDescent="0.55000000000000004">
      <c r="A10229" t="s">
        <v>10310</v>
      </c>
      <c r="B10229" t="s">
        <v>78</v>
      </c>
      <c r="C10229" s="2">
        <v>43786</v>
      </c>
      <c r="D10229" t="s">
        <v>29</v>
      </c>
      <c r="E10229">
        <v>1448</v>
      </c>
    </row>
    <row r="10230" spans="1:5" x14ac:dyDescent="0.55000000000000004">
      <c r="A10230" t="s">
        <v>10311</v>
      </c>
      <c r="B10230" t="s">
        <v>175</v>
      </c>
      <c r="C10230" s="2">
        <v>44443</v>
      </c>
      <c r="D10230" t="s">
        <v>29</v>
      </c>
      <c r="E10230">
        <v>1815</v>
      </c>
    </row>
    <row r="10231" spans="1:5" x14ac:dyDescent="0.55000000000000004">
      <c r="A10231" t="s">
        <v>10312</v>
      </c>
      <c r="B10231" t="s">
        <v>84</v>
      </c>
      <c r="C10231" s="2">
        <v>43571</v>
      </c>
      <c r="D10231" t="s">
        <v>26</v>
      </c>
      <c r="E10231">
        <v>2936</v>
      </c>
    </row>
    <row r="10232" spans="1:5" x14ac:dyDescent="0.55000000000000004">
      <c r="A10232" t="s">
        <v>10313</v>
      </c>
      <c r="B10232" t="s">
        <v>35</v>
      </c>
      <c r="C10232" s="2">
        <v>44096</v>
      </c>
      <c r="D10232" t="s">
        <v>29</v>
      </c>
      <c r="E10232">
        <v>96</v>
      </c>
    </row>
    <row r="10233" spans="1:5" x14ac:dyDescent="0.55000000000000004">
      <c r="A10233" t="s">
        <v>10314</v>
      </c>
      <c r="B10233" t="s">
        <v>118</v>
      </c>
      <c r="C10233" s="2">
        <v>44959</v>
      </c>
      <c r="D10233" t="s">
        <v>26</v>
      </c>
      <c r="E10233">
        <v>1813</v>
      </c>
    </row>
    <row r="10234" spans="1:5" x14ac:dyDescent="0.55000000000000004">
      <c r="A10234" t="s">
        <v>10315</v>
      </c>
      <c r="B10234" t="s">
        <v>96</v>
      </c>
      <c r="C10234" s="2">
        <v>44160</v>
      </c>
      <c r="D10234" t="s">
        <v>26</v>
      </c>
      <c r="E10234">
        <v>2290</v>
      </c>
    </row>
    <row r="10235" spans="1:5" x14ac:dyDescent="0.55000000000000004">
      <c r="A10235" t="s">
        <v>10316</v>
      </c>
      <c r="B10235" t="s">
        <v>78</v>
      </c>
      <c r="C10235" s="2">
        <v>44583</v>
      </c>
      <c r="D10235" t="s">
        <v>29</v>
      </c>
      <c r="E10235">
        <v>1289</v>
      </c>
    </row>
    <row r="10236" spans="1:5" x14ac:dyDescent="0.55000000000000004">
      <c r="A10236" t="s">
        <v>10317</v>
      </c>
      <c r="B10236" t="s">
        <v>94</v>
      </c>
      <c r="C10236" s="2">
        <v>44395</v>
      </c>
      <c r="D10236" t="s">
        <v>29</v>
      </c>
      <c r="E10236">
        <v>1363</v>
      </c>
    </row>
    <row r="10237" spans="1:5" x14ac:dyDescent="0.55000000000000004">
      <c r="A10237" t="s">
        <v>10318</v>
      </c>
      <c r="B10237" t="s">
        <v>94</v>
      </c>
      <c r="C10237" s="2">
        <v>43576</v>
      </c>
      <c r="D10237" t="s">
        <v>26</v>
      </c>
      <c r="E10237">
        <v>1806</v>
      </c>
    </row>
    <row r="10238" spans="1:5" x14ac:dyDescent="0.55000000000000004">
      <c r="A10238" t="s">
        <v>10319</v>
      </c>
      <c r="B10238" t="s">
        <v>137</v>
      </c>
      <c r="C10238" s="2">
        <v>44897</v>
      </c>
      <c r="D10238" t="s">
        <v>29</v>
      </c>
      <c r="E10238">
        <v>2269</v>
      </c>
    </row>
    <row r="10239" spans="1:5" x14ac:dyDescent="0.55000000000000004">
      <c r="A10239" t="s">
        <v>10320</v>
      </c>
      <c r="B10239" t="s">
        <v>76</v>
      </c>
      <c r="C10239" s="2">
        <v>43599</v>
      </c>
      <c r="D10239" t="s">
        <v>29</v>
      </c>
      <c r="E10239">
        <v>2150</v>
      </c>
    </row>
    <row r="10240" spans="1:5" x14ac:dyDescent="0.55000000000000004">
      <c r="A10240" t="s">
        <v>10321</v>
      </c>
      <c r="B10240" t="s">
        <v>14</v>
      </c>
      <c r="C10240" s="2">
        <v>43684</v>
      </c>
      <c r="D10240" t="s">
        <v>26</v>
      </c>
      <c r="E10240">
        <v>2179</v>
      </c>
    </row>
    <row r="10241" spans="1:5" x14ac:dyDescent="0.55000000000000004">
      <c r="A10241" t="s">
        <v>10322</v>
      </c>
      <c r="B10241" t="s">
        <v>151</v>
      </c>
      <c r="C10241" s="2">
        <v>43323</v>
      </c>
      <c r="D10241" t="s">
        <v>29</v>
      </c>
      <c r="E10241">
        <v>1650</v>
      </c>
    </row>
    <row r="10242" spans="1:5" x14ac:dyDescent="0.55000000000000004">
      <c r="A10242" t="s">
        <v>10323</v>
      </c>
      <c r="B10242" t="s">
        <v>23</v>
      </c>
      <c r="C10242" s="2">
        <v>44217</v>
      </c>
      <c r="D10242" t="s">
        <v>26</v>
      </c>
      <c r="E10242">
        <v>2955</v>
      </c>
    </row>
    <row r="10243" spans="1:5" x14ac:dyDescent="0.55000000000000004">
      <c r="A10243" t="s">
        <v>10324</v>
      </c>
      <c r="B10243" t="s">
        <v>32</v>
      </c>
      <c r="C10243" s="2">
        <v>44078</v>
      </c>
      <c r="D10243" t="s">
        <v>26</v>
      </c>
      <c r="E10243">
        <v>1667</v>
      </c>
    </row>
    <row r="10244" spans="1:5" x14ac:dyDescent="0.55000000000000004">
      <c r="A10244" t="s">
        <v>10325</v>
      </c>
      <c r="B10244" t="s">
        <v>32</v>
      </c>
      <c r="C10244" s="2">
        <v>44608</v>
      </c>
      <c r="D10244" t="s">
        <v>29</v>
      </c>
      <c r="E10244">
        <v>2149</v>
      </c>
    </row>
    <row r="10245" spans="1:5" x14ac:dyDescent="0.55000000000000004">
      <c r="A10245" t="s">
        <v>10326</v>
      </c>
      <c r="B10245" t="s">
        <v>142</v>
      </c>
      <c r="C10245" s="2">
        <v>44343</v>
      </c>
      <c r="D10245" t="s">
        <v>29</v>
      </c>
      <c r="E10245">
        <v>119</v>
      </c>
    </row>
    <row r="10246" spans="1:5" x14ac:dyDescent="0.55000000000000004">
      <c r="A10246" t="s">
        <v>10327</v>
      </c>
      <c r="B10246" t="s">
        <v>96</v>
      </c>
      <c r="C10246" s="2">
        <v>44372</v>
      </c>
      <c r="D10246" t="s">
        <v>29</v>
      </c>
      <c r="E10246">
        <v>856</v>
      </c>
    </row>
    <row r="10247" spans="1:5" x14ac:dyDescent="0.55000000000000004">
      <c r="A10247" t="s">
        <v>10328</v>
      </c>
      <c r="B10247" t="s">
        <v>142</v>
      </c>
      <c r="C10247" s="2">
        <v>44561</v>
      </c>
      <c r="D10247" t="s">
        <v>29</v>
      </c>
      <c r="E10247">
        <v>357</v>
      </c>
    </row>
    <row r="10248" spans="1:5" x14ac:dyDescent="0.55000000000000004">
      <c r="A10248" t="s">
        <v>10329</v>
      </c>
      <c r="B10248" t="s">
        <v>86</v>
      </c>
      <c r="C10248" s="2">
        <v>42919</v>
      </c>
      <c r="D10248" t="s">
        <v>29</v>
      </c>
      <c r="E10248">
        <v>894</v>
      </c>
    </row>
    <row r="10249" spans="1:5" x14ac:dyDescent="0.55000000000000004">
      <c r="A10249" t="s">
        <v>10330</v>
      </c>
      <c r="B10249" t="s">
        <v>105</v>
      </c>
      <c r="C10249" s="2">
        <v>44363</v>
      </c>
      <c r="D10249" t="s">
        <v>29</v>
      </c>
      <c r="E10249">
        <v>120</v>
      </c>
    </row>
    <row r="10250" spans="1:5" x14ac:dyDescent="0.55000000000000004">
      <c r="A10250" t="s">
        <v>10331</v>
      </c>
      <c r="B10250" t="s">
        <v>111</v>
      </c>
      <c r="C10250" s="2">
        <v>43128</v>
      </c>
      <c r="D10250" t="s">
        <v>26</v>
      </c>
      <c r="E10250">
        <v>578</v>
      </c>
    </row>
    <row r="10251" spans="1:5" x14ac:dyDescent="0.55000000000000004">
      <c r="A10251" t="s">
        <v>10332</v>
      </c>
      <c r="B10251" t="s">
        <v>140</v>
      </c>
      <c r="C10251" s="2">
        <v>43656</v>
      </c>
      <c r="D10251" t="s">
        <v>26</v>
      </c>
      <c r="E10251">
        <v>2183</v>
      </c>
    </row>
    <row r="10252" spans="1:5" x14ac:dyDescent="0.55000000000000004">
      <c r="A10252" t="s">
        <v>10333</v>
      </c>
      <c r="B10252" t="s">
        <v>15</v>
      </c>
      <c r="C10252" s="2">
        <v>44210</v>
      </c>
      <c r="D10252" t="s">
        <v>29</v>
      </c>
      <c r="E10252">
        <v>843</v>
      </c>
    </row>
    <row r="10253" spans="1:5" x14ac:dyDescent="0.55000000000000004">
      <c r="A10253" t="s">
        <v>10334</v>
      </c>
      <c r="B10253" t="s">
        <v>151</v>
      </c>
      <c r="C10253" s="2">
        <v>43513</v>
      </c>
      <c r="D10253" t="s">
        <v>29</v>
      </c>
      <c r="E10253">
        <v>1913</v>
      </c>
    </row>
    <row r="10254" spans="1:5" x14ac:dyDescent="0.55000000000000004">
      <c r="A10254" t="s">
        <v>10335</v>
      </c>
      <c r="B10254" t="s">
        <v>84</v>
      </c>
      <c r="C10254" s="2">
        <v>44243</v>
      </c>
      <c r="D10254" t="s">
        <v>29</v>
      </c>
      <c r="E10254">
        <v>1091</v>
      </c>
    </row>
    <row r="10255" spans="1:5" x14ac:dyDescent="0.55000000000000004">
      <c r="A10255" t="s">
        <v>10336</v>
      </c>
      <c r="B10255" t="s">
        <v>41</v>
      </c>
      <c r="C10255" s="2">
        <v>44638</v>
      </c>
      <c r="D10255" t="s">
        <v>29</v>
      </c>
      <c r="E10255">
        <v>152</v>
      </c>
    </row>
    <row r="10256" spans="1:5" x14ac:dyDescent="0.55000000000000004">
      <c r="A10256" t="s">
        <v>10337</v>
      </c>
      <c r="B10256" t="s">
        <v>63</v>
      </c>
      <c r="C10256" s="2">
        <v>43364</v>
      </c>
      <c r="D10256" t="s">
        <v>26</v>
      </c>
      <c r="E10256">
        <v>1989</v>
      </c>
    </row>
    <row r="10257" spans="1:5" x14ac:dyDescent="0.55000000000000004">
      <c r="A10257" t="s">
        <v>10338</v>
      </c>
      <c r="B10257" t="s">
        <v>151</v>
      </c>
      <c r="C10257" s="2">
        <v>44522</v>
      </c>
      <c r="D10257" t="s">
        <v>29</v>
      </c>
      <c r="E10257">
        <v>1083</v>
      </c>
    </row>
    <row r="10258" spans="1:5" x14ac:dyDescent="0.55000000000000004">
      <c r="A10258" t="s">
        <v>10339</v>
      </c>
      <c r="B10258" t="s">
        <v>115</v>
      </c>
      <c r="C10258" s="2">
        <v>43604</v>
      </c>
      <c r="D10258" t="s">
        <v>26</v>
      </c>
      <c r="E10258">
        <v>219</v>
      </c>
    </row>
    <row r="10259" spans="1:5" x14ac:dyDescent="0.55000000000000004">
      <c r="A10259" t="s">
        <v>10340</v>
      </c>
      <c r="B10259" t="s">
        <v>41</v>
      </c>
      <c r="C10259" s="2">
        <v>44411</v>
      </c>
      <c r="D10259" t="s">
        <v>26</v>
      </c>
      <c r="E10259">
        <v>218</v>
      </c>
    </row>
    <row r="10260" spans="1:5" x14ac:dyDescent="0.55000000000000004">
      <c r="A10260" t="s">
        <v>10341</v>
      </c>
      <c r="B10260" t="s">
        <v>94</v>
      </c>
      <c r="C10260" s="2">
        <v>43829</v>
      </c>
      <c r="D10260" t="s">
        <v>26</v>
      </c>
      <c r="E10260">
        <v>733</v>
      </c>
    </row>
    <row r="10261" spans="1:5" x14ac:dyDescent="0.55000000000000004">
      <c r="A10261" t="s">
        <v>10342</v>
      </c>
      <c r="B10261" t="s">
        <v>35</v>
      </c>
      <c r="C10261" s="2">
        <v>44832</v>
      </c>
      <c r="D10261" t="s">
        <v>29</v>
      </c>
      <c r="E10261">
        <v>183</v>
      </c>
    </row>
    <row r="10262" spans="1:5" x14ac:dyDescent="0.55000000000000004">
      <c r="A10262" t="s">
        <v>10343</v>
      </c>
      <c r="B10262" t="s">
        <v>96</v>
      </c>
      <c r="C10262" s="2">
        <v>45650</v>
      </c>
      <c r="D10262" t="s">
        <v>26</v>
      </c>
      <c r="E10262">
        <v>2793</v>
      </c>
    </row>
    <row r="10263" spans="1:5" x14ac:dyDescent="0.55000000000000004">
      <c r="A10263" t="s">
        <v>10344</v>
      </c>
      <c r="B10263" t="s">
        <v>76</v>
      </c>
      <c r="C10263" s="2">
        <v>44809</v>
      </c>
      <c r="D10263" t="s">
        <v>26</v>
      </c>
      <c r="E10263">
        <v>1604</v>
      </c>
    </row>
    <row r="10264" spans="1:5" x14ac:dyDescent="0.55000000000000004">
      <c r="A10264" t="s">
        <v>10345</v>
      </c>
      <c r="B10264" t="s">
        <v>156</v>
      </c>
      <c r="C10264" s="2">
        <v>43977</v>
      </c>
      <c r="D10264" t="s">
        <v>29</v>
      </c>
      <c r="E10264">
        <v>2424</v>
      </c>
    </row>
    <row r="10265" spans="1:5" x14ac:dyDescent="0.55000000000000004">
      <c r="A10265" t="s">
        <v>10346</v>
      </c>
      <c r="B10265" t="s">
        <v>94</v>
      </c>
      <c r="C10265" s="2">
        <v>45356</v>
      </c>
      <c r="D10265" t="s">
        <v>29</v>
      </c>
      <c r="E10265">
        <v>2317</v>
      </c>
    </row>
    <row r="10266" spans="1:5" x14ac:dyDescent="0.55000000000000004">
      <c r="A10266" t="s">
        <v>10347</v>
      </c>
      <c r="B10266" t="s">
        <v>35</v>
      </c>
      <c r="C10266" s="2">
        <v>44792</v>
      </c>
      <c r="D10266" t="s">
        <v>26</v>
      </c>
      <c r="E10266">
        <v>2123</v>
      </c>
    </row>
    <row r="10267" spans="1:5" x14ac:dyDescent="0.55000000000000004">
      <c r="A10267" t="s">
        <v>10348</v>
      </c>
      <c r="B10267" t="s">
        <v>151</v>
      </c>
      <c r="C10267" s="2">
        <v>43400</v>
      </c>
      <c r="D10267" t="s">
        <v>26</v>
      </c>
      <c r="E10267">
        <v>1749</v>
      </c>
    </row>
    <row r="10268" spans="1:5" x14ac:dyDescent="0.55000000000000004">
      <c r="A10268" t="s">
        <v>10349</v>
      </c>
      <c r="B10268" t="s">
        <v>74</v>
      </c>
      <c r="C10268" s="2">
        <v>43456</v>
      </c>
      <c r="D10268" t="s">
        <v>29</v>
      </c>
      <c r="E10268">
        <v>880</v>
      </c>
    </row>
    <row r="10269" spans="1:5" x14ac:dyDescent="0.55000000000000004">
      <c r="A10269" t="s">
        <v>10350</v>
      </c>
      <c r="B10269" t="s">
        <v>94</v>
      </c>
      <c r="C10269" s="2">
        <v>44782</v>
      </c>
      <c r="D10269" t="s">
        <v>29</v>
      </c>
      <c r="E10269">
        <v>2684</v>
      </c>
    </row>
    <row r="10270" spans="1:5" x14ac:dyDescent="0.55000000000000004">
      <c r="A10270" t="s">
        <v>10351</v>
      </c>
      <c r="B10270" t="s">
        <v>86</v>
      </c>
      <c r="C10270" s="2">
        <v>43469</v>
      </c>
      <c r="D10270" t="s">
        <v>29</v>
      </c>
      <c r="E10270">
        <v>2163</v>
      </c>
    </row>
    <row r="10271" spans="1:5" x14ac:dyDescent="0.55000000000000004">
      <c r="A10271" t="s">
        <v>10352</v>
      </c>
      <c r="B10271" t="s">
        <v>23</v>
      </c>
      <c r="C10271" s="2">
        <v>44261</v>
      </c>
      <c r="D10271" t="s">
        <v>29</v>
      </c>
      <c r="E10271">
        <v>93</v>
      </c>
    </row>
    <row r="10272" spans="1:5" x14ac:dyDescent="0.55000000000000004">
      <c r="A10272" t="s">
        <v>10353</v>
      </c>
      <c r="B10272" t="s">
        <v>137</v>
      </c>
      <c r="C10272" s="2">
        <v>44874</v>
      </c>
      <c r="D10272" t="s">
        <v>26</v>
      </c>
      <c r="E10272">
        <v>1678</v>
      </c>
    </row>
    <row r="10273" spans="1:5" x14ac:dyDescent="0.55000000000000004">
      <c r="A10273" t="s">
        <v>10354</v>
      </c>
      <c r="B10273" t="s">
        <v>142</v>
      </c>
      <c r="C10273" s="2">
        <v>43297</v>
      </c>
      <c r="D10273" t="s">
        <v>29</v>
      </c>
      <c r="E10273">
        <v>118</v>
      </c>
    </row>
    <row r="10274" spans="1:5" x14ac:dyDescent="0.55000000000000004">
      <c r="A10274" t="s">
        <v>10355</v>
      </c>
      <c r="B10274" t="s">
        <v>78</v>
      </c>
      <c r="C10274" s="2">
        <v>45118</v>
      </c>
      <c r="D10274" t="s">
        <v>29</v>
      </c>
      <c r="E10274">
        <v>1368</v>
      </c>
    </row>
    <row r="10275" spans="1:5" x14ac:dyDescent="0.55000000000000004">
      <c r="A10275" t="s">
        <v>10356</v>
      </c>
      <c r="B10275" t="s">
        <v>140</v>
      </c>
      <c r="C10275" s="2">
        <v>44465</v>
      </c>
      <c r="D10275" t="s">
        <v>29</v>
      </c>
      <c r="E10275">
        <v>247</v>
      </c>
    </row>
    <row r="10276" spans="1:5" x14ac:dyDescent="0.55000000000000004">
      <c r="A10276" t="s">
        <v>10357</v>
      </c>
      <c r="B10276" t="s">
        <v>96</v>
      </c>
      <c r="C10276" s="2">
        <v>43814</v>
      </c>
      <c r="D10276" t="s">
        <v>26</v>
      </c>
      <c r="E10276">
        <v>655</v>
      </c>
    </row>
    <row r="10277" spans="1:5" x14ac:dyDescent="0.55000000000000004">
      <c r="A10277" t="s">
        <v>10358</v>
      </c>
      <c r="B10277" t="s">
        <v>32</v>
      </c>
      <c r="C10277" s="2">
        <v>44204</v>
      </c>
      <c r="D10277" t="s">
        <v>26</v>
      </c>
      <c r="E10277">
        <v>2944</v>
      </c>
    </row>
    <row r="10278" spans="1:5" x14ac:dyDescent="0.55000000000000004">
      <c r="A10278" t="s">
        <v>10359</v>
      </c>
      <c r="B10278" t="s">
        <v>101</v>
      </c>
      <c r="C10278" s="2">
        <v>43111</v>
      </c>
      <c r="D10278" t="s">
        <v>26</v>
      </c>
      <c r="E10278">
        <v>2334</v>
      </c>
    </row>
    <row r="10279" spans="1:5" x14ac:dyDescent="0.55000000000000004">
      <c r="A10279" t="s">
        <v>10360</v>
      </c>
      <c r="B10279" t="s">
        <v>115</v>
      </c>
      <c r="C10279" s="2">
        <v>43177</v>
      </c>
      <c r="D10279" t="s">
        <v>26</v>
      </c>
      <c r="E10279">
        <v>2015</v>
      </c>
    </row>
    <row r="10280" spans="1:5" x14ac:dyDescent="0.55000000000000004">
      <c r="A10280" t="s">
        <v>10361</v>
      </c>
      <c r="B10280" t="s">
        <v>15</v>
      </c>
      <c r="C10280" s="2">
        <v>43436</v>
      </c>
      <c r="D10280" t="s">
        <v>29</v>
      </c>
      <c r="E10280">
        <v>2450</v>
      </c>
    </row>
    <row r="10281" spans="1:5" x14ac:dyDescent="0.55000000000000004">
      <c r="A10281" t="s">
        <v>10362</v>
      </c>
      <c r="B10281" t="s">
        <v>35</v>
      </c>
      <c r="C10281" s="2">
        <v>44897</v>
      </c>
      <c r="D10281" t="s">
        <v>29</v>
      </c>
      <c r="E10281">
        <v>2753</v>
      </c>
    </row>
    <row r="10282" spans="1:5" x14ac:dyDescent="0.55000000000000004">
      <c r="A10282" t="s">
        <v>10363</v>
      </c>
      <c r="B10282" t="s">
        <v>115</v>
      </c>
      <c r="C10282" s="2">
        <v>44350</v>
      </c>
      <c r="D10282" t="s">
        <v>26</v>
      </c>
      <c r="E10282">
        <v>1017</v>
      </c>
    </row>
    <row r="10283" spans="1:5" x14ac:dyDescent="0.55000000000000004">
      <c r="A10283" t="s">
        <v>10364</v>
      </c>
      <c r="B10283" t="s">
        <v>96</v>
      </c>
      <c r="C10283" s="2">
        <v>45150</v>
      </c>
      <c r="D10283" t="s">
        <v>29</v>
      </c>
      <c r="E10283">
        <v>36</v>
      </c>
    </row>
    <row r="10284" spans="1:5" x14ac:dyDescent="0.55000000000000004">
      <c r="A10284" t="s">
        <v>10365</v>
      </c>
      <c r="B10284" t="s">
        <v>111</v>
      </c>
      <c r="C10284" s="2">
        <v>44337</v>
      </c>
      <c r="D10284" t="s">
        <v>26</v>
      </c>
      <c r="E10284">
        <v>2004</v>
      </c>
    </row>
    <row r="10285" spans="1:5" x14ac:dyDescent="0.55000000000000004">
      <c r="A10285" t="s">
        <v>10366</v>
      </c>
      <c r="B10285" t="s">
        <v>23</v>
      </c>
      <c r="C10285" s="2">
        <v>43966</v>
      </c>
      <c r="D10285" t="s">
        <v>26</v>
      </c>
      <c r="E10285">
        <v>2572</v>
      </c>
    </row>
    <row r="10286" spans="1:5" x14ac:dyDescent="0.55000000000000004">
      <c r="A10286" t="s">
        <v>10367</v>
      </c>
      <c r="B10286" t="s">
        <v>137</v>
      </c>
      <c r="C10286" s="2">
        <v>45122</v>
      </c>
      <c r="D10286" t="s">
        <v>29</v>
      </c>
      <c r="E10286">
        <v>487</v>
      </c>
    </row>
    <row r="10287" spans="1:5" x14ac:dyDescent="0.55000000000000004">
      <c r="A10287" t="s">
        <v>10368</v>
      </c>
      <c r="B10287" t="s">
        <v>94</v>
      </c>
      <c r="C10287" s="2">
        <v>43588</v>
      </c>
      <c r="D10287" t="s">
        <v>29</v>
      </c>
      <c r="E10287">
        <v>1094</v>
      </c>
    </row>
    <row r="10288" spans="1:5" x14ac:dyDescent="0.55000000000000004">
      <c r="A10288" t="s">
        <v>10369</v>
      </c>
      <c r="B10288" t="s">
        <v>142</v>
      </c>
      <c r="C10288" s="2">
        <v>43932</v>
      </c>
      <c r="D10288" t="s">
        <v>26</v>
      </c>
      <c r="E10288">
        <v>1863</v>
      </c>
    </row>
    <row r="10289" spans="1:5" x14ac:dyDescent="0.55000000000000004">
      <c r="A10289" t="s">
        <v>10370</v>
      </c>
      <c r="B10289" t="s">
        <v>67</v>
      </c>
      <c r="C10289" s="2">
        <v>44305</v>
      </c>
      <c r="D10289" t="s">
        <v>29</v>
      </c>
      <c r="E10289">
        <v>1807</v>
      </c>
    </row>
    <row r="10290" spans="1:5" x14ac:dyDescent="0.55000000000000004">
      <c r="A10290" t="s">
        <v>10371</v>
      </c>
      <c r="B10290" t="s">
        <v>67</v>
      </c>
      <c r="C10290" s="2">
        <v>44567</v>
      </c>
      <c r="D10290" t="s">
        <v>26</v>
      </c>
      <c r="E10290">
        <v>43</v>
      </c>
    </row>
    <row r="10291" spans="1:5" x14ac:dyDescent="0.55000000000000004">
      <c r="A10291" t="s">
        <v>10372</v>
      </c>
      <c r="B10291" t="s">
        <v>63</v>
      </c>
      <c r="C10291" s="2">
        <v>43437</v>
      </c>
      <c r="D10291" t="s">
        <v>29</v>
      </c>
      <c r="E10291">
        <v>1894</v>
      </c>
    </row>
    <row r="10292" spans="1:5" x14ac:dyDescent="0.55000000000000004">
      <c r="A10292" t="s">
        <v>10373</v>
      </c>
      <c r="B10292" t="s">
        <v>151</v>
      </c>
      <c r="C10292" s="2">
        <v>43803</v>
      </c>
      <c r="D10292" t="s">
        <v>29</v>
      </c>
      <c r="E10292">
        <v>2703</v>
      </c>
    </row>
    <row r="10293" spans="1:5" x14ac:dyDescent="0.55000000000000004">
      <c r="A10293" t="s">
        <v>10374</v>
      </c>
      <c r="B10293" t="s">
        <v>156</v>
      </c>
      <c r="C10293" s="2">
        <v>44330</v>
      </c>
      <c r="D10293" t="s">
        <v>26</v>
      </c>
      <c r="E10293">
        <v>1192</v>
      </c>
    </row>
    <row r="10294" spans="1:5" x14ac:dyDescent="0.55000000000000004">
      <c r="A10294" t="s">
        <v>10375</v>
      </c>
      <c r="B10294" t="s">
        <v>94</v>
      </c>
      <c r="C10294" s="2">
        <v>44540</v>
      </c>
      <c r="D10294" t="s">
        <v>26</v>
      </c>
      <c r="E10294">
        <v>1962</v>
      </c>
    </row>
    <row r="10295" spans="1:5" x14ac:dyDescent="0.55000000000000004">
      <c r="A10295" t="s">
        <v>10376</v>
      </c>
      <c r="B10295" t="s">
        <v>105</v>
      </c>
      <c r="C10295" s="2">
        <v>43969</v>
      </c>
      <c r="D10295" t="s">
        <v>26</v>
      </c>
      <c r="E10295">
        <v>2516</v>
      </c>
    </row>
    <row r="10296" spans="1:5" x14ac:dyDescent="0.55000000000000004">
      <c r="A10296" t="s">
        <v>10377</v>
      </c>
      <c r="B10296" t="s">
        <v>14</v>
      </c>
      <c r="C10296" s="2">
        <v>43304</v>
      </c>
      <c r="D10296" t="s">
        <v>26</v>
      </c>
      <c r="E10296">
        <v>1850</v>
      </c>
    </row>
    <row r="10297" spans="1:5" x14ac:dyDescent="0.55000000000000004">
      <c r="A10297" t="s">
        <v>10378</v>
      </c>
      <c r="B10297" t="s">
        <v>99</v>
      </c>
      <c r="C10297" s="2">
        <v>45538</v>
      </c>
      <c r="D10297" t="s">
        <v>26</v>
      </c>
      <c r="E10297">
        <v>2716</v>
      </c>
    </row>
    <row r="10298" spans="1:5" x14ac:dyDescent="0.55000000000000004">
      <c r="A10298" t="s">
        <v>10379</v>
      </c>
      <c r="B10298" t="s">
        <v>137</v>
      </c>
      <c r="C10298" s="2">
        <v>45063</v>
      </c>
      <c r="D10298" t="s">
        <v>29</v>
      </c>
      <c r="E10298">
        <v>1006</v>
      </c>
    </row>
    <row r="10299" spans="1:5" x14ac:dyDescent="0.55000000000000004">
      <c r="A10299" t="s">
        <v>10380</v>
      </c>
      <c r="B10299" t="s">
        <v>78</v>
      </c>
      <c r="C10299" s="2">
        <v>43804</v>
      </c>
      <c r="D10299" t="s">
        <v>29</v>
      </c>
      <c r="E10299">
        <v>2017</v>
      </c>
    </row>
    <row r="10300" spans="1:5" x14ac:dyDescent="0.55000000000000004">
      <c r="A10300" t="s">
        <v>10381</v>
      </c>
      <c r="B10300" t="s">
        <v>78</v>
      </c>
      <c r="C10300" s="2">
        <v>45592</v>
      </c>
      <c r="D10300" t="s">
        <v>29</v>
      </c>
      <c r="E10300">
        <v>2556</v>
      </c>
    </row>
    <row r="10301" spans="1:5" x14ac:dyDescent="0.55000000000000004">
      <c r="A10301" t="s">
        <v>10382</v>
      </c>
      <c r="B10301" t="s">
        <v>67</v>
      </c>
      <c r="C10301" s="2">
        <v>44559</v>
      </c>
      <c r="D10301" t="s">
        <v>29</v>
      </c>
      <c r="E10301">
        <v>1094</v>
      </c>
    </row>
    <row r="10302" spans="1:5" x14ac:dyDescent="0.55000000000000004">
      <c r="A10302" t="s">
        <v>10383</v>
      </c>
      <c r="B10302" t="s">
        <v>94</v>
      </c>
      <c r="C10302" s="2">
        <v>43636</v>
      </c>
      <c r="D10302" t="s">
        <v>29</v>
      </c>
      <c r="E10302">
        <v>2406</v>
      </c>
    </row>
    <row r="10303" spans="1:5" x14ac:dyDescent="0.55000000000000004">
      <c r="A10303" t="s">
        <v>10384</v>
      </c>
      <c r="B10303" t="s">
        <v>151</v>
      </c>
      <c r="C10303" s="2">
        <v>42966</v>
      </c>
      <c r="D10303" t="s">
        <v>26</v>
      </c>
      <c r="E10303">
        <v>762</v>
      </c>
    </row>
    <row r="10304" spans="1:5" x14ac:dyDescent="0.55000000000000004">
      <c r="A10304" t="s">
        <v>10385</v>
      </c>
      <c r="B10304" t="s">
        <v>35</v>
      </c>
      <c r="C10304" s="2">
        <v>43899</v>
      </c>
      <c r="D10304" t="s">
        <v>29</v>
      </c>
      <c r="E10304">
        <v>2565</v>
      </c>
    </row>
    <row r="10305" spans="1:5" x14ac:dyDescent="0.55000000000000004">
      <c r="A10305" t="s">
        <v>10386</v>
      </c>
      <c r="B10305" t="s">
        <v>94</v>
      </c>
      <c r="C10305" s="2">
        <v>44988</v>
      </c>
      <c r="D10305" t="s">
        <v>29</v>
      </c>
      <c r="E10305">
        <v>20</v>
      </c>
    </row>
    <row r="10306" spans="1:5" x14ac:dyDescent="0.55000000000000004">
      <c r="A10306" t="s">
        <v>10387</v>
      </c>
      <c r="B10306" t="s">
        <v>76</v>
      </c>
      <c r="C10306" s="2">
        <v>44867</v>
      </c>
      <c r="D10306" t="s">
        <v>26</v>
      </c>
      <c r="E10306">
        <v>1733</v>
      </c>
    </row>
    <row r="10307" spans="1:5" x14ac:dyDescent="0.55000000000000004">
      <c r="A10307" t="s">
        <v>10388</v>
      </c>
      <c r="B10307" t="s">
        <v>32</v>
      </c>
      <c r="C10307" s="2">
        <v>43941</v>
      </c>
      <c r="D10307" t="s">
        <v>26</v>
      </c>
      <c r="E10307">
        <v>1481</v>
      </c>
    </row>
    <row r="10308" spans="1:5" x14ac:dyDescent="0.55000000000000004">
      <c r="A10308" t="s">
        <v>10389</v>
      </c>
      <c r="B10308" t="s">
        <v>105</v>
      </c>
      <c r="C10308" s="2">
        <v>43340</v>
      </c>
      <c r="D10308" t="s">
        <v>26</v>
      </c>
      <c r="E10308">
        <v>533</v>
      </c>
    </row>
    <row r="10309" spans="1:5" x14ac:dyDescent="0.55000000000000004">
      <c r="A10309" t="s">
        <v>10390</v>
      </c>
      <c r="B10309" t="s">
        <v>32</v>
      </c>
      <c r="C10309" s="2">
        <v>44654</v>
      </c>
      <c r="D10309" t="s">
        <v>29</v>
      </c>
      <c r="E10309">
        <v>802</v>
      </c>
    </row>
    <row r="10310" spans="1:5" x14ac:dyDescent="0.55000000000000004">
      <c r="A10310" t="s">
        <v>10391</v>
      </c>
      <c r="B10310" t="s">
        <v>63</v>
      </c>
      <c r="C10310" s="2">
        <v>42960</v>
      </c>
      <c r="D10310" t="s">
        <v>26</v>
      </c>
      <c r="E10310">
        <v>1007</v>
      </c>
    </row>
    <row r="10311" spans="1:5" x14ac:dyDescent="0.55000000000000004">
      <c r="A10311" t="s">
        <v>10392</v>
      </c>
      <c r="B10311" t="s">
        <v>86</v>
      </c>
      <c r="C10311" s="2">
        <v>43735</v>
      </c>
      <c r="D10311" t="s">
        <v>29</v>
      </c>
      <c r="E10311">
        <v>1084</v>
      </c>
    </row>
    <row r="10312" spans="1:5" x14ac:dyDescent="0.55000000000000004">
      <c r="A10312" t="s">
        <v>10393</v>
      </c>
      <c r="B10312" t="s">
        <v>14</v>
      </c>
      <c r="C10312" s="2">
        <v>43418</v>
      </c>
      <c r="D10312" t="s">
        <v>26</v>
      </c>
      <c r="E10312">
        <v>1802</v>
      </c>
    </row>
    <row r="10313" spans="1:5" x14ac:dyDescent="0.55000000000000004">
      <c r="A10313" t="s">
        <v>10394</v>
      </c>
      <c r="B10313" t="s">
        <v>32</v>
      </c>
      <c r="C10313" s="2">
        <v>44071</v>
      </c>
      <c r="D10313" t="s">
        <v>29</v>
      </c>
      <c r="E10313">
        <v>1127</v>
      </c>
    </row>
    <row r="10314" spans="1:5" x14ac:dyDescent="0.55000000000000004">
      <c r="A10314" t="s">
        <v>10395</v>
      </c>
      <c r="B10314" t="s">
        <v>137</v>
      </c>
      <c r="C10314" s="2">
        <v>43712</v>
      </c>
      <c r="D10314" t="s">
        <v>26</v>
      </c>
      <c r="E10314">
        <v>2796</v>
      </c>
    </row>
    <row r="10315" spans="1:5" x14ac:dyDescent="0.55000000000000004">
      <c r="A10315" t="s">
        <v>10396</v>
      </c>
      <c r="B10315" t="s">
        <v>15</v>
      </c>
      <c r="C10315" s="2">
        <v>43343</v>
      </c>
      <c r="D10315" t="s">
        <v>26</v>
      </c>
      <c r="E10315">
        <v>105</v>
      </c>
    </row>
    <row r="10316" spans="1:5" x14ac:dyDescent="0.55000000000000004">
      <c r="A10316" t="s">
        <v>10397</v>
      </c>
      <c r="B10316" t="s">
        <v>115</v>
      </c>
      <c r="C10316" s="2">
        <v>43215</v>
      </c>
      <c r="D10316" t="s">
        <v>29</v>
      </c>
      <c r="E10316">
        <v>880</v>
      </c>
    </row>
    <row r="10317" spans="1:5" x14ac:dyDescent="0.55000000000000004">
      <c r="A10317" t="s">
        <v>10398</v>
      </c>
      <c r="B10317" t="s">
        <v>74</v>
      </c>
      <c r="C10317" s="2">
        <v>44060</v>
      </c>
      <c r="D10317" t="s">
        <v>29</v>
      </c>
      <c r="E10317">
        <v>17</v>
      </c>
    </row>
    <row r="10318" spans="1:5" x14ac:dyDescent="0.55000000000000004">
      <c r="A10318" t="s">
        <v>10399</v>
      </c>
      <c r="B10318" t="s">
        <v>14</v>
      </c>
      <c r="C10318" s="2">
        <v>43515</v>
      </c>
      <c r="D10318" t="s">
        <v>26</v>
      </c>
      <c r="E10318">
        <v>821</v>
      </c>
    </row>
    <row r="10319" spans="1:5" x14ac:dyDescent="0.55000000000000004">
      <c r="A10319" t="s">
        <v>10400</v>
      </c>
      <c r="B10319" t="s">
        <v>74</v>
      </c>
      <c r="C10319" s="2">
        <v>44277</v>
      </c>
      <c r="D10319" t="s">
        <v>26</v>
      </c>
      <c r="E10319">
        <v>2866</v>
      </c>
    </row>
    <row r="10320" spans="1:5" x14ac:dyDescent="0.55000000000000004">
      <c r="A10320" t="s">
        <v>10401</v>
      </c>
      <c r="B10320" t="s">
        <v>142</v>
      </c>
      <c r="C10320" s="2">
        <v>44469</v>
      </c>
      <c r="D10320" t="s">
        <v>29</v>
      </c>
      <c r="E10320">
        <v>2118</v>
      </c>
    </row>
    <row r="10321" spans="1:5" x14ac:dyDescent="0.55000000000000004">
      <c r="A10321" t="s">
        <v>10402</v>
      </c>
      <c r="B10321" t="s">
        <v>72</v>
      </c>
      <c r="C10321" s="2">
        <v>43030</v>
      </c>
      <c r="D10321" t="s">
        <v>29</v>
      </c>
      <c r="E10321">
        <v>2164</v>
      </c>
    </row>
    <row r="10322" spans="1:5" x14ac:dyDescent="0.55000000000000004">
      <c r="A10322" t="s">
        <v>10403</v>
      </c>
      <c r="B10322" t="s">
        <v>76</v>
      </c>
      <c r="C10322" s="2">
        <v>43975</v>
      </c>
      <c r="D10322" t="s">
        <v>26</v>
      </c>
      <c r="E10322">
        <v>2320</v>
      </c>
    </row>
    <row r="10323" spans="1:5" x14ac:dyDescent="0.55000000000000004">
      <c r="A10323" t="s">
        <v>10404</v>
      </c>
      <c r="B10323" t="s">
        <v>63</v>
      </c>
      <c r="C10323" s="2">
        <v>43031</v>
      </c>
      <c r="D10323" t="s">
        <v>29</v>
      </c>
      <c r="E10323">
        <v>1217</v>
      </c>
    </row>
    <row r="10324" spans="1:5" x14ac:dyDescent="0.55000000000000004">
      <c r="A10324" t="s">
        <v>10405</v>
      </c>
      <c r="B10324" t="s">
        <v>67</v>
      </c>
      <c r="C10324" s="2">
        <v>44645</v>
      </c>
      <c r="D10324" t="s">
        <v>29</v>
      </c>
      <c r="E10324">
        <v>890</v>
      </c>
    </row>
    <row r="10325" spans="1:5" x14ac:dyDescent="0.55000000000000004">
      <c r="A10325" t="s">
        <v>10406</v>
      </c>
      <c r="B10325" t="s">
        <v>67</v>
      </c>
      <c r="C10325" s="2">
        <v>44936</v>
      </c>
      <c r="D10325" t="s">
        <v>29</v>
      </c>
      <c r="E10325">
        <v>1988</v>
      </c>
    </row>
    <row r="10326" spans="1:5" x14ac:dyDescent="0.55000000000000004">
      <c r="A10326" t="s">
        <v>10407</v>
      </c>
      <c r="B10326" t="s">
        <v>32</v>
      </c>
      <c r="C10326" s="2">
        <v>44746</v>
      </c>
      <c r="D10326" t="s">
        <v>26</v>
      </c>
      <c r="E10326">
        <v>2403</v>
      </c>
    </row>
    <row r="10327" spans="1:5" x14ac:dyDescent="0.55000000000000004">
      <c r="A10327" t="s">
        <v>10408</v>
      </c>
      <c r="B10327" t="s">
        <v>137</v>
      </c>
      <c r="C10327" s="2">
        <v>45618</v>
      </c>
      <c r="D10327" t="s">
        <v>26</v>
      </c>
      <c r="E10327">
        <v>1109</v>
      </c>
    </row>
    <row r="10328" spans="1:5" x14ac:dyDescent="0.55000000000000004">
      <c r="A10328" t="s">
        <v>10409</v>
      </c>
      <c r="B10328" t="s">
        <v>175</v>
      </c>
      <c r="C10328" s="2">
        <v>44815</v>
      </c>
      <c r="D10328" t="s">
        <v>29</v>
      </c>
      <c r="E10328">
        <v>969</v>
      </c>
    </row>
    <row r="10329" spans="1:5" x14ac:dyDescent="0.55000000000000004">
      <c r="A10329" t="s">
        <v>10410</v>
      </c>
      <c r="B10329" t="s">
        <v>67</v>
      </c>
      <c r="C10329" s="2">
        <v>43895</v>
      </c>
      <c r="D10329" t="s">
        <v>29</v>
      </c>
      <c r="E10329">
        <v>346</v>
      </c>
    </row>
    <row r="10330" spans="1:5" x14ac:dyDescent="0.55000000000000004">
      <c r="A10330" t="s">
        <v>10411</v>
      </c>
      <c r="B10330" t="s">
        <v>99</v>
      </c>
      <c r="C10330" s="2">
        <v>44108</v>
      </c>
      <c r="D10330" t="s">
        <v>29</v>
      </c>
      <c r="E10330">
        <v>595</v>
      </c>
    </row>
    <row r="10331" spans="1:5" x14ac:dyDescent="0.55000000000000004">
      <c r="A10331" t="s">
        <v>10412</v>
      </c>
      <c r="B10331" t="s">
        <v>76</v>
      </c>
      <c r="C10331" s="2">
        <v>44235</v>
      </c>
      <c r="D10331" t="s">
        <v>26</v>
      </c>
      <c r="E10331">
        <v>1788</v>
      </c>
    </row>
    <row r="10332" spans="1:5" x14ac:dyDescent="0.55000000000000004">
      <c r="A10332" t="s">
        <v>10413</v>
      </c>
      <c r="B10332" t="s">
        <v>84</v>
      </c>
      <c r="C10332" s="2">
        <v>43186</v>
      </c>
      <c r="D10332" t="s">
        <v>29</v>
      </c>
      <c r="E10332">
        <v>403</v>
      </c>
    </row>
    <row r="10333" spans="1:5" x14ac:dyDescent="0.55000000000000004">
      <c r="A10333" t="s">
        <v>10414</v>
      </c>
      <c r="B10333" t="s">
        <v>67</v>
      </c>
      <c r="C10333" s="2">
        <v>44872</v>
      </c>
      <c r="D10333" t="s">
        <v>26</v>
      </c>
      <c r="E10333">
        <v>1484</v>
      </c>
    </row>
    <row r="10334" spans="1:5" x14ac:dyDescent="0.55000000000000004">
      <c r="A10334" t="s">
        <v>10415</v>
      </c>
      <c r="B10334" t="s">
        <v>86</v>
      </c>
      <c r="C10334" s="2">
        <v>44241</v>
      </c>
      <c r="D10334" t="s">
        <v>29</v>
      </c>
      <c r="E10334">
        <v>2808</v>
      </c>
    </row>
    <row r="10335" spans="1:5" x14ac:dyDescent="0.55000000000000004">
      <c r="A10335" t="s">
        <v>10416</v>
      </c>
      <c r="B10335" t="s">
        <v>140</v>
      </c>
      <c r="C10335" s="2">
        <v>44502</v>
      </c>
      <c r="D10335" t="s">
        <v>26</v>
      </c>
      <c r="E10335">
        <v>1378</v>
      </c>
    </row>
    <row r="10336" spans="1:5" x14ac:dyDescent="0.55000000000000004">
      <c r="A10336" t="s">
        <v>10417</v>
      </c>
      <c r="B10336" t="s">
        <v>94</v>
      </c>
      <c r="C10336" s="2">
        <v>44852</v>
      </c>
      <c r="D10336" t="s">
        <v>26</v>
      </c>
      <c r="E10336">
        <v>998</v>
      </c>
    </row>
    <row r="10337" spans="1:5" x14ac:dyDescent="0.55000000000000004">
      <c r="A10337" t="s">
        <v>10418</v>
      </c>
      <c r="B10337" t="s">
        <v>142</v>
      </c>
      <c r="C10337" s="2">
        <v>43968</v>
      </c>
      <c r="D10337" t="s">
        <v>26</v>
      </c>
      <c r="E10337">
        <v>2355</v>
      </c>
    </row>
    <row r="10338" spans="1:5" x14ac:dyDescent="0.55000000000000004">
      <c r="A10338" t="s">
        <v>10419</v>
      </c>
      <c r="B10338" t="s">
        <v>140</v>
      </c>
      <c r="C10338" s="2">
        <v>44407</v>
      </c>
      <c r="D10338" t="s">
        <v>29</v>
      </c>
      <c r="E10338">
        <v>1242</v>
      </c>
    </row>
    <row r="10339" spans="1:5" x14ac:dyDescent="0.55000000000000004">
      <c r="A10339" t="s">
        <v>10420</v>
      </c>
      <c r="B10339" t="s">
        <v>84</v>
      </c>
      <c r="C10339" s="2">
        <v>44436</v>
      </c>
      <c r="D10339" t="s">
        <v>29</v>
      </c>
      <c r="E10339">
        <v>1587</v>
      </c>
    </row>
    <row r="10340" spans="1:5" x14ac:dyDescent="0.55000000000000004">
      <c r="A10340" t="s">
        <v>10421</v>
      </c>
      <c r="B10340" t="s">
        <v>115</v>
      </c>
      <c r="C10340" s="2">
        <v>44299</v>
      </c>
      <c r="D10340" t="s">
        <v>29</v>
      </c>
      <c r="E10340">
        <v>61</v>
      </c>
    </row>
    <row r="10341" spans="1:5" x14ac:dyDescent="0.55000000000000004">
      <c r="A10341" t="s">
        <v>10422</v>
      </c>
      <c r="B10341" t="s">
        <v>175</v>
      </c>
      <c r="C10341" s="2">
        <v>44670</v>
      </c>
      <c r="D10341" t="s">
        <v>29</v>
      </c>
      <c r="E10341">
        <v>2396</v>
      </c>
    </row>
    <row r="10342" spans="1:5" x14ac:dyDescent="0.55000000000000004">
      <c r="A10342" t="s">
        <v>10423</v>
      </c>
      <c r="B10342" t="s">
        <v>78</v>
      </c>
      <c r="C10342" s="2">
        <v>43937</v>
      </c>
      <c r="D10342" t="s">
        <v>29</v>
      </c>
      <c r="E10342">
        <v>124</v>
      </c>
    </row>
    <row r="10343" spans="1:5" x14ac:dyDescent="0.55000000000000004">
      <c r="A10343" t="s">
        <v>10424</v>
      </c>
      <c r="B10343" t="s">
        <v>67</v>
      </c>
      <c r="C10343" s="2">
        <v>45809</v>
      </c>
      <c r="D10343" t="s">
        <v>26</v>
      </c>
      <c r="E10343">
        <v>2680</v>
      </c>
    </row>
    <row r="10344" spans="1:5" x14ac:dyDescent="0.55000000000000004">
      <c r="A10344" t="s">
        <v>10425</v>
      </c>
      <c r="B10344" t="s">
        <v>84</v>
      </c>
      <c r="C10344" s="2">
        <v>43507</v>
      </c>
      <c r="D10344" t="s">
        <v>29</v>
      </c>
      <c r="E10344">
        <v>2915</v>
      </c>
    </row>
    <row r="10345" spans="1:5" x14ac:dyDescent="0.55000000000000004">
      <c r="A10345" t="s">
        <v>10426</v>
      </c>
      <c r="B10345" t="s">
        <v>156</v>
      </c>
      <c r="C10345" s="2">
        <v>43001</v>
      </c>
      <c r="D10345" t="s">
        <v>26</v>
      </c>
      <c r="E10345">
        <v>1361</v>
      </c>
    </row>
    <row r="10346" spans="1:5" x14ac:dyDescent="0.55000000000000004">
      <c r="A10346" t="s">
        <v>10427</v>
      </c>
      <c r="B10346" t="s">
        <v>14</v>
      </c>
      <c r="C10346" s="2">
        <v>43825</v>
      </c>
      <c r="D10346" t="s">
        <v>29</v>
      </c>
      <c r="E10346">
        <v>2439</v>
      </c>
    </row>
    <row r="10347" spans="1:5" x14ac:dyDescent="0.55000000000000004">
      <c r="A10347" t="s">
        <v>10428</v>
      </c>
      <c r="B10347" t="s">
        <v>86</v>
      </c>
      <c r="C10347" s="2">
        <v>43626</v>
      </c>
      <c r="D10347" t="s">
        <v>29</v>
      </c>
      <c r="E10347">
        <v>2463</v>
      </c>
    </row>
    <row r="10348" spans="1:5" x14ac:dyDescent="0.55000000000000004">
      <c r="A10348" t="s">
        <v>10429</v>
      </c>
      <c r="B10348" t="s">
        <v>41</v>
      </c>
      <c r="C10348" s="2">
        <v>44261</v>
      </c>
      <c r="D10348" t="s">
        <v>29</v>
      </c>
      <c r="E10348">
        <v>1362</v>
      </c>
    </row>
    <row r="10349" spans="1:5" x14ac:dyDescent="0.55000000000000004">
      <c r="A10349" t="s">
        <v>10430</v>
      </c>
      <c r="B10349" t="s">
        <v>67</v>
      </c>
      <c r="C10349" s="2">
        <v>45558</v>
      </c>
      <c r="D10349" t="s">
        <v>26</v>
      </c>
      <c r="E10349">
        <v>253</v>
      </c>
    </row>
    <row r="10350" spans="1:5" x14ac:dyDescent="0.55000000000000004">
      <c r="A10350" t="s">
        <v>10431</v>
      </c>
      <c r="B10350" t="s">
        <v>67</v>
      </c>
      <c r="C10350" s="2">
        <v>44015</v>
      </c>
      <c r="D10350" t="s">
        <v>26</v>
      </c>
      <c r="E10350">
        <v>1829</v>
      </c>
    </row>
    <row r="10351" spans="1:5" x14ac:dyDescent="0.55000000000000004">
      <c r="A10351" t="s">
        <v>10432</v>
      </c>
      <c r="B10351" t="s">
        <v>15</v>
      </c>
      <c r="C10351" s="2">
        <v>44506</v>
      </c>
      <c r="D10351" t="s">
        <v>29</v>
      </c>
      <c r="E10351">
        <v>1228</v>
      </c>
    </row>
    <row r="10352" spans="1:5" x14ac:dyDescent="0.55000000000000004">
      <c r="A10352" t="s">
        <v>10433</v>
      </c>
      <c r="B10352" t="s">
        <v>15</v>
      </c>
      <c r="C10352" s="2">
        <v>44489</v>
      </c>
      <c r="D10352" t="s">
        <v>29</v>
      </c>
      <c r="E10352">
        <v>2570</v>
      </c>
    </row>
    <row r="10353" spans="1:5" x14ac:dyDescent="0.55000000000000004">
      <c r="A10353" t="s">
        <v>10434</v>
      </c>
      <c r="B10353" t="s">
        <v>96</v>
      </c>
      <c r="C10353" s="2">
        <v>45485</v>
      </c>
      <c r="D10353" t="s">
        <v>29</v>
      </c>
      <c r="E10353">
        <v>1524</v>
      </c>
    </row>
    <row r="10354" spans="1:5" x14ac:dyDescent="0.55000000000000004">
      <c r="A10354" t="s">
        <v>10435</v>
      </c>
      <c r="B10354" t="s">
        <v>23</v>
      </c>
      <c r="C10354" s="2">
        <v>44199</v>
      </c>
      <c r="D10354" t="s">
        <v>29</v>
      </c>
      <c r="E10354">
        <v>1162</v>
      </c>
    </row>
    <row r="10355" spans="1:5" x14ac:dyDescent="0.55000000000000004">
      <c r="A10355" t="s">
        <v>10436</v>
      </c>
      <c r="B10355" t="s">
        <v>94</v>
      </c>
      <c r="C10355" s="2">
        <v>43947</v>
      </c>
      <c r="D10355" t="s">
        <v>26</v>
      </c>
      <c r="E10355">
        <v>888</v>
      </c>
    </row>
    <row r="10356" spans="1:5" x14ac:dyDescent="0.55000000000000004">
      <c r="A10356" t="s">
        <v>10437</v>
      </c>
      <c r="B10356" t="s">
        <v>67</v>
      </c>
      <c r="C10356" s="2">
        <v>45298</v>
      </c>
      <c r="D10356" t="s">
        <v>26</v>
      </c>
      <c r="E10356">
        <v>1181</v>
      </c>
    </row>
    <row r="10357" spans="1:5" x14ac:dyDescent="0.55000000000000004">
      <c r="A10357" t="s">
        <v>10438</v>
      </c>
      <c r="B10357" t="s">
        <v>78</v>
      </c>
      <c r="C10357" s="2">
        <v>44483</v>
      </c>
      <c r="D10357" t="s">
        <v>29</v>
      </c>
      <c r="E10357">
        <v>2441</v>
      </c>
    </row>
    <row r="10358" spans="1:5" x14ac:dyDescent="0.55000000000000004">
      <c r="A10358" t="s">
        <v>10439</v>
      </c>
      <c r="B10358" t="s">
        <v>96</v>
      </c>
      <c r="C10358" s="2">
        <v>43623</v>
      </c>
      <c r="D10358" t="s">
        <v>26</v>
      </c>
      <c r="E10358">
        <v>2021</v>
      </c>
    </row>
    <row r="10359" spans="1:5" x14ac:dyDescent="0.55000000000000004">
      <c r="A10359" t="s">
        <v>10440</v>
      </c>
      <c r="B10359" t="s">
        <v>142</v>
      </c>
      <c r="C10359" s="2">
        <v>44372</v>
      </c>
      <c r="D10359" t="s">
        <v>29</v>
      </c>
      <c r="E10359">
        <v>1355</v>
      </c>
    </row>
    <row r="10360" spans="1:5" x14ac:dyDescent="0.55000000000000004">
      <c r="A10360" t="s">
        <v>10441</v>
      </c>
      <c r="B10360" t="s">
        <v>94</v>
      </c>
      <c r="C10360" s="2">
        <v>44957</v>
      </c>
      <c r="D10360" t="s">
        <v>29</v>
      </c>
      <c r="E10360">
        <v>2242</v>
      </c>
    </row>
    <row r="10361" spans="1:5" x14ac:dyDescent="0.55000000000000004">
      <c r="A10361" t="s">
        <v>10442</v>
      </c>
      <c r="B10361" t="s">
        <v>175</v>
      </c>
      <c r="C10361" s="2">
        <v>44737</v>
      </c>
      <c r="D10361" t="s">
        <v>29</v>
      </c>
      <c r="E10361">
        <v>1891</v>
      </c>
    </row>
    <row r="10362" spans="1:5" x14ac:dyDescent="0.55000000000000004">
      <c r="A10362" t="s">
        <v>10443</v>
      </c>
      <c r="B10362" t="s">
        <v>94</v>
      </c>
      <c r="C10362" s="2">
        <v>44552</v>
      </c>
      <c r="D10362" t="s">
        <v>26</v>
      </c>
      <c r="E10362">
        <v>1787</v>
      </c>
    </row>
    <row r="10363" spans="1:5" x14ac:dyDescent="0.55000000000000004">
      <c r="A10363" t="s">
        <v>10444</v>
      </c>
      <c r="B10363" t="s">
        <v>140</v>
      </c>
      <c r="C10363" s="2">
        <v>43188</v>
      </c>
      <c r="D10363" t="s">
        <v>26</v>
      </c>
      <c r="E10363">
        <v>2776</v>
      </c>
    </row>
    <row r="10364" spans="1:5" x14ac:dyDescent="0.55000000000000004">
      <c r="A10364" t="s">
        <v>10445</v>
      </c>
      <c r="B10364" t="s">
        <v>23</v>
      </c>
      <c r="C10364" s="2">
        <v>44529</v>
      </c>
      <c r="D10364" t="s">
        <v>29</v>
      </c>
      <c r="E10364">
        <v>2699</v>
      </c>
    </row>
    <row r="10365" spans="1:5" x14ac:dyDescent="0.55000000000000004">
      <c r="A10365" t="s">
        <v>10446</v>
      </c>
      <c r="B10365" t="s">
        <v>76</v>
      </c>
      <c r="C10365" s="2">
        <v>45467</v>
      </c>
      <c r="D10365" t="s">
        <v>26</v>
      </c>
      <c r="E10365">
        <v>630</v>
      </c>
    </row>
    <row r="10366" spans="1:5" x14ac:dyDescent="0.55000000000000004">
      <c r="A10366" t="s">
        <v>10447</v>
      </c>
      <c r="B10366" t="s">
        <v>111</v>
      </c>
      <c r="C10366" s="2">
        <v>43662</v>
      </c>
      <c r="D10366" t="s">
        <v>26</v>
      </c>
      <c r="E10366">
        <v>1407</v>
      </c>
    </row>
    <row r="10367" spans="1:5" x14ac:dyDescent="0.55000000000000004">
      <c r="A10367" t="s">
        <v>10448</v>
      </c>
      <c r="B10367" t="s">
        <v>94</v>
      </c>
      <c r="C10367" s="2">
        <v>43588</v>
      </c>
      <c r="D10367" t="s">
        <v>26</v>
      </c>
      <c r="E10367">
        <v>1844</v>
      </c>
    </row>
    <row r="10368" spans="1:5" x14ac:dyDescent="0.55000000000000004">
      <c r="A10368" t="s">
        <v>10449</v>
      </c>
      <c r="B10368" t="s">
        <v>140</v>
      </c>
      <c r="C10368" s="2">
        <v>43831</v>
      </c>
      <c r="D10368" t="s">
        <v>29</v>
      </c>
      <c r="E10368">
        <v>2556</v>
      </c>
    </row>
    <row r="10369" spans="1:5" x14ac:dyDescent="0.55000000000000004">
      <c r="A10369" t="s">
        <v>10450</v>
      </c>
      <c r="B10369" t="s">
        <v>78</v>
      </c>
      <c r="C10369" s="2">
        <v>43551</v>
      </c>
      <c r="D10369" t="s">
        <v>29</v>
      </c>
      <c r="E10369">
        <v>1233</v>
      </c>
    </row>
    <row r="10370" spans="1:5" x14ac:dyDescent="0.55000000000000004">
      <c r="A10370" t="s">
        <v>10451</v>
      </c>
      <c r="B10370" t="s">
        <v>115</v>
      </c>
      <c r="C10370" s="2">
        <v>44519</v>
      </c>
      <c r="D10370" t="s">
        <v>26</v>
      </c>
      <c r="E10370">
        <v>626</v>
      </c>
    </row>
    <row r="10371" spans="1:5" x14ac:dyDescent="0.55000000000000004">
      <c r="A10371" t="s">
        <v>10452</v>
      </c>
      <c r="B10371" t="s">
        <v>96</v>
      </c>
      <c r="C10371" s="2">
        <v>44070</v>
      </c>
      <c r="D10371" t="s">
        <v>29</v>
      </c>
      <c r="E10371">
        <v>1627</v>
      </c>
    </row>
    <row r="10372" spans="1:5" x14ac:dyDescent="0.55000000000000004">
      <c r="A10372" t="s">
        <v>10453</v>
      </c>
      <c r="B10372" t="s">
        <v>86</v>
      </c>
      <c r="C10372" s="2">
        <v>43321</v>
      </c>
      <c r="D10372" t="s">
        <v>26</v>
      </c>
      <c r="E10372">
        <v>1159</v>
      </c>
    </row>
    <row r="10373" spans="1:5" x14ac:dyDescent="0.55000000000000004">
      <c r="A10373" t="s">
        <v>10454</v>
      </c>
      <c r="B10373" t="s">
        <v>175</v>
      </c>
      <c r="C10373" s="2">
        <v>44972</v>
      </c>
      <c r="D10373" t="s">
        <v>26</v>
      </c>
      <c r="E10373">
        <v>2840</v>
      </c>
    </row>
    <row r="10374" spans="1:5" x14ac:dyDescent="0.55000000000000004">
      <c r="A10374" t="s">
        <v>10455</v>
      </c>
      <c r="B10374" t="s">
        <v>35</v>
      </c>
      <c r="C10374" s="2">
        <v>44244</v>
      </c>
      <c r="D10374" t="s">
        <v>29</v>
      </c>
      <c r="E10374">
        <v>422</v>
      </c>
    </row>
    <row r="10375" spans="1:5" x14ac:dyDescent="0.55000000000000004">
      <c r="A10375" t="s">
        <v>10456</v>
      </c>
      <c r="B10375" t="s">
        <v>96</v>
      </c>
      <c r="C10375" s="2">
        <v>43668</v>
      </c>
      <c r="D10375" t="s">
        <v>26</v>
      </c>
      <c r="E10375">
        <v>1388</v>
      </c>
    </row>
    <row r="10376" spans="1:5" x14ac:dyDescent="0.55000000000000004">
      <c r="A10376" t="s">
        <v>10457</v>
      </c>
      <c r="B10376" t="s">
        <v>156</v>
      </c>
      <c r="C10376" s="2">
        <v>43663</v>
      </c>
      <c r="D10376" t="s">
        <v>29</v>
      </c>
      <c r="E10376">
        <v>2276</v>
      </c>
    </row>
    <row r="10377" spans="1:5" x14ac:dyDescent="0.55000000000000004">
      <c r="A10377" t="s">
        <v>10458</v>
      </c>
      <c r="B10377" t="s">
        <v>63</v>
      </c>
      <c r="C10377" s="2">
        <v>44535</v>
      </c>
      <c r="D10377" t="s">
        <v>29</v>
      </c>
      <c r="E10377">
        <v>1446</v>
      </c>
    </row>
    <row r="10378" spans="1:5" x14ac:dyDescent="0.55000000000000004">
      <c r="A10378" t="s">
        <v>10459</v>
      </c>
      <c r="B10378" t="s">
        <v>86</v>
      </c>
      <c r="C10378" s="2">
        <v>44191</v>
      </c>
      <c r="D10378" t="s">
        <v>29</v>
      </c>
      <c r="E10378">
        <v>1489</v>
      </c>
    </row>
    <row r="10379" spans="1:5" x14ac:dyDescent="0.55000000000000004">
      <c r="A10379" t="s">
        <v>10460</v>
      </c>
      <c r="B10379" t="s">
        <v>140</v>
      </c>
      <c r="C10379" s="2">
        <v>44558</v>
      </c>
      <c r="D10379" t="s">
        <v>26</v>
      </c>
      <c r="E10379">
        <v>503</v>
      </c>
    </row>
    <row r="10380" spans="1:5" x14ac:dyDescent="0.55000000000000004">
      <c r="A10380" t="s">
        <v>10461</v>
      </c>
      <c r="B10380" t="s">
        <v>140</v>
      </c>
      <c r="C10380" s="2">
        <v>44060</v>
      </c>
      <c r="D10380" t="s">
        <v>26</v>
      </c>
      <c r="E10380">
        <v>833</v>
      </c>
    </row>
    <row r="10381" spans="1:5" x14ac:dyDescent="0.55000000000000004">
      <c r="A10381" t="s">
        <v>10462</v>
      </c>
      <c r="B10381" t="s">
        <v>86</v>
      </c>
      <c r="C10381" s="2">
        <v>44543</v>
      </c>
      <c r="D10381" t="s">
        <v>29</v>
      </c>
      <c r="E10381">
        <v>2864</v>
      </c>
    </row>
    <row r="10382" spans="1:5" x14ac:dyDescent="0.55000000000000004">
      <c r="A10382" t="s">
        <v>10463</v>
      </c>
      <c r="B10382" t="s">
        <v>76</v>
      </c>
      <c r="C10382" s="2">
        <v>45164</v>
      </c>
      <c r="D10382" t="s">
        <v>29</v>
      </c>
      <c r="E10382">
        <v>2084</v>
      </c>
    </row>
    <row r="10383" spans="1:5" x14ac:dyDescent="0.55000000000000004">
      <c r="A10383" t="s">
        <v>10464</v>
      </c>
      <c r="B10383" t="s">
        <v>142</v>
      </c>
      <c r="C10383" s="2">
        <v>44064</v>
      </c>
      <c r="D10383" t="s">
        <v>29</v>
      </c>
      <c r="E10383">
        <v>31</v>
      </c>
    </row>
    <row r="10384" spans="1:5" x14ac:dyDescent="0.55000000000000004">
      <c r="A10384" t="s">
        <v>10465</v>
      </c>
      <c r="B10384" t="s">
        <v>156</v>
      </c>
      <c r="C10384" s="2">
        <v>44440</v>
      </c>
      <c r="D10384" t="s">
        <v>26</v>
      </c>
      <c r="E10384">
        <v>122</v>
      </c>
    </row>
    <row r="10385" spans="1:5" x14ac:dyDescent="0.55000000000000004">
      <c r="A10385" t="s">
        <v>10466</v>
      </c>
      <c r="B10385" t="s">
        <v>67</v>
      </c>
      <c r="C10385" s="2">
        <v>45175</v>
      </c>
      <c r="D10385" t="s">
        <v>26</v>
      </c>
      <c r="E10385">
        <v>1203</v>
      </c>
    </row>
    <row r="10386" spans="1:5" x14ac:dyDescent="0.55000000000000004">
      <c r="A10386" t="s">
        <v>10467</v>
      </c>
      <c r="B10386" t="s">
        <v>151</v>
      </c>
      <c r="C10386" s="2">
        <v>43079</v>
      </c>
      <c r="D10386" t="s">
        <v>29</v>
      </c>
      <c r="E10386">
        <v>363</v>
      </c>
    </row>
    <row r="10387" spans="1:5" x14ac:dyDescent="0.55000000000000004">
      <c r="A10387" t="s">
        <v>10468</v>
      </c>
      <c r="B10387" t="s">
        <v>86</v>
      </c>
      <c r="C10387" s="2">
        <v>43592</v>
      </c>
      <c r="D10387" t="s">
        <v>29</v>
      </c>
      <c r="E10387">
        <v>2290</v>
      </c>
    </row>
    <row r="10388" spans="1:5" x14ac:dyDescent="0.55000000000000004">
      <c r="A10388" t="s">
        <v>10469</v>
      </c>
      <c r="B10388" t="s">
        <v>111</v>
      </c>
      <c r="C10388" s="2">
        <v>44485</v>
      </c>
      <c r="D10388" t="s">
        <v>26</v>
      </c>
      <c r="E10388">
        <v>382</v>
      </c>
    </row>
    <row r="10389" spans="1:5" x14ac:dyDescent="0.55000000000000004">
      <c r="A10389" t="s">
        <v>10470</v>
      </c>
      <c r="B10389" t="s">
        <v>35</v>
      </c>
      <c r="C10389" s="2">
        <v>44766</v>
      </c>
      <c r="D10389" t="s">
        <v>26</v>
      </c>
      <c r="E10389">
        <v>913</v>
      </c>
    </row>
    <row r="10390" spans="1:5" x14ac:dyDescent="0.55000000000000004">
      <c r="A10390" t="s">
        <v>10471</v>
      </c>
      <c r="B10390" t="s">
        <v>101</v>
      </c>
      <c r="C10390" s="2">
        <v>44055</v>
      </c>
      <c r="D10390" t="s">
        <v>29</v>
      </c>
      <c r="E10390">
        <v>189</v>
      </c>
    </row>
    <row r="10391" spans="1:5" x14ac:dyDescent="0.55000000000000004">
      <c r="A10391" t="s">
        <v>10472</v>
      </c>
      <c r="B10391" t="s">
        <v>118</v>
      </c>
      <c r="C10391" s="2">
        <v>44459</v>
      </c>
      <c r="D10391" t="s">
        <v>26</v>
      </c>
      <c r="E10391">
        <v>2737</v>
      </c>
    </row>
    <row r="10392" spans="1:5" x14ac:dyDescent="0.55000000000000004">
      <c r="A10392" t="s">
        <v>10473</v>
      </c>
      <c r="B10392" t="s">
        <v>38</v>
      </c>
      <c r="C10392" s="2">
        <v>44691</v>
      </c>
      <c r="D10392" t="s">
        <v>26</v>
      </c>
      <c r="E10392">
        <v>2144</v>
      </c>
    </row>
    <row r="10393" spans="1:5" x14ac:dyDescent="0.55000000000000004">
      <c r="A10393" t="s">
        <v>10474</v>
      </c>
      <c r="B10393" t="s">
        <v>23</v>
      </c>
      <c r="C10393" s="2">
        <v>44891</v>
      </c>
      <c r="D10393" t="s">
        <v>29</v>
      </c>
      <c r="E10393">
        <v>2646</v>
      </c>
    </row>
    <row r="10394" spans="1:5" x14ac:dyDescent="0.55000000000000004">
      <c r="A10394" t="s">
        <v>10475</v>
      </c>
      <c r="B10394" t="s">
        <v>38</v>
      </c>
      <c r="C10394" s="2">
        <v>43881</v>
      </c>
      <c r="D10394" t="s">
        <v>26</v>
      </c>
      <c r="E10394">
        <v>136</v>
      </c>
    </row>
    <row r="10395" spans="1:5" x14ac:dyDescent="0.55000000000000004">
      <c r="A10395" t="s">
        <v>10476</v>
      </c>
      <c r="B10395" t="s">
        <v>86</v>
      </c>
      <c r="C10395" s="2">
        <v>43678</v>
      </c>
      <c r="D10395" t="s">
        <v>26</v>
      </c>
      <c r="E10395">
        <v>2446</v>
      </c>
    </row>
    <row r="10396" spans="1:5" x14ac:dyDescent="0.55000000000000004">
      <c r="A10396" t="s">
        <v>10477</v>
      </c>
      <c r="B10396" t="s">
        <v>74</v>
      </c>
      <c r="C10396" s="2">
        <v>43107</v>
      </c>
      <c r="D10396" t="s">
        <v>26</v>
      </c>
      <c r="E10396">
        <v>1513</v>
      </c>
    </row>
    <row r="10397" spans="1:5" x14ac:dyDescent="0.55000000000000004">
      <c r="A10397" t="s">
        <v>10478</v>
      </c>
      <c r="B10397" t="s">
        <v>175</v>
      </c>
      <c r="C10397" s="2">
        <v>44304</v>
      </c>
      <c r="D10397" t="s">
        <v>26</v>
      </c>
      <c r="E10397">
        <v>179</v>
      </c>
    </row>
    <row r="10398" spans="1:5" x14ac:dyDescent="0.55000000000000004">
      <c r="A10398" t="s">
        <v>10479</v>
      </c>
      <c r="B10398" t="s">
        <v>105</v>
      </c>
      <c r="C10398" s="2">
        <v>43748</v>
      </c>
      <c r="D10398" t="s">
        <v>29</v>
      </c>
      <c r="E10398">
        <v>198</v>
      </c>
    </row>
    <row r="10399" spans="1:5" x14ac:dyDescent="0.55000000000000004">
      <c r="A10399" t="s">
        <v>10480</v>
      </c>
      <c r="B10399" t="s">
        <v>142</v>
      </c>
      <c r="C10399" s="2">
        <v>44168</v>
      </c>
      <c r="D10399" t="s">
        <v>26</v>
      </c>
      <c r="E10399">
        <v>2809</v>
      </c>
    </row>
    <row r="10400" spans="1:5" x14ac:dyDescent="0.55000000000000004">
      <c r="A10400" t="s">
        <v>10481</v>
      </c>
      <c r="B10400" t="s">
        <v>38</v>
      </c>
      <c r="C10400" s="2">
        <v>44317</v>
      </c>
      <c r="D10400" t="s">
        <v>26</v>
      </c>
      <c r="E10400">
        <v>2337</v>
      </c>
    </row>
    <row r="10401" spans="1:5" x14ac:dyDescent="0.55000000000000004">
      <c r="A10401" t="s">
        <v>10482</v>
      </c>
      <c r="B10401" t="s">
        <v>140</v>
      </c>
      <c r="C10401" s="2">
        <v>43414</v>
      </c>
      <c r="D10401" t="s">
        <v>29</v>
      </c>
      <c r="E10401">
        <v>2406</v>
      </c>
    </row>
    <row r="10402" spans="1:5" x14ac:dyDescent="0.55000000000000004">
      <c r="A10402" t="s">
        <v>10483</v>
      </c>
      <c r="B10402" t="s">
        <v>142</v>
      </c>
      <c r="C10402" s="2">
        <v>43295</v>
      </c>
      <c r="D10402" t="s">
        <v>26</v>
      </c>
      <c r="E10402">
        <v>2726</v>
      </c>
    </row>
    <row r="10403" spans="1:5" x14ac:dyDescent="0.55000000000000004">
      <c r="A10403" t="s">
        <v>10484</v>
      </c>
      <c r="B10403" t="s">
        <v>38</v>
      </c>
      <c r="C10403" s="2">
        <v>44314</v>
      </c>
      <c r="D10403" t="s">
        <v>29</v>
      </c>
      <c r="E10403">
        <v>2124</v>
      </c>
    </row>
    <row r="10404" spans="1:5" x14ac:dyDescent="0.55000000000000004">
      <c r="A10404" t="s">
        <v>10485</v>
      </c>
      <c r="B10404" t="s">
        <v>105</v>
      </c>
      <c r="C10404" s="2">
        <v>44258</v>
      </c>
      <c r="D10404" t="s">
        <v>26</v>
      </c>
      <c r="E10404">
        <v>2292</v>
      </c>
    </row>
    <row r="10405" spans="1:5" x14ac:dyDescent="0.55000000000000004">
      <c r="A10405" t="s">
        <v>10486</v>
      </c>
      <c r="B10405" t="s">
        <v>99</v>
      </c>
      <c r="C10405" s="2">
        <v>44331</v>
      </c>
      <c r="D10405" t="s">
        <v>29</v>
      </c>
      <c r="E10405">
        <v>1160</v>
      </c>
    </row>
    <row r="10406" spans="1:5" x14ac:dyDescent="0.55000000000000004">
      <c r="A10406" t="s">
        <v>10487</v>
      </c>
      <c r="B10406" t="s">
        <v>15</v>
      </c>
      <c r="C10406" s="2">
        <v>43981</v>
      </c>
      <c r="D10406" t="s">
        <v>26</v>
      </c>
      <c r="E10406">
        <v>1688</v>
      </c>
    </row>
    <row r="10407" spans="1:5" x14ac:dyDescent="0.55000000000000004">
      <c r="A10407" t="s">
        <v>10488</v>
      </c>
      <c r="B10407" t="s">
        <v>118</v>
      </c>
      <c r="C10407" s="2">
        <v>45320</v>
      </c>
      <c r="D10407" t="s">
        <v>29</v>
      </c>
      <c r="E10407">
        <v>1655</v>
      </c>
    </row>
    <row r="10408" spans="1:5" x14ac:dyDescent="0.55000000000000004">
      <c r="A10408" t="s">
        <v>10489</v>
      </c>
      <c r="B10408" t="s">
        <v>63</v>
      </c>
      <c r="C10408" s="2">
        <v>44448</v>
      </c>
      <c r="D10408" t="s">
        <v>29</v>
      </c>
      <c r="E10408">
        <v>553</v>
      </c>
    </row>
    <row r="10409" spans="1:5" x14ac:dyDescent="0.55000000000000004">
      <c r="A10409" t="s">
        <v>10490</v>
      </c>
      <c r="B10409" t="s">
        <v>78</v>
      </c>
      <c r="C10409" s="2">
        <v>43498</v>
      </c>
      <c r="D10409" t="s">
        <v>26</v>
      </c>
      <c r="E10409">
        <v>1224</v>
      </c>
    </row>
    <row r="10410" spans="1:5" x14ac:dyDescent="0.55000000000000004">
      <c r="A10410" t="s">
        <v>10491</v>
      </c>
      <c r="B10410" t="s">
        <v>67</v>
      </c>
      <c r="C10410" s="2">
        <v>43845</v>
      </c>
      <c r="D10410" t="s">
        <v>26</v>
      </c>
      <c r="E10410">
        <v>1204</v>
      </c>
    </row>
    <row r="10411" spans="1:5" x14ac:dyDescent="0.55000000000000004">
      <c r="A10411" t="s">
        <v>10492</v>
      </c>
      <c r="B10411" t="s">
        <v>105</v>
      </c>
      <c r="C10411" s="2">
        <v>44438</v>
      </c>
      <c r="D10411" t="s">
        <v>29</v>
      </c>
      <c r="E10411">
        <v>1781</v>
      </c>
    </row>
    <row r="10412" spans="1:5" x14ac:dyDescent="0.55000000000000004">
      <c r="A10412" t="s">
        <v>10493</v>
      </c>
      <c r="B10412" t="s">
        <v>156</v>
      </c>
      <c r="C10412" s="2">
        <v>43901</v>
      </c>
      <c r="D10412" t="s">
        <v>29</v>
      </c>
      <c r="E10412">
        <v>609</v>
      </c>
    </row>
    <row r="10413" spans="1:5" x14ac:dyDescent="0.55000000000000004">
      <c r="A10413" t="s">
        <v>10494</v>
      </c>
      <c r="B10413" t="s">
        <v>78</v>
      </c>
      <c r="C10413" s="2">
        <v>45157</v>
      </c>
      <c r="D10413" t="s">
        <v>29</v>
      </c>
      <c r="E10413">
        <v>1125</v>
      </c>
    </row>
    <row r="10414" spans="1:5" x14ac:dyDescent="0.55000000000000004">
      <c r="A10414" t="s">
        <v>10495</v>
      </c>
      <c r="B10414" t="s">
        <v>76</v>
      </c>
      <c r="C10414" s="2">
        <v>43588</v>
      </c>
      <c r="D10414" t="s">
        <v>29</v>
      </c>
      <c r="E10414">
        <v>1896</v>
      </c>
    </row>
    <row r="10415" spans="1:5" x14ac:dyDescent="0.55000000000000004">
      <c r="A10415" t="s">
        <v>10496</v>
      </c>
      <c r="B10415" t="s">
        <v>35</v>
      </c>
      <c r="C10415" s="2">
        <v>44228</v>
      </c>
      <c r="D10415" t="s">
        <v>26</v>
      </c>
      <c r="E10415">
        <v>2027</v>
      </c>
    </row>
    <row r="10416" spans="1:5" x14ac:dyDescent="0.55000000000000004">
      <c r="A10416" t="s">
        <v>10497</v>
      </c>
      <c r="B10416" t="s">
        <v>32</v>
      </c>
      <c r="C10416" s="2">
        <v>44720</v>
      </c>
      <c r="D10416" t="s">
        <v>29</v>
      </c>
      <c r="E10416">
        <v>981</v>
      </c>
    </row>
    <row r="10417" spans="1:5" x14ac:dyDescent="0.55000000000000004">
      <c r="A10417" t="s">
        <v>10498</v>
      </c>
      <c r="B10417" t="s">
        <v>15</v>
      </c>
      <c r="C10417" s="2">
        <v>44133</v>
      </c>
      <c r="D10417" t="s">
        <v>29</v>
      </c>
      <c r="E10417">
        <v>2122</v>
      </c>
    </row>
    <row r="10418" spans="1:5" x14ac:dyDescent="0.55000000000000004">
      <c r="A10418" t="s">
        <v>10499</v>
      </c>
      <c r="B10418" t="s">
        <v>74</v>
      </c>
      <c r="C10418" s="2">
        <v>44315</v>
      </c>
      <c r="D10418" t="s">
        <v>29</v>
      </c>
      <c r="E10418">
        <v>1817</v>
      </c>
    </row>
    <row r="10419" spans="1:5" x14ac:dyDescent="0.55000000000000004">
      <c r="A10419" t="s">
        <v>10500</v>
      </c>
      <c r="B10419" t="s">
        <v>175</v>
      </c>
      <c r="C10419" s="2">
        <v>44704</v>
      </c>
      <c r="D10419" t="s">
        <v>29</v>
      </c>
      <c r="E10419">
        <v>2496</v>
      </c>
    </row>
    <row r="10420" spans="1:5" x14ac:dyDescent="0.55000000000000004">
      <c r="A10420" t="s">
        <v>10501</v>
      </c>
      <c r="B10420" t="s">
        <v>23</v>
      </c>
      <c r="C10420" s="2">
        <v>44176</v>
      </c>
      <c r="D10420" t="s">
        <v>29</v>
      </c>
      <c r="E10420">
        <v>1589</v>
      </c>
    </row>
    <row r="10421" spans="1:5" x14ac:dyDescent="0.55000000000000004">
      <c r="A10421" t="s">
        <v>10502</v>
      </c>
      <c r="B10421" t="s">
        <v>67</v>
      </c>
      <c r="C10421" s="2">
        <v>45292</v>
      </c>
      <c r="D10421" t="s">
        <v>26</v>
      </c>
      <c r="E10421">
        <v>1253</v>
      </c>
    </row>
    <row r="10422" spans="1:5" x14ac:dyDescent="0.55000000000000004">
      <c r="A10422" t="s">
        <v>10503</v>
      </c>
      <c r="B10422" t="s">
        <v>84</v>
      </c>
      <c r="C10422" s="2">
        <v>43703</v>
      </c>
      <c r="D10422" t="s">
        <v>26</v>
      </c>
      <c r="E10422">
        <v>2330</v>
      </c>
    </row>
    <row r="10423" spans="1:5" x14ac:dyDescent="0.55000000000000004">
      <c r="A10423" t="s">
        <v>10504</v>
      </c>
      <c r="B10423" t="s">
        <v>32</v>
      </c>
      <c r="C10423" s="2">
        <v>44516</v>
      </c>
      <c r="D10423" t="s">
        <v>26</v>
      </c>
      <c r="E10423">
        <v>376</v>
      </c>
    </row>
    <row r="10424" spans="1:5" x14ac:dyDescent="0.55000000000000004">
      <c r="A10424" t="s">
        <v>10505</v>
      </c>
      <c r="B10424" t="s">
        <v>137</v>
      </c>
      <c r="C10424" s="2">
        <v>44805</v>
      </c>
      <c r="D10424" t="s">
        <v>29</v>
      </c>
      <c r="E10424">
        <v>1790</v>
      </c>
    </row>
    <row r="10425" spans="1:5" x14ac:dyDescent="0.55000000000000004">
      <c r="A10425" t="s">
        <v>10506</v>
      </c>
      <c r="B10425" t="s">
        <v>101</v>
      </c>
      <c r="C10425" s="2">
        <v>43553</v>
      </c>
      <c r="D10425" t="s">
        <v>26</v>
      </c>
      <c r="E10425">
        <v>802</v>
      </c>
    </row>
    <row r="10426" spans="1:5" x14ac:dyDescent="0.55000000000000004">
      <c r="A10426" t="s">
        <v>10507</v>
      </c>
      <c r="B10426" t="s">
        <v>32</v>
      </c>
      <c r="C10426" s="2">
        <v>44402</v>
      </c>
      <c r="D10426" t="s">
        <v>26</v>
      </c>
      <c r="E10426">
        <v>625</v>
      </c>
    </row>
    <row r="10427" spans="1:5" x14ac:dyDescent="0.55000000000000004">
      <c r="A10427" t="s">
        <v>10508</v>
      </c>
      <c r="B10427" t="s">
        <v>35</v>
      </c>
      <c r="C10427" s="2">
        <v>44606</v>
      </c>
      <c r="D10427" t="s">
        <v>26</v>
      </c>
      <c r="E10427">
        <v>2275</v>
      </c>
    </row>
    <row r="10428" spans="1:5" x14ac:dyDescent="0.55000000000000004">
      <c r="A10428" t="s">
        <v>10509</v>
      </c>
      <c r="B10428" t="s">
        <v>23</v>
      </c>
      <c r="C10428" s="2">
        <v>44599</v>
      </c>
      <c r="D10428" t="s">
        <v>29</v>
      </c>
      <c r="E10428">
        <v>2413</v>
      </c>
    </row>
    <row r="10429" spans="1:5" x14ac:dyDescent="0.55000000000000004">
      <c r="A10429" t="s">
        <v>10510</v>
      </c>
      <c r="B10429" t="s">
        <v>101</v>
      </c>
      <c r="C10429" s="2">
        <v>43716</v>
      </c>
      <c r="D10429" t="s">
        <v>29</v>
      </c>
      <c r="E10429">
        <v>2734</v>
      </c>
    </row>
    <row r="10430" spans="1:5" x14ac:dyDescent="0.55000000000000004">
      <c r="A10430" t="s">
        <v>10511</v>
      </c>
      <c r="B10430" t="s">
        <v>137</v>
      </c>
      <c r="C10430" s="2">
        <v>45593</v>
      </c>
      <c r="D10430" t="s">
        <v>26</v>
      </c>
      <c r="E10430">
        <v>498</v>
      </c>
    </row>
    <row r="10431" spans="1:5" x14ac:dyDescent="0.55000000000000004">
      <c r="A10431" t="s">
        <v>10512</v>
      </c>
      <c r="B10431" t="s">
        <v>38</v>
      </c>
      <c r="C10431" s="2">
        <v>44203</v>
      </c>
      <c r="D10431" t="s">
        <v>26</v>
      </c>
      <c r="E10431">
        <v>2361</v>
      </c>
    </row>
    <row r="10432" spans="1:5" x14ac:dyDescent="0.55000000000000004">
      <c r="A10432" t="s">
        <v>10513</v>
      </c>
      <c r="B10432" t="s">
        <v>137</v>
      </c>
      <c r="C10432" s="2">
        <v>44063</v>
      </c>
      <c r="D10432" t="s">
        <v>26</v>
      </c>
      <c r="E10432">
        <v>2723</v>
      </c>
    </row>
    <row r="10433" spans="1:5" x14ac:dyDescent="0.55000000000000004">
      <c r="A10433" t="s">
        <v>10514</v>
      </c>
      <c r="B10433" t="s">
        <v>118</v>
      </c>
      <c r="C10433" s="2">
        <v>44024</v>
      </c>
      <c r="D10433" t="s">
        <v>29</v>
      </c>
      <c r="E10433">
        <v>1571</v>
      </c>
    </row>
    <row r="10434" spans="1:5" x14ac:dyDescent="0.55000000000000004">
      <c r="A10434" t="s">
        <v>10515</v>
      </c>
      <c r="B10434" t="s">
        <v>99</v>
      </c>
      <c r="C10434" s="2">
        <v>45475</v>
      </c>
      <c r="D10434" t="s">
        <v>26</v>
      </c>
      <c r="E10434">
        <v>760</v>
      </c>
    </row>
    <row r="10435" spans="1:5" x14ac:dyDescent="0.55000000000000004">
      <c r="A10435" t="s">
        <v>10516</v>
      </c>
      <c r="B10435" t="s">
        <v>94</v>
      </c>
      <c r="C10435" s="2">
        <v>43680</v>
      </c>
      <c r="D10435" t="s">
        <v>26</v>
      </c>
      <c r="E10435">
        <v>1915</v>
      </c>
    </row>
    <row r="10436" spans="1:5" x14ac:dyDescent="0.55000000000000004">
      <c r="A10436" t="s">
        <v>10517</v>
      </c>
      <c r="B10436" t="s">
        <v>151</v>
      </c>
      <c r="C10436" s="2">
        <v>43388</v>
      </c>
      <c r="D10436" t="s">
        <v>29</v>
      </c>
      <c r="E10436">
        <v>2895</v>
      </c>
    </row>
    <row r="10437" spans="1:5" x14ac:dyDescent="0.55000000000000004">
      <c r="A10437" t="s">
        <v>10518</v>
      </c>
      <c r="B10437" t="s">
        <v>99</v>
      </c>
      <c r="C10437" s="2">
        <v>44571</v>
      </c>
      <c r="D10437" t="s">
        <v>26</v>
      </c>
      <c r="E10437">
        <v>1584</v>
      </c>
    </row>
    <row r="10438" spans="1:5" x14ac:dyDescent="0.55000000000000004">
      <c r="A10438" t="s">
        <v>10519</v>
      </c>
      <c r="B10438" t="s">
        <v>38</v>
      </c>
      <c r="C10438" s="2">
        <v>43962</v>
      </c>
      <c r="D10438" t="s">
        <v>26</v>
      </c>
      <c r="E10438">
        <v>2108</v>
      </c>
    </row>
    <row r="10439" spans="1:5" x14ac:dyDescent="0.55000000000000004">
      <c r="A10439" t="s">
        <v>10520</v>
      </c>
      <c r="B10439" t="s">
        <v>140</v>
      </c>
      <c r="C10439" s="2">
        <v>43924</v>
      </c>
      <c r="D10439" t="s">
        <v>29</v>
      </c>
      <c r="E10439">
        <v>2895</v>
      </c>
    </row>
    <row r="10440" spans="1:5" x14ac:dyDescent="0.55000000000000004">
      <c r="A10440" t="s">
        <v>10521</v>
      </c>
      <c r="B10440" t="s">
        <v>94</v>
      </c>
      <c r="C10440" s="2">
        <v>45599</v>
      </c>
      <c r="D10440" t="s">
        <v>29</v>
      </c>
      <c r="E10440">
        <v>2030</v>
      </c>
    </row>
    <row r="10441" spans="1:5" x14ac:dyDescent="0.55000000000000004">
      <c r="A10441" t="s">
        <v>10522</v>
      </c>
      <c r="B10441" t="s">
        <v>67</v>
      </c>
      <c r="C10441" s="2">
        <v>44467</v>
      </c>
      <c r="D10441" t="s">
        <v>26</v>
      </c>
      <c r="E10441">
        <v>1087</v>
      </c>
    </row>
    <row r="10442" spans="1:5" x14ac:dyDescent="0.55000000000000004">
      <c r="A10442" t="s">
        <v>10523</v>
      </c>
      <c r="B10442" t="s">
        <v>137</v>
      </c>
      <c r="C10442" s="2">
        <v>44816</v>
      </c>
      <c r="D10442" t="s">
        <v>29</v>
      </c>
      <c r="E10442">
        <v>2392</v>
      </c>
    </row>
    <row r="10443" spans="1:5" x14ac:dyDescent="0.55000000000000004">
      <c r="A10443" t="s">
        <v>10524</v>
      </c>
      <c r="B10443" t="s">
        <v>101</v>
      </c>
      <c r="C10443" s="2">
        <v>44322</v>
      </c>
      <c r="D10443" t="s">
        <v>29</v>
      </c>
      <c r="E10443">
        <v>2767</v>
      </c>
    </row>
    <row r="10444" spans="1:5" x14ac:dyDescent="0.55000000000000004">
      <c r="A10444" t="s">
        <v>10525</v>
      </c>
      <c r="B10444" t="s">
        <v>118</v>
      </c>
      <c r="C10444" s="2">
        <v>45306</v>
      </c>
      <c r="D10444" t="s">
        <v>29</v>
      </c>
      <c r="E10444">
        <v>2669</v>
      </c>
    </row>
    <row r="10445" spans="1:5" x14ac:dyDescent="0.55000000000000004">
      <c r="A10445" t="s">
        <v>10526</v>
      </c>
      <c r="B10445" t="s">
        <v>175</v>
      </c>
      <c r="C10445" s="2">
        <v>44989</v>
      </c>
      <c r="D10445" t="s">
        <v>29</v>
      </c>
      <c r="E10445">
        <v>2057</v>
      </c>
    </row>
    <row r="10446" spans="1:5" x14ac:dyDescent="0.55000000000000004">
      <c r="A10446" t="s">
        <v>10527</v>
      </c>
      <c r="B10446" t="s">
        <v>101</v>
      </c>
      <c r="C10446" s="2">
        <v>44067</v>
      </c>
      <c r="D10446" t="s">
        <v>26</v>
      </c>
      <c r="E10446">
        <v>221</v>
      </c>
    </row>
    <row r="10447" spans="1:5" x14ac:dyDescent="0.55000000000000004">
      <c r="A10447" t="s">
        <v>10528</v>
      </c>
      <c r="B10447" t="s">
        <v>94</v>
      </c>
      <c r="C10447" s="2">
        <v>44910</v>
      </c>
      <c r="D10447" t="s">
        <v>29</v>
      </c>
      <c r="E10447">
        <v>274</v>
      </c>
    </row>
    <row r="10448" spans="1:5" x14ac:dyDescent="0.55000000000000004">
      <c r="A10448" t="s">
        <v>10529</v>
      </c>
      <c r="B10448" t="s">
        <v>76</v>
      </c>
      <c r="C10448" s="2">
        <v>44005</v>
      </c>
      <c r="D10448" t="s">
        <v>29</v>
      </c>
      <c r="E10448">
        <v>2609</v>
      </c>
    </row>
    <row r="10449" spans="1:5" x14ac:dyDescent="0.55000000000000004">
      <c r="A10449" t="s">
        <v>10530</v>
      </c>
      <c r="B10449" t="s">
        <v>78</v>
      </c>
      <c r="C10449" s="2">
        <v>45427</v>
      </c>
      <c r="D10449" t="s">
        <v>29</v>
      </c>
      <c r="E10449">
        <v>1069</v>
      </c>
    </row>
    <row r="10450" spans="1:5" x14ac:dyDescent="0.55000000000000004">
      <c r="A10450" t="s">
        <v>10531</v>
      </c>
      <c r="B10450" t="s">
        <v>35</v>
      </c>
      <c r="C10450" s="2">
        <v>44354</v>
      </c>
      <c r="D10450" t="s">
        <v>29</v>
      </c>
      <c r="E10450">
        <v>879</v>
      </c>
    </row>
    <row r="10451" spans="1:5" x14ac:dyDescent="0.55000000000000004">
      <c r="A10451" t="s">
        <v>10532</v>
      </c>
      <c r="B10451" t="s">
        <v>140</v>
      </c>
      <c r="C10451" s="2">
        <v>43376</v>
      </c>
      <c r="D10451" t="s">
        <v>26</v>
      </c>
      <c r="E10451">
        <v>1912</v>
      </c>
    </row>
    <row r="10452" spans="1:5" x14ac:dyDescent="0.55000000000000004">
      <c r="A10452" t="s">
        <v>10533</v>
      </c>
      <c r="B10452" t="s">
        <v>142</v>
      </c>
      <c r="C10452" s="2">
        <v>43669</v>
      </c>
      <c r="D10452" t="s">
        <v>29</v>
      </c>
      <c r="E10452">
        <v>439</v>
      </c>
    </row>
    <row r="10453" spans="1:5" x14ac:dyDescent="0.55000000000000004">
      <c r="A10453" t="s">
        <v>10534</v>
      </c>
      <c r="B10453" t="s">
        <v>84</v>
      </c>
      <c r="C10453" s="2">
        <v>43806</v>
      </c>
      <c r="D10453" t="s">
        <v>29</v>
      </c>
      <c r="E10453">
        <v>790</v>
      </c>
    </row>
    <row r="10454" spans="1:5" x14ac:dyDescent="0.55000000000000004">
      <c r="A10454" t="s">
        <v>10535</v>
      </c>
      <c r="B10454" t="s">
        <v>94</v>
      </c>
      <c r="C10454" s="2">
        <v>44495</v>
      </c>
      <c r="D10454" t="s">
        <v>29</v>
      </c>
      <c r="E10454">
        <v>727</v>
      </c>
    </row>
    <row r="10455" spans="1:5" x14ac:dyDescent="0.55000000000000004">
      <c r="A10455" t="s">
        <v>10536</v>
      </c>
      <c r="B10455" t="s">
        <v>142</v>
      </c>
      <c r="C10455" s="2">
        <v>43042</v>
      </c>
      <c r="D10455" t="s">
        <v>29</v>
      </c>
      <c r="E10455">
        <v>618</v>
      </c>
    </row>
    <row r="10456" spans="1:5" x14ac:dyDescent="0.55000000000000004">
      <c r="A10456" t="s">
        <v>10537</v>
      </c>
      <c r="B10456" t="s">
        <v>74</v>
      </c>
      <c r="C10456" s="2">
        <v>44319</v>
      </c>
      <c r="D10456" t="s">
        <v>29</v>
      </c>
      <c r="E10456">
        <v>1814</v>
      </c>
    </row>
    <row r="10457" spans="1:5" x14ac:dyDescent="0.55000000000000004">
      <c r="A10457" t="s">
        <v>10538</v>
      </c>
      <c r="B10457" t="s">
        <v>84</v>
      </c>
      <c r="C10457" s="2">
        <v>43850</v>
      </c>
      <c r="D10457" t="s">
        <v>26</v>
      </c>
      <c r="E10457">
        <v>1510</v>
      </c>
    </row>
    <row r="10458" spans="1:5" x14ac:dyDescent="0.55000000000000004">
      <c r="A10458" t="s">
        <v>10539</v>
      </c>
      <c r="B10458" t="s">
        <v>72</v>
      </c>
      <c r="C10458" s="2">
        <v>43020</v>
      </c>
      <c r="D10458" t="s">
        <v>26</v>
      </c>
      <c r="E10458">
        <v>1334</v>
      </c>
    </row>
    <row r="10459" spans="1:5" x14ac:dyDescent="0.55000000000000004">
      <c r="A10459" t="s">
        <v>10540</v>
      </c>
      <c r="B10459" t="s">
        <v>74</v>
      </c>
      <c r="C10459" s="2">
        <v>44210</v>
      </c>
      <c r="D10459" t="s">
        <v>26</v>
      </c>
      <c r="E10459">
        <v>2341</v>
      </c>
    </row>
    <row r="10460" spans="1:5" x14ac:dyDescent="0.55000000000000004">
      <c r="A10460" t="s">
        <v>10541</v>
      </c>
      <c r="B10460" t="s">
        <v>67</v>
      </c>
      <c r="C10460" s="2">
        <v>44889</v>
      </c>
      <c r="D10460" t="s">
        <v>26</v>
      </c>
      <c r="E10460">
        <v>1393</v>
      </c>
    </row>
    <row r="10461" spans="1:5" x14ac:dyDescent="0.55000000000000004">
      <c r="A10461" t="s">
        <v>10542</v>
      </c>
      <c r="B10461" t="s">
        <v>140</v>
      </c>
      <c r="C10461" s="2">
        <v>43683</v>
      </c>
      <c r="D10461" t="s">
        <v>26</v>
      </c>
      <c r="E10461">
        <v>964</v>
      </c>
    </row>
    <row r="10462" spans="1:5" x14ac:dyDescent="0.55000000000000004">
      <c r="A10462" t="s">
        <v>10543</v>
      </c>
      <c r="B10462" t="s">
        <v>63</v>
      </c>
      <c r="C10462" s="2">
        <v>43565</v>
      </c>
      <c r="D10462" t="s">
        <v>29</v>
      </c>
      <c r="E10462">
        <v>203</v>
      </c>
    </row>
    <row r="10463" spans="1:5" x14ac:dyDescent="0.55000000000000004">
      <c r="A10463" t="s">
        <v>10544</v>
      </c>
      <c r="B10463" t="s">
        <v>99</v>
      </c>
      <c r="C10463" s="2">
        <v>43824</v>
      </c>
      <c r="D10463" t="s">
        <v>29</v>
      </c>
      <c r="E10463">
        <v>768</v>
      </c>
    </row>
    <row r="10464" spans="1:5" x14ac:dyDescent="0.55000000000000004">
      <c r="A10464" t="s">
        <v>10545</v>
      </c>
      <c r="B10464" t="s">
        <v>105</v>
      </c>
      <c r="C10464" s="2">
        <v>43297</v>
      </c>
      <c r="D10464" t="s">
        <v>29</v>
      </c>
      <c r="E10464">
        <v>1733</v>
      </c>
    </row>
    <row r="10465" spans="1:5" x14ac:dyDescent="0.55000000000000004">
      <c r="A10465" t="s">
        <v>10546</v>
      </c>
      <c r="B10465" t="s">
        <v>140</v>
      </c>
      <c r="C10465" s="2">
        <v>44371</v>
      </c>
      <c r="D10465" t="s">
        <v>26</v>
      </c>
      <c r="E10465">
        <v>762</v>
      </c>
    </row>
    <row r="10466" spans="1:5" x14ac:dyDescent="0.55000000000000004">
      <c r="A10466" t="s">
        <v>10547</v>
      </c>
      <c r="B10466" t="s">
        <v>76</v>
      </c>
      <c r="C10466" s="2">
        <v>45472</v>
      </c>
      <c r="D10466" t="s">
        <v>26</v>
      </c>
      <c r="E10466">
        <v>1143</v>
      </c>
    </row>
    <row r="10467" spans="1:5" x14ac:dyDescent="0.55000000000000004">
      <c r="A10467" t="s">
        <v>10548</v>
      </c>
      <c r="B10467" t="s">
        <v>72</v>
      </c>
      <c r="C10467" s="2">
        <v>43341</v>
      </c>
      <c r="D10467" t="s">
        <v>26</v>
      </c>
      <c r="E10467">
        <v>2244</v>
      </c>
    </row>
    <row r="10468" spans="1:5" x14ac:dyDescent="0.55000000000000004">
      <c r="A10468" t="s">
        <v>10549</v>
      </c>
      <c r="B10468" t="s">
        <v>115</v>
      </c>
      <c r="C10468" s="2">
        <v>42920</v>
      </c>
      <c r="D10468" t="s">
        <v>29</v>
      </c>
      <c r="E10468">
        <v>166</v>
      </c>
    </row>
    <row r="10469" spans="1:5" x14ac:dyDescent="0.55000000000000004">
      <c r="A10469" t="s">
        <v>10550</v>
      </c>
      <c r="B10469" t="s">
        <v>78</v>
      </c>
      <c r="C10469" s="2">
        <v>45536</v>
      </c>
      <c r="D10469" t="s">
        <v>26</v>
      </c>
      <c r="E10469">
        <v>2011</v>
      </c>
    </row>
    <row r="10470" spans="1:5" x14ac:dyDescent="0.55000000000000004">
      <c r="A10470" t="s">
        <v>10551</v>
      </c>
      <c r="B10470" t="s">
        <v>142</v>
      </c>
      <c r="C10470" s="2">
        <v>42995</v>
      </c>
      <c r="D10470" t="s">
        <v>29</v>
      </c>
      <c r="E10470">
        <v>618</v>
      </c>
    </row>
    <row r="10471" spans="1:5" x14ac:dyDescent="0.55000000000000004">
      <c r="A10471" t="s">
        <v>10552</v>
      </c>
      <c r="B10471" t="s">
        <v>72</v>
      </c>
      <c r="C10471" s="2">
        <v>44152</v>
      </c>
      <c r="D10471" t="s">
        <v>26</v>
      </c>
      <c r="E10471">
        <v>2165</v>
      </c>
    </row>
    <row r="10472" spans="1:5" x14ac:dyDescent="0.55000000000000004">
      <c r="A10472" t="s">
        <v>10553</v>
      </c>
      <c r="B10472" t="s">
        <v>84</v>
      </c>
      <c r="C10472" s="2">
        <v>43632</v>
      </c>
      <c r="D10472" t="s">
        <v>29</v>
      </c>
      <c r="E10472">
        <v>2680</v>
      </c>
    </row>
    <row r="10473" spans="1:5" x14ac:dyDescent="0.55000000000000004">
      <c r="A10473" t="s">
        <v>10554</v>
      </c>
      <c r="B10473" t="s">
        <v>118</v>
      </c>
      <c r="C10473" s="2">
        <v>44676</v>
      </c>
      <c r="D10473" t="s">
        <v>29</v>
      </c>
      <c r="E10473">
        <v>1482</v>
      </c>
    </row>
    <row r="10474" spans="1:5" x14ac:dyDescent="0.55000000000000004">
      <c r="A10474" t="s">
        <v>10555</v>
      </c>
      <c r="B10474" t="s">
        <v>32</v>
      </c>
      <c r="C10474" s="2">
        <v>43873</v>
      </c>
      <c r="D10474" t="s">
        <v>29</v>
      </c>
      <c r="E10474">
        <v>543</v>
      </c>
    </row>
    <row r="10475" spans="1:5" x14ac:dyDescent="0.55000000000000004">
      <c r="A10475" t="s">
        <v>10556</v>
      </c>
      <c r="B10475" t="s">
        <v>96</v>
      </c>
      <c r="C10475" s="2">
        <v>43543</v>
      </c>
      <c r="D10475" t="s">
        <v>26</v>
      </c>
      <c r="E10475">
        <v>1439</v>
      </c>
    </row>
    <row r="10476" spans="1:5" x14ac:dyDescent="0.55000000000000004">
      <c r="A10476" t="s">
        <v>10557</v>
      </c>
      <c r="B10476" t="s">
        <v>32</v>
      </c>
      <c r="C10476" s="2">
        <v>44710</v>
      </c>
      <c r="D10476" t="s">
        <v>26</v>
      </c>
      <c r="E10476">
        <v>463</v>
      </c>
    </row>
    <row r="10477" spans="1:5" x14ac:dyDescent="0.55000000000000004">
      <c r="A10477" t="s">
        <v>10558</v>
      </c>
      <c r="B10477" t="s">
        <v>137</v>
      </c>
      <c r="C10477" s="2">
        <v>44653</v>
      </c>
      <c r="D10477" t="s">
        <v>26</v>
      </c>
      <c r="E10477">
        <v>1296</v>
      </c>
    </row>
    <row r="10478" spans="1:5" x14ac:dyDescent="0.55000000000000004">
      <c r="A10478" t="s">
        <v>10559</v>
      </c>
      <c r="B10478" t="s">
        <v>94</v>
      </c>
      <c r="C10478" s="2">
        <v>45529</v>
      </c>
      <c r="D10478" t="s">
        <v>26</v>
      </c>
      <c r="E10478">
        <v>183</v>
      </c>
    </row>
    <row r="10479" spans="1:5" x14ac:dyDescent="0.55000000000000004">
      <c r="A10479" t="s">
        <v>10560</v>
      </c>
      <c r="B10479" t="s">
        <v>156</v>
      </c>
      <c r="C10479" s="2">
        <v>42929</v>
      </c>
      <c r="D10479" t="s">
        <v>29</v>
      </c>
      <c r="E10479">
        <v>1962</v>
      </c>
    </row>
    <row r="10480" spans="1:5" x14ac:dyDescent="0.55000000000000004">
      <c r="A10480" t="s">
        <v>10561</v>
      </c>
      <c r="B10480" t="s">
        <v>78</v>
      </c>
      <c r="C10480" s="2">
        <v>44966</v>
      </c>
      <c r="D10480" t="s">
        <v>26</v>
      </c>
      <c r="E10480">
        <v>904</v>
      </c>
    </row>
    <row r="10481" spans="1:5" x14ac:dyDescent="0.55000000000000004">
      <c r="A10481" t="s">
        <v>10562</v>
      </c>
      <c r="B10481" t="s">
        <v>142</v>
      </c>
      <c r="C10481" s="2">
        <v>43793</v>
      </c>
      <c r="D10481" t="s">
        <v>26</v>
      </c>
      <c r="E10481">
        <v>44</v>
      </c>
    </row>
    <row r="10482" spans="1:5" x14ac:dyDescent="0.55000000000000004">
      <c r="A10482" t="s">
        <v>10563</v>
      </c>
      <c r="B10482" t="s">
        <v>32</v>
      </c>
      <c r="C10482" s="2">
        <v>44144</v>
      </c>
      <c r="D10482" t="s">
        <v>26</v>
      </c>
      <c r="E10482">
        <v>445</v>
      </c>
    </row>
    <row r="10483" spans="1:5" x14ac:dyDescent="0.55000000000000004">
      <c r="A10483" t="s">
        <v>10564</v>
      </c>
      <c r="B10483" t="s">
        <v>101</v>
      </c>
      <c r="C10483" s="2">
        <v>44042</v>
      </c>
      <c r="D10483" t="s">
        <v>29</v>
      </c>
      <c r="E10483">
        <v>1177</v>
      </c>
    </row>
    <row r="10484" spans="1:5" x14ac:dyDescent="0.55000000000000004">
      <c r="A10484" t="s">
        <v>10565</v>
      </c>
      <c r="B10484" t="s">
        <v>111</v>
      </c>
      <c r="C10484" s="2">
        <v>43328</v>
      </c>
      <c r="D10484" t="s">
        <v>29</v>
      </c>
      <c r="E10484">
        <v>451</v>
      </c>
    </row>
    <row r="10485" spans="1:5" x14ac:dyDescent="0.55000000000000004">
      <c r="A10485" t="s">
        <v>10566</v>
      </c>
      <c r="B10485" t="s">
        <v>156</v>
      </c>
      <c r="C10485" s="2">
        <v>43832</v>
      </c>
      <c r="D10485" t="s">
        <v>26</v>
      </c>
      <c r="E10485">
        <v>634</v>
      </c>
    </row>
    <row r="10486" spans="1:5" x14ac:dyDescent="0.55000000000000004">
      <c r="A10486" t="s">
        <v>10567</v>
      </c>
      <c r="B10486" t="s">
        <v>142</v>
      </c>
      <c r="C10486" s="2">
        <v>43497</v>
      </c>
      <c r="D10486" t="s">
        <v>26</v>
      </c>
      <c r="E10486">
        <v>338</v>
      </c>
    </row>
    <row r="10487" spans="1:5" x14ac:dyDescent="0.55000000000000004">
      <c r="A10487" t="s">
        <v>10568</v>
      </c>
      <c r="B10487" t="s">
        <v>32</v>
      </c>
      <c r="C10487" s="2">
        <v>44089</v>
      </c>
      <c r="D10487" t="s">
        <v>29</v>
      </c>
      <c r="E10487">
        <v>1155</v>
      </c>
    </row>
    <row r="10488" spans="1:5" x14ac:dyDescent="0.55000000000000004">
      <c r="A10488" t="s">
        <v>10569</v>
      </c>
      <c r="B10488" t="s">
        <v>63</v>
      </c>
      <c r="C10488" s="2">
        <v>44555</v>
      </c>
      <c r="D10488" t="s">
        <v>26</v>
      </c>
      <c r="E10488">
        <v>735</v>
      </c>
    </row>
    <row r="10489" spans="1:5" x14ac:dyDescent="0.55000000000000004">
      <c r="A10489" t="s">
        <v>10570</v>
      </c>
      <c r="B10489" t="s">
        <v>140</v>
      </c>
      <c r="C10489" s="2">
        <v>43787</v>
      </c>
      <c r="D10489" t="s">
        <v>29</v>
      </c>
      <c r="E10489">
        <v>1439</v>
      </c>
    </row>
    <row r="10490" spans="1:5" x14ac:dyDescent="0.55000000000000004">
      <c r="A10490" t="s">
        <v>10571</v>
      </c>
      <c r="B10490" t="s">
        <v>101</v>
      </c>
      <c r="C10490" s="2">
        <v>43005</v>
      </c>
      <c r="D10490" t="s">
        <v>26</v>
      </c>
      <c r="E10490">
        <v>907</v>
      </c>
    </row>
    <row r="10491" spans="1:5" x14ac:dyDescent="0.55000000000000004">
      <c r="A10491" t="s">
        <v>10572</v>
      </c>
      <c r="B10491" t="s">
        <v>151</v>
      </c>
      <c r="C10491" s="2">
        <v>43739</v>
      </c>
      <c r="D10491" t="s">
        <v>26</v>
      </c>
      <c r="E10491">
        <v>1695</v>
      </c>
    </row>
    <row r="10492" spans="1:5" x14ac:dyDescent="0.55000000000000004">
      <c r="A10492" t="s">
        <v>10573</v>
      </c>
      <c r="B10492" t="s">
        <v>86</v>
      </c>
      <c r="C10492" s="2">
        <v>43612</v>
      </c>
      <c r="D10492" t="s">
        <v>26</v>
      </c>
      <c r="E10492">
        <v>1714</v>
      </c>
    </row>
    <row r="10493" spans="1:5" x14ac:dyDescent="0.55000000000000004">
      <c r="A10493" t="s">
        <v>10574</v>
      </c>
      <c r="B10493" t="s">
        <v>118</v>
      </c>
      <c r="C10493" s="2">
        <v>44062</v>
      </c>
      <c r="D10493" t="s">
        <v>29</v>
      </c>
      <c r="E10493">
        <v>1858</v>
      </c>
    </row>
    <row r="10494" spans="1:5" x14ac:dyDescent="0.55000000000000004">
      <c r="A10494" t="s">
        <v>10575</v>
      </c>
      <c r="B10494" t="s">
        <v>111</v>
      </c>
      <c r="C10494" s="2">
        <v>43596</v>
      </c>
      <c r="D10494" t="s">
        <v>29</v>
      </c>
      <c r="E10494">
        <v>613</v>
      </c>
    </row>
    <row r="10495" spans="1:5" x14ac:dyDescent="0.55000000000000004">
      <c r="A10495" t="s">
        <v>10576</v>
      </c>
      <c r="B10495" t="s">
        <v>140</v>
      </c>
      <c r="C10495" s="2">
        <v>43852</v>
      </c>
      <c r="D10495" t="s">
        <v>26</v>
      </c>
      <c r="E10495">
        <v>221</v>
      </c>
    </row>
    <row r="10496" spans="1:5" x14ac:dyDescent="0.55000000000000004">
      <c r="A10496" t="s">
        <v>10577</v>
      </c>
      <c r="B10496" t="s">
        <v>38</v>
      </c>
      <c r="C10496" s="2">
        <v>44326</v>
      </c>
      <c r="D10496" t="s">
        <v>29</v>
      </c>
      <c r="E10496">
        <v>2576</v>
      </c>
    </row>
    <row r="10497" spans="1:5" x14ac:dyDescent="0.55000000000000004">
      <c r="A10497" t="s">
        <v>10578</v>
      </c>
      <c r="B10497" t="s">
        <v>94</v>
      </c>
      <c r="C10497" s="2">
        <v>45403</v>
      </c>
      <c r="D10497" t="s">
        <v>26</v>
      </c>
      <c r="E10497">
        <v>589</v>
      </c>
    </row>
    <row r="10498" spans="1:5" x14ac:dyDescent="0.55000000000000004">
      <c r="A10498" t="s">
        <v>10579</v>
      </c>
      <c r="B10498" t="s">
        <v>15</v>
      </c>
      <c r="C10498" s="2">
        <v>44399</v>
      </c>
      <c r="D10498" t="s">
        <v>29</v>
      </c>
      <c r="E10498">
        <v>461</v>
      </c>
    </row>
    <row r="10499" spans="1:5" x14ac:dyDescent="0.55000000000000004">
      <c r="A10499" t="s">
        <v>10580</v>
      </c>
      <c r="B10499" t="s">
        <v>14</v>
      </c>
      <c r="C10499" s="2">
        <v>42932</v>
      </c>
      <c r="D10499" t="s">
        <v>29</v>
      </c>
      <c r="E10499">
        <v>2806</v>
      </c>
    </row>
    <row r="10500" spans="1:5" x14ac:dyDescent="0.55000000000000004">
      <c r="A10500" t="s">
        <v>10581</v>
      </c>
      <c r="B10500" t="s">
        <v>140</v>
      </c>
      <c r="C10500" s="2">
        <v>44043</v>
      </c>
      <c r="D10500" t="s">
        <v>29</v>
      </c>
      <c r="E10500">
        <v>170</v>
      </c>
    </row>
    <row r="10501" spans="1:5" x14ac:dyDescent="0.55000000000000004">
      <c r="A10501" t="s">
        <v>10582</v>
      </c>
      <c r="B10501" t="s">
        <v>140</v>
      </c>
      <c r="C10501" s="2">
        <v>44102</v>
      </c>
      <c r="D10501" t="s">
        <v>26</v>
      </c>
      <c r="E10501">
        <v>1307</v>
      </c>
    </row>
    <row r="10502" spans="1:5" x14ac:dyDescent="0.55000000000000004">
      <c r="A10502" t="s">
        <v>10583</v>
      </c>
      <c r="B10502" t="s">
        <v>15</v>
      </c>
      <c r="C10502" s="2">
        <v>43072</v>
      </c>
      <c r="D10502" t="s">
        <v>26</v>
      </c>
      <c r="E10502">
        <v>728</v>
      </c>
    </row>
    <row r="10503" spans="1:5" x14ac:dyDescent="0.55000000000000004">
      <c r="A10503" t="s">
        <v>10584</v>
      </c>
      <c r="B10503" t="s">
        <v>74</v>
      </c>
      <c r="C10503" s="2">
        <v>44346</v>
      </c>
      <c r="D10503" t="s">
        <v>26</v>
      </c>
      <c r="E10503">
        <v>1569</v>
      </c>
    </row>
    <row r="10504" spans="1:5" x14ac:dyDescent="0.55000000000000004">
      <c r="A10504" t="s">
        <v>10585</v>
      </c>
      <c r="B10504" t="s">
        <v>15</v>
      </c>
      <c r="C10504" s="2">
        <v>44326</v>
      </c>
      <c r="D10504" t="s">
        <v>26</v>
      </c>
      <c r="E10504">
        <v>738</v>
      </c>
    </row>
    <row r="10505" spans="1:5" x14ac:dyDescent="0.55000000000000004">
      <c r="A10505" t="s">
        <v>10586</v>
      </c>
      <c r="B10505" t="s">
        <v>63</v>
      </c>
      <c r="C10505" s="2">
        <v>43664</v>
      </c>
      <c r="D10505" t="s">
        <v>26</v>
      </c>
      <c r="E10505">
        <v>2352</v>
      </c>
    </row>
    <row r="10506" spans="1:5" x14ac:dyDescent="0.55000000000000004">
      <c r="A10506" t="s">
        <v>10587</v>
      </c>
      <c r="B10506" t="s">
        <v>137</v>
      </c>
      <c r="C10506" s="2">
        <v>44406</v>
      </c>
      <c r="D10506" t="s">
        <v>26</v>
      </c>
      <c r="E10506">
        <v>68</v>
      </c>
    </row>
    <row r="10507" spans="1:5" x14ac:dyDescent="0.55000000000000004">
      <c r="A10507" t="s">
        <v>10588</v>
      </c>
      <c r="B10507" t="s">
        <v>35</v>
      </c>
      <c r="C10507" s="2">
        <v>44589</v>
      </c>
      <c r="D10507" t="s">
        <v>29</v>
      </c>
      <c r="E10507">
        <v>2169</v>
      </c>
    </row>
    <row r="10508" spans="1:5" x14ac:dyDescent="0.55000000000000004">
      <c r="A10508" t="s">
        <v>10589</v>
      </c>
      <c r="B10508" t="s">
        <v>156</v>
      </c>
      <c r="C10508" s="2">
        <v>44420</v>
      </c>
      <c r="D10508" t="s">
        <v>29</v>
      </c>
      <c r="E10508">
        <v>335</v>
      </c>
    </row>
    <row r="10509" spans="1:5" x14ac:dyDescent="0.55000000000000004">
      <c r="A10509" t="s">
        <v>10590</v>
      </c>
      <c r="B10509" t="s">
        <v>76</v>
      </c>
      <c r="C10509" s="2">
        <v>45180</v>
      </c>
      <c r="D10509" t="s">
        <v>29</v>
      </c>
      <c r="E10509">
        <v>1937</v>
      </c>
    </row>
    <row r="10510" spans="1:5" x14ac:dyDescent="0.55000000000000004">
      <c r="A10510" t="s">
        <v>10591</v>
      </c>
      <c r="B10510" t="s">
        <v>175</v>
      </c>
      <c r="C10510" s="2">
        <v>43695</v>
      </c>
      <c r="D10510" t="s">
        <v>29</v>
      </c>
      <c r="E10510">
        <v>2382</v>
      </c>
    </row>
    <row r="10511" spans="1:5" x14ac:dyDescent="0.55000000000000004">
      <c r="A10511" t="s">
        <v>10592</v>
      </c>
      <c r="B10511" t="s">
        <v>156</v>
      </c>
      <c r="C10511" s="2">
        <v>43302</v>
      </c>
      <c r="D10511" t="s">
        <v>26</v>
      </c>
      <c r="E10511">
        <v>443</v>
      </c>
    </row>
    <row r="10512" spans="1:5" x14ac:dyDescent="0.55000000000000004">
      <c r="A10512" t="s">
        <v>10593</v>
      </c>
      <c r="B10512" t="s">
        <v>41</v>
      </c>
      <c r="C10512" s="2">
        <v>44912</v>
      </c>
      <c r="D10512" t="s">
        <v>26</v>
      </c>
      <c r="E10512">
        <v>131</v>
      </c>
    </row>
    <row r="10513" spans="1:5" x14ac:dyDescent="0.55000000000000004">
      <c r="A10513" t="s">
        <v>10594</v>
      </c>
      <c r="B10513" t="s">
        <v>72</v>
      </c>
      <c r="C10513" s="2">
        <v>43472</v>
      </c>
      <c r="D10513" t="s">
        <v>26</v>
      </c>
      <c r="E10513">
        <v>1621</v>
      </c>
    </row>
    <row r="10514" spans="1:5" x14ac:dyDescent="0.55000000000000004">
      <c r="A10514" t="s">
        <v>10595</v>
      </c>
      <c r="B10514" t="s">
        <v>38</v>
      </c>
      <c r="C10514" s="2">
        <v>44373</v>
      </c>
      <c r="D10514" t="s">
        <v>29</v>
      </c>
      <c r="E10514">
        <v>2164</v>
      </c>
    </row>
    <row r="10515" spans="1:5" x14ac:dyDescent="0.55000000000000004">
      <c r="A10515" t="s">
        <v>10596</v>
      </c>
      <c r="B10515" t="s">
        <v>137</v>
      </c>
      <c r="C10515" s="2">
        <v>44835</v>
      </c>
      <c r="D10515" t="s">
        <v>29</v>
      </c>
      <c r="E10515">
        <v>452</v>
      </c>
    </row>
    <row r="10516" spans="1:5" x14ac:dyDescent="0.55000000000000004">
      <c r="A10516" t="s">
        <v>10597</v>
      </c>
      <c r="B10516" t="s">
        <v>23</v>
      </c>
      <c r="C10516" s="2">
        <v>43881</v>
      </c>
      <c r="D10516" t="s">
        <v>26</v>
      </c>
      <c r="E10516">
        <v>2952</v>
      </c>
    </row>
    <row r="10517" spans="1:5" x14ac:dyDescent="0.55000000000000004">
      <c r="A10517" t="s">
        <v>10598</v>
      </c>
      <c r="B10517" t="s">
        <v>142</v>
      </c>
      <c r="C10517" s="2">
        <v>43540</v>
      </c>
      <c r="D10517" t="s">
        <v>26</v>
      </c>
      <c r="E10517">
        <v>2672</v>
      </c>
    </row>
    <row r="10518" spans="1:5" x14ac:dyDescent="0.55000000000000004">
      <c r="A10518" t="s">
        <v>10599</v>
      </c>
      <c r="B10518" t="s">
        <v>94</v>
      </c>
      <c r="C10518" s="2">
        <v>43731</v>
      </c>
      <c r="D10518" t="s">
        <v>29</v>
      </c>
      <c r="E10518">
        <v>2908</v>
      </c>
    </row>
    <row r="10519" spans="1:5" x14ac:dyDescent="0.55000000000000004">
      <c r="A10519" t="s">
        <v>10600</v>
      </c>
      <c r="B10519" t="s">
        <v>156</v>
      </c>
      <c r="C10519" s="2">
        <v>44031</v>
      </c>
      <c r="D10519" t="s">
        <v>26</v>
      </c>
      <c r="E10519">
        <v>1294</v>
      </c>
    </row>
    <row r="10520" spans="1:5" x14ac:dyDescent="0.55000000000000004">
      <c r="A10520" t="s">
        <v>10601</v>
      </c>
      <c r="B10520" t="s">
        <v>115</v>
      </c>
      <c r="C10520" s="2">
        <v>43019</v>
      </c>
      <c r="D10520" t="s">
        <v>26</v>
      </c>
      <c r="E10520">
        <v>779</v>
      </c>
    </row>
    <row r="10521" spans="1:5" x14ac:dyDescent="0.55000000000000004">
      <c r="A10521" t="s">
        <v>10602</v>
      </c>
      <c r="B10521" t="s">
        <v>156</v>
      </c>
      <c r="C10521" s="2">
        <v>43718</v>
      </c>
      <c r="D10521" t="s">
        <v>29</v>
      </c>
      <c r="E10521">
        <v>2963</v>
      </c>
    </row>
    <row r="10522" spans="1:5" x14ac:dyDescent="0.55000000000000004">
      <c r="A10522" t="s">
        <v>10603</v>
      </c>
      <c r="B10522" t="s">
        <v>63</v>
      </c>
      <c r="C10522" s="2">
        <v>43376</v>
      </c>
      <c r="D10522" t="s">
        <v>29</v>
      </c>
      <c r="E10522">
        <v>831</v>
      </c>
    </row>
    <row r="10523" spans="1:5" x14ac:dyDescent="0.55000000000000004">
      <c r="A10523" t="s">
        <v>10604</v>
      </c>
      <c r="B10523" t="s">
        <v>118</v>
      </c>
      <c r="C10523" s="2">
        <v>44441</v>
      </c>
      <c r="D10523" t="s">
        <v>26</v>
      </c>
      <c r="E10523">
        <v>1293</v>
      </c>
    </row>
    <row r="10524" spans="1:5" x14ac:dyDescent="0.55000000000000004">
      <c r="A10524" t="s">
        <v>10605</v>
      </c>
      <c r="B10524" t="s">
        <v>96</v>
      </c>
      <c r="C10524" s="2">
        <v>44974</v>
      </c>
      <c r="D10524" t="s">
        <v>29</v>
      </c>
      <c r="E10524">
        <v>792</v>
      </c>
    </row>
    <row r="10525" spans="1:5" x14ac:dyDescent="0.55000000000000004">
      <c r="A10525" t="s">
        <v>10606</v>
      </c>
      <c r="B10525" t="s">
        <v>15</v>
      </c>
      <c r="C10525" s="2">
        <v>44351</v>
      </c>
      <c r="D10525" t="s">
        <v>26</v>
      </c>
      <c r="E10525">
        <v>11</v>
      </c>
    </row>
    <row r="10526" spans="1:5" x14ac:dyDescent="0.55000000000000004">
      <c r="A10526" t="s">
        <v>10607</v>
      </c>
      <c r="B10526" t="s">
        <v>23</v>
      </c>
      <c r="C10526" s="2">
        <v>44408</v>
      </c>
      <c r="D10526" t="s">
        <v>26</v>
      </c>
      <c r="E10526">
        <v>1661</v>
      </c>
    </row>
    <row r="10527" spans="1:5" x14ac:dyDescent="0.55000000000000004">
      <c r="A10527" t="s">
        <v>10608</v>
      </c>
      <c r="B10527" t="s">
        <v>118</v>
      </c>
      <c r="C10527" s="2">
        <v>44545</v>
      </c>
      <c r="D10527" t="s">
        <v>26</v>
      </c>
      <c r="E10527">
        <v>1846</v>
      </c>
    </row>
    <row r="10528" spans="1:5" x14ac:dyDescent="0.55000000000000004">
      <c r="A10528" t="s">
        <v>10609</v>
      </c>
      <c r="B10528" t="s">
        <v>15</v>
      </c>
      <c r="C10528" s="2">
        <v>42984</v>
      </c>
      <c r="D10528" t="s">
        <v>26</v>
      </c>
      <c r="E10528">
        <v>392</v>
      </c>
    </row>
    <row r="10529" spans="1:5" x14ac:dyDescent="0.55000000000000004">
      <c r="A10529" t="s">
        <v>10610</v>
      </c>
      <c r="B10529" t="s">
        <v>137</v>
      </c>
      <c r="C10529" s="2">
        <v>45360</v>
      </c>
      <c r="D10529" t="s">
        <v>26</v>
      </c>
      <c r="E10529">
        <v>1104</v>
      </c>
    </row>
    <row r="10530" spans="1:5" x14ac:dyDescent="0.55000000000000004">
      <c r="A10530" t="s">
        <v>10611</v>
      </c>
      <c r="B10530" t="s">
        <v>15</v>
      </c>
      <c r="C10530" s="2">
        <v>43042</v>
      </c>
      <c r="D10530" t="s">
        <v>26</v>
      </c>
      <c r="E10530">
        <v>753</v>
      </c>
    </row>
    <row r="10531" spans="1:5" x14ac:dyDescent="0.55000000000000004">
      <c r="A10531" t="s">
        <v>10612</v>
      </c>
      <c r="B10531" t="s">
        <v>111</v>
      </c>
      <c r="C10531" s="2">
        <v>44358</v>
      </c>
      <c r="D10531" t="s">
        <v>26</v>
      </c>
      <c r="E10531">
        <v>2260</v>
      </c>
    </row>
    <row r="10532" spans="1:5" x14ac:dyDescent="0.55000000000000004">
      <c r="A10532" t="s">
        <v>10613</v>
      </c>
      <c r="B10532" t="s">
        <v>94</v>
      </c>
      <c r="C10532" s="2">
        <v>44383</v>
      </c>
      <c r="D10532" t="s">
        <v>26</v>
      </c>
      <c r="E10532">
        <v>2570</v>
      </c>
    </row>
    <row r="10533" spans="1:5" x14ac:dyDescent="0.55000000000000004">
      <c r="A10533" t="s">
        <v>10614</v>
      </c>
      <c r="B10533" t="s">
        <v>175</v>
      </c>
      <c r="C10533" s="2">
        <v>45781</v>
      </c>
      <c r="D10533" t="s">
        <v>29</v>
      </c>
      <c r="E10533">
        <v>379</v>
      </c>
    </row>
    <row r="10534" spans="1:5" x14ac:dyDescent="0.55000000000000004">
      <c r="A10534" t="s">
        <v>10615</v>
      </c>
      <c r="B10534" t="s">
        <v>15</v>
      </c>
      <c r="C10534" s="2">
        <v>44231</v>
      </c>
      <c r="D10534" t="s">
        <v>29</v>
      </c>
      <c r="E10534">
        <v>1559</v>
      </c>
    </row>
    <row r="10535" spans="1:5" x14ac:dyDescent="0.55000000000000004">
      <c r="A10535" t="s">
        <v>10616</v>
      </c>
      <c r="B10535" t="s">
        <v>67</v>
      </c>
      <c r="C10535" s="2">
        <v>43910</v>
      </c>
      <c r="D10535" t="s">
        <v>29</v>
      </c>
      <c r="E10535">
        <v>1550</v>
      </c>
    </row>
    <row r="10536" spans="1:5" x14ac:dyDescent="0.55000000000000004">
      <c r="A10536" t="s">
        <v>10617</v>
      </c>
      <c r="B10536" t="s">
        <v>32</v>
      </c>
      <c r="C10536" s="2">
        <v>44741</v>
      </c>
      <c r="D10536" t="s">
        <v>29</v>
      </c>
      <c r="E10536">
        <v>150</v>
      </c>
    </row>
    <row r="10537" spans="1:5" x14ac:dyDescent="0.55000000000000004">
      <c r="A10537" t="s">
        <v>10618</v>
      </c>
      <c r="B10537" t="s">
        <v>86</v>
      </c>
      <c r="C10537" s="2">
        <v>44154</v>
      </c>
      <c r="D10537" t="s">
        <v>26</v>
      </c>
      <c r="E10537">
        <v>2021</v>
      </c>
    </row>
    <row r="10538" spans="1:5" x14ac:dyDescent="0.55000000000000004">
      <c r="A10538" t="s">
        <v>10619</v>
      </c>
      <c r="B10538" t="s">
        <v>78</v>
      </c>
      <c r="C10538" s="2">
        <v>44435</v>
      </c>
      <c r="D10538" t="s">
        <v>26</v>
      </c>
      <c r="E10538">
        <v>125</v>
      </c>
    </row>
    <row r="10539" spans="1:5" x14ac:dyDescent="0.55000000000000004">
      <c r="A10539" t="s">
        <v>10620</v>
      </c>
      <c r="B10539" t="s">
        <v>118</v>
      </c>
      <c r="C10539" s="2">
        <v>43749</v>
      </c>
      <c r="D10539" t="s">
        <v>26</v>
      </c>
      <c r="E10539">
        <v>2808</v>
      </c>
    </row>
    <row r="10540" spans="1:5" x14ac:dyDescent="0.55000000000000004">
      <c r="A10540" t="s">
        <v>10621</v>
      </c>
      <c r="B10540" t="s">
        <v>86</v>
      </c>
      <c r="C10540" s="2">
        <v>44393</v>
      </c>
      <c r="D10540" t="s">
        <v>29</v>
      </c>
      <c r="E10540">
        <v>2415</v>
      </c>
    </row>
    <row r="10541" spans="1:5" x14ac:dyDescent="0.55000000000000004">
      <c r="A10541" t="s">
        <v>10622</v>
      </c>
      <c r="B10541" t="s">
        <v>74</v>
      </c>
      <c r="C10541" s="2">
        <v>44503</v>
      </c>
      <c r="D10541" t="s">
        <v>29</v>
      </c>
      <c r="E10541">
        <v>2484</v>
      </c>
    </row>
    <row r="10542" spans="1:5" x14ac:dyDescent="0.55000000000000004">
      <c r="A10542" t="s">
        <v>10623</v>
      </c>
      <c r="B10542" t="s">
        <v>118</v>
      </c>
      <c r="C10542" s="2">
        <v>45711</v>
      </c>
      <c r="D10542" t="s">
        <v>26</v>
      </c>
      <c r="E10542">
        <v>1013</v>
      </c>
    </row>
    <row r="10543" spans="1:5" x14ac:dyDescent="0.55000000000000004">
      <c r="A10543" t="s">
        <v>10624</v>
      </c>
      <c r="B10543" t="s">
        <v>41</v>
      </c>
      <c r="C10543" s="2">
        <v>43981</v>
      </c>
      <c r="D10543" t="s">
        <v>29</v>
      </c>
      <c r="E10543">
        <v>2411</v>
      </c>
    </row>
    <row r="10544" spans="1:5" x14ac:dyDescent="0.55000000000000004">
      <c r="A10544" t="s">
        <v>10625</v>
      </c>
      <c r="B10544" t="s">
        <v>151</v>
      </c>
      <c r="C10544" s="2">
        <v>43686</v>
      </c>
      <c r="D10544" t="s">
        <v>29</v>
      </c>
      <c r="E10544">
        <v>2636</v>
      </c>
    </row>
    <row r="10545" spans="1:5" x14ac:dyDescent="0.55000000000000004">
      <c r="A10545" t="s">
        <v>10626</v>
      </c>
      <c r="B10545" t="s">
        <v>96</v>
      </c>
      <c r="C10545" s="2">
        <v>43580</v>
      </c>
      <c r="D10545" t="s">
        <v>29</v>
      </c>
      <c r="E10545">
        <v>2960</v>
      </c>
    </row>
    <row r="10546" spans="1:5" x14ac:dyDescent="0.55000000000000004">
      <c r="A10546" t="s">
        <v>10627</v>
      </c>
      <c r="B10546" t="s">
        <v>156</v>
      </c>
      <c r="C10546" s="2">
        <v>43005</v>
      </c>
      <c r="D10546" t="s">
        <v>29</v>
      </c>
      <c r="E10546">
        <v>1435</v>
      </c>
    </row>
    <row r="10547" spans="1:5" x14ac:dyDescent="0.55000000000000004">
      <c r="A10547" t="s">
        <v>10628</v>
      </c>
      <c r="B10547" t="s">
        <v>41</v>
      </c>
      <c r="C10547" s="2">
        <v>44437</v>
      </c>
      <c r="D10547" t="s">
        <v>29</v>
      </c>
      <c r="E10547">
        <v>611</v>
      </c>
    </row>
    <row r="10548" spans="1:5" x14ac:dyDescent="0.55000000000000004">
      <c r="A10548" t="s">
        <v>10629</v>
      </c>
      <c r="B10548" t="s">
        <v>78</v>
      </c>
      <c r="C10548" s="2">
        <v>44834</v>
      </c>
      <c r="D10548" t="s">
        <v>26</v>
      </c>
      <c r="E10548">
        <v>1509</v>
      </c>
    </row>
    <row r="10549" spans="1:5" x14ac:dyDescent="0.55000000000000004">
      <c r="A10549" t="s">
        <v>10630</v>
      </c>
      <c r="B10549" t="s">
        <v>15</v>
      </c>
      <c r="C10549" s="2">
        <v>42960</v>
      </c>
      <c r="D10549" t="s">
        <v>29</v>
      </c>
      <c r="E10549">
        <v>1565</v>
      </c>
    </row>
    <row r="10550" spans="1:5" x14ac:dyDescent="0.55000000000000004">
      <c r="A10550" t="s">
        <v>10631</v>
      </c>
      <c r="B10550" t="s">
        <v>76</v>
      </c>
      <c r="C10550" s="2">
        <v>44976</v>
      </c>
      <c r="D10550" t="s">
        <v>26</v>
      </c>
      <c r="E10550">
        <v>2361</v>
      </c>
    </row>
    <row r="10551" spans="1:5" x14ac:dyDescent="0.55000000000000004">
      <c r="A10551" t="s">
        <v>10632</v>
      </c>
      <c r="B10551" t="s">
        <v>84</v>
      </c>
      <c r="C10551" s="2">
        <v>43719</v>
      </c>
      <c r="D10551" t="s">
        <v>26</v>
      </c>
      <c r="E10551">
        <v>50</v>
      </c>
    </row>
    <row r="10552" spans="1:5" x14ac:dyDescent="0.55000000000000004">
      <c r="A10552" t="s">
        <v>10633</v>
      </c>
      <c r="B10552" t="s">
        <v>96</v>
      </c>
      <c r="C10552" s="2">
        <v>45669</v>
      </c>
      <c r="D10552" t="s">
        <v>29</v>
      </c>
      <c r="E10552">
        <v>1742</v>
      </c>
    </row>
    <row r="10553" spans="1:5" x14ac:dyDescent="0.55000000000000004">
      <c r="A10553" t="s">
        <v>10634</v>
      </c>
      <c r="B10553" t="s">
        <v>72</v>
      </c>
      <c r="C10553" s="2">
        <v>44253</v>
      </c>
      <c r="D10553" t="s">
        <v>26</v>
      </c>
      <c r="E10553">
        <v>1843</v>
      </c>
    </row>
    <row r="10554" spans="1:5" x14ac:dyDescent="0.55000000000000004">
      <c r="A10554" t="s">
        <v>10635</v>
      </c>
      <c r="B10554" t="s">
        <v>115</v>
      </c>
      <c r="C10554" s="2">
        <v>44106</v>
      </c>
      <c r="D10554" t="s">
        <v>26</v>
      </c>
      <c r="E10554">
        <v>1682</v>
      </c>
    </row>
    <row r="10555" spans="1:5" x14ac:dyDescent="0.55000000000000004">
      <c r="A10555" t="s">
        <v>10636</v>
      </c>
      <c r="B10555" t="s">
        <v>14</v>
      </c>
      <c r="C10555" s="2">
        <v>44473</v>
      </c>
      <c r="D10555" t="s">
        <v>26</v>
      </c>
      <c r="E10555">
        <v>2586</v>
      </c>
    </row>
    <row r="10556" spans="1:5" x14ac:dyDescent="0.55000000000000004">
      <c r="A10556" t="s">
        <v>10637</v>
      </c>
      <c r="B10556" t="s">
        <v>38</v>
      </c>
      <c r="C10556" s="2">
        <v>44615</v>
      </c>
      <c r="D10556" t="s">
        <v>26</v>
      </c>
      <c r="E10556">
        <v>496</v>
      </c>
    </row>
    <row r="10557" spans="1:5" x14ac:dyDescent="0.55000000000000004">
      <c r="A10557" t="s">
        <v>10638</v>
      </c>
      <c r="B10557" t="s">
        <v>99</v>
      </c>
      <c r="C10557" s="2">
        <v>45252</v>
      </c>
      <c r="D10557" t="s">
        <v>26</v>
      </c>
      <c r="E10557">
        <v>481</v>
      </c>
    </row>
    <row r="10558" spans="1:5" x14ac:dyDescent="0.55000000000000004">
      <c r="A10558" t="s">
        <v>10639</v>
      </c>
      <c r="B10558" t="s">
        <v>14</v>
      </c>
      <c r="C10558" s="2">
        <v>44158</v>
      </c>
      <c r="D10558" t="s">
        <v>26</v>
      </c>
      <c r="E10558">
        <v>1785</v>
      </c>
    </row>
    <row r="10559" spans="1:5" x14ac:dyDescent="0.55000000000000004">
      <c r="A10559" t="s">
        <v>10640</v>
      </c>
      <c r="B10559" t="s">
        <v>175</v>
      </c>
      <c r="C10559" s="2">
        <v>43479</v>
      </c>
      <c r="D10559" t="s">
        <v>26</v>
      </c>
      <c r="E10559">
        <v>2414</v>
      </c>
    </row>
    <row r="10560" spans="1:5" x14ac:dyDescent="0.55000000000000004">
      <c r="A10560" t="s">
        <v>10641</v>
      </c>
      <c r="B10560" t="s">
        <v>84</v>
      </c>
      <c r="C10560" s="2">
        <v>44087</v>
      </c>
      <c r="D10560" t="s">
        <v>26</v>
      </c>
      <c r="E10560">
        <v>2276</v>
      </c>
    </row>
    <row r="10561" spans="1:5" x14ac:dyDescent="0.55000000000000004">
      <c r="A10561" t="s">
        <v>10642</v>
      </c>
      <c r="B10561" t="s">
        <v>74</v>
      </c>
      <c r="C10561" s="2">
        <v>44255</v>
      </c>
      <c r="D10561" t="s">
        <v>29</v>
      </c>
      <c r="E10561">
        <v>200</v>
      </c>
    </row>
    <row r="10562" spans="1:5" x14ac:dyDescent="0.55000000000000004">
      <c r="A10562" t="s">
        <v>10643</v>
      </c>
      <c r="B10562" t="s">
        <v>142</v>
      </c>
      <c r="C10562" s="2">
        <v>43319</v>
      </c>
      <c r="D10562" t="s">
        <v>26</v>
      </c>
      <c r="E10562">
        <v>2046</v>
      </c>
    </row>
    <row r="10563" spans="1:5" x14ac:dyDescent="0.55000000000000004">
      <c r="A10563" t="s">
        <v>10644</v>
      </c>
      <c r="B10563" t="s">
        <v>41</v>
      </c>
      <c r="C10563" s="2">
        <v>44662</v>
      </c>
      <c r="D10563" t="s">
        <v>26</v>
      </c>
      <c r="E10563">
        <v>2160</v>
      </c>
    </row>
    <row r="10564" spans="1:5" x14ac:dyDescent="0.55000000000000004">
      <c r="A10564" t="s">
        <v>10645</v>
      </c>
      <c r="B10564" t="s">
        <v>14</v>
      </c>
      <c r="C10564" s="2">
        <v>43622</v>
      </c>
      <c r="D10564" t="s">
        <v>29</v>
      </c>
      <c r="E10564">
        <v>1904</v>
      </c>
    </row>
    <row r="10565" spans="1:5" x14ac:dyDescent="0.55000000000000004">
      <c r="A10565" t="s">
        <v>10646</v>
      </c>
      <c r="B10565" t="s">
        <v>175</v>
      </c>
      <c r="C10565" s="2">
        <v>45476</v>
      </c>
      <c r="D10565" t="s">
        <v>29</v>
      </c>
      <c r="E10565">
        <v>203</v>
      </c>
    </row>
    <row r="10566" spans="1:5" x14ac:dyDescent="0.55000000000000004">
      <c r="A10566" t="s">
        <v>10647</v>
      </c>
      <c r="B10566" t="s">
        <v>74</v>
      </c>
      <c r="C10566" s="2">
        <v>43485</v>
      </c>
      <c r="D10566" t="s">
        <v>29</v>
      </c>
      <c r="E10566">
        <v>549</v>
      </c>
    </row>
    <row r="10567" spans="1:5" x14ac:dyDescent="0.55000000000000004">
      <c r="A10567" t="s">
        <v>10648</v>
      </c>
      <c r="B10567" t="s">
        <v>41</v>
      </c>
      <c r="C10567" s="2">
        <v>44620</v>
      </c>
      <c r="D10567" t="s">
        <v>26</v>
      </c>
      <c r="E10567">
        <v>411</v>
      </c>
    </row>
    <row r="10568" spans="1:5" x14ac:dyDescent="0.55000000000000004">
      <c r="A10568" t="s">
        <v>10649</v>
      </c>
      <c r="B10568" t="s">
        <v>115</v>
      </c>
      <c r="C10568" s="2">
        <v>44070</v>
      </c>
      <c r="D10568" t="s">
        <v>29</v>
      </c>
      <c r="E10568">
        <v>1748</v>
      </c>
    </row>
    <row r="10569" spans="1:5" x14ac:dyDescent="0.55000000000000004">
      <c r="A10569" t="s">
        <v>10650</v>
      </c>
      <c r="B10569" t="s">
        <v>35</v>
      </c>
      <c r="C10569" s="2">
        <v>44652</v>
      </c>
      <c r="D10569" t="s">
        <v>29</v>
      </c>
      <c r="E10569">
        <v>1777</v>
      </c>
    </row>
    <row r="10570" spans="1:5" x14ac:dyDescent="0.55000000000000004">
      <c r="A10570" t="s">
        <v>10651</v>
      </c>
      <c r="B10570" t="s">
        <v>14</v>
      </c>
      <c r="C10570" s="2">
        <v>43922</v>
      </c>
      <c r="D10570" t="s">
        <v>29</v>
      </c>
      <c r="E10570">
        <v>828</v>
      </c>
    </row>
    <row r="10571" spans="1:5" x14ac:dyDescent="0.55000000000000004">
      <c r="A10571" t="s">
        <v>10652</v>
      </c>
      <c r="B10571" t="s">
        <v>35</v>
      </c>
      <c r="C10571" s="2">
        <v>44482</v>
      </c>
      <c r="D10571" t="s">
        <v>29</v>
      </c>
      <c r="E10571">
        <v>1598</v>
      </c>
    </row>
    <row r="10572" spans="1:5" x14ac:dyDescent="0.55000000000000004">
      <c r="A10572" t="s">
        <v>10653</v>
      </c>
      <c r="B10572" t="s">
        <v>41</v>
      </c>
      <c r="C10572" s="2">
        <v>44060</v>
      </c>
      <c r="D10572" t="s">
        <v>26</v>
      </c>
      <c r="E10572">
        <v>611</v>
      </c>
    </row>
    <row r="10573" spans="1:5" x14ac:dyDescent="0.55000000000000004">
      <c r="A10573" t="s">
        <v>10654</v>
      </c>
      <c r="B10573" t="s">
        <v>142</v>
      </c>
      <c r="C10573" s="2">
        <v>43642</v>
      </c>
      <c r="D10573" t="s">
        <v>26</v>
      </c>
      <c r="E10573">
        <v>838</v>
      </c>
    </row>
    <row r="10574" spans="1:5" x14ac:dyDescent="0.55000000000000004">
      <c r="A10574" t="s">
        <v>10655</v>
      </c>
      <c r="B10574" t="s">
        <v>86</v>
      </c>
      <c r="C10574" s="2">
        <v>43738</v>
      </c>
      <c r="D10574" t="s">
        <v>26</v>
      </c>
      <c r="E10574">
        <v>2987</v>
      </c>
    </row>
    <row r="10575" spans="1:5" x14ac:dyDescent="0.55000000000000004">
      <c r="A10575" t="s">
        <v>10656</v>
      </c>
      <c r="B10575" t="s">
        <v>175</v>
      </c>
      <c r="C10575" s="2">
        <v>45796</v>
      </c>
      <c r="D10575" t="s">
        <v>29</v>
      </c>
      <c r="E10575">
        <v>1156</v>
      </c>
    </row>
    <row r="10576" spans="1:5" x14ac:dyDescent="0.55000000000000004">
      <c r="A10576" t="s">
        <v>10657</v>
      </c>
      <c r="B10576" t="s">
        <v>78</v>
      </c>
      <c r="C10576" s="2">
        <v>45639</v>
      </c>
      <c r="D10576" t="s">
        <v>26</v>
      </c>
      <c r="E10576">
        <v>1440</v>
      </c>
    </row>
    <row r="10577" spans="1:5" x14ac:dyDescent="0.55000000000000004">
      <c r="A10577" t="s">
        <v>10658</v>
      </c>
      <c r="B10577" t="s">
        <v>142</v>
      </c>
      <c r="C10577" s="2">
        <v>43016</v>
      </c>
      <c r="D10577" t="s">
        <v>29</v>
      </c>
      <c r="E10577">
        <v>1461</v>
      </c>
    </row>
    <row r="10578" spans="1:5" x14ac:dyDescent="0.55000000000000004">
      <c r="A10578" t="s">
        <v>10659</v>
      </c>
      <c r="B10578" t="s">
        <v>115</v>
      </c>
      <c r="C10578" s="2">
        <v>43786</v>
      </c>
      <c r="D10578" t="s">
        <v>29</v>
      </c>
      <c r="E10578">
        <v>1088</v>
      </c>
    </row>
    <row r="10579" spans="1:5" x14ac:dyDescent="0.55000000000000004">
      <c r="A10579" t="s">
        <v>10660</v>
      </c>
      <c r="B10579" t="s">
        <v>94</v>
      </c>
      <c r="C10579" s="2">
        <v>45616</v>
      </c>
      <c r="D10579" t="s">
        <v>29</v>
      </c>
      <c r="E10579">
        <v>2617</v>
      </c>
    </row>
    <row r="10580" spans="1:5" x14ac:dyDescent="0.55000000000000004">
      <c r="A10580" t="s">
        <v>10661</v>
      </c>
      <c r="B10580" t="s">
        <v>96</v>
      </c>
      <c r="C10580" s="2">
        <v>44240</v>
      </c>
      <c r="D10580" t="s">
        <v>29</v>
      </c>
      <c r="E10580">
        <v>2217</v>
      </c>
    </row>
    <row r="10581" spans="1:5" x14ac:dyDescent="0.55000000000000004">
      <c r="A10581" t="s">
        <v>10662</v>
      </c>
      <c r="B10581" t="s">
        <v>115</v>
      </c>
      <c r="C10581" s="2">
        <v>44045</v>
      </c>
      <c r="D10581" t="s">
        <v>26</v>
      </c>
      <c r="E10581">
        <v>2993</v>
      </c>
    </row>
    <row r="10582" spans="1:5" x14ac:dyDescent="0.55000000000000004">
      <c r="A10582" t="s">
        <v>10663</v>
      </c>
      <c r="B10582" t="s">
        <v>115</v>
      </c>
      <c r="C10582" s="2">
        <v>43920</v>
      </c>
      <c r="D10582" t="s">
        <v>29</v>
      </c>
      <c r="E10582">
        <v>1073</v>
      </c>
    </row>
    <row r="10583" spans="1:5" x14ac:dyDescent="0.55000000000000004">
      <c r="A10583" t="s">
        <v>10664</v>
      </c>
      <c r="B10583" t="s">
        <v>67</v>
      </c>
      <c r="C10583" s="2">
        <v>45306</v>
      </c>
      <c r="D10583" t="s">
        <v>29</v>
      </c>
      <c r="E10583">
        <v>2044</v>
      </c>
    </row>
    <row r="10584" spans="1:5" x14ac:dyDescent="0.55000000000000004">
      <c r="A10584" t="s">
        <v>10665</v>
      </c>
      <c r="B10584" t="s">
        <v>15</v>
      </c>
      <c r="C10584" s="2">
        <v>44160</v>
      </c>
      <c r="D10584" t="s">
        <v>26</v>
      </c>
      <c r="E10584">
        <v>1531</v>
      </c>
    </row>
    <row r="10585" spans="1:5" x14ac:dyDescent="0.55000000000000004">
      <c r="A10585" t="s">
        <v>10666</v>
      </c>
      <c r="B10585" t="s">
        <v>76</v>
      </c>
      <c r="C10585" s="2">
        <v>44830</v>
      </c>
      <c r="D10585" t="s">
        <v>29</v>
      </c>
      <c r="E10585">
        <v>885</v>
      </c>
    </row>
    <row r="10586" spans="1:5" x14ac:dyDescent="0.55000000000000004">
      <c r="A10586" t="s">
        <v>10667</v>
      </c>
      <c r="B10586" t="s">
        <v>99</v>
      </c>
      <c r="C10586" s="2">
        <v>44429</v>
      </c>
      <c r="D10586" t="s">
        <v>29</v>
      </c>
      <c r="E10586">
        <v>1583</v>
      </c>
    </row>
    <row r="10587" spans="1:5" x14ac:dyDescent="0.55000000000000004">
      <c r="A10587" t="s">
        <v>10668</v>
      </c>
      <c r="B10587" t="s">
        <v>32</v>
      </c>
      <c r="C10587" s="2">
        <v>44792</v>
      </c>
      <c r="D10587" t="s">
        <v>26</v>
      </c>
      <c r="E10587">
        <v>726</v>
      </c>
    </row>
    <row r="10588" spans="1:5" x14ac:dyDescent="0.55000000000000004">
      <c r="A10588" t="s">
        <v>10669</v>
      </c>
      <c r="B10588" t="s">
        <v>86</v>
      </c>
      <c r="C10588" s="2">
        <v>43213</v>
      </c>
      <c r="D10588" t="s">
        <v>26</v>
      </c>
      <c r="E10588">
        <v>328</v>
      </c>
    </row>
    <row r="10589" spans="1:5" x14ac:dyDescent="0.55000000000000004">
      <c r="A10589" t="s">
        <v>10670</v>
      </c>
      <c r="B10589" t="s">
        <v>32</v>
      </c>
      <c r="C10589" s="2">
        <v>44240</v>
      </c>
      <c r="D10589" t="s">
        <v>26</v>
      </c>
      <c r="E10589">
        <v>2855</v>
      </c>
    </row>
    <row r="10590" spans="1:5" x14ac:dyDescent="0.55000000000000004">
      <c r="A10590" t="s">
        <v>10671</v>
      </c>
      <c r="B10590" t="s">
        <v>101</v>
      </c>
      <c r="C10590" s="2">
        <v>43437</v>
      </c>
      <c r="D10590" t="s">
        <v>29</v>
      </c>
      <c r="E10590">
        <v>2623</v>
      </c>
    </row>
    <row r="10591" spans="1:5" x14ac:dyDescent="0.55000000000000004">
      <c r="A10591" t="s">
        <v>10672</v>
      </c>
      <c r="B10591" t="s">
        <v>23</v>
      </c>
      <c r="C10591" s="2">
        <v>44083</v>
      </c>
      <c r="D10591" t="s">
        <v>26</v>
      </c>
      <c r="E10591">
        <v>1562</v>
      </c>
    </row>
    <row r="10592" spans="1:5" x14ac:dyDescent="0.55000000000000004">
      <c r="A10592" t="s">
        <v>10673</v>
      </c>
      <c r="B10592" t="s">
        <v>137</v>
      </c>
      <c r="C10592" s="2">
        <v>45476</v>
      </c>
      <c r="D10592" t="s">
        <v>26</v>
      </c>
      <c r="E10592">
        <v>2364</v>
      </c>
    </row>
    <row r="10593" spans="1:5" x14ac:dyDescent="0.55000000000000004">
      <c r="A10593" t="s">
        <v>10674</v>
      </c>
      <c r="B10593" t="s">
        <v>74</v>
      </c>
      <c r="C10593" s="2">
        <v>44081</v>
      </c>
      <c r="D10593" t="s">
        <v>29</v>
      </c>
      <c r="E10593">
        <v>2397</v>
      </c>
    </row>
    <row r="10594" spans="1:5" x14ac:dyDescent="0.55000000000000004">
      <c r="A10594" t="s">
        <v>10675</v>
      </c>
      <c r="B10594" t="s">
        <v>23</v>
      </c>
      <c r="C10594" s="2">
        <v>44218</v>
      </c>
      <c r="D10594" t="s">
        <v>26</v>
      </c>
      <c r="E10594">
        <v>1513</v>
      </c>
    </row>
    <row r="10595" spans="1:5" x14ac:dyDescent="0.55000000000000004">
      <c r="A10595" t="s">
        <v>10676</v>
      </c>
      <c r="B10595" t="s">
        <v>63</v>
      </c>
      <c r="C10595" s="2">
        <v>44306</v>
      </c>
      <c r="D10595" t="s">
        <v>26</v>
      </c>
      <c r="E10595">
        <v>871</v>
      </c>
    </row>
    <row r="10596" spans="1:5" x14ac:dyDescent="0.55000000000000004">
      <c r="A10596" t="s">
        <v>10677</v>
      </c>
      <c r="B10596" t="s">
        <v>35</v>
      </c>
      <c r="C10596" s="2">
        <v>43987</v>
      </c>
      <c r="D10596" t="s">
        <v>26</v>
      </c>
      <c r="E10596">
        <v>2273</v>
      </c>
    </row>
    <row r="10597" spans="1:5" x14ac:dyDescent="0.55000000000000004">
      <c r="A10597" t="s">
        <v>10678</v>
      </c>
      <c r="B10597" t="s">
        <v>96</v>
      </c>
      <c r="C10597" s="2">
        <v>45746</v>
      </c>
      <c r="D10597" t="s">
        <v>26</v>
      </c>
      <c r="E10597">
        <v>162</v>
      </c>
    </row>
    <row r="10598" spans="1:5" x14ac:dyDescent="0.55000000000000004">
      <c r="A10598" t="s">
        <v>10679</v>
      </c>
      <c r="B10598" t="s">
        <v>111</v>
      </c>
      <c r="C10598" s="2">
        <v>44230</v>
      </c>
      <c r="D10598" t="s">
        <v>29</v>
      </c>
      <c r="E10598">
        <v>2172</v>
      </c>
    </row>
    <row r="10599" spans="1:5" x14ac:dyDescent="0.55000000000000004">
      <c r="A10599" t="s">
        <v>10680</v>
      </c>
      <c r="B10599" t="s">
        <v>72</v>
      </c>
      <c r="C10599" s="2">
        <v>43972</v>
      </c>
      <c r="D10599" t="s">
        <v>29</v>
      </c>
      <c r="E10599">
        <v>1531</v>
      </c>
    </row>
    <row r="10600" spans="1:5" x14ac:dyDescent="0.55000000000000004">
      <c r="A10600" t="s">
        <v>10681</v>
      </c>
      <c r="B10600" t="s">
        <v>63</v>
      </c>
      <c r="C10600" s="2">
        <v>43399</v>
      </c>
      <c r="D10600" t="s">
        <v>29</v>
      </c>
      <c r="E10600">
        <v>1357</v>
      </c>
    </row>
    <row r="10601" spans="1:5" x14ac:dyDescent="0.55000000000000004">
      <c r="A10601" t="s">
        <v>10682</v>
      </c>
      <c r="B10601" t="s">
        <v>105</v>
      </c>
      <c r="C10601" s="2">
        <v>43784</v>
      </c>
      <c r="D10601" t="s">
        <v>26</v>
      </c>
      <c r="E10601">
        <v>218</v>
      </c>
    </row>
    <row r="10602" spans="1:5" x14ac:dyDescent="0.55000000000000004">
      <c r="A10602" t="s">
        <v>10683</v>
      </c>
      <c r="B10602" t="s">
        <v>72</v>
      </c>
      <c r="C10602" s="2">
        <v>44142</v>
      </c>
      <c r="D10602" t="s">
        <v>29</v>
      </c>
      <c r="E10602">
        <v>2248</v>
      </c>
    </row>
    <row r="10603" spans="1:5" x14ac:dyDescent="0.55000000000000004">
      <c r="A10603" t="s">
        <v>10684</v>
      </c>
      <c r="B10603" t="s">
        <v>96</v>
      </c>
      <c r="C10603" s="2">
        <v>44504</v>
      </c>
      <c r="D10603" t="s">
        <v>29</v>
      </c>
      <c r="E10603">
        <v>2065</v>
      </c>
    </row>
    <row r="10604" spans="1:5" x14ac:dyDescent="0.55000000000000004">
      <c r="A10604" t="s">
        <v>10685</v>
      </c>
      <c r="B10604" t="s">
        <v>115</v>
      </c>
      <c r="C10604" s="2">
        <v>43149</v>
      </c>
      <c r="D10604" t="s">
        <v>26</v>
      </c>
      <c r="E10604">
        <v>2287</v>
      </c>
    </row>
    <row r="10605" spans="1:5" x14ac:dyDescent="0.55000000000000004">
      <c r="A10605" t="s">
        <v>10686</v>
      </c>
      <c r="B10605" t="s">
        <v>105</v>
      </c>
      <c r="C10605" s="2">
        <v>43742</v>
      </c>
      <c r="D10605" t="s">
        <v>26</v>
      </c>
      <c r="E10605">
        <v>1189</v>
      </c>
    </row>
    <row r="10606" spans="1:5" x14ac:dyDescent="0.55000000000000004">
      <c r="A10606" t="s">
        <v>10687</v>
      </c>
      <c r="B10606" t="s">
        <v>78</v>
      </c>
      <c r="C10606" s="2">
        <v>44974</v>
      </c>
      <c r="D10606" t="s">
        <v>26</v>
      </c>
      <c r="E10606">
        <v>1851</v>
      </c>
    </row>
    <row r="10607" spans="1:5" x14ac:dyDescent="0.55000000000000004">
      <c r="A10607" t="s">
        <v>10688</v>
      </c>
      <c r="B10607" t="s">
        <v>63</v>
      </c>
      <c r="C10607" s="2">
        <v>44085</v>
      </c>
      <c r="D10607" t="s">
        <v>26</v>
      </c>
      <c r="E10607">
        <v>522</v>
      </c>
    </row>
    <row r="10608" spans="1:5" x14ac:dyDescent="0.55000000000000004">
      <c r="A10608" t="s">
        <v>10689</v>
      </c>
      <c r="B10608" t="s">
        <v>72</v>
      </c>
      <c r="C10608" s="2">
        <v>44102</v>
      </c>
      <c r="D10608" t="s">
        <v>26</v>
      </c>
      <c r="E10608">
        <v>338</v>
      </c>
    </row>
    <row r="10609" spans="1:5" x14ac:dyDescent="0.55000000000000004">
      <c r="A10609" t="s">
        <v>10690</v>
      </c>
      <c r="B10609" t="s">
        <v>15</v>
      </c>
      <c r="C10609" s="2">
        <v>44237</v>
      </c>
      <c r="D10609" t="s">
        <v>29</v>
      </c>
      <c r="E10609">
        <v>2091</v>
      </c>
    </row>
    <row r="10610" spans="1:5" x14ac:dyDescent="0.55000000000000004">
      <c r="A10610" t="s">
        <v>10691</v>
      </c>
      <c r="B10610" t="s">
        <v>140</v>
      </c>
      <c r="C10610" s="2">
        <v>43604</v>
      </c>
      <c r="D10610" t="s">
        <v>26</v>
      </c>
      <c r="E10610">
        <v>1000</v>
      </c>
    </row>
    <row r="10611" spans="1:5" x14ac:dyDescent="0.55000000000000004">
      <c r="A10611" t="s">
        <v>10692</v>
      </c>
      <c r="B10611" t="s">
        <v>23</v>
      </c>
      <c r="C10611" s="2">
        <v>44398</v>
      </c>
      <c r="D10611" t="s">
        <v>29</v>
      </c>
      <c r="E10611">
        <v>1529</v>
      </c>
    </row>
    <row r="10612" spans="1:5" x14ac:dyDescent="0.55000000000000004">
      <c r="A10612" t="s">
        <v>10693</v>
      </c>
      <c r="B10612" t="s">
        <v>175</v>
      </c>
      <c r="C10612" s="2">
        <v>43693</v>
      </c>
      <c r="D10612" t="s">
        <v>29</v>
      </c>
      <c r="E10612">
        <v>1333</v>
      </c>
    </row>
    <row r="10613" spans="1:5" x14ac:dyDescent="0.55000000000000004">
      <c r="A10613" t="s">
        <v>10694</v>
      </c>
      <c r="B10613" t="s">
        <v>96</v>
      </c>
      <c r="C10613" s="2">
        <v>45493</v>
      </c>
      <c r="D10613" t="s">
        <v>29</v>
      </c>
      <c r="E10613">
        <v>2304</v>
      </c>
    </row>
    <row r="10614" spans="1:5" x14ac:dyDescent="0.55000000000000004">
      <c r="A10614" t="s">
        <v>10695</v>
      </c>
      <c r="B10614" t="s">
        <v>74</v>
      </c>
      <c r="C10614" s="2">
        <v>43856</v>
      </c>
      <c r="D10614" t="s">
        <v>29</v>
      </c>
      <c r="E10614">
        <v>834</v>
      </c>
    </row>
    <row r="10615" spans="1:5" x14ac:dyDescent="0.55000000000000004">
      <c r="A10615" t="s">
        <v>10696</v>
      </c>
      <c r="B10615" t="s">
        <v>74</v>
      </c>
      <c r="C10615" s="2">
        <v>43174</v>
      </c>
      <c r="D10615" t="s">
        <v>29</v>
      </c>
      <c r="E10615">
        <v>867</v>
      </c>
    </row>
    <row r="10616" spans="1:5" x14ac:dyDescent="0.55000000000000004">
      <c r="A10616" t="s">
        <v>10697</v>
      </c>
      <c r="B10616" t="s">
        <v>156</v>
      </c>
      <c r="C10616" s="2">
        <v>44229</v>
      </c>
      <c r="D10616" t="s">
        <v>29</v>
      </c>
      <c r="E10616">
        <v>845</v>
      </c>
    </row>
    <row r="10617" spans="1:5" x14ac:dyDescent="0.55000000000000004">
      <c r="A10617" t="s">
        <v>10698</v>
      </c>
      <c r="B10617" t="s">
        <v>86</v>
      </c>
      <c r="C10617" s="2">
        <v>43424</v>
      </c>
      <c r="D10617" t="s">
        <v>26</v>
      </c>
      <c r="E10617">
        <v>281</v>
      </c>
    </row>
    <row r="10618" spans="1:5" x14ac:dyDescent="0.55000000000000004">
      <c r="A10618" t="s">
        <v>10699</v>
      </c>
      <c r="B10618" t="s">
        <v>41</v>
      </c>
      <c r="C10618" s="2">
        <v>44507</v>
      </c>
      <c r="D10618" t="s">
        <v>29</v>
      </c>
      <c r="E10618">
        <v>1440</v>
      </c>
    </row>
    <row r="10619" spans="1:5" x14ac:dyDescent="0.55000000000000004">
      <c r="A10619" t="s">
        <v>10700</v>
      </c>
      <c r="B10619" t="s">
        <v>142</v>
      </c>
      <c r="C10619" s="2">
        <v>44120</v>
      </c>
      <c r="D10619" t="s">
        <v>26</v>
      </c>
      <c r="E10619">
        <v>1881</v>
      </c>
    </row>
    <row r="10620" spans="1:5" x14ac:dyDescent="0.55000000000000004">
      <c r="A10620" t="s">
        <v>10701</v>
      </c>
      <c r="B10620" t="s">
        <v>105</v>
      </c>
      <c r="C10620" s="2">
        <v>43019</v>
      </c>
      <c r="D10620" t="s">
        <v>29</v>
      </c>
      <c r="E10620">
        <v>2111</v>
      </c>
    </row>
    <row r="10621" spans="1:5" x14ac:dyDescent="0.55000000000000004">
      <c r="A10621" t="s">
        <v>10702</v>
      </c>
      <c r="B10621" t="s">
        <v>142</v>
      </c>
      <c r="C10621" s="2">
        <v>44418</v>
      </c>
      <c r="D10621" t="s">
        <v>26</v>
      </c>
      <c r="E10621">
        <v>1558</v>
      </c>
    </row>
    <row r="10622" spans="1:5" x14ac:dyDescent="0.55000000000000004">
      <c r="A10622" t="s">
        <v>10703</v>
      </c>
      <c r="B10622" t="s">
        <v>23</v>
      </c>
      <c r="C10622" s="2">
        <v>44595</v>
      </c>
      <c r="D10622" t="s">
        <v>29</v>
      </c>
      <c r="E10622">
        <v>2636</v>
      </c>
    </row>
    <row r="10623" spans="1:5" x14ac:dyDescent="0.55000000000000004">
      <c r="A10623" t="s">
        <v>10704</v>
      </c>
      <c r="B10623" t="s">
        <v>86</v>
      </c>
      <c r="C10623" s="2">
        <v>43772</v>
      </c>
      <c r="D10623" t="s">
        <v>26</v>
      </c>
      <c r="E10623">
        <v>2505</v>
      </c>
    </row>
    <row r="10624" spans="1:5" x14ac:dyDescent="0.55000000000000004">
      <c r="A10624" t="s">
        <v>10705</v>
      </c>
      <c r="B10624" t="s">
        <v>84</v>
      </c>
      <c r="C10624" s="2">
        <v>43320</v>
      </c>
      <c r="D10624" t="s">
        <v>26</v>
      </c>
      <c r="E10624">
        <v>2361</v>
      </c>
    </row>
    <row r="10625" spans="1:5" x14ac:dyDescent="0.55000000000000004">
      <c r="A10625" t="s">
        <v>10706</v>
      </c>
      <c r="B10625" t="s">
        <v>115</v>
      </c>
      <c r="C10625" s="2">
        <v>43750</v>
      </c>
      <c r="D10625" t="s">
        <v>29</v>
      </c>
      <c r="E10625">
        <v>1886</v>
      </c>
    </row>
    <row r="10626" spans="1:5" x14ac:dyDescent="0.55000000000000004">
      <c r="A10626" t="s">
        <v>10707</v>
      </c>
      <c r="B10626" t="s">
        <v>14</v>
      </c>
      <c r="C10626" s="2">
        <v>43983</v>
      </c>
      <c r="D10626" t="s">
        <v>29</v>
      </c>
      <c r="E10626">
        <v>1329</v>
      </c>
    </row>
    <row r="10627" spans="1:5" x14ac:dyDescent="0.55000000000000004">
      <c r="A10627" t="s">
        <v>10708</v>
      </c>
      <c r="B10627" t="s">
        <v>14</v>
      </c>
      <c r="C10627" s="2">
        <v>43735</v>
      </c>
      <c r="D10627" t="s">
        <v>29</v>
      </c>
      <c r="E10627">
        <v>933</v>
      </c>
    </row>
    <row r="10628" spans="1:5" x14ac:dyDescent="0.55000000000000004">
      <c r="A10628" t="s">
        <v>10709</v>
      </c>
      <c r="B10628" t="s">
        <v>118</v>
      </c>
      <c r="C10628" s="2">
        <v>45838</v>
      </c>
      <c r="D10628" t="s">
        <v>29</v>
      </c>
      <c r="E10628">
        <v>1089</v>
      </c>
    </row>
    <row r="10629" spans="1:5" x14ac:dyDescent="0.55000000000000004">
      <c r="A10629" t="s">
        <v>10710</v>
      </c>
      <c r="B10629" t="s">
        <v>137</v>
      </c>
      <c r="C10629" s="2">
        <v>43900</v>
      </c>
      <c r="D10629" t="s">
        <v>26</v>
      </c>
      <c r="E10629">
        <v>2936</v>
      </c>
    </row>
    <row r="10630" spans="1:5" x14ac:dyDescent="0.55000000000000004">
      <c r="A10630" t="s">
        <v>10711</v>
      </c>
      <c r="B10630" t="s">
        <v>74</v>
      </c>
      <c r="C10630" s="2">
        <v>42949</v>
      </c>
      <c r="D10630" t="s">
        <v>29</v>
      </c>
      <c r="E10630">
        <v>597</v>
      </c>
    </row>
    <row r="10631" spans="1:5" x14ac:dyDescent="0.55000000000000004">
      <c r="A10631" t="s">
        <v>10712</v>
      </c>
      <c r="B10631" t="s">
        <v>76</v>
      </c>
      <c r="C10631" s="2">
        <v>45459</v>
      </c>
      <c r="D10631" t="s">
        <v>29</v>
      </c>
      <c r="E10631">
        <v>1066</v>
      </c>
    </row>
    <row r="10632" spans="1:5" x14ac:dyDescent="0.55000000000000004">
      <c r="A10632" t="s">
        <v>10713</v>
      </c>
      <c r="B10632" t="s">
        <v>32</v>
      </c>
      <c r="C10632" s="2">
        <v>44226</v>
      </c>
      <c r="D10632" t="s">
        <v>29</v>
      </c>
      <c r="E10632">
        <v>1140</v>
      </c>
    </row>
    <row r="10633" spans="1:5" x14ac:dyDescent="0.55000000000000004">
      <c r="A10633" t="s">
        <v>10714</v>
      </c>
      <c r="B10633" t="s">
        <v>175</v>
      </c>
      <c r="C10633" s="2">
        <v>44081</v>
      </c>
      <c r="D10633" t="s">
        <v>26</v>
      </c>
      <c r="E10633">
        <v>5</v>
      </c>
    </row>
    <row r="10634" spans="1:5" x14ac:dyDescent="0.55000000000000004">
      <c r="A10634" t="s">
        <v>10715</v>
      </c>
      <c r="B10634" t="s">
        <v>115</v>
      </c>
      <c r="C10634" s="2">
        <v>43991</v>
      </c>
      <c r="D10634" t="s">
        <v>26</v>
      </c>
      <c r="E10634">
        <v>2068</v>
      </c>
    </row>
    <row r="10635" spans="1:5" x14ac:dyDescent="0.55000000000000004">
      <c r="A10635" t="s">
        <v>10716</v>
      </c>
      <c r="B10635" t="s">
        <v>99</v>
      </c>
      <c r="C10635" s="2">
        <v>45168</v>
      </c>
      <c r="D10635" t="s">
        <v>26</v>
      </c>
      <c r="E10635">
        <v>877</v>
      </c>
    </row>
    <row r="10636" spans="1:5" x14ac:dyDescent="0.55000000000000004">
      <c r="A10636" t="s">
        <v>10717</v>
      </c>
      <c r="B10636" t="s">
        <v>72</v>
      </c>
      <c r="C10636" s="2">
        <v>44478</v>
      </c>
      <c r="D10636" t="s">
        <v>26</v>
      </c>
      <c r="E10636">
        <v>1514</v>
      </c>
    </row>
    <row r="10637" spans="1:5" x14ac:dyDescent="0.55000000000000004">
      <c r="A10637" t="s">
        <v>10718</v>
      </c>
      <c r="B10637" t="s">
        <v>15</v>
      </c>
      <c r="C10637" s="2">
        <v>43574</v>
      </c>
      <c r="D10637" t="s">
        <v>26</v>
      </c>
      <c r="E10637">
        <v>2165</v>
      </c>
    </row>
    <row r="10638" spans="1:5" x14ac:dyDescent="0.55000000000000004">
      <c r="A10638" t="s">
        <v>10719</v>
      </c>
      <c r="B10638" t="s">
        <v>156</v>
      </c>
      <c r="C10638" s="2">
        <v>44548</v>
      </c>
      <c r="D10638" t="s">
        <v>26</v>
      </c>
      <c r="E10638">
        <v>412</v>
      </c>
    </row>
    <row r="10639" spans="1:5" x14ac:dyDescent="0.55000000000000004">
      <c r="A10639" t="s">
        <v>10720</v>
      </c>
      <c r="B10639" t="s">
        <v>74</v>
      </c>
      <c r="C10639" s="2">
        <v>43582</v>
      </c>
      <c r="D10639" t="s">
        <v>29</v>
      </c>
      <c r="E10639">
        <v>153</v>
      </c>
    </row>
    <row r="10640" spans="1:5" x14ac:dyDescent="0.55000000000000004">
      <c r="A10640" t="s">
        <v>10721</v>
      </c>
      <c r="B10640" t="s">
        <v>76</v>
      </c>
      <c r="C10640" s="2">
        <v>44238</v>
      </c>
      <c r="D10640" t="s">
        <v>29</v>
      </c>
      <c r="E10640">
        <v>1876</v>
      </c>
    </row>
    <row r="10641" spans="1:5" x14ac:dyDescent="0.55000000000000004">
      <c r="A10641" t="s">
        <v>10722</v>
      </c>
      <c r="B10641" t="s">
        <v>86</v>
      </c>
      <c r="C10641" s="2">
        <v>43727</v>
      </c>
      <c r="D10641" t="s">
        <v>26</v>
      </c>
      <c r="E10641">
        <v>2633</v>
      </c>
    </row>
    <row r="10642" spans="1:5" x14ac:dyDescent="0.55000000000000004">
      <c r="A10642" t="s">
        <v>10723</v>
      </c>
      <c r="B10642" t="s">
        <v>74</v>
      </c>
      <c r="C10642" s="2">
        <v>43760</v>
      </c>
      <c r="D10642" t="s">
        <v>29</v>
      </c>
      <c r="E10642">
        <v>2814</v>
      </c>
    </row>
    <row r="10643" spans="1:5" x14ac:dyDescent="0.55000000000000004">
      <c r="A10643" t="s">
        <v>10724</v>
      </c>
      <c r="B10643" t="s">
        <v>105</v>
      </c>
      <c r="C10643" s="2">
        <v>43704</v>
      </c>
      <c r="D10643" t="s">
        <v>26</v>
      </c>
      <c r="E10643">
        <v>1236</v>
      </c>
    </row>
    <row r="10644" spans="1:5" x14ac:dyDescent="0.55000000000000004">
      <c r="A10644" t="s">
        <v>10725</v>
      </c>
      <c r="B10644" t="s">
        <v>175</v>
      </c>
      <c r="C10644" s="2">
        <v>44835</v>
      </c>
      <c r="D10644" t="s">
        <v>29</v>
      </c>
      <c r="E10644">
        <v>1162</v>
      </c>
    </row>
    <row r="10645" spans="1:5" x14ac:dyDescent="0.55000000000000004">
      <c r="A10645" t="s">
        <v>10726</v>
      </c>
      <c r="B10645" t="s">
        <v>140</v>
      </c>
      <c r="C10645" s="2">
        <v>43250</v>
      </c>
      <c r="D10645" t="s">
        <v>26</v>
      </c>
      <c r="E10645">
        <v>728</v>
      </c>
    </row>
    <row r="10646" spans="1:5" x14ac:dyDescent="0.55000000000000004">
      <c r="A10646" t="s">
        <v>10727</v>
      </c>
      <c r="B10646" t="s">
        <v>115</v>
      </c>
      <c r="C10646" s="2">
        <v>43389</v>
      </c>
      <c r="D10646" t="s">
        <v>29</v>
      </c>
      <c r="E10646">
        <v>2904</v>
      </c>
    </row>
    <row r="10647" spans="1:5" x14ac:dyDescent="0.55000000000000004">
      <c r="A10647" t="s">
        <v>10728</v>
      </c>
      <c r="B10647" t="s">
        <v>84</v>
      </c>
      <c r="C10647" s="2">
        <v>44541</v>
      </c>
      <c r="D10647" t="s">
        <v>29</v>
      </c>
      <c r="E10647">
        <v>2551</v>
      </c>
    </row>
    <row r="10648" spans="1:5" x14ac:dyDescent="0.55000000000000004">
      <c r="A10648" t="s">
        <v>10729</v>
      </c>
      <c r="B10648" t="s">
        <v>41</v>
      </c>
      <c r="C10648" s="2">
        <v>44178</v>
      </c>
      <c r="D10648" t="s">
        <v>26</v>
      </c>
      <c r="E10648">
        <v>2718</v>
      </c>
    </row>
    <row r="10649" spans="1:5" x14ac:dyDescent="0.55000000000000004">
      <c r="A10649" t="s">
        <v>10730</v>
      </c>
      <c r="B10649" t="s">
        <v>63</v>
      </c>
      <c r="C10649" s="2">
        <v>44083</v>
      </c>
      <c r="D10649" t="s">
        <v>29</v>
      </c>
      <c r="E10649">
        <v>16</v>
      </c>
    </row>
    <row r="10650" spans="1:5" x14ac:dyDescent="0.55000000000000004">
      <c r="A10650" t="s">
        <v>10731</v>
      </c>
      <c r="B10650" t="s">
        <v>96</v>
      </c>
      <c r="C10650" s="2">
        <v>43807</v>
      </c>
      <c r="D10650" t="s">
        <v>29</v>
      </c>
      <c r="E10650">
        <v>1008</v>
      </c>
    </row>
    <row r="10651" spans="1:5" x14ac:dyDescent="0.55000000000000004">
      <c r="A10651" t="s">
        <v>10732</v>
      </c>
      <c r="B10651" t="s">
        <v>38</v>
      </c>
      <c r="C10651" s="2">
        <v>44435</v>
      </c>
      <c r="D10651" t="s">
        <v>26</v>
      </c>
      <c r="E10651">
        <v>1131</v>
      </c>
    </row>
    <row r="10652" spans="1:5" x14ac:dyDescent="0.55000000000000004">
      <c r="A10652" t="s">
        <v>10733</v>
      </c>
      <c r="B10652" t="s">
        <v>101</v>
      </c>
      <c r="C10652" s="2">
        <v>43701</v>
      </c>
      <c r="D10652" t="s">
        <v>26</v>
      </c>
      <c r="E10652">
        <v>2556</v>
      </c>
    </row>
    <row r="10653" spans="1:5" x14ac:dyDescent="0.55000000000000004">
      <c r="A10653" t="s">
        <v>10734</v>
      </c>
      <c r="B10653" t="s">
        <v>111</v>
      </c>
      <c r="C10653" s="2">
        <v>43447</v>
      </c>
      <c r="D10653" t="s">
        <v>29</v>
      </c>
      <c r="E10653">
        <v>2806</v>
      </c>
    </row>
    <row r="10654" spans="1:5" x14ac:dyDescent="0.55000000000000004">
      <c r="A10654" t="s">
        <v>10735</v>
      </c>
      <c r="B10654" t="s">
        <v>142</v>
      </c>
      <c r="C10654" s="2">
        <v>44393</v>
      </c>
      <c r="D10654" t="s">
        <v>26</v>
      </c>
      <c r="E10654">
        <v>1708</v>
      </c>
    </row>
    <row r="10655" spans="1:5" x14ac:dyDescent="0.55000000000000004">
      <c r="A10655" t="s">
        <v>10736</v>
      </c>
      <c r="B10655" t="s">
        <v>142</v>
      </c>
      <c r="C10655" s="2">
        <v>44547</v>
      </c>
      <c r="D10655" t="s">
        <v>26</v>
      </c>
      <c r="E10655">
        <v>2337</v>
      </c>
    </row>
    <row r="10656" spans="1:5" x14ac:dyDescent="0.55000000000000004">
      <c r="A10656" t="s">
        <v>10737</v>
      </c>
      <c r="B10656" t="s">
        <v>67</v>
      </c>
      <c r="C10656" s="2">
        <v>43781</v>
      </c>
      <c r="D10656" t="s">
        <v>26</v>
      </c>
      <c r="E10656">
        <v>1808</v>
      </c>
    </row>
    <row r="10657" spans="1:5" x14ac:dyDescent="0.55000000000000004">
      <c r="A10657" t="s">
        <v>10738</v>
      </c>
      <c r="B10657" t="s">
        <v>23</v>
      </c>
      <c r="C10657" s="2">
        <v>44563</v>
      </c>
      <c r="D10657" t="s">
        <v>26</v>
      </c>
      <c r="E10657">
        <v>1602</v>
      </c>
    </row>
    <row r="10658" spans="1:5" x14ac:dyDescent="0.55000000000000004">
      <c r="A10658" t="s">
        <v>10739</v>
      </c>
      <c r="B10658" t="s">
        <v>151</v>
      </c>
      <c r="C10658" s="2">
        <v>43607</v>
      </c>
      <c r="D10658" t="s">
        <v>26</v>
      </c>
      <c r="E10658">
        <v>305</v>
      </c>
    </row>
    <row r="10659" spans="1:5" x14ac:dyDescent="0.55000000000000004">
      <c r="A10659" t="s">
        <v>10740</v>
      </c>
      <c r="B10659" t="s">
        <v>84</v>
      </c>
      <c r="C10659" s="2">
        <v>44212</v>
      </c>
      <c r="D10659" t="s">
        <v>26</v>
      </c>
      <c r="E10659">
        <v>726</v>
      </c>
    </row>
    <row r="10660" spans="1:5" x14ac:dyDescent="0.55000000000000004">
      <c r="A10660" t="s">
        <v>10741</v>
      </c>
      <c r="B10660" t="s">
        <v>14</v>
      </c>
      <c r="C10660" s="2">
        <v>43266</v>
      </c>
      <c r="D10660" t="s">
        <v>26</v>
      </c>
      <c r="E10660">
        <v>1192</v>
      </c>
    </row>
    <row r="10661" spans="1:5" x14ac:dyDescent="0.55000000000000004">
      <c r="A10661" t="s">
        <v>10742</v>
      </c>
      <c r="B10661" t="s">
        <v>35</v>
      </c>
      <c r="C10661" s="2">
        <v>44049</v>
      </c>
      <c r="D10661" t="s">
        <v>29</v>
      </c>
      <c r="E10661">
        <v>1384</v>
      </c>
    </row>
    <row r="10662" spans="1:5" x14ac:dyDescent="0.55000000000000004">
      <c r="A10662" t="s">
        <v>10743</v>
      </c>
      <c r="B10662" t="s">
        <v>101</v>
      </c>
      <c r="C10662" s="2">
        <v>43054</v>
      </c>
      <c r="D10662" t="s">
        <v>29</v>
      </c>
      <c r="E10662">
        <v>2107</v>
      </c>
    </row>
    <row r="10663" spans="1:5" x14ac:dyDescent="0.55000000000000004">
      <c r="A10663" t="s">
        <v>10744</v>
      </c>
      <c r="B10663" t="s">
        <v>142</v>
      </c>
      <c r="C10663" s="2">
        <v>44160</v>
      </c>
      <c r="D10663" t="s">
        <v>29</v>
      </c>
      <c r="E10663">
        <v>1786</v>
      </c>
    </row>
    <row r="10664" spans="1:5" x14ac:dyDescent="0.55000000000000004">
      <c r="A10664" t="s">
        <v>10745</v>
      </c>
      <c r="B10664" t="s">
        <v>84</v>
      </c>
      <c r="C10664" s="2">
        <v>44277</v>
      </c>
      <c r="D10664" t="s">
        <v>26</v>
      </c>
      <c r="E10664">
        <v>2165</v>
      </c>
    </row>
    <row r="10665" spans="1:5" x14ac:dyDescent="0.55000000000000004">
      <c r="A10665" t="s">
        <v>10746</v>
      </c>
      <c r="B10665" t="s">
        <v>78</v>
      </c>
      <c r="C10665" s="2">
        <v>44841</v>
      </c>
      <c r="D10665" t="s">
        <v>29</v>
      </c>
      <c r="E10665">
        <v>499</v>
      </c>
    </row>
    <row r="10666" spans="1:5" x14ac:dyDescent="0.55000000000000004">
      <c r="A10666" t="s">
        <v>10747</v>
      </c>
      <c r="B10666" t="s">
        <v>151</v>
      </c>
      <c r="C10666" s="2">
        <v>43364</v>
      </c>
      <c r="D10666" t="s">
        <v>26</v>
      </c>
      <c r="E10666">
        <v>1780</v>
      </c>
    </row>
    <row r="10667" spans="1:5" x14ac:dyDescent="0.55000000000000004">
      <c r="A10667" t="s">
        <v>10748</v>
      </c>
      <c r="B10667" t="s">
        <v>101</v>
      </c>
      <c r="C10667" s="2">
        <v>43653</v>
      </c>
      <c r="D10667" t="s">
        <v>26</v>
      </c>
      <c r="E10667">
        <v>575</v>
      </c>
    </row>
    <row r="10668" spans="1:5" x14ac:dyDescent="0.55000000000000004">
      <c r="A10668" t="s">
        <v>10749</v>
      </c>
      <c r="B10668" t="s">
        <v>67</v>
      </c>
      <c r="C10668" s="2">
        <v>44860</v>
      </c>
      <c r="D10668" t="s">
        <v>26</v>
      </c>
      <c r="E10668">
        <v>1346</v>
      </c>
    </row>
    <row r="10669" spans="1:5" x14ac:dyDescent="0.55000000000000004">
      <c r="A10669" t="s">
        <v>10750</v>
      </c>
      <c r="B10669" t="s">
        <v>94</v>
      </c>
      <c r="C10669" s="2">
        <v>45231</v>
      </c>
      <c r="D10669" t="s">
        <v>29</v>
      </c>
      <c r="E10669">
        <v>2260</v>
      </c>
    </row>
    <row r="10670" spans="1:5" x14ac:dyDescent="0.55000000000000004">
      <c r="A10670" t="s">
        <v>10751</v>
      </c>
      <c r="B10670" t="s">
        <v>115</v>
      </c>
      <c r="C10670" s="2">
        <v>43816</v>
      </c>
      <c r="D10670" t="s">
        <v>26</v>
      </c>
      <c r="E10670">
        <v>2731</v>
      </c>
    </row>
    <row r="10671" spans="1:5" x14ac:dyDescent="0.55000000000000004">
      <c r="A10671" t="s">
        <v>10752</v>
      </c>
      <c r="B10671" t="s">
        <v>86</v>
      </c>
      <c r="C10671" s="2">
        <v>44405</v>
      </c>
      <c r="D10671" t="s">
        <v>29</v>
      </c>
      <c r="E10671">
        <v>2247</v>
      </c>
    </row>
    <row r="10672" spans="1:5" x14ac:dyDescent="0.55000000000000004">
      <c r="A10672" t="s">
        <v>10753</v>
      </c>
      <c r="B10672" t="s">
        <v>105</v>
      </c>
      <c r="C10672" s="2">
        <v>44075</v>
      </c>
      <c r="D10672" t="s">
        <v>26</v>
      </c>
      <c r="E10672">
        <v>2883</v>
      </c>
    </row>
    <row r="10673" spans="1:5" x14ac:dyDescent="0.55000000000000004">
      <c r="A10673" t="s">
        <v>10754</v>
      </c>
      <c r="B10673" t="s">
        <v>111</v>
      </c>
      <c r="C10673" s="2">
        <v>43280</v>
      </c>
      <c r="D10673" t="s">
        <v>29</v>
      </c>
      <c r="E10673">
        <v>2427</v>
      </c>
    </row>
    <row r="10674" spans="1:5" x14ac:dyDescent="0.55000000000000004">
      <c r="A10674" t="s">
        <v>10755</v>
      </c>
      <c r="B10674" t="s">
        <v>105</v>
      </c>
      <c r="C10674" s="2">
        <v>43265</v>
      </c>
      <c r="D10674" t="s">
        <v>26</v>
      </c>
      <c r="E10674">
        <v>2395</v>
      </c>
    </row>
    <row r="10675" spans="1:5" x14ac:dyDescent="0.55000000000000004">
      <c r="A10675" t="s">
        <v>10756</v>
      </c>
      <c r="B10675" t="s">
        <v>76</v>
      </c>
      <c r="C10675" s="2">
        <v>43941</v>
      </c>
      <c r="D10675" t="s">
        <v>26</v>
      </c>
      <c r="E10675">
        <v>2664</v>
      </c>
    </row>
    <row r="10676" spans="1:5" x14ac:dyDescent="0.55000000000000004">
      <c r="A10676" t="s">
        <v>10757</v>
      </c>
      <c r="B10676" t="s">
        <v>156</v>
      </c>
      <c r="C10676" s="2">
        <v>43244</v>
      </c>
      <c r="D10676" t="s">
        <v>29</v>
      </c>
      <c r="E10676">
        <v>2063</v>
      </c>
    </row>
    <row r="10677" spans="1:5" x14ac:dyDescent="0.55000000000000004">
      <c r="A10677" t="s">
        <v>10758</v>
      </c>
      <c r="B10677" t="s">
        <v>115</v>
      </c>
      <c r="C10677" s="2">
        <v>43511</v>
      </c>
      <c r="D10677" t="s">
        <v>26</v>
      </c>
      <c r="E10677">
        <v>1164</v>
      </c>
    </row>
    <row r="10678" spans="1:5" x14ac:dyDescent="0.55000000000000004">
      <c r="A10678" t="s">
        <v>10759</v>
      </c>
      <c r="B10678" t="s">
        <v>14</v>
      </c>
      <c r="C10678" s="2">
        <v>44455</v>
      </c>
      <c r="D10678" t="s">
        <v>26</v>
      </c>
      <c r="E10678">
        <v>886</v>
      </c>
    </row>
    <row r="10679" spans="1:5" x14ac:dyDescent="0.55000000000000004">
      <c r="A10679" t="s">
        <v>10760</v>
      </c>
      <c r="B10679" t="s">
        <v>175</v>
      </c>
      <c r="C10679" s="2">
        <v>45568</v>
      </c>
      <c r="D10679" t="s">
        <v>29</v>
      </c>
      <c r="E10679">
        <v>2840</v>
      </c>
    </row>
    <row r="10680" spans="1:5" x14ac:dyDescent="0.55000000000000004">
      <c r="A10680" t="s">
        <v>10761</v>
      </c>
      <c r="B10680" t="s">
        <v>41</v>
      </c>
      <c r="C10680" s="2">
        <v>44643</v>
      </c>
      <c r="D10680" t="s">
        <v>26</v>
      </c>
      <c r="E10680">
        <v>2377</v>
      </c>
    </row>
    <row r="10681" spans="1:5" x14ac:dyDescent="0.55000000000000004">
      <c r="A10681" t="s">
        <v>10762</v>
      </c>
      <c r="B10681" t="s">
        <v>115</v>
      </c>
      <c r="C10681" s="2">
        <v>43499</v>
      </c>
      <c r="D10681" t="s">
        <v>26</v>
      </c>
      <c r="E10681">
        <v>1688</v>
      </c>
    </row>
    <row r="10682" spans="1:5" x14ac:dyDescent="0.55000000000000004">
      <c r="A10682" t="s">
        <v>10763</v>
      </c>
      <c r="B10682" t="s">
        <v>111</v>
      </c>
      <c r="C10682" s="2">
        <v>43232</v>
      </c>
      <c r="D10682" t="s">
        <v>26</v>
      </c>
      <c r="E10682">
        <v>494</v>
      </c>
    </row>
    <row r="10683" spans="1:5" x14ac:dyDescent="0.55000000000000004">
      <c r="A10683" t="s">
        <v>10764</v>
      </c>
      <c r="B10683" t="s">
        <v>175</v>
      </c>
      <c r="C10683" s="2">
        <v>44130</v>
      </c>
      <c r="D10683" t="s">
        <v>26</v>
      </c>
      <c r="E10683">
        <v>442</v>
      </c>
    </row>
    <row r="10684" spans="1:5" x14ac:dyDescent="0.55000000000000004">
      <c r="A10684" t="s">
        <v>10765</v>
      </c>
      <c r="B10684" t="s">
        <v>15</v>
      </c>
      <c r="C10684" s="2">
        <v>43535</v>
      </c>
      <c r="D10684" t="s">
        <v>26</v>
      </c>
      <c r="E10684">
        <v>623</v>
      </c>
    </row>
    <row r="10685" spans="1:5" x14ac:dyDescent="0.55000000000000004">
      <c r="A10685" t="s">
        <v>10766</v>
      </c>
      <c r="B10685" t="s">
        <v>142</v>
      </c>
      <c r="C10685" s="2">
        <v>44185</v>
      </c>
      <c r="D10685" t="s">
        <v>29</v>
      </c>
      <c r="E10685">
        <v>2874</v>
      </c>
    </row>
    <row r="10686" spans="1:5" x14ac:dyDescent="0.55000000000000004">
      <c r="A10686" t="s">
        <v>10767</v>
      </c>
      <c r="B10686" t="s">
        <v>156</v>
      </c>
      <c r="C10686" s="2">
        <v>43809</v>
      </c>
      <c r="D10686" t="s">
        <v>29</v>
      </c>
      <c r="E10686">
        <v>1651</v>
      </c>
    </row>
    <row r="10687" spans="1:5" x14ac:dyDescent="0.55000000000000004">
      <c r="A10687" t="s">
        <v>10768</v>
      </c>
      <c r="B10687" t="s">
        <v>86</v>
      </c>
      <c r="C10687" s="2">
        <v>44195</v>
      </c>
      <c r="D10687" t="s">
        <v>29</v>
      </c>
      <c r="E10687">
        <v>2227</v>
      </c>
    </row>
    <row r="10688" spans="1:5" x14ac:dyDescent="0.55000000000000004">
      <c r="A10688" t="s">
        <v>10769</v>
      </c>
      <c r="B10688" t="s">
        <v>74</v>
      </c>
      <c r="C10688" s="2">
        <v>44332</v>
      </c>
      <c r="D10688" t="s">
        <v>26</v>
      </c>
      <c r="E10688">
        <v>1897</v>
      </c>
    </row>
    <row r="10689" spans="1:5" x14ac:dyDescent="0.55000000000000004">
      <c r="A10689" t="s">
        <v>10770</v>
      </c>
      <c r="B10689" t="s">
        <v>105</v>
      </c>
      <c r="C10689" s="2">
        <v>44553</v>
      </c>
      <c r="D10689" t="s">
        <v>26</v>
      </c>
      <c r="E10689">
        <v>1012</v>
      </c>
    </row>
    <row r="10690" spans="1:5" x14ac:dyDescent="0.55000000000000004">
      <c r="A10690" t="s">
        <v>10771</v>
      </c>
      <c r="B10690" t="s">
        <v>38</v>
      </c>
      <c r="C10690" s="2">
        <v>44620</v>
      </c>
      <c r="D10690" t="s">
        <v>29</v>
      </c>
      <c r="E10690">
        <v>2736</v>
      </c>
    </row>
    <row r="10691" spans="1:5" x14ac:dyDescent="0.55000000000000004">
      <c r="A10691" t="s">
        <v>10772</v>
      </c>
      <c r="B10691" t="s">
        <v>111</v>
      </c>
      <c r="C10691" s="2">
        <v>44159</v>
      </c>
      <c r="D10691" t="s">
        <v>26</v>
      </c>
      <c r="E10691">
        <v>1705</v>
      </c>
    </row>
    <row r="10692" spans="1:5" x14ac:dyDescent="0.55000000000000004">
      <c r="A10692" t="s">
        <v>10773</v>
      </c>
      <c r="B10692" t="s">
        <v>156</v>
      </c>
      <c r="C10692" s="2">
        <v>43476</v>
      </c>
      <c r="D10692" t="s">
        <v>26</v>
      </c>
      <c r="E10692">
        <v>1283</v>
      </c>
    </row>
    <row r="10693" spans="1:5" x14ac:dyDescent="0.55000000000000004">
      <c r="A10693" t="s">
        <v>10774</v>
      </c>
      <c r="B10693" t="s">
        <v>151</v>
      </c>
      <c r="C10693" s="2">
        <v>44546</v>
      </c>
      <c r="D10693" t="s">
        <v>26</v>
      </c>
      <c r="E10693">
        <v>2946</v>
      </c>
    </row>
    <row r="10694" spans="1:5" x14ac:dyDescent="0.55000000000000004">
      <c r="A10694" t="s">
        <v>10775</v>
      </c>
      <c r="B10694" t="s">
        <v>115</v>
      </c>
      <c r="C10694" s="2">
        <v>44063</v>
      </c>
      <c r="D10694" t="s">
        <v>26</v>
      </c>
      <c r="E10694">
        <v>389</v>
      </c>
    </row>
    <row r="10695" spans="1:5" x14ac:dyDescent="0.55000000000000004">
      <c r="A10695" t="s">
        <v>10776</v>
      </c>
      <c r="B10695" t="s">
        <v>115</v>
      </c>
      <c r="C10695" s="2">
        <v>43307</v>
      </c>
      <c r="D10695" t="s">
        <v>26</v>
      </c>
      <c r="E10695">
        <v>2119</v>
      </c>
    </row>
    <row r="10696" spans="1:5" x14ac:dyDescent="0.55000000000000004">
      <c r="A10696" t="s">
        <v>10777</v>
      </c>
      <c r="B10696" t="s">
        <v>111</v>
      </c>
      <c r="C10696" s="2">
        <v>43198</v>
      </c>
      <c r="D10696" t="s">
        <v>26</v>
      </c>
      <c r="E10696">
        <v>419</v>
      </c>
    </row>
    <row r="10697" spans="1:5" x14ac:dyDescent="0.55000000000000004">
      <c r="A10697" t="s">
        <v>10778</v>
      </c>
      <c r="B10697" t="s">
        <v>86</v>
      </c>
      <c r="C10697" s="2">
        <v>43741</v>
      </c>
      <c r="D10697" t="s">
        <v>26</v>
      </c>
      <c r="E10697">
        <v>965</v>
      </c>
    </row>
    <row r="10698" spans="1:5" x14ac:dyDescent="0.55000000000000004">
      <c r="A10698" t="s">
        <v>10779</v>
      </c>
      <c r="B10698" t="s">
        <v>156</v>
      </c>
      <c r="C10698" s="2">
        <v>43291</v>
      </c>
      <c r="D10698" t="s">
        <v>29</v>
      </c>
      <c r="E10698">
        <v>2929</v>
      </c>
    </row>
    <row r="10699" spans="1:5" x14ac:dyDescent="0.55000000000000004">
      <c r="A10699" t="s">
        <v>10780</v>
      </c>
      <c r="B10699" t="s">
        <v>14</v>
      </c>
      <c r="C10699" s="2">
        <v>44406</v>
      </c>
      <c r="D10699" t="s">
        <v>26</v>
      </c>
      <c r="E10699">
        <v>604</v>
      </c>
    </row>
    <row r="10700" spans="1:5" x14ac:dyDescent="0.55000000000000004">
      <c r="A10700" t="s">
        <v>10781</v>
      </c>
      <c r="B10700" t="s">
        <v>94</v>
      </c>
      <c r="C10700" s="2">
        <v>44497</v>
      </c>
      <c r="D10700" t="s">
        <v>29</v>
      </c>
      <c r="E10700">
        <v>713</v>
      </c>
    </row>
    <row r="10701" spans="1:5" x14ac:dyDescent="0.55000000000000004">
      <c r="A10701" t="s">
        <v>10782</v>
      </c>
      <c r="B10701" t="s">
        <v>101</v>
      </c>
      <c r="C10701" s="2">
        <v>43893</v>
      </c>
      <c r="D10701" t="s">
        <v>26</v>
      </c>
      <c r="E10701">
        <v>2579</v>
      </c>
    </row>
    <row r="10702" spans="1:5" x14ac:dyDescent="0.55000000000000004">
      <c r="A10702" t="s">
        <v>10783</v>
      </c>
      <c r="B10702" t="s">
        <v>63</v>
      </c>
      <c r="C10702" s="2">
        <v>44515</v>
      </c>
      <c r="D10702" t="s">
        <v>26</v>
      </c>
      <c r="E10702">
        <v>41</v>
      </c>
    </row>
    <row r="10703" spans="1:5" x14ac:dyDescent="0.55000000000000004">
      <c r="A10703" t="s">
        <v>10784</v>
      </c>
      <c r="B10703" t="s">
        <v>72</v>
      </c>
      <c r="C10703" s="2">
        <v>43558</v>
      </c>
      <c r="D10703" t="s">
        <v>26</v>
      </c>
      <c r="E10703">
        <v>1036</v>
      </c>
    </row>
    <row r="10704" spans="1:5" x14ac:dyDescent="0.55000000000000004">
      <c r="A10704" t="s">
        <v>10785</v>
      </c>
      <c r="B10704" t="s">
        <v>105</v>
      </c>
      <c r="C10704" s="2">
        <v>43412</v>
      </c>
      <c r="D10704" t="s">
        <v>29</v>
      </c>
      <c r="E10704">
        <v>1806</v>
      </c>
    </row>
    <row r="10705" spans="1:5" x14ac:dyDescent="0.55000000000000004">
      <c r="A10705" t="s">
        <v>10786</v>
      </c>
      <c r="B10705" t="s">
        <v>137</v>
      </c>
      <c r="C10705" s="2">
        <v>43627</v>
      </c>
      <c r="D10705" t="s">
        <v>29</v>
      </c>
      <c r="E10705">
        <v>1941</v>
      </c>
    </row>
    <row r="10706" spans="1:5" x14ac:dyDescent="0.55000000000000004">
      <c r="A10706" t="s">
        <v>10787</v>
      </c>
      <c r="B10706" t="s">
        <v>101</v>
      </c>
      <c r="C10706" s="2">
        <v>42977</v>
      </c>
      <c r="D10706" t="s">
        <v>29</v>
      </c>
      <c r="E10706">
        <v>551</v>
      </c>
    </row>
    <row r="10707" spans="1:5" x14ac:dyDescent="0.55000000000000004">
      <c r="A10707" t="s">
        <v>10788</v>
      </c>
      <c r="B10707" t="s">
        <v>32</v>
      </c>
      <c r="C10707" s="2">
        <v>44236</v>
      </c>
      <c r="D10707" t="s">
        <v>29</v>
      </c>
      <c r="E10707">
        <v>2620</v>
      </c>
    </row>
    <row r="10708" spans="1:5" x14ac:dyDescent="0.55000000000000004">
      <c r="A10708" t="s">
        <v>10789</v>
      </c>
      <c r="B10708" t="s">
        <v>41</v>
      </c>
      <c r="C10708" s="2">
        <v>44704</v>
      </c>
      <c r="D10708" t="s">
        <v>29</v>
      </c>
      <c r="E10708">
        <v>1924</v>
      </c>
    </row>
    <row r="10709" spans="1:5" x14ac:dyDescent="0.55000000000000004">
      <c r="A10709" t="s">
        <v>10790</v>
      </c>
      <c r="B10709" t="s">
        <v>156</v>
      </c>
      <c r="C10709" s="2">
        <v>43023</v>
      </c>
      <c r="D10709" t="s">
        <v>29</v>
      </c>
      <c r="E10709">
        <v>1993</v>
      </c>
    </row>
    <row r="10710" spans="1:5" x14ac:dyDescent="0.55000000000000004">
      <c r="A10710" t="s">
        <v>10791</v>
      </c>
      <c r="B10710" t="s">
        <v>76</v>
      </c>
      <c r="C10710" s="2">
        <v>44015</v>
      </c>
      <c r="D10710" t="s">
        <v>26</v>
      </c>
      <c r="E10710">
        <v>162</v>
      </c>
    </row>
    <row r="10711" spans="1:5" x14ac:dyDescent="0.55000000000000004">
      <c r="A10711" t="s">
        <v>10792</v>
      </c>
      <c r="B10711" t="s">
        <v>15</v>
      </c>
      <c r="C10711" s="2">
        <v>44248</v>
      </c>
      <c r="D10711" t="s">
        <v>29</v>
      </c>
      <c r="E10711">
        <v>731</v>
      </c>
    </row>
    <row r="10712" spans="1:5" x14ac:dyDescent="0.55000000000000004">
      <c r="A10712" t="s">
        <v>10793</v>
      </c>
      <c r="B10712" t="s">
        <v>137</v>
      </c>
      <c r="C10712" s="2">
        <v>44662</v>
      </c>
      <c r="D10712" t="s">
        <v>26</v>
      </c>
      <c r="E10712">
        <v>83</v>
      </c>
    </row>
    <row r="10713" spans="1:5" x14ac:dyDescent="0.55000000000000004">
      <c r="A10713" t="s">
        <v>10794</v>
      </c>
      <c r="B10713" t="s">
        <v>63</v>
      </c>
      <c r="C10713" s="2">
        <v>43364</v>
      </c>
      <c r="D10713" t="s">
        <v>26</v>
      </c>
      <c r="E10713">
        <v>1517</v>
      </c>
    </row>
    <row r="10714" spans="1:5" x14ac:dyDescent="0.55000000000000004">
      <c r="A10714" t="s">
        <v>10795</v>
      </c>
      <c r="B10714" t="s">
        <v>76</v>
      </c>
      <c r="C10714" s="2">
        <v>43765</v>
      </c>
      <c r="D10714" t="s">
        <v>26</v>
      </c>
      <c r="E10714">
        <v>2817</v>
      </c>
    </row>
    <row r="10715" spans="1:5" x14ac:dyDescent="0.55000000000000004">
      <c r="A10715" t="s">
        <v>10796</v>
      </c>
      <c r="B10715" t="s">
        <v>38</v>
      </c>
      <c r="C10715" s="2">
        <v>44840</v>
      </c>
      <c r="D10715" t="s">
        <v>26</v>
      </c>
      <c r="E10715">
        <v>1161</v>
      </c>
    </row>
    <row r="10716" spans="1:5" x14ac:dyDescent="0.55000000000000004">
      <c r="A10716" t="s">
        <v>10797</v>
      </c>
      <c r="B10716" t="s">
        <v>137</v>
      </c>
      <c r="C10716" s="2">
        <v>45358</v>
      </c>
      <c r="D10716" t="s">
        <v>26</v>
      </c>
      <c r="E10716">
        <v>1411</v>
      </c>
    </row>
    <row r="10717" spans="1:5" x14ac:dyDescent="0.55000000000000004">
      <c r="A10717" t="s">
        <v>10798</v>
      </c>
      <c r="B10717" t="s">
        <v>84</v>
      </c>
      <c r="C10717" s="2">
        <v>43291</v>
      </c>
      <c r="D10717" t="s">
        <v>29</v>
      </c>
      <c r="E10717">
        <v>1418</v>
      </c>
    </row>
    <row r="10718" spans="1:5" x14ac:dyDescent="0.55000000000000004">
      <c r="A10718" t="s">
        <v>10799</v>
      </c>
      <c r="B10718" t="s">
        <v>156</v>
      </c>
      <c r="C10718" s="2">
        <v>43049</v>
      </c>
      <c r="D10718" t="s">
        <v>29</v>
      </c>
      <c r="E10718">
        <v>2729</v>
      </c>
    </row>
    <row r="10719" spans="1:5" x14ac:dyDescent="0.55000000000000004">
      <c r="A10719" t="s">
        <v>10800</v>
      </c>
      <c r="B10719" t="s">
        <v>99</v>
      </c>
      <c r="C10719" s="2">
        <v>44315</v>
      </c>
      <c r="D10719" t="s">
        <v>26</v>
      </c>
      <c r="E10719">
        <v>1988</v>
      </c>
    </row>
    <row r="10720" spans="1:5" x14ac:dyDescent="0.55000000000000004">
      <c r="A10720" t="s">
        <v>10801</v>
      </c>
      <c r="B10720" t="s">
        <v>76</v>
      </c>
      <c r="C10720" s="2">
        <v>45245</v>
      </c>
      <c r="D10720" t="s">
        <v>26</v>
      </c>
      <c r="E10720">
        <v>2379</v>
      </c>
    </row>
    <row r="10721" spans="1:5" x14ac:dyDescent="0.55000000000000004">
      <c r="A10721" t="s">
        <v>10802</v>
      </c>
      <c r="B10721" t="s">
        <v>99</v>
      </c>
      <c r="C10721" s="2">
        <v>44772</v>
      </c>
      <c r="D10721" t="s">
        <v>26</v>
      </c>
      <c r="E10721">
        <v>899</v>
      </c>
    </row>
    <row r="10722" spans="1:5" x14ac:dyDescent="0.55000000000000004">
      <c r="A10722" t="s">
        <v>10803</v>
      </c>
      <c r="B10722" t="s">
        <v>99</v>
      </c>
      <c r="C10722" s="2">
        <v>43889</v>
      </c>
      <c r="D10722" t="s">
        <v>26</v>
      </c>
      <c r="E10722">
        <v>2094</v>
      </c>
    </row>
    <row r="10723" spans="1:5" x14ac:dyDescent="0.55000000000000004">
      <c r="A10723" t="s">
        <v>10804</v>
      </c>
      <c r="B10723" t="s">
        <v>23</v>
      </c>
      <c r="C10723" s="2">
        <v>44221</v>
      </c>
      <c r="D10723" t="s">
        <v>29</v>
      </c>
      <c r="E10723">
        <v>2654</v>
      </c>
    </row>
    <row r="10724" spans="1:5" x14ac:dyDescent="0.55000000000000004">
      <c r="A10724" t="s">
        <v>10805</v>
      </c>
      <c r="B10724" t="s">
        <v>151</v>
      </c>
      <c r="C10724" s="2">
        <v>44290</v>
      </c>
      <c r="D10724" t="s">
        <v>26</v>
      </c>
      <c r="E10724">
        <v>1881</v>
      </c>
    </row>
    <row r="10725" spans="1:5" x14ac:dyDescent="0.55000000000000004">
      <c r="A10725" t="s">
        <v>10806</v>
      </c>
      <c r="B10725" t="s">
        <v>99</v>
      </c>
      <c r="C10725" s="2">
        <v>45212</v>
      </c>
      <c r="D10725" t="s">
        <v>26</v>
      </c>
      <c r="E10725">
        <v>1958</v>
      </c>
    </row>
    <row r="10726" spans="1:5" x14ac:dyDescent="0.55000000000000004">
      <c r="A10726" t="s">
        <v>10807</v>
      </c>
      <c r="B10726" t="s">
        <v>94</v>
      </c>
      <c r="C10726" s="2">
        <v>43628</v>
      </c>
      <c r="D10726" t="s">
        <v>29</v>
      </c>
      <c r="E10726">
        <v>739</v>
      </c>
    </row>
    <row r="10727" spans="1:5" x14ac:dyDescent="0.55000000000000004">
      <c r="A10727" t="s">
        <v>10808</v>
      </c>
      <c r="B10727" t="s">
        <v>35</v>
      </c>
      <c r="C10727" s="2">
        <v>44306</v>
      </c>
      <c r="D10727" t="s">
        <v>29</v>
      </c>
      <c r="E10727">
        <v>1870</v>
      </c>
    </row>
    <row r="10728" spans="1:5" x14ac:dyDescent="0.55000000000000004">
      <c r="A10728" t="s">
        <v>10809</v>
      </c>
      <c r="B10728" t="s">
        <v>118</v>
      </c>
      <c r="C10728" s="2">
        <v>44412</v>
      </c>
      <c r="D10728" t="s">
        <v>26</v>
      </c>
      <c r="E10728">
        <v>2134</v>
      </c>
    </row>
    <row r="10729" spans="1:5" x14ac:dyDescent="0.55000000000000004">
      <c r="A10729" t="s">
        <v>10810</v>
      </c>
      <c r="B10729" t="s">
        <v>32</v>
      </c>
      <c r="C10729" s="2">
        <v>44583</v>
      </c>
      <c r="D10729" t="s">
        <v>26</v>
      </c>
      <c r="E10729">
        <v>289</v>
      </c>
    </row>
    <row r="10730" spans="1:5" x14ac:dyDescent="0.55000000000000004">
      <c r="A10730" t="s">
        <v>10811</v>
      </c>
      <c r="B10730" t="s">
        <v>175</v>
      </c>
      <c r="C10730" s="2">
        <v>43796</v>
      </c>
      <c r="D10730" t="s">
        <v>29</v>
      </c>
      <c r="E10730">
        <v>2792</v>
      </c>
    </row>
    <row r="10731" spans="1:5" x14ac:dyDescent="0.55000000000000004">
      <c r="A10731" t="s">
        <v>10812</v>
      </c>
      <c r="B10731" t="s">
        <v>23</v>
      </c>
      <c r="C10731" s="2">
        <v>44214</v>
      </c>
      <c r="D10731" t="s">
        <v>26</v>
      </c>
      <c r="E10731">
        <v>2665</v>
      </c>
    </row>
    <row r="10732" spans="1:5" x14ac:dyDescent="0.55000000000000004">
      <c r="A10732" t="s">
        <v>10813</v>
      </c>
      <c r="B10732" t="s">
        <v>151</v>
      </c>
      <c r="C10732" s="2">
        <v>43569</v>
      </c>
      <c r="D10732" t="s">
        <v>26</v>
      </c>
      <c r="E10732">
        <v>1279</v>
      </c>
    </row>
    <row r="10733" spans="1:5" x14ac:dyDescent="0.55000000000000004">
      <c r="A10733" t="s">
        <v>10814</v>
      </c>
      <c r="B10733" t="s">
        <v>41</v>
      </c>
      <c r="C10733" s="2">
        <v>44788</v>
      </c>
      <c r="D10733" t="s">
        <v>26</v>
      </c>
      <c r="E10733">
        <v>1417</v>
      </c>
    </row>
    <row r="10734" spans="1:5" x14ac:dyDescent="0.55000000000000004">
      <c r="A10734" t="s">
        <v>10815</v>
      </c>
      <c r="B10734" t="s">
        <v>14</v>
      </c>
      <c r="C10734" s="2">
        <v>43878</v>
      </c>
      <c r="D10734" t="s">
        <v>26</v>
      </c>
      <c r="E10734">
        <v>2030</v>
      </c>
    </row>
    <row r="10735" spans="1:5" x14ac:dyDescent="0.55000000000000004">
      <c r="A10735" t="s">
        <v>10816</v>
      </c>
      <c r="B10735" t="s">
        <v>96</v>
      </c>
      <c r="C10735" s="2">
        <v>45001</v>
      </c>
      <c r="D10735" t="s">
        <v>26</v>
      </c>
      <c r="E10735">
        <v>2962</v>
      </c>
    </row>
    <row r="10736" spans="1:5" x14ac:dyDescent="0.55000000000000004">
      <c r="A10736" t="s">
        <v>10817</v>
      </c>
      <c r="B10736" t="s">
        <v>99</v>
      </c>
      <c r="C10736" s="2">
        <v>45725</v>
      </c>
      <c r="D10736" t="s">
        <v>29</v>
      </c>
      <c r="E10736">
        <v>2319</v>
      </c>
    </row>
    <row r="10737" spans="1:5" x14ac:dyDescent="0.55000000000000004">
      <c r="A10737" t="s">
        <v>10818</v>
      </c>
      <c r="B10737" t="s">
        <v>156</v>
      </c>
      <c r="C10737" s="2">
        <v>44265</v>
      </c>
      <c r="D10737" t="s">
        <v>29</v>
      </c>
      <c r="E10737">
        <v>810</v>
      </c>
    </row>
    <row r="10738" spans="1:5" x14ac:dyDescent="0.55000000000000004">
      <c r="A10738" t="s">
        <v>10819</v>
      </c>
      <c r="B10738" t="s">
        <v>137</v>
      </c>
      <c r="C10738" s="2">
        <v>44885</v>
      </c>
      <c r="D10738" t="s">
        <v>29</v>
      </c>
      <c r="E10738">
        <v>1547</v>
      </c>
    </row>
    <row r="10739" spans="1:5" x14ac:dyDescent="0.55000000000000004">
      <c r="A10739" t="s">
        <v>10820</v>
      </c>
      <c r="B10739" t="s">
        <v>67</v>
      </c>
      <c r="C10739" s="2">
        <v>45170</v>
      </c>
      <c r="D10739" t="s">
        <v>29</v>
      </c>
      <c r="E10739">
        <v>513</v>
      </c>
    </row>
    <row r="10740" spans="1:5" x14ac:dyDescent="0.55000000000000004">
      <c r="A10740" t="s">
        <v>10821</v>
      </c>
      <c r="B10740" t="s">
        <v>118</v>
      </c>
      <c r="C10740" s="2">
        <v>43755</v>
      </c>
      <c r="D10740" t="s">
        <v>26</v>
      </c>
      <c r="E10740">
        <v>2239</v>
      </c>
    </row>
    <row r="10741" spans="1:5" x14ac:dyDescent="0.55000000000000004">
      <c r="A10741" t="s">
        <v>10822</v>
      </c>
      <c r="B10741" t="s">
        <v>14</v>
      </c>
      <c r="C10741" s="2">
        <v>43583</v>
      </c>
      <c r="D10741" t="s">
        <v>29</v>
      </c>
      <c r="E10741">
        <v>298</v>
      </c>
    </row>
    <row r="10742" spans="1:5" x14ac:dyDescent="0.55000000000000004">
      <c r="A10742" t="s">
        <v>10823</v>
      </c>
      <c r="B10742" t="s">
        <v>32</v>
      </c>
      <c r="C10742" s="2">
        <v>44357</v>
      </c>
      <c r="D10742" t="s">
        <v>29</v>
      </c>
      <c r="E10742">
        <v>1470</v>
      </c>
    </row>
    <row r="10743" spans="1:5" x14ac:dyDescent="0.55000000000000004">
      <c r="A10743" t="s">
        <v>10824</v>
      </c>
      <c r="B10743" t="s">
        <v>84</v>
      </c>
      <c r="C10743" s="2">
        <v>44449</v>
      </c>
      <c r="D10743" t="s">
        <v>26</v>
      </c>
      <c r="E10743">
        <v>667</v>
      </c>
    </row>
    <row r="10744" spans="1:5" x14ac:dyDescent="0.55000000000000004">
      <c r="A10744" t="s">
        <v>10825</v>
      </c>
      <c r="B10744" t="s">
        <v>94</v>
      </c>
      <c r="C10744" s="2">
        <v>44984</v>
      </c>
      <c r="D10744" t="s">
        <v>29</v>
      </c>
      <c r="E10744">
        <v>1378</v>
      </c>
    </row>
    <row r="10745" spans="1:5" x14ac:dyDescent="0.55000000000000004">
      <c r="A10745" t="s">
        <v>10826</v>
      </c>
      <c r="B10745" t="s">
        <v>115</v>
      </c>
      <c r="C10745" s="2">
        <v>43318</v>
      </c>
      <c r="D10745" t="s">
        <v>26</v>
      </c>
      <c r="E10745">
        <v>2899</v>
      </c>
    </row>
    <row r="10746" spans="1:5" x14ac:dyDescent="0.55000000000000004">
      <c r="A10746" t="s">
        <v>10827</v>
      </c>
      <c r="B10746" t="s">
        <v>142</v>
      </c>
      <c r="C10746" s="2">
        <v>44437</v>
      </c>
      <c r="D10746" t="s">
        <v>29</v>
      </c>
      <c r="E10746">
        <v>2508</v>
      </c>
    </row>
    <row r="10747" spans="1:5" x14ac:dyDescent="0.55000000000000004">
      <c r="A10747" t="s">
        <v>10828</v>
      </c>
      <c r="B10747" t="s">
        <v>74</v>
      </c>
      <c r="C10747" s="2">
        <v>43635</v>
      </c>
      <c r="D10747" t="s">
        <v>29</v>
      </c>
      <c r="E10747">
        <v>394</v>
      </c>
    </row>
    <row r="10748" spans="1:5" x14ac:dyDescent="0.55000000000000004">
      <c r="A10748" t="s">
        <v>10829</v>
      </c>
      <c r="B10748" t="s">
        <v>23</v>
      </c>
      <c r="C10748" s="2">
        <v>44677</v>
      </c>
      <c r="D10748" t="s">
        <v>26</v>
      </c>
      <c r="E10748">
        <v>2701</v>
      </c>
    </row>
    <row r="10749" spans="1:5" x14ac:dyDescent="0.55000000000000004">
      <c r="A10749" t="s">
        <v>10830</v>
      </c>
      <c r="B10749" t="s">
        <v>41</v>
      </c>
      <c r="C10749" s="2">
        <v>44556</v>
      </c>
      <c r="D10749" t="s">
        <v>26</v>
      </c>
      <c r="E10749">
        <v>2883</v>
      </c>
    </row>
    <row r="10750" spans="1:5" x14ac:dyDescent="0.55000000000000004">
      <c r="A10750" t="s">
        <v>10831</v>
      </c>
      <c r="B10750" t="s">
        <v>115</v>
      </c>
      <c r="C10750" s="2">
        <v>42970</v>
      </c>
      <c r="D10750" t="s">
        <v>29</v>
      </c>
      <c r="E10750">
        <v>2039</v>
      </c>
    </row>
    <row r="10751" spans="1:5" x14ac:dyDescent="0.55000000000000004">
      <c r="A10751" t="s">
        <v>10832</v>
      </c>
      <c r="B10751" t="s">
        <v>156</v>
      </c>
      <c r="C10751" s="2">
        <v>43618</v>
      </c>
      <c r="D10751" t="s">
        <v>26</v>
      </c>
      <c r="E10751">
        <v>2754</v>
      </c>
    </row>
    <row r="10752" spans="1:5" x14ac:dyDescent="0.55000000000000004">
      <c r="A10752" t="s">
        <v>10833</v>
      </c>
      <c r="B10752" t="s">
        <v>63</v>
      </c>
      <c r="C10752" s="2">
        <v>43795</v>
      </c>
      <c r="D10752" t="s">
        <v>26</v>
      </c>
      <c r="E10752">
        <v>1646</v>
      </c>
    </row>
    <row r="10753" spans="1:5" x14ac:dyDescent="0.55000000000000004">
      <c r="A10753" t="s">
        <v>10834</v>
      </c>
      <c r="B10753" t="s">
        <v>118</v>
      </c>
      <c r="C10753" s="2">
        <v>44922</v>
      </c>
      <c r="D10753" t="s">
        <v>26</v>
      </c>
      <c r="E10753">
        <v>1372</v>
      </c>
    </row>
    <row r="10754" spans="1:5" x14ac:dyDescent="0.55000000000000004">
      <c r="A10754" t="s">
        <v>10835</v>
      </c>
      <c r="B10754" t="s">
        <v>78</v>
      </c>
      <c r="C10754" s="2">
        <v>43590</v>
      </c>
      <c r="D10754" t="s">
        <v>29</v>
      </c>
      <c r="E10754">
        <v>265</v>
      </c>
    </row>
    <row r="10755" spans="1:5" x14ac:dyDescent="0.55000000000000004">
      <c r="A10755" t="s">
        <v>10836</v>
      </c>
      <c r="B10755" t="s">
        <v>96</v>
      </c>
      <c r="C10755" s="2">
        <v>44438</v>
      </c>
      <c r="D10755" t="s">
        <v>29</v>
      </c>
      <c r="E10755">
        <v>583</v>
      </c>
    </row>
    <row r="10756" spans="1:5" x14ac:dyDescent="0.55000000000000004">
      <c r="A10756" t="s">
        <v>10837</v>
      </c>
      <c r="B10756" t="s">
        <v>72</v>
      </c>
      <c r="C10756" s="2">
        <v>43402</v>
      </c>
      <c r="D10756" t="s">
        <v>29</v>
      </c>
      <c r="E10756">
        <v>550</v>
      </c>
    </row>
    <row r="10757" spans="1:5" x14ac:dyDescent="0.55000000000000004">
      <c r="A10757" t="s">
        <v>10838</v>
      </c>
      <c r="B10757" t="s">
        <v>140</v>
      </c>
      <c r="C10757" s="2">
        <v>44354</v>
      </c>
      <c r="D10757" t="s">
        <v>29</v>
      </c>
      <c r="E10757">
        <v>2057</v>
      </c>
    </row>
    <row r="10758" spans="1:5" x14ac:dyDescent="0.55000000000000004">
      <c r="A10758" t="s">
        <v>10839</v>
      </c>
      <c r="B10758" t="s">
        <v>137</v>
      </c>
      <c r="C10758" s="2">
        <v>45375</v>
      </c>
      <c r="D10758" t="s">
        <v>26</v>
      </c>
      <c r="E10758">
        <v>2905</v>
      </c>
    </row>
    <row r="10759" spans="1:5" x14ac:dyDescent="0.55000000000000004">
      <c r="A10759" t="s">
        <v>10840</v>
      </c>
      <c r="B10759" t="s">
        <v>151</v>
      </c>
      <c r="C10759" s="2">
        <v>44306</v>
      </c>
      <c r="D10759" t="s">
        <v>26</v>
      </c>
      <c r="E10759">
        <v>886</v>
      </c>
    </row>
    <row r="10760" spans="1:5" x14ac:dyDescent="0.55000000000000004">
      <c r="A10760" t="s">
        <v>10841</v>
      </c>
      <c r="B10760" t="s">
        <v>35</v>
      </c>
      <c r="C10760" s="2">
        <v>44060</v>
      </c>
      <c r="D10760" t="s">
        <v>26</v>
      </c>
      <c r="E10760">
        <v>2113</v>
      </c>
    </row>
    <row r="10761" spans="1:5" x14ac:dyDescent="0.55000000000000004">
      <c r="A10761" t="s">
        <v>10842</v>
      </c>
      <c r="B10761" t="s">
        <v>74</v>
      </c>
      <c r="C10761" s="2">
        <v>43820</v>
      </c>
      <c r="D10761" t="s">
        <v>26</v>
      </c>
      <c r="E10761">
        <v>2155</v>
      </c>
    </row>
    <row r="10762" spans="1:5" x14ac:dyDescent="0.55000000000000004">
      <c r="A10762" t="s">
        <v>10843</v>
      </c>
      <c r="B10762" t="s">
        <v>175</v>
      </c>
      <c r="C10762" s="2">
        <v>45801</v>
      </c>
      <c r="D10762" t="s">
        <v>26</v>
      </c>
      <c r="E10762">
        <v>1447</v>
      </c>
    </row>
    <row r="10763" spans="1:5" x14ac:dyDescent="0.55000000000000004">
      <c r="A10763" t="s">
        <v>10844</v>
      </c>
      <c r="B10763" t="s">
        <v>76</v>
      </c>
      <c r="C10763" s="2">
        <v>44724</v>
      </c>
      <c r="D10763" t="s">
        <v>29</v>
      </c>
      <c r="E10763">
        <v>2793</v>
      </c>
    </row>
    <row r="10764" spans="1:5" x14ac:dyDescent="0.55000000000000004">
      <c r="A10764" t="s">
        <v>10845</v>
      </c>
      <c r="B10764" t="s">
        <v>76</v>
      </c>
      <c r="C10764" s="2">
        <v>44777</v>
      </c>
      <c r="D10764" t="s">
        <v>26</v>
      </c>
      <c r="E10764">
        <v>491</v>
      </c>
    </row>
    <row r="10765" spans="1:5" x14ac:dyDescent="0.55000000000000004">
      <c r="A10765" t="s">
        <v>10846</v>
      </c>
      <c r="B10765" t="s">
        <v>74</v>
      </c>
      <c r="C10765" s="2">
        <v>43247</v>
      </c>
      <c r="D10765" t="s">
        <v>29</v>
      </c>
      <c r="E10765">
        <v>1299</v>
      </c>
    </row>
    <row r="10766" spans="1:5" x14ac:dyDescent="0.55000000000000004">
      <c r="A10766" t="s">
        <v>10847</v>
      </c>
      <c r="B10766" t="s">
        <v>23</v>
      </c>
      <c r="C10766" s="2">
        <v>44697</v>
      </c>
      <c r="D10766" t="s">
        <v>26</v>
      </c>
      <c r="E10766">
        <v>2039</v>
      </c>
    </row>
    <row r="10767" spans="1:5" x14ac:dyDescent="0.55000000000000004">
      <c r="A10767" t="s">
        <v>10848</v>
      </c>
      <c r="B10767" t="s">
        <v>94</v>
      </c>
      <c r="C10767" s="2">
        <v>44356</v>
      </c>
      <c r="D10767" t="s">
        <v>26</v>
      </c>
      <c r="E10767">
        <v>359</v>
      </c>
    </row>
    <row r="10768" spans="1:5" x14ac:dyDescent="0.55000000000000004">
      <c r="A10768" t="s">
        <v>10849</v>
      </c>
      <c r="B10768" t="s">
        <v>156</v>
      </c>
      <c r="C10768" s="2">
        <v>44158</v>
      </c>
      <c r="D10768" t="s">
        <v>26</v>
      </c>
      <c r="E10768">
        <v>977</v>
      </c>
    </row>
    <row r="10769" spans="1:5" x14ac:dyDescent="0.55000000000000004">
      <c r="A10769" t="s">
        <v>10850</v>
      </c>
      <c r="B10769" t="s">
        <v>115</v>
      </c>
      <c r="C10769" s="2">
        <v>42950</v>
      </c>
      <c r="D10769" t="s">
        <v>29</v>
      </c>
      <c r="E10769">
        <v>663</v>
      </c>
    </row>
    <row r="10770" spans="1:5" x14ac:dyDescent="0.55000000000000004">
      <c r="A10770" t="s">
        <v>10851</v>
      </c>
      <c r="B10770" t="s">
        <v>63</v>
      </c>
      <c r="C10770" s="2">
        <v>43027</v>
      </c>
      <c r="D10770" t="s">
        <v>29</v>
      </c>
      <c r="E10770">
        <v>2998</v>
      </c>
    </row>
    <row r="10771" spans="1:5" x14ac:dyDescent="0.55000000000000004">
      <c r="A10771" t="s">
        <v>10852</v>
      </c>
      <c r="B10771" t="s">
        <v>118</v>
      </c>
      <c r="C10771" s="2">
        <v>44835</v>
      </c>
      <c r="D10771" t="s">
        <v>29</v>
      </c>
      <c r="E10771">
        <v>2757</v>
      </c>
    </row>
    <row r="10772" spans="1:5" x14ac:dyDescent="0.55000000000000004">
      <c r="A10772" t="s">
        <v>10853</v>
      </c>
      <c r="B10772" t="s">
        <v>175</v>
      </c>
      <c r="C10772" s="2">
        <v>43573</v>
      </c>
      <c r="D10772" t="s">
        <v>26</v>
      </c>
      <c r="E10772">
        <v>962</v>
      </c>
    </row>
    <row r="10773" spans="1:5" x14ac:dyDescent="0.55000000000000004">
      <c r="A10773" t="s">
        <v>10854</v>
      </c>
      <c r="B10773" t="s">
        <v>175</v>
      </c>
      <c r="C10773" s="2">
        <v>45647</v>
      </c>
      <c r="D10773" t="s">
        <v>26</v>
      </c>
      <c r="E10773">
        <v>2086</v>
      </c>
    </row>
    <row r="10774" spans="1:5" x14ac:dyDescent="0.55000000000000004">
      <c r="A10774" t="s">
        <v>10855</v>
      </c>
      <c r="B10774" t="s">
        <v>137</v>
      </c>
      <c r="C10774" s="2">
        <v>43542</v>
      </c>
      <c r="D10774" t="s">
        <v>26</v>
      </c>
      <c r="E10774">
        <v>2887</v>
      </c>
    </row>
    <row r="10775" spans="1:5" x14ac:dyDescent="0.55000000000000004">
      <c r="A10775" t="s">
        <v>10856</v>
      </c>
      <c r="B10775" t="s">
        <v>140</v>
      </c>
      <c r="C10775" s="2">
        <v>43526</v>
      </c>
      <c r="D10775" t="s">
        <v>29</v>
      </c>
      <c r="E10775">
        <v>2929</v>
      </c>
    </row>
    <row r="10776" spans="1:5" x14ac:dyDescent="0.55000000000000004">
      <c r="A10776" t="s">
        <v>10857</v>
      </c>
      <c r="B10776" t="s">
        <v>74</v>
      </c>
      <c r="C10776" s="2">
        <v>44304</v>
      </c>
      <c r="D10776" t="s">
        <v>26</v>
      </c>
      <c r="E10776">
        <v>182</v>
      </c>
    </row>
    <row r="10777" spans="1:5" x14ac:dyDescent="0.55000000000000004">
      <c r="A10777" t="s">
        <v>10858</v>
      </c>
      <c r="B10777" t="s">
        <v>72</v>
      </c>
      <c r="C10777" s="2">
        <v>43055</v>
      </c>
      <c r="D10777" t="s">
        <v>26</v>
      </c>
      <c r="E10777">
        <v>1247</v>
      </c>
    </row>
    <row r="10778" spans="1:5" x14ac:dyDescent="0.55000000000000004">
      <c r="A10778" t="s">
        <v>10859</v>
      </c>
      <c r="B10778" t="s">
        <v>74</v>
      </c>
      <c r="C10778" s="2">
        <v>44363</v>
      </c>
      <c r="D10778" t="s">
        <v>29</v>
      </c>
      <c r="E10778">
        <v>97</v>
      </c>
    </row>
    <row r="10779" spans="1:5" x14ac:dyDescent="0.55000000000000004">
      <c r="A10779" t="s">
        <v>10860</v>
      </c>
      <c r="B10779" t="s">
        <v>99</v>
      </c>
      <c r="C10779" s="2">
        <v>43823</v>
      </c>
      <c r="D10779" t="s">
        <v>29</v>
      </c>
      <c r="E10779">
        <v>186</v>
      </c>
    </row>
    <row r="10780" spans="1:5" x14ac:dyDescent="0.55000000000000004">
      <c r="A10780" t="s">
        <v>10861</v>
      </c>
      <c r="B10780" t="s">
        <v>72</v>
      </c>
      <c r="C10780" s="2">
        <v>43977</v>
      </c>
      <c r="D10780" t="s">
        <v>29</v>
      </c>
      <c r="E10780">
        <v>1731</v>
      </c>
    </row>
    <row r="10781" spans="1:5" x14ac:dyDescent="0.55000000000000004">
      <c r="A10781" t="s">
        <v>10862</v>
      </c>
      <c r="B10781" t="s">
        <v>74</v>
      </c>
      <c r="C10781" s="2">
        <v>43786</v>
      </c>
      <c r="D10781" t="s">
        <v>29</v>
      </c>
      <c r="E10781">
        <v>2182</v>
      </c>
    </row>
    <row r="10782" spans="1:5" x14ac:dyDescent="0.55000000000000004">
      <c r="A10782" t="s">
        <v>10863</v>
      </c>
      <c r="B10782" t="s">
        <v>15</v>
      </c>
      <c r="C10782" s="2">
        <v>44230</v>
      </c>
      <c r="D10782" t="s">
        <v>26</v>
      </c>
      <c r="E10782">
        <v>752</v>
      </c>
    </row>
    <row r="10783" spans="1:5" x14ac:dyDescent="0.55000000000000004">
      <c r="A10783" t="s">
        <v>10864</v>
      </c>
      <c r="B10783" t="s">
        <v>118</v>
      </c>
      <c r="C10783" s="2">
        <v>43729</v>
      </c>
      <c r="D10783" t="s">
        <v>29</v>
      </c>
      <c r="E10783">
        <v>2326</v>
      </c>
    </row>
    <row r="10784" spans="1:5" x14ac:dyDescent="0.55000000000000004">
      <c r="A10784" t="s">
        <v>10865</v>
      </c>
      <c r="B10784" t="s">
        <v>32</v>
      </c>
      <c r="C10784" s="2">
        <v>44810</v>
      </c>
      <c r="D10784" t="s">
        <v>26</v>
      </c>
      <c r="E10784">
        <v>858</v>
      </c>
    </row>
    <row r="10785" spans="1:5" x14ac:dyDescent="0.55000000000000004">
      <c r="A10785" t="s">
        <v>10866</v>
      </c>
      <c r="B10785" t="s">
        <v>38</v>
      </c>
      <c r="C10785" s="2">
        <v>44093</v>
      </c>
      <c r="D10785" t="s">
        <v>26</v>
      </c>
      <c r="E10785">
        <v>1147</v>
      </c>
    </row>
    <row r="10786" spans="1:5" x14ac:dyDescent="0.55000000000000004">
      <c r="A10786" t="s">
        <v>10867</v>
      </c>
      <c r="B10786" t="s">
        <v>151</v>
      </c>
      <c r="C10786" s="2">
        <v>44236</v>
      </c>
      <c r="D10786" t="s">
        <v>29</v>
      </c>
      <c r="E10786">
        <v>2720</v>
      </c>
    </row>
    <row r="10787" spans="1:5" x14ac:dyDescent="0.55000000000000004">
      <c r="A10787" t="s">
        <v>10868</v>
      </c>
      <c r="B10787" t="s">
        <v>96</v>
      </c>
      <c r="C10787" s="2">
        <v>44513</v>
      </c>
      <c r="D10787" t="s">
        <v>26</v>
      </c>
      <c r="E10787">
        <v>2966</v>
      </c>
    </row>
    <row r="10788" spans="1:5" x14ac:dyDescent="0.55000000000000004">
      <c r="A10788" t="s">
        <v>10869</v>
      </c>
      <c r="B10788" t="s">
        <v>151</v>
      </c>
      <c r="C10788" s="2">
        <v>43545</v>
      </c>
      <c r="D10788" t="s">
        <v>29</v>
      </c>
      <c r="E10788">
        <v>531</v>
      </c>
    </row>
    <row r="10789" spans="1:5" x14ac:dyDescent="0.55000000000000004">
      <c r="A10789" t="s">
        <v>10870</v>
      </c>
      <c r="B10789" t="s">
        <v>115</v>
      </c>
      <c r="C10789" s="2">
        <v>43005</v>
      </c>
      <c r="D10789" t="s">
        <v>29</v>
      </c>
      <c r="E10789">
        <v>1479</v>
      </c>
    </row>
    <row r="10790" spans="1:5" x14ac:dyDescent="0.55000000000000004">
      <c r="A10790" t="s">
        <v>10871</v>
      </c>
      <c r="B10790" t="s">
        <v>74</v>
      </c>
      <c r="C10790" s="2">
        <v>43009</v>
      </c>
      <c r="D10790" t="s">
        <v>26</v>
      </c>
      <c r="E10790">
        <v>1205</v>
      </c>
    </row>
    <row r="10791" spans="1:5" x14ac:dyDescent="0.55000000000000004">
      <c r="A10791" t="s">
        <v>10872</v>
      </c>
      <c r="B10791" t="s">
        <v>175</v>
      </c>
      <c r="C10791" s="2">
        <v>45084</v>
      </c>
      <c r="D10791" t="s">
        <v>26</v>
      </c>
      <c r="E10791">
        <v>268</v>
      </c>
    </row>
    <row r="10792" spans="1:5" x14ac:dyDescent="0.55000000000000004">
      <c r="A10792" t="s">
        <v>10873</v>
      </c>
      <c r="B10792" t="s">
        <v>14</v>
      </c>
      <c r="C10792" s="2">
        <v>44205</v>
      </c>
      <c r="D10792" t="s">
        <v>29</v>
      </c>
      <c r="E10792">
        <v>452</v>
      </c>
    </row>
    <row r="10793" spans="1:5" x14ac:dyDescent="0.55000000000000004">
      <c r="A10793" t="s">
        <v>10874</v>
      </c>
      <c r="B10793" t="s">
        <v>151</v>
      </c>
      <c r="C10793" s="2">
        <v>43166</v>
      </c>
      <c r="D10793" t="s">
        <v>26</v>
      </c>
      <c r="E10793">
        <v>1377</v>
      </c>
    </row>
    <row r="10794" spans="1:5" x14ac:dyDescent="0.55000000000000004">
      <c r="A10794" t="s">
        <v>10875</v>
      </c>
      <c r="B10794" t="s">
        <v>86</v>
      </c>
      <c r="C10794" s="2">
        <v>43600</v>
      </c>
      <c r="D10794" t="s">
        <v>29</v>
      </c>
      <c r="E10794">
        <v>2339</v>
      </c>
    </row>
    <row r="10795" spans="1:5" x14ac:dyDescent="0.55000000000000004">
      <c r="A10795" t="s">
        <v>10876</v>
      </c>
      <c r="B10795" t="s">
        <v>156</v>
      </c>
      <c r="C10795" s="2">
        <v>43189</v>
      </c>
      <c r="D10795" t="s">
        <v>26</v>
      </c>
      <c r="E10795">
        <v>2952</v>
      </c>
    </row>
    <row r="10796" spans="1:5" x14ac:dyDescent="0.55000000000000004">
      <c r="A10796" t="s">
        <v>10877</v>
      </c>
      <c r="B10796" t="s">
        <v>96</v>
      </c>
      <c r="C10796" s="2">
        <v>44067</v>
      </c>
      <c r="D10796" t="s">
        <v>26</v>
      </c>
      <c r="E10796">
        <v>2781</v>
      </c>
    </row>
    <row r="10797" spans="1:5" x14ac:dyDescent="0.55000000000000004">
      <c r="A10797" t="s">
        <v>10878</v>
      </c>
      <c r="B10797" t="s">
        <v>63</v>
      </c>
      <c r="C10797" s="2">
        <v>44139</v>
      </c>
      <c r="D10797" t="s">
        <v>29</v>
      </c>
      <c r="E10797">
        <v>1733</v>
      </c>
    </row>
    <row r="10798" spans="1:5" x14ac:dyDescent="0.55000000000000004">
      <c r="A10798" t="s">
        <v>10879</v>
      </c>
      <c r="B10798" t="s">
        <v>118</v>
      </c>
      <c r="C10798" s="2">
        <v>45367</v>
      </c>
      <c r="D10798" t="s">
        <v>26</v>
      </c>
      <c r="E10798">
        <v>2690</v>
      </c>
    </row>
    <row r="10799" spans="1:5" x14ac:dyDescent="0.55000000000000004">
      <c r="A10799" t="s">
        <v>10880</v>
      </c>
      <c r="B10799" t="s">
        <v>74</v>
      </c>
      <c r="C10799" s="2">
        <v>43918</v>
      </c>
      <c r="D10799" t="s">
        <v>29</v>
      </c>
      <c r="E10799">
        <v>314</v>
      </c>
    </row>
    <row r="10800" spans="1:5" x14ac:dyDescent="0.55000000000000004">
      <c r="A10800" t="s">
        <v>10881</v>
      </c>
      <c r="B10800" t="s">
        <v>41</v>
      </c>
      <c r="C10800" s="2">
        <v>44901</v>
      </c>
      <c r="D10800" t="s">
        <v>29</v>
      </c>
      <c r="E10800">
        <v>2929</v>
      </c>
    </row>
    <row r="10801" spans="1:5" x14ac:dyDescent="0.55000000000000004">
      <c r="A10801" t="s">
        <v>10882</v>
      </c>
      <c r="B10801" t="s">
        <v>99</v>
      </c>
      <c r="C10801" s="2">
        <v>45325</v>
      </c>
      <c r="D10801" t="s">
        <v>29</v>
      </c>
      <c r="E10801">
        <v>1734</v>
      </c>
    </row>
    <row r="10802" spans="1:5" x14ac:dyDescent="0.55000000000000004">
      <c r="A10802" t="s">
        <v>10883</v>
      </c>
      <c r="B10802" t="s">
        <v>96</v>
      </c>
      <c r="C10802" s="2">
        <v>45259</v>
      </c>
      <c r="D10802" t="s">
        <v>29</v>
      </c>
      <c r="E10802">
        <v>260</v>
      </c>
    </row>
    <row r="10803" spans="1:5" x14ac:dyDescent="0.55000000000000004">
      <c r="A10803" t="s">
        <v>10884</v>
      </c>
      <c r="B10803" t="s">
        <v>151</v>
      </c>
      <c r="C10803" s="2">
        <v>43941</v>
      </c>
      <c r="D10803" t="s">
        <v>29</v>
      </c>
      <c r="E10803">
        <v>1903</v>
      </c>
    </row>
    <row r="10804" spans="1:5" x14ac:dyDescent="0.55000000000000004">
      <c r="A10804" t="s">
        <v>10885</v>
      </c>
      <c r="B10804" t="s">
        <v>38</v>
      </c>
      <c r="C10804" s="2">
        <v>43987</v>
      </c>
      <c r="D10804" t="s">
        <v>26</v>
      </c>
      <c r="E10804">
        <v>872</v>
      </c>
    </row>
    <row r="10805" spans="1:5" x14ac:dyDescent="0.55000000000000004">
      <c r="A10805" t="s">
        <v>10886</v>
      </c>
      <c r="B10805" t="s">
        <v>32</v>
      </c>
      <c r="C10805" s="2">
        <v>44003</v>
      </c>
      <c r="D10805" t="s">
        <v>26</v>
      </c>
      <c r="E10805">
        <v>2517</v>
      </c>
    </row>
    <row r="10806" spans="1:5" x14ac:dyDescent="0.55000000000000004">
      <c r="A10806" t="s">
        <v>10887</v>
      </c>
      <c r="B10806" t="s">
        <v>15</v>
      </c>
      <c r="C10806" s="2">
        <v>44234</v>
      </c>
      <c r="D10806" t="s">
        <v>26</v>
      </c>
      <c r="E10806">
        <v>170</v>
      </c>
    </row>
    <row r="10807" spans="1:5" x14ac:dyDescent="0.55000000000000004">
      <c r="A10807" t="s">
        <v>10888</v>
      </c>
      <c r="B10807" t="s">
        <v>84</v>
      </c>
      <c r="C10807" s="2">
        <v>43954</v>
      </c>
      <c r="D10807" t="s">
        <v>29</v>
      </c>
      <c r="E10807">
        <v>920</v>
      </c>
    </row>
    <row r="10808" spans="1:5" x14ac:dyDescent="0.55000000000000004">
      <c r="A10808" t="s">
        <v>10889</v>
      </c>
      <c r="B10808" t="s">
        <v>142</v>
      </c>
      <c r="C10808" s="2">
        <v>43480</v>
      </c>
      <c r="D10808" t="s">
        <v>29</v>
      </c>
      <c r="E10808">
        <v>478</v>
      </c>
    </row>
    <row r="10809" spans="1:5" x14ac:dyDescent="0.55000000000000004">
      <c r="A10809" t="s">
        <v>10890</v>
      </c>
      <c r="B10809" t="s">
        <v>23</v>
      </c>
      <c r="C10809" s="2">
        <v>44348</v>
      </c>
      <c r="D10809" t="s">
        <v>29</v>
      </c>
      <c r="E10809">
        <v>1399</v>
      </c>
    </row>
    <row r="10810" spans="1:5" x14ac:dyDescent="0.55000000000000004">
      <c r="A10810" t="s">
        <v>10891</v>
      </c>
      <c r="B10810" t="s">
        <v>78</v>
      </c>
      <c r="C10810" s="2">
        <v>45519</v>
      </c>
      <c r="D10810" t="s">
        <v>29</v>
      </c>
      <c r="E10810">
        <v>2088</v>
      </c>
    </row>
    <row r="10811" spans="1:5" x14ac:dyDescent="0.55000000000000004">
      <c r="A10811" t="s">
        <v>10892</v>
      </c>
      <c r="B10811" t="s">
        <v>137</v>
      </c>
      <c r="C10811" s="2">
        <v>43812</v>
      </c>
      <c r="D10811" t="s">
        <v>29</v>
      </c>
      <c r="E10811">
        <v>2966</v>
      </c>
    </row>
    <row r="10812" spans="1:5" x14ac:dyDescent="0.55000000000000004">
      <c r="A10812" t="s">
        <v>10893</v>
      </c>
      <c r="B10812" t="s">
        <v>63</v>
      </c>
      <c r="C10812" s="2">
        <v>43491</v>
      </c>
      <c r="D10812" t="s">
        <v>26</v>
      </c>
      <c r="E10812">
        <v>2205</v>
      </c>
    </row>
    <row r="10813" spans="1:5" x14ac:dyDescent="0.55000000000000004">
      <c r="A10813" t="s">
        <v>10894</v>
      </c>
      <c r="B10813" t="s">
        <v>99</v>
      </c>
      <c r="C10813" s="2">
        <v>43591</v>
      </c>
      <c r="D10813" t="s">
        <v>29</v>
      </c>
      <c r="E10813">
        <v>2370</v>
      </c>
    </row>
    <row r="10814" spans="1:5" x14ac:dyDescent="0.55000000000000004">
      <c r="A10814" t="s">
        <v>10895</v>
      </c>
      <c r="B10814" t="s">
        <v>38</v>
      </c>
      <c r="C10814" s="2">
        <v>44655</v>
      </c>
      <c r="D10814" t="s">
        <v>29</v>
      </c>
      <c r="E10814">
        <v>2981</v>
      </c>
    </row>
    <row r="10815" spans="1:5" x14ac:dyDescent="0.55000000000000004">
      <c r="A10815" t="s">
        <v>10896</v>
      </c>
      <c r="B10815" t="s">
        <v>38</v>
      </c>
      <c r="C10815" s="2">
        <v>43913</v>
      </c>
      <c r="D10815" t="s">
        <v>26</v>
      </c>
      <c r="E10815">
        <v>2565</v>
      </c>
    </row>
    <row r="10816" spans="1:5" x14ac:dyDescent="0.55000000000000004">
      <c r="A10816" t="s">
        <v>10897</v>
      </c>
      <c r="B10816" t="s">
        <v>35</v>
      </c>
      <c r="C10816" s="2">
        <v>44050</v>
      </c>
      <c r="D10816" t="s">
        <v>29</v>
      </c>
      <c r="E10816">
        <v>1984</v>
      </c>
    </row>
    <row r="10817" spans="1:5" x14ac:dyDescent="0.55000000000000004">
      <c r="A10817" t="s">
        <v>10898</v>
      </c>
      <c r="B10817" t="s">
        <v>137</v>
      </c>
      <c r="C10817" s="2">
        <v>44772</v>
      </c>
      <c r="D10817" t="s">
        <v>29</v>
      </c>
      <c r="E10817">
        <v>2538</v>
      </c>
    </row>
    <row r="10818" spans="1:5" x14ac:dyDescent="0.55000000000000004">
      <c r="A10818" t="s">
        <v>10899</v>
      </c>
      <c r="B10818" t="s">
        <v>151</v>
      </c>
      <c r="C10818" s="2">
        <v>44081</v>
      </c>
      <c r="D10818" t="s">
        <v>26</v>
      </c>
      <c r="E10818">
        <v>2209</v>
      </c>
    </row>
    <row r="10819" spans="1:5" x14ac:dyDescent="0.55000000000000004">
      <c r="A10819" t="s">
        <v>10900</v>
      </c>
      <c r="B10819" t="s">
        <v>35</v>
      </c>
      <c r="C10819" s="2">
        <v>44497</v>
      </c>
      <c r="D10819" t="s">
        <v>26</v>
      </c>
      <c r="E10819">
        <v>2710</v>
      </c>
    </row>
    <row r="10820" spans="1:5" x14ac:dyDescent="0.55000000000000004">
      <c r="A10820" t="s">
        <v>10901</v>
      </c>
      <c r="B10820" t="s">
        <v>101</v>
      </c>
      <c r="C10820" s="2">
        <v>44392</v>
      </c>
      <c r="D10820" t="s">
        <v>26</v>
      </c>
      <c r="E10820">
        <v>135</v>
      </c>
    </row>
    <row r="10821" spans="1:5" x14ac:dyDescent="0.55000000000000004">
      <c r="A10821" t="s">
        <v>10902</v>
      </c>
      <c r="B10821" t="s">
        <v>86</v>
      </c>
      <c r="C10821" s="2">
        <v>43488</v>
      </c>
      <c r="D10821" t="s">
        <v>29</v>
      </c>
      <c r="E10821">
        <v>2461</v>
      </c>
    </row>
    <row r="10822" spans="1:5" x14ac:dyDescent="0.55000000000000004">
      <c r="A10822" t="s">
        <v>10903</v>
      </c>
      <c r="B10822" t="s">
        <v>151</v>
      </c>
      <c r="C10822" s="2">
        <v>44488</v>
      </c>
      <c r="D10822" t="s">
        <v>26</v>
      </c>
      <c r="E10822">
        <v>2390</v>
      </c>
    </row>
    <row r="10823" spans="1:5" x14ac:dyDescent="0.55000000000000004">
      <c r="A10823" t="s">
        <v>10904</v>
      </c>
      <c r="B10823" t="s">
        <v>105</v>
      </c>
      <c r="C10823" s="2">
        <v>43834</v>
      </c>
      <c r="D10823" t="s">
        <v>26</v>
      </c>
      <c r="E10823">
        <v>2761</v>
      </c>
    </row>
    <row r="10824" spans="1:5" x14ac:dyDescent="0.55000000000000004">
      <c r="A10824" t="s">
        <v>10905</v>
      </c>
      <c r="B10824" t="s">
        <v>23</v>
      </c>
      <c r="C10824" s="2">
        <v>44478</v>
      </c>
      <c r="D10824" t="s">
        <v>29</v>
      </c>
      <c r="E10824">
        <v>127</v>
      </c>
    </row>
    <row r="10825" spans="1:5" x14ac:dyDescent="0.55000000000000004">
      <c r="A10825" t="s">
        <v>10906</v>
      </c>
      <c r="B10825" t="s">
        <v>140</v>
      </c>
      <c r="C10825" s="2">
        <v>43383</v>
      </c>
      <c r="D10825" t="s">
        <v>29</v>
      </c>
      <c r="E10825">
        <v>1722</v>
      </c>
    </row>
    <row r="10826" spans="1:5" x14ac:dyDescent="0.55000000000000004">
      <c r="A10826" t="s">
        <v>10907</v>
      </c>
      <c r="B10826" t="s">
        <v>94</v>
      </c>
      <c r="C10826" s="2">
        <v>45334</v>
      </c>
      <c r="D10826" t="s">
        <v>26</v>
      </c>
      <c r="E10826">
        <v>574</v>
      </c>
    </row>
    <row r="10827" spans="1:5" x14ac:dyDescent="0.55000000000000004">
      <c r="A10827" t="s">
        <v>10908</v>
      </c>
      <c r="B10827" t="s">
        <v>142</v>
      </c>
      <c r="C10827" s="2">
        <v>44430</v>
      </c>
      <c r="D10827" t="s">
        <v>29</v>
      </c>
      <c r="E10827">
        <v>2600</v>
      </c>
    </row>
    <row r="10828" spans="1:5" x14ac:dyDescent="0.55000000000000004">
      <c r="A10828" t="s">
        <v>10909</v>
      </c>
      <c r="B10828" t="s">
        <v>74</v>
      </c>
      <c r="C10828" s="2">
        <v>44489</v>
      </c>
      <c r="D10828" t="s">
        <v>29</v>
      </c>
      <c r="E10828">
        <v>807</v>
      </c>
    </row>
    <row r="10829" spans="1:5" x14ac:dyDescent="0.55000000000000004">
      <c r="A10829" t="s">
        <v>10910</v>
      </c>
      <c r="B10829" t="s">
        <v>15</v>
      </c>
      <c r="C10829" s="2">
        <v>44061</v>
      </c>
      <c r="D10829" t="s">
        <v>29</v>
      </c>
      <c r="E10829">
        <v>761</v>
      </c>
    </row>
    <row r="10830" spans="1:5" x14ac:dyDescent="0.55000000000000004">
      <c r="A10830" t="s">
        <v>10911</v>
      </c>
      <c r="B10830" t="s">
        <v>142</v>
      </c>
      <c r="C10830" s="2">
        <v>44323</v>
      </c>
      <c r="D10830" t="s">
        <v>29</v>
      </c>
      <c r="E10830">
        <v>1470</v>
      </c>
    </row>
    <row r="10831" spans="1:5" x14ac:dyDescent="0.55000000000000004">
      <c r="A10831" t="s">
        <v>10912</v>
      </c>
      <c r="B10831" t="s">
        <v>38</v>
      </c>
      <c r="C10831" s="2">
        <v>44544</v>
      </c>
      <c r="D10831" t="s">
        <v>29</v>
      </c>
      <c r="E10831">
        <v>897</v>
      </c>
    </row>
    <row r="10832" spans="1:5" x14ac:dyDescent="0.55000000000000004">
      <c r="A10832" t="s">
        <v>10913</v>
      </c>
      <c r="B10832" t="s">
        <v>38</v>
      </c>
      <c r="C10832" s="2">
        <v>44485</v>
      </c>
      <c r="D10832" t="s">
        <v>29</v>
      </c>
      <c r="E10832">
        <v>1156</v>
      </c>
    </row>
    <row r="10833" spans="1:5" x14ac:dyDescent="0.55000000000000004">
      <c r="A10833" t="s">
        <v>10914</v>
      </c>
      <c r="B10833" t="s">
        <v>118</v>
      </c>
      <c r="C10833" s="2">
        <v>43613</v>
      </c>
      <c r="D10833" t="s">
        <v>29</v>
      </c>
      <c r="E10833">
        <v>2114</v>
      </c>
    </row>
    <row r="10834" spans="1:5" x14ac:dyDescent="0.55000000000000004">
      <c r="A10834" t="s">
        <v>10915</v>
      </c>
      <c r="B10834" t="s">
        <v>41</v>
      </c>
      <c r="C10834" s="2">
        <v>44677</v>
      </c>
      <c r="D10834" t="s">
        <v>29</v>
      </c>
      <c r="E10834">
        <v>1916</v>
      </c>
    </row>
    <row r="10835" spans="1:5" x14ac:dyDescent="0.55000000000000004">
      <c r="A10835" t="s">
        <v>10916</v>
      </c>
      <c r="B10835" t="s">
        <v>41</v>
      </c>
      <c r="C10835" s="2">
        <v>44861</v>
      </c>
      <c r="D10835" t="s">
        <v>26</v>
      </c>
      <c r="E10835">
        <v>2639</v>
      </c>
    </row>
    <row r="10836" spans="1:5" x14ac:dyDescent="0.55000000000000004">
      <c r="A10836" t="s">
        <v>10917</v>
      </c>
      <c r="B10836" t="s">
        <v>41</v>
      </c>
      <c r="C10836" s="2">
        <v>44108</v>
      </c>
      <c r="D10836" t="s">
        <v>26</v>
      </c>
      <c r="E10836">
        <v>128</v>
      </c>
    </row>
    <row r="10837" spans="1:5" x14ac:dyDescent="0.55000000000000004">
      <c r="A10837" t="s">
        <v>10918</v>
      </c>
      <c r="B10837" t="s">
        <v>78</v>
      </c>
      <c r="C10837" s="2">
        <v>43624</v>
      </c>
      <c r="D10837" t="s">
        <v>29</v>
      </c>
      <c r="E10837">
        <v>572</v>
      </c>
    </row>
    <row r="10838" spans="1:5" x14ac:dyDescent="0.55000000000000004">
      <c r="A10838" t="s">
        <v>10919</v>
      </c>
      <c r="B10838" t="s">
        <v>38</v>
      </c>
      <c r="C10838" s="2">
        <v>43849</v>
      </c>
      <c r="D10838" t="s">
        <v>29</v>
      </c>
      <c r="E10838">
        <v>88</v>
      </c>
    </row>
    <row r="10839" spans="1:5" x14ac:dyDescent="0.55000000000000004">
      <c r="A10839" t="s">
        <v>10920</v>
      </c>
      <c r="B10839" t="s">
        <v>118</v>
      </c>
      <c r="C10839" s="2">
        <v>44737</v>
      </c>
      <c r="D10839" t="s">
        <v>29</v>
      </c>
      <c r="E10839">
        <v>278</v>
      </c>
    </row>
    <row r="10840" spans="1:5" x14ac:dyDescent="0.55000000000000004">
      <c r="A10840" t="s">
        <v>10921</v>
      </c>
      <c r="B10840" t="s">
        <v>115</v>
      </c>
      <c r="C10840" s="2">
        <v>44519</v>
      </c>
      <c r="D10840" t="s">
        <v>26</v>
      </c>
      <c r="E10840">
        <v>1208</v>
      </c>
    </row>
    <row r="10841" spans="1:5" x14ac:dyDescent="0.55000000000000004">
      <c r="A10841" t="s">
        <v>10922</v>
      </c>
      <c r="B10841" t="s">
        <v>101</v>
      </c>
      <c r="C10841" s="2">
        <v>43133</v>
      </c>
      <c r="D10841" t="s">
        <v>29</v>
      </c>
      <c r="E10841">
        <v>1503</v>
      </c>
    </row>
    <row r="10842" spans="1:5" x14ac:dyDescent="0.55000000000000004">
      <c r="A10842" t="s">
        <v>10923</v>
      </c>
      <c r="B10842" t="s">
        <v>38</v>
      </c>
      <c r="C10842" s="2">
        <v>44838</v>
      </c>
      <c r="D10842" t="s">
        <v>26</v>
      </c>
      <c r="E10842">
        <v>1144</v>
      </c>
    </row>
    <row r="10843" spans="1:5" x14ac:dyDescent="0.55000000000000004">
      <c r="A10843" t="s">
        <v>10924</v>
      </c>
      <c r="B10843" t="s">
        <v>115</v>
      </c>
      <c r="C10843" s="2">
        <v>42964</v>
      </c>
      <c r="D10843" t="s">
        <v>29</v>
      </c>
      <c r="E10843">
        <v>2260</v>
      </c>
    </row>
    <row r="10844" spans="1:5" x14ac:dyDescent="0.55000000000000004">
      <c r="A10844" t="s">
        <v>10925</v>
      </c>
      <c r="B10844" t="s">
        <v>140</v>
      </c>
      <c r="C10844" s="2">
        <v>43754</v>
      </c>
      <c r="D10844" t="s">
        <v>29</v>
      </c>
      <c r="E10844">
        <v>335</v>
      </c>
    </row>
    <row r="10845" spans="1:5" x14ac:dyDescent="0.55000000000000004">
      <c r="A10845" t="s">
        <v>10926</v>
      </c>
      <c r="B10845" t="s">
        <v>67</v>
      </c>
      <c r="C10845" s="2">
        <v>45179</v>
      </c>
      <c r="D10845" t="s">
        <v>29</v>
      </c>
      <c r="E10845">
        <v>1119</v>
      </c>
    </row>
    <row r="10846" spans="1:5" x14ac:dyDescent="0.55000000000000004">
      <c r="A10846" t="s">
        <v>10927</v>
      </c>
      <c r="B10846" t="s">
        <v>72</v>
      </c>
      <c r="C10846" s="2">
        <v>43804</v>
      </c>
      <c r="D10846" t="s">
        <v>26</v>
      </c>
      <c r="E10846">
        <v>1197</v>
      </c>
    </row>
    <row r="10847" spans="1:5" x14ac:dyDescent="0.55000000000000004">
      <c r="A10847" t="s">
        <v>10928</v>
      </c>
      <c r="B10847" t="s">
        <v>156</v>
      </c>
      <c r="C10847" s="2">
        <v>43936</v>
      </c>
      <c r="D10847" t="s">
        <v>26</v>
      </c>
      <c r="E10847">
        <v>2849</v>
      </c>
    </row>
    <row r="10848" spans="1:5" x14ac:dyDescent="0.55000000000000004">
      <c r="A10848" t="s">
        <v>10929</v>
      </c>
      <c r="B10848" t="s">
        <v>84</v>
      </c>
      <c r="C10848" s="2">
        <v>44069</v>
      </c>
      <c r="D10848" t="s">
        <v>29</v>
      </c>
      <c r="E10848">
        <v>1925</v>
      </c>
    </row>
    <row r="10849" spans="1:5" x14ac:dyDescent="0.55000000000000004">
      <c r="A10849" t="s">
        <v>10930</v>
      </c>
      <c r="B10849" t="s">
        <v>74</v>
      </c>
      <c r="C10849" s="2">
        <v>43152</v>
      </c>
      <c r="D10849" t="s">
        <v>26</v>
      </c>
      <c r="E10849">
        <v>481</v>
      </c>
    </row>
    <row r="10850" spans="1:5" x14ac:dyDescent="0.55000000000000004">
      <c r="A10850" t="s">
        <v>10931</v>
      </c>
      <c r="B10850" t="s">
        <v>67</v>
      </c>
      <c r="C10850" s="2">
        <v>45363</v>
      </c>
      <c r="D10850" t="s">
        <v>29</v>
      </c>
      <c r="E10850">
        <v>56</v>
      </c>
    </row>
    <row r="10851" spans="1:5" x14ac:dyDescent="0.55000000000000004">
      <c r="A10851" t="s">
        <v>10932</v>
      </c>
      <c r="B10851" t="s">
        <v>63</v>
      </c>
      <c r="C10851" s="2">
        <v>43413</v>
      </c>
      <c r="D10851" t="s">
        <v>26</v>
      </c>
      <c r="E10851">
        <v>1336</v>
      </c>
    </row>
    <row r="10852" spans="1:5" x14ac:dyDescent="0.55000000000000004">
      <c r="A10852" t="s">
        <v>10933</v>
      </c>
      <c r="B10852" t="s">
        <v>15</v>
      </c>
      <c r="C10852" s="2">
        <v>44507</v>
      </c>
      <c r="D10852" t="s">
        <v>26</v>
      </c>
      <c r="E10852">
        <v>2838</v>
      </c>
    </row>
    <row r="10853" spans="1:5" x14ac:dyDescent="0.55000000000000004">
      <c r="A10853" t="s">
        <v>10934</v>
      </c>
      <c r="B10853" t="s">
        <v>156</v>
      </c>
      <c r="C10853" s="2">
        <v>44267</v>
      </c>
      <c r="D10853" t="s">
        <v>29</v>
      </c>
      <c r="E10853">
        <v>918</v>
      </c>
    </row>
    <row r="10854" spans="1:5" x14ac:dyDescent="0.55000000000000004">
      <c r="A10854" t="s">
        <v>10935</v>
      </c>
      <c r="B10854" t="s">
        <v>137</v>
      </c>
      <c r="C10854" s="2">
        <v>43585</v>
      </c>
      <c r="D10854" t="s">
        <v>29</v>
      </c>
      <c r="E10854">
        <v>1000</v>
      </c>
    </row>
    <row r="10855" spans="1:5" x14ac:dyDescent="0.55000000000000004">
      <c r="A10855" t="s">
        <v>10936</v>
      </c>
      <c r="B10855" t="s">
        <v>72</v>
      </c>
      <c r="C10855" s="2">
        <v>43547</v>
      </c>
      <c r="D10855" t="s">
        <v>29</v>
      </c>
      <c r="E10855">
        <v>2700</v>
      </c>
    </row>
    <row r="10856" spans="1:5" x14ac:dyDescent="0.55000000000000004">
      <c r="A10856" t="s">
        <v>10937</v>
      </c>
      <c r="B10856" t="s">
        <v>140</v>
      </c>
      <c r="C10856" s="2">
        <v>44499</v>
      </c>
      <c r="D10856" t="s">
        <v>29</v>
      </c>
      <c r="E10856">
        <v>2692</v>
      </c>
    </row>
    <row r="10857" spans="1:5" x14ac:dyDescent="0.55000000000000004">
      <c r="A10857" t="s">
        <v>10938</v>
      </c>
      <c r="B10857" t="s">
        <v>94</v>
      </c>
      <c r="C10857" s="2">
        <v>44516</v>
      </c>
      <c r="D10857" t="s">
        <v>26</v>
      </c>
      <c r="E10857">
        <v>875</v>
      </c>
    </row>
    <row r="10858" spans="1:5" x14ac:dyDescent="0.55000000000000004">
      <c r="A10858" t="s">
        <v>10939</v>
      </c>
      <c r="B10858" t="s">
        <v>35</v>
      </c>
      <c r="C10858" s="2">
        <v>43947</v>
      </c>
      <c r="D10858" t="s">
        <v>29</v>
      </c>
      <c r="E10858">
        <v>932</v>
      </c>
    </row>
    <row r="10859" spans="1:5" x14ac:dyDescent="0.55000000000000004">
      <c r="A10859" t="s">
        <v>10940</v>
      </c>
      <c r="B10859" t="s">
        <v>67</v>
      </c>
      <c r="C10859" s="2">
        <v>43880</v>
      </c>
      <c r="D10859" t="s">
        <v>29</v>
      </c>
      <c r="E10859">
        <v>1811</v>
      </c>
    </row>
    <row r="10860" spans="1:5" x14ac:dyDescent="0.55000000000000004">
      <c r="A10860" t="s">
        <v>10941</v>
      </c>
      <c r="B10860" t="s">
        <v>32</v>
      </c>
      <c r="C10860" s="2">
        <v>44855</v>
      </c>
      <c r="D10860" t="s">
        <v>26</v>
      </c>
      <c r="E10860">
        <v>1069</v>
      </c>
    </row>
    <row r="10861" spans="1:5" x14ac:dyDescent="0.55000000000000004">
      <c r="A10861" t="s">
        <v>10942</v>
      </c>
      <c r="B10861" t="s">
        <v>101</v>
      </c>
      <c r="C10861" s="2">
        <v>44091</v>
      </c>
      <c r="D10861" t="s">
        <v>26</v>
      </c>
      <c r="E10861">
        <v>1161</v>
      </c>
    </row>
    <row r="10862" spans="1:5" x14ac:dyDescent="0.55000000000000004">
      <c r="A10862" t="s">
        <v>10943</v>
      </c>
      <c r="B10862" t="s">
        <v>15</v>
      </c>
      <c r="C10862" s="2">
        <v>42962</v>
      </c>
      <c r="D10862" t="s">
        <v>29</v>
      </c>
      <c r="E10862">
        <v>2160</v>
      </c>
    </row>
    <row r="10863" spans="1:5" x14ac:dyDescent="0.55000000000000004">
      <c r="A10863" t="s">
        <v>10944</v>
      </c>
      <c r="B10863" t="s">
        <v>115</v>
      </c>
      <c r="C10863" s="2">
        <v>43132</v>
      </c>
      <c r="D10863" t="s">
        <v>26</v>
      </c>
      <c r="E10863">
        <v>242</v>
      </c>
    </row>
    <row r="10864" spans="1:5" x14ac:dyDescent="0.55000000000000004">
      <c r="A10864" t="s">
        <v>10945</v>
      </c>
      <c r="B10864" t="s">
        <v>74</v>
      </c>
      <c r="C10864" s="2">
        <v>43964</v>
      </c>
      <c r="D10864" t="s">
        <v>29</v>
      </c>
      <c r="E10864">
        <v>1181</v>
      </c>
    </row>
    <row r="10865" spans="1:5" x14ac:dyDescent="0.55000000000000004">
      <c r="A10865" t="s">
        <v>10946</v>
      </c>
      <c r="B10865" t="s">
        <v>63</v>
      </c>
      <c r="C10865" s="2">
        <v>43195</v>
      </c>
      <c r="D10865" t="s">
        <v>26</v>
      </c>
      <c r="E10865">
        <v>342</v>
      </c>
    </row>
    <row r="10866" spans="1:5" x14ac:dyDescent="0.55000000000000004">
      <c r="A10866" t="s">
        <v>10947</v>
      </c>
      <c r="B10866" t="s">
        <v>175</v>
      </c>
      <c r="C10866" s="2">
        <v>44548</v>
      </c>
      <c r="D10866" t="s">
        <v>29</v>
      </c>
      <c r="E10866">
        <v>2823</v>
      </c>
    </row>
    <row r="10867" spans="1:5" x14ac:dyDescent="0.55000000000000004">
      <c r="A10867" t="s">
        <v>10948</v>
      </c>
      <c r="B10867" t="s">
        <v>101</v>
      </c>
      <c r="C10867" s="2">
        <v>43678</v>
      </c>
      <c r="D10867" t="s">
        <v>26</v>
      </c>
      <c r="E10867">
        <v>2089</v>
      </c>
    </row>
    <row r="10868" spans="1:5" x14ac:dyDescent="0.55000000000000004">
      <c r="A10868" t="s">
        <v>10949</v>
      </c>
      <c r="B10868" t="s">
        <v>137</v>
      </c>
      <c r="C10868" s="2">
        <v>43976</v>
      </c>
      <c r="D10868" t="s">
        <v>26</v>
      </c>
      <c r="E10868">
        <v>1899</v>
      </c>
    </row>
    <row r="10869" spans="1:5" x14ac:dyDescent="0.55000000000000004">
      <c r="A10869" t="s">
        <v>10950</v>
      </c>
      <c r="B10869" t="s">
        <v>86</v>
      </c>
      <c r="C10869" s="2">
        <v>44134</v>
      </c>
      <c r="D10869" t="s">
        <v>26</v>
      </c>
      <c r="E10869">
        <v>1944</v>
      </c>
    </row>
    <row r="10870" spans="1:5" x14ac:dyDescent="0.55000000000000004">
      <c r="A10870" t="s">
        <v>10951</v>
      </c>
      <c r="B10870" t="s">
        <v>142</v>
      </c>
      <c r="C10870" s="2">
        <v>42961</v>
      </c>
      <c r="D10870" t="s">
        <v>26</v>
      </c>
      <c r="E10870">
        <v>1110</v>
      </c>
    </row>
    <row r="10871" spans="1:5" x14ac:dyDescent="0.55000000000000004">
      <c r="A10871" t="s">
        <v>10952</v>
      </c>
      <c r="B10871" t="s">
        <v>63</v>
      </c>
      <c r="C10871" s="2">
        <v>44471</v>
      </c>
      <c r="D10871" t="s">
        <v>29</v>
      </c>
      <c r="E10871">
        <v>1109</v>
      </c>
    </row>
    <row r="10872" spans="1:5" x14ac:dyDescent="0.55000000000000004">
      <c r="A10872" t="s">
        <v>10953</v>
      </c>
      <c r="B10872" t="s">
        <v>151</v>
      </c>
      <c r="C10872" s="2">
        <v>44409</v>
      </c>
      <c r="D10872" t="s">
        <v>26</v>
      </c>
      <c r="E10872">
        <v>1450</v>
      </c>
    </row>
    <row r="10873" spans="1:5" x14ac:dyDescent="0.55000000000000004">
      <c r="A10873" t="s">
        <v>10954</v>
      </c>
      <c r="B10873" t="s">
        <v>94</v>
      </c>
      <c r="C10873" s="2">
        <v>45027</v>
      </c>
      <c r="D10873" t="s">
        <v>29</v>
      </c>
      <c r="E10873">
        <v>1212</v>
      </c>
    </row>
    <row r="10874" spans="1:5" x14ac:dyDescent="0.55000000000000004">
      <c r="A10874" t="s">
        <v>10955</v>
      </c>
      <c r="B10874" t="s">
        <v>14</v>
      </c>
      <c r="C10874" s="2">
        <v>44543</v>
      </c>
      <c r="D10874" t="s">
        <v>29</v>
      </c>
      <c r="E10874">
        <v>860</v>
      </c>
    </row>
    <row r="10875" spans="1:5" x14ac:dyDescent="0.55000000000000004">
      <c r="A10875" t="s">
        <v>10956</v>
      </c>
      <c r="B10875" t="s">
        <v>101</v>
      </c>
      <c r="C10875" s="2">
        <v>43199</v>
      </c>
      <c r="D10875" t="s">
        <v>29</v>
      </c>
      <c r="E10875">
        <v>374</v>
      </c>
    </row>
    <row r="10876" spans="1:5" x14ac:dyDescent="0.55000000000000004">
      <c r="A10876" t="s">
        <v>10957</v>
      </c>
      <c r="B10876" t="s">
        <v>94</v>
      </c>
      <c r="C10876" s="2">
        <v>44100</v>
      </c>
      <c r="D10876" t="s">
        <v>26</v>
      </c>
      <c r="E10876">
        <v>505</v>
      </c>
    </row>
    <row r="10877" spans="1:5" x14ac:dyDescent="0.55000000000000004">
      <c r="A10877" t="s">
        <v>10958</v>
      </c>
      <c r="B10877" t="s">
        <v>74</v>
      </c>
      <c r="C10877" s="2">
        <v>43606</v>
      </c>
      <c r="D10877" t="s">
        <v>29</v>
      </c>
      <c r="E10877">
        <v>447</v>
      </c>
    </row>
    <row r="10878" spans="1:5" x14ac:dyDescent="0.55000000000000004">
      <c r="A10878" t="s">
        <v>10959</v>
      </c>
      <c r="B10878" t="s">
        <v>35</v>
      </c>
      <c r="C10878" s="2">
        <v>43967</v>
      </c>
      <c r="D10878" t="s">
        <v>26</v>
      </c>
      <c r="E10878">
        <v>2424</v>
      </c>
    </row>
    <row r="10879" spans="1:5" x14ac:dyDescent="0.55000000000000004">
      <c r="A10879" t="s">
        <v>10960</v>
      </c>
      <c r="B10879" t="s">
        <v>175</v>
      </c>
      <c r="C10879" s="2">
        <v>43576</v>
      </c>
      <c r="D10879" t="s">
        <v>26</v>
      </c>
      <c r="E10879">
        <v>113</v>
      </c>
    </row>
    <row r="10880" spans="1:5" x14ac:dyDescent="0.55000000000000004">
      <c r="A10880" t="s">
        <v>10961</v>
      </c>
      <c r="B10880" t="s">
        <v>101</v>
      </c>
      <c r="C10880" s="2">
        <v>42940</v>
      </c>
      <c r="D10880" t="s">
        <v>29</v>
      </c>
      <c r="E10880">
        <v>419</v>
      </c>
    </row>
    <row r="10881" spans="1:5" x14ac:dyDescent="0.55000000000000004">
      <c r="A10881" t="s">
        <v>10962</v>
      </c>
      <c r="B10881" t="s">
        <v>63</v>
      </c>
      <c r="C10881" s="2">
        <v>44426</v>
      </c>
      <c r="D10881" t="s">
        <v>29</v>
      </c>
      <c r="E10881">
        <v>2660</v>
      </c>
    </row>
    <row r="10882" spans="1:5" x14ac:dyDescent="0.55000000000000004">
      <c r="A10882" t="s">
        <v>10963</v>
      </c>
      <c r="B10882" t="s">
        <v>23</v>
      </c>
      <c r="C10882" s="2">
        <v>44248</v>
      </c>
      <c r="D10882" t="s">
        <v>26</v>
      </c>
      <c r="E10882">
        <v>135</v>
      </c>
    </row>
    <row r="10883" spans="1:5" x14ac:dyDescent="0.55000000000000004">
      <c r="A10883" t="s">
        <v>10964</v>
      </c>
      <c r="B10883" t="s">
        <v>86</v>
      </c>
      <c r="C10883" s="2">
        <v>43180</v>
      </c>
      <c r="D10883" t="s">
        <v>26</v>
      </c>
      <c r="E10883">
        <v>308</v>
      </c>
    </row>
    <row r="10884" spans="1:5" x14ac:dyDescent="0.55000000000000004">
      <c r="A10884" t="s">
        <v>10965</v>
      </c>
      <c r="B10884" t="s">
        <v>38</v>
      </c>
      <c r="C10884" s="2">
        <v>44464</v>
      </c>
      <c r="D10884" t="s">
        <v>29</v>
      </c>
      <c r="E10884">
        <v>671</v>
      </c>
    </row>
    <row r="10885" spans="1:5" x14ac:dyDescent="0.55000000000000004">
      <c r="A10885" t="s">
        <v>10966</v>
      </c>
      <c r="B10885" t="s">
        <v>35</v>
      </c>
      <c r="C10885" s="2">
        <v>44699</v>
      </c>
      <c r="D10885" t="s">
        <v>29</v>
      </c>
      <c r="E10885">
        <v>2678</v>
      </c>
    </row>
    <row r="10886" spans="1:5" x14ac:dyDescent="0.55000000000000004">
      <c r="A10886" t="s">
        <v>10967</v>
      </c>
      <c r="B10886" t="s">
        <v>63</v>
      </c>
      <c r="C10886" s="2">
        <v>44449</v>
      </c>
      <c r="D10886" t="s">
        <v>29</v>
      </c>
      <c r="E10886">
        <v>819</v>
      </c>
    </row>
    <row r="10887" spans="1:5" x14ac:dyDescent="0.55000000000000004">
      <c r="A10887" t="s">
        <v>10968</v>
      </c>
      <c r="B10887" t="s">
        <v>99</v>
      </c>
      <c r="C10887" s="2">
        <v>44553</v>
      </c>
      <c r="D10887" t="s">
        <v>26</v>
      </c>
      <c r="E10887">
        <v>1294</v>
      </c>
    </row>
    <row r="10888" spans="1:5" x14ac:dyDescent="0.55000000000000004">
      <c r="A10888" t="s">
        <v>10969</v>
      </c>
      <c r="B10888" t="s">
        <v>118</v>
      </c>
      <c r="C10888" s="2">
        <v>45204</v>
      </c>
      <c r="D10888" t="s">
        <v>26</v>
      </c>
      <c r="E10888">
        <v>506</v>
      </c>
    </row>
    <row r="10889" spans="1:5" x14ac:dyDescent="0.55000000000000004">
      <c r="A10889" t="s">
        <v>10970</v>
      </c>
      <c r="B10889" t="s">
        <v>175</v>
      </c>
      <c r="C10889" s="2">
        <v>45142</v>
      </c>
      <c r="D10889" t="s">
        <v>26</v>
      </c>
      <c r="E10889">
        <v>2807</v>
      </c>
    </row>
    <row r="10890" spans="1:5" x14ac:dyDescent="0.55000000000000004">
      <c r="A10890" t="s">
        <v>10971</v>
      </c>
      <c r="B10890" t="s">
        <v>111</v>
      </c>
      <c r="C10890" s="2">
        <v>44285</v>
      </c>
      <c r="D10890" t="s">
        <v>29</v>
      </c>
      <c r="E10890">
        <v>1106</v>
      </c>
    </row>
    <row r="10891" spans="1:5" x14ac:dyDescent="0.55000000000000004">
      <c r="A10891" t="s">
        <v>10972</v>
      </c>
      <c r="B10891" t="s">
        <v>78</v>
      </c>
      <c r="C10891" s="2">
        <v>44046</v>
      </c>
      <c r="D10891" t="s">
        <v>29</v>
      </c>
      <c r="E10891">
        <v>2874</v>
      </c>
    </row>
    <row r="10892" spans="1:5" x14ac:dyDescent="0.55000000000000004">
      <c r="A10892" t="s">
        <v>10973</v>
      </c>
      <c r="B10892" t="s">
        <v>74</v>
      </c>
      <c r="C10892" s="2">
        <v>44010</v>
      </c>
      <c r="D10892" t="s">
        <v>29</v>
      </c>
      <c r="E10892">
        <v>1349</v>
      </c>
    </row>
    <row r="10893" spans="1:5" x14ac:dyDescent="0.55000000000000004">
      <c r="A10893" t="s">
        <v>10974</v>
      </c>
      <c r="B10893" t="s">
        <v>111</v>
      </c>
      <c r="C10893" s="2">
        <v>43346</v>
      </c>
      <c r="D10893" t="s">
        <v>29</v>
      </c>
      <c r="E10893">
        <v>1297</v>
      </c>
    </row>
    <row r="10894" spans="1:5" x14ac:dyDescent="0.55000000000000004">
      <c r="A10894" t="s">
        <v>10975</v>
      </c>
      <c r="B10894" t="s">
        <v>99</v>
      </c>
      <c r="C10894" s="2">
        <v>44097</v>
      </c>
      <c r="D10894" t="s">
        <v>29</v>
      </c>
      <c r="E10894">
        <v>2170</v>
      </c>
    </row>
    <row r="10895" spans="1:5" x14ac:dyDescent="0.55000000000000004">
      <c r="A10895" t="s">
        <v>10976</v>
      </c>
      <c r="B10895" t="s">
        <v>72</v>
      </c>
      <c r="C10895" s="2">
        <v>44391</v>
      </c>
      <c r="D10895" t="s">
        <v>29</v>
      </c>
      <c r="E10895">
        <v>245</v>
      </c>
    </row>
    <row r="10896" spans="1:5" x14ac:dyDescent="0.55000000000000004">
      <c r="A10896" t="s">
        <v>10977</v>
      </c>
      <c r="B10896" t="s">
        <v>99</v>
      </c>
      <c r="C10896" s="2">
        <v>43902</v>
      </c>
      <c r="D10896" t="s">
        <v>29</v>
      </c>
      <c r="E10896">
        <v>2506</v>
      </c>
    </row>
    <row r="10897" spans="1:5" x14ac:dyDescent="0.55000000000000004">
      <c r="A10897" t="s">
        <v>10978</v>
      </c>
      <c r="B10897" t="s">
        <v>23</v>
      </c>
      <c r="C10897" s="2">
        <v>44467</v>
      </c>
      <c r="D10897" t="s">
        <v>26</v>
      </c>
      <c r="E10897">
        <v>749</v>
      </c>
    </row>
    <row r="10898" spans="1:5" x14ac:dyDescent="0.55000000000000004">
      <c r="A10898" t="s">
        <v>10979</v>
      </c>
      <c r="B10898" t="s">
        <v>137</v>
      </c>
      <c r="C10898" s="2">
        <v>44250</v>
      </c>
      <c r="D10898" t="s">
        <v>26</v>
      </c>
      <c r="E10898">
        <v>798</v>
      </c>
    </row>
    <row r="10899" spans="1:5" x14ac:dyDescent="0.55000000000000004">
      <c r="A10899" t="s">
        <v>10980</v>
      </c>
      <c r="B10899" t="s">
        <v>86</v>
      </c>
      <c r="C10899" s="2">
        <v>44053</v>
      </c>
      <c r="D10899" t="s">
        <v>29</v>
      </c>
      <c r="E10899">
        <v>2429</v>
      </c>
    </row>
    <row r="10900" spans="1:5" x14ac:dyDescent="0.55000000000000004">
      <c r="A10900" t="s">
        <v>10981</v>
      </c>
      <c r="B10900" t="s">
        <v>63</v>
      </c>
      <c r="C10900" s="2">
        <v>43629</v>
      </c>
      <c r="D10900" t="s">
        <v>26</v>
      </c>
      <c r="E10900">
        <v>2841</v>
      </c>
    </row>
    <row r="10901" spans="1:5" x14ac:dyDescent="0.55000000000000004">
      <c r="A10901" t="s">
        <v>10982</v>
      </c>
      <c r="B10901" t="s">
        <v>151</v>
      </c>
      <c r="C10901" s="2">
        <v>44288</v>
      </c>
      <c r="D10901" t="s">
        <v>29</v>
      </c>
      <c r="E10901">
        <v>2641</v>
      </c>
    </row>
    <row r="10902" spans="1:5" x14ac:dyDescent="0.55000000000000004">
      <c r="A10902" t="s">
        <v>10983</v>
      </c>
      <c r="B10902" t="s">
        <v>105</v>
      </c>
      <c r="C10902" s="2">
        <v>43957</v>
      </c>
      <c r="D10902" t="s">
        <v>26</v>
      </c>
      <c r="E10902">
        <v>1376</v>
      </c>
    </row>
    <row r="10903" spans="1:5" x14ac:dyDescent="0.55000000000000004">
      <c r="A10903" t="s">
        <v>10984</v>
      </c>
      <c r="B10903" t="s">
        <v>14</v>
      </c>
      <c r="C10903" s="2">
        <v>43932</v>
      </c>
      <c r="D10903" t="s">
        <v>29</v>
      </c>
      <c r="E10903">
        <v>186</v>
      </c>
    </row>
    <row r="10904" spans="1:5" x14ac:dyDescent="0.55000000000000004">
      <c r="A10904" t="s">
        <v>10985</v>
      </c>
      <c r="B10904" t="s">
        <v>76</v>
      </c>
      <c r="C10904" s="2">
        <v>45502</v>
      </c>
      <c r="D10904" t="s">
        <v>26</v>
      </c>
      <c r="E10904">
        <v>2399</v>
      </c>
    </row>
    <row r="10905" spans="1:5" x14ac:dyDescent="0.55000000000000004">
      <c r="A10905" t="s">
        <v>10986</v>
      </c>
      <c r="B10905" t="s">
        <v>38</v>
      </c>
      <c r="C10905" s="2">
        <v>44754</v>
      </c>
      <c r="D10905" t="s">
        <v>26</v>
      </c>
      <c r="E10905">
        <v>1477</v>
      </c>
    </row>
    <row r="10906" spans="1:5" x14ac:dyDescent="0.55000000000000004">
      <c r="A10906" t="s">
        <v>10987</v>
      </c>
      <c r="B10906" t="s">
        <v>84</v>
      </c>
      <c r="C10906" s="2">
        <v>44531</v>
      </c>
      <c r="D10906" t="s">
        <v>29</v>
      </c>
      <c r="E10906">
        <v>538</v>
      </c>
    </row>
    <row r="10907" spans="1:5" x14ac:dyDescent="0.55000000000000004">
      <c r="A10907" t="s">
        <v>10988</v>
      </c>
      <c r="B10907" t="s">
        <v>86</v>
      </c>
      <c r="C10907" s="2">
        <v>43287</v>
      </c>
      <c r="D10907" t="s">
        <v>29</v>
      </c>
      <c r="E10907">
        <v>2882</v>
      </c>
    </row>
    <row r="10908" spans="1:5" x14ac:dyDescent="0.55000000000000004">
      <c r="A10908" t="s">
        <v>10989</v>
      </c>
      <c r="B10908" t="s">
        <v>41</v>
      </c>
      <c r="C10908" s="2">
        <v>44800</v>
      </c>
      <c r="D10908" t="s">
        <v>29</v>
      </c>
      <c r="E10908">
        <v>2001</v>
      </c>
    </row>
    <row r="10909" spans="1:5" x14ac:dyDescent="0.55000000000000004">
      <c r="A10909" t="s">
        <v>10990</v>
      </c>
      <c r="B10909" t="s">
        <v>96</v>
      </c>
      <c r="C10909" s="2">
        <v>44502</v>
      </c>
      <c r="D10909" t="s">
        <v>29</v>
      </c>
      <c r="E10909">
        <v>1120</v>
      </c>
    </row>
    <row r="10910" spans="1:5" x14ac:dyDescent="0.55000000000000004">
      <c r="A10910" t="s">
        <v>10991</v>
      </c>
      <c r="B10910" t="s">
        <v>23</v>
      </c>
      <c r="C10910" s="2">
        <v>44630</v>
      </c>
      <c r="D10910" t="s">
        <v>29</v>
      </c>
      <c r="E10910">
        <v>2405</v>
      </c>
    </row>
    <row r="10911" spans="1:5" x14ac:dyDescent="0.55000000000000004">
      <c r="A10911" t="s">
        <v>10992</v>
      </c>
      <c r="B10911" t="s">
        <v>63</v>
      </c>
      <c r="C10911" s="2">
        <v>42986</v>
      </c>
      <c r="D10911" t="s">
        <v>29</v>
      </c>
      <c r="E10911">
        <v>1749</v>
      </c>
    </row>
    <row r="10912" spans="1:5" x14ac:dyDescent="0.55000000000000004">
      <c r="A10912" t="s">
        <v>10993</v>
      </c>
      <c r="B10912" t="s">
        <v>156</v>
      </c>
      <c r="C10912" s="2">
        <v>43025</v>
      </c>
      <c r="D10912" t="s">
        <v>26</v>
      </c>
      <c r="E10912">
        <v>1780</v>
      </c>
    </row>
    <row r="10913" spans="1:5" x14ac:dyDescent="0.55000000000000004">
      <c r="A10913" t="s">
        <v>10994</v>
      </c>
      <c r="B10913" t="s">
        <v>14</v>
      </c>
      <c r="C10913" s="2">
        <v>43708</v>
      </c>
      <c r="D10913" t="s">
        <v>26</v>
      </c>
      <c r="E10913">
        <v>1598</v>
      </c>
    </row>
    <row r="10914" spans="1:5" x14ac:dyDescent="0.55000000000000004">
      <c r="A10914" t="s">
        <v>10995</v>
      </c>
      <c r="B10914" t="s">
        <v>156</v>
      </c>
      <c r="C10914" s="2">
        <v>44035</v>
      </c>
      <c r="D10914" t="s">
        <v>29</v>
      </c>
      <c r="E10914">
        <v>515</v>
      </c>
    </row>
    <row r="10915" spans="1:5" x14ac:dyDescent="0.55000000000000004">
      <c r="A10915" t="s">
        <v>10996</v>
      </c>
      <c r="B10915" t="s">
        <v>78</v>
      </c>
      <c r="C10915" s="2">
        <v>45339</v>
      </c>
      <c r="D10915" t="s">
        <v>29</v>
      </c>
      <c r="E10915">
        <v>1495</v>
      </c>
    </row>
    <row r="10916" spans="1:5" x14ac:dyDescent="0.55000000000000004">
      <c r="A10916" t="s">
        <v>10997</v>
      </c>
      <c r="B10916" t="s">
        <v>137</v>
      </c>
      <c r="C10916" s="2">
        <v>44317</v>
      </c>
      <c r="D10916" t="s">
        <v>29</v>
      </c>
      <c r="E10916">
        <v>1894</v>
      </c>
    </row>
    <row r="10917" spans="1:5" x14ac:dyDescent="0.55000000000000004">
      <c r="A10917" t="s">
        <v>10998</v>
      </c>
      <c r="B10917" t="s">
        <v>23</v>
      </c>
      <c r="C10917" s="2">
        <v>44297</v>
      </c>
      <c r="D10917" t="s">
        <v>29</v>
      </c>
      <c r="E10917">
        <v>2668</v>
      </c>
    </row>
    <row r="10918" spans="1:5" x14ac:dyDescent="0.55000000000000004">
      <c r="A10918" t="s">
        <v>10999</v>
      </c>
      <c r="B10918" t="s">
        <v>76</v>
      </c>
      <c r="C10918" s="2">
        <v>44654</v>
      </c>
      <c r="D10918" t="s">
        <v>29</v>
      </c>
      <c r="E10918">
        <v>84</v>
      </c>
    </row>
    <row r="10919" spans="1:5" x14ac:dyDescent="0.55000000000000004">
      <c r="A10919" t="s">
        <v>11000</v>
      </c>
      <c r="B10919" t="s">
        <v>23</v>
      </c>
      <c r="C10919" s="2">
        <v>44037</v>
      </c>
      <c r="D10919" t="s">
        <v>26</v>
      </c>
      <c r="E10919">
        <v>496</v>
      </c>
    </row>
    <row r="10920" spans="1:5" x14ac:dyDescent="0.55000000000000004">
      <c r="A10920" t="s">
        <v>11001</v>
      </c>
      <c r="B10920" t="s">
        <v>14</v>
      </c>
      <c r="C10920" s="2">
        <v>43437</v>
      </c>
      <c r="D10920" t="s">
        <v>26</v>
      </c>
      <c r="E10920">
        <v>1916</v>
      </c>
    </row>
    <row r="10921" spans="1:5" x14ac:dyDescent="0.55000000000000004">
      <c r="A10921" t="s">
        <v>11002</v>
      </c>
      <c r="B10921" t="s">
        <v>105</v>
      </c>
      <c r="C10921" s="2">
        <v>43655</v>
      </c>
      <c r="D10921" t="s">
        <v>29</v>
      </c>
      <c r="E10921">
        <v>1450</v>
      </c>
    </row>
    <row r="10922" spans="1:5" x14ac:dyDescent="0.55000000000000004">
      <c r="A10922" t="s">
        <v>11003</v>
      </c>
      <c r="B10922" t="s">
        <v>78</v>
      </c>
      <c r="C10922" s="2">
        <v>44277</v>
      </c>
      <c r="D10922" t="s">
        <v>29</v>
      </c>
      <c r="E10922">
        <v>178</v>
      </c>
    </row>
    <row r="10923" spans="1:5" x14ac:dyDescent="0.55000000000000004">
      <c r="A10923" t="s">
        <v>11004</v>
      </c>
      <c r="B10923" t="s">
        <v>74</v>
      </c>
      <c r="C10923" s="2">
        <v>44464</v>
      </c>
      <c r="D10923" t="s">
        <v>29</v>
      </c>
      <c r="E10923">
        <v>247</v>
      </c>
    </row>
    <row r="10924" spans="1:5" x14ac:dyDescent="0.55000000000000004">
      <c r="A10924" t="s">
        <v>11005</v>
      </c>
      <c r="B10924" t="s">
        <v>23</v>
      </c>
      <c r="C10924" s="2">
        <v>44286</v>
      </c>
      <c r="D10924" t="s">
        <v>26</v>
      </c>
      <c r="E10924">
        <v>2589</v>
      </c>
    </row>
    <row r="10925" spans="1:5" x14ac:dyDescent="0.55000000000000004">
      <c r="A10925" t="s">
        <v>11006</v>
      </c>
      <c r="B10925" t="s">
        <v>78</v>
      </c>
      <c r="C10925" s="2">
        <v>44501</v>
      </c>
      <c r="D10925" t="s">
        <v>29</v>
      </c>
      <c r="E10925">
        <v>127</v>
      </c>
    </row>
    <row r="10926" spans="1:5" x14ac:dyDescent="0.55000000000000004">
      <c r="A10926" t="s">
        <v>11007</v>
      </c>
      <c r="B10926" t="s">
        <v>15</v>
      </c>
      <c r="C10926" s="2">
        <v>44071</v>
      </c>
      <c r="D10926" t="s">
        <v>26</v>
      </c>
      <c r="E10926">
        <v>1626</v>
      </c>
    </row>
    <row r="10927" spans="1:5" x14ac:dyDescent="0.55000000000000004">
      <c r="A10927" t="s">
        <v>11008</v>
      </c>
      <c r="B10927" t="s">
        <v>72</v>
      </c>
      <c r="C10927" s="2">
        <v>43655</v>
      </c>
      <c r="D10927" t="s">
        <v>26</v>
      </c>
      <c r="E10927">
        <v>2894</v>
      </c>
    </row>
    <row r="10928" spans="1:5" x14ac:dyDescent="0.55000000000000004">
      <c r="A10928" t="s">
        <v>11009</v>
      </c>
      <c r="B10928" t="s">
        <v>96</v>
      </c>
      <c r="C10928" s="2">
        <v>44681</v>
      </c>
      <c r="D10928" t="s">
        <v>26</v>
      </c>
      <c r="E10928">
        <v>509</v>
      </c>
    </row>
    <row r="10929" spans="1:5" x14ac:dyDescent="0.55000000000000004">
      <c r="A10929" t="s">
        <v>11010</v>
      </c>
      <c r="B10929" t="s">
        <v>38</v>
      </c>
      <c r="C10929" s="2">
        <v>44638</v>
      </c>
      <c r="D10929" t="s">
        <v>26</v>
      </c>
      <c r="E10929">
        <v>891</v>
      </c>
    </row>
    <row r="10930" spans="1:5" x14ac:dyDescent="0.55000000000000004">
      <c r="A10930" t="s">
        <v>11011</v>
      </c>
      <c r="B10930" t="s">
        <v>72</v>
      </c>
      <c r="C10930" s="2">
        <v>43678</v>
      </c>
      <c r="D10930" t="s">
        <v>26</v>
      </c>
      <c r="E10930">
        <v>2658</v>
      </c>
    </row>
    <row r="10931" spans="1:5" x14ac:dyDescent="0.55000000000000004">
      <c r="A10931" t="s">
        <v>11012</v>
      </c>
      <c r="B10931" t="s">
        <v>175</v>
      </c>
      <c r="C10931" s="2">
        <v>44412</v>
      </c>
      <c r="D10931" t="s">
        <v>29</v>
      </c>
      <c r="E10931">
        <v>1009</v>
      </c>
    </row>
    <row r="10932" spans="1:5" x14ac:dyDescent="0.55000000000000004">
      <c r="A10932" t="s">
        <v>11013</v>
      </c>
      <c r="B10932" t="s">
        <v>38</v>
      </c>
      <c r="C10932" s="2">
        <v>44872</v>
      </c>
      <c r="D10932" t="s">
        <v>29</v>
      </c>
      <c r="E10932">
        <v>1095</v>
      </c>
    </row>
    <row r="10933" spans="1:5" x14ac:dyDescent="0.55000000000000004">
      <c r="A10933" t="s">
        <v>11014</v>
      </c>
      <c r="B10933" t="s">
        <v>72</v>
      </c>
      <c r="C10933" s="2">
        <v>43858</v>
      </c>
      <c r="D10933" t="s">
        <v>29</v>
      </c>
      <c r="E10933">
        <v>636</v>
      </c>
    </row>
    <row r="10934" spans="1:5" x14ac:dyDescent="0.55000000000000004">
      <c r="A10934" t="s">
        <v>11015</v>
      </c>
      <c r="B10934" t="s">
        <v>38</v>
      </c>
      <c r="C10934" s="2">
        <v>44328</v>
      </c>
      <c r="D10934" t="s">
        <v>29</v>
      </c>
      <c r="E10934">
        <v>371</v>
      </c>
    </row>
    <row r="10935" spans="1:5" x14ac:dyDescent="0.55000000000000004">
      <c r="A10935" t="s">
        <v>11016</v>
      </c>
      <c r="B10935" t="s">
        <v>137</v>
      </c>
      <c r="C10935" s="2">
        <v>45511</v>
      </c>
      <c r="D10935" t="s">
        <v>29</v>
      </c>
      <c r="E10935">
        <v>2334</v>
      </c>
    </row>
    <row r="10936" spans="1:5" x14ac:dyDescent="0.55000000000000004">
      <c r="A10936" t="s">
        <v>11017</v>
      </c>
      <c r="B10936" t="s">
        <v>140</v>
      </c>
      <c r="C10936" s="2">
        <v>44403</v>
      </c>
      <c r="D10936" t="s">
        <v>29</v>
      </c>
      <c r="E10936">
        <v>1376</v>
      </c>
    </row>
    <row r="10937" spans="1:5" x14ac:dyDescent="0.55000000000000004">
      <c r="A10937" t="s">
        <v>11018</v>
      </c>
      <c r="B10937" t="s">
        <v>137</v>
      </c>
      <c r="C10937" s="2">
        <v>44720</v>
      </c>
      <c r="D10937" t="s">
        <v>29</v>
      </c>
      <c r="E10937">
        <v>2913</v>
      </c>
    </row>
    <row r="10938" spans="1:5" x14ac:dyDescent="0.55000000000000004">
      <c r="A10938" t="s">
        <v>11019</v>
      </c>
      <c r="B10938" t="s">
        <v>32</v>
      </c>
      <c r="C10938" s="2">
        <v>44556</v>
      </c>
      <c r="D10938" t="s">
        <v>29</v>
      </c>
      <c r="E10938">
        <v>2076</v>
      </c>
    </row>
    <row r="10939" spans="1:5" x14ac:dyDescent="0.55000000000000004">
      <c r="A10939" t="s">
        <v>11020</v>
      </c>
      <c r="B10939" t="s">
        <v>94</v>
      </c>
      <c r="C10939" s="2">
        <v>43941</v>
      </c>
      <c r="D10939" t="s">
        <v>26</v>
      </c>
      <c r="E10939">
        <v>1837</v>
      </c>
    </row>
    <row r="10940" spans="1:5" x14ac:dyDescent="0.55000000000000004">
      <c r="A10940" t="s">
        <v>11021</v>
      </c>
      <c r="B10940" t="s">
        <v>78</v>
      </c>
      <c r="C10940" s="2">
        <v>44256</v>
      </c>
      <c r="D10940" t="s">
        <v>26</v>
      </c>
      <c r="E10940">
        <v>2019</v>
      </c>
    </row>
    <row r="10941" spans="1:5" x14ac:dyDescent="0.55000000000000004">
      <c r="A10941" t="s">
        <v>11022</v>
      </c>
      <c r="B10941" t="s">
        <v>41</v>
      </c>
      <c r="C10941" s="2">
        <v>44420</v>
      </c>
      <c r="D10941" t="s">
        <v>26</v>
      </c>
      <c r="E10941">
        <v>1799</v>
      </c>
    </row>
    <row r="10942" spans="1:5" x14ac:dyDescent="0.55000000000000004">
      <c r="A10942" t="s">
        <v>11023</v>
      </c>
      <c r="B10942" t="s">
        <v>78</v>
      </c>
      <c r="C10942" s="2">
        <v>43902</v>
      </c>
      <c r="D10942" t="s">
        <v>26</v>
      </c>
      <c r="E10942">
        <v>543</v>
      </c>
    </row>
    <row r="10943" spans="1:5" x14ac:dyDescent="0.55000000000000004">
      <c r="A10943" t="s">
        <v>11024</v>
      </c>
      <c r="B10943" t="s">
        <v>76</v>
      </c>
      <c r="C10943" s="2">
        <v>44060</v>
      </c>
      <c r="D10943" t="s">
        <v>29</v>
      </c>
      <c r="E10943">
        <v>96</v>
      </c>
    </row>
    <row r="10944" spans="1:5" x14ac:dyDescent="0.55000000000000004">
      <c r="A10944" t="s">
        <v>11025</v>
      </c>
      <c r="B10944" t="s">
        <v>105</v>
      </c>
      <c r="C10944" s="2">
        <v>43353</v>
      </c>
      <c r="D10944" t="s">
        <v>26</v>
      </c>
      <c r="E10944">
        <v>1614</v>
      </c>
    </row>
    <row r="10945" spans="1:5" x14ac:dyDescent="0.55000000000000004">
      <c r="A10945" t="s">
        <v>11026</v>
      </c>
      <c r="B10945" t="s">
        <v>76</v>
      </c>
      <c r="C10945" s="2">
        <v>43995</v>
      </c>
      <c r="D10945" t="s">
        <v>29</v>
      </c>
      <c r="E10945">
        <v>1587</v>
      </c>
    </row>
    <row r="10946" spans="1:5" x14ac:dyDescent="0.55000000000000004">
      <c r="A10946" t="s">
        <v>11027</v>
      </c>
      <c r="B10946" t="s">
        <v>115</v>
      </c>
      <c r="C10946" s="2">
        <v>43862</v>
      </c>
      <c r="D10946" t="s">
        <v>29</v>
      </c>
      <c r="E10946">
        <v>1108</v>
      </c>
    </row>
    <row r="10947" spans="1:5" x14ac:dyDescent="0.55000000000000004">
      <c r="A10947" t="s">
        <v>11028</v>
      </c>
      <c r="B10947" t="s">
        <v>41</v>
      </c>
      <c r="C10947" s="2">
        <v>43893</v>
      </c>
      <c r="D10947" t="s">
        <v>29</v>
      </c>
      <c r="E10947">
        <v>165</v>
      </c>
    </row>
    <row r="10948" spans="1:5" x14ac:dyDescent="0.55000000000000004">
      <c r="A10948" t="s">
        <v>11029</v>
      </c>
      <c r="B10948" t="s">
        <v>84</v>
      </c>
      <c r="C10948" s="2">
        <v>44408</v>
      </c>
      <c r="D10948" t="s">
        <v>29</v>
      </c>
      <c r="E10948">
        <v>1377</v>
      </c>
    </row>
    <row r="10949" spans="1:5" x14ac:dyDescent="0.55000000000000004">
      <c r="A10949" t="s">
        <v>11030</v>
      </c>
      <c r="B10949" t="s">
        <v>38</v>
      </c>
      <c r="C10949" s="2">
        <v>44581</v>
      </c>
      <c r="D10949" t="s">
        <v>26</v>
      </c>
      <c r="E10949">
        <v>330</v>
      </c>
    </row>
    <row r="10950" spans="1:5" x14ac:dyDescent="0.55000000000000004">
      <c r="A10950" t="s">
        <v>11031</v>
      </c>
      <c r="B10950" t="s">
        <v>105</v>
      </c>
      <c r="C10950" s="2">
        <v>44048</v>
      </c>
      <c r="D10950" t="s">
        <v>29</v>
      </c>
      <c r="E10950">
        <v>947</v>
      </c>
    </row>
    <row r="10951" spans="1:5" x14ac:dyDescent="0.55000000000000004">
      <c r="A10951" t="s">
        <v>11032</v>
      </c>
      <c r="B10951" t="s">
        <v>67</v>
      </c>
      <c r="C10951" s="2">
        <v>43791</v>
      </c>
      <c r="D10951" t="s">
        <v>26</v>
      </c>
      <c r="E10951">
        <v>65</v>
      </c>
    </row>
    <row r="10952" spans="1:5" x14ac:dyDescent="0.55000000000000004">
      <c r="A10952" t="s">
        <v>11033</v>
      </c>
      <c r="B10952" t="s">
        <v>86</v>
      </c>
      <c r="C10952" s="2">
        <v>42930</v>
      </c>
      <c r="D10952" t="s">
        <v>26</v>
      </c>
      <c r="E10952">
        <v>2897</v>
      </c>
    </row>
    <row r="10953" spans="1:5" x14ac:dyDescent="0.55000000000000004">
      <c r="A10953" t="s">
        <v>11034</v>
      </c>
      <c r="B10953" t="s">
        <v>76</v>
      </c>
      <c r="C10953" s="2">
        <v>44003</v>
      </c>
      <c r="D10953" t="s">
        <v>26</v>
      </c>
      <c r="E10953">
        <v>155</v>
      </c>
    </row>
    <row r="10954" spans="1:5" x14ac:dyDescent="0.55000000000000004">
      <c r="A10954" t="s">
        <v>11035</v>
      </c>
      <c r="B10954" t="s">
        <v>96</v>
      </c>
      <c r="C10954" s="2">
        <v>44661</v>
      </c>
      <c r="D10954" t="s">
        <v>29</v>
      </c>
      <c r="E10954">
        <v>2407</v>
      </c>
    </row>
    <row r="10955" spans="1:5" x14ac:dyDescent="0.55000000000000004">
      <c r="A10955" t="s">
        <v>11036</v>
      </c>
      <c r="B10955" t="s">
        <v>86</v>
      </c>
      <c r="C10955" s="2">
        <v>43264</v>
      </c>
      <c r="D10955" t="s">
        <v>26</v>
      </c>
      <c r="E10955">
        <v>1811</v>
      </c>
    </row>
    <row r="10956" spans="1:5" x14ac:dyDescent="0.55000000000000004">
      <c r="A10956" t="s">
        <v>11037</v>
      </c>
      <c r="B10956" t="s">
        <v>118</v>
      </c>
      <c r="C10956" s="2">
        <v>45186</v>
      </c>
      <c r="D10956" t="s">
        <v>29</v>
      </c>
      <c r="E10956">
        <v>1972</v>
      </c>
    </row>
    <row r="10957" spans="1:5" x14ac:dyDescent="0.55000000000000004">
      <c r="A10957" t="s">
        <v>11038</v>
      </c>
      <c r="B10957" t="s">
        <v>137</v>
      </c>
      <c r="C10957" s="2">
        <v>44583</v>
      </c>
      <c r="D10957" t="s">
        <v>26</v>
      </c>
      <c r="E10957">
        <v>844</v>
      </c>
    </row>
    <row r="10958" spans="1:5" x14ac:dyDescent="0.55000000000000004">
      <c r="A10958" t="s">
        <v>11039</v>
      </c>
      <c r="B10958" t="s">
        <v>32</v>
      </c>
      <c r="C10958" s="2">
        <v>44261</v>
      </c>
      <c r="D10958" t="s">
        <v>29</v>
      </c>
      <c r="E10958">
        <v>2863</v>
      </c>
    </row>
    <row r="10959" spans="1:5" x14ac:dyDescent="0.55000000000000004">
      <c r="A10959" t="s">
        <v>11040</v>
      </c>
      <c r="B10959" t="s">
        <v>84</v>
      </c>
      <c r="C10959" s="2">
        <v>43361</v>
      </c>
      <c r="D10959" t="s">
        <v>26</v>
      </c>
      <c r="E10959">
        <v>2616</v>
      </c>
    </row>
    <row r="10960" spans="1:5" x14ac:dyDescent="0.55000000000000004">
      <c r="A10960" t="s">
        <v>11041</v>
      </c>
      <c r="B10960" t="s">
        <v>94</v>
      </c>
      <c r="C10960" s="2">
        <v>45337</v>
      </c>
      <c r="D10960" t="s">
        <v>26</v>
      </c>
      <c r="E10960">
        <v>2995</v>
      </c>
    </row>
    <row r="10961" spans="1:5" x14ac:dyDescent="0.55000000000000004">
      <c r="A10961" t="s">
        <v>11042</v>
      </c>
      <c r="B10961" t="s">
        <v>137</v>
      </c>
      <c r="C10961" s="2">
        <v>44011</v>
      </c>
      <c r="D10961" t="s">
        <v>29</v>
      </c>
      <c r="E10961">
        <v>2130</v>
      </c>
    </row>
    <row r="10962" spans="1:5" x14ac:dyDescent="0.55000000000000004">
      <c r="A10962" t="s">
        <v>11043</v>
      </c>
      <c r="B10962" t="s">
        <v>151</v>
      </c>
      <c r="C10962" s="2">
        <v>44162</v>
      </c>
      <c r="D10962" t="s">
        <v>29</v>
      </c>
      <c r="E10962">
        <v>2369</v>
      </c>
    </row>
    <row r="10963" spans="1:5" x14ac:dyDescent="0.55000000000000004">
      <c r="A10963" t="s">
        <v>11044</v>
      </c>
      <c r="B10963" t="s">
        <v>105</v>
      </c>
      <c r="C10963" s="2">
        <v>43080</v>
      </c>
      <c r="D10963" t="s">
        <v>29</v>
      </c>
      <c r="E10963">
        <v>490</v>
      </c>
    </row>
    <row r="10964" spans="1:5" x14ac:dyDescent="0.55000000000000004">
      <c r="A10964" t="s">
        <v>11045</v>
      </c>
      <c r="B10964" t="s">
        <v>142</v>
      </c>
      <c r="C10964" s="2">
        <v>42941</v>
      </c>
      <c r="D10964" t="s">
        <v>26</v>
      </c>
      <c r="E10964">
        <v>1553</v>
      </c>
    </row>
    <row r="10965" spans="1:5" x14ac:dyDescent="0.55000000000000004">
      <c r="A10965" t="s">
        <v>11046</v>
      </c>
      <c r="B10965" t="s">
        <v>14</v>
      </c>
      <c r="C10965" s="2">
        <v>43919</v>
      </c>
      <c r="D10965" t="s">
        <v>29</v>
      </c>
      <c r="E10965">
        <v>676</v>
      </c>
    </row>
    <row r="10966" spans="1:5" x14ac:dyDescent="0.55000000000000004">
      <c r="A10966" t="s">
        <v>11047</v>
      </c>
      <c r="B10966" t="s">
        <v>74</v>
      </c>
      <c r="C10966" s="2">
        <v>43444</v>
      </c>
      <c r="D10966" t="s">
        <v>26</v>
      </c>
      <c r="E10966">
        <v>2572</v>
      </c>
    </row>
    <row r="10967" spans="1:5" x14ac:dyDescent="0.55000000000000004">
      <c r="A10967" t="s">
        <v>11048</v>
      </c>
      <c r="B10967" t="s">
        <v>35</v>
      </c>
      <c r="C10967" s="2">
        <v>44345</v>
      </c>
      <c r="D10967" t="s">
        <v>29</v>
      </c>
      <c r="E10967">
        <v>2331</v>
      </c>
    </row>
    <row r="10968" spans="1:5" x14ac:dyDescent="0.55000000000000004">
      <c r="A10968" t="s">
        <v>11049</v>
      </c>
      <c r="B10968" t="s">
        <v>38</v>
      </c>
      <c r="C10968" s="2">
        <v>44614</v>
      </c>
      <c r="D10968" t="s">
        <v>29</v>
      </c>
      <c r="E10968">
        <v>887</v>
      </c>
    </row>
    <row r="10969" spans="1:5" x14ac:dyDescent="0.55000000000000004">
      <c r="A10969" t="s">
        <v>11050</v>
      </c>
      <c r="B10969" t="s">
        <v>76</v>
      </c>
      <c r="C10969" s="2">
        <v>45500</v>
      </c>
      <c r="D10969" t="s">
        <v>26</v>
      </c>
      <c r="E10969">
        <v>1479</v>
      </c>
    </row>
    <row r="10970" spans="1:5" x14ac:dyDescent="0.55000000000000004">
      <c r="A10970" t="s">
        <v>11051</v>
      </c>
      <c r="B10970" t="s">
        <v>94</v>
      </c>
      <c r="C10970" s="2">
        <v>44926</v>
      </c>
      <c r="D10970" t="s">
        <v>29</v>
      </c>
      <c r="E10970">
        <v>1018</v>
      </c>
    </row>
    <row r="10971" spans="1:5" x14ac:dyDescent="0.55000000000000004">
      <c r="A10971" t="s">
        <v>11052</v>
      </c>
      <c r="B10971" t="s">
        <v>115</v>
      </c>
      <c r="C10971" s="2">
        <v>42970</v>
      </c>
      <c r="D10971" t="s">
        <v>29</v>
      </c>
      <c r="E10971">
        <v>743</v>
      </c>
    </row>
    <row r="10972" spans="1:5" x14ac:dyDescent="0.55000000000000004">
      <c r="A10972" t="s">
        <v>11053</v>
      </c>
      <c r="B10972" t="s">
        <v>14</v>
      </c>
      <c r="C10972" s="2">
        <v>44064</v>
      </c>
      <c r="D10972" t="s">
        <v>26</v>
      </c>
      <c r="E10972">
        <v>268</v>
      </c>
    </row>
    <row r="10973" spans="1:5" x14ac:dyDescent="0.55000000000000004">
      <c r="A10973" t="s">
        <v>11054</v>
      </c>
      <c r="B10973" t="s">
        <v>99</v>
      </c>
      <c r="C10973" s="2">
        <v>45322</v>
      </c>
      <c r="D10973" t="s">
        <v>26</v>
      </c>
      <c r="E10973">
        <v>124</v>
      </c>
    </row>
    <row r="10974" spans="1:5" x14ac:dyDescent="0.55000000000000004">
      <c r="A10974" t="s">
        <v>11055</v>
      </c>
      <c r="B10974" t="s">
        <v>38</v>
      </c>
      <c r="C10974" s="2">
        <v>44571</v>
      </c>
      <c r="D10974" t="s">
        <v>26</v>
      </c>
      <c r="E10974">
        <v>1950</v>
      </c>
    </row>
    <row r="10975" spans="1:5" x14ac:dyDescent="0.55000000000000004">
      <c r="A10975" t="s">
        <v>11056</v>
      </c>
      <c r="B10975" t="s">
        <v>32</v>
      </c>
      <c r="C10975" s="2">
        <v>44260</v>
      </c>
      <c r="D10975" t="s">
        <v>26</v>
      </c>
      <c r="E10975">
        <v>1913</v>
      </c>
    </row>
    <row r="10976" spans="1:5" x14ac:dyDescent="0.55000000000000004">
      <c r="A10976" t="s">
        <v>11057</v>
      </c>
      <c r="B10976" t="s">
        <v>15</v>
      </c>
      <c r="C10976" s="2">
        <v>43383</v>
      </c>
      <c r="D10976" t="s">
        <v>26</v>
      </c>
      <c r="E10976">
        <v>533</v>
      </c>
    </row>
    <row r="10977" spans="1:5" x14ac:dyDescent="0.55000000000000004">
      <c r="A10977" t="s">
        <v>11058</v>
      </c>
      <c r="B10977" t="s">
        <v>32</v>
      </c>
      <c r="C10977" s="2">
        <v>44806</v>
      </c>
      <c r="D10977" t="s">
        <v>26</v>
      </c>
      <c r="E10977">
        <v>1127</v>
      </c>
    </row>
    <row r="10978" spans="1:5" x14ac:dyDescent="0.55000000000000004">
      <c r="A10978" t="s">
        <v>11059</v>
      </c>
      <c r="B10978" t="s">
        <v>74</v>
      </c>
      <c r="C10978" s="2">
        <v>44436</v>
      </c>
      <c r="D10978" t="s">
        <v>29</v>
      </c>
      <c r="E10978">
        <v>2118</v>
      </c>
    </row>
    <row r="10979" spans="1:5" x14ac:dyDescent="0.55000000000000004">
      <c r="A10979" t="s">
        <v>11060</v>
      </c>
      <c r="B10979" t="s">
        <v>111</v>
      </c>
      <c r="C10979" s="2">
        <v>43022</v>
      </c>
      <c r="D10979" t="s">
        <v>26</v>
      </c>
      <c r="E10979">
        <v>2803</v>
      </c>
    </row>
    <row r="10980" spans="1:5" x14ac:dyDescent="0.55000000000000004">
      <c r="A10980" t="s">
        <v>11061</v>
      </c>
      <c r="B10980" t="s">
        <v>41</v>
      </c>
      <c r="C10980" s="2">
        <v>44760</v>
      </c>
      <c r="D10980" t="s">
        <v>29</v>
      </c>
      <c r="E10980">
        <v>2484</v>
      </c>
    </row>
    <row r="10981" spans="1:5" x14ac:dyDescent="0.55000000000000004">
      <c r="A10981" t="s">
        <v>11062</v>
      </c>
      <c r="B10981" t="s">
        <v>35</v>
      </c>
      <c r="C10981" s="2">
        <v>43885</v>
      </c>
      <c r="D10981" t="s">
        <v>26</v>
      </c>
      <c r="E10981">
        <v>1687</v>
      </c>
    </row>
    <row r="10982" spans="1:5" x14ac:dyDescent="0.55000000000000004">
      <c r="A10982" t="s">
        <v>11063</v>
      </c>
      <c r="B10982" t="s">
        <v>99</v>
      </c>
      <c r="C10982" s="2">
        <v>43541</v>
      </c>
      <c r="D10982" t="s">
        <v>26</v>
      </c>
      <c r="E10982">
        <v>2488</v>
      </c>
    </row>
    <row r="10983" spans="1:5" x14ac:dyDescent="0.55000000000000004">
      <c r="A10983" t="s">
        <v>11064</v>
      </c>
      <c r="B10983" t="s">
        <v>142</v>
      </c>
      <c r="C10983" s="2">
        <v>43883</v>
      </c>
      <c r="D10983" t="s">
        <v>26</v>
      </c>
      <c r="E10983">
        <v>707</v>
      </c>
    </row>
    <row r="10984" spans="1:5" x14ac:dyDescent="0.55000000000000004">
      <c r="A10984" t="s">
        <v>11065</v>
      </c>
      <c r="B10984" t="s">
        <v>14</v>
      </c>
      <c r="C10984" s="2">
        <v>44065</v>
      </c>
      <c r="D10984" t="s">
        <v>29</v>
      </c>
      <c r="E10984">
        <v>349</v>
      </c>
    </row>
    <row r="10985" spans="1:5" x14ac:dyDescent="0.55000000000000004">
      <c r="A10985" t="s">
        <v>11066</v>
      </c>
      <c r="B10985" t="s">
        <v>76</v>
      </c>
      <c r="C10985" s="2">
        <v>44107</v>
      </c>
      <c r="D10985" t="s">
        <v>26</v>
      </c>
      <c r="E10985">
        <v>2139</v>
      </c>
    </row>
    <row r="10986" spans="1:5" x14ac:dyDescent="0.55000000000000004">
      <c r="A10986" t="s">
        <v>11067</v>
      </c>
      <c r="B10986" t="s">
        <v>23</v>
      </c>
      <c r="C10986" s="2">
        <v>44402</v>
      </c>
      <c r="D10986" t="s">
        <v>29</v>
      </c>
      <c r="E10986">
        <v>737</v>
      </c>
    </row>
    <row r="10987" spans="1:5" x14ac:dyDescent="0.55000000000000004">
      <c r="A10987" t="s">
        <v>11068</v>
      </c>
      <c r="B10987" t="s">
        <v>63</v>
      </c>
      <c r="C10987" s="2">
        <v>44138</v>
      </c>
      <c r="D10987" t="s">
        <v>29</v>
      </c>
      <c r="E10987">
        <v>2335</v>
      </c>
    </row>
    <row r="10988" spans="1:5" x14ac:dyDescent="0.55000000000000004">
      <c r="A10988" t="s">
        <v>11069</v>
      </c>
      <c r="B10988" t="s">
        <v>140</v>
      </c>
      <c r="C10988" s="2">
        <v>44498</v>
      </c>
      <c r="D10988" t="s">
        <v>26</v>
      </c>
      <c r="E10988">
        <v>538</v>
      </c>
    </row>
    <row r="10989" spans="1:5" x14ac:dyDescent="0.55000000000000004">
      <c r="A10989" t="s">
        <v>11070</v>
      </c>
      <c r="B10989" t="s">
        <v>63</v>
      </c>
      <c r="C10989" s="2">
        <v>43346</v>
      </c>
      <c r="D10989" t="s">
        <v>26</v>
      </c>
      <c r="E10989">
        <v>1342</v>
      </c>
    </row>
    <row r="10990" spans="1:5" x14ac:dyDescent="0.55000000000000004">
      <c r="A10990" t="s">
        <v>11071</v>
      </c>
      <c r="B10990" t="s">
        <v>137</v>
      </c>
      <c r="C10990" s="2">
        <v>45579</v>
      </c>
      <c r="D10990" t="s">
        <v>29</v>
      </c>
      <c r="E10990">
        <v>1436</v>
      </c>
    </row>
    <row r="10991" spans="1:5" x14ac:dyDescent="0.55000000000000004">
      <c r="A10991" t="s">
        <v>11072</v>
      </c>
      <c r="B10991" t="s">
        <v>115</v>
      </c>
      <c r="C10991" s="2">
        <v>43859</v>
      </c>
      <c r="D10991" t="s">
        <v>29</v>
      </c>
      <c r="E10991">
        <v>1824</v>
      </c>
    </row>
    <row r="10992" spans="1:5" x14ac:dyDescent="0.55000000000000004">
      <c r="A10992" t="s">
        <v>11073</v>
      </c>
      <c r="B10992" t="s">
        <v>137</v>
      </c>
      <c r="C10992" s="2">
        <v>43587</v>
      </c>
      <c r="D10992" t="s">
        <v>26</v>
      </c>
      <c r="E10992">
        <v>685</v>
      </c>
    </row>
    <row r="10993" spans="1:5" x14ac:dyDescent="0.55000000000000004">
      <c r="A10993" t="s">
        <v>11074</v>
      </c>
      <c r="B10993" t="s">
        <v>151</v>
      </c>
      <c r="C10993" s="2">
        <v>42945</v>
      </c>
      <c r="D10993" t="s">
        <v>26</v>
      </c>
      <c r="E10993">
        <v>1777</v>
      </c>
    </row>
    <row r="10994" spans="1:5" x14ac:dyDescent="0.55000000000000004">
      <c r="A10994" t="s">
        <v>11075</v>
      </c>
      <c r="B10994" t="s">
        <v>76</v>
      </c>
      <c r="C10994" s="2">
        <v>43478</v>
      </c>
      <c r="D10994" t="s">
        <v>29</v>
      </c>
      <c r="E10994">
        <v>274</v>
      </c>
    </row>
    <row r="10995" spans="1:5" x14ac:dyDescent="0.55000000000000004">
      <c r="A10995" t="s">
        <v>11076</v>
      </c>
      <c r="B10995" t="s">
        <v>15</v>
      </c>
      <c r="C10995" s="2">
        <v>43605</v>
      </c>
      <c r="D10995" t="s">
        <v>26</v>
      </c>
      <c r="E10995">
        <v>693</v>
      </c>
    </row>
    <row r="10996" spans="1:5" x14ac:dyDescent="0.55000000000000004">
      <c r="A10996" t="s">
        <v>11077</v>
      </c>
      <c r="B10996" t="s">
        <v>137</v>
      </c>
      <c r="C10996" s="2">
        <v>44611</v>
      </c>
      <c r="D10996" t="s">
        <v>26</v>
      </c>
      <c r="E10996">
        <v>905</v>
      </c>
    </row>
    <row r="10997" spans="1:5" x14ac:dyDescent="0.55000000000000004">
      <c r="A10997" t="s">
        <v>11078</v>
      </c>
      <c r="B10997" t="s">
        <v>14</v>
      </c>
      <c r="C10997" s="2">
        <v>43013</v>
      </c>
      <c r="D10997" t="s">
        <v>29</v>
      </c>
      <c r="E10997">
        <v>2102</v>
      </c>
    </row>
    <row r="10998" spans="1:5" x14ac:dyDescent="0.55000000000000004">
      <c r="A10998" t="s">
        <v>11079</v>
      </c>
      <c r="B10998" t="s">
        <v>35</v>
      </c>
      <c r="C10998" s="2">
        <v>44697</v>
      </c>
      <c r="D10998" t="s">
        <v>29</v>
      </c>
      <c r="E10998">
        <v>2660</v>
      </c>
    </row>
    <row r="10999" spans="1:5" x14ac:dyDescent="0.55000000000000004">
      <c r="A10999" t="s">
        <v>11080</v>
      </c>
      <c r="B10999" t="s">
        <v>86</v>
      </c>
      <c r="C10999" s="2">
        <v>43973</v>
      </c>
      <c r="D10999" t="s">
        <v>29</v>
      </c>
      <c r="E10999">
        <v>1329</v>
      </c>
    </row>
    <row r="11000" spans="1:5" x14ac:dyDescent="0.55000000000000004">
      <c r="A11000" t="s">
        <v>11081</v>
      </c>
      <c r="B11000" t="s">
        <v>111</v>
      </c>
      <c r="C11000" s="2">
        <v>44315</v>
      </c>
      <c r="D11000" t="s">
        <v>29</v>
      </c>
      <c r="E11000">
        <v>20</v>
      </c>
    </row>
    <row r="11001" spans="1:5" x14ac:dyDescent="0.55000000000000004">
      <c r="A11001" t="s">
        <v>11082</v>
      </c>
      <c r="B11001" t="s">
        <v>23</v>
      </c>
      <c r="C11001" s="2">
        <v>44524</v>
      </c>
      <c r="D11001" t="s">
        <v>26</v>
      </c>
      <c r="E11001">
        <v>1243</v>
      </c>
    </row>
    <row r="11002" spans="1:5" x14ac:dyDescent="0.55000000000000004">
      <c r="A11002" t="s">
        <v>11083</v>
      </c>
      <c r="B11002" t="s">
        <v>111</v>
      </c>
      <c r="C11002" s="2">
        <v>43005</v>
      </c>
      <c r="D11002" t="s">
        <v>29</v>
      </c>
      <c r="E11002">
        <v>2533</v>
      </c>
    </row>
    <row r="11003" spans="1:5" x14ac:dyDescent="0.55000000000000004">
      <c r="A11003" t="s">
        <v>11084</v>
      </c>
      <c r="B11003" t="s">
        <v>175</v>
      </c>
      <c r="C11003" s="2">
        <v>45258</v>
      </c>
      <c r="D11003" t="s">
        <v>26</v>
      </c>
      <c r="E11003">
        <v>1016</v>
      </c>
    </row>
    <row r="11004" spans="1:5" x14ac:dyDescent="0.55000000000000004">
      <c r="A11004" t="s">
        <v>11085</v>
      </c>
      <c r="B11004" t="s">
        <v>101</v>
      </c>
      <c r="C11004" s="2">
        <v>43761</v>
      </c>
      <c r="D11004" t="s">
        <v>29</v>
      </c>
      <c r="E11004">
        <v>2773</v>
      </c>
    </row>
    <row r="11005" spans="1:5" x14ac:dyDescent="0.55000000000000004">
      <c r="A11005" t="s">
        <v>11086</v>
      </c>
      <c r="B11005" t="s">
        <v>101</v>
      </c>
      <c r="C11005" s="2">
        <v>43179</v>
      </c>
      <c r="D11005" t="s">
        <v>29</v>
      </c>
      <c r="E11005">
        <v>729</v>
      </c>
    </row>
    <row r="11006" spans="1:5" x14ac:dyDescent="0.55000000000000004">
      <c r="A11006" t="s">
        <v>11087</v>
      </c>
      <c r="B11006" t="s">
        <v>67</v>
      </c>
      <c r="C11006" s="2">
        <v>45224</v>
      </c>
      <c r="D11006" t="s">
        <v>29</v>
      </c>
      <c r="E11006">
        <v>427</v>
      </c>
    </row>
    <row r="11007" spans="1:5" x14ac:dyDescent="0.55000000000000004">
      <c r="A11007" t="s">
        <v>11088</v>
      </c>
      <c r="B11007" t="s">
        <v>99</v>
      </c>
      <c r="C11007" s="2">
        <v>43977</v>
      </c>
      <c r="D11007" t="s">
        <v>29</v>
      </c>
      <c r="E11007">
        <v>2825</v>
      </c>
    </row>
    <row r="11008" spans="1:5" x14ac:dyDescent="0.55000000000000004">
      <c r="A11008" t="s">
        <v>11089</v>
      </c>
      <c r="B11008" t="s">
        <v>72</v>
      </c>
      <c r="C11008" s="2">
        <v>42997</v>
      </c>
      <c r="D11008" t="s">
        <v>29</v>
      </c>
      <c r="E11008">
        <v>925</v>
      </c>
    </row>
    <row r="11009" spans="1:5" x14ac:dyDescent="0.55000000000000004">
      <c r="A11009" t="s">
        <v>11090</v>
      </c>
      <c r="B11009" t="s">
        <v>35</v>
      </c>
      <c r="C11009" s="2">
        <v>44384</v>
      </c>
      <c r="D11009" t="s">
        <v>29</v>
      </c>
      <c r="E11009">
        <v>188</v>
      </c>
    </row>
    <row r="11010" spans="1:5" x14ac:dyDescent="0.55000000000000004">
      <c r="A11010" t="s">
        <v>11091</v>
      </c>
      <c r="B11010" t="s">
        <v>38</v>
      </c>
      <c r="C11010" s="2">
        <v>44361</v>
      </c>
      <c r="D11010" t="s">
        <v>29</v>
      </c>
      <c r="E11010">
        <v>598</v>
      </c>
    </row>
    <row r="11011" spans="1:5" x14ac:dyDescent="0.55000000000000004">
      <c r="A11011" t="s">
        <v>11092</v>
      </c>
      <c r="B11011" t="s">
        <v>115</v>
      </c>
      <c r="C11011" s="2">
        <v>43914</v>
      </c>
      <c r="D11011" t="s">
        <v>29</v>
      </c>
      <c r="E11011">
        <v>1068</v>
      </c>
    </row>
    <row r="11012" spans="1:5" x14ac:dyDescent="0.55000000000000004">
      <c r="A11012" t="s">
        <v>11093</v>
      </c>
      <c r="B11012" t="s">
        <v>38</v>
      </c>
      <c r="C11012" s="2">
        <v>44227</v>
      </c>
      <c r="D11012" t="s">
        <v>29</v>
      </c>
      <c r="E11012">
        <v>2477</v>
      </c>
    </row>
    <row r="11013" spans="1:5" x14ac:dyDescent="0.55000000000000004">
      <c r="A11013" t="s">
        <v>11094</v>
      </c>
      <c r="B11013" t="s">
        <v>76</v>
      </c>
      <c r="C11013" s="2">
        <v>44290</v>
      </c>
      <c r="D11013" t="s">
        <v>29</v>
      </c>
      <c r="E11013">
        <v>436</v>
      </c>
    </row>
    <row r="11014" spans="1:5" x14ac:dyDescent="0.55000000000000004">
      <c r="A11014" t="s">
        <v>11095</v>
      </c>
      <c r="B11014" t="s">
        <v>140</v>
      </c>
      <c r="C11014" s="2">
        <v>44522</v>
      </c>
      <c r="D11014" t="s">
        <v>29</v>
      </c>
      <c r="E11014">
        <v>1839</v>
      </c>
    </row>
    <row r="11015" spans="1:5" x14ac:dyDescent="0.55000000000000004">
      <c r="A11015" t="s">
        <v>11096</v>
      </c>
      <c r="B11015" t="s">
        <v>84</v>
      </c>
      <c r="C11015" s="2">
        <v>42985</v>
      </c>
      <c r="D11015" t="s">
        <v>29</v>
      </c>
      <c r="E11015">
        <v>2277</v>
      </c>
    </row>
    <row r="11016" spans="1:5" x14ac:dyDescent="0.55000000000000004">
      <c r="A11016" t="s">
        <v>11097</v>
      </c>
      <c r="B11016" t="s">
        <v>94</v>
      </c>
      <c r="C11016" s="2">
        <v>45758</v>
      </c>
      <c r="D11016" t="s">
        <v>29</v>
      </c>
      <c r="E11016">
        <v>2308</v>
      </c>
    </row>
    <row r="11017" spans="1:5" x14ac:dyDescent="0.55000000000000004">
      <c r="A11017" t="s">
        <v>11098</v>
      </c>
      <c r="B11017" t="s">
        <v>67</v>
      </c>
      <c r="C11017" s="2">
        <v>44940</v>
      </c>
      <c r="D11017" t="s">
        <v>29</v>
      </c>
      <c r="E11017">
        <v>1828</v>
      </c>
    </row>
    <row r="11018" spans="1:5" x14ac:dyDescent="0.55000000000000004">
      <c r="A11018" t="s">
        <v>11099</v>
      </c>
      <c r="B11018" t="s">
        <v>84</v>
      </c>
      <c r="C11018" s="2">
        <v>44187</v>
      </c>
      <c r="D11018" t="s">
        <v>26</v>
      </c>
      <c r="E11018">
        <v>352</v>
      </c>
    </row>
    <row r="11019" spans="1:5" x14ac:dyDescent="0.55000000000000004">
      <c r="A11019" t="s">
        <v>11100</v>
      </c>
      <c r="B11019" t="s">
        <v>142</v>
      </c>
      <c r="C11019" s="2">
        <v>43726</v>
      </c>
      <c r="D11019" t="s">
        <v>29</v>
      </c>
      <c r="E11019">
        <v>1874</v>
      </c>
    </row>
    <row r="11020" spans="1:5" x14ac:dyDescent="0.55000000000000004">
      <c r="A11020" t="s">
        <v>11101</v>
      </c>
      <c r="B11020" t="s">
        <v>35</v>
      </c>
      <c r="C11020" s="2">
        <v>44140</v>
      </c>
      <c r="D11020" t="s">
        <v>29</v>
      </c>
      <c r="E11020">
        <v>1186</v>
      </c>
    </row>
    <row r="11021" spans="1:5" x14ac:dyDescent="0.55000000000000004">
      <c r="A11021" t="s">
        <v>11102</v>
      </c>
      <c r="B11021" t="s">
        <v>74</v>
      </c>
      <c r="C11021" s="2">
        <v>43949</v>
      </c>
      <c r="D11021" t="s">
        <v>29</v>
      </c>
      <c r="E11021">
        <v>2559</v>
      </c>
    </row>
    <row r="11022" spans="1:5" x14ac:dyDescent="0.55000000000000004">
      <c r="A11022" t="s">
        <v>11103</v>
      </c>
      <c r="B11022" t="s">
        <v>63</v>
      </c>
      <c r="C11022" s="2">
        <v>44254</v>
      </c>
      <c r="D11022" t="s">
        <v>29</v>
      </c>
      <c r="E11022">
        <v>2203</v>
      </c>
    </row>
    <row r="11023" spans="1:5" x14ac:dyDescent="0.55000000000000004">
      <c r="A11023" t="s">
        <v>11104</v>
      </c>
      <c r="B11023" t="s">
        <v>32</v>
      </c>
      <c r="C11023" s="2">
        <v>44480</v>
      </c>
      <c r="D11023" t="s">
        <v>26</v>
      </c>
      <c r="E11023">
        <v>1861</v>
      </c>
    </row>
    <row r="11024" spans="1:5" x14ac:dyDescent="0.55000000000000004">
      <c r="A11024" t="s">
        <v>11105</v>
      </c>
      <c r="B11024" t="s">
        <v>96</v>
      </c>
      <c r="C11024" s="2">
        <v>43680</v>
      </c>
      <c r="D11024" t="s">
        <v>26</v>
      </c>
      <c r="E11024">
        <v>655</v>
      </c>
    </row>
    <row r="11025" spans="1:5" x14ac:dyDescent="0.55000000000000004">
      <c r="A11025" t="s">
        <v>11106</v>
      </c>
      <c r="B11025" t="s">
        <v>84</v>
      </c>
      <c r="C11025" s="2">
        <v>44094</v>
      </c>
      <c r="D11025" t="s">
        <v>26</v>
      </c>
      <c r="E11025">
        <v>448</v>
      </c>
    </row>
    <row r="11026" spans="1:5" x14ac:dyDescent="0.55000000000000004">
      <c r="A11026" t="s">
        <v>11107</v>
      </c>
      <c r="B11026" t="s">
        <v>140</v>
      </c>
      <c r="C11026" s="2">
        <v>44433</v>
      </c>
      <c r="D11026" t="s">
        <v>29</v>
      </c>
      <c r="E11026">
        <v>1459</v>
      </c>
    </row>
    <row r="11027" spans="1:5" x14ac:dyDescent="0.55000000000000004">
      <c r="A11027" t="s">
        <v>11108</v>
      </c>
      <c r="B11027" t="s">
        <v>38</v>
      </c>
      <c r="C11027" s="2">
        <v>44899</v>
      </c>
      <c r="D11027" t="s">
        <v>26</v>
      </c>
      <c r="E11027">
        <v>1059</v>
      </c>
    </row>
    <row r="11028" spans="1:5" x14ac:dyDescent="0.55000000000000004">
      <c r="A11028" t="s">
        <v>11109</v>
      </c>
      <c r="B11028" t="s">
        <v>63</v>
      </c>
      <c r="C11028" s="2">
        <v>43815</v>
      </c>
      <c r="D11028" t="s">
        <v>26</v>
      </c>
      <c r="E11028">
        <v>1107</v>
      </c>
    </row>
    <row r="11029" spans="1:5" x14ac:dyDescent="0.55000000000000004">
      <c r="A11029" t="s">
        <v>11110</v>
      </c>
      <c r="B11029" t="s">
        <v>15</v>
      </c>
      <c r="C11029" s="2">
        <v>42922</v>
      </c>
      <c r="D11029" t="s">
        <v>29</v>
      </c>
      <c r="E11029">
        <v>160</v>
      </c>
    </row>
    <row r="11030" spans="1:5" x14ac:dyDescent="0.55000000000000004">
      <c r="A11030" t="s">
        <v>11111</v>
      </c>
      <c r="B11030" t="s">
        <v>96</v>
      </c>
      <c r="C11030" s="2">
        <v>44288</v>
      </c>
      <c r="D11030" t="s">
        <v>29</v>
      </c>
      <c r="E11030">
        <v>1411</v>
      </c>
    </row>
    <row r="11031" spans="1:5" x14ac:dyDescent="0.55000000000000004">
      <c r="A11031" t="s">
        <v>11112</v>
      </c>
      <c r="B11031" t="s">
        <v>74</v>
      </c>
      <c r="C11031" s="2">
        <v>44559</v>
      </c>
      <c r="D11031" t="s">
        <v>29</v>
      </c>
      <c r="E11031">
        <v>1528</v>
      </c>
    </row>
    <row r="11032" spans="1:5" x14ac:dyDescent="0.55000000000000004">
      <c r="A11032" t="s">
        <v>11113</v>
      </c>
      <c r="B11032" t="s">
        <v>101</v>
      </c>
      <c r="C11032" s="2">
        <v>44527</v>
      </c>
      <c r="D11032" t="s">
        <v>26</v>
      </c>
      <c r="E11032">
        <v>1769</v>
      </c>
    </row>
    <row r="11033" spans="1:5" x14ac:dyDescent="0.55000000000000004">
      <c r="A11033" t="s">
        <v>11114</v>
      </c>
      <c r="B11033" t="s">
        <v>94</v>
      </c>
      <c r="C11033" s="2">
        <v>44037</v>
      </c>
      <c r="D11033" t="s">
        <v>26</v>
      </c>
      <c r="E11033">
        <v>903</v>
      </c>
    </row>
    <row r="11034" spans="1:5" x14ac:dyDescent="0.55000000000000004">
      <c r="A11034" t="s">
        <v>11115</v>
      </c>
      <c r="B11034" t="s">
        <v>38</v>
      </c>
      <c r="C11034" s="2">
        <v>44156</v>
      </c>
      <c r="D11034" t="s">
        <v>29</v>
      </c>
      <c r="E11034">
        <v>853</v>
      </c>
    </row>
    <row r="11035" spans="1:5" x14ac:dyDescent="0.55000000000000004">
      <c r="A11035" t="s">
        <v>11116</v>
      </c>
      <c r="B11035" t="s">
        <v>111</v>
      </c>
      <c r="C11035" s="2">
        <v>44506</v>
      </c>
      <c r="D11035" t="s">
        <v>29</v>
      </c>
      <c r="E11035">
        <v>482</v>
      </c>
    </row>
    <row r="11036" spans="1:5" x14ac:dyDescent="0.55000000000000004">
      <c r="A11036" t="s">
        <v>11117</v>
      </c>
      <c r="B11036" t="s">
        <v>72</v>
      </c>
      <c r="C11036" s="2">
        <v>43662</v>
      </c>
      <c r="D11036" t="s">
        <v>29</v>
      </c>
      <c r="E11036">
        <v>1981</v>
      </c>
    </row>
    <row r="11037" spans="1:5" x14ac:dyDescent="0.55000000000000004">
      <c r="A11037" t="s">
        <v>11118</v>
      </c>
      <c r="B11037" t="s">
        <v>105</v>
      </c>
      <c r="C11037" s="2">
        <v>43065</v>
      </c>
      <c r="D11037" t="s">
        <v>26</v>
      </c>
      <c r="E11037">
        <v>1020</v>
      </c>
    </row>
    <row r="11038" spans="1:5" x14ac:dyDescent="0.55000000000000004">
      <c r="A11038" t="s">
        <v>11119</v>
      </c>
      <c r="B11038" t="s">
        <v>14</v>
      </c>
      <c r="C11038" s="2">
        <v>42972</v>
      </c>
      <c r="D11038" t="s">
        <v>29</v>
      </c>
      <c r="E11038">
        <v>1875</v>
      </c>
    </row>
    <row r="11039" spans="1:5" x14ac:dyDescent="0.55000000000000004">
      <c r="A11039" t="s">
        <v>11120</v>
      </c>
      <c r="B11039" t="s">
        <v>38</v>
      </c>
      <c r="C11039" s="2">
        <v>44867</v>
      </c>
      <c r="D11039" t="s">
        <v>29</v>
      </c>
      <c r="E11039">
        <v>2404</v>
      </c>
    </row>
    <row r="11040" spans="1:5" x14ac:dyDescent="0.55000000000000004">
      <c r="A11040" t="s">
        <v>11121</v>
      </c>
      <c r="B11040" t="s">
        <v>115</v>
      </c>
      <c r="C11040" s="2">
        <v>43669</v>
      </c>
      <c r="D11040" t="s">
        <v>26</v>
      </c>
      <c r="E11040">
        <v>581</v>
      </c>
    </row>
    <row r="11041" spans="1:5" x14ac:dyDescent="0.55000000000000004">
      <c r="A11041" t="s">
        <v>11122</v>
      </c>
      <c r="B11041" t="s">
        <v>41</v>
      </c>
      <c r="C11041" s="2">
        <v>44455</v>
      </c>
      <c r="D11041" t="s">
        <v>26</v>
      </c>
      <c r="E11041">
        <v>1394</v>
      </c>
    </row>
    <row r="11042" spans="1:5" x14ac:dyDescent="0.55000000000000004">
      <c r="A11042" t="s">
        <v>11123</v>
      </c>
      <c r="B11042" t="s">
        <v>118</v>
      </c>
      <c r="C11042" s="2">
        <v>45056</v>
      </c>
      <c r="D11042" t="s">
        <v>29</v>
      </c>
      <c r="E11042">
        <v>80</v>
      </c>
    </row>
    <row r="11043" spans="1:5" x14ac:dyDescent="0.55000000000000004">
      <c r="A11043" t="s">
        <v>11124</v>
      </c>
      <c r="B11043" t="s">
        <v>14</v>
      </c>
      <c r="C11043" s="2">
        <v>44105</v>
      </c>
      <c r="D11043" t="s">
        <v>26</v>
      </c>
      <c r="E11043">
        <v>1366</v>
      </c>
    </row>
    <row r="11044" spans="1:5" x14ac:dyDescent="0.55000000000000004">
      <c r="A11044" t="s">
        <v>11125</v>
      </c>
      <c r="B11044" t="s">
        <v>96</v>
      </c>
      <c r="C11044" s="2">
        <v>45668</v>
      </c>
      <c r="D11044" t="s">
        <v>26</v>
      </c>
      <c r="E11044">
        <v>1668</v>
      </c>
    </row>
    <row r="11045" spans="1:5" x14ac:dyDescent="0.55000000000000004">
      <c r="A11045" t="s">
        <v>11126</v>
      </c>
      <c r="B11045" t="s">
        <v>35</v>
      </c>
      <c r="C11045" s="2">
        <v>43925</v>
      </c>
      <c r="D11045" t="s">
        <v>26</v>
      </c>
      <c r="E11045">
        <v>126</v>
      </c>
    </row>
    <row r="11046" spans="1:5" x14ac:dyDescent="0.55000000000000004">
      <c r="A11046" t="s">
        <v>11127</v>
      </c>
      <c r="B11046" t="s">
        <v>151</v>
      </c>
      <c r="C11046" s="2">
        <v>43467</v>
      </c>
      <c r="D11046" t="s">
        <v>26</v>
      </c>
      <c r="E11046">
        <v>1007</v>
      </c>
    </row>
    <row r="11047" spans="1:5" x14ac:dyDescent="0.55000000000000004">
      <c r="A11047" t="s">
        <v>11128</v>
      </c>
      <c r="B11047" t="s">
        <v>175</v>
      </c>
      <c r="C11047" s="2">
        <v>45127</v>
      </c>
      <c r="D11047" t="s">
        <v>29</v>
      </c>
      <c r="E11047">
        <v>2679</v>
      </c>
    </row>
    <row r="11048" spans="1:5" x14ac:dyDescent="0.55000000000000004">
      <c r="A11048" t="s">
        <v>11129</v>
      </c>
      <c r="B11048" t="s">
        <v>151</v>
      </c>
      <c r="C11048" s="2">
        <v>43173</v>
      </c>
      <c r="D11048" t="s">
        <v>29</v>
      </c>
      <c r="E11048">
        <v>1776</v>
      </c>
    </row>
    <row r="11049" spans="1:5" x14ac:dyDescent="0.55000000000000004">
      <c r="A11049" t="s">
        <v>11130</v>
      </c>
      <c r="B11049" t="s">
        <v>78</v>
      </c>
      <c r="C11049" s="2">
        <v>45661</v>
      </c>
      <c r="D11049" t="s">
        <v>29</v>
      </c>
      <c r="E11049">
        <v>2525</v>
      </c>
    </row>
    <row r="11050" spans="1:5" x14ac:dyDescent="0.55000000000000004">
      <c r="A11050" t="s">
        <v>11131</v>
      </c>
      <c r="B11050" t="s">
        <v>94</v>
      </c>
      <c r="C11050" s="2">
        <v>45283</v>
      </c>
      <c r="D11050" t="s">
        <v>29</v>
      </c>
      <c r="E11050">
        <v>113</v>
      </c>
    </row>
    <row r="11051" spans="1:5" x14ac:dyDescent="0.55000000000000004">
      <c r="A11051" t="s">
        <v>11132</v>
      </c>
      <c r="B11051" t="s">
        <v>78</v>
      </c>
      <c r="C11051" s="2">
        <v>45507</v>
      </c>
      <c r="D11051" t="s">
        <v>26</v>
      </c>
      <c r="E11051">
        <v>1745</v>
      </c>
    </row>
    <row r="11052" spans="1:5" x14ac:dyDescent="0.55000000000000004">
      <c r="A11052" t="s">
        <v>11133</v>
      </c>
      <c r="B11052" t="s">
        <v>142</v>
      </c>
      <c r="C11052" s="2">
        <v>42967</v>
      </c>
      <c r="D11052" t="s">
        <v>29</v>
      </c>
      <c r="E11052">
        <v>1115</v>
      </c>
    </row>
    <row r="11053" spans="1:5" x14ac:dyDescent="0.55000000000000004">
      <c r="A11053" t="s">
        <v>11134</v>
      </c>
      <c r="B11053" t="s">
        <v>101</v>
      </c>
      <c r="C11053" s="2">
        <v>43120</v>
      </c>
      <c r="D11053" t="s">
        <v>29</v>
      </c>
      <c r="E11053">
        <v>981</v>
      </c>
    </row>
    <row r="11054" spans="1:5" x14ac:dyDescent="0.55000000000000004">
      <c r="A11054" t="s">
        <v>11135</v>
      </c>
      <c r="B11054" t="s">
        <v>63</v>
      </c>
      <c r="C11054" s="2">
        <v>43828</v>
      </c>
      <c r="D11054" t="s">
        <v>26</v>
      </c>
      <c r="E11054">
        <v>208</v>
      </c>
    </row>
    <row r="11055" spans="1:5" x14ac:dyDescent="0.55000000000000004">
      <c r="A11055" t="s">
        <v>11136</v>
      </c>
      <c r="B11055" t="s">
        <v>137</v>
      </c>
      <c r="C11055" s="2">
        <v>44603</v>
      </c>
      <c r="D11055" t="s">
        <v>26</v>
      </c>
      <c r="E11055">
        <v>2988</v>
      </c>
    </row>
    <row r="11056" spans="1:5" x14ac:dyDescent="0.55000000000000004">
      <c r="A11056" t="s">
        <v>11137</v>
      </c>
      <c r="B11056" t="s">
        <v>76</v>
      </c>
      <c r="C11056" s="2">
        <v>45465</v>
      </c>
      <c r="D11056" t="s">
        <v>29</v>
      </c>
      <c r="E11056">
        <v>1162</v>
      </c>
    </row>
    <row r="11057" spans="1:5" x14ac:dyDescent="0.55000000000000004">
      <c r="A11057" t="s">
        <v>11138</v>
      </c>
      <c r="B11057" t="s">
        <v>151</v>
      </c>
      <c r="C11057" s="2">
        <v>43710</v>
      </c>
      <c r="D11057" t="s">
        <v>29</v>
      </c>
      <c r="E11057">
        <v>337</v>
      </c>
    </row>
    <row r="11058" spans="1:5" x14ac:dyDescent="0.55000000000000004">
      <c r="A11058" t="s">
        <v>11139</v>
      </c>
      <c r="B11058" t="s">
        <v>38</v>
      </c>
      <c r="C11058" s="2">
        <v>44612</v>
      </c>
      <c r="D11058" t="s">
        <v>26</v>
      </c>
      <c r="E11058">
        <v>2063</v>
      </c>
    </row>
    <row r="11059" spans="1:5" x14ac:dyDescent="0.55000000000000004">
      <c r="A11059" t="s">
        <v>11140</v>
      </c>
      <c r="B11059" t="s">
        <v>41</v>
      </c>
      <c r="C11059" s="2">
        <v>44769</v>
      </c>
      <c r="D11059" t="s">
        <v>29</v>
      </c>
      <c r="E11059">
        <v>763</v>
      </c>
    </row>
    <row r="11060" spans="1:5" x14ac:dyDescent="0.55000000000000004">
      <c r="A11060" t="s">
        <v>11141</v>
      </c>
      <c r="B11060" t="s">
        <v>76</v>
      </c>
      <c r="C11060" s="2">
        <v>43790</v>
      </c>
      <c r="D11060" t="s">
        <v>29</v>
      </c>
      <c r="E11060">
        <v>1957</v>
      </c>
    </row>
    <row r="11061" spans="1:5" x14ac:dyDescent="0.55000000000000004">
      <c r="A11061" t="s">
        <v>11142</v>
      </c>
      <c r="B11061" t="s">
        <v>41</v>
      </c>
      <c r="C11061" s="2">
        <v>44834</v>
      </c>
      <c r="D11061" t="s">
        <v>29</v>
      </c>
      <c r="E11061">
        <v>25</v>
      </c>
    </row>
    <row r="11062" spans="1:5" x14ac:dyDescent="0.55000000000000004">
      <c r="A11062" t="s">
        <v>11143</v>
      </c>
      <c r="B11062" t="s">
        <v>78</v>
      </c>
      <c r="C11062" s="2">
        <v>44797</v>
      </c>
      <c r="D11062" t="s">
        <v>29</v>
      </c>
      <c r="E11062">
        <v>1534</v>
      </c>
    </row>
    <row r="11063" spans="1:5" x14ac:dyDescent="0.55000000000000004">
      <c r="A11063" t="s">
        <v>11144</v>
      </c>
      <c r="B11063" t="s">
        <v>175</v>
      </c>
      <c r="C11063" s="2">
        <v>45520</v>
      </c>
      <c r="D11063" t="s">
        <v>29</v>
      </c>
      <c r="E11063">
        <v>1757</v>
      </c>
    </row>
    <row r="11064" spans="1:5" x14ac:dyDescent="0.55000000000000004">
      <c r="A11064" t="s">
        <v>11145</v>
      </c>
      <c r="B11064" t="s">
        <v>115</v>
      </c>
      <c r="C11064" s="2">
        <v>43989</v>
      </c>
      <c r="D11064" t="s">
        <v>26</v>
      </c>
      <c r="E11064">
        <v>1189</v>
      </c>
    </row>
    <row r="11065" spans="1:5" x14ac:dyDescent="0.55000000000000004">
      <c r="A11065" t="s">
        <v>11146</v>
      </c>
      <c r="B11065" t="s">
        <v>118</v>
      </c>
      <c r="C11065" s="2">
        <v>45674</v>
      </c>
      <c r="D11065" t="s">
        <v>29</v>
      </c>
      <c r="E11065">
        <v>1259</v>
      </c>
    </row>
    <row r="11066" spans="1:5" x14ac:dyDescent="0.55000000000000004">
      <c r="A11066" t="s">
        <v>11147</v>
      </c>
      <c r="B11066" t="s">
        <v>74</v>
      </c>
      <c r="C11066" s="2">
        <v>43478</v>
      </c>
      <c r="D11066" t="s">
        <v>26</v>
      </c>
      <c r="E11066">
        <v>2003</v>
      </c>
    </row>
    <row r="11067" spans="1:5" x14ac:dyDescent="0.55000000000000004">
      <c r="A11067" t="s">
        <v>11148</v>
      </c>
      <c r="B11067" t="s">
        <v>67</v>
      </c>
      <c r="C11067" s="2">
        <v>44946</v>
      </c>
      <c r="D11067" t="s">
        <v>26</v>
      </c>
      <c r="E11067">
        <v>2571</v>
      </c>
    </row>
    <row r="11068" spans="1:5" x14ac:dyDescent="0.55000000000000004">
      <c r="A11068" t="s">
        <v>11149</v>
      </c>
      <c r="B11068" t="s">
        <v>74</v>
      </c>
      <c r="C11068" s="2">
        <v>43430</v>
      </c>
      <c r="D11068" t="s">
        <v>26</v>
      </c>
      <c r="E11068">
        <v>2972</v>
      </c>
    </row>
    <row r="11069" spans="1:5" x14ac:dyDescent="0.55000000000000004">
      <c r="A11069" t="s">
        <v>11150</v>
      </c>
      <c r="B11069" t="s">
        <v>78</v>
      </c>
      <c r="C11069" s="2">
        <v>45526</v>
      </c>
      <c r="D11069" t="s">
        <v>29</v>
      </c>
      <c r="E11069">
        <v>709</v>
      </c>
    </row>
    <row r="11070" spans="1:5" x14ac:dyDescent="0.55000000000000004">
      <c r="A11070" t="s">
        <v>11151</v>
      </c>
      <c r="B11070" t="s">
        <v>140</v>
      </c>
      <c r="C11070" s="2">
        <v>43341</v>
      </c>
      <c r="D11070" t="s">
        <v>29</v>
      </c>
      <c r="E11070">
        <v>2810</v>
      </c>
    </row>
    <row r="11071" spans="1:5" x14ac:dyDescent="0.55000000000000004">
      <c r="A11071" t="s">
        <v>11152</v>
      </c>
      <c r="B11071" t="s">
        <v>23</v>
      </c>
      <c r="C11071" s="2">
        <v>44183</v>
      </c>
      <c r="D11071" t="s">
        <v>26</v>
      </c>
      <c r="E11071">
        <v>2592</v>
      </c>
    </row>
    <row r="11072" spans="1:5" x14ac:dyDescent="0.55000000000000004">
      <c r="A11072" t="s">
        <v>11153</v>
      </c>
      <c r="B11072" t="s">
        <v>105</v>
      </c>
      <c r="C11072" s="2">
        <v>43196</v>
      </c>
      <c r="D11072" t="s">
        <v>26</v>
      </c>
      <c r="E11072">
        <v>2923</v>
      </c>
    </row>
    <row r="11073" spans="1:5" x14ac:dyDescent="0.55000000000000004">
      <c r="A11073" t="s">
        <v>11154</v>
      </c>
      <c r="B11073" t="s">
        <v>63</v>
      </c>
      <c r="C11073" s="2">
        <v>44097</v>
      </c>
      <c r="D11073" t="s">
        <v>26</v>
      </c>
      <c r="E11073">
        <v>502</v>
      </c>
    </row>
    <row r="11074" spans="1:5" x14ac:dyDescent="0.55000000000000004">
      <c r="A11074" t="s">
        <v>11155</v>
      </c>
      <c r="B11074" t="s">
        <v>111</v>
      </c>
      <c r="C11074" s="2">
        <v>44070</v>
      </c>
      <c r="D11074" t="s">
        <v>26</v>
      </c>
      <c r="E11074">
        <v>58</v>
      </c>
    </row>
    <row r="11075" spans="1:5" x14ac:dyDescent="0.55000000000000004">
      <c r="A11075" t="s">
        <v>11156</v>
      </c>
      <c r="B11075" t="s">
        <v>15</v>
      </c>
      <c r="C11075" s="2">
        <v>44347</v>
      </c>
      <c r="D11075" t="s">
        <v>26</v>
      </c>
      <c r="E11075">
        <v>866</v>
      </c>
    </row>
    <row r="11076" spans="1:5" x14ac:dyDescent="0.55000000000000004">
      <c r="A11076" t="s">
        <v>11157</v>
      </c>
      <c r="B11076" t="s">
        <v>76</v>
      </c>
      <c r="C11076" s="2">
        <v>44033</v>
      </c>
      <c r="D11076" t="s">
        <v>26</v>
      </c>
      <c r="E11076">
        <v>1185</v>
      </c>
    </row>
    <row r="11077" spans="1:5" x14ac:dyDescent="0.55000000000000004">
      <c r="A11077" t="s">
        <v>11158</v>
      </c>
      <c r="B11077" t="s">
        <v>41</v>
      </c>
      <c r="C11077" s="2">
        <v>44390</v>
      </c>
      <c r="D11077" t="s">
        <v>29</v>
      </c>
      <c r="E11077">
        <v>1438</v>
      </c>
    </row>
    <row r="11078" spans="1:5" x14ac:dyDescent="0.55000000000000004">
      <c r="A11078" t="s">
        <v>11159</v>
      </c>
      <c r="B11078" t="s">
        <v>140</v>
      </c>
      <c r="C11078" s="2">
        <v>43845</v>
      </c>
      <c r="D11078" t="s">
        <v>29</v>
      </c>
      <c r="E11078">
        <v>291</v>
      </c>
    </row>
    <row r="11079" spans="1:5" x14ac:dyDescent="0.55000000000000004">
      <c r="A11079" t="s">
        <v>11160</v>
      </c>
      <c r="B11079" t="s">
        <v>86</v>
      </c>
      <c r="C11079" s="2">
        <v>44282</v>
      </c>
      <c r="D11079" t="s">
        <v>29</v>
      </c>
      <c r="E11079">
        <v>452</v>
      </c>
    </row>
    <row r="11080" spans="1:5" x14ac:dyDescent="0.55000000000000004">
      <c r="A11080" t="s">
        <v>11161</v>
      </c>
      <c r="B11080" t="s">
        <v>78</v>
      </c>
      <c r="C11080" s="2">
        <v>45369</v>
      </c>
      <c r="D11080" t="s">
        <v>29</v>
      </c>
      <c r="E11080">
        <v>1599</v>
      </c>
    </row>
    <row r="11081" spans="1:5" x14ac:dyDescent="0.55000000000000004">
      <c r="A11081" t="s">
        <v>11162</v>
      </c>
      <c r="B11081" t="s">
        <v>14</v>
      </c>
      <c r="C11081" s="2">
        <v>43524</v>
      </c>
      <c r="D11081" t="s">
        <v>29</v>
      </c>
      <c r="E11081">
        <v>1710</v>
      </c>
    </row>
    <row r="11082" spans="1:5" x14ac:dyDescent="0.55000000000000004">
      <c r="A11082" t="s">
        <v>11163</v>
      </c>
      <c r="B11082" t="s">
        <v>99</v>
      </c>
      <c r="C11082" s="2">
        <v>44410</v>
      </c>
      <c r="D11082" t="s">
        <v>26</v>
      </c>
      <c r="E11082">
        <v>404</v>
      </c>
    </row>
    <row r="11083" spans="1:5" x14ac:dyDescent="0.55000000000000004">
      <c r="A11083" t="s">
        <v>11164</v>
      </c>
      <c r="B11083" t="s">
        <v>101</v>
      </c>
      <c r="C11083" s="2">
        <v>44321</v>
      </c>
      <c r="D11083" t="s">
        <v>29</v>
      </c>
      <c r="E11083">
        <v>1517</v>
      </c>
    </row>
    <row r="11084" spans="1:5" x14ac:dyDescent="0.55000000000000004">
      <c r="A11084" t="s">
        <v>11165</v>
      </c>
      <c r="B11084" t="s">
        <v>15</v>
      </c>
      <c r="C11084" s="2">
        <v>44254</v>
      </c>
      <c r="D11084" t="s">
        <v>29</v>
      </c>
      <c r="E11084">
        <v>2013</v>
      </c>
    </row>
    <row r="11085" spans="1:5" x14ac:dyDescent="0.55000000000000004">
      <c r="A11085" t="s">
        <v>11166</v>
      </c>
      <c r="B11085" t="s">
        <v>137</v>
      </c>
      <c r="C11085" s="2">
        <v>45309</v>
      </c>
      <c r="D11085" t="s">
        <v>29</v>
      </c>
      <c r="E11085">
        <v>1525</v>
      </c>
    </row>
    <row r="11086" spans="1:5" x14ac:dyDescent="0.55000000000000004">
      <c r="A11086" t="s">
        <v>11167</v>
      </c>
      <c r="B11086" t="s">
        <v>175</v>
      </c>
      <c r="C11086" s="2">
        <v>45406</v>
      </c>
      <c r="D11086" t="s">
        <v>29</v>
      </c>
      <c r="E11086">
        <v>1576</v>
      </c>
    </row>
    <row r="11087" spans="1:5" x14ac:dyDescent="0.55000000000000004">
      <c r="A11087" t="s">
        <v>11168</v>
      </c>
      <c r="B11087" t="s">
        <v>101</v>
      </c>
      <c r="C11087" s="2">
        <v>43432</v>
      </c>
      <c r="D11087" t="s">
        <v>29</v>
      </c>
      <c r="E11087">
        <v>1614</v>
      </c>
    </row>
    <row r="11088" spans="1:5" x14ac:dyDescent="0.55000000000000004">
      <c r="A11088" t="s">
        <v>11169</v>
      </c>
      <c r="B11088" t="s">
        <v>142</v>
      </c>
      <c r="C11088" s="2">
        <v>44068</v>
      </c>
      <c r="D11088" t="s">
        <v>29</v>
      </c>
      <c r="E11088">
        <v>514</v>
      </c>
    </row>
    <row r="11089" spans="1:5" x14ac:dyDescent="0.55000000000000004">
      <c r="A11089" t="s">
        <v>11170</v>
      </c>
      <c r="B11089" t="s">
        <v>14</v>
      </c>
      <c r="C11089" s="2">
        <v>43941</v>
      </c>
      <c r="D11089" t="s">
        <v>29</v>
      </c>
      <c r="E11089">
        <v>2624</v>
      </c>
    </row>
    <row r="11090" spans="1:5" x14ac:dyDescent="0.55000000000000004">
      <c r="A11090" t="s">
        <v>11171</v>
      </c>
      <c r="B11090" t="s">
        <v>72</v>
      </c>
      <c r="C11090" s="2">
        <v>44117</v>
      </c>
      <c r="D11090" t="s">
        <v>29</v>
      </c>
      <c r="E11090">
        <v>1273</v>
      </c>
    </row>
    <row r="11091" spans="1:5" x14ac:dyDescent="0.55000000000000004">
      <c r="A11091" t="s">
        <v>11172</v>
      </c>
      <c r="B11091" t="s">
        <v>111</v>
      </c>
      <c r="C11091" s="2">
        <v>43573</v>
      </c>
      <c r="D11091" t="s">
        <v>26</v>
      </c>
      <c r="E11091">
        <v>289</v>
      </c>
    </row>
    <row r="11092" spans="1:5" x14ac:dyDescent="0.55000000000000004">
      <c r="A11092" t="s">
        <v>11173</v>
      </c>
      <c r="B11092" t="s">
        <v>96</v>
      </c>
      <c r="C11092" s="2">
        <v>44955</v>
      </c>
      <c r="D11092" t="s">
        <v>26</v>
      </c>
      <c r="E11092">
        <v>1177</v>
      </c>
    </row>
    <row r="11093" spans="1:5" x14ac:dyDescent="0.55000000000000004">
      <c r="A11093" t="s">
        <v>11174</v>
      </c>
      <c r="B11093" t="s">
        <v>23</v>
      </c>
      <c r="C11093" s="2">
        <v>44894</v>
      </c>
      <c r="D11093" t="s">
        <v>29</v>
      </c>
      <c r="E11093">
        <v>2167</v>
      </c>
    </row>
    <row r="11094" spans="1:5" x14ac:dyDescent="0.55000000000000004">
      <c r="A11094" t="s">
        <v>11175</v>
      </c>
      <c r="B11094" t="s">
        <v>72</v>
      </c>
      <c r="C11094" s="2">
        <v>44132</v>
      </c>
      <c r="D11094" t="s">
        <v>29</v>
      </c>
      <c r="E11094">
        <v>588</v>
      </c>
    </row>
    <row r="11095" spans="1:5" x14ac:dyDescent="0.55000000000000004">
      <c r="A11095" t="s">
        <v>11176</v>
      </c>
      <c r="B11095" t="s">
        <v>15</v>
      </c>
      <c r="C11095" s="2">
        <v>43655</v>
      </c>
      <c r="D11095" t="s">
        <v>29</v>
      </c>
      <c r="E11095">
        <v>1129</v>
      </c>
    </row>
    <row r="11096" spans="1:5" x14ac:dyDescent="0.55000000000000004">
      <c r="A11096" t="s">
        <v>11177</v>
      </c>
      <c r="B11096" t="s">
        <v>72</v>
      </c>
      <c r="C11096" s="2">
        <v>43258</v>
      </c>
      <c r="D11096" t="s">
        <v>26</v>
      </c>
      <c r="E11096">
        <v>1765</v>
      </c>
    </row>
    <row r="11097" spans="1:5" x14ac:dyDescent="0.55000000000000004">
      <c r="A11097" t="s">
        <v>11178</v>
      </c>
      <c r="B11097" t="s">
        <v>74</v>
      </c>
      <c r="C11097" s="2">
        <v>44323</v>
      </c>
      <c r="D11097" t="s">
        <v>29</v>
      </c>
      <c r="E11097">
        <v>2835</v>
      </c>
    </row>
    <row r="11098" spans="1:5" x14ac:dyDescent="0.55000000000000004">
      <c r="A11098" t="s">
        <v>11179</v>
      </c>
      <c r="B11098" t="s">
        <v>142</v>
      </c>
      <c r="C11098" s="2">
        <v>43765</v>
      </c>
      <c r="D11098" t="s">
        <v>26</v>
      </c>
      <c r="E11098">
        <v>2436</v>
      </c>
    </row>
    <row r="11099" spans="1:5" x14ac:dyDescent="0.55000000000000004">
      <c r="A11099" t="s">
        <v>11180</v>
      </c>
      <c r="B11099" t="s">
        <v>175</v>
      </c>
      <c r="C11099" s="2">
        <v>45662</v>
      </c>
      <c r="D11099" t="s">
        <v>29</v>
      </c>
      <c r="E11099">
        <v>2782</v>
      </c>
    </row>
    <row r="11100" spans="1:5" x14ac:dyDescent="0.55000000000000004">
      <c r="A11100" t="s">
        <v>11181</v>
      </c>
      <c r="B11100" t="s">
        <v>63</v>
      </c>
      <c r="C11100" s="2">
        <v>44238</v>
      </c>
      <c r="D11100" t="s">
        <v>29</v>
      </c>
      <c r="E11100">
        <v>2808</v>
      </c>
    </row>
    <row r="11101" spans="1:5" x14ac:dyDescent="0.55000000000000004">
      <c r="A11101" t="s">
        <v>11182</v>
      </c>
      <c r="B11101" t="s">
        <v>84</v>
      </c>
      <c r="C11101" s="2">
        <v>42988</v>
      </c>
      <c r="D11101" t="s">
        <v>26</v>
      </c>
      <c r="E11101">
        <v>1556</v>
      </c>
    </row>
    <row r="11102" spans="1:5" x14ac:dyDescent="0.55000000000000004">
      <c r="A11102" t="s">
        <v>11183</v>
      </c>
      <c r="B11102" t="s">
        <v>137</v>
      </c>
      <c r="C11102" s="2">
        <v>45427</v>
      </c>
      <c r="D11102" t="s">
        <v>26</v>
      </c>
      <c r="E11102">
        <v>1250</v>
      </c>
    </row>
    <row r="11103" spans="1:5" x14ac:dyDescent="0.55000000000000004">
      <c r="A11103" t="s">
        <v>11184</v>
      </c>
      <c r="B11103" t="s">
        <v>140</v>
      </c>
      <c r="C11103" s="2">
        <v>43801</v>
      </c>
      <c r="D11103" t="s">
        <v>26</v>
      </c>
      <c r="E11103">
        <v>2392</v>
      </c>
    </row>
    <row r="11104" spans="1:5" x14ac:dyDescent="0.55000000000000004">
      <c r="A11104" t="s">
        <v>11185</v>
      </c>
      <c r="B11104" t="s">
        <v>142</v>
      </c>
      <c r="C11104" s="2">
        <v>43420</v>
      </c>
      <c r="D11104" t="s">
        <v>26</v>
      </c>
      <c r="E11104">
        <v>359</v>
      </c>
    </row>
    <row r="11105" spans="1:5" x14ac:dyDescent="0.55000000000000004">
      <c r="A11105" t="s">
        <v>11186</v>
      </c>
      <c r="B11105" t="s">
        <v>84</v>
      </c>
      <c r="C11105" s="2">
        <v>43423</v>
      </c>
      <c r="D11105" t="s">
        <v>26</v>
      </c>
      <c r="E11105">
        <v>794</v>
      </c>
    </row>
    <row r="11106" spans="1:5" x14ac:dyDescent="0.55000000000000004">
      <c r="A11106" t="s">
        <v>11187</v>
      </c>
      <c r="B11106" t="s">
        <v>74</v>
      </c>
      <c r="C11106" s="2">
        <v>44031</v>
      </c>
      <c r="D11106" t="s">
        <v>26</v>
      </c>
      <c r="E11106">
        <v>2321</v>
      </c>
    </row>
    <row r="11107" spans="1:5" x14ac:dyDescent="0.55000000000000004">
      <c r="A11107" t="s">
        <v>11188</v>
      </c>
      <c r="B11107" t="s">
        <v>175</v>
      </c>
      <c r="C11107" s="2">
        <v>44445</v>
      </c>
      <c r="D11107" t="s">
        <v>26</v>
      </c>
      <c r="E11107">
        <v>81</v>
      </c>
    </row>
    <row r="11108" spans="1:5" x14ac:dyDescent="0.55000000000000004">
      <c r="A11108" t="s">
        <v>11189</v>
      </c>
      <c r="B11108" t="s">
        <v>94</v>
      </c>
      <c r="C11108" s="2">
        <v>43789</v>
      </c>
      <c r="D11108" t="s">
        <v>26</v>
      </c>
      <c r="E11108">
        <v>458</v>
      </c>
    </row>
    <row r="11109" spans="1:5" x14ac:dyDescent="0.55000000000000004">
      <c r="A11109" t="s">
        <v>11190</v>
      </c>
      <c r="B11109" t="s">
        <v>137</v>
      </c>
      <c r="C11109" s="2">
        <v>45548</v>
      </c>
      <c r="D11109" t="s">
        <v>29</v>
      </c>
      <c r="E11109">
        <v>2738</v>
      </c>
    </row>
    <row r="11110" spans="1:5" x14ac:dyDescent="0.55000000000000004">
      <c r="A11110" t="s">
        <v>11191</v>
      </c>
      <c r="B11110" t="s">
        <v>14</v>
      </c>
      <c r="C11110" s="2">
        <v>43737</v>
      </c>
      <c r="D11110" t="s">
        <v>29</v>
      </c>
      <c r="E11110">
        <v>1030</v>
      </c>
    </row>
    <row r="11111" spans="1:5" x14ac:dyDescent="0.55000000000000004">
      <c r="A11111" t="s">
        <v>11192</v>
      </c>
      <c r="B11111" t="s">
        <v>67</v>
      </c>
      <c r="C11111" s="2">
        <v>45644</v>
      </c>
      <c r="D11111" t="s">
        <v>29</v>
      </c>
      <c r="E11111">
        <v>1405</v>
      </c>
    </row>
    <row r="11112" spans="1:5" x14ac:dyDescent="0.55000000000000004">
      <c r="A11112" t="s">
        <v>11193</v>
      </c>
      <c r="B11112" t="s">
        <v>67</v>
      </c>
      <c r="C11112" s="2">
        <v>45506</v>
      </c>
      <c r="D11112" t="s">
        <v>29</v>
      </c>
      <c r="E11112">
        <v>1521</v>
      </c>
    </row>
    <row r="11113" spans="1:5" x14ac:dyDescent="0.55000000000000004">
      <c r="A11113" t="s">
        <v>11194</v>
      </c>
      <c r="B11113" t="s">
        <v>72</v>
      </c>
      <c r="C11113" s="2">
        <v>44343</v>
      </c>
      <c r="D11113" t="s">
        <v>29</v>
      </c>
      <c r="E11113">
        <v>1456</v>
      </c>
    </row>
    <row r="11114" spans="1:5" x14ac:dyDescent="0.55000000000000004">
      <c r="A11114" t="s">
        <v>11195</v>
      </c>
      <c r="B11114" t="s">
        <v>72</v>
      </c>
      <c r="C11114" s="2">
        <v>44083</v>
      </c>
      <c r="D11114" t="s">
        <v>29</v>
      </c>
      <c r="E11114">
        <v>427</v>
      </c>
    </row>
    <row r="11115" spans="1:5" x14ac:dyDescent="0.55000000000000004">
      <c r="A11115" t="s">
        <v>11196</v>
      </c>
      <c r="B11115" t="s">
        <v>111</v>
      </c>
      <c r="C11115" s="2">
        <v>43070</v>
      </c>
      <c r="D11115" t="s">
        <v>29</v>
      </c>
      <c r="E11115">
        <v>789</v>
      </c>
    </row>
    <row r="11116" spans="1:5" x14ac:dyDescent="0.55000000000000004">
      <c r="A11116" t="s">
        <v>11197</v>
      </c>
      <c r="B11116" t="s">
        <v>140</v>
      </c>
      <c r="C11116" s="2">
        <v>44163</v>
      </c>
      <c r="D11116" t="s">
        <v>29</v>
      </c>
      <c r="E11116">
        <v>1036</v>
      </c>
    </row>
    <row r="11117" spans="1:5" x14ac:dyDescent="0.55000000000000004">
      <c r="A11117" t="s">
        <v>11198</v>
      </c>
      <c r="B11117" t="s">
        <v>86</v>
      </c>
      <c r="C11117" s="2">
        <v>43848</v>
      </c>
      <c r="D11117" t="s">
        <v>26</v>
      </c>
      <c r="E11117">
        <v>1299</v>
      </c>
    </row>
    <row r="11118" spans="1:5" x14ac:dyDescent="0.55000000000000004">
      <c r="A11118" t="s">
        <v>11199</v>
      </c>
      <c r="B11118" t="s">
        <v>74</v>
      </c>
      <c r="C11118" s="2">
        <v>43844</v>
      </c>
      <c r="D11118" t="s">
        <v>26</v>
      </c>
      <c r="E11118">
        <v>2663</v>
      </c>
    </row>
    <row r="11119" spans="1:5" x14ac:dyDescent="0.55000000000000004">
      <c r="A11119" t="s">
        <v>11200</v>
      </c>
      <c r="B11119" t="s">
        <v>67</v>
      </c>
      <c r="C11119" s="2">
        <v>45334</v>
      </c>
      <c r="D11119" t="s">
        <v>26</v>
      </c>
      <c r="E11119">
        <v>2689</v>
      </c>
    </row>
    <row r="11120" spans="1:5" x14ac:dyDescent="0.55000000000000004">
      <c r="A11120" t="s">
        <v>11201</v>
      </c>
      <c r="B11120" t="s">
        <v>63</v>
      </c>
      <c r="C11120" s="2">
        <v>43589</v>
      </c>
      <c r="D11120" t="s">
        <v>29</v>
      </c>
      <c r="E11120">
        <v>1627</v>
      </c>
    </row>
    <row r="11121" spans="1:5" x14ac:dyDescent="0.55000000000000004">
      <c r="A11121" t="s">
        <v>11202</v>
      </c>
      <c r="B11121" t="s">
        <v>140</v>
      </c>
      <c r="C11121" s="2">
        <v>44181</v>
      </c>
      <c r="D11121" t="s">
        <v>29</v>
      </c>
      <c r="E11121">
        <v>1013</v>
      </c>
    </row>
    <row r="11122" spans="1:5" x14ac:dyDescent="0.55000000000000004">
      <c r="A11122" t="s">
        <v>11203</v>
      </c>
      <c r="B11122" t="s">
        <v>38</v>
      </c>
      <c r="C11122" s="2">
        <v>44247</v>
      </c>
      <c r="D11122" t="s">
        <v>29</v>
      </c>
      <c r="E11122">
        <v>2910</v>
      </c>
    </row>
    <row r="11123" spans="1:5" x14ac:dyDescent="0.55000000000000004">
      <c r="A11123" t="s">
        <v>11204</v>
      </c>
      <c r="B11123" t="s">
        <v>94</v>
      </c>
      <c r="C11123" s="2">
        <v>45666</v>
      </c>
      <c r="D11123" t="s">
        <v>29</v>
      </c>
      <c r="E11123">
        <v>2720</v>
      </c>
    </row>
    <row r="11124" spans="1:5" x14ac:dyDescent="0.55000000000000004">
      <c r="A11124" t="s">
        <v>11205</v>
      </c>
      <c r="B11124" t="s">
        <v>84</v>
      </c>
      <c r="C11124" s="2">
        <v>43056</v>
      </c>
      <c r="D11124" t="s">
        <v>29</v>
      </c>
      <c r="E11124">
        <v>2676</v>
      </c>
    </row>
    <row r="11125" spans="1:5" x14ac:dyDescent="0.55000000000000004">
      <c r="A11125" t="s">
        <v>11206</v>
      </c>
      <c r="B11125" t="s">
        <v>99</v>
      </c>
      <c r="C11125" s="2">
        <v>44042</v>
      </c>
      <c r="D11125" t="s">
        <v>29</v>
      </c>
      <c r="E11125">
        <v>2795</v>
      </c>
    </row>
    <row r="11126" spans="1:5" x14ac:dyDescent="0.55000000000000004">
      <c r="A11126" t="s">
        <v>11207</v>
      </c>
      <c r="B11126" t="s">
        <v>101</v>
      </c>
      <c r="C11126" s="2">
        <v>43011</v>
      </c>
      <c r="D11126" t="s">
        <v>26</v>
      </c>
      <c r="E11126">
        <v>2457</v>
      </c>
    </row>
    <row r="11127" spans="1:5" x14ac:dyDescent="0.55000000000000004">
      <c r="A11127" t="s">
        <v>11208</v>
      </c>
      <c r="B11127" t="s">
        <v>32</v>
      </c>
      <c r="C11127" s="2">
        <v>44058</v>
      </c>
      <c r="D11127" t="s">
        <v>29</v>
      </c>
      <c r="E11127">
        <v>528</v>
      </c>
    </row>
    <row r="11128" spans="1:5" x14ac:dyDescent="0.55000000000000004">
      <c r="A11128" t="s">
        <v>11209</v>
      </c>
      <c r="B11128" t="s">
        <v>84</v>
      </c>
      <c r="C11128" s="2">
        <v>43786</v>
      </c>
      <c r="D11128" t="s">
        <v>29</v>
      </c>
      <c r="E11128">
        <v>2596</v>
      </c>
    </row>
    <row r="11129" spans="1:5" x14ac:dyDescent="0.55000000000000004">
      <c r="A11129" t="s">
        <v>11210</v>
      </c>
      <c r="B11129" t="s">
        <v>96</v>
      </c>
      <c r="C11129" s="2">
        <v>45190</v>
      </c>
      <c r="D11129" t="s">
        <v>26</v>
      </c>
      <c r="E11129">
        <v>2424</v>
      </c>
    </row>
    <row r="11130" spans="1:5" x14ac:dyDescent="0.55000000000000004">
      <c r="A11130" t="s">
        <v>11211</v>
      </c>
      <c r="B11130" t="s">
        <v>151</v>
      </c>
      <c r="C11130" s="2">
        <v>43722</v>
      </c>
      <c r="D11130" t="s">
        <v>29</v>
      </c>
      <c r="E11130">
        <v>562</v>
      </c>
    </row>
    <row r="11131" spans="1:5" x14ac:dyDescent="0.55000000000000004">
      <c r="A11131" t="s">
        <v>11212</v>
      </c>
      <c r="B11131" t="s">
        <v>140</v>
      </c>
      <c r="C11131" s="2">
        <v>43992</v>
      </c>
      <c r="D11131" t="s">
        <v>29</v>
      </c>
      <c r="E11131">
        <v>478</v>
      </c>
    </row>
    <row r="11132" spans="1:5" x14ac:dyDescent="0.55000000000000004">
      <c r="A11132" t="s">
        <v>11213</v>
      </c>
      <c r="B11132" t="s">
        <v>96</v>
      </c>
      <c r="C11132" s="2">
        <v>45340</v>
      </c>
      <c r="D11132" t="s">
        <v>26</v>
      </c>
      <c r="E11132">
        <v>1778</v>
      </c>
    </row>
    <row r="11133" spans="1:5" x14ac:dyDescent="0.55000000000000004">
      <c r="A11133" t="s">
        <v>11214</v>
      </c>
      <c r="B11133" t="s">
        <v>96</v>
      </c>
      <c r="C11133" s="2">
        <v>45778</v>
      </c>
      <c r="D11133" t="s">
        <v>26</v>
      </c>
      <c r="E11133">
        <v>370</v>
      </c>
    </row>
    <row r="11134" spans="1:5" x14ac:dyDescent="0.55000000000000004">
      <c r="A11134" t="s">
        <v>11215</v>
      </c>
      <c r="B11134" t="s">
        <v>175</v>
      </c>
      <c r="C11134" s="2">
        <v>43482</v>
      </c>
      <c r="D11134" t="s">
        <v>26</v>
      </c>
      <c r="E11134">
        <v>2682</v>
      </c>
    </row>
    <row r="11135" spans="1:5" x14ac:dyDescent="0.55000000000000004">
      <c r="A11135" t="s">
        <v>11216</v>
      </c>
      <c r="B11135" t="s">
        <v>175</v>
      </c>
      <c r="C11135" s="2">
        <v>45491</v>
      </c>
      <c r="D11135" t="s">
        <v>26</v>
      </c>
      <c r="E11135">
        <v>2485</v>
      </c>
    </row>
    <row r="11136" spans="1:5" x14ac:dyDescent="0.55000000000000004">
      <c r="A11136" t="s">
        <v>11217</v>
      </c>
      <c r="B11136" t="s">
        <v>118</v>
      </c>
      <c r="C11136" s="2">
        <v>43704</v>
      </c>
      <c r="D11136" t="s">
        <v>29</v>
      </c>
      <c r="E11136">
        <v>2950</v>
      </c>
    </row>
    <row r="11137" spans="1:5" x14ac:dyDescent="0.55000000000000004">
      <c r="A11137" t="s">
        <v>11218</v>
      </c>
      <c r="B11137" t="s">
        <v>78</v>
      </c>
      <c r="C11137" s="2">
        <v>43987</v>
      </c>
      <c r="D11137" t="s">
        <v>26</v>
      </c>
      <c r="E11137">
        <v>769</v>
      </c>
    </row>
    <row r="11138" spans="1:5" x14ac:dyDescent="0.55000000000000004">
      <c r="A11138" t="s">
        <v>11219</v>
      </c>
      <c r="B11138" t="s">
        <v>99</v>
      </c>
      <c r="C11138" s="2">
        <v>45326</v>
      </c>
      <c r="D11138" t="s">
        <v>26</v>
      </c>
      <c r="E11138">
        <v>413</v>
      </c>
    </row>
    <row r="11139" spans="1:5" x14ac:dyDescent="0.55000000000000004">
      <c r="A11139" t="s">
        <v>11220</v>
      </c>
      <c r="B11139" t="s">
        <v>72</v>
      </c>
      <c r="C11139" s="2">
        <v>43171</v>
      </c>
      <c r="D11139" t="s">
        <v>29</v>
      </c>
      <c r="E11139">
        <v>2608</v>
      </c>
    </row>
    <row r="11140" spans="1:5" x14ac:dyDescent="0.55000000000000004">
      <c r="A11140" t="s">
        <v>11221</v>
      </c>
      <c r="B11140" t="s">
        <v>74</v>
      </c>
      <c r="C11140" s="2">
        <v>44088</v>
      </c>
      <c r="D11140" t="s">
        <v>26</v>
      </c>
      <c r="E11140">
        <v>2596</v>
      </c>
    </row>
    <row r="11141" spans="1:5" x14ac:dyDescent="0.55000000000000004">
      <c r="A11141" t="s">
        <v>11222</v>
      </c>
      <c r="B11141" t="s">
        <v>84</v>
      </c>
      <c r="C11141" s="2">
        <v>43637</v>
      </c>
      <c r="D11141" t="s">
        <v>29</v>
      </c>
      <c r="E11141">
        <v>702</v>
      </c>
    </row>
    <row r="11142" spans="1:5" x14ac:dyDescent="0.55000000000000004">
      <c r="A11142" t="s">
        <v>11223</v>
      </c>
      <c r="B11142" t="s">
        <v>175</v>
      </c>
      <c r="C11142" s="2">
        <v>44714</v>
      </c>
      <c r="D11142" t="s">
        <v>29</v>
      </c>
      <c r="E11142">
        <v>1708</v>
      </c>
    </row>
    <row r="11143" spans="1:5" x14ac:dyDescent="0.55000000000000004">
      <c r="A11143" t="s">
        <v>11224</v>
      </c>
      <c r="B11143" t="s">
        <v>41</v>
      </c>
      <c r="C11143" s="2">
        <v>44205</v>
      </c>
      <c r="D11143" t="s">
        <v>26</v>
      </c>
      <c r="E11143">
        <v>146</v>
      </c>
    </row>
    <row r="11144" spans="1:5" x14ac:dyDescent="0.55000000000000004">
      <c r="A11144" t="s">
        <v>11225</v>
      </c>
      <c r="B11144" t="s">
        <v>115</v>
      </c>
      <c r="C11144" s="2">
        <v>43717</v>
      </c>
      <c r="D11144" t="s">
        <v>29</v>
      </c>
      <c r="E11144">
        <v>1740</v>
      </c>
    </row>
    <row r="11145" spans="1:5" x14ac:dyDescent="0.55000000000000004">
      <c r="A11145" t="s">
        <v>11226</v>
      </c>
      <c r="B11145" t="s">
        <v>140</v>
      </c>
      <c r="C11145" s="2">
        <v>43361</v>
      </c>
      <c r="D11145" t="s">
        <v>26</v>
      </c>
      <c r="E11145">
        <v>2464</v>
      </c>
    </row>
    <row r="11146" spans="1:5" x14ac:dyDescent="0.55000000000000004">
      <c r="A11146" t="s">
        <v>11227</v>
      </c>
      <c r="B11146" t="s">
        <v>151</v>
      </c>
      <c r="C11146" s="2">
        <v>44305</v>
      </c>
      <c r="D11146" t="s">
        <v>29</v>
      </c>
      <c r="E11146">
        <v>149</v>
      </c>
    </row>
    <row r="11147" spans="1:5" x14ac:dyDescent="0.55000000000000004">
      <c r="A11147" t="s">
        <v>11228</v>
      </c>
      <c r="B11147" t="s">
        <v>67</v>
      </c>
      <c r="C11147" s="2">
        <v>44103</v>
      </c>
      <c r="D11147" t="s">
        <v>29</v>
      </c>
      <c r="E11147">
        <v>772</v>
      </c>
    </row>
    <row r="11148" spans="1:5" x14ac:dyDescent="0.55000000000000004">
      <c r="A11148" t="s">
        <v>11229</v>
      </c>
      <c r="B11148" t="s">
        <v>78</v>
      </c>
      <c r="C11148" s="2">
        <v>44004</v>
      </c>
      <c r="D11148" t="s">
        <v>29</v>
      </c>
      <c r="E11148">
        <v>525</v>
      </c>
    </row>
    <row r="11149" spans="1:5" x14ac:dyDescent="0.55000000000000004">
      <c r="A11149" t="s">
        <v>11230</v>
      </c>
      <c r="B11149" t="s">
        <v>111</v>
      </c>
      <c r="C11149" s="2">
        <v>43409</v>
      </c>
      <c r="D11149" t="s">
        <v>26</v>
      </c>
      <c r="E11149">
        <v>1132</v>
      </c>
    </row>
    <row r="11150" spans="1:5" x14ac:dyDescent="0.55000000000000004">
      <c r="A11150" t="s">
        <v>11231</v>
      </c>
      <c r="B11150" t="s">
        <v>14</v>
      </c>
      <c r="C11150" s="2">
        <v>43398</v>
      </c>
      <c r="D11150" t="s">
        <v>26</v>
      </c>
      <c r="E11150">
        <v>2634</v>
      </c>
    </row>
    <row r="11151" spans="1:5" x14ac:dyDescent="0.55000000000000004">
      <c r="A11151" t="s">
        <v>11232</v>
      </c>
      <c r="B11151" t="s">
        <v>96</v>
      </c>
      <c r="C11151" s="2">
        <v>44751</v>
      </c>
      <c r="D11151" t="s">
        <v>29</v>
      </c>
      <c r="E11151">
        <v>2438</v>
      </c>
    </row>
    <row r="11152" spans="1:5" x14ac:dyDescent="0.55000000000000004">
      <c r="A11152" t="s">
        <v>11233</v>
      </c>
      <c r="B11152" t="s">
        <v>118</v>
      </c>
      <c r="C11152" s="2">
        <v>45624</v>
      </c>
      <c r="D11152" t="s">
        <v>29</v>
      </c>
      <c r="E11152">
        <v>268</v>
      </c>
    </row>
    <row r="11153" spans="1:5" x14ac:dyDescent="0.55000000000000004">
      <c r="A11153" t="s">
        <v>11234</v>
      </c>
      <c r="B11153" t="s">
        <v>38</v>
      </c>
      <c r="C11153" s="2">
        <v>44391</v>
      </c>
      <c r="D11153" t="s">
        <v>26</v>
      </c>
      <c r="E11153">
        <v>251</v>
      </c>
    </row>
    <row r="11154" spans="1:5" x14ac:dyDescent="0.55000000000000004">
      <c r="A11154" t="s">
        <v>11235</v>
      </c>
      <c r="B11154" t="s">
        <v>72</v>
      </c>
      <c r="C11154" s="2">
        <v>43496</v>
      </c>
      <c r="D11154" t="s">
        <v>29</v>
      </c>
      <c r="E11154">
        <v>776</v>
      </c>
    </row>
    <row r="11155" spans="1:5" x14ac:dyDescent="0.55000000000000004">
      <c r="A11155" t="s">
        <v>11236</v>
      </c>
      <c r="B11155" t="s">
        <v>118</v>
      </c>
      <c r="C11155" s="2">
        <v>44885</v>
      </c>
      <c r="D11155" t="s">
        <v>26</v>
      </c>
      <c r="E11155">
        <v>1998</v>
      </c>
    </row>
    <row r="11156" spans="1:5" x14ac:dyDescent="0.55000000000000004">
      <c r="A11156" t="s">
        <v>11237</v>
      </c>
      <c r="B11156" t="s">
        <v>84</v>
      </c>
      <c r="C11156" s="2">
        <v>43672</v>
      </c>
      <c r="D11156" t="s">
        <v>26</v>
      </c>
      <c r="E11156">
        <v>2458</v>
      </c>
    </row>
    <row r="11157" spans="1:5" x14ac:dyDescent="0.55000000000000004">
      <c r="A11157" t="s">
        <v>11238</v>
      </c>
      <c r="B11157" t="s">
        <v>151</v>
      </c>
      <c r="C11157" s="2">
        <v>44427</v>
      </c>
      <c r="D11157" t="s">
        <v>26</v>
      </c>
      <c r="E11157">
        <v>754</v>
      </c>
    </row>
    <row r="11158" spans="1:5" x14ac:dyDescent="0.55000000000000004">
      <c r="A11158" t="s">
        <v>11239</v>
      </c>
      <c r="B11158" t="s">
        <v>67</v>
      </c>
      <c r="C11158" s="2">
        <v>43687</v>
      </c>
      <c r="D11158" t="s">
        <v>29</v>
      </c>
      <c r="E11158">
        <v>100</v>
      </c>
    </row>
    <row r="11159" spans="1:5" x14ac:dyDescent="0.55000000000000004">
      <c r="A11159" t="s">
        <v>11240</v>
      </c>
      <c r="B11159" t="s">
        <v>72</v>
      </c>
      <c r="C11159" s="2">
        <v>43459</v>
      </c>
      <c r="D11159" t="s">
        <v>29</v>
      </c>
      <c r="E11159">
        <v>16</v>
      </c>
    </row>
    <row r="11160" spans="1:5" x14ac:dyDescent="0.55000000000000004">
      <c r="A11160" t="s">
        <v>11241</v>
      </c>
      <c r="B11160" t="s">
        <v>156</v>
      </c>
      <c r="C11160" s="2">
        <v>44530</v>
      </c>
      <c r="D11160" t="s">
        <v>26</v>
      </c>
      <c r="E11160">
        <v>352</v>
      </c>
    </row>
    <row r="11161" spans="1:5" x14ac:dyDescent="0.55000000000000004">
      <c r="A11161" t="s">
        <v>11242</v>
      </c>
      <c r="B11161" t="s">
        <v>14</v>
      </c>
      <c r="C11161" s="2">
        <v>44186</v>
      </c>
      <c r="D11161" t="s">
        <v>26</v>
      </c>
      <c r="E11161">
        <v>1917</v>
      </c>
    </row>
    <row r="11162" spans="1:5" x14ac:dyDescent="0.55000000000000004">
      <c r="A11162" t="s">
        <v>11243</v>
      </c>
      <c r="B11162" t="s">
        <v>96</v>
      </c>
      <c r="C11162" s="2">
        <v>43860</v>
      </c>
      <c r="D11162" t="s">
        <v>26</v>
      </c>
      <c r="E11162">
        <v>965</v>
      </c>
    </row>
    <row r="11163" spans="1:5" x14ac:dyDescent="0.55000000000000004">
      <c r="A11163" t="s">
        <v>11244</v>
      </c>
      <c r="B11163" t="s">
        <v>38</v>
      </c>
      <c r="C11163" s="2">
        <v>44503</v>
      </c>
      <c r="D11163" t="s">
        <v>26</v>
      </c>
      <c r="E11163">
        <v>529</v>
      </c>
    </row>
    <row r="11164" spans="1:5" x14ac:dyDescent="0.55000000000000004">
      <c r="A11164" t="s">
        <v>11245</v>
      </c>
      <c r="B11164" t="s">
        <v>118</v>
      </c>
      <c r="C11164" s="2">
        <v>45468</v>
      </c>
      <c r="D11164" t="s">
        <v>29</v>
      </c>
      <c r="E11164">
        <v>2578</v>
      </c>
    </row>
    <row r="11165" spans="1:5" x14ac:dyDescent="0.55000000000000004">
      <c r="A11165" t="s">
        <v>11246</v>
      </c>
      <c r="B11165" t="s">
        <v>35</v>
      </c>
      <c r="C11165" s="2">
        <v>44282</v>
      </c>
      <c r="D11165" t="s">
        <v>29</v>
      </c>
      <c r="E11165">
        <v>1786</v>
      </c>
    </row>
    <row r="11166" spans="1:5" x14ac:dyDescent="0.55000000000000004">
      <c r="A11166" t="s">
        <v>11247</v>
      </c>
      <c r="B11166" t="s">
        <v>86</v>
      </c>
      <c r="C11166" s="2">
        <v>43619</v>
      </c>
      <c r="D11166" t="s">
        <v>29</v>
      </c>
      <c r="E11166">
        <v>1805</v>
      </c>
    </row>
    <row r="11167" spans="1:5" x14ac:dyDescent="0.55000000000000004">
      <c r="A11167" t="s">
        <v>11248</v>
      </c>
      <c r="B11167" t="s">
        <v>101</v>
      </c>
      <c r="C11167" s="2">
        <v>43049</v>
      </c>
      <c r="D11167" t="s">
        <v>29</v>
      </c>
      <c r="E11167">
        <v>521</v>
      </c>
    </row>
    <row r="11168" spans="1:5" x14ac:dyDescent="0.55000000000000004">
      <c r="A11168" t="s">
        <v>11249</v>
      </c>
      <c r="B11168" t="s">
        <v>15</v>
      </c>
      <c r="C11168" s="2">
        <v>43648</v>
      </c>
      <c r="D11168" t="s">
        <v>29</v>
      </c>
      <c r="E11168">
        <v>922</v>
      </c>
    </row>
    <row r="11169" spans="1:5" x14ac:dyDescent="0.55000000000000004">
      <c r="A11169" t="s">
        <v>11250</v>
      </c>
      <c r="B11169" t="s">
        <v>111</v>
      </c>
      <c r="C11169" s="2">
        <v>43573</v>
      </c>
      <c r="D11169" t="s">
        <v>29</v>
      </c>
      <c r="E11169">
        <v>2283</v>
      </c>
    </row>
    <row r="11170" spans="1:5" x14ac:dyDescent="0.55000000000000004">
      <c r="A11170" t="s">
        <v>11251</v>
      </c>
      <c r="B11170" t="s">
        <v>115</v>
      </c>
      <c r="C11170" s="2">
        <v>43507</v>
      </c>
      <c r="D11170" t="s">
        <v>29</v>
      </c>
      <c r="E11170">
        <v>398</v>
      </c>
    </row>
    <row r="11171" spans="1:5" x14ac:dyDescent="0.55000000000000004">
      <c r="A11171" t="s">
        <v>11252</v>
      </c>
      <c r="B11171" t="s">
        <v>105</v>
      </c>
      <c r="C11171" s="2">
        <v>43714</v>
      </c>
      <c r="D11171" t="s">
        <v>29</v>
      </c>
      <c r="E11171">
        <v>1753</v>
      </c>
    </row>
    <row r="11172" spans="1:5" x14ac:dyDescent="0.55000000000000004">
      <c r="A11172" t="s">
        <v>11253</v>
      </c>
      <c r="B11172" t="s">
        <v>115</v>
      </c>
      <c r="C11172" s="2">
        <v>43612</v>
      </c>
      <c r="D11172" t="s">
        <v>26</v>
      </c>
      <c r="E11172">
        <v>2376</v>
      </c>
    </row>
    <row r="11173" spans="1:5" x14ac:dyDescent="0.55000000000000004">
      <c r="A11173" t="s">
        <v>11254</v>
      </c>
      <c r="B11173" t="s">
        <v>151</v>
      </c>
      <c r="C11173" s="2">
        <v>44552</v>
      </c>
      <c r="D11173" t="s">
        <v>26</v>
      </c>
      <c r="E11173">
        <v>2487</v>
      </c>
    </row>
    <row r="11174" spans="1:5" x14ac:dyDescent="0.55000000000000004">
      <c r="A11174" t="s">
        <v>11255</v>
      </c>
      <c r="B11174" t="s">
        <v>84</v>
      </c>
      <c r="C11174" s="2">
        <v>43284</v>
      </c>
      <c r="D11174" t="s">
        <v>29</v>
      </c>
      <c r="E11174">
        <v>2899</v>
      </c>
    </row>
    <row r="11175" spans="1:5" x14ac:dyDescent="0.55000000000000004">
      <c r="A11175" t="s">
        <v>11256</v>
      </c>
      <c r="B11175" t="s">
        <v>142</v>
      </c>
      <c r="C11175" s="2">
        <v>43201</v>
      </c>
      <c r="D11175" t="s">
        <v>26</v>
      </c>
      <c r="E11175">
        <v>1416</v>
      </c>
    </row>
    <row r="11176" spans="1:5" x14ac:dyDescent="0.55000000000000004">
      <c r="A11176" t="s">
        <v>11257</v>
      </c>
      <c r="B11176" t="s">
        <v>142</v>
      </c>
      <c r="C11176" s="2">
        <v>44231</v>
      </c>
      <c r="D11176" t="s">
        <v>26</v>
      </c>
      <c r="E11176">
        <v>850</v>
      </c>
    </row>
    <row r="11177" spans="1:5" x14ac:dyDescent="0.55000000000000004">
      <c r="A11177" t="s">
        <v>11258</v>
      </c>
      <c r="B11177" t="s">
        <v>94</v>
      </c>
      <c r="C11177" s="2">
        <v>44509</v>
      </c>
      <c r="D11177" t="s">
        <v>26</v>
      </c>
      <c r="E11177">
        <v>2607</v>
      </c>
    </row>
    <row r="11178" spans="1:5" x14ac:dyDescent="0.55000000000000004">
      <c r="A11178" t="s">
        <v>11259</v>
      </c>
      <c r="B11178" t="s">
        <v>63</v>
      </c>
      <c r="C11178" s="2">
        <v>44083</v>
      </c>
      <c r="D11178" t="s">
        <v>26</v>
      </c>
      <c r="E11178">
        <v>1788</v>
      </c>
    </row>
    <row r="11179" spans="1:5" x14ac:dyDescent="0.55000000000000004">
      <c r="A11179" t="s">
        <v>11260</v>
      </c>
      <c r="B11179" t="s">
        <v>105</v>
      </c>
      <c r="C11179" s="2">
        <v>43884</v>
      </c>
      <c r="D11179" t="s">
        <v>29</v>
      </c>
      <c r="E11179">
        <v>2065</v>
      </c>
    </row>
    <row r="11180" spans="1:5" x14ac:dyDescent="0.55000000000000004">
      <c r="A11180" t="s">
        <v>11261</v>
      </c>
      <c r="B11180" t="s">
        <v>105</v>
      </c>
      <c r="C11180" s="2">
        <v>43506</v>
      </c>
      <c r="D11180" t="s">
        <v>29</v>
      </c>
      <c r="E11180">
        <v>1938</v>
      </c>
    </row>
    <row r="11181" spans="1:5" x14ac:dyDescent="0.55000000000000004">
      <c r="A11181" t="s">
        <v>11262</v>
      </c>
      <c r="B11181" t="s">
        <v>151</v>
      </c>
      <c r="C11181" s="2">
        <v>43357</v>
      </c>
      <c r="D11181" t="s">
        <v>26</v>
      </c>
      <c r="E11181">
        <v>539</v>
      </c>
    </row>
    <row r="11182" spans="1:5" x14ac:dyDescent="0.55000000000000004">
      <c r="A11182" t="s">
        <v>11263</v>
      </c>
      <c r="B11182" t="s">
        <v>32</v>
      </c>
      <c r="C11182" s="2">
        <v>43919</v>
      </c>
      <c r="D11182" t="s">
        <v>26</v>
      </c>
      <c r="E11182">
        <v>1842</v>
      </c>
    </row>
    <row r="11183" spans="1:5" x14ac:dyDescent="0.55000000000000004">
      <c r="A11183" t="s">
        <v>11264</v>
      </c>
      <c r="B11183" t="s">
        <v>115</v>
      </c>
      <c r="C11183" s="2">
        <v>44327</v>
      </c>
      <c r="D11183" t="s">
        <v>26</v>
      </c>
      <c r="E11183">
        <v>606</v>
      </c>
    </row>
    <row r="11184" spans="1:5" x14ac:dyDescent="0.55000000000000004">
      <c r="A11184" t="s">
        <v>11265</v>
      </c>
      <c r="B11184" t="s">
        <v>15</v>
      </c>
      <c r="C11184" s="2">
        <v>43626</v>
      </c>
      <c r="D11184" t="s">
        <v>26</v>
      </c>
      <c r="E11184">
        <v>2323</v>
      </c>
    </row>
    <row r="11185" spans="1:5" x14ac:dyDescent="0.55000000000000004">
      <c r="A11185" t="s">
        <v>11266</v>
      </c>
      <c r="B11185" t="s">
        <v>41</v>
      </c>
      <c r="C11185" s="2">
        <v>44573</v>
      </c>
      <c r="D11185" t="s">
        <v>29</v>
      </c>
      <c r="E11185">
        <v>1892</v>
      </c>
    </row>
    <row r="11186" spans="1:5" x14ac:dyDescent="0.55000000000000004">
      <c r="A11186" t="s">
        <v>11267</v>
      </c>
      <c r="B11186" t="s">
        <v>38</v>
      </c>
      <c r="C11186" s="2">
        <v>44010</v>
      </c>
      <c r="D11186" t="s">
        <v>29</v>
      </c>
      <c r="E11186">
        <v>740</v>
      </c>
    </row>
    <row r="11187" spans="1:5" x14ac:dyDescent="0.55000000000000004">
      <c r="A11187" t="s">
        <v>11268</v>
      </c>
      <c r="B11187" t="s">
        <v>74</v>
      </c>
      <c r="C11187" s="2">
        <v>44534</v>
      </c>
      <c r="D11187" t="s">
        <v>26</v>
      </c>
      <c r="E11187">
        <v>1726</v>
      </c>
    </row>
    <row r="11188" spans="1:5" x14ac:dyDescent="0.55000000000000004">
      <c r="A11188" t="s">
        <v>11269</v>
      </c>
      <c r="B11188" t="s">
        <v>38</v>
      </c>
      <c r="C11188" s="2">
        <v>44213</v>
      </c>
      <c r="D11188" t="s">
        <v>26</v>
      </c>
      <c r="E11188">
        <v>137</v>
      </c>
    </row>
    <row r="11189" spans="1:5" x14ac:dyDescent="0.55000000000000004">
      <c r="A11189" t="s">
        <v>11270</v>
      </c>
      <c r="B11189" t="s">
        <v>175</v>
      </c>
      <c r="C11189" s="2">
        <v>45069</v>
      </c>
      <c r="D11189" t="s">
        <v>29</v>
      </c>
      <c r="E11189">
        <v>2449</v>
      </c>
    </row>
    <row r="11190" spans="1:5" x14ac:dyDescent="0.55000000000000004">
      <c r="A11190" t="s">
        <v>11271</v>
      </c>
      <c r="B11190" t="s">
        <v>74</v>
      </c>
      <c r="C11190" s="2">
        <v>43010</v>
      </c>
      <c r="D11190" t="s">
        <v>26</v>
      </c>
      <c r="E11190">
        <v>2937</v>
      </c>
    </row>
    <row r="11191" spans="1:5" x14ac:dyDescent="0.55000000000000004">
      <c r="A11191" t="s">
        <v>11272</v>
      </c>
      <c r="B11191" t="s">
        <v>84</v>
      </c>
      <c r="C11191" s="2">
        <v>43431</v>
      </c>
      <c r="D11191" t="s">
        <v>26</v>
      </c>
      <c r="E11191">
        <v>1613</v>
      </c>
    </row>
    <row r="11192" spans="1:5" x14ac:dyDescent="0.55000000000000004">
      <c r="A11192" t="s">
        <v>11273</v>
      </c>
      <c r="B11192" t="s">
        <v>84</v>
      </c>
      <c r="C11192" s="2">
        <v>43358</v>
      </c>
      <c r="D11192" t="s">
        <v>29</v>
      </c>
      <c r="E11192">
        <v>1093</v>
      </c>
    </row>
    <row r="11193" spans="1:5" x14ac:dyDescent="0.55000000000000004">
      <c r="A11193" t="s">
        <v>11274</v>
      </c>
      <c r="B11193" t="s">
        <v>156</v>
      </c>
      <c r="C11193" s="2">
        <v>43431</v>
      </c>
      <c r="D11193" t="s">
        <v>26</v>
      </c>
      <c r="E11193">
        <v>656</v>
      </c>
    </row>
    <row r="11194" spans="1:5" x14ac:dyDescent="0.55000000000000004">
      <c r="A11194" t="s">
        <v>11275</v>
      </c>
      <c r="B11194" t="s">
        <v>78</v>
      </c>
      <c r="C11194" s="2">
        <v>45773</v>
      </c>
      <c r="D11194" t="s">
        <v>29</v>
      </c>
      <c r="E11194">
        <v>2409</v>
      </c>
    </row>
    <row r="11195" spans="1:5" x14ac:dyDescent="0.55000000000000004">
      <c r="A11195" t="s">
        <v>11276</v>
      </c>
      <c r="B11195" t="s">
        <v>74</v>
      </c>
      <c r="C11195" s="2">
        <v>43434</v>
      </c>
      <c r="D11195" t="s">
        <v>26</v>
      </c>
      <c r="E11195">
        <v>640</v>
      </c>
    </row>
    <row r="11196" spans="1:5" x14ac:dyDescent="0.55000000000000004">
      <c r="A11196" t="s">
        <v>11277</v>
      </c>
      <c r="B11196" t="s">
        <v>41</v>
      </c>
      <c r="C11196" s="2">
        <v>43846</v>
      </c>
      <c r="D11196" t="s">
        <v>26</v>
      </c>
      <c r="E11196">
        <v>1898</v>
      </c>
    </row>
    <row r="11197" spans="1:5" x14ac:dyDescent="0.55000000000000004">
      <c r="A11197" t="s">
        <v>11278</v>
      </c>
      <c r="B11197" t="s">
        <v>35</v>
      </c>
      <c r="C11197" s="2">
        <v>44138</v>
      </c>
      <c r="D11197" t="s">
        <v>26</v>
      </c>
      <c r="E11197">
        <v>1808</v>
      </c>
    </row>
    <row r="11198" spans="1:5" x14ac:dyDescent="0.55000000000000004">
      <c r="A11198" t="s">
        <v>11279</v>
      </c>
      <c r="B11198" t="s">
        <v>101</v>
      </c>
      <c r="C11198" s="2">
        <v>44387</v>
      </c>
      <c r="D11198" t="s">
        <v>26</v>
      </c>
      <c r="E11198">
        <v>1307</v>
      </c>
    </row>
    <row r="11199" spans="1:5" x14ac:dyDescent="0.55000000000000004">
      <c r="A11199" t="s">
        <v>11280</v>
      </c>
      <c r="B11199" t="s">
        <v>105</v>
      </c>
      <c r="C11199" s="2">
        <v>43862</v>
      </c>
      <c r="D11199" t="s">
        <v>26</v>
      </c>
      <c r="E11199">
        <v>2569</v>
      </c>
    </row>
    <row r="11200" spans="1:5" x14ac:dyDescent="0.55000000000000004">
      <c r="A11200" t="s">
        <v>11281</v>
      </c>
      <c r="B11200" t="s">
        <v>67</v>
      </c>
      <c r="C11200" s="2">
        <v>45292</v>
      </c>
      <c r="D11200" t="s">
        <v>29</v>
      </c>
      <c r="E11200">
        <v>2738</v>
      </c>
    </row>
    <row r="11201" spans="1:5" x14ac:dyDescent="0.55000000000000004">
      <c r="A11201" t="s">
        <v>11282</v>
      </c>
      <c r="B11201" t="s">
        <v>96</v>
      </c>
      <c r="C11201" s="2">
        <v>43901</v>
      </c>
      <c r="D11201" t="s">
        <v>26</v>
      </c>
      <c r="E11201">
        <v>2464</v>
      </c>
    </row>
    <row r="11202" spans="1:5" x14ac:dyDescent="0.55000000000000004">
      <c r="A11202" t="s">
        <v>11283</v>
      </c>
      <c r="B11202" t="s">
        <v>151</v>
      </c>
      <c r="C11202" s="2">
        <v>43302</v>
      </c>
      <c r="D11202" t="s">
        <v>29</v>
      </c>
      <c r="E11202">
        <v>893</v>
      </c>
    </row>
    <row r="11203" spans="1:5" x14ac:dyDescent="0.55000000000000004">
      <c r="A11203" t="s">
        <v>11284</v>
      </c>
      <c r="B11203" t="s">
        <v>142</v>
      </c>
      <c r="C11203" s="2">
        <v>42946</v>
      </c>
      <c r="D11203" t="s">
        <v>26</v>
      </c>
      <c r="E11203">
        <v>2408</v>
      </c>
    </row>
    <row r="11204" spans="1:5" x14ac:dyDescent="0.55000000000000004">
      <c r="A11204" t="s">
        <v>11285</v>
      </c>
      <c r="B11204" t="s">
        <v>142</v>
      </c>
      <c r="C11204" s="2">
        <v>43039</v>
      </c>
      <c r="D11204" t="s">
        <v>29</v>
      </c>
      <c r="E11204">
        <v>867</v>
      </c>
    </row>
    <row r="11205" spans="1:5" x14ac:dyDescent="0.55000000000000004">
      <c r="A11205" t="s">
        <v>11286</v>
      </c>
      <c r="B11205" t="s">
        <v>35</v>
      </c>
      <c r="C11205" s="2">
        <v>44118</v>
      </c>
      <c r="D11205" t="s">
        <v>29</v>
      </c>
      <c r="E11205">
        <v>2107</v>
      </c>
    </row>
    <row r="11206" spans="1:5" x14ac:dyDescent="0.55000000000000004">
      <c r="A11206" t="s">
        <v>11287</v>
      </c>
      <c r="B11206" t="s">
        <v>78</v>
      </c>
      <c r="C11206" s="2">
        <v>45203</v>
      </c>
      <c r="D11206" t="s">
        <v>29</v>
      </c>
      <c r="E11206">
        <v>1826</v>
      </c>
    </row>
    <row r="11207" spans="1:5" x14ac:dyDescent="0.55000000000000004">
      <c r="A11207" t="s">
        <v>11288</v>
      </c>
      <c r="B11207" t="s">
        <v>94</v>
      </c>
      <c r="C11207" s="2">
        <v>44820</v>
      </c>
      <c r="D11207" t="s">
        <v>29</v>
      </c>
      <c r="E11207">
        <v>1648</v>
      </c>
    </row>
    <row r="11208" spans="1:5" x14ac:dyDescent="0.55000000000000004">
      <c r="A11208" t="s">
        <v>11289</v>
      </c>
      <c r="B11208" t="s">
        <v>86</v>
      </c>
      <c r="C11208" s="2">
        <v>44046</v>
      </c>
      <c r="D11208" t="s">
        <v>29</v>
      </c>
      <c r="E11208">
        <v>493</v>
      </c>
    </row>
    <row r="11209" spans="1:5" x14ac:dyDescent="0.55000000000000004">
      <c r="A11209" t="s">
        <v>11290</v>
      </c>
      <c r="B11209" t="s">
        <v>96</v>
      </c>
      <c r="C11209" s="2">
        <v>44144</v>
      </c>
      <c r="D11209" t="s">
        <v>29</v>
      </c>
      <c r="E11209">
        <v>1894</v>
      </c>
    </row>
    <row r="11210" spans="1:5" x14ac:dyDescent="0.55000000000000004">
      <c r="A11210" t="s">
        <v>11291</v>
      </c>
      <c r="B11210" t="s">
        <v>35</v>
      </c>
      <c r="C11210" s="2">
        <v>43887</v>
      </c>
      <c r="D11210" t="s">
        <v>26</v>
      </c>
      <c r="E11210">
        <v>1184</v>
      </c>
    </row>
    <row r="11211" spans="1:5" x14ac:dyDescent="0.55000000000000004">
      <c r="A11211" t="s">
        <v>11292</v>
      </c>
      <c r="B11211" t="s">
        <v>84</v>
      </c>
      <c r="C11211" s="2">
        <v>43779</v>
      </c>
      <c r="D11211" t="s">
        <v>26</v>
      </c>
      <c r="E11211">
        <v>902</v>
      </c>
    </row>
    <row r="11212" spans="1:5" x14ac:dyDescent="0.55000000000000004">
      <c r="A11212" t="s">
        <v>11293</v>
      </c>
      <c r="B11212" t="s">
        <v>105</v>
      </c>
      <c r="C11212" s="2">
        <v>44374</v>
      </c>
      <c r="D11212" t="s">
        <v>29</v>
      </c>
      <c r="E11212">
        <v>1550</v>
      </c>
    </row>
    <row r="11213" spans="1:5" x14ac:dyDescent="0.55000000000000004">
      <c r="A11213" t="s">
        <v>11294</v>
      </c>
      <c r="B11213" t="s">
        <v>86</v>
      </c>
      <c r="C11213" s="2">
        <v>44245</v>
      </c>
      <c r="D11213" t="s">
        <v>29</v>
      </c>
      <c r="E11213">
        <v>2164</v>
      </c>
    </row>
    <row r="11214" spans="1:5" x14ac:dyDescent="0.55000000000000004">
      <c r="A11214" t="s">
        <v>11295</v>
      </c>
      <c r="B11214" t="s">
        <v>156</v>
      </c>
      <c r="C11214" s="2">
        <v>44496</v>
      </c>
      <c r="D11214" t="s">
        <v>26</v>
      </c>
      <c r="E11214">
        <v>1368</v>
      </c>
    </row>
    <row r="11215" spans="1:5" x14ac:dyDescent="0.55000000000000004">
      <c r="A11215" t="s">
        <v>11296</v>
      </c>
      <c r="B11215" t="s">
        <v>156</v>
      </c>
      <c r="C11215" s="2">
        <v>44450</v>
      </c>
      <c r="D11215" t="s">
        <v>29</v>
      </c>
      <c r="E11215">
        <v>822</v>
      </c>
    </row>
    <row r="11216" spans="1:5" x14ac:dyDescent="0.55000000000000004">
      <c r="A11216" t="s">
        <v>11297</v>
      </c>
      <c r="B11216" t="s">
        <v>111</v>
      </c>
      <c r="C11216" s="2">
        <v>43164</v>
      </c>
      <c r="D11216" t="s">
        <v>29</v>
      </c>
      <c r="E11216">
        <v>1280</v>
      </c>
    </row>
    <row r="11217" spans="1:5" x14ac:dyDescent="0.55000000000000004">
      <c r="A11217" t="s">
        <v>11298</v>
      </c>
      <c r="B11217" t="s">
        <v>96</v>
      </c>
      <c r="C11217" s="2">
        <v>44301</v>
      </c>
      <c r="D11217" t="s">
        <v>29</v>
      </c>
      <c r="E11217">
        <v>278</v>
      </c>
    </row>
    <row r="11218" spans="1:5" x14ac:dyDescent="0.55000000000000004">
      <c r="A11218" t="s">
        <v>11299</v>
      </c>
      <c r="B11218" t="s">
        <v>175</v>
      </c>
      <c r="C11218" s="2">
        <v>45574</v>
      </c>
      <c r="D11218" t="s">
        <v>29</v>
      </c>
      <c r="E11218">
        <v>443</v>
      </c>
    </row>
    <row r="11219" spans="1:5" x14ac:dyDescent="0.55000000000000004">
      <c r="A11219" t="s">
        <v>11300</v>
      </c>
      <c r="B11219" t="s">
        <v>137</v>
      </c>
      <c r="C11219" s="2">
        <v>45512</v>
      </c>
      <c r="D11219" t="s">
        <v>29</v>
      </c>
      <c r="E11219">
        <v>2330</v>
      </c>
    </row>
    <row r="11220" spans="1:5" x14ac:dyDescent="0.55000000000000004">
      <c r="A11220" t="s">
        <v>11301</v>
      </c>
      <c r="B11220" t="s">
        <v>38</v>
      </c>
      <c r="C11220" s="2">
        <v>44622</v>
      </c>
      <c r="D11220" t="s">
        <v>29</v>
      </c>
      <c r="E11220">
        <v>2882</v>
      </c>
    </row>
    <row r="11221" spans="1:5" x14ac:dyDescent="0.55000000000000004">
      <c r="A11221" t="s">
        <v>11302</v>
      </c>
      <c r="B11221" t="s">
        <v>175</v>
      </c>
      <c r="C11221" s="2">
        <v>45785</v>
      </c>
      <c r="D11221" t="s">
        <v>29</v>
      </c>
      <c r="E11221">
        <v>2375</v>
      </c>
    </row>
    <row r="11222" spans="1:5" x14ac:dyDescent="0.55000000000000004">
      <c r="A11222" t="s">
        <v>11303</v>
      </c>
      <c r="B11222" t="s">
        <v>140</v>
      </c>
      <c r="C11222" s="2">
        <v>43587</v>
      </c>
      <c r="D11222" t="s">
        <v>29</v>
      </c>
      <c r="E11222">
        <v>51</v>
      </c>
    </row>
    <row r="11223" spans="1:5" x14ac:dyDescent="0.55000000000000004">
      <c r="A11223" t="s">
        <v>11304</v>
      </c>
      <c r="B11223" t="s">
        <v>142</v>
      </c>
      <c r="C11223" s="2">
        <v>44525</v>
      </c>
      <c r="D11223" t="s">
        <v>26</v>
      </c>
      <c r="E11223">
        <v>2889</v>
      </c>
    </row>
    <row r="11224" spans="1:5" x14ac:dyDescent="0.55000000000000004">
      <c r="A11224" t="s">
        <v>11305</v>
      </c>
      <c r="B11224" t="s">
        <v>63</v>
      </c>
      <c r="C11224" s="2">
        <v>43833</v>
      </c>
      <c r="D11224" t="s">
        <v>29</v>
      </c>
      <c r="E11224">
        <v>628</v>
      </c>
    </row>
    <row r="11225" spans="1:5" x14ac:dyDescent="0.55000000000000004">
      <c r="A11225" t="s">
        <v>11306</v>
      </c>
      <c r="B11225" t="s">
        <v>105</v>
      </c>
      <c r="C11225" s="2">
        <v>44083</v>
      </c>
      <c r="D11225" t="s">
        <v>29</v>
      </c>
      <c r="E11225">
        <v>1114</v>
      </c>
    </row>
    <row r="11226" spans="1:5" x14ac:dyDescent="0.55000000000000004">
      <c r="A11226" t="s">
        <v>11307</v>
      </c>
      <c r="B11226" t="s">
        <v>67</v>
      </c>
      <c r="C11226" s="2">
        <v>44515</v>
      </c>
      <c r="D11226" t="s">
        <v>26</v>
      </c>
      <c r="E11226">
        <v>361</v>
      </c>
    </row>
    <row r="11227" spans="1:5" x14ac:dyDescent="0.55000000000000004">
      <c r="A11227" t="s">
        <v>11308</v>
      </c>
      <c r="B11227" t="s">
        <v>14</v>
      </c>
      <c r="C11227" s="2">
        <v>44071</v>
      </c>
      <c r="D11227" t="s">
        <v>26</v>
      </c>
      <c r="E11227">
        <v>753</v>
      </c>
    </row>
    <row r="11228" spans="1:5" x14ac:dyDescent="0.55000000000000004">
      <c r="A11228" t="s">
        <v>11309</v>
      </c>
      <c r="B11228" t="s">
        <v>94</v>
      </c>
      <c r="C11228" s="2">
        <v>43989</v>
      </c>
      <c r="D11228" t="s">
        <v>29</v>
      </c>
      <c r="E11228">
        <v>379</v>
      </c>
    </row>
    <row r="11229" spans="1:5" x14ac:dyDescent="0.55000000000000004">
      <c r="A11229" t="s">
        <v>11310</v>
      </c>
      <c r="B11229" t="s">
        <v>78</v>
      </c>
      <c r="C11229" s="2">
        <v>44553</v>
      </c>
      <c r="D11229" t="s">
        <v>29</v>
      </c>
      <c r="E11229">
        <v>1446</v>
      </c>
    </row>
    <row r="11230" spans="1:5" x14ac:dyDescent="0.55000000000000004">
      <c r="A11230" t="s">
        <v>11311</v>
      </c>
      <c r="B11230" t="s">
        <v>96</v>
      </c>
      <c r="C11230" s="2">
        <v>44974</v>
      </c>
      <c r="D11230" t="s">
        <v>26</v>
      </c>
      <c r="E11230">
        <v>1856</v>
      </c>
    </row>
    <row r="11231" spans="1:5" x14ac:dyDescent="0.55000000000000004">
      <c r="A11231" t="s">
        <v>11312</v>
      </c>
      <c r="B11231" t="s">
        <v>35</v>
      </c>
      <c r="C11231" s="2">
        <v>44098</v>
      </c>
      <c r="D11231" t="s">
        <v>26</v>
      </c>
      <c r="E11231">
        <v>1985</v>
      </c>
    </row>
    <row r="11232" spans="1:5" x14ac:dyDescent="0.55000000000000004">
      <c r="A11232" t="s">
        <v>11313</v>
      </c>
      <c r="B11232" t="s">
        <v>101</v>
      </c>
      <c r="C11232" s="2">
        <v>43763</v>
      </c>
      <c r="D11232" t="s">
        <v>26</v>
      </c>
      <c r="E11232">
        <v>1118</v>
      </c>
    </row>
    <row r="11233" spans="1:5" x14ac:dyDescent="0.55000000000000004">
      <c r="A11233" t="s">
        <v>11314</v>
      </c>
      <c r="B11233" t="s">
        <v>74</v>
      </c>
      <c r="C11233" s="2">
        <v>43500</v>
      </c>
      <c r="D11233" t="s">
        <v>26</v>
      </c>
      <c r="E11233">
        <v>1759</v>
      </c>
    </row>
    <row r="11234" spans="1:5" x14ac:dyDescent="0.55000000000000004">
      <c r="A11234" t="s">
        <v>11315</v>
      </c>
      <c r="B11234" t="s">
        <v>156</v>
      </c>
      <c r="C11234" s="2">
        <v>43355</v>
      </c>
      <c r="D11234" t="s">
        <v>26</v>
      </c>
      <c r="E11234">
        <v>757</v>
      </c>
    </row>
    <row r="11235" spans="1:5" x14ac:dyDescent="0.55000000000000004">
      <c r="A11235" t="s">
        <v>11316</v>
      </c>
      <c r="B11235" t="s">
        <v>32</v>
      </c>
      <c r="C11235" s="2">
        <v>44797</v>
      </c>
      <c r="D11235" t="s">
        <v>26</v>
      </c>
      <c r="E11235">
        <v>2232</v>
      </c>
    </row>
    <row r="11236" spans="1:5" x14ac:dyDescent="0.55000000000000004">
      <c r="A11236" t="s">
        <v>11317</v>
      </c>
      <c r="B11236" t="s">
        <v>74</v>
      </c>
      <c r="C11236" s="2">
        <v>43368</v>
      </c>
      <c r="D11236" t="s">
        <v>29</v>
      </c>
      <c r="E11236">
        <v>635</v>
      </c>
    </row>
    <row r="11237" spans="1:5" x14ac:dyDescent="0.55000000000000004">
      <c r="A11237" t="s">
        <v>11318</v>
      </c>
      <c r="B11237" t="s">
        <v>105</v>
      </c>
      <c r="C11237" s="2">
        <v>44126</v>
      </c>
      <c r="D11237" t="s">
        <v>26</v>
      </c>
      <c r="E11237">
        <v>499</v>
      </c>
    </row>
    <row r="11238" spans="1:5" x14ac:dyDescent="0.55000000000000004">
      <c r="A11238" t="s">
        <v>11319</v>
      </c>
      <c r="B11238" t="s">
        <v>14</v>
      </c>
      <c r="C11238" s="2">
        <v>44186</v>
      </c>
      <c r="D11238" t="s">
        <v>26</v>
      </c>
      <c r="E11238">
        <v>1481</v>
      </c>
    </row>
    <row r="11239" spans="1:5" x14ac:dyDescent="0.55000000000000004">
      <c r="A11239" t="s">
        <v>11320</v>
      </c>
      <c r="B11239" t="s">
        <v>35</v>
      </c>
      <c r="C11239" s="2">
        <v>44135</v>
      </c>
      <c r="D11239" t="s">
        <v>29</v>
      </c>
      <c r="E11239">
        <v>2749</v>
      </c>
    </row>
    <row r="11240" spans="1:5" x14ac:dyDescent="0.55000000000000004">
      <c r="A11240" t="s">
        <v>11321</v>
      </c>
      <c r="B11240" t="s">
        <v>151</v>
      </c>
      <c r="C11240" s="2">
        <v>44158</v>
      </c>
      <c r="D11240" t="s">
        <v>26</v>
      </c>
      <c r="E11240">
        <v>680</v>
      </c>
    </row>
    <row r="11241" spans="1:5" x14ac:dyDescent="0.55000000000000004">
      <c r="A11241" t="s">
        <v>11322</v>
      </c>
      <c r="B11241" t="s">
        <v>32</v>
      </c>
      <c r="C11241" s="2">
        <v>44587</v>
      </c>
      <c r="D11241" t="s">
        <v>26</v>
      </c>
      <c r="E11241">
        <v>356</v>
      </c>
    </row>
    <row r="11242" spans="1:5" x14ac:dyDescent="0.55000000000000004">
      <c r="A11242" t="s">
        <v>11323</v>
      </c>
      <c r="B11242" t="s">
        <v>41</v>
      </c>
      <c r="C11242" s="2">
        <v>44456</v>
      </c>
      <c r="D11242" t="s">
        <v>29</v>
      </c>
      <c r="E11242">
        <v>545</v>
      </c>
    </row>
    <row r="11243" spans="1:5" x14ac:dyDescent="0.55000000000000004">
      <c r="A11243" t="s">
        <v>11324</v>
      </c>
      <c r="B11243" t="s">
        <v>99</v>
      </c>
      <c r="C11243" s="2">
        <v>44532</v>
      </c>
      <c r="D11243" t="s">
        <v>26</v>
      </c>
      <c r="E11243">
        <v>1887</v>
      </c>
    </row>
    <row r="11244" spans="1:5" x14ac:dyDescent="0.55000000000000004">
      <c r="A11244" t="s">
        <v>11325</v>
      </c>
      <c r="B11244" t="s">
        <v>137</v>
      </c>
      <c r="C11244" s="2">
        <v>45237</v>
      </c>
      <c r="D11244" t="s">
        <v>29</v>
      </c>
      <c r="E11244">
        <v>811</v>
      </c>
    </row>
    <row r="11245" spans="1:5" x14ac:dyDescent="0.55000000000000004">
      <c r="A11245" t="s">
        <v>11326</v>
      </c>
      <c r="B11245" t="s">
        <v>32</v>
      </c>
      <c r="C11245" s="2">
        <v>43942</v>
      </c>
      <c r="D11245" t="s">
        <v>29</v>
      </c>
      <c r="E11245">
        <v>2205</v>
      </c>
    </row>
    <row r="11246" spans="1:5" x14ac:dyDescent="0.55000000000000004">
      <c r="A11246" t="s">
        <v>11327</v>
      </c>
      <c r="B11246" t="s">
        <v>151</v>
      </c>
      <c r="C11246" s="2">
        <v>44267</v>
      </c>
      <c r="D11246" t="s">
        <v>29</v>
      </c>
      <c r="E11246">
        <v>2043</v>
      </c>
    </row>
    <row r="11247" spans="1:5" x14ac:dyDescent="0.55000000000000004">
      <c r="A11247" t="s">
        <v>11328</v>
      </c>
      <c r="B11247" t="s">
        <v>101</v>
      </c>
      <c r="C11247" s="2">
        <v>43854</v>
      </c>
      <c r="D11247" t="s">
        <v>26</v>
      </c>
      <c r="E11247">
        <v>206</v>
      </c>
    </row>
    <row r="11248" spans="1:5" x14ac:dyDescent="0.55000000000000004">
      <c r="A11248" t="s">
        <v>11329</v>
      </c>
      <c r="B11248" t="s">
        <v>15</v>
      </c>
      <c r="C11248" s="2">
        <v>43952</v>
      </c>
      <c r="D11248" t="s">
        <v>26</v>
      </c>
      <c r="E11248">
        <v>1272</v>
      </c>
    </row>
    <row r="11249" spans="1:5" x14ac:dyDescent="0.55000000000000004">
      <c r="A11249" t="s">
        <v>11330</v>
      </c>
      <c r="B11249" t="s">
        <v>156</v>
      </c>
      <c r="C11249" s="2">
        <v>43734</v>
      </c>
      <c r="D11249" t="s">
        <v>29</v>
      </c>
      <c r="E11249">
        <v>1606</v>
      </c>
    </row>
    <row r="11250" spans="1:5" x14ac:dyDescent="0.55000000000000004">
      <c r="A11250" t="s">
        <v>11331</v>
      </c>
      <c r="B11250" t="s">
        <v>101</v>
      </c>
      <c r="C11250" s="2">
        <v>44161</v>
      </c>
      <c r="D11250" t="s">
        <v>29</v>
      </c>
      <c r="E11250">
        <v>2817</v>
      </c>
    </row>
    <row r="11251" spans="1:5" x14ac:dyDescent="0.55000000000000004">
      <c r="A11251" t="s">
        <v>11332</v>
      </c>
      <c r="B11251" t="s">
        <v>99</v>
      </c>
      <c r="C11251" s="2">
        <v>44375</v>
      </c>
      <c r="D11251" t="s">
        <v>29</v>
      </c>
      <c r="E11251">
        <v>2802</v>
      </c>
    </row>
    <row r="11252" spans="1:5" x14ac:dyDescent="0.55000000000000004">
      <c r="A11252" t="s">
        <v>11333</v>
      </c>
      <c r="B11252" t="s">
        <v>175</v>
      </c>
      <c r="C11252" s="2">
        <v>43485</v>
      </c>
      <c r="D11252" t="s">
        <v>29</v>
      </c>
      <c r="E11252">
        <v>861</v>
      </c>
    </row>
    <row r="11253" spans="1:5" x14ac:dyDescent="0.55000000000000004">
      <c r="A11253" t="s">
        <v>11334</v>
      </c>
      <c r="B11253" t="s">
        <v>67</v>
      </c>
      <c r="C11253" s="2">
        <v>45139</v>
      </c>
      <c r="D11253" t="s">
        <v>26</v>
      </c>
      <c r="E11253">
        <v>2794</v>
      </c>
    </row>
    <row r="11254" spans="1:5" x14ac:dyDescent="0.55000000000000004">
      <c r="A11254" t="s">
        <v>11335</v>
      </c>
      <c r="B11254" t="s">
        <v>78</v>
      </c>
      <c r="C11254" s="2">
        <v>44924</v>
      </c>
      <c r="D11254" t="s">
        <v>26</v>
      </c>
      <c r="E11254">
        <v>2168</v>
      </c>
    </row>
    <row r="11255" spans="1:5" x14ac:dyDescent="0.55000000000000004">
      <c r="A11255" t="s">
        <v>11336</v>
      </c>
      <c r="B11255" t="s">
        <v>111</v>
      </c>
      <c r="C11255" s="2">
        <v>43603</v>
      </c>
      <c r="D11255" t="s">
        <v>26</v>
      </c>
      <c r="E11255">
        <v>1368</v>
      </c>
    </row>
    <row r="11256" spans="1:5" x14ac:dyDescent="0.55000000000000004">
      <c r="A11256" t="s">
        <v>11337</v>
      </c>
      <c r="B11256" t="s">
        <v>137</v>
      </c>
      <c r="C11256" s="2">
        <v>45215</v>
      </c>
      <c r="D11256" t="s">
        <v>26</v>
      </c>
      <c r="E11256">
        <v>2338</v>
      </c>
    </row>
    <row r="11257" spans="1:5" x14ac:dyDescent="0.55000000000000004">
      <c r="A11257" t="s">
        <v>11338</v>
      </c>
      <c r="B11257" t="s">
        <v>96</v>
      </c>
      <c r="C11257" s="2">
        <v>44221</v>
      </c>
      <c r="D11257" t="s">
        <v>29</v>
      </c>
      <c r="E11257">
        <v>1557</v>
      </c>
    </row>
    <row r="11258" spans="1:5" x14ac:dyDescent="0.55000000000000004">
      <c r="A11258" t="s">
        <v>11339</v>
      </c>
      <c r="B11258" t="s">
        <v>23</v>
      </c>
      <c r="C11258" s="2">
        <v>44130</v>
      </c>
      <c r="D11258" t="s">
        <v>26</v>
      </c>
      <c r="E11258">
        <v>584</v>
      </c>
    </row>
    <row r="11259" spans="1:5" x14ac:dyDescent="0.55000000000000004">
      <c r="A11259" t="s">
        <v>11340</v>
      </c>
      <c r="B11259" t="s">
        <v>111</v>
      </c>
      <c r="C11259" s="2">
        <v>43834</v>
      </c>
      <c r="D11259" t="s">
        <v>26</v>
      </c>
      <c r="E11259">
        <v>1998</v>
      </c>
    </row>
    <row r="11260" spans="1:5" x14ac:dyDescent="0.55000000000000004">
      <c r="A11260" t="s">
        <v>11341</v>
      </c>
      <c r="B11260" t="s">
        <v>63</v>
      </c>
      <c r="C11260" s="2">
        <v>44211</v>
      </c>
      <c r="D11260" t="s">
        <v>29</v>
      </c>
      <c r="E11260">
        <v>2940</v>
      </c>
    </row>
    <row r="11261" spans="1:5" x14ac:dyDescent="0.55000000000000004">
      <c r="A11261" t="s">
        <v>11342</v>
      </c>
      <c r="B11261" t="s">
        <v>175</v>
      </c>
      <c r="C11261" s="2">
        <v>45157</v>
      </c>
      <c r="D11261" t="s">
        <v>26</v>
      </c>
      <c r="E11261">
        <v>1939</v>
      </c>
    </row>
    <row r="11262" spans="1:5" x14ac:dyDescent="0.55000000000000004">
      <c r="A11262" t="s">
        <v>11343</v>
      </c>
      <c r="B11262" t="s">
        <v>142</v>
      </c>
      <c r="C11262" s="2">
        <v>44407</v>
      </c>
      <c r="D11262" t="s">
        <v>29</v>
      </c>
      <c r="E11262">
        <v>1914</v>
      </c>
    </row>
    <row r="11263" spans="1:5" x14ac:dyDescent="0.55000000000000004">
      <c r="A11263" t="s">
        <v>11344</v>
      </c>
      <c r="B11263" t="s">
        <v>105</v>
      </c>
      <c r="C11263" s="2">
        <v>43311</v>
      </c>
      <c r="D11263" t="s">
        <v>26</v>
      </c>
      <c r="E11263">
        <v>1037</v>
      </c>
    </row>
    <row r="11264" spans="1:5" x14ac:dyDescent="0.55000000000000004">
      <c r="A11264" t="s">
        <v>11345</v>
      </c>
      <c r="B11264" t="s">
        <v>35</v>
      </c>
      <c r="C11264" s="2">
        <v>44345</v>
      </c>
      <c r="D11264" t="s">
        <v>29</v>
      </c>
      <c r="E11264">
        <v>1704</v>
      </c>
    </row>
    <row r="11265" spans="1:5" x14ac:dyDescent="0.55000000000000004">
      <c r="A11265" t="s">
        <v>11346</v>
      </c>
      <c r="B11265" t="s">
        <v>101</v>
      </c>
      <c r="C11265" s="2">
        <v>43132</v>
      </c>
      <c r="D11265" t="s">
        <v>26</v>
      </c>
      <c r="E11265">
        <v>1447</v>
      </c>
    </row>
    <row r="11266" spans="1:5" x14ac:dyDescent="0.55000000000000004">
      <c r="A11266" t="s">
        <v>11347</v>
      </c>
      <c r="B11266" t="s">
        <v>115</v>
      </c>
      <c r="C11266" s="2">
        <v>43527</v>
      </c>
      <c r="D11266" t="s">
        <v>29</v>
      </c>
      <c r="E11266">
        <v>356</v>
      </c>
    </row>
    <row r="11267" spans="1:5" x14ac:dyDescent="0.55000000000000004">
      <c r="A11267" t="s">
        <v>11348</v>
      </c>
      <c r="B11267" t="s">
        <v>99</v>
      </c>
      <c r="C11267" s="2">
        <v>43663</v>
      </c>
      <c r="D11267" t="s">
        <v>29</v>
      </c>
      <c r="E11267">
        <v>2102</v>
      </c>
    </row>
    <row r="11268" spans="1:5" x14ac:dyDescent="0.55000000000000004">
      <c r="A11268" t="s">
        <v>11349</v>
      </c>
      <c r="B11268" t="s">
        <v>101</v>
      </c>
      <c r="C11268" s="2">
        <v>43262</v>
      </c>
      <c r="D11268" t="s">
        <v>29</v>
      </c>
      <c r="E11268">
        <v>2129</v>
      </c>
    </row>
    <row r="11269" spans="1:5" x14ac:dyDescent="0.55000000000000004">
      <c r="A11269" t="s">
        <v>11350</v>
      </c>
      <c r="B11269" t="s">
        <v>41</v>
      </c>
      <c r="C11269" s="2">
        <v>44899</v>
      </c>
      <c r="D11269" t="s">
        <v>29</v>
      </c>
      <c r="E11269">
        <v>2523</v>
      </c>
    </row>
    <row r="11270" spans="1:5" x14ac:dyDescent="0.55000000000000004">
      <c r="A11270" t="s">
        <v>11351</v>
      </c>
      <c r="B11270" t="s">
        <v>105</v>
      </c>
      <c r="C11270" s="2">
        <v>43473</v>
      </c>
      <c r="D11270" t="s">
        <v>29</v>
      </c>
      <c r="E11270">
        <v>2474</v>
      </c>
    </row>
    <row r="11271" spans="1:5" x14ac:dyDescent="0.55000000000000004">
      <c r="A11271" t="s">
        <v>11352</v>
      </c>
      <c r="B11271" t="s">
        <v>94</v>
      </c>
      <c r="C11271" s="2">
        <v>44509</v>
      </c>
      <c r="D11271" t="s">
        <v>26</v>
      </c>
      <c r="E11271">
        <v>1006</v>
      </c>
    </row>
    <row r="11272" spans="1:5" x14ac:dyDescent="0.55000000000000004">
      <c r="A11272" t="s">
        <v>11353</v>
      </c>
      <c r="B11272" t="s">
        <v>38</v>
      </c>
      <c r="C11272" s="2">
        <v>44568</v>
      </c>
      <c r="D11272" t="s">
        <v>26</v>
      </c>
      <c r="E11272">
        <v>2130</v>
      </c>
    </row>
    <row r="11273" spans="1:5" x14ac:dyDescent="0.55000000000000004">
      <c r="A11273" t="s">
        <v>11354</v>
      </c>
      <c r="B11273" t="s">
        <v>140</v>
      </c>
      <c r="C11273" s="2">
        <v>44190</v>
      </c>
      <c r="D11273" t="s">
        <v>29</v>
      </c>
      <c r="E11273">
        <v>1708</v>
      </c>
    </row>
    <row r="11274" spans="1:5" x14ac:dyDescent="0.55000000000000004">
      <c r="A11274" t="s">
        <v>11355</v>
      </c>
      <c r="B11274" t="s">
        <v>137</v>
      </c>
      <c r="C11274" s="2">
        <v>43821</v>
      </c>
      <c r="D11274" t="s">
        <v>26</v>
      </c>
      <c r="E11274">
        <v>2732</v>
      </c>
    </row>
    <row r="11275" spans="1:5" x14ac:dyDescent="0.55000000000000004">
      <c r="A11275" t="s">
        <v>11356</v>
      </c>
      <c r="B11275" t="s">
        <v>156</v>
      </c>
      <c r="C11275" s="2">
        <v>43476</v>
      </c>
      <c r="D11275" t="s">
        <v>26</v>
      </c>
      <c r="E11275">
        <v>2299</v>
      </c>
    </row>
    <row r="11276" spans="1:5" x14ac:dyDescent="0.55000000000000004">
      <c r="A11276" t="s">
        <v>11357</v>
      </c>
      <c r="B11276" t="s">
        <v>99</v>
      </c>
      <c r="C11276" s="2">
        <v>44399</v>
      </c>
      <c r="D11276" t="s">
        <v>26</v>
      </c>
      <c r="E11276">
        <v>415</v>
      </c>
    </row>
    <row r="11277" spans="1:5" x14ac:dyDescent="0.55000000000000004">
      <c r="A11277" t="s">
        <v>11358</v>
      </c>
      <c r="B11277" t="s">
        <v>99</v>
      </c>
      <c r="C11277" s="2">
        <v>44480</v>
      </c>
      <c r="D11277" t="s">
        <v>26</v>
      </c>
      <c r="E11277">
        <v>496</v>
      </c>
    </row>
    <row r="11278" spans="1:5" x14ac:dyDescent="0.55000000000000004">
      <c r="A11278" t="s">
        <v>11359</v>
      </c>
      <c r="B11278" t="s">
        <v>101</v>
      </c>
      <c r="C11278" s="2">
        <v>44103</v>
      </c>
      <c r="D11278" t="s">
        <v>26</v>
      </c>
      <c r="E11278">
        <v>1097</v>
      </c>
    </row>
    <row r="11279" spans="1:5" x14ac:dyDescent="0.55000000000000004">
      <c r="A11279" t="s">
        <v>11360</v>
      </c>
      <c r="B11279" t="s">
        <v>96</v>
      </c>
      <c r="C11279" s="2">
        <v>45189</v>
      </c>
      <c r="D11279" t="s">
        <v>26</v>
      </c>
      <c r="E11279">
        <v>553</v>
      </c>
    </row>
    <row r="11280" spans="1:5" x14ac:dyDescent="0.55000000000000004">
      <c r="A11280" t="s">
        <v>11361</v>
      </c>
      <c r="B11280" t="s">
        <v>35</v>
      </c>
      <c r="C11280" s="2">
        <v>44247</v>
      </c>
      <c r="D11280" t="s">
        <v>29</v>
      </c>
      <c r="E11280">
        <v>2022</v>
      </c>
    </row>
    <row r="11281" spans="1:5" x14ac:dyDescent="0.55000000000000004">
      <c r="A11281" t="s">
        <v>11362</v>
      </c>
      <c r="B11281" t="s">
        <v>32</v>
      </c>
      <c r="C11281" s="2">
        <v>44338</v>
      </c>
      <c r="D11281" t="s">
        <v>26</v>
      </c>
      <c r="E11281">
        <v>372</v>
      </c>
    </row>
    <row r="11282" spans="1:5" x14ac:dyDescent="0.55000000000000004">
      <c r="A11282" t="s">
        <v>11363</v>
      </c>
      <c r="B11282" t="s">
        <v>118</v>
      </c>
      <c r="C11282" s="2">
        <v>44112</v>
      </c>
      <c r="D11282" t="s">
        <v>26</v>
      </c>
      <c r="E11282">
        <v>113</v>
      </c>
    </row>
    <row r="11283" spans="1:5" x14ac:dyDescent="0.55000000000000004">
      <c r="A11283" t="s">
        <v>11364</v>
      </c>
      <c r="B11283" t="s">
        <v>74</v>
      </c>
      <c r="C11283" s="2">
        <v>43706</v>
      </c>
      <c r="D11283" t="s">
        <v>26</v>
      </c>
      <c r="E11283">
        <v>392</v>
      </c>
    </row>
    <row r="11284" spans="1:5" x14ac:dyDescent="0.55000000000000004">
      <c r="A11284" t="s">
        <v>11365</v>
      </c>
      <c r="B11284" t="s">
        <v>67</v>
      </c>
      <c r="C11284" s="2">
        <v>44969</v>
      </c>
      <c r="D11284" t="s">
        <v>26</v>
      </c>
      <c r="E11284">
        <v>127</v>
      </c>
    </row>
    <row r="11285" spans="1:5" x14ac:dyDescent="0.55000000000000004">
      <c r="A11285" t="s">
        <v>11366</v>
      </c>
      <c r="B11285" t="s">
        <v>14</v>
      </c>
      <c r="C11285" s="2">
        <v>44201</v>
      </c>
      <c r="D11285" t="s">
        <v>26</v>
      </c>
      <c r="E11285">
        <v>984</v>
      </c>
    </row>
    <row r="11286" spans="1:5" x14ac:dyDescent="0.55000000000000004">
      <c r="A11286" t="s">
        <v>11367</v>
      </c>
      <c r="B11286" t="s">
        <v>23</v>
      </c>
      <c r="C11286" s="2">
        <v>44034</v>
      </c>
      <c r="D11286" t="s">
        <v>29</v>
      </c>
      <c r="E11286">
        <v>622</v>
      </c>
    </row>
    <row r="11287" spans="1:5" x14ac:dyDescent="0.55000000000000004">
      <c r="A11287" t="s">
        <v>11368</v>
      </c>
      <c r="B11287" t="s">
        <v>151</v>
      </c>
      <c r="C11287" s="2">
        <v>43066</v>
      </c>
      <c r="D11287" t="s">
        <v>26</v>
      </c>
      <c r="E11287">
        <v>992</v>
      </c>
    </row>
    <row r="11288" spans="1:5" x14ac:dyDescent="0.55000000000000004">
      <c r="A11288" t="s">
        <v>11369</v>
      </c>
      <c r="B11288" t="s">
        <v>175</v>
      </c>
      <c r="C11288" s="2">
        <v>45083</v>
      </c>
      <c r="D11288" t="s">
        <v>26</v>
      </c>
      <c r="E11288">
        <v>2780</v>
      </c>
    </row>
    <row r="11289" spans="1:5" x14ac:dyDescent="0.55000000000000004">
      <c r="A11289" t="s">
        <v>11370</v>
      </c>
      <c r="B11289" t="s">
        <v>74</v>
      </c>
      <c r="C11289" s="2">
        <v>43513</v>
      </c>
      <c r="D11289" t="s">
        <v>26</v>
      </c>
      <c r="E11289">
        <v>2431</v>
      </c>
    </row>
    <row r="11290" spans="1:5" x14ac:dyDescent="0.55000000000000004">
      <c r="A11290" t="s">
        <v>11371</v>
      </c>
      <c r="B11290" t="s">
        <v>99</v>
      </c>
      <c r="C11290" s="2">
        <v>44192</v>
      </c>
      <c r="D11290" t="s">
        <v>26</v>
      </c>
      <c r="E11290">
        <v>687</v>
      </c>
    </row>
    <row r="11291" spans="1:5" x14ac:dyDescent="0.55000000000000004">
      <c r="A11291" t="s">
        <v>11372</v>
      </c>
      <c r="B11291" t="s">
        <v>96</v>
      </c>
      <c r="C11291" s="2">
        <v>43652</v>
      </c>
      <c r="D11291" t="s">
        <v>26</v>
      </c>
      <c r="E11291">
        <v>1001</v>
      </c>
    </row>
    <row r="11292" spans="1:5" x14ac:dyDescent="0.55000000000000004">
      <c r="A11292" t="s">
        <v>11373</v>
      </c>
      <c r="B11292" t="s">
        <v>115</v>
      </c>
      <c r="C11292" s="2">
        <v>44041</v>
      </c>
      <c r="D11292" t="s">
        <v>29</v>
      </c>
      <c r="E11292">
        <v>1982</v>
      </c>
    </row>
    <row r="11293" spans="1:5" x14ac:dyDescent="0.55000000000000004">
      <c r="A11293" t="s">
        <v>11374</v>
      </c>
      <c r="B11293" t="s">
        <v>105</v>
      </c>
      <c r="C11293" s="2">
        <v>42988</v>
      </c>
      <c r="D11293" t="s">
        <v>26</v>
      </c>
      <c r="E11293">
        <v>749</v>
      </c>
    </row>
    <row r="11294" spans="1:5" x14ac:dyDescent="0.55000000000000004">
      <c r="A11294" t="s">
        <v>11375</v>
      </c>
      <c r="B11294" t="s">
        <v>32</v>
      </c>
      <c r="C11294" s="2">
        <v>44543</v>
      </c>
      <c r="D11294" t="s">
        <v>26</v>
      </c>
      <c r="E11294">
        <v>1003</v>
      </c>
    </row>
    <row r="11295" spans="1:5" x14ac:dyDescent="0.55000000000000004">
      <c r="A11295" t="s">
        <v>11376</v>
      </c>
      <c r="B11295" t="s">
        <v>115</v>
      </c>
      <c r="C11295" s="2">
        <v>44275</v>
      </c>
      <c r="D11295" t="s">
        <v>29</v>
      </c>
      <c r="E11295">
        <v>1990</v>
      </c>
    </row>
    <row r="11296" spans="1:5" x14ac:dyDescent="0.55000000000000004">
      <c r="A11296" t="s">
        <v>11377</v>
      </c>
      <c r="B11296" t="s">
        <v>35</v>
      </c>
      <c r="C11296" s="2">
        <v>44486</v>
      </c>
      <c r="D11296" t="s">
        <v>29</v>
      </c>
      <c r="E11296">
        <v>2356</v>
      </c>
    </row>
    <row r="11297" spans="1:5" x14ac:dyDescent="0.55000000000000004">
      <c r="A11297" t="s">
        <v>11378</v>
      </c>
      <c r="B11297" t="s">
        <v>41</v>
      </c>
      <c r="C11297" s="2">
        <v>43859</v>
      </c>
      <c r="D11297" t="s">
        <v>26</v>
      </c>
      <c r="E11297">
        <v>2863</v>
      </c>
    </row>
    <row r="11298" spans="1:5" x14ac:dyDescent="0.55000000000000004">
      <c r="A11298" t="s">
        <v>11379</v>
      </c>
      <c r="B11298" t="s">
        <v>14</v>
      </c>
      <c r="C11298" s="2">
        <v>44330</v>
      </c>
      <c r="D11298" t="s">
        <v>26</v>
      </c>
      <c r="E11298">
        <v>2687</v>
      </c>
    </row>
    <row r="11299" spans="1:5" x14ac:dyDescent="0.55000000000000004">
      <c r="A11299" t="s">
        <v>11380</v>
      </c>
      <c r="B11299" t="s">
        <v>23</v>
      </c>
      <c r="C11299" s="2">
        <v>43993</v>
      </c>
      <c r="D11299" t="s">
        <v>29</v>
      </c>
      <c r="E11299">
        <v>1540</v>
      </c>
    </row>
    <row r="11300" spans="1:5" x14ac:dyDescent="0.55000000000000004">
      <c r="A11300" t="s">
        <v>11381</v>
      </c>
      <c r="B11300" t="s">
        <v>76</v>
      </c>
      <c r="C11300" s="2">
        <v>44869</v>
      </c>
      <c r="D11300" t="s">
        <v>26</v>
      </c>
      <c r="E11300">
        <v>713</v>
      </c>
    </row>
    <row r="11301" spans="1:5" x14ac:dyDescent="0.55000000000000004">
      <c r="A11301" t="s">
        <v>11382</v>
      </c>
      <c r="B11301" t="s">
        <v>156</v>
      </c>
      <c r="C11301" s="2">
        <v>43549</v>
      </c>
      <c r="D11301" t="s">
        <v>26</v>
      </c>
      <c r="E11301">
        <v>1053</v>
      </c>
    </row>
    <row r="11302" spans="1:5" x14ac:dyDescent="0.55000000000000004">
      <c r="A11302" t="s">
        <v>11383</v>
      </c>
      <c r="B11302" t="s">
        <v>151</v>
      </c>
      <c r="C11302" s="2">
        <v>44522</v>
      </c>
      <c r="D11302" t="s">
        <v>29</v>
      </c>
      <c r="E11302">
        <v>465</v>
      </c>
    </row>
    <row r="11303" spans="1:5" x14ac:dyDescent="0.55000000000000004">
      <c r="A11303" t="s">
        <v>11384</v>
      </c>
      <c r="B11303" t="s">
        <v>86</v>
      </c>
      <c r="C11303" s="2">
        <v>43065</v>
      </c>
      <c r="D11303" t="s">
        <v>29</v>
      </c>
      <c r="E11303">
        <v>1166</v>
      </c>
    </row>
    <row r="11304" spans="1:5" x14ac:dyDescent="0.55000000000000004">
      <c r="A11304" t="s">
        <v>11385</v>
      </c>
      <c r="B11304" t="s">
        <v>78</v>
      </c>
      <c r="C11304" s="2">
        <v>45484</v>
      </c>
      <c r="D11304" t="s">
        <v>29</v>
      </c>
      <c r="E11304">
        <v>1783</v>
      </c>
    </row>
    <row r="11305" spans="1:5" x14ac:dyDescent="0.55000000000000004">
      <c r="A11305" t="s">
        <v>11386</v>
      </c>
      <c r="B11305" t="s">
        <v>32</v>
      </c>
      <c r="C11305" s="2">
        <v>44067</v>
      </c>
      <c r="D11305" t="s">
        <v>26</v>
      </c>
      <c r="E11305">
        <v>1905</v>
      </c>
    </row>
    <row r="11306" spans="1:5" x14ac:dyDescent="0.55000000000000004">
      <c r="A11306" t="s">
        <v>11387</v>
      </c>
      <c r="B11306" t="s">
        <v>35</v>
      </c>
      <c r="C11306" s="2">
        <v>43950</v>
      </c>
      <c r="D11306" t="s">
        <v>29</v>
      </c>
      <c r="E11306">
        <v>44</v>
      </c>
    </row>
    <row r="11307" spans="1:5" x14ac:dyDescent="0.55000000000000004">
      <c r="A11307" t="s">
        <v>11388</v>
      </c>
      <c r="B11307" t="s">
        <v>72</v>
      </c>
      <c r="C11307" s="2">
        <v>43905</v>
      </c>
      <c r="D11307" t="s">
        <v>26</v>
      </c>
      <c r="E11307">
        <v>2183</v>
      </c>
    </row>
    <row r="11308" spans="1:5" x14ac:dyDescent="0.55000000000000004">
      <c r="A11308" t="s">
        <v>11389</v>
      </c>
      <c r="B11308" t="s">
        <v>105</v>
      </c>
      <c r="C11308" s="2">
        <v>42984</v>
      </c>
      <c r="D11308" t="s">
        <v>29</v>
      </c>
      <c r="E11308">
        <v>218</v>
      </c>
    </row>
    <row r="11309" spans="1:5" x14ac:dyDescent="0.55000000000000004">
      <c r="A11309" t="s">
        <v>11390</v>
      </c>
      <c r="B11309" t="s">
        <v>142</v>
      </c>
      <c r="C11309" s="2">
        <v>44193</v>
      </c>
      <c r="D11309" t="s">
        <v>26</v>
      </c>
      <c r="E11309">
        <v>2690</v>
      </c>
    </row>
    <row r="11310" spans="1:5" x14ac:dyDescent="0.55000000000000004">
      <c r="A11310" t="s">
        <v>11391</v>
      </c>
      <c r="B11310" t="s">
        <v>78</v>
      </c>
      <c r="C11310" s="2">
        <v>45594</v>
      </c>
      <c r="D11310" t="s">
        <v>26</v>
      </c>
      <c r="E11310">
        <v>2233</v>
      </c>
    </row>
    <row r="11311" spans="1:5" x14ac:dyDescent="0.55000000000000004">
      <c r="A11311" t="s">
        <v>11392</v>
      </c>
      <c r="B11311" t="s">
        <v>78</v>
      </c>
      <c r="C11311" s="2">
        <v>44293</v>
      </c>
      <c r="D11311" t="s">
        <v>29</v>
      </c>
      <c r="E11311">
        <v>2568</v>
      </c>
    </row>
    <row r="11312" spans="1:5" x14ac:dyDescent="0.55000000000000004">
      <c r="A11312" t="s">
        <v>11393</v>
      </c>
      <c r="B11312" t="s">
        <v>41</v>
      </c>
      <c r="C11312" s="2">
        <v>44064</v>
      </c>
      <c r="D11312" t="s">
        <v>26</v>
      </c>
      <c r="E11312">
        <v>839</v>
      </c>
    </row>
    <row r="11313" spans="1:5" x14ac:dyDescent="0.55000000000000004">
      <c r="A11313" t="s">
        <v>11394</v>
      </c>
      <c r="B11313" t="s">
        <v>105</v>
      </c>
      <c r="C11313" s="2">
        <v>43148</v>
      </c>
      <c r="D11313" t="s">
        <v>29</v>
      </c>
      <c r="E11313">
        <v>2728</v>
      </c>
    </row>
    <row r="11314" spans="1:5" x14ac:dyDescent="0.55000000000000004">
      <c r="A11314" t="s">
        <v>11395</v>
      </c>
      <c r="B11314" t="s">
        <v>38</v>
      </c>
      <c r="C11314" s="2">
        <v>43856</v>
      </c>
      <c r="D11314" t="s">
        <v>26</v>
      </c>
      <c r="E11314">
        <v>1534</v>
      </c>
    </row>
    <row r="11315" spans="1:5" x14ac:dyDescent="0.55000000000000004">
      <c r="A11315" t="s">
        <v>11396</v>
      </c>
      <c r="B11315" t="s">
        <v>76</v>
      </c>
      <c r="C11315" s="2">
        <v>44345</v>
      </c>
      <c r="D11315" t="s">
        <v>26</v>
      </c>
      <c r="E11315">
        <v>1086</v>
      </c>
    </row>
    <row r="11316" spans="1:5" x14ac:dyDescent="0.55000000000000004">
      <c r="A11316" t="s">
        <v>11397</v>
      </c>
      <c r="B11316" t="s">
        <v>41</v>
      </c>
      <c r="C11316" s="2">
        <v>43986</v>
      </c>
      <c r="D11316" t="s">
        <v>26</v>
      </c>
      <c r="E11316">
        <v>568</v>
      </c>
    </row>
    <row r="11317" spans="1:5" x14ac:dyDescent="0.55000000000000004">
      <c r="A11317" t="s">
        <v>11398</v>
      </c>
      <c r="B11317" t="s">
        <v>38</v>
      </c>
      <c r="C11317" s="2">
        <v>44548</v>
      </c>
      <c r="D11317" t="s">
        <v>26</v>
      </c>
      <c r="E11317">
        <v>2913</v>
      </c>
    </row>
    <row r="11318" spans="1:5" x14ac:dyDescent="0.55000000000000004">
      <c r="A11318" t="s">
        <v>11399</v>
      </c>
      <c r="B11318" t="s">
        <v>15</v>
      </c>
      <c r="C11318" s="2">
        <v>43704</v>
      </c>
      <c r="D11318" t="s">
        <v>26</v>
      </c>
      <c r="E11318">
        <v>1478</v>
      </c>
    </row>
    <row r="11319" spans="1:5" x14ac:dyDescent="0.55000000000000004">
      <c r="A11319" t="s">
        <v>11400</v>
      </c>
      <c r="B11319" t="s">
        <v>72</v>
      </c>
      <c r="C11319" s="2">
        <v>44259</v>
      </c>
      <c r="D11319" t="s">
        <v>26</v>
      </c>
      <c r="E11319">
        <v>671</v>
      </c>
    </row>
    <row r="11320" spans="1:5" x14ac:dyDescent="0.55000000000000004">
      <c r="A11320" t="s">
        <v>11401</v>
      </c>
      <c r="B11320" t="s">
        <v>74</v>
      </c>
      <c r="C11320" s="2">
        <v>43368</v>
      </c>
      <c r="D11320" t="s">
        <v>26</v>
      </c>
      <c r="E11320">
        <v>404</v>
      </c>
    </row>
    <row r="11321" spans="1:5" x14ac:dyDescent="0.55000000000000004">
      <c r="A11321" t="s">
        <v>11402</v>
      </c>
      <c r="B11321" t="s">
        <v>140</v>
      </c>
      <c r="C11321" s="2">
        <v>43874</v>
      </c>
      <c r="D11321" t="s">
        <v>29</v>
      </c>
      <c r="E11321">
        <v>2971</v>
      </c>
    </row>
    <row r="11322" spans="1:5" x14ac:dyDescent="0.55000000000000004">
      <c r="A11322" t="s">
        <v>11403</v>
      </c>
      <c r="B11322" t="s">
        <v>156</v>
      </c>
      <c r="C11322" s="2">
        <v>43256</v>
      </c>
      <c r="D11322" t="s">
        <v>26</v>
      </c>
      <c r="E11322">
        <v>685</v>
      </c>
    </row>
    <row r="11323" spans="1:5" x14ac:dyDescent="0.55000000000000004">
      <c r="A11323" t="s">
        <v>11404</v>
      </c>
      <c r="B11323" t="s">
        <v>94</v>
      </c>
      <c r="C11323" s="2">
        <v>45048</v>
      </c>
      <c r="D11323" t="s">
        <v>29</v>
      </c>
      <c r="E11323">
        <v>2783</v>
      </c>
    </row>
    <row r="11324" spans="1:5" x14ac:dyDescent="0.55000000000000004">
      <c r="A11324" t="s">
        <v>11405</v>
      </c>
      <c r="B11324" t="s">
        <v>14</v>
      </c>
      <c r="C11324" s="2">
        <v>43124</v>
      </c>
      <c r="D11324" t="s">
        <v>26</v>
      </c>
      <c r="E11324">
        <v>1642</v>
      </c>
    </row>
    <row r="11325" spans="1:5" x14ac:dyDescent="0.55000000000000004">
      <c r="A11325" t="s">
        <v>11406</v>
      </c>
      <c r="B11325" t="s">
        <v>15</v>
      </c>
      <c r="C11325" s="2">
        <v>43952</v>
      </c>
      <c r="D11325" t="s">
        <v>26</v>
      </c>
      <c r="E11325">
        <v>462</v>
      </c>
    </row>
    <row r="11326" spans="1:5" x14ac:dyDescent="0.55000000000000004">
      <c r="A11326" t="s">
        <v>11407</v>
      </c>
      <c r="B11326" t="s">
        <v>137</v>
      </c>
      <c r="C11326" s="2">
        <v>45239</v>
      </c>
      <c r="D11326" t="s">
        <v>29</v>
      </c>
      <c r="E11326">
        <v>2199</v>
      </c>
    </row>
    <row r="11327" spans="1:5" x14ac:dyDescent="0.55000000000000004">
      <c r="A11327" t="s">
        <v>11408</v>
      </c>
      <c r="B11327" t="s">
        <v>140</v>
      </c>
      <c r="C11327" s="2">
        <v>44426</v>
      </c>
      <c r="D11327" t="s">
        <v>26</v>
      </c>
      <c r="E11327">
        <v>2448</v>
      </c>
    </row>
    <row r="11328" spans="1:5" x14ac:dyDescent="0.55000000000000004">
      <c r="A11328" t="s">
        <v>11409</v>
      </c>
      <c r="B11328" t="s">
        <v>14</v>
      </c>
      <c r="C11328" s="2">
        <v>43284</v>
      </c>
      <c r="D11328" t="s">
        <v>29</v>
      </c>
      <c r="E11328">
        <v>392</v>
      </c>
    </row>
    <row r="11329" spans="1:5" x14ac:dyDescent="0.55000000000000004">
      <c r="A11329" t="s">
        <v>11410</v>
      </c>
      <c r="B11329" t="s">
        <v>111</v>
      </c>
      <c r="C11329" s="2">
        <v>43303</v>
      </c>
      <c r="D11329" t="s">
        <v>29</v>
      </c>
      <c r="E11329">
        <v>1050</v>
      </c>
    </row>
    <row r="11330" spans="1:5" x14ac:dyDescent="0.55000000000000004">
      <c r="A11330" t="s">
        <v>11411</v>
      </c>
      <c r="B11330" t="s">
        <v>118</v>
      </c>
      <c r="C11330" s="2">
        <v>44159</v>
      </c>
      <c r="D11330" t="s">
        <v>29</v>
      </c>
      <c r="E11330">
        <v>1812</v>
      </c>
    </row>
    <row r="11331" spans="1:5" x14ac:dyDescent="0.55000000000000004">
      <c r="A11331" t="s">
        <v>11412</v>
      </c>
      <c r="B11331" t="s">
        <v>63</v>
      </c>
      <c r="C11331" s="2">
        <v>44513</v>
      </c>
      <c r="D11331" t="s">
        <v>26</v>
      </c>
      <c r="E11331">
        <v>698</v>
      </c>
    </row>
    <row r="11332" spans="1:5" x14ac:dyDescent="0.55000000000000004">
      <c r="A11332" t="s">
        <v>11413</v>
      </c>
      <c r="B11332" t="s">
        <v>105</v>
      </c>
      <c r="C11332" s="2">
        <v>43000</v>
      </c>
      <c r="D11332" t="s">
        <v>29</v>
      </c>
      <c r="E11332">
        <v>342</v>
      </c>
    </row>
    <row r="11333" spans="1:5" x14ac:dyDescent="0.55000000000000004">
      <c r="A11333" t="s">
        <v>11414</v>
      </c>
      <c r="B11333" t="s">
        <v>96</v>
      </c>
      <c r="C11333" s="2">
        <v>44850</v>
      </c>
      <c r="D11333" t="s">
        <v>26</v>
      </c>
      <c r="E11333">
        <v>2624</v>
      </c>
    </row>
    <row r="11334" spans="1:5" x14ac:dyDescent="0.55000000000000004">
      <c r="A11334" t="s">
        <v>11415</v>
      </c>
      <c r="B11334" t="s">
        <v>76</v>
      </c>
      <c r="C11334" s="2">
        <v>43560</v>
      </c>
      <c r="D11334" t="s">
        <v>29</v>
      </c>
      <c r="E11334">
        <v>2759</v>
      </c>
    </row>
    <row r="11335" spans="1:5" x14ac:dyDescent="0.55000000000000004">
      <c r="A11335" t="s">
        <v>11416</v>
      </c>
      <c r="B11335" t="s">
        <v>14</v>
      </c>
      <c r="C11335" s="2">
        <v>43656</v>
      </c>
      <c r="D11335" t="s">
        <v>26</v>
      </c>
      <c r="E11335">
        <v>317</v>
      </c>
    </row>
    <row r="11336" spans="1:5" x14ac:dyDescent="0.55000000000000004">
      <c r="A11336" t="s">
        <v>11417</v>
      </c>
      <c r="B11336" t="s">
        <v>32</v>
      </c>
      <c r="C11336" s="2">
        <v>44899</v>
      </c>
      <c r="D11336" t="s">
        <v>29</v>
      </c>
      <c r="E11336">
        <v>304</v>
      </c>
    </row>
    <row r="11337" spans="1:5" x14ac:dyDescent="0.55000000000000004">
      <c r="A11337" t="s">
        <v>11418</v>
      </c>
      <c r="B11337" t="s">
        <v>142</v>
      </c>
      <c r="C11337" s="2">
        <v>44278</v>
      </c>
      <c r="D11337" t="s">
        <v>29</v>
      </c>
      <c r="E11337">
        <v>112</v>
      </c>
    </row>
    <row r="11338" spans="1:5" x14ac:dyDescent="0.55000000000000004">
      <c r="A11338" t="s">
        <v>11419</v>
      </c>
      <c r="B11338" t="s">
        <v>15</v>
      </c>
      <c r="C11338" s="2">
        <v>43577</v>
      </c>
      <c r="D11338" t="s">
        <v>29</v>
      </c>
      <c r="E11338">
        <v>10</v>
      </c>
    </row>
    <row r="11339" spans="1:5" x14ac:dyDescent="0.55000000000000004">
      <c r="A11339" t="s">
        <v>11420</v>
      </c>
      <c r="B11339" t="s">
        <v>67</v>
      </c>
      <c r="C11339" s="2">
        <v>44528</v>
      </c>
      <c r="D11339" t="s">
        <v>29</v>
      </c>
      <c r="E11339">
        <v>670</v>
      </c>
    </row>
    <row r="11340" spans="1:5" x14ac:dyDescent="0.55000000000000004">
      <c r="A11340" t="s">
        <v>11421</v>
      </c>
      <c r="B11340" t="s">
        <v>99</v>
      </c>
      <c r="C11340" s="2">
        <v>44658</v>
      </c>
      <c r="D11340" t="s">
        <v>29</v>
      </c>
      <c r="E11340">
        <v>2004</v>
      </c>
    </row>
    <row r="11341" spans="1:5" x14ac:dyDescent="0.55000000000000004">
      <c r="A11341" t="s">
        <v>11422</v>
      </c>
      <c r="B11341" t="s">
        <v>15</v>
      </c>
      <c r="C11341" s="2">
        <v>43044</v>
      </c>
      <c r="D11341" t="s">
        <v>26</v>
      </c>
      <c r="E11341">
        <v>2033</v>
      </c>
    </row>
    <row r="11342" spans="1:5" x14ac:dyDescent="0.55000000000000004">
      <c r="A11342" t="s">
        <v>11423</v>
      </c>
      <c r="B11342" t="s">
        <v>67</v>
      </c>
      <c r="C11342" s="2">
        <v>44492</v>
      </c>
      <c r="D11342" t="s">
        <v>29</v>
      </c>
      <c r="E11342">
        <v>1851</v>
      </c>
    </row>
    <row r="11343" spans="1:5" x14ac:dyDescent="0.55000000000000004">
      <c r="A11343" t="s">
        <v>11424</v>
      </c>
      <c r="B11343" t="s">
        <v>32</v>
      </c>
      <c r="C11343" s="2">
        <v>44838</v>
      </c>
      <c r="D11343" t="s">
        <v>26</v>
      </c>
      <c r="E11343">
        <v>28</v>
      </c>
    </row>
    <row r="11344" spans="1:5" x14ac:dyDescent="0.55000000000000004">
      <c r="A11344" t="s">
        <v>11425</v>
      </c>
      <c r="B11344" t="s">
        <v>99</v>
      </c>
      <c r="C11344" s="2">
        <v>44396</v>
      </c>
      <c r="D11344" t="s">
        <v>26</v>
      </c>
      <c r="E11344">
        <v>2664</v>
      </c>
    </row>
    <row r="11345" spans="1:5" x14ac:dyDescent="0.55000000000000004">
      <c r="A11345" t="s">
        <v>11426</v>
      </c>
      <c r="B11345" t="s">
        <v>15</v>
      </c>
      <c r="C11345" s="2">
        <v>43721</v>
      </c>
      <c r="D11345" t="s">
        <v>29</v>
      </c>
      <c r="E11345">
        <v>2702</v>
      </c>
    </row>
    <row r="11346" spans="1:5" x14ac:dyDescent="0.55000000000000004">
      <c r="A11346" t="s">
        <v>11427</v>
      </c>
      <c r="B11346" t="s">
        <v>156</v>
      </c>
      <c r="C11346" s="2">
        <v>42999</v>
      </c>
      <c r="D11346" t="s">
        <v>29</v>
      </c>
      <c r="E11346">
        <v>2088</v>
      </c>
    </row>
    <row r="11347" spans="1:5" x14ac:dyDescent="0.55000000000000004">
      <c r="A11347" t="s">
        <v>11428</v>
      </c>
      <c r="B11347" t="s">
        <v>63</v>
      </c>
      <c r="C11347" s="2">
        <v>43576</v>
      </c>
      <c r="D11347" t="s">
        <v>29</v>
      </c>
      <c r="E11347">
        <v>2940</v>
      </c>
    </row>
    <row r="11348" spans="1:5" x14ac:dyDescent="0.55000000000000004">
      <c r="A11348" t="s">
        <v>11429</v>
      </c>
      <c r="B11348" t="s">
        <v>94</v>
      </c>
      <c r="C11348" s="2">
        <v>43497</v>
      </c>
      <c r="D11348" t="s">
        <v>26</v>
      </c>
      <c r="E11348">
        <v>2037</v>
      </c>
    </row>
    <row r="11349" spans="1:5" x14ac:dyDescent="0.55000000000000004">
      <c r="A11349" t="s">
        <v>11430</v>
      </c>
      <c r="B11349" t="s">
        <v>94</v>
      </c>
      <c r="C11349" s="2">
        <v>44135</v>
      </c>
      <c r="D11349" t="s">
        <v>29</v>
      </c>
      <c r="E11349">
        <v>684</v>
      </c>
    </row>
    <row r="11350" spans="1:5" x14ac:dyDescent="0.55000000000000004">
      <c r="A11350" t="s">
        <v>11431</v>
      </c>
      <c r="B11350" t="s">
        <v>15</v>
      </c>
      <c r="C11350" s="2">
        <v>44230</v>
      </c>
      <c r="D11350" t="s">
        <v>29</v>
      </c>
      <c r="E11350">
        <v>992</v>
      </c>
    </row>
    <row r="11351" spans="1:5" x14ac:dyDescent="0.55000000000000004">
      <c r="A11351" t="s">
        <v>11432</v>
      </c>
      <c r="B11351" t="s">
        <v>78</v>
      </c>
      <c r="C11351" s="2">
        <v>44029</v>
      </c>
      <c r="D11351" t="s">
        <v>26</v>
      </c>
      <c r="E11351">
        <v>2313</v>
      </c>
    </row>
    <row r="11352" spans="1:5" x14ac:dyDescent="0.55000000000000004">
      <c r="A11352" t="s">
        <v>11433</v>
      </c>
      <c r="B11352" t="s">
        <v>14</v>
      </c>
      <c r="C11352" s="2">
        <v>43158</v>
      </c>
      <c r="D11352" t="s">
        <v>26</v>
      </c>
      <c r="E11352">
        <v>534</v>
      </c>
    </row>
    <row r="11353" spans="1:5" x14ac:dyDescent="0.55000000000000004">
      <c r="A11353" t="s">
        <v>11434</v>
      </c>
      <c r="B11353" t="s">
        <v>14</v>
      </c>
      <c r="C11353" s="2">
        <v>43656</v>
      </c>
      <c r="D11353" t="s">
        <v>26</v>
      </c>
      <c r="E11353">
        <v>368</v>
      </c>
    </row>
    <row r="11354" spans="1:5" x14ac:dyDescent="0.55000000000000004">
      <c r="A11354" t="s">
        <v>11435</v>
      </c>
      <c r="B11354" t="s">
        <v>118</v>
      </c>
      <c r="C11354" s="2">
        <v>44111</v>
      </c>
      <c r="D11354" t="s">
        <v>26</v>
      </c>
      <c r="E11354">
        <v>791</v>
      </c>
    </row>
    <row r="11355" spans="1:5" x14ac:dyDescent="0.55000000000000004">
      <c r="A11355" t="s">
        <v>11436</v>
      </c>
      <c r="B11355" t="s">
        <v>84</v>
      </c>
      <c r="C11355" s="2">
        <v>42973</v>
      </c>
      <c r="D11355" t="s">
        <v>29</v>
      </c>
      <c r="E11355">
        <v>800</v>
      </c>
    </row>
    <row r="11356" spans="1:5" x14ac:dyDescent="0.55000000000000004">
      <c r="A11356" t="s">
        <v>11437</v>
      </c>
      <c r="B11356" t="s">
        <v>76</v>
      </c>
      <c r="C11356" s="2">
        <v>45036</v>
      </c>
      <c r="D11356" t="s">
        <v>26</v>
      </c>
      <c r="E11356">
        <v>298</v>
      </c>
    </row>
    <row r="11357" spans="1:5" x14ac:dyDescent="0.55000000000000004">
      <c r="A11357" t="s">
        <v>11438</v>
      </c>
      <c r="B11357" t="s">
        <v>94</v>
      </c>
      <c r="C11357" s="2">
        <v>43627</v>
      </c>
      <c r="D11357" t="s">
        <v>29</v>
      </c>
      <c r="E11357">
        <v>120</v>
      </c>
    </row>
    <row r="11358" spans="1:5" x14ac:dyDescent="0.55000000000000004">
      <c r="A11358" t="s">
        <v>11439</v>
      </c>
      <c r="B11358" t="s">
        <v>105</v>
      </c>
      <c r="C11358" s="2">
        <v>43537</v>
      </c>
      <c r="D11358" t="s">
        <v>26</v>
      </c>
      <c r="E11358">
        <v>1643</v>
      </c>
    </row>
    <row r="11359" spans="1:5" x14ac:dyDescent="0.55000000000000004">
      <c r="A11359" t="s">
        <v>11440</v>
      </c>
      <c r="B11359" t="s">
        <v>111</v>
      </c>
      <c r="C11359" s="2">
        <v>43048</v>
      </c>
      <c r="D11359" t="s">
        <v>26</v>
      </c>
      <c r="E11359">
        <v>2762</v>
      </c>
    </row>
    <row r="11360" spans="1:5" x14ac:dyDescent="0.55000000000000004">
      <c r="A11360" t="s">
        <v>11441</v>
      </c>
      <c r="B11360" t="s">
        <v>96</v>
      </c>
      <c r="C11360" s="2">
        <v>44584</v>
      </c>
      <c r="D11360" t="s">
        <v>29</v>
      </c>
      <c r="E11360">
        <v>318</v>
      </c>
    </row>
    <row r="11361" spans="1:5" x14ac:dyDescent="0.55000000000000004">
      <c r="A11361" t="s">
        <v>11442</v>
      </c>
      <c r="B11361" t="s">
        <v>78</v>
      </c>
      <c r="C11361" s="2">
        <v>43829</v>
      </c>
      <c r="D11361" t="s">
        <v>29</v>
      </c>
      <c r="E11361">
        <v>200</v>
      </c>
    </row>
    <row r="11362" spans="1:5" x14ac:dyDescent="0.55000000000000004">
      <c r="A11362" t="s">
        <v>11443</v>
      </c>
      <c r="B11362" t="s">
        <v>38</v>
      </c>
      <c r="C11362" s="2">
        <v>44635</v>
      </c>
      <c r="D11362" t="s">
        <v>29</v>
      </c>
      <c r="E11362">
        <v>2214</v>
      </c>
    </row>
    <row r="11363" spans="1:5" x14ac:dyDescent="0.55000000000000004">
      <c r="A11363" t="s">
        <v>11444</v>
      </c>
      <c r="B11363" t="s">
        <v>86</v>
      </c>
      <c r="C11363" s="2">
        <v>43817</v>
      </c>
      <c r="D11363" t="s">
        <v>29</v>
      </c>
      <c r="E11363">
        <v>2089</v>
      </c>
    </row>
    <row r="11364" spans="1:5" x14ac:dyDescent="0.55000000000000004">
      <c r="A11364" t="s">
        <v>11445</v>
      </c>
      <c r="B11364" t="s">
        <v>99</v>
      </c>
      <c r="C11364" s="2">
        <v>45127</v>
      </c>
      <c r="D11364" t="s">
        <v>26</v>
      </c>
      <c r="E11364">
        <v>2583</v>
      </c>
    </row>
    <row r="11365" spans="1:5" x14ac:dyDescent="0.55000000000000004">
      <c r="A11365" t="s">
        <v>11446</v>
      </c>
      <c r="B11365" t="s">
        <v>38</v>
      </c>
      <c r="C11365" s="2">
        <v>44014</v>
      </c>
      <c r="D11365" t="s">
        <v>26</v>
      </c>
      <c r="E11365">
        <v>1042</v>
      </c>
    </row>
    <row r="11366" spans="1:5" x14ac:dyDescent="0.55000000000000004">
      <c r="A11366" t="s">
        <v>11447</v>
      </c>
      <c r="B11366" t="s">
        <v>175</v>
      </c>
      <c r="C11366" s="2">
        <v>43695</v>
      </c>
      <c r="D11366" t="s">
        <v>29</v>
      </c>
      <c r="E11366">
        <v>2704</v>
      </c>
    </row>
    <row r="11367" spans="1:5" x14ac:dyDescent="0.55000000000000004">
      <c r="A11367" t="s">
        <v>11448</v>
      </c>
      <c r="B11367" t="s">
        <v>32</v>
      </c>
      <c r="C11367" s="2">
        <v>43882</v>
      </c>
      <c r="D11367" t="s">
        <v>29</v>
      </c>
      <c r="E11367">
        <v>2599</v>
      </c>
    </row>
    <row r="11368" spans="1:5" x14ac:dyDescent="0.55000000000000004">
      <c r="A11368" t="s">
        <v>11449</v>
      </c>
      <c r="B11368" t="s">
        <v>156</v>
      </c>
      <c r="C11368" s="2">
        <v>44029</v>
      </c>
      <c r="D11368" t="s">
        <v>26</v>
      </c>
      <c r="E11368">
        <v>1009</v>
      </c>
    </row>
    <row r="11369" spans="1:5" x14ac:dyDescent="0.55000000000000004">
      <c r="A11369" t="s">
        <v>11450</v>
      </c>
      <c r="B11369" t="s">
        <v>99</v>
      </c>
      <c r="C11369" s="2">
        <v>45600</v>
      </c>
      <c r="D11369" t="s">
        <v>26</v>
      </c>
      <c r="E11369">
        <v>2365</v>
      </c>
    </row>
    <row r="11370" spans="1:5" x14ac:dyDescent="0.55000000000000004">
      <c r="A11370" t="s">
        <v>11451</v>
      </c>
      <c r="B11370" t="s">
        <v>142</v>
      </c>
      <c r="C11370" s="2">
        <v>43171</v>
      </c>
      <c r="D11370" t="s">
        <v>26</v>
      </c>
      <c r="E11370">
        <v>1123</v>
      </c>
    </row>
    <row r="11371" spans="1:5" x14ac:dyDescent="0.55000000000000004">
      <c r="A11371" t="s">
        <v>11452</v>
      </c>
      <c r="B11371" t="s">
        <v>175</v>
      </c>
      <c r="C11371" s="2">
        <v>44839</v>
      </c>
      <c r="D11371" t="s">
        <v>29</v>
      </c>
      <c r="E11371">
        <v>2047</v>
      </c>
    </row>
    <row r="11372" spans="1:5" x14ac:dyDescent="0.55000000000000004">
      <c r="A11372" t="s">
        <v>11453</v>
      </c>
      <c r="B11372" t="s">
        <v>137</v>
      </c>
      <c r="C11372" s="2">
        <v>45113</v>
      </c>
      <c r="D11372" t="s">
        <v>29</v>
      </c>
      <c r="E11372">
        <v>1798</v>
      </c>
    </row>
    <row r="11373" spans="1:5" x14ac:dyDescent="0.55000000000000004">
      <c r="A11373" t="s">
        <v>11454</v>
      </c>
      <c r="B11373" t="s">
        <v>140</v>
      </c>
      <c r="C11373" s="2">
        <v>43062</v>
      </c>
      <c r="D11373" t="s">
        <v>29</v>
      </c>
      <c r="E11373">
        <v>529</v>
      </c>
    </row>
    <row r="11374" spans="1:5" x14ac:dyDescent="0.55000000000000004">
      <c r="A11374" t="s">
        <v>11455</v>
      </c>
      <c r="B11374" t="s">
        <v>84</v>
      </c>
      <c r="C11374" s="2">
        <v>44073</v>
      </c>
      <c r="D11374" t="s">
        <v>29</v>
      </c>
      <c r="E11374">
        <v>118</v>
      </c>
    </row>
    <row r="11375" spans="1:5" x14ac:dyDescent="0.55000000000000004">
      <c r="A11375" t="s">
        <v>11456</v>
      </c>
      <c r="B11375" t="s">
        <v>115</v>
      </c>
      <c r="C11375" s="2">
        <v>43908</v>
      </c>
      <c r="D11375" t="s">
        <v>26</v>
      </c>
      <c r="E11375">
        <v>2327</v>
      </c>
    </row>
    <row r="11376" spans="1:5" x14ac:dyDescent="0.55000000000000004">
      <c r="A11376" t="s">
        <v>11457</v>
      </c>
      <c r="B11376" t="s">
        <v>72</v>
      </c>
      <c r="C11376" s="2">
        <v>44535</v>
      </c>
      <c r="D11376" t="s">
        <v>26</v>
      </c>
      <c r="E11376">
        <v>1842</v>
      </c>
    </row>
    <row r="11377" spans="1:5" x14ac:dyDescent="0.55000000000000004">
      <c r="A11377" t="s">
        <v>11458</v>
      </c>
      <c r="B11377" t="s">
        <v>140</v>
      </c>
      <c r="C11377" s="2">
        <v>43544</v>
      </c>
      <c r="D11377" t="s">
        <v>29</v>
      </c>
      <c r="E11377">
        <v>307</v>
      </c>
    </row>
    <row r="11378" spans="1:5" x14ac:dyDescent="0.55000000000000004">
      <c r="A11378" t="s">
        <v>11459</v>
      </c>
      <c r="B11378" t="s">
        <v>94</v>
      </c>
      <c r="C11378" s="2">
        <v>45445</v>
      </c>
      <c r="D11378" t="s">
        <v>29</v>
      </c>
      <c r="E11378">
        <v>164</v>
      </c>
    </row>
    <row r="11379" spans="1:5" x14ac:dyDescent="0.55000000000000004">
      <c r="A11379" t="s">
        <v>11460</v>
      </c>
      <c r="B11379" t="s">
        <v>72</v>
      </c>
      <c r="C11379" s="2">
        <v>43229</v>
      </c>
      <c r="D11379" t="s">
        <v>26</v>
      </c>
      <c r="E11379">
        <v>2273</v>
      </c>
    </row>
    <row r="11380" spans="1:5" x14ac:dyDescent="0.55000000000000004">
      <c r="A11380" t="s">
        <v>11461</v>
      </c>
      <c r="B11380" t="s">
        <v>14</v>
      </c>
      <c r="C11380" s="2">
        <v>43432</v>
      </c>
      <c r="D11380" t="s">
        <v>29</v>
      </c>
      <c r="E11380">
        <v>942</v>
      </c>
    </row>
    <row r="11381" spans="1:5" x14ac:dyDescent="0.55000000000000004">
      <c r="A11381" t="s">
        <v>11462</v>
      </c>
      <c r="B11381" t="s">
        <v>156</v>
      </c>
      <c r="C11381" s="2">
        <v>43842</v>
      </c>
      <c r="D11381" t="s">
        <v>26</v>
      </c>
      <c r="E11381">
        <v>1803</v>
      </c>
    </row>
    <row r="11382" spans="1:5" x14ac:dyDescent="0.55000000000000004">
      <c r="A11382" t="s">
        <v>11463</v>
      </c>
      <c r="B11382" t="s">
        <v>15</v>
      </c>
      <c r="C11382" s="2">
        <v>44262</v>
      </c>
      <c r="D11382" t="s">
        <v>26</v>
      </c>
      <c r="E11382">
        <v>1321</v>
      </c>
    </row>
    <row r="11383" spans="1:5" x14ac:dyDescent="0.55000000000000004">
      <c r="A11383" t="s">
        <v>11464</v>
      </c>
      <c r="B11383" t="s">
        <v>76</v>
      </c>
      <c r="C11383" s="2">
        <v>44242</v>
      </c>
      <c r="D11383" t="s">
        <v>26</v>
      </c>
      <c r="E11383">
        <v>242</v>
      </c>
    </row>
    <row r="11384" spans="1:5" x14ac:dyDescent="0.55000000000000004">
      <c r="A11384" t="s">
        <v>11465</v>
      </c>
      <c r="B11384" t="s">
        <v>32</v>
      </c>
      <c r="C11384" s="2">
        <v>44554</v>
      </c>
      <c r="D11384" t="s">
        <v>26</v>
      </c>
      <c r="E11384">
        <v>2179</v>
      </c>
    </row>
    <row r="11385" spans="1:5" x14ac:dyDescent="0.55000000000000004">
      <c r="A11385" t="s">
        <v>11466</v>
      </c>
      <c r="B11385" t="s">
        <v>84</v>
      </c>
      <c r="C11385" s="2">
        <v>43990</v>
      </c>
      <c r="D11385" t="s">
        <v>29</v>
      </c>
      <c r="E11385">
        <v>965</v>
      </c>
    </row>
    <row r="11386" spans="1:5" x14ac:dyDescent="0.55000000000000004">
      <c r="A11386" t="s">
        <v>11467</v>
      </c>
      <c r="B11386" t="s">
        <v>86</v>
      </c>
      <c r="C11386" s="2">
        <v>44368</v>
      </c>
      <c r="D11386" t="s">
        <v>29</v>
      </c>
      <c r="E11386">
        <v>715</v>
      </c>
    </row>
    <row r="11387" spans="1:5" x14ac:dyDescent="0.55000000000000004">
      <c r="A11387" t="s">
        <v>11468</v>
      </c>
      <c r="B11387" t="s">
        <v>15</v>
      </c>
      <c r="C11387" s="2">
        <v>43268</v>
      </c>
      <c r="D11387" t="s">
        <v>26</v>
      </c>
      <c r="E11387">
        <v>880</v>
      </c>
    </row>
    <row r="11388" spans="1:5" x14ac:dyDescent="0.55000000000000004">
      <c r="A11388" t="s">
        <v>11469</v>
      </c>
      <c r="B11388" t="s">
        <v>35</v>
      </c>
      <c r="C11388" s="2">
        <v>44526</v>
      </c>
      <c r="D11388" t="s">
        <v>29</v>
      </c>
      <c r="E11388">
        <v>2803</v>
      </c>
    </row>
    <row r="11389" spans="1:5" x14ac:dyDescent="0.55000000000000004">
      <c r="A11389" t="s">
        <v>11470</v>
      </c>
      <c r="B11389" t="s">
        <v>35</v>
      </c>
      <c r="C11389" s="2">
        <v>43863</v>
      </c>
      <c r="D11389" t="s">
        <v>26</v>
      </c>
      <c r="E11389">
        <v>2867</v>
      </c>
    </row>
    <row r="11390" spans="1:5" x14ac:dyDescent="0.55000000000000004">
      <c r="A11390" t="s">
        <v>11471</v>
      </c>
      <c r="B11390" t="s">
        <v>94</v>
      </c>
      <c r="C11390" s="2">
        <v>44510</v>
      </c>
      <c r="D11390" t="s">
        <v>26</v>
      </c>
      <c r="E11390">
        <v>2508</v>
      </c>
    </row>
    <row r="11391" spans="1:5" x14ac:dyDescent="0.55000000000000004">
      <c r="A11391" t="s">
        <v>11472</v>
      </c>
      <c r="B11391" t="s">
        <v>63</v>
      </c>
      <c r="C11391" s="2">
        <v>44095</v>
      </c>
      <c r="D11391" t="s">
        <v>29</v>
      </c>
      <c r="E11391">
        <v>2727</v>
      </c>
    </row>
    <row r="11392" spans="1:5" x14ac:dyDescent="0.55000000000000004">
      <c r="A11392" t="s">
        <v>11473</v>
      </c>
      <c r="B11392" t="s">
        <v>140</v>
      </c>
      <c r="C11392" s="2">
        <v>43317</v>
      </c>
      <c r="D11392" t="s">
        <v>29</v>
      </c>
      <c r="E11392">
        <v>1573</v>
      </c>
    </row>
    <row r="11393" spans="1:5" x14ac:dyDescent="0.55000000000000004">
      <c r="A11393" t="s">
        <v>11474</v>
      </c>
      <c r="B11393" t="s">
        <v>156</v>
      </c>
      <c r="C11393" s="2">
        <v>44010</v>
      </c>
      <c r="D11393" t="s">
        <v>29</v>
      </c>
      <c r="E11393">
        <v>1091</v>
      </c>
    </row>
    <row r="11394" spans="1:5" x14ac:dyDescent="0.55000000000000004">
      <c r="A11394" t="s">
        <v>11475</v>
      </c>
      <c r="B11394" t="s">
        <v>72</v>
      </c>
      <c r="C11394" s="2">
        <v>44304</v>
      </c>
      <c r="D11394" t="s">
        <v>29</v>
      </c>
      <c r="E11394">
        <v>1017</v>
      </c>
    </row>
    <row r="11395" spans="1:5" x14ac:dyDescent="0.55000000000000004">
      <c r="A11395" t="s">
        <v>11476</v>
      </c>
      <c r="B11395" t="s">
        <v>23</v>
      </c>
      <c r="C11395" s="2">
        <v>44307</v>
      </c>
      <c r="D11395" t="s">
        <v>29</v>
      </c>
      <c r="E11395">
        <v>2960</v>
      </c>
    </row>
    <row r="11396" spans="1:5" x14ac:dyDescent="0.55000000000000004">
      <c r="A11396" t="s">
        <v>11477</v>
      </c>
      <c r="B11396" t="s">
        <v>118</v>
      </c>
      <c r="C11396" s="2">
        <v>45075</v>
      </c>
      <c r="D11396" t="s">
        <v>29</v>
      </c>
      <c r="E11396">
        <v>536</v>
      </c>
    </row>
    <row r="11397" spans="1:5" x14ac:dyDescent="0.55000000000000004">
      <c r="A11397" t="s">
        <v>11478</v>
      </c>
      <c r="B11397" t="s">
        <v>41</v>
      </c>
      <c r="C11397" s="2">
        <v>44322</v>
      </c>
      <c r="D11397" t="s">
        <v>26</v>
      </c>
      <c r="E11397">
        <v>2265</v>
      </c>
    </row>
    <row r="11398" spans="1:5" x14ac:dyDescent="0.55000000000000004">
      <c r="A11398" t="s">
        <v>11479</v>
      </c>
      <c r="B11398" t="s">
        <v>78</v>
      </c>
      <c r="C11398" s="2">
        <v>45730</v>
      </c>
      <c r="D11398" t="s">
        <v>29</v>
      </c>
      <c r="E11398">
        <v>2709</v>
      </c>
    </row>
    <row r="11399" spans="1:5" x14ac:dyDescent="0.55000000000000004">
      <c r="A11399" t="s">
        <v>11480</v>
      </c>
      <c r="B11399" t="s">
        <v>15</v>
      </c>
      <c r="C11399" s="2">
        <v>43746</v>
      </c>
      <c r="D11399" t="s">
        <v>26</v>
      </c>
      <c r="E11399">
        <v>637</v>
      </c>
    </row>
    <row r="11400" spans="1:5" x14ac:dyDescent="0.55000000000000004">
      <c r="A11400" t="s">
        <v>11481</v>
      </c>
      <c r="B11400" t="s">
        <v>96</v>
      </c>
      <c r="C11400" s="2">
        <v>44485</v>
      </c>
      <c r="D11400" t="s">
        <v>29</v>
      </c>
      <c r="E11400">
        <v>924</v>
      </c>
    </row>
    <row r="11401" spans="1:5" x14ac:dyDescent="0.55000000000000004">
      <c r="A11401" t="s">
        <v>11482</v>
      </c>
      <c r="B11401" t="s">
        <v>175</v>
      </c>
      <c r="C11401" s="2">
        <v>44427</v>
      </c>
      <c r="D11401" t="s">
        <v>29</v>
      </c>
      <c r="E11401">
        <v>12</v>
      </c>
    </row>
    <row r="11402" spans="1:5" x14ac:dyDescent="0.55000000000000004">
      <c r="A11402" t="s">
        <v>11483</v>
      </c>
      <c r="B11402" t="s">
        <v>101</v>
      </c>
      <c r="C11402" s="2">
        <v>44208</v>
      </c>
      <c r="D11402" t="s">
        <v>26</v>
      </c>
      <c r="E11402">
        <v>231</v>
      </c>
    </row>
    <row r="11403" spans="1:5" x14ac:dyDescent="0.55000000000000004">
      <c r="A11403" t="s">
        <v>11484</v>
      </c>
      <c r="B11403" t="s">
        <v>76</v>
      </c>
      <c r="C11403" s="2">
        <v>43893</v>
      </c>
      <c r="D11403" t="s">
        <v>29</v>
      </c>
      <c r="E11403">
        <v>1737</v>
      </c>
    </row>
    <row r="11404" spans="1:5" x14ac:dyDescent="0.55000000000000004">
      <c r="A11404" t="s">
        <v>11485</v>
      </c>
      <c r="B11404" t="s">
        <v>151</v>
      </c>
      <c r="C11404" s="2">
        <v>43420</v>
      </c>
      <c r="D11404" t="s">
        <v>29</v>
      </c>
      <c r="E11404">
        <v>242</v>
      </c>
    </row>
    <row r="11405" spans="1:5" x14ac:dyDescent="0.55000000000000004">
      <c r="A11405" t="s">
        <v>11486</v>
      </c>
      <c r="B11405" t="s">
        <v>115</v>
      </c>
      <c r="C11405" s="2">
        <v>43453</v>
      </c>
      <c r="D11405" t="s">
        <v>26</v>
      </c>
      <c r="E11405">
        <v>376</v>
      </c>
    </row>
    <row r="11406" spans="1:5" x14ac:dyDescent="0.55000000000000004">
      <c r="A11406" t="s">
        <v>11487</v>
      </c>
      <c r="B11406" t="s">
        <v>86</v>
      </c>
      <c r="C11406" s="2">
        <v>43732</v>
      </c>
      <c r="D11406" t="s">
        <v>26</v>
      </c>
      <c r="E11406">
        <v>1046</v>
      </c>
    </row>
    <row r="11407" spans="1:5" x14ac:dyDescent="0.55000000000000004">
      <c r="A11407" t="s">
        <v>11488</v>
      </c>
      <c r="B11407" t="s">
        <v>94</v>
      </c>
      <c r="C11407" s="2">
        <v>44872</v>
      </c>
      <c r="D11407" t="s">
        <v>26</v>
      </c>
      <c r="E11407">
        <v>1702</v>
      </c>
    </row>
    <row r="11408" spans="1:5" x14ac:dyDescent="0.55000000000000004">
      <c r="A11408" t="s">
        <v>11489</v>
      </c>
      <c r="B11408" t="s">
        <v>151</v>
      </c>
      <c r="C11408" s="2">
        <v>43738</v>
      </c>
      <c r="D11408" t="s">
        <v>26</v>
      </c>
      <c r="E11408">
        <v>2163</v>
      </c>
    </row>
    <row r="11409" spans="1:5" x14ac:dyDescent="0.55000000000000004">
      <c r="A11409" t="s">
        <v>11490</v>
      </c>
      <c r="B11409" t="s">
        <v>99</v>
      </c>
      <c r="C11409" s="2">
        <v>45184</v>
      </c>
      <c r="D11409" t="s">
        <v>26</v>
      </c>
      <c r="E11409">
        <v>889</v>
      </c>
    </row>
    <row r="11410" spans="1:5" x14ac:dyDescent="0.55000000000000004">
      <c r="A11410" t="s">
        <v>11491</v>
      </c>
      <c r="B11410" t="s">
        <v>151</v>
      </c>
      <c r="C11410" s="2">
        <v>43663</v>
      </c>
      <c r="D11410" t="s">
        <v>29</v>
      </c>
      <c r="E11410">
        <v>131</v>
      </c>
    </row>
    <row r="11411" spans="1:5" x14ac:dyDescent="0.55000000000000004">
      <c r="A11411" t="s">
        <v>11492</v>
      </c>
      <c r="B11411" t="s">
        <v>156</v>
      </c>
      <c r="C11411" s="2">
        <v>43482</v>
      </c>
      <c r="D11411" t="s">
        <v>29</v>
      </c>
      <c r="E11411">
        <v>1490</v>
      </c>
    </row>
    <row r="11412" spans="1:5" x14ac:dyDescent="0.55000000000000004">
      <c r="A11412" t="s">
        <v>11493</v>
      </c>
      <c r="B11412" t="s">
        <v>86</v>
      </c>
      <c r="C11412" s="2">
        <v>44553</v>
      </c>
      <c r="D11412" t="s">
        <v>26</v>
      </c>
      <c r="E11412">
        <v>2672</v>
      </c>
    </row>
    <row r="11413" spans="1:5" x14ac:dyDescent="0.55000000000000004">
      <c r="A11413" t="s">
        <v>11494</v>
      </c>
      <c r="B11413" t="s">
        <v>156</v>
      </c>
      <c r="C11413" s="2">
        <v>43333</v>
      </c>
      <c r="D11413" t="s">
        <v>29</v>
      </c>
      <c r="E11413">
        <v>1189</v>
      </c>
    </row>
    <row r="11414" spans="1:5" x14ac:dyDescent="0.55000000000000004">
      <c r="A11414" t="s">
        <v>11495</v>
      </c>
      <c r="B11414" t="s">
        <v>72</v>
      </c>
      <c r="C11414" s="2">
        <v>43089</v>
      </c>
      <c r="D11414" t="s">
        <v>26</v>
      </c>
      <c r="E11414">
        <v>431</v>
      </c>
    </row>
    <row r="11415" spans="1:5" x14ac:dyDescent="0.55000000000000004">
      <c r="A11415" t="s">
        <v>11496</v>
      </c>
      <c r="B11415" t="s">
        <v>15</v>
      </c>
      <c r="C11415" s="2">
        <v>43612</v>
      </c>
      <c r="D11415" t="s">
        <v>29</v>
      </c>
      <c r="E11415">
        <v>2358</v>
      </c>
    </row>
    <row r="11416" spans="1:5" x14ac:dyDescent="0.55000000000000004">
      <c r="A11416" t="s">
        <v>11497</v>
      </c>
      <c r="B11416" t="s">
        <v>84</v>
      </c>
      <c r="C11416" s="2">
        <v>43517</v>
      </c>
      <c r="D11416" t="s">
        <v>29</v>
      </c>
      <c r="E11416">
        <v>1958</v>
      </c>
    </row>
    <row r="11417" spans="1:5" x14ac:dyDescent="0.55000000000000004">
      <c r="A11417" t="s">
        <v>11498</v>
      </c>
      <c r="B11417" t="s">
        <v>35</v>
      </c>
      <c r="C11417" s="2">
        <v>44422</v>
      </c>
      <c r="D11417" t="s">
        <v>26</v>
      </c>
      <c r="E11417">
        <v>331</v>
      </c>
    </row>
    <row r="11418" spans="1:5" x14ac:dyDescent="0.55000000000000004">
      <c r="A11418" t="s">
        <v>11499</v>
      </c>
      <c r="B11418" t="s">
        <v>35</v>
      </c>
      <c r="C11418" s="2">
        <v>44919</v>
      </c>
      <c r="D11418" t="s">
        <v>29</v>
      </c>
      <c r="E11418">
        <v>735</v>
      </c>
    </row>
    <row r="11419" spans="1:5" x14ac:dyDescent="0.55000000000000004">
      <c r="A11419" t="s">
        <v>11500</v>
      </c>
      <c r="B11419" t="s">
        <v>76</v>
      </c>
      <c r="C11419" s="2">
        <v>44695</v>
      </c>
      <c r="D11419" t="s">
        <v>29</v>
      </c>
      <c r="E11419">
        <v>973</v>
      </c>
    </row>
    <row r="11420" spans="1:5" x14ac:dyDescent="0.55000000000000004">
      <c r="A11420" t="s">
        <v>11501</v>
      </c>
      <c r="B11420" t="s">
        <v>67</v>
      </c>
      <c r="C11420" s="2">
        <v>43915</v>
      </c>
      <c r="D11420" t="s">
        <v>29</v>
      </c>
      <c r="E11420">
        <v>305</v>
      </c>
    </row>
    <row r="11421" spans="1:5" x14ac:dyDescent="0.55000000000000004">
      <c r="A11421" t="s">
        <v>11502</v>
      </c>
      <c r="B11421" t="s">
        <v>105</v>
      </c>
      <c r="C11421" s="2">
        <v>44195</v>
      </c>
      <c r="D11421" t="s">
        <v>26</v>
      </c>
      <c r="E11421">
        <v>503</v>
      </c>
    </row>
    <row r="11422" spans="1:5" x14ac:dyDescent="0.55000000000000004">
      <c r="A11422" t="s">
        <v>11503</v>
      </c>
      <c r="B11422" t="s">
        <v>140</v>
      </c>
      <c r="C11422" s="2">
        <v>43476</v>
      </c>
      <c r="D11422" t="s">
        <v>29</v>
      </c>
      <c r="E11422">
        <v>2628</v>
      </c>
    </row>
    <row r="11423" spans="1:5" x14ac:dyDescent="0.55000000000000004">
      <c r="A11423" t="s">
        <v>11504</v>
      </c>
      <c r="B11423" t="s">
        <v>32</v>
      </c>
      <c r="C11423" s="2">
        <v>44186</v>
      </c>
      <c r="D11423" t="s">
        <v>29</v>
      </c>
      <c r="E11423">
        <v>2705</v>
      </c>
    </row>
    <row r="11424" spans="1:5" x14ac:dyDescent="0.55000000000000004">
      <c r="A11424" t="s">
        <v>11505</v>
      </c>
      <c r="B11424" t="s">
        <v>101</v>
      </c>
      <c r="C11424" s="2">
        <v>43507</v>
      </c>
      <c r="D11424" t="s">
        <v>26</v>
      </c>
      <c r="E11424">
        <v>2402</v>
      </c>
    </row>
    <row r="11425" spans="1:5" x14ac:dyDescent="0.55000000000000004">
      <c r="A11425" t="s">
        <v>11506</v>
      </c>
      <c r="B11425" t="s">
        <v>32</v>
      </c>
      <c r="C11425" s="2">
        <v>44857</v>
      </c>
      <c r="D11425" t="s">
        <v>29</v>
      </c>
      <c r="E11425">
        <v>710</v>
      </c>
    </row>
    <row r="11426" spans="1:5" x14ac:dyDescent="0.55000000000000004">
      <c r="A11426" t="s">
        <v>11507</v>
      </c>
      <c r="B11426" t="s">
        <v>84</v>
      </c>
      <c r="C11426" s="2">
        <v>43820</v>
      </c>
      <c r="D11426" t="s">
        <v>26</v>
      </c>
      <c r="E11426">
        <v>1323</v>
      </c>
    </row>
    <row r="11427" spans="1:5" x14ac:dyDescent="0.55000000000000004">
      <c r="A11427" t="s">
        <v>11508</v>
      </c>
      <c r="B11427" t="s">
        <v>151</v>
      </c>
      <c r="C11427" s="2">
        <v>44251</v>
      </c>
      <c r="D11427" t="s">
        <v>29</v>
      </c>
      <c r="E11427">
        <v>1534</v>
      </c>
    </row>
    <row r="11428" spans="1:5" x14ac:dyDescent="0.55000000000000004">
      <c r="A11428" t="s">
        <v>11509</v>
      </c>
      <c r="B11428" t="s">
        <v>118</v>
      </c>
      <c r="C11428" s="2">
        <v>45800</v>
      </c>
      <c r="D11428" t="s">
        <v>26</v>
      </c>
      <c r="E11428">
        <v>1475</v>
      </c>
    </row>
    <row r="11429" spans="1:5" x14ac:dyDescent="0.55000000000000004">
      <c r="A11429" t="s">
        <v>11510</v>
      </c>
      <c r="B11429" t="s">
        <v>63</v>
      </c>
      <c r="C11429" s="2">
        <v>42921</v>
      </c>
      <c r="D11429" t="s">
        <v>26</v>
      </c>
      <c r="E11429">
        <v>1903</v>
      </c>
    </row>
    <row r="11430" spans="1:5" x14ac:dyDescent="0.55000000000000004">
      <c r="A11430" t="s">
        <v>11511</v>
      </c>
      <c r="B11430" t="s">
        <v>111</v>
      </c>
      <c r="C11430" s="2">
        <v>43161</v>
      </c>
      <c r="D11430" t="s">
        <v>29</v>
      </c>
      <c r="E11430">
        <v>1509</v>
      </c>
    </row>
    <row r="11431" spans="1:5" x14ac:dyDescent="0.55000000000000004">
      <c r="A11431" t="s">
        <v>11512</v>
      </c>
      <c r="B11431" t="s">
        <v>35</v>
      </c>
      <c r="C11431" s="2">
        <v>43985</v>
      </c>
      <c r="D11431" t="s">
        <v>26</v>
      </c>
      <c r="E11431">
        <v>1138</v>
      </c>
    </row>
    <row r="11432" spans="1:5" x14ac:dyDescent="0.55000000000000004">
      <c r="A11432" t="s">
        <v>11513</v>
      </c>
      <c r="B11432" t="s">
        <v>96</v>
      </c>
      <c r="C11432" s="2">
        <v>45795</v>
      </c>
      <c r="D11432" t="s">
        <v>26</v>
      </c>
      <c r="E11432">
        <v>2815</v>
      </c>
    </row>
    <row r="11433" spans="1:5" x14ac:dyDescent="0.55000000000000004">
      <c r="A11433" t="s">
        <v>11514</v>
      </c>
      <c r="B11433" t="s">
        <v>94</v>
      </c>
      <c r="C11433" s="2">
        <v>44426</v>
      </c>
      <c r="D11433" t="s">
        <v>26</v>
      </c>
      <c r="E11433">
        <v>1391</v>
      </c>
    </row>
    <row r="11434" spans="1:5" x14ac:dyDescent="0.55000000000000004">
      <c r="A11434" t="s">
        <v>11515</v>
      </c>
      <c r="B11434" t="s">
        <v>15</v>
      </c>
      <c r="C11434" s="2">
        <v>44059</v>
      </c>
      <c r="D11434" t="s">
        <v>26</v>
      </c>
      <c r="E11434">
        <v>1065</v>
      </c>
    </row>
    <row r="11435" spans="1:5" x14ac:dyDescent="0.55000000000000004">
      <c r="A11435" t="s">
        <v>11516</v>
      </c>
      <c r="B11435" t="s">
        <v>111</v>
      </c>
      <c r="C11435" s="2">
        <v>44432</v>
      </c>
      <c r="D11435" t="s">
        <v>26</v>
      </c>
      <c r="E11435">
        <v>312</v>
      </c>
    </row>
    <row r="11436" spans="1:5" x14ac:dyDescent="0.55000000000000004">
      <c r="A11436" t="s">
        <v>11517</v>
      </c>
      <c r="B11436" t="s">
        <v>14</v>
      </c>
      <c r="C11436" s="2">
        <v>44400</v>
      </c>
      <c r="D11436" t="s">
        <v>26</v>
      </c>
      <c r="E11436">
        <v>574</v>
      </c>
    </row>
    <row r="11437" spans="1:5" x14ac:dyDescent="0.55000000000000004">
      <c r="A11437" t="s">
        <v>11518</v>
      </c>
      <c r="B11437" t="s">
        <v>84</v>
      </c>
      <c r="C11437" s="2">
        <v>43745</v>
      </c>
      <c r="D11437" t="s">
        <v>29</v>
      </c>
      <c r="E11437">
        <v>977</v>
      </c>
    </row>
    <row r="11438" spans="1:5" x14ac:dyDescent="0.55000000000000004">
      <c r="A11438" t="s">
        <v>11519</v>
      </c>
      <c r="B11438" t="s">
        <v>78</v>
      </c>
      <c r="C11438" s="2">
        <v>45425</v>
      </c>
      <c r="D11438" t="s">
        <v>29</v>
      </c>
      <c r="E11438">
        <v>688</v>
      </c>
    </row>
    <row r="11439" spans="1:5" x14ac:dyDescent="0.55000000000000004">
      <c r="A11439" t="s">
        <v>11520</v>
      </c>
      <c r="B11439" t="s">
        <v>156</v>
      </c>
      <c r="C11439" s="2">
        <v>43338</v>
      </c>
      <c r="D11439" t="s">
        <v>26</v>
      </c>
      <c r="E11439">
        <v>2603</v>
      </c>
    </row>
    <row r="11440" spans="1:5" x14ac:dyDescent="0.55000000000000004">
      <c r="A11440" t="s">
        <v>11521</v>
      </c>
      <c r="B11440" t="s">
        <v>74</v>
      </c>
      <c r="C11440" s="2">
        <v>43467</v>
      </c>
      <c r="D11440" t="s">
        <v>29</v>
      </c>
      <c r="E11440">
        <v>54</v>
      </c>
    </row>
    <row r="11441" spans="1:5" x14ac:dyDescent="0.55000000000000004">
      <c r="A11441" t="s">
        <v>11522</v>
      </c>
      <c r="B11441" t="s">
        <v>140</v>
      </c>
      <c r="C11441" s="2">
        <v>43778</v>
      </c>
      <c r="D11441" t="s">
        <v>29</v>
      </c>
      <c r="E11441">
        <v>467</v>
      </c>
    </row>
    <row r="11442" spans="1:5" x14ac:dyDescent="0.55000000000000004">
      <c r="A11442" t="s">
        <v>11523</v>
      </c>
      <c r="B11442" t="s">
        <v>78</v>
      </c>
      <c r="C11442" s="2">
        <v>43574</v>
      </c>
      <c r="D11442" t="s">
        <v>29</v>
      </c>
      <c r="E11442">
        <v>2436</v>
      </c>
    </row>
    <row r="11443" spans="1:5" x14ac:dyDescent="0.55000000000000004">
      <c r="A11443" t="s">
        <v>11524</v>
      </c>
      <c r="B11443" t="s">
        <v>35</v>
      </c>
      <c r="C11443" s="2">
        <v>44677</v>
      </c>
      <c r="D11443" t="s">
        <v>26</v>
      </c>
      <c r="E11443">
        <v>1826</v>
      </c>
    </row>
    <row r="11444" spans="1:5" x14ac:dyDescent="0.55000000000000004">
      <c r="A11444" t="s">
        <v>11525</v>
      </c>
      <c r="B11444" t="s">
        <v>156</v>
      </c>
      <c r="C11444" s="2">
        <v>44160</v>
      </c>
      <c r="D11444" t="s">
        <v>26</v>
      </c>
      <c r="E11444">
        <v>602</v>
      </c>
    </row>
    <row r="11445" spans="1:5" x14ac:dyDescent="0.55000000000000004">
      <c r="A11445" t="s">
        <v>11526</v>
      </c>
      <c r="B11445" t="s">
        <v>137</v>
      </c>
      <c r="C11445" s="2">
        <v>43727</v>
      </c>
      <c r="D11445" t="s">
        <v>29</v>
      </c>
      <c r="E11445">
        <v>2448</v>
      </c>
    </row>
    <row r="11446" spans="1:5" x14ac:dyDescent="0.55000000000000004">
      <c r="A11446" t="s">
        <v>11527</v>
      </c>
      <c r="B11446" t="s">
        <v>41</v>
      </c>
      <c r="C11446" s="2">
        <v>43906</v>
      </c>
      <c r="D11446" t="s">
        <v>29</v>
      </c>
      <c r="E11446">
        <v>1385</v>
      </c>
    </row>
    <row r="11447" spans="1:5" x14ac:dyDescent="0.55000000000000004">
      <c r="A11447" t="s">
        <v>11528</v>
      </c>
      <c r="B11447" t="s">
        <v>14</v>
      </c>
      <c r="C11447" s="2">
        <v>43786</v>
      </c>
      <c r="D11447" t="s">
        <v>26</v>
      </c>
      <c r="E11447">
        <v>1090</v>
      </c>
    </row>
    <row r="11448" spans="1:5" x14ac:dyDescent="0.55000000000000004">
      <c r="A11448" t="s">
        <v>11529</v>
      </c>
      <c r="B11448" t="s">
        <v>15</v>
      </c>
      <c r="C11448" s="2">
        <v>43088</v>
      </c>
      <c r="D11448" t="s">
        <v>29</v>
      </c>
      <c r="E11448">
        <v>2381</v>
      </c>
    </row>
    <row r="11449" spans="1:5" x14ac:dyDescent="0.55000000000000004">
      <c r="A11449" t="s">
        <v>11530</v>
      </c>
      <c r="B11449" t="s">
        <v>14</v>
      </c>
      <c r="C11449" s="2">
        <v>43126</v>
      </c>
      <c r="D11449" t="s">
        <v>26</v>
      </c>
      <c r="E11449">
        <v>674</v>
      </c>
    </row>
    <row r="11450" spans="1:5" x14ac:dyDescent="0.55000000000000004">
      <c r="A11450" t="s">
        <v>11531</v>
      </c>
      <c r="B11450" t="s">
        <v>111</v>
      </c>
      <c r="C11450" s="2">
        <v>42921</v>
      </c>
      <c r="D11450" t="s">
        <v>26</v>
      </c>
      <c r="E11450">
        <v>2978</v>
      </c>
    </row>
    <row r="11451" spans="1:5" x14ac:dyDescent="0.55000000000000004">
      <c r="A11451" t="s">
        <v>11532</v>
      </c>
      <c r="B11451" t="s">
        <v>151</v>
      </c>
      <c r="C11451" s="2">
        <v>43083</v>
      </c>
      <c r="D11451" t="s">
        <v>29</v>
      </c>
      <c r="E11451">
        <v>180</v>
      </c>
    </row>
    <row r="11452" spans="1:5" x14ac:dyDescent="0.55000000000000004">
      <c r="A11452" t="s">
        <v>11533</v>
      </c>
      <c r="B11452" t="s">
        <v>14</v>
      </c>
      <c r="C11452" s="2">
        <v>43437</v>
      </c>
      <c r="D11452" t="s">
        <v>26</v>
      </c>
      <c r="E11452">
        <v>766</v>
      </c>
    </row>
    <row r="11453" spans="1:5" x14ac:dyDescent="0.55000000000000004">
      <c r="A11453" t="s">
        <v>11534</v>
      </c>
      <c r="B11453" t="s">
        <v>96</v>
      </c>
      <c r="C11453" s="2">
        <v>44142</v>
      </c>
      <c r="D11453" t="s">
        <v>29</v>
      </c>
      <c r="E11453">
        <v>2094</v>
      </c>
    </row>
    <row r="11454" spans="1:5" x14ac:dyDescent="0.55000000000000004">
      <c r="A11454" t="s">
        <v>11535</v>
      </c>
      <c r="B11454" t="s">
        <v>63</v>
      </c>
      <c r="C11454" s="2">
        <v>44225</v>
      </c>
      <c r="D11454" t="s">
        <v>26</v>
      </c>
      <c r="E11454">
        <v>462</v>
      </c>
    </row>
    <row r="11455" spans="1:5" x14ac:dyDescent="0.55000000000000004">
      <c r="A11455" t="s">
        <v>11536</v>
      </c>
      <c r="B11455" t="s">
        <v>105</v>
      </c>
      <c r="C11455" s="2">
        <v>43040</v>
      </c>
      <c r="D11455" t="s">
        <v>29</v>
      </c>
      <c r="E11455">
        <v>327</v>
      </c>
    </row>
    <row r="11456" spans="1:5" x14ac:dyDescent="0.55000000000000004">
      <c r="A11456" t="s">
        <v>11537</v>
      </c>
      <c r="B11456" t="s">
        <v>84</v>
      </c>
      <c r="C11456" s="2">
        <v>44447</v>
      </c>
      <c r="D11456" t="s">
        <v>29</v>
      </c>
      <c r="E11456">
        <v>577</v>
      </c>
    </row>
    <row r="11457" spans="1:5" x14ac:dyDescent="0.55000000000000004">
      <c r="A11457" t="s">
        <v>11538</v>
      </c>
      <c r="B11457" t="s">
        <v>86</v>
      </c>
      <c r="C11457" s="2">
        <v>42992</v>
      </c>
      <c r="D11457" t="s">
        <v>29</v>
      </c>
      <c r="E11457">
        <v>2533</v>
      </c>
    </row>
    <row r="11458" spans="1:5" x14ac:dyDescent="0.55000000000000004">
      <c r="A11458" t="s">
        <v>11539</v>
      </c>
      <c r="B11458" t="s">
        <v>101</v>
      </c>
      <c r="C11458" s="2">
        <v>44479</v>
      </c>
      <c r="D11458" t="s">
        <v>29</v>
      </c>
      <c r="E11458">
        <v>2530</v>
      </c>
    </row>
    <row r="11459" spans="1:5" x14ac:dyDescent="0.55000000000000004">
      <c r="A11459" t="s">
        <v>11540</v>
      </c>
      <c r="B11459" t="s">
        <v>32</v>
      </c>
      <c r="C11459" s="2">
        <v>44758</v>
      </c>
      <c r="D11459" t="s">
        <v>29</v>
      </c>
      <c r="E11459">
        <v>671</v>
      </c>
    </row>
    <row r="11460" spans="1:5" x14ac:dyDescent="0.55000000000000004">
      <c r="A11460" t="s">
        <v>11541</v>
      </c>
      <c r="B11460" t="s">
        <v>142</v>
      </c>
      <c r="C11460" s="2">
        <v>43043</v>
      </c>
      <c r="D11460" t="s">
        <v>26</v>
      </c>
      <c r="E11460">
        <v>1171</v>
      </c>
    </row>
    <row r="11461" spans="1:5" x14ac:dyDescent="0.55000000000000004">
      <c r="A11461" t="s">
        <v>11542</v>
      </c>
      <c r="B11461" t="s">
        <v>74</v>
      </c>
      <c r="C11461" s="2">
        <v>43486</v>
      </c>
      <c r="D11461" t="s">
        <v>29</v>
      </c>
      <c r="E11461">
        <v>558</v>
      </c>
    </row>
    <row r="11462" spans="1:5" x14ac:dyDescent="0.55000000000000004">
      <c r="A11462" t="s">
        <v>11543</v>
      </c>
      <c r="B11462" t="s">
        <v>84</v>
      </c>
      <c r="C11462" s="2">
        <v>43720</v>
      </c>
      <c r="D11462" t="s">
        <v>26</v>
      </c>
      <c r="E11462">
        <v>2628</v>
      </c>
    </row>
    <row r="11463" spans="1:5" x14ac:dyDescent="0.55000000000000004">
      <c r="A11463" t="s">
        <v>11544</v>
      </c>
      <c r="B11463" t="s">
        <v>96</v>
      </c>
      <c r="C11463" s="2">
        <v>44378</v>
      </c>
      <c r="D11463" t="s">
        <v>29</v>
      </c>
      <c r="E11463">
        <v>694</v>
      </c>
    </row>
    <row r="11464" spans="1:5" x14ac:dyDescent="0.55000000000000004">
      <c r="A11464" t="s">
        <v>11545</v>
      </c>
      <c r="B11464" t="s">
        <v>63</v>
      </c>
      <c r="C11464" s="2">
        <v>44361</v>
      </c>
      <c r="D11464" t="s">
        <v>29</v>
      </c>
      <c r="E11464">
        <v>277</v>
      </c>
    </row>
    <row r="11465" spans="1:5" x14ac:dyDescent="0.55000000000000004">
      <c r="A11465" t="s">
        <v>11546</v>
      </c>
      <c r="B11465" t="s">
        <v>41</v>
      </c>
      <c r="C11465" s="2">
        <v>44555</v>
      </c>
      <c r="D11465" t="s">
        <v>29</v>
      </c>
      <c r="E11465">
        <v>694</v>
      </c>
    </row>
    <row r="11466" spans="1:5" x14ac:dyDescent="0.55000000000000004">
      <c r="A11466" t="s">
        <v>11547</v>
      </c>
      <c r="B11466" t="s">
        <v>67</v>
      </c>
      <c r="C11466" s="2">
        <v>44785</v>
      </c>
      <c r="D11466" t="s">
        <v>29</v>
      </c>
      <c r="E11466">
        <v>1871</v>
      </c>
    </row>
    <row r="11467" spans="1:5" x14ac:dyDescent="0.55000000000000004">
      <c r="A11467" t="s">
        <v>11548</v>
      </c>
      <c r="B11467" t="s">
        <v>111</v>
      </c>
      <c r="C11467" s="2">
        <v>44268</v>
      </c>
      <c r="D11467" t="s">
        <v>29</v>
      </c>
      <c r="E11467">
        <v>2857</v>
      </c>
    </row>
    <row r="11468" spans="1:5" x14ac:dyDescent="0.55000000000000004">
      <c r="A11468" t="s">
        <v>11549</v>
      </c>
      <c r="B11468" t="s">
        <v>140</v>
      </c>
      <c r="C11468" s="2">
        <v>43353</v>
      </c>
      <c r="D11468" t="s">
        <v>29</v>
      </c>
      <c r="E11468">
        <v>2876</v>
      </c>
    </row>
    <row r="11469" spans="1:5" x14ac:dyDescent="0.55000000000000004">
      <c r="A11469" t="s">
        <v>11550</v>
      </c>
      <c r="B11469" t="s">
        <v>118</v>
      </c>
      <c r="C11469" s="2">
        <v>45529</v>
      </c>
      <c r="D11469" t="s">
        <v>26</v>
      </c>
      <c r="E11469">
        <v>2429</v>
      </c>
    </row>
    <row r="11470" spans="1:5" x14ac:dyDescent="0.55000000000000004">
      <c r="A11470" t="s">
        <v>11551</v>
      </c>
      <c r="B11470" t="s">
        <v>63</v>
      </c>
      <c r="C11470" s="2">
        <v>42975</v>
      </c>
      <c r="D11470" t="s">
        <v>29</v>
      </c>
      <c r="E11470">
        <v>1287</v>
      </c>
    </row>
    <row r="11471" spans="1:5" x14ac:dyDescent="0.55000000000000004">
      <c r="A11471" t="s">
        <v>11552</v>
      </c>
      <c r="B11471" t="s">
        <v>96</v>
      </c>
      <c r="C11471" s="2">
        <v>45423</v>
      </c>
      <c r="D11471" t="s">
        <v>29</v>
      </c>
      <c r="E11471">
        <v>2703</v>
      </c>
    </row>
    <row r="11472" spans="1:5" x14ac:dyDescent="0.55000000000000004">
      <c r="A11472" t="s">
        <v>11553</v>
      </c>
      <c r="B11472" t="s">
        <v>175</v>
      </c>
      <c r="C11472" s="2">
        <v>45655</v>
      </c>
      <c r="D11472" t="s">
        <v>26</v>
      </c>
      <c r="E11472">
        <v>1597</v>
      </c>
    </row>
    <row r="11473" spans="1:5" x14ac:dyDescent="0.55000000000000004">
      <c r="A11473" t="s">
        <v>11554</v>
      </c>
      <c r="B11473" t="s">
        <v>15</v>
      </c>
      <c r="C11473" s="2">
        <v>43806</v>
      </c>
      <c r="D11473" t="s">
        <v>26</v>
      </c>
      <c r="E11473">
        <v>1921</v>
      </c>
    </row>
    <row r="11474" spans="1:5" x14ac:dyDescent="0.55000000000000004">
      <c r="A11474" t="s">
        <v>11555</v>
      </c>
      <c r="B11474" t="s">
        <v>156</v>
      </c>
      <c r="C11474" s="2">
        <v>44391</v>
      </c>
      <c r="D11474" t="s">
        <v>26</v>
      </c>
      <c r="E11474">
        <v>165</v>
      </c>
    </row>
    <row r="11475" spans="1:5" x14ac:dyDescent="0.55000000000000004">
      <c r="A11475" t="s">
        <v>11556</v>
      </c>
      <c r="B11475" t="s">
        <v>86</v>
      </c>
      <c r="C11475" s="2">
        <v>44118</v>
      </c>
      <c r="D11475" t="s">
        <v>26</v>
      </c>
      <c r="E11475">
        <v>2479</v>
      </c>
    </row>
    <row r="11476" spans="1:5" x14ac:dyDescent="0.55000000000000004">
      <c r="A11476" t="s">
        <v>11557</v>
      </c>
      <c r="B11476" t="s">
        <v>84</v>
      </c>
      <c r="C11476" s="2">
        <v>44411</v>
      </c>
      <c r="D11476" t="s">
        <v>26</v>
      </c>
      <c r="E11476">
        <v>1296</v>
      </c>
    </row>
    <row r="11477" spans="1:5" x14ac:dyDescent="0.55000000000000004">
      <c r="A11477" t="s">
        <v>11558</v>
      </c>
      <c r="B11477" t="s">
        <v>14</v>
      </c>
      <c r="C11477" s="2">
        <v>44497</v>
      </c>
      <c r="D11477" t="s">
        <v>29</v>
      </c>
      <c r="E11477">
        <v>941</v>
      </c>
    </row>
    <row r="11478" spans="1:5" x14ac:dyDescent="0.55000000000000004">
      <c r="A11478" t="s">
        <v>11559</v>
      </c>
      <c r="B11478" t="s">
        <v>23</v>
      </c>
      <c r="C11478" s="2">
        <v>43945</v>
      </c>
      <c r="D11478" t="s">
        <v>26</v>
      </c>
      <c r="E11478">
        <v>1396</v>
      </c>
    </row>
    <row r="11479" spans="1:5" x14ac:dyDescent="0.55000000000000004">
      <c r="A11479" t="s">
        <v>11560</v>
      </c>
      <c r="B11479" t="s">
        <v>137</v>
      </c>
      <c r="C11479" s="2">
        <v>45242</v>
      </c>
      <c r="D11479" t="s">
        <v>26</v>
      </c>
      <c r="E11479">
        <v>546</v>
      </c>
    </row>
    <row r="11480" spans="1:5" x14ac:dyDescent="0.55000000000000004">
      <c r="A11480" t="s">
        <v>11561</v>
      </c>
      <c r="B11480" t="s">
        <v>67</v>
      </c>
      <c r="C11480" s="2">
        <v>44922</v>
      </c>
      <c r="D11480" t="s">
        <v>29</v>
      </c>
      <c r="E11480">
        <v>2535</v>
      </c>
    </row>
    <row r="11481" spans="1:5" x14ac:dyDescent="0.55000000000000004">
      <c r="A11481" t="s">
        <v>11562</v>
      </c>
      <c r="B11481" t="s">
        <v>35</v>
      </c>
      <c r="C11481" s="2">
        <v>44615</v>
      </c>
      <c r="D11481" t="s">
        <v>29</v>
      </c>
      <c r="E11481">
        <v>2935</v>
      </c>
    </row>
    <row r="11482" spans="1:5" x14ac:dyDescent="0.55000000000000004">
      <c r="A11482" t="s">
        <v>11563</v>
      </c>
      <c r="B11482" t="s">
        <v>14</v>
      </c>
      <c r="C11482" s="2">
        <v>44181</v>
      </c>
      <c r="D11482" t="s">
        <v>29</v>
      </c>
      <c r="E11482">
        <v>866</v>
      </c>
    </row>
    <row r="11483" spans="1:5" x14ac:dyDescent="0.55000000000000004">
      <c r="A11483" t="s">
        <v>11564</v>
      </c>
      <c r="B11483" t="s">
        <v>86</v>
      </c>
      <c r="C11483" s="2">
        <v>43546</v>
      </c>
      <c r="D11483" t="s">
        <v>29</v>
      </c>
      <c r="E11483">
        <v>1608</v>
      </c>
    </row>
    <row r="11484" spans="1:5" x14ac:dyDescent="0.55000000000000004">
      <c r="A11484" t="s">
        <v>11565</v>
      </c>
      <c r="B11484" t="s">
        <v>14</v>
      </c>
      <c r="C11484" s="2">
        <v>43912</v>
      </c>
      <c r="D11484" t="s">
        <v>29</v>
      </c>
      <c r="E11484">
        <v>335</v>
      </c>
    </row>
    <row r="11485" spans="1:5" x14ac:dyDescent="0.55000000000000004">
      <c r="A11485" t="s">
        <v>11566</v>
      </c>
      <c r="B11485" t="s">
        <v>137</v>
      </c>
      <c r="C11485" s="2">
        <v>44168</v>
      </c>
      <c r="D11485" t="s">
        <v>26</v>
      </c>
      <c r="E11485">
        <v>233</v>
      </c>
    </row>
    <row r="11486" spans="1:5" x14ac:dyDescent="0.55000000000000004">
      <c r="A11486" t="s">
        <v>11567</v>
      </c>
      <c r="B11486" t="s">
        <v>74</v>
      </c>
      <c r="C11486" s="2">
        <v>43941</v>
      </c>
      <c r="D11486" t="s">
        <v>29</v>
      </c>
      <c r="E11486">
        <v>530</v>
      </c>
    </row>
    <row r="11487" spans="1:5" x14ac:dyDescent="0.55000000000000004">
      <c r="A11487" t="s">
        <v>11568</v>
      </c>
      <c r="B11487" t="s">
        <v>101</v>
      </c>
      <c r="C11487" s="2">
        <v>43255</v>
      </c>
      <c r="D11487" t="s">
        <v>26</v>
      </c>
      <c r="E11487">
        <v>1555</v>
      </c>
    </row>
    <row r="11488" spans="1:5" x14ac:dyDescent="0.55000000000000004">
      <c r="A11488" t="s">
        <v>11569</v>
      </c>
      <c r="B11488" t="s">
        <v>156</v>
      </c>
      <c r="C11488" s="2">
        <v>44259</v>
      </c>
      <c r="D11488" t="s">
        <v>29</v>
      </c>
      <c r="E11488">
        <v>425</v>
      </c>
    </row>
    <row r="11489" spans="1:5" x14ac:dyDescent="0.55000000000000004">
      <c r="A11489" t="s">
        <v>11570</v>
      </c>
      <c r="B11489" t="s">
        <v>67</v>
      </c>
      <c r="C11489" s="2">
        <v>43561</v>
      </c>
      <c r="D11489" t="s">
        <v>26</v>
      </c>
      <c r="E11489">
        <v>1136</v>
      </c>
    </row>
    <row r="11490" spans="1:5" x14ac:dyDescent="0.55000000000000004">
      <c r="A11490" t="s">
        <v>11571</v>
      </c>
      <c r="B11490" t="s">
        <v>86</v>
      </c>
      <c r="C11490" s="2">
        <v>44109</v>
      </c>
      <c r="D11490" t="s">
        <v>29</v>
      </c>
      <c r="E11490">
        <v>249</v>
      </c>
    </row>
    <row r="11491" spans="1:5" x14ac:dyDescent="0.55000000000000004">
      <c r="A11491" t="s">
        <v>11572</v>
      </c>
      <c r="B11491" t="s">
        <v>67</v>
      </c>
      <c r="C11491" s="2">
        <v>44895</v>
      </c>
      <c r="D11491" t="s">
        <v>26</v>
      </c>
      <c r="E11491">
        <v>1317</v>
      </c>
    </row>
    <row r="11492" spans="1:5" x14ac:dyDescent="0.55000000000000004">
      <c r="A11492" t="s">
        <v>11573</v>
      </c>
      <c r="B11492" t="s">
        <v>101</v>
      </c>
      <c r="C11492" s="2">
        <v>43681</v>
      </c>
      <c r="D11492" t="s">
        <v>26</v>
      </c>
      <c r="E11492">
        <v>1377</v>
      </c>
    </row>
    <row r="11493" spans="1:5" x14ac:dyDescent="0.55000000000000004">
      <c r="A11493" t="s">
        <v>11574</v>
      </c>
      <c r="B11493" t="s">
        <v>105</v>
      </c>
      <c r="C11493" s="2">
        <v>44557</v>
      </c>
      <c r="D11493" t="s">
        <v>29</v>
      </c>
      <c r="E11493">
        <v>2625</v>
      </c>
    </row>
    <row r="11494" spans="1:5" x14ac:dyDescent="0.55000000000000004">
      <c r="A11494" t="s">
        <v>11575</v>
      </c>
      <c r="B11494" t="s">
        <v>63</v>
      </c>
      <c r="C11494" s="2">
        <v>43880</v>
      </c>
      <c r="D11494" t="s">
        <v>29</v>
      </c>
      <c r="E11494">
        <v>2989</v>
      </c>
    </row>
    <row r="11495" spans="1:5" x14ac:dyDescent="0.55000000000000004">
      <c r="A11495" t="s">
        <v>11576</v>
      </c>
      <c r="B11495" t="s">
        <v>23</v>
      </c>
      <c r="C11495" s="2">
        <v>44508</v>
      </c>
      <c r="D11495" t="s">
        <v>26</v>
      </c>
      <c r="E11495">
        <v>1831</v>
      </c>
    </row>
    <row r="11496" spans="1:5" x14ac:dyDescent="0.55000000000000004">
      <c r="A11496" t="s">
        <v>11577</v>
      </c>
      <c r="B11496" t="s">
        <v>78</v>
      </c>
      <c r="C11496" s="2">
        <v>45175</v>
      </c>
      <c r="D11496" t="s">
        <v>29</v>
      </c>
      <c r="E11496">
        <v>1321</v>
      </c>
    </row>
    <row r="11497" spans="1:5" x14ac:dyDescent="0.55000000000000004">
      <c r="A11497" t="s">
        <v>11578</v>
      </c>
      <c r="B11497" t="s">
        <v>15</v>
      </c>
      <c r="C11497" s="2">
        <v>43374</v>
      </c>
      <c r="D11497" t="s">
        <v>29</v>
      </c>
      <c r="E11497">
        <v>1032</v>
      </c>
    </row>
    <row r="11498" spans="1:5" x14ac:dyDescent="0.55000000000000004">
      <c r="A11498" t="s">
        <v>11579</v>
      </c>
      <c r="B11498" t="s">
        <v>99</v>
      </c>
      <c r="C11498" s="2">
        <v>44910</v>
      </c>
      <c r="D11498" t="s">
        <v>26</v>
      </c>
      <c r="E11498">
        <v>1352</v>
      </c>
    </row>
    <row r="11499" spans="1:5" x14ac:dyDescent="0.55000000000000004">
      <c r="A11499" t="s">
        <v>11580</v>
      </c>
      <c r="B11499" t="s">
        <v>74</v>
      </c>
      <c r="C11499" s="2">
        <v>43266</v>
      </c>
      <c r="D11499" t="s">
        <v>26</v>
      </c>
      <c r="E11499">
        <v>1355</v>
      </c>
    </row>
    <row r="11500" spans="1:5" x14ac:dyDescent="0.55000000000000004">
      <c r="A11500" t="s">
        <v>11581</v>
      </c>
      <c r="B11500" t="s">
        <v>175</v>
      </c>
      <c r="C11500" s="2">
        <v>45722</v>
      </c>
      <c r="D11500" t="s">
        <v>29</v>
      </c>
      <c r="E11500">
        <v>1717</v>
      </c>
    </row>
    <row r="11501" spans="1:5" x14ac:dyDescent="0.55000000000000004">
      <c r="A11501" t="s">
        <v>11582</v>
      </c>
      <c r="B11501" t="s">
        <v>15</v>
      </c>
      <c r="C11501" s="2">
        <v>44541</v>
      </c>
      <c r="D11501" t="s">
        <v>26</v>
      </c>
      <c r="E11501">
        <v>337</v>
      </c>
    </row>
    <row r="11502" spans="1:5" x14ac:dyDescent="0.55000000000000004">
      <c r="A11502" t="s">
        <v>11583</v>
      </c>
      <c r="B11502" t="s">
        <v>38</v>
      </c>
      <c r="C11502" s="2">
        <v>44838</v>
      </c>
      <c r="D11502" t="s">
        <v>29</v>
      </c>
      <c r="E11502">
        <v>695</v>
      </c>
    </row>
    <row r="11503" spans="1:5" x14ac:dyDescent="0.55000000000000004">
      <c r="A11503" t="s">
        <v>11584</v>
      </c>
      <c r="B11503" t="s">
        <v>76</v>
      </c>
      <c r="C11503" s="2">
        <v>44112</v>
      </c>
      <c r="D11503" t="s">
        <v>29</v>
      </c>
      <c r="E11503">
        <v>2412</v>
      </c>
    </row>
    <row r="11504" spans="1:5" x14ac:dyDescent="0.55000000000000004">
      <c r="A11504" t="s">
        <v>11585</v>
      </c>
      <c r="B11504" t="s">
        <v>118</v>
      </c>
      <c r="C11504" s="2">
        <v>44183</v>
      </c>
      <c r="D11504" t="s">
        <v>29</v>
      </c>
      <c r="E11504">
        <v>2304</v>
      </c>
    </row>
    <row r="11505" spans="1:5" x14ac:dyDescent="0.55000000000000004">
      <c r="A11505" t="s">
        <v>11586</v>
      </c>
      <c r="B11505" t="s">
        <v>38</v>
      </c>
      <c r="C11505" s="2">
        <v>44707</v>
      </c>
      <c r="D11505" t="s">
        <v>29</v>
      </c>
      <c r="E11505">
        <v>663</v>
      </c>
    </row>
    <row r="11506" spans="1:5" x14ac:dyDescent="0.55000000000000004">
      <c r="A11506" t="s">
        <v>11587</v>
      </c>
      <c r="B11506" t="s">
        <v>151</v>
      </c>
      <c r="C11506" s="2">
        <v>44527</v>
      </c>
      <c r="D11506" t="s">
        <v>29</v>
      </c>
      <c r="E11506">
        <v>2033</v>
      </c>
    </row>
    <row r="11507" spans="1:5" x14ac:dyDescent="0.55000000000000004">
      <c r="A11507" t="s">
        <v>11588</v>
      </c>
      <c r="B11507" t="s">
        <v>84</v>
      </c>
      <c r="C11507" s="2">
        <v>44306</v>
      </c>
      <c r="D11507" t="s">
        <v>26</v>
      </c>
      <c r="E11507">
        <v>582</v>
      </c>
    </row>
    <row r="11508" spans="1:5" x14ac:dyDescent="0.55000000000000004">
      <c r="A11508" t="s">
        <v>11589</v>
      </c>
      <c r="B11508" t="s">
        <v>142</v>
      </c>
      <c r="C11508" s="2">
        <v>43375</v>
      </c>
      <c r="D11508" t="s">
        <v>29</v>
      </c>
      <c r="E11508">
        <v>1102</v>
      </c>
    </row>
    <row r="11509" spans="1:5" x14ac:dyDescent="0.55000000000000004">
      <c r="A11509" t="s">
        <v>11590</v>
      </c>
      <c r="B11509" t="s">
        <v>142</v>
      </c>
      <c r="C11509" s="2">
        <v>43813</v>
      </c>
      <c r="D11509" t="s">
        <v>26</v>
      </c>
      <c r="E11509">
        <v>241</v>
      </c>
    </row>
    <row r="11510" spans="1:5" x14ac:dyDescent="0.55000000000000004">
      <c r="A11510" t="s">
        <v>11591</v>
      </c>
      <c r="B11510" t="s">
        <v>99</v>
      </c>
      <c r="C11510" s="2">
        <v>44540</v>
      </c>
      <c r="D11510" t="s">
        <v>26</v>
      </c>
      <c r="E11510">
        <v>1402</v>
      </c>
    </row>
    <row r="11511" spans="1:5" x14ac:dyDescent="0.55000000000000004">
      <c r="A11511" t="s">
        <v>11592</v>
      </c>
      <c r="B11511" t="s">
        <v>23</v>
      </c>
      <c r="C11511" s="2">
        <v>43999</v>
      </c>
      <c r="D11511" t="s">
        <v>26</v>
      </c>
      <c r="E11511">
        <v>1158</v>
      </c>
    </row>
    <row r="11512" spans="1:5" x14ac:dyDescent="0.55000000000000004">
      <c r="A11512" t="s">
        <v>11593</v>
      </c>
      <c r="B11512" t="s">
        <v>72</v>
      </c>
      <c r="C11512" s="2">
        <v>43766</v>
      </c>
      <c r="D11512" t="s">
        <v>29</v>
      </c>
      <c r="E11512">
        <v>1924</v>
      </c>
    </row>
    <row r="11513" spans="1:5" x14ac:dyDescent="0.55000000000000004">
      <c r="A11513" t="s">
        <v>11594</v>
      </c>
      <c r="B11513" t="s">
        <v>94</v>
      </c>
      <c r="C11513" s="2">
        <v>44777</v>
      </c>
      <c r="D11513" t="s">
        <v>26</v>
      </c>
      <c r="E11513">
        <v>2845</v>
      </c>
    </row>
    <row r="11514" spans="1:5" x14ac:dyDescent="0.55000000000000004">
      <c r="A11514" t="s">
        <v>11595</v>
      </c>
      <c r="B11514" t="s">
        <v>99</v>
      </c>
      <c r="C11514" s="2">
        <v>44861</v>
      </c>
      <c r="D11514" t="s">
        <v>26</v>
      </c>
      <c r="E11514">
        <v>2896</v>
      </c>
    </row>
    <row r="11515" spans="1:5" x14ac:dyDescent="0.55000000000000004">
      <c r="A11515" t="s">
        <v>11596</v>
      </c>
      <c r="B11515" t="s">
        <v>151</v>
      </c>
      <c r="C11515" s="2">
        <v>44300</v>
      </c>
      <c r="D11515" t="s">
        <v>29</v>
      </c>
      <c r="E11515">
        <v>1536</v>
      </c>
    </row>
    <row r="11516" spans="1:5" x14ac:dyDescent="0.55000000000000004">
      <c r="A11516" t="s">
        <v>11597</v>
      </c>
      <c r="B11516" t="s">
        <v>41</v>
      </c>
      <c r="C11516" s="2">
        <v>44338</v>
      </c>
      <c r="D11516" t="s">
        <v>29</v>
      </c>
      <c r="E11516">
        <v>659</v>
      </c>
    </row>
    <row r="11517" spans="1:5" x14ac:dyDescent="0.55000000000000004">
      <c r="A11517" t="s">
        <v>11598</v>
      </c>
      <c r="B11517" t="s">
        <v>32</v>
      </c>
      <c r="C11517" s="2">
        <v>44413</v>
      </c>
      <c r="D11517" t="s">
        <v>29</v>
      </c>
      <c r="E11517">
        <v>288</v>
      </c>
    </row>
    <row r="11518" spans="1:5" x14ac:dyDescent="0.55000000000000004">
      <c r="A11518" t="s">
        <v>11599</v>
      </c>
      <c r="B11518" t="s">
        <v>156</v>
      </c>
      <c r="C11518" s="2">
        <v>43184</v>
      </c>
      <c r="D11518" t="s">
        <v>29</v>
      </c>
      <c r="E11518">
        <v>686</v>
      </c>
    </row>
    <row r="11519" spans="1:5" x14ac:dyDescent="0.55000000000000004">
      <c r="A11519" t="s">
        <v>11600</v>
      </c>
      <c r="B11519" t="s">
        <v>14</v>
      </c>
      <c r="C11519" s="2">
        <v>43472</v>
      </c>
      <c r="D11519" t="s">
        <v>26</v>
      </c>
      <c r="E11519">
        <v>2093</v>
      </c>
    </row>
    <row r="11520" spans="1:5" x14ac:dyDescent="0.55000000000000004">
      <c r="A11520" t="s">
        <v>11601</v>
      </c>
      <c r="B11520" t="s">
        <v>86</v>
      </c>
      <c r="C11520" s="2">
        <v>43205</v>
      </c>
      <c r="D11520" t="s">
        <v>26</v>
      </c>
      <c r="E11520">
        <v>1629</v>
      </c>
    </row>
    <row r="11521" spans="1:5" x14ac:dyDescent="0.55000000000000004">
      <c r="A11521" t="s">
        <v>11602</v>
      </c>
      <c r="B11521" t="s">
        <v>137</v>
      </c>
      <c r="C11521" s="2">
        <v>44473</v>
      </c>
      <c r="D11521" t="s">
        <v>26</v>
      </c>
      <c r="E11521">
        <v>1079</v>
      </c>
    </row>
    <row r="11522" spans="1:5" x14ac:dyDescent="0.55000000000000004">
      <c r="A11522" t="s">
        <v>11603</v>
      </c>
      <c r="B11522" t="s">
        <v>94</v>
      </c>
      <c r="C11522" s="2">
        <v>45135</v>
      </c>
      <c r="D11522" t="s">
        <v>26</v>
      </c>
      <c r="E11522">
        <v>282</v>
      </c>
    </row>
    <row r="11523" spans="1:5" x14ac:dyDescent="0.55000000000000004">
      <c r="A11523" t="s">
        <v>11604</v>
      </c>
      <c r="B11523" t="s">
        <v>67</v>
      </c>
      <c r="C11523" s="2">
        <v>45506</v>
      </c>
      <c r="D11523" t="s">
        <v>29</v>
      </c>
      <c r="E11523">
        <v>773</v>
      </c>
    </row>
    <row r="11524" spans="1:5" x14ac:dyDescent="0.55000000000000004">
      <c r="A11524" t="s">
        <v>11605</v>
      </c>
      <c r="B11524" t="s">
        <v>15</v>
      </c>
      <c r="C11524" s="2">
        <v>43211</v>
      </c>
      <c r="D11524" t="s">
        <v>26</v>
      </c>
      <c r="E11524">
        <v>2665</v>
      </c>
    </row>
    <row r="11525" spans="1:5" x14ac:dyDescent="0.55000000000000004">
      <c r="A11525" t="s">
        <v>11606</v>
      </c>
      <c r="B11525" t="s">
        <v>101</v>
      </c>
      <c r="C11525" s="2">
        <v>43632</v>
      </c>
      <c r="D11525" t="s">
        <v>26</v>
      </c>
      <c r="E11525">
        <v>2699</v>
      </c>
    </row>
    <row r="11526" spans="1:5" x14ac:dyDescent="0.55000000000000004">
      <c r="A11526" t="s">
        <v>11607</v>
      </c>
      <c r="B11526" t="s">
        <v>151</v>
      </c>
      <c r="C11526" s="2">
        <v>44333</v>
      </c>
      <c r="D11526" t="s">
        <v>26</v>
      </c>
      <c r="E11526">
        <v>1174</v>
      </c>
    </row>
    <row r="11527" spans="1:5" x14ac:dyDescent="0.55000000000000004">
      <c r="A11527" t="s">
        <v>11608</v>
      </c>
      <c r="B11527" t="s">
        <v>115</v>
      </c>
      <c r="C11527" s="2">
        <v>44374</v>
      </c>
      <c r="D11527" t="s">
        <v>26</v>
      </c>
      <c r="E11527">
        <v>1970</v>
      </c>
    </row>
    <row r="11528" spans="1:5" x14ac:dyDescent="0.55000000000000004">
      <c r="A11528" t="s">
        <v>11609</v>
      </c>
      <c r="B11528" t="s">
        <v>74</v>
      </c>
      <c r="C11528" s="2">
        <v>43704</v>
      </c>
      <c r="D11528" t="s">
        <v>26</v>
      </c>
      <c r="E11528">
        <v>1004</v>
      </c>
    </row>
    <row r="11529" spans="1:5" x14ac:dyDescent="0.55000000000000004">
      <c r="A11529" t="s">
        <v>11610</v>
      </c>
      <c r="B11529" t="s">
        <v>151</v>
      </c>
      <c r="C11529" s="2">
        <v>44428</v>
      </c>
      <c r="D11529" t="s">
        <v>26</v>
      </c>
      <c r="E11529">
        <v>250</v>
      </c>
    </row>
    <row r="11530" spans="1:5" x14ac:dyDescent="0.55000000000000004">
      <c r="A11530" t="s">
        <v>11611</v>
      </c>
      <c r="B11530" t="s">
        <v>67</v>
      </c>
      <c r="C11530" s="2">
        <v>44996</v>
      </c>
      <c r="D11530" t="s">
        <v>29</v>
      </c>
      <c r="E11530">
        <v>1152</v>
      </c>
    </row>
    <row r="11531" spans="1:5" x14ac:dyDescent="0.55000000000000004">
      <c r="A11531" t="s">
        <v>11612</v>
      </c>
      <c r="B11531" t="s">
        <v>74</v>
      </c>
      <c r="C11531" s="2">
        <v>44000</v>
      </c>
      <c r="D11531" t="s">
        <v>29</v>
      </c>
      <c r="E11531">
        <v>1023</v>
      </c>
    </row>
    <row r="11532" spans="1:5" x14ac:dyDescent="0.55000000000000004">
      <c r="A11532" t="s">
        <v>11613</v>
      </c>
      <c r="B11532" t="s">
        <v>140</v>
      </c>
      <c r="C11532" s="2">
        <v>44253</v>
      </c>
      <c r="D11532" t="s">
        <v>29</v>
      </c>
      <c r="E11532">
        <v>222</v>
      </c>
    </row>
    <row r="11533" spans="1:5" x14ac:dyDescent="0.55000000000000004">
      <c r="A11533" t="s">
        <v>11614</v>
      </c>
      <c r="B11533" t="s">
        <v>38</v>
      </c>
      <c r="C11533" s="2">
        <v>44201</v>
      </c>
      <c r="D11533" t="s">
        <v>26</v>
      </c>
      <c r="E11533">
        <v>2582</v>
      </c>
    </row>
    <row r="11534" spans="1:5" x14ac:dyDescent="0.55000000000000004">
      <c r="A11534" t="s">
        <v>11615</v>
      </c>
      <c r="B11534" t="s">
        <v>32</v>
      </c>
      <c r="C11534" s="2">
        <v>44238</v>
      </c>
      <c r="D11534" t="s">
        <v>26</v>
      </c>
      <c r="E11534">
        <v>911</v>
      </c>
    </row>
    <row r="11535" spans="1:5" x14ac:dyDescent="0.55000000000000004">
      <c r="A11535" t="s">
        <v>11616</v>
      </c>
      <c r="B11535" t="s">
        <v>96</v>
      </c>
      <c r="C11535" s="2">
        <v>45732</v>
      </c>
      <c r="D11535" t="s">
        <v>26</v>
      </c>
      <c r="E11535">
        <v>2994</v>
      </c>
    </row>
    <row r="11536" spans="1:5" x14ac:dyDescent="0.55000000000000004">
      <c r="A11536" t="s">
        <v>11617</v>
      </c>
      <c r="B11536" t="s">
        <v>105</v>
      </c>
      <c r="C11536" s="2">
        <v>44318</v>
      </c>
      <c r="D11536" t="s">
        <v>26</v>
      </c>
      <c r="E11536">
        <v>128</v>
      </c>
    </row>
    <row r="11537" spans="1:5" x14ac:dyDescent="0.55000000000000004">
      <c r="A11537" t="s">
        <v>11618</v>
      </c>
      <c r="B11537" t="s">
        <v>23</v>
      </c>
      <c r="C11537" s="2">
        <v>44323</v>
      </c>
      <c r="D11537" t="s">
        <v>29</v>
      </c>
      <c r="E11537">
        <v>1988</v>
      </c>
    </row>
    <row r="11538" spans="1:5" x14ac:dyDescent="0.55000000000000004">
      <c r="A11538" t="s">
        <v>11619</v>
      </c>
      <c r="B11538" t="s">
        <v>78</v>
      </c>
      <c r="C11538" s="2">
        <v>45158</v>
      </c>
      <c r="D11538" t="s">
        <v>29</v>
      </c>
      <c r="E11538">
        <v>1874</v>
      </c>
    </row>
    <row r="11539" spans="1:5" x14ac:dyDescent="0.55000000000000004">
      <c r="A11539" t="s">
        <v>11620</v>
      </c>
      <c r="B11539" t="s">
        <v>137</v>
      </c>
      <c r="C11539" s="2">
        <v>45365</v>
      </c>
      <c r="D11539" t="s">
        <v>29</v>
      </c>
      <c r="E11539">
        <v>983</v>
      </c>
    </row>
    <row r="11540" spans="1:5" x14ac:dyDescent="0.55000000000000004">
      <c r="A11540" t="s">
        <v>11621</v>
      </c>
      <c r="B11540" t="s">
        <v>76</v>
      </c>
      <c r="C11540" s="2">
        <v>45170</v>
      </c>
      <c r="D11540" t="s">
        <v>29</v>
      </c>
      <c r="E11540">
        <v>1868</v>
      </c>
    </row>
    <row r="11541" spans="1:5" x14ac:dyDescent="0.55000000000000004">
      <c r="A11541" t="s">
        <v>11622</v>
      </c>
      <c r="B11541" t="s">
        <v>101</v>
      </c>
      <c r="C11541" s="2">
        <v>43554</v>
      </c>
      <c r="D11541" t="s">
        <v>29</v>
      </c>
      <c r="E11541">
        <v>1427</v>
      </c>
    </row>
    <row r="11542" spans="1:5" x14ac:dyDescent="0.55000000000000004">
      <c r="A11542" t="s">
        <v>11623</v>
      </c>
      <c r="B11542" t="s">
        <v>156</v>
      </c>
      <c r="C11542" s="2">
        <v>43594</v>
      </c>
      <c r="D11542" t="s">
        <v>26</v>
      </c>
      <c r="E11542">
        <v>852</v>
      </c>
    </row>
    <row r="11543" spans="1:5" x14ac:dyDescent="0.55000000000000004">
      <c r="A11543" t="s">
        <v>11624</v>
      </c>
      <c r="B11543" t="s">
        <v>84</v>
      </c>
      <c r="C11543" s="2">
        <v>43949</v>
      </c>
      <c r="D11543" t="s">
        <v>26</v>
      </c>
      <c r="E11543">
        <v>2512</v>
      </c>
    </row>
    <row r="11544" spans="1:5" x14ac:dyDescent="0.55000000000000004">
      <c r="A11544" t="s">
        <v>11625</v>
      </c>
      <c r="B11544" t="s">
        <v>111</v>
      </c>
      <c r="C11544" s="2">
        <v>44342</v>
      </c>
      <c r="D11544" t="s">
        <v>29</v>
      </c>
      <c r="E11544">
        <v>827</v>
      </c>
    </row>
    <row r="11545" spans="1:5" x14ac:dyDescent="0.55000000000000004">
      <c r="A11545" t="s">
        <v>11626</v>
      </c>
      <c r="B11545" t="s">
        <v>86</v>
      </c>
      <c r="C11545" s="2">
        <v>44497</v>
      </c>
      <c r="D11545" t="s">
        <v>26</v>
      </c>
      <c r="E11545">
        <v>441</v>
      </c>
    </row>
    <row r="11546" spans="1:5" x14ac:dyDescent="0.55000000000000004">
      <c r="A11546" t="s">
        <v>11627</v>
      </c>
      <c r="B11546" t="s">
        <v>94</v>
      </c>
      <c r="C11546" s="2">
        <v>43672</v>
      </c>
      <c r="D11546" t="s">
        <v>26</v>
      </c>
      <c r="E11546">
        <v>1563</v>
      </c>
    </row>
    <row r="11547" spans="1:5" x14ac:dyDescent="0.55000000000000004">
      <c r="A11547" t="s">
        <v>11628</v>
      </c>
      <c r="B11547" t="s">
        <v>32</v>
      </c>
      <c r="C11547" s="2">
        <v>44249</v>
      </c>
      <c r="D11547" t="s">
        <v>29</v>
      </c>
      <c r="E11547">
        <v>1521</v>
      </c>
    </row>
    <row r="11548" spans="1:5" x14ac:dyDescent="0.55000000000000004">
      <c r="A11548" t="s">
        <v>11629</v>
      </c>
      <c r="B11548" t="s">
        <v>151</v>
      </c>
      <c r="C11548" s="2">
        <v>43398</v>
      </c>
      <c r="D11548" t="s">
        <v>26</v>
      </c>
      <c r="E11548">
        <v>2201</v>
      </c>
    </row>
    <row r="11549" spans="1:5" x14ac:dyDescent="0.55000000000000004">
      <c r="A11549" t="s">
        <v>11630</v>
      </c>
      <c r="B11549" t="s">
        <v>32</v>
      </c>
      <c r="C11549" s="2">
        <v>44108</v>
      </c>
      <c r="D11549" t="s">
        <v>26</v>
      </c>
      <c r="E11549">
        <v>2830</v>
      </c>
    </row>
    <row r="11550" spans="1:5" x14ac:dyDescent="0.55000000000000004">
      <c r="A11550" t="s">
        <v>11631</v>
      </c>
      <c r="B11550" t="s">
        <v>63</v>
      </c>
      <c r="C11550" s="2">
        <v>43303</v>
      </c>
      <c r="D11550" t="s">
        <v>26</v>
      </c>
      <c r="E11550">
        <v>842</v>
      </c>
    </row>
    <row r="11551" spans="1:5" x14ac:dyDescent="0.55000000000000004">
      <c r="A11551" t="s">
        <v>11632</v>
      </c>
      <c r="B11551" t="s">
        <v>86</v>
      </c>
      <c r="C11551" s="2">
        <v>44307</v>
      </c>
      <c r="D11551" t="s">
        <v>26</v>
      </c>
      <c r="E11551">
        <v>1275</v>
      </c>
    </row>
    <row r="11552" spans="1:5" x14ac:dyDescent="0.55000000000000004">
      <c r="A11552" t="s">
        <v>11633</v>
      </c>
      <c r="B11552" t="s">
        <v>35</v>
      </c>
      <c r="C11552" s="2">
        <v>44896</v>
      </c>
      <c r="D11552" t="s">
        <v>29</v>
      </c>
      <c r="E11552">
        <v>1377</v>
      </c>
    </row>
    <row r="11553" spans="1:5" x14ac:dyDescent="0.55000000000000004">
      <c r="A11553" t="s">
        <v>11634</v>
      </c>
      <c r="B11553" t="s">
        <v>78</v>
      </c>
      <c r="C11553" s="2">
        <v>43582</v>
      </c>
      <c r="D11553" t="s">
        <v>29</v>
      </c>
      <c r="E11553">
        <v>93</v>
      </c>
    </row>
    <row r="11554" spans="1:5" x14ac:dyDescent="0.55000000000000004">
      <c r="A11554" t="s">
        <v>11635</v>
      </c>
      <c r="B11554" t="s">
        <v>72</v>
      </c>
      <c r="C11554" s="2">
        <v>43688</v>
      </c>
      <c r="D11554" t="s">
        <v>29</v>
      </c>
      <c r="E11554">
        <v>71</v>
      </c>
    </row>
    <row r="11555" spans="1:5" x14ac:dyDescent="0.55000000000000004">
      <c r="A11555" t="s">
        <v>11636</v>
      </c>
      <c r="B11555" t="s">
        <v>140</v>
      </c>
      <c r="C11555" s="2">
        <v>43200</v>
      </c>
      <c r="D11555" t="s">
        <v>29</v>
      </c>
      <c r="E11555">
        <v>58</v>
      </c>
    </row>
    <row r="11556" spans="1:5" x14ac:dyDescent="0.55000000000000004">
      <c r="A11556" t="s">
        <v>11637</v>
      </c>
      <c r="B11556" t="s">
        <v>101</v>
      </c>
      <c r="C11556" s="2">
        <v>43818</v>
      </c>
      <c r="D11556" t="s">
        <v>29</v>
      </c>
      <c r="E11556">
        <v>2938</v>
      </c>
    </row>
    <row r="11557" spans="1:5" x14ac:dyDescent="0.55000000000000004">
      <c r="A11557" t="s">
        <v>11638</v>
      </c>
      <c r="B11557" t="s">
        <v>115</v>
      </c>
      <c r="C11557" s="2">
        <v>43572</v>
      </c>
      <c r="D11557" t="s">
        <v>26</v>
      </c>
      <c r="E11557">
        <v>1216</v>
      </c>
    </row>
    <row r="11558" spans="1:5" x14ac:dyDescent="0.55000000000000004">
      <c r="A11558" t="s">
        <v>11639</v>
      </c>
      <c r="B11558" t="s">
        <v>156</v>
      </c>
      <c r="C11558" s="2">
        <v>43955</v>
      </c>
      <c r="D11558" t="s">
        <v>29</v>
      </c>
      <c r="E11558">
        <v>1789</v>
      </c>
    </row>
    <row r="11559" spans="1:5" x14ac:dyDescent="0.55000000000000004">
      <c r="A11559" t="s">
        <v>11640</v>
      </c>
      <c r="B11559" t="s">
        <v>105</v>
      </c>
      <c r="C11559" s="2">
        <v>43136</v>
      </c>
      <c r="D11559" t="s">
        <v>29</v>
      </c>
      <c r="E11559">
        <v>1170</v>
      </c>
    </row>
    <row r="11560" spans="1:5" x14ac:dyDescent="0.55000000000000004">
      <c r="A11560" t="s">
        <v>11641</v>
      </c>
      <c r="B11560" t="s">
        <v>99</v>
      </c>
      <c r="C11560" s="2">
        <v>44468</v>
      </c>
      <c r="D11560" t="s">
        <v>29</v>
      </c>
      <c r="E11560">
        <v>2707</v>
      </c>
    </row>
    <row r="11561" spans="1:5" x14ac:dyDescent="0.55000000000000004">
      <c r="A11561" t="s">
        <v>11642</v>
      </c>
      <c r="B11561" t="s">
        <v>72</v>
      </c>
      <c r="C11561" s="2">
        <v>43845</v>
      </c>
      <c r="D11561" t="s">
        <v>29</v>
      </c>
      <c r="E11561">
        <v>1020</v>
      </c>
    </row>
    <row r="11562" spans="1:5" x14ac:dyDescent="0.55000000000000004">
      <c r="A11562" t="s">
        <v>11643</v>
      </c>
      <c r="B11562" t="s">
        <v>142</v>
      </c>
      <c r="C11562" s="2">
        <v>43273</v>
      </c>
      <c r="D11562" t="s">
        <v>29</v>
      </c>
      <c r="E11562">
        <v>219</v>
      </c>
    </row>
    <row r="11563" spans="1:5" x14ac:dyDescent="0.55000000000000004">
      <c r="A11563" t="s">
        <v>11644</v>
      </c>
      <c r="B11563" t="s">
        <v>140</v>
      </c>
      <c r="C11563" s="2">
        <v>44077</v>
      </c>
      <c r="D11563" t="s">
        <v>29</v>
      </c>
      <c r="E11563">
        <v>1957</v>
      </c>
    </row>
    <row r="11564" spans="1:5" x14ac:dyDescent="0.55000000000000004">
      <c r="A11564" t="s">
        <v>11645</v>
      </c>
      <c r="B11564" t="s">
        <v>105</v>
      </c>
      <c r="C11564" s="2">
        <v>43623</v>
      </c>
      <c r="D11564" t="s">
        <v>26</v>
      </c>
      <c r="E11564">
        <v>2730</v>
      </c>
    </row>
    <row r="11565" spans="1:5" x14ac:dyDescent="0.55000000000000004">
      <c r="A11565" t="s">
        <v>11646</v>
      </c>
      <c r="B11565" t="s">
        <v>142</v>
      </c>
      <c r="C11565" s="2">
        <v>43239</v>
      </c>
      <c r="D11565" t="s">
        <v>26</v>
      </c>
      <c r="E11565">
        <v>1479</v>
      </c>
    </row>
    <row r="11566" spans="1:5" x14ac:dyDescent="0.55000000000000004">
      <c r="A11566" t="s">
        <v>11647</v>
      </c>
      <c r="B11566" t="s">
        <v>67</v>
      </c>
      <c r="C11566" s="2">
        <v>44310</v>
      </c>
      <c r="D11566" t="s">
        <v>29</v>
      </c>
      <c r="E11566">
        <v>1892</v>
      </c>
    </row>
    <row r="11567" spans="1:5" x14ac:dyDescent="0.55000000000000004">
      <c r="A11567" t="s">
        <v>11648</v>
      </c>
      <c r="B11567" t="s">
        <v>118</v>
      </c>
      <c r="C11567" s="2">
        <v>43923</v>
      </c>
      <c r="D11567" t="s">
        <v>26</v>
      </c>
      <c r="E11567">
        <v>1532</v>
      </c>
    </row>
    <row r="11568" spans="1:5" x14ac:dyDescent="0.55000000000000004">
      <c r="A11568" t="s">
        <v>11649</v>
      </c>
      <c r="B11568" t="s">
        <v>99</v>
      </c>
      <c r="C11568" s="2">
        <v>44206</v>
      </c>
      <c r="D11568" t="s">
        <v>29</v>
      </c>
      <c r="E11568">
        <v>2173</v>
      </c>
    </row>
    <row r="11569" spans="1:5" x14ac:dyDescent="0.55000000000000004">
      <c r="A11569" t="s">
        <v>11650</v>
      </c>
      <c r="B11569" t="s">
        <v>118</v>
      </c>
      <c r="C11569" s="2">
        <v>45757</v>
      </c>
      <c r="D11569" t="s">
        <v>26</v>
      </c>
      <c r="E11569">
        <v>2423</v>
      </c>
    </row>
    <row r="11570" spans="1:5" x14ac:dyDescent="0.55000000000000004">
      <c r="A11570" t="s">
        <v>11651</v>
      </c>
      <c r="B11570" t="s">
        <v>38</v>
      </c>
      <c r="C11570" s="2">
        <v>44445</v>
      </c>
      <c r="D11570" t="s">
        <v>29</v>
      </c>
      <c r="E11570">
        <v>338</v>
      </c>
    </row>
    <row r="11571" spans="1:5" x14ac:dyDescent="0.55000000000000004">
      <c r="A11571" t="s">
        <v>11652</v>
      </c>
      <c r="B11571" t="s">
        <v>101</v>
      </c>
      <c r="C11571" s="2">
        <v>44306</v>
      </c>
      <c r="D11571" t="s">
        <v>29</v>
      </c>
      <c r="E11571">
        <v>2559</v>
      </c>
    </row>
    <row r="11572" spans="1:5" x14ac:dyDescent="0.55000000000000004">
      <c r="A11572" t="s">
        <v>11653</v>
      </c>
      <c r="B11572" t="s">
        <v>23</v>
      </c>
      <c r="C11572" s="2">
        <v>43968</v>
      </c>
      <c r="D11572" t="s">
        <v>29</v>
      </c>
      <c r="E11572">
        <v>1284</v>
      </c>
    </row>
    <row r="11573" spans="1:5" x14ac:dyDescent="0.55000000000000004">
      <c r="A11573" t="s">
        <v>11654</v>
      </c>
      <c r="B11573" t="s">
        <v>175</v>
      </c>
      <c r="C11573" s="2">
        <v>45078</v>
      </c>
      <c r="D11573" t="s">
        <v>29</v>
      </c>
      <c r="E11573">
        <v>1222</v>
      </c>
    </row>
    <row r="11574" spans="1:5" x14ac:dyDescent="0.55000000000000004">
      <c r="A11574" t="s">
        <v>11655</v>
      </c>
      <c r="B11574" t="s">
        <v>140</v>
      </c>
      <c r="C11574" s="2">
        <v>43431</v>
      </c>
      <c r="D11574" t="s">
        <v>29</v>
      </c>
      <c r="E11574">
        <v>591</v>
      </c>
    </row>
    <row r="11575" spans="1:5" x14ac:dyDescent="0.55000000000000004">
      <c r="A11575" t="s">
        <v>11656</v>
      </c>
      <c r="B11575" t="s">
        <v>63</v>
      </c>
      <c r="C11575" s="2">
        <v>44113</v>
      </c>
      <c r="D11575" t="s">
        <v>26</v>
      </c>
      <c r="E11575">
        <v>123</v>
      </c>
    </row>
    <row r="11576" spans="1:5" x14ac:dyDescent="0.55000000000000004">
      <c r="A11576" t="s">
        <v>11657</v>
      </c>
      <c r="B11576" t="s">
        <v>84</v>
      </c>
      <c r="C11576" s="2">
        <v>43065</v>
      </c>
      <c r="D11576" t="s">
        <v>29</v>
      </c>
      <c r="E11576">
        <v>695</v>
      </c>
    </row>
    <row r="11577" spans="1:5" x14ac:dyDescent="0.55000000000000004">
      <c r="A11577" t="s">
        <v>11658</v>
      </c>
      <c r="B11577" t="s">
        <v>156</v>
      </c>
      <c r="C11577" s="2">
        <v>43236</v>
      </c>
      <c r="D11577" t="s">
        <v>29</v>
      </c>
      <c r="E11577">
        <v>2029</v>
      </c>
    </row>
    <row r="11578" spans="1:5" x14ac:dyDescent="0.55000000000000004">
      <c r="A11578" t="s">
        <v>11659</v>
      </c>
      <c r="B11578" t="s">
        <v>99</v>
      </c>
      <c r="C11578" s="2">
        <v>44962</v>
      </c>
      <c r="D11578" t="s">
        <v>29</v>
      </c>
      <c r="E11578">
        <v>1047</v>
      </c>
    </row>
    <row r="11579" spans="1:5" x14ac:dyDescent="0.55000000000000004">
      <c r="A11579" t="s">
        <v>11660</v>
      </c>
      <c r="B11579" t="s">
        <v>96</v>
      </c>
      <c r="C11579" s="2">
        <v>43504</v>
      </c>
      <c r="D11579" t="s">
        <v>26</v>
      </c>
      <c r="E11579">
        <v>2056</v>
      </c>
    </row>
    <row r="11580" spans="1:5" x14ac:dyDescent="0.55000000000000004">
      <c r="A11580" t="s">
        <v>11661</v>
      </c>
      <c r="B11580" t="s">
        <v>23</v>
      </c>
      <c r="C11580" s="2">
        <v>44793</v>
      </c>
      <c r="D11580" t="s">
        <v>29</v>
      </c>
      <c r="E11580">
        <v>2453</v>
      </c>
    </row>
    <row r="11581" spans="1:5" x14ac:dyDescent="0.55000000000000004">
      <c r="A11581" t="s">
        <v>11662</v>
      </c>
      <c r="B11581" t="s">
        <v>38</v>
      </c>
      <c r="C11581" s="2">
        <v>44540</v>
      </c>
      <c r="D11581" t="s">
        <v>26</v>
      </c>
      <c r="E11581">
        <v>511</v>
      </c>
    </row>
    <row r="11582" spans="1:5" x14ac:dyDescent="0.55000000000000004">
      <c r="A11582" t="s">
        <v>11663</v>
      </c>
      <c r="B11582" t="s">
        <v>94</v>
      </c>
      <c r="C11582" s="2">
        <v>44699</v>
      </c>
      <c r="D11582" t="s">
        <v>29</v>
      </c>
      <c r="E11582">
        <v>1849</v>
      </c>
    </row>
    <row r="11583" spans="1:5" x14ac:dyDescent="0.55000000000000004">
      <c r="A11583" t="s">
        <v>11664</v>
      </c>
      <c r="B11583" t="s">
        <v>142</v>
      </c>
      <c r="C11583" s="2">
        <v>44450</v>
      </c>
      <c r="D11583" t="s">
        <v>26</v>
      </c>
      <c r="E11583">
        <v>1734</v>
      </c>
    </row>
    <row r="11584" spans="1:5" x14ac:dyDescent="0.55000000000000004">
      <c r="A11584" t="s">
        <v>11665</v>
      </c>
      <c r="B11584" t="s">
        <v>96</v>
      </c>
      <c r="C11584" s="2">
        <v>44052</v>
      </c>
      <c r="D11584" t="s">
        <v>29</v>
      </c>
      <c r="E11584">
        <v>182</v>
      </c>
    </row>
    <row r="11585" spans="1:5" x14ac:dyDescent="0.55000000000000004">
      <c r="A11585" t="s">
        <v>11666</v>
      </c>
      <c r="B11585" t="s">
        <v>78</v>
      </c>
      <c r="C11585" s="2">
        <v>43991</v>
      </c>
      <c r="D11585" t="s">
        <v>26</v>
      </c>
      <c r="E11585">
        <v>234</v>
      </c>
    </row>
    <row r="11586" spans="1:5" x14ac:dyDescent="0.55000000000000004">
      <c r="A11586" t="s">
        <v>11667</v>
      </c>
      <c r="B11586" t="s">
        <v>137</v>
      </c>
      <c r="C11586" s="2">
        <v>44734</v>
      </c>
      <c r="D11586" t="s">
        <v>26</v>
      </c>
      <c r="E11586">
        <v>1890</v>
      </c>
    </row>
    <row r="11587" spans="1:5" x14ac:dyDescent="0.55000000000000004">
      <c r="A11587" t="s">
        <v>11668</v>
      </c>
      <c r="B11587" t="s">
        <v>96</v>
      </c>
      <c r="C11587" s="2">
        <v>43598</v>
      </c>
      <c r="D11587" t="s">
        <v>29</v>
      </c>
      <c r="E11587">
        <v>988</v>
      </c>
    </row>
    <row r="11588" spans="1:5" x14ac:dyDescent="0.55000000000000004">
      <c r="A11588" t="s">
        <v>11669</v>
      </c>
      <c r="B11588" t="s">
        <v>84</v>
      </c>
      <c r="C11588" s="2">
        <v>44352</v>
      </c>
      <c r="D11588" t="s">
        <v>29</v>
      </c>
      <c r="E11588">
        <v>175</v>
      </c>
    </row>
    <row r="11589" spans="1:5" x14ac:dyDescent="0.55000000000000004">
      <c r="A11589" t="s">
        <v>11670</v>
      </c>
      <c r="B11589" t="s">
        <v>38</v>
      </c>
      <c r="C11589" s="2">
        <v>44339</v>
      </c>
      <c r="D11589" t="s">
        <v>26</v>
      </c>
      <c r="E11589">
        <v>1694</v>
      </c>
    </row>
    <row r="11590" spans="1:5" x14ac:dyDescent="0.55000000000000004">
      <c r="A11590" t="s">
        <v>11671</v>
      </c>
      <c r="B11590" t="s">
        <v>115</v>
      </c>
      <c r="C11590" s="2">
        <v>43370</v>
      </c>
      <c r="D11590" t="s">
        <v>29</v>
      </c>
      <c r="E11590">
        <v>51</v>
      </c>
    </row>
    <row r="11591" spans="1:5" x14ac:dyDescent="0.55000000000000004">
      <c r="A11591" t="s">
        <v>11672</v>
      </c>
      <c r="B11591" t="s">
        <v>78</v>
      </c>
      <c r="C11591" s="2">
        <v>45462</v>
      </c>
      <c r="D11591" t="s">
        <v>26</v>
      </c>
      <c r="E11591">
        <v>2806</v>
      </c>
    </row>
    <row r="11592" spans="1:5" x14ac:dyDescent="0.55000000000000004">
      <c r="A11592" t="s">
        <v>11673</v>
      </c>
      <c r="B11592" t="s">
        <v>78</v>
      </c>
      <c r="C11592" s="2">
        <v>43825</v>
      </c>
      <c r="D11592" t="s">
        <v>29</v>
      </c>
      <c r="E11592">
        <v>1098</v>
      </c>
    </row>
    <row r="11593" spans="1:5" x14ac:dyDescent="0.55000000000000004">
      <c r="A11593" t="s">
        <v>11674</v>
      </c>
      <c r="B11593" t="s">
        <v>86</v>
      </c>
      <c r="C11593" s="2">
        <v>43902</v>
      </c>
      <c r="D11593" t="s">
        <v>29</v>
      </c>
      <c r="E11593">
        <v>726</v>
      </c>
    </row>
    <row r="11594" spans="1:5" x14ac:dyDescent="0.55000000000000004">
      <c r="A11594" t="s">
        <v>11675</v>
      </c>
      <c r="B11594" t="s">
        <v>96</v>
      </c>
      <c r="C11594" s="2">
        <v>44880</v>
      </c>
      <c r="D11594" t="s">
        <v>29</v>
      </c>
      <c r="E11594">
        <v>2652</v>
      </c>
    </row>
    <row r="11595" spans="1:5" x14ac:dyDescent="0.55000000000000004">
      <c r="A11595" t="s">
        <v>11676</v>
      </c>
      <c r="B11595" t="s">
        <v>105</v>
      </c>
      <c r="C11595" s="2">
        <v>44386</v>
      </c>
      <c r="D11595" t="s">
        <v>26</v>
      </c>
      <c r="E11595">
        <v>514</v>
      </c>
    </row>
    <row r="11596" spans="1:5" x14ac:dyDescent="0.55000000000000004">
      <c r="A11596" t="s">
        <v>11677</v>
      </c>
      <c r="B11596" t="s">
        <v>118</v>
      </c>
      <c r="C11596" s="2">
        <v>45766</v>
      </c>
      <c r="D11596" t="s">
        <v>29</v>
      </c>
      <c r="E11596">
        <v>2006</v>
      </c>
    </row>
    <row r="11597" spans="1:5" x14ac:dyDescent="0.55000000000000004">
      <c r="A11597" t="s">
        <v>11678</v>
      </c>
      <c r="B11597" t="s">
        <v>38</v>
      </c>
      <c r="C11597" s="2">
        <v>44859</v>
      </c>
      <c r="D11597" t="s">
        <v>29</v>
      </c>
      <c r="E11597">
        <v>369</v>
      </c>
    </row>
    <row r="11598" spans="1:5" x14ac:dyDescent="0.55000000000000004">
      <c r="A11598" t="s">
        <v>11679</v>
      </c>
      <c r="B11598" t="s">
        <v>86</v>
      </c>
      <c r="C11598" s="2">
        <v>44309</v>
      </c>
      <c r="D11598" t="s">
        <v>26</v>
      </c>
      <c r="E11598">
        <v>1732</v>
      </c>
    </row>
    <row r="11599" spans="1:5" x14ac:dyDescent="0.55000000000000004">
      <c r="A11599" t="s">
        <v>11680</v>
      </c>
      <c r="B11599" t="s">
        <v>94</v>
      </c>
      <c r="C11599" s="2">
        <v>45068</v>
      </c>
      <c r="D11599" t="s">
        <v>26</v>
      </c>
      <c r="E11599">
        <v>1423</v>
      </c>
    </row>
    <row r="11600" spans="1:5" x14ac:dyDescent="0.55000000000000004">
      <c r="A11600" t="s">
        <v>11681</v>
      </c>
      <c r="B11600" t="s">
        <v>86</v>
      </c>
      <c r="C11600" s="2">
        <v>44438</v>
      </c>
      <c r="D11600" t="s">
        <v>29</v>
      </c>
      <c r="E11600">
        <v>449</v>
      </c>
    </row>
    <row r="11601" spans="1:5" x14ac:dyDescent="0.55000000000000004">
      <c r="A11601" t="s">
        <v>11682</v>
      </c>
      <c r="B11601" t="s">
        <v>41</v>
      </c>
      <c r="C11601" s="2">
        <v>44496</v>
      </c>
      <c r="D11601" t="s">
        <v>29</v>
      </c>
      <c r="E11601">
        <v>1703</v>
      </c>
    </row>
    <row r="11602" spans="1:5" x14ac:dyDescent="0.55000000000000004">
      <c r="A11602" t="s">
        <v>11683</v>
      </c>
      <c r="B11602" t="s">
        <v>38</v>
      </c>
      <c r="C11602" s="2">
        <v>44683</v>
      </c>
      <c r="D11602" t="s">
        <v>26</v>
      </c>
      <c r="E11602">
        <v>1725</v>
      </c>
    </row>
    <row r="11603" spans="1:5" x14ac:dyDescent="0.55000000000000004">
      <c r="A11603" t="s">
        <v>11684</v>
      </c>
      <c r="B11603" t="s">
        <v>140</v>
      </c>
      <c r="C11603" s="2">
        <v>44063</v>
      </c>
      <c r="D11603" t="s">
        <v>29</v>
      </c>
      <c r="E11603">
        <v>176</v>
      </c>
    </row>
    <row r="11604" spans="1:5" x14ac:dyDescent="0.55000000000000004">
      <c r="A11604" t="s">
        <v>11685</v>
      </c>
      <c r="B11604" t="s">
        <v>23</v>
      </c>
      <c r="C11604" s="2">
        <v>44321</v>
      </c>
      <c r="D11604" t="s">
        <v>29</v>
      </c>
      <c r="E11604">
        <v>978</v>
      </c>
    </row>
    <row r="11605" spans="1:5" x14ac:dyDescent="0.55000000000000004">
      <c r="A11605" t="s">
        <v>11686</v>
      </c>
      <c r="B11605" t="s">
        <v>101</v>
      </c>
      <c r="C11605" s="2">
        <v>43430</v>
      </c>
      <c r="D11605" t="s">
        <v>29</v>
      </c>
      <c r="E11605">
        <v>2618</v>
      </c>
    </row>
    <row r="11606" spans="1:5" x14ac:dyDescent="0.55000000000000004">
      <c r="A11606" t="s">
        <v>11687</v>
      </c>
      <c r="B11606" t="s">
        <v>14</v>
      </c>
      <c r="C11606" s="2">
        <v>43616</v>
      </c>
      <c r="D11606" t="s">
        <v>29</v>
      </c>
      <c r="E11606">
        <v>1284</v>
      </c>
    </row>
    <row r="11607" spans="1:5" x14ac:dyDescent="0.55000000000000004">
      <c r="A11607" t="s">
        <v>11688</v>
      </c>
      <c r="B11607" t="s">
        <v>115</v>
      </c>
      <c r="C11607" s="2">
        <v>44341</v>
      </c>
      <c r="D11607" t="s">
        <v>29</v>
      </c>
      <c r="E11607">
        <v>477</v>
      </c>
    </row>
    <row r="11608" spans="1:5" x14ac:dyDescent="0.55000000000000004">
      <c r="A11608" t="s">
        <v>11689</v>
      </c>
      <c r="B11608" t="s">
        <v>76</v>
      </c>
      <c r="C11608" s="2">
        <v>43759</v>
      </c>
      <c r="D11608" t="s">
        <v>26</v>
      </c>
      <c r="E11608">
        <v>848</v>
      </c>
    </row>
    <row r="11609" spans="1:5" x14ac:dyDescent="0.55000000000000004">
      <c r="A11609" t="s">
        <v>11690</v>
      </c>
      <c r="B11609" t="s">
        <v>23</v>
      </c>
      <c r="C11609" s="2">
        <v>44515</v>
      </c>
      <c r="D11609" t="s">
        <v>29</v>
      </c>
      <c r="E11609">
        <v>769</v>
      </c>
    </row>
    <row r="11610" spans="1:5" x14ac:dyDescent="0.55000000000000004">
      <c r="A11610" t="s">
        <v>11691</v>
      </c>
      <c r="B11610" t="s">
        <v>105</v>
      </c>
      <c r="C11610" s="2">
        <v>43186</v>
      </c>
      <c r="D11610" t="s">
        <v>29</v>
      </c>
      <c r="E11610">
        <v>1521</v>
      </c>
    </row>
    <row r="11611" spans="1:5" x14ac:dyDescent="0.55000000000000004">
      <c r="A11611" t="s">
        <v>11692</v>
      </c>
      <c r="B11611" t="s">
        <v>74</v>
      </c>
      <c r="C11611" s="2">
        <v>43963</v>
      </c>
      <c r="D11611" t="s">
        <v>26</v>
      </c>
      <c r="E11611">
        <v>1528</v>
      </c>
    </row>
    <row r="11612" spans="1:5" x14ac:dyDescent="0.55000000000000004">
      <c r="A11612" t="s">
        <v>11693</v>
      </c>
      <c r="B11612" t="s">
        <v>101</v>
      </c>
      <c r="C11612" s="2">
        <v>44160</v>
      </c>
      <c r="D11612" t="s">
        <v>29</v>
      </c>
      <c r="E11612">
        <v>275</v>
      </c>
    </row>
    <row r="11613" spans="1:5" x14ac:dyDescent="0.55000000000000004">
      <c r="A11613" t="s">
        <v>11694</v>
      </c>
      <c r="B11613" t="s">
        <v>23</v>
      </c>
      <c r="C11613" s="2">
        <v>44094</v>
      </c>
      <c r="D11613" t="s">
        <v>26</v>
      </c>
      <c r="E11613">
        <v>595</v>
      </c>
    </row>
    <row r="11614" spans="1:5" x14ac:dyDescent="0.55000000000000004">
      <c r="A11614" t="s">
        <v>11695</v>
      </c>
      <c r="B11614" t="s">
        <v>35</v>
      </c>
      <c r="C11614" s="2">
        <v>44710</v>
      </c>
      <c r="D11614" t="s">
        <v>29</v>
      </c>
      <c r="E11614">
        <v>1277</v>
      </c>
    </row>
    <row r="11615" spans="1:5" x14ac:dyDescent="0.55000000000000004">
      <c r="A11615" t="s">
        <v>11696</v>
      </c>
      <c r="B11615" t="s">
        <v>99</v>
      </c>
      <c r="C11615" s="2">
        <v>45054</v>
      </c>
      <c r="D11615" t="s">
        <v>29</v>
      </c>
      <c r="E11615">
        <v>2266</v>
      </c>
    </row>
    <row r="11616" spans="1:5" x14ac:dyDescent="0.55000000000000004">
      <c r="A11616" t="s">
        <v>11697</v>
      </c>
      <c r="B11616" t="s">
        <v>156</v>
      </c>
      <c r="C11616" s="2">
        <v>43993</v>
      </c>
      <c r="D11616" t="s">
        <v>29</v>
      </c>
      <c r="E11616">
        <v>2339</v>
      </c>
    </row>
    <row r="11617" spans="1:5" x14ac:dyDescent="0.55000000000000004">
      <c r="A11617" t="s">
        <v>11698</v>
      </c>
      <c r="B11617" t="s">
        <v>118</v>
      </c>
      <c r="C11617" s="2">
        <v>45544</v>
      </c>
      <c r="D11617" t="s">
        <v>29</v>
      </c>
      <c r="E11617">
        <v>811</v>
      </c>
    </row>
    <row r="11618" spans="1:5" x14ac:dyDescent="0.55000000000000004">
      <c r="A11618" t="s">
        <v>11699</v>
      </c>
      <c r="B11618" t="s">
        <v>74</v>
      </c>
      <c r="C11618" s="2">
        <v>44087</v>
      </c>
      <c r="D11618" t="s">
        <v>29</v>
      </c>
      <c r="E11618">
        <v>919</v>
      </c>
    </row>
    <row r="11619" spans="1:5" x14ac:dyDescent="0.55000000000000004">
      <c r="A11619" t="s">
        <v>11700</v>
      </c>
      <c r="B11619" t="s">
        <v>142</v>
      </c>
      <c r="C11619" s="2">
        <v>43628</v>
      </c>
      <c r="D11619" t="s">
        <v>26</v>
      </c>
      <c r="E11619">
        <v>2026</v>
      </c>
    </row>
    <row r="11620" spans="1:5" x14ac:dyDescent="0.55000000000000004">
      <c r="A11620" t="s">
        <v>11701</v>
      </c>
      <c r="B11620" t="s">
        <v>35</v>
      </c>
      <c r="C11620" s="2">
        <v>43935</v>
      </c>
      <c r="D11620" t="s">
        <v>29</v>
      </c>
      <c r="E11620">
        <v>2902</v>
      </c>
    </row>
    <row r="11621" spans="1:5" x14ac:dyDescent="0.55000000000000004">
      <c r="A11621" t="s">
        <v>11702</v>
      </c>
      <c r="B11621" t="s">
        <v>151</v>
      </c>
      <c r="C11621" s="2">
        <v>43713</v>
      </c>
      <c r="D11621" t="s">
        <v>26</v>
      </c>
      <c r="E11621">
        <v>739</v>
      </c>
    </row>
    <row r="11622" spans="1:5" x14ac:dyDescent="0.55000000000000004">
      <c r="A11622" t="s">
        <v>11703</v>
      </c>
      <c r="B11622" t="s">
        <v>118</v>
      </c>
      <c r="C11622" s="2">
        <v>44889</v>
      </c>
      <c r="D11622" t="s">
        <v>26</v>
      </c>
      <c r="E11622">
        <v>1728</v>
      </c>
    </row>
    <row r="11623" spans="1:5" x14ac:dyDescent="0.55000000000000004">
      <c r="A11623" t="s">
        <v>11704</v>
      </c>
      <c r="B11623" t="s">
        <v>84</v>
      </c>
      <c r="C11623" s="2">
        <v>43189</v>
      </c>
      <c r="D11623" t="s">
        <v>26</v>
      </c>
      <c r="E11623">
        <v>17</v>
      </c>
    </row>
    <row r="11624" spans="1:5" x14ac:dyDescent="0.55000000000000004">
      <c r="A11624" t="s">
        <v>11705</v>
      </c>
      <c r="B11624" t="s">
        <v>115</v>
      </c>
      <c r="C11624" s="2">
        <v>43191</v>
      </c>
      <c r="D11624" t="s">
        <v>29</v>
      </c>
      <c r="E11624">
        <v>1153</v>
      </c>
    </row>
    <row r="11625" spans="1:5" x14ac:dyDescent="0.55000000000000004">
      <c r="A11625" t="s">
        <v>11706</v>
      </c>
      <c r="B11625" t="s">
        <v>101</v>
      </c>
      <c r="C11625" s="2">
        <v>44117</v>
      </c>
      <c r="D11625" t="s">
        <v>26</v>
      </c>
      <c r="E11625">
        <v>453</v>
      </c>
    </row>
    <row r="11626" spans="1:5" x14ac:dyDescent="0.55000000000000004">
      <c r="A11626" t="s">
        <v>11707</v>
      </c>
      <c r="B11626" t="s">
        <v>96</v>
      </c>
      <c r="C11626" s="2">
        <v>45065</v>
      </c>
      <c r="D11626" t="s">
        <v>26</v>
      </c>
      <c r="E11626">
        <v>442</v>
      </c>
    </row>
    <row r="11627" spans="1:5" x14ac:dyDescent="0.55000000000000004">
      <c r="A11627" t="s">
        <v>11708</v>
      </c>
      <c r="B11627" t="s">
        <v>118</v>
      </c>
      <c r="C11627" s="2">
        <v>43836</v>
      </c>
      <c r="D11627" t="s">
        <v>29</v>
      </c>
      <c r="E11627">
        <v>998</v>
      </c>
    </row>
    <row r="11628" spans="1:5" x14ac:dyDescent="0.55000000000000004">
      <c r="A11628" t="s">
        <v>11709</v>
      </c>
      <c r="B11628" t="s">
        <v>15</v>
      </c>
      <c r="C11628" s="2">
        <v>44314</v>
      </c>
      <c r="D11628" t="s">
        <v>26</v>
      </c>
      <c r="E11628">
        <v>2146</v>
      </c>
    </row>
    <row r="11629" spans="1:5" x14ac:dyDescent="0.55000000000000004">
      <c r="A11629" t="s">
        <v>11710</v>
      </c>
      <c r="B11629" t="s">
        <v>86</v>
      </c>
      <c r="C11629" s="2">
        <v>44283</v>
      </c>
      <c r="D11629" t="s">
        <v>29</v>
      </c>
      <c r="E11629">
        <v>926</v>
      </c>
    </row>
    <row r="11630" spans="1:5" x14ac:dyDescent="0.55000000000000004">
      <c r="A11630" t="s">
        <v>11711</v>
      </c>
      <c r="B11630" t="s">
        <v>137</v>
      </c>
      <c r="C11630" s="2">
        <v>45056</v>
      </c>
      <c r="D11630" t="s">
        <v>26</v>
      </c>
      <c r="E11630">
        <v>1720</v>
      </c>
    </row>
    <row r="11631" spans="1:5" x14ac:dyDescent="0.55000000000000004">
      <c r="A11631" t="s">
        <v>11712</v>
      </c>
      <c r="B11631" t="s">
        <v>137</v>
      </c>
      <c r="C11631" s="2">
        <v>44080</v>
      </c>
      <c r="D11631" t="s">
        <v>26</v>
      </c>
      <c r="E11631">
        <v>789</v>
      </c>
    </row>
    <row r="11632" spans="1:5" x14ac:dyDescent="0.55000000000000004">
      <c r="A11632" t="s">
        <v>11713</v>
      </c>
      <c r="B11632" t="s">
        <v>14</v>
      </c>
      <c r="C11632" s="2">
        <v>43763</v>
      </c>
      <c r="D11632" t="s">
        <v>26</v>
      </c>
      <c r="E11632">
        <v>1426</v>
      </c>
    </row>
    <row r="11633" spans="1:5" x14ac:dyDescent="0.55000000000000004">
      <c r="A11633" t="s">
        <v>11714</v>
      </c>
      <c r="B11633" t="s">
        <v>140</v>
      </c>
      <c r="C11633" s="2">
        <v>43880</v>
      </c>
      <c r="D11633" t="s">
        <v>26</v>
      </c>
      <c r="E11633">
        <v>2626</v>
      </c>
    </row>
    <row r="11634" spans="1:5" x14ac:dyDescent="0.55000000000000004">
      <c r="A11634" t="s">
        <v>11715</v>
      </c>
      <c r="B11634" t="s">
        <v>78</v>
      </c>
      <c r="C11634" s="2">
        <v>44911</v>
      </c>
      <c r="D11634" t="s">
        <v>29</v>
      </c>
      <c r="E11634">
        <v>1862</v>
      </c>
    </row>
    <row r="11635" spans="1:5" x14ac:dyDescent="0.55000000000000004">
      <c r="A11635" t="s">
        <v>11716</v>
      </c>
      <c r="B11635" t="s">
        <v>86</v>
      </c>
      <c r="C11635" s="2">
        <v>43718</v>
      </c>
      <c r="D11635" t="s">
        <v>29</v>
      </c>
      <c r="E11635">
        <v>680</v>
      </c>
    </row>
    <row r="11636" spans="1:5" x14ac:dyDescent="0.55000000000000004">
      <c r="A11636" t="s">
        <v>11717</v>
      </c>
      <c r="B11636" t="s">
        <v>118</v>
      </c>
      <c r="C11636" s="2">
        <v>45599</v>
      </c>
      <c r="D11636" t="s">
        <v>29</v>
      </c>
      <c r="E11636">
        <v>265</v>
      </c>
    </row>
    <row r="11637" spans="1:5" x14ac:dyDescent="0.55000000000000004">
      <c r="A11637" t="s">
        <v>11718</v>
      </c>
      <c r="B11637" t="s">
        <v>14</v>
      </c>
      <c r="C11637" s="2">
        <v>44553</v>
      </c>
      <c r="D11637" t="s">
        <v>29</v>
      </c>
      <c r="E11637">
        <v>34</v>
      </c>
    </row>
    <row r="11638" spans="1:5" x14ac:dyDescent="0.55000000000000004">
      <c r="A11638" t="s">
        <v>11719</v>
      </c>
      <c r="B11638" t="s">
        <v>175</v>
      </c>
      <c r="C11638" s="2">
        <v>43610</v>
      </c>
      <c r="D11638" t="s">
        <v>26</v>
      </c>
      <c r="E11638">
        <v>652</v>
      </c>
    </row>
    <row r="11639" spans="1:5" x14ac:dyDescent="0.55000000000000004">
      <c r="A11639" t="s">
        <v>11720</v>
      </c>
      <c r="B11639" t="s">
        <v>96</v>
      </c>
      <c r="C11639" s="2">
        <v>44298</v>
      </c>
      <c r="D11639" t="s">
        <v>26</v>
      </c>
      <c r="E11639">
        <v>892</v>
      </c>
    </row>
    <row r="11640" spans="1:5" x14ac:dyDescent="0.55000000000000004">
      <c r="A11640" t="s">
        <v>11721</v>
      </c>
      <c r="B11640" t="s">
        <v>118</v>
      </c>
      <c r="C11640" s="2">
        <v>43988</v>
      </c>
      <c r="D11640" t="s">
        <v>29</v>
      </c>
      <c r="E11640">
        <v>2145</v>
      </c>
    </row>
    <row r="11641" spans="1:5" x14ac:dyDescent="0.55000000000000004">
      <c r="A11641" t="s">
        <v>11722</v>
      </c>
      <c r="B11641" t="s">
        <v>105</v>
      </c>
      <c r="C11641" s="2">
        <v>44369</v>
      </c>
      <c r="D11641" t="s">
        <v>29</v>
      </c>
      <c r="E11641">
        <v>1247</v>
      </c>
    </row>
    <row r="11642" spans="1:5" x14ac:dyDescent="0.55000000000000004">
      <c r="A11642" t="s">
        <v>11723</v>
      </c>
      <c r="B11642" t="s">
        <v>76</v>
      </c>
      <c r="C11642" s="2">
        <v>45026</v>
      </c>
      <c r="D11642" t="s">
        <v>26</v>
      </c>
      <c r="E11642">
        <v>1330</v>
      </c>
    </row>
    <row r="11643" spans="1:5" x14ac:dyDescent="0.55000000000000004">
      <c r="A11643" t="s">
        <v>11724</v>
      </c>
      <c r="B11643" t="s">
        <v>72</v>
      </c>
      <c r="C11643" s="2">
        <v>44316</v>
      </c>
      <c r="D11643" t="s">
        <v>26</v>
      </c>
      <c r="E11643">
        <v>1398</v>
      </c>
    </row>
    <row r="11644" spans="1:5" x14ac:dyDescent="0.55000000000000004">
      <c r="A11644" t="s">
        <v>11725</v>
      </c>
      <c r="B11644" t="s">
        <v>175</v>
      </c>
      <c r="C11644" s="2">
        <v>45158</v>
      </c>
      <c r="D11644" t="s">
        <v>26</v>
      </c>
      <c r="E11644">
        <v>474</v>
      </c>
    </row>
    <row r="11645" spans="1:5" x14ac:dyDescent="0.55000000000000004">
      <c r="A11645" t="s">
        <v>11726</v>
      </c>
      <c r="B11645" t="s">
        <v>99</v>
      </c>
      <c r="C11645" s="2">
        <v>45574</v>
      </c>
      <c r="D11645" t="s">
        <v>26</v>
      </c>
      <c r="E11645">
        <v>52</v>
      </c>
    </row>
    <row r="11646" spans="1:5" x14ac:dyDescent="0.55000000000000004">
      <c r="A11646" t="s">
        <v>11727</v>
      </c>
      <c r="B11646" t="s">
        <v>63</v>
      </c>
      <c r="C11646" s="2">
        <v>44023</v>
      </c>
      <c r="D11646" t="s">
        <v>26</v>
      </c>
      <c r="E11646">
        <v>2812</v>
      </c>
    </row>
    <row r="11647" spans="1:5" x14ac:dyDescent="0.55000000000000004">
      <c r="A11647" t="s">
        <v>11728</v>
      </c>
      <c r="B11647" t="s">
        <v>175</v>
      </c>
      <c r="C11647" s="2">
        <v>45224</v>
      </c>
      <c r="D11647" t="s">
        <v>29</v>
      </c>
      <c r="E11647">
        <v>2070</v>
      </c>
    </row>
    <row r="11648" spans="1:5" x14ac:dyDescent="0.55000000000000004">
      <c r="A11648" t="s">
        <v>11729</v>
      </c>
      <c r="B11648" t="s">
        <v>38</v>
      </c>
      <c r="C11648" s="2">
        <v>44676</v>
      </c>
      <c r="D11648" t="s">
        <v>26</v>
      </c>
      <c r="E11648">
        <v>2708</v>
      </c>
    </row>
    <row r="11649" spans="1:5" x14ac:dyDescent="0.55000000000000004">
      <c r="A11649" t="s">
        <v>11730</v>
      </c>
      <c r="B11649" t="s">
        <v>74</v>
      </c>
      <c r="C11649" s="2">
        <v>44068</v>
      </c>
      <c r="D11649" t="s">
        <v>29</v>
      </c>
      <c r="E11649">
        <v>818</v>
      </c>
    </row>
    <row r="11650" spans="1:5" x14ac:dyDescent="0.55000000000000004">
      <c r="A11650" t="s">
        <v>11731</v>
      </c>
      <c r="B11650" t="s">
        <v>35</v>
      </c>
      <c r="C11650" s="2">
        <v>43962</v>
      </c>
      <c r="D11650" t="s">
        <v>26</v>
      </c>
      <c r="E11650">
        <v>384</v>
      </c>
    </row>
    <row r="11651" spans="1:5" x14ac:dyDescent="0.55000000000000004">
      <c r="A11651" t="s">
        <v>11732</v>
      </c>
      <c r="B11651" t="s">
        <v>35</v>
      </c>
      <c r="C11651" s="2">
        <v>44166</v>
      </c>
      <c r="D11651" t="s">
        <v>26</v>
      </c>
      <c r="E11651">
        <v>1911</v>
      </c>
    </row>
    <row r="11652" spans="1:5" x14ac:dyDescent="0.55000000000000004">
      <c r="A11652" t="s">
        <v>11733</v>
      </c>
      <c r="B11652" t="s">
        <v>96</v>
      </c>
      <c r="C11652" s="2">
        <v>43588</v>
      </c>
      <c r="D11652" t="s">
        <v>26</v>
      </c>
      <c r="E11652">
        <v>2611</v>
      </c>
    </row>
    <row r="11653" spans="1:5" x14ac:dyDescent="0.55000000000000004">
      <c r="A11653" t="s">
        <v>11734</v>
      </c>
      <c r="B11653" t="s">
        <v>101</v>
      </c>
      <c r="C11653" s="2">
        <v>43785</v>
      </c>
      <c r="D11653" t="s">
        <v>29</v>
      </c>
      <c r="E11653">
        <v>1610</v>
      </c>
    </row>
    <row r="11654" spans="1:5" x14ac:dyDescent="0.55000000000000004">
      <c r="A11654" t="s">
        <v>11735</v>
      </c>
      <c r="B11654" t="s">
        <v>63</v>
      </c>
      <c r="C11654" s="2">
        <v>43720</v>
      </c>
      <c r="D11654" t="s">
        <v>29</v>
      </c>
      <c r="E11654">
        <v>1966</v>
      </c>
    </row>
    <row r="11655" spans="1:5" x14ac:dyDescent="0.55000000000000004">
      <c r="A11655" t="s">
        <v>11736</v>
      </c>
      <c r="B11655" t="s">
        <v>105</v>
      </c>
      <c r="C11655" s="2">
        <v>43955</v>
      </c>
      <c r="D11655" t="s">
        <v>26</v>
      </c>
      <c r="E11655">
        <v>2662</v>
      </c>
    </row>
    <row r="11656" spans="1:5" x14ac:dyDescent="0.55000000000000004">
      <c r="A11656" t="s">
        <v>11737</v>
      </c>
      <c r="B11656" t="s">
        <v>63</v>
      </c>
      <c r="C11656" s="2">
        <v>43241</v>
      </c>
      <c r="D11656" t="s">
        <v>29</v>
      </c>
      <c r="E11656">
        <v>1336</v>
      </c>
    </row>
    <row r="11657" spans="1:5" x14ac:dyDescent="0.55000000000000004">
      <c r="A11657" t="s">
        <v>11738</v>
      </c>
      <c r="B11657" t="s">
        <v>23</v>
      </c>
      <c r="C11657" s="2">
        <v>44886</v>
      </c>
      <c r="D11657" t="s">
        <v>29</v>
      </c>
      <c r="E11657">
        <v>1377</v>
      </c>
    </row>
    <row r="11658" spans="1:5" x14ac:dyDescent="0.55000000000000004">
      <c r="A11658" t="s">
        <v>11739</v>
      </c>
      <c r="B11658" t="s">
        <v>14</v>
      </c>
      <c r="C11658" s="2">
        <v>43311</v>
      </c>
      <c r="D11658" t="s">
        <v>26</v>
      </c>
      <c r="E11658">
        <v>2801</v>
      </c>
    </row>
    <row r="11659" spans="1:5" x14ac:dyDescent="0.55000000000000004">
      <c r="A11659" t="s">
        <v>11740</v>
      </c>
      <c r="B11659" t="s">
        <v>96</v>
      </c>
      <c r="C11659" s="2">
        <v>43667</v>
      </c>
      <c r="D11659" t="s">
        <v>26</v>
      </c>
      <c r="E11659">
        <v>2735</v>
      </c>
    </row>
    <row r="11660" spans="1:5" x14ac:dyDescent="0.55000000000000004">
      <c r="A11660" t="s">
        <v>11741</v>
      </c>
      <c r="B11660" t="s">
        <v>38</v>
      </c>
      <c r="C11660" s="2">
        <v>44400</v>
      </c>
      <c r="D11660" t="s">
        <v>26</v>
      </c>
      <c r="E11660">
        <v>921</v>
      </c>
    </row>
    <row r="11661" spans="1:5" x14ac:dyDescent="0.55000000000000004">
      <c r="A11661" t="s">
        <v>11742</v>
      </c>
      <c r="B11661" t="s">
        <v>96</v>
      </c>
      <c r="C11661" s="2">
        <v>44945</v>
      </c>
      <c r="D11661" t="s">
        <v>26</v>
      </c>
      <c r="E11661">
        <v>1413</v>
      </c>
    </row>
    <row r="11662" spans="1:5" x14ac:dyDescent="0.55000000000000004">
      <c r="A11662" t="s">
        <v>11743</v>
      </c>
      <c r="B11662" t="s">
        <v>35</v>
      </c>
      <c r="C11662" s="2">
        <v>44236</v>
      </c>
      <c r="D11662" t="s">
        <v>26</v>
      </c>
      <c r="E11662">
        <v>2703</v>
      </c>
    </row>
    <row r="11663" spans="1:5" x14ac:dyDescent="0.55000000000000004">
      <c r="A11663" t="s">
        <v>11744</v>
      </c>
      <c r="B11663" t="s">
        <v>151</v>
      </c>
      <c r="C11663" s="2">
        <v>43235</v>
      </c>
      <c r="D11663" t="s">
        <v>29</v>
      </c>
      <c r="E11663">
        <v>1404</v>
      </c>
    </row>
    <row r="11664" spans="1:5" x14ac:dyDescent="0.55000000000000004">
      <c r="A11664" t="s">
        <v>11745</v>
      </c>
      <c r="B11664" t="s">
        <v>72</v>
      </c>
      <c r="C11664" s="2">
        <v>44328</v>
      </c>
      <c r="D11664" t="s">
        <v>29</v>
      </c>
      <c r="E11664">
        <v>2820</v>
      </c>
    </row>
    <row r="11665" spans="1:5" x14ac:dyDescent="0.55000000000000004">
      <c r="A11665" t="s">
        <v>11746</v>
      </c>
      <c r="B11665" t="s">
        <v>111</v>
      </c>
      <c r="C11665" s="2">
        <v>43766</v>
      </c>
      <c r="D11665" t="s">
        <v>29</v>
      </c>
      <c r="E11665">
        <v>401</v>
      </c>
    </row>
    <row r="11666" spans="1:5" x14ac:dyDescent="0.55000000000000004">
      <c r="A11666" t="s">
        <v>11747</v>
      </c>
      <c r="B11666" t="s">
        <v>23</v>
      </c>
      <c r="C11666" s="2">
        <v>44532</v>
      </c>
      <c r="D11666" t="s">
        <v>26</v>
      </c>
      <c r="E11666">
        <v>2996</v>
      </c>
    </row>
    <row r="11667" spans="1:5" x14ac:dyDescent="0.55000000000000004">
      <c r="A11667" t="s">
        <v>11748</v>
      </c>
      <c r="B11667" t="s">
        <v>63</v>
      </c>
      <c r="C11667" s="2">
        <v>43028</v>
      </c>
      <c r="D11667" t="s">
        <v>29</v>
      </c>
      <c r="E11667">
        <v>1649</v>
      </c>
    </row>
    <row r="11668" spans="1:5" x14ac:dyDescent="0.55000000000000004">
      <c r="A11668" t="s">
        <v>11749</v>
      </c>
      <c r="B11668" t="s">
        <v>67</v>
      </c>
      <c r="C11668" s="2">
        <v>45328</v>
      </c>
      <c r="D11668" t="s">
        <v>26</v>
      </c>
      <c r="E11668">
        <v>1868</v>
      </c>
    </row>
    <row r="11669" spans="1:5" x14ac:dyDescent="0.55000000000000004">
      <c r="A11669" t="s">
        <v>11750</v>
      </c>
      <c r="B11669" t="s">
        <v>137</v>
      </c>
      <c r="C11669" s="2">
        <v>43740</v>
      </c>
      <c r="D11669" t="s">
        <v>26</v>
      </c>
      <c r="E11669">
        <v>2871</v>
      </c>
    </row>
    <row r="11670" spans="1:5" x14ac:dyDescent="0.55000000000000004">
      <c r="A11670" t="s">
        <v>11751</v>
      </c>
      <c r="B11670" t="s">
        <v>76</v>
      </c>
      <c r="C11670" s="2">
        <v>45096</v>
      </c>
      <c r="D11670" t="s">
        <v>29</v>
      </c>
      <c r="E11670">
        <v>621</v>
      </c>
    </row>
    <row r="11671" spans="1:5" x14ac:dyDescent="0.55000000000000004">
      <c r="A11671" t="s">
        <v>11752</v>
      </c>
      <c r="B11671" t="s">
        <v>156</v>
      </c>
      <c r="C11671" s="2">
        <v>44192</v>
      </c>
      <c r="D11671" t="s">
        <v>29</v>
      </c>
      <c r="E11671">
        <v>2219</v>
      </c>
    </row>
    <row r="11672" spans="1:5" x14ac:dyDescent="0.55000000000000004">
      <c r="A11672" t="s">
        <v>11753</v>
      </c>
      <c r="B11672" t="s">
        <v>32</v>
      </c>
      <c r="C11672" s="2">
        <v>43978</v>
      </c>
      <c r="D11672" t="s">
        <v>29</v>
      </c>
      <c r="E11672">
        <v>655</v>
      </c>
    </row>
    <row r="11673" spans="1:5" x14ac:dyDescent="0.55000000000000004">
      <c r="A11673" t="s">
        <v>11754</v>
      </c>
      <c r="B11673" t="s">
        <v>137</v>
      </c>
      <c r="C11673" s="2">
        <v>45535</v>
      </c>
      <c r="D11673" t="s">
        <v>26</v>
      </c>
      <c r="E11673">
        <v>2079</v>
      </c>
    </row>
    <row r="11674" spans="1:5" x14ac:dyDescent="0.55000000000000004">
      <c r="A11674" t="s">
        <v>11755</v>
      </c>
      <c r="B11674" t="s">
        <v>67</v>
      </c>
      <c r="C11674" s="2">
        <v>44159</v>
      </c>
      <c r="D11674" t="s">
        <v>26</v>
      </c>
      <c r="E11674">
        <v>2920</v>
      </c>
    </row>
    <row r="11675" spans="1:5" x14ac:dyDescent="0.55000000000000004">
      <c r="A11675" t="s">
        <v>11756</v>
      </c>
      <c r="B11675" t="s">
        <v>74</v>
      </c>
      <c r="C11675" s="2">
        <v>43588</v>
      </c>
      <c r="D11675" t="s">
        <v>26</v>
      </c>
      <c r="E11675">
        <v>1132</v>
      </c>
    </row>
    <row r="11676" spans="1:5" x14ac:dyDescent="0.55000000000000004">
      <c r="A11676" t="s">
        <v>11757</v>
      </c>
      <c r="B11676" t="s">
        <v>23</v>
      </c>
      <c r="C11676" s="2">
        <v>44787</v>
      </c>
      <c r="D11676" t="s">
        <v>29</v>
      </c>
      <c r="E11676">
        <v>2034</v>
      </c>
    </row>
    <row r="11677" spans="1:5" x14ac:dyDescent="0.55000000000000004">
      <c r="A11677" t="s">
        <v>11758</v>
      </c>
      <c r="B11677" t="s">
        <v>140</v>
      </c>
      <c r="C11677" s="2">
        <v>43466</v>
      </c>
      <c r="D11677" t="s">
        <v>26</v>
      </c>
      <c r="E11677">
        <v>1007</v>
      </c>
    </row>
    <row r="11678" spans="1:5" x14ac:dyDescent="0.55000000000000004">
      <c r="A11678" t="s">
        <v>11759</v>
      </c>
      <c r="B11678" t="s">
        <v>101</v>
      </c>
      <c r="C11678" s="2">
        <v>44403</v>
      </c>
      <c r="D11678" t="s">
        <v>26</v>
      </c>
      <c r="E11678">
        <v>1672</v>
      </c>
    </row>
    <row r="11679" spans="1:5" x14ac:dyDescent="0.55000000000000004">
      <c r="A11679" t="s">
        <v>11760</v>
      </c>
      <c r="B11679" t="s">
        <v>76</v>
      </c>
      <c r="C11679" s="2">
        <v>44907</v>
      </c>
      <c r="D11679" t="s">
        <v>29</v>
      </c>
      <c r="E11679">
        <v>1695</v>
      </c>
    </row>
    <row r="11680" spans="1:5" x14ac:dyDescent="0.55000000000000004">
      <c r="A11680" t="s">
        <v>11761</v>
      </c>
      <c r="B11680" t="s">
        <v>175</v>
      </c>
      <c r="C11680" s="2">
        <v>44884</v>
      </c>
      <c r="D11680" t="s">
        <v>26</v>
      </c>
      <c r="E11680">
        <v>2081</v>
      </c>
    </row>
    <row r="11681" spans="1:5" x14ac:dyDescent="0.55000000000000004">
      <c r="A11681" t="s">
        <v>11762</v>
      </c>
      <c r="B11681" t="s">
        <v>94</v>
      </c>
      <c r="C11681" s="2">
        <v>44148</v>
      </c>
      <c r="D11681" t="s">
        <v>26</v>
      </c>
      <c r="E11681">
        <v>2880</v>
      </c>
    </row>
    <row r="11682" spans="1:5" x14ac:dyDescent="0.55000000000000004">
      <c r="A11682" t="s">
        <v>11763</v>
      </c>
      <c r="B11682" t="s">
        <v>137</v>
      </c>
      <c r="C11682" s="2">
        <v>45050</v>
      </c>
      <c r="D11682" t="s">
        <v>26</v>
      </c>
      <c r="E11682">
        <v>2324</v>
      </c>
    </row>
    <row r="11683" spans="1:5" x14ac:dyDescent="0.55000000000000004">
      <c r="A11683" t="s">
        <v>11764</v>
      </c>
      <c r="B11683" t="s">
        <v>35</v>
      </c>
      <c r="C11683" s="2">
        <v>44502</v>
      </c>
      <c r="D11683" t="s">
        <v>29</v>
      </c>
      <c r="E11683">
        <v>2901</v>
      </c>
    </row>
    <row r="11684" spans="1:5" x14ac:dyDescent="0.55000000000000004">
      <c r="A11684" t="s">
        <v>11765</v>
      </c>
      <c r="B11684" t="s">
        <v>23</v>
      </c>
      <c r="C11684" s="2">
        <v>43879</v>
      </c>
      <c r="D11684" t="s">
        <v>26</v>
      </c>
      <c r="E11684">
        <v>2304</v>
      </c>
    </row>
    <row r="11685" spans="1:5" x14ac:dyDescent="0.55000000000000004">
      <c r="A11685" t="s">
        <v>11766</v>
      </c>
      <c r="B11685" t="s">
        <v>156</v>
      </c>
      <c r="C11685" s="2">
        <v>44067</v>
      </c>
      <c r="D11685" t="s">
        <v>29</v>
      </c>
      <c r="E11685">
        <v>2377</v>
      </c>
    </row>
    <row r="11686" spans="1:5" x14ac:dyDescent="0.55000000000000004">
      <c r="A11686" t="s">
        <v>11767</v>
      </c>
      <c r="B11686" t="s">
        <v>118</v>
      </c>
      <c r="C11686" s="2">
        <v>44680</v>
      </c>
      <c r="D11686" t="s">
        <v>26</v>
      </c>
      <c r="E11686">
        <v>2748</v>
      </c>
    </row>
    <row r="11687" spans="1:5" x14ac:dyDescent="0.55000000000000004">
      <c r="A11687" t="s">
        <v>11768</v>
      </c>
      <c r="B11687" t="s">
        <v>76</v>
      </c>
      <c r="C11687" s="2">
        <v>44514</v>
      </c>
      <c r="D11687" t="s">
        <v>29</v>
      </c>
      <c r="E11687">
        <v>1876</v>
      </c>
    </row>
    <row r="11688" spans="1:5" x14ac:dyDescent="0.55000000000000004">
      <c r="A11688" t="s">
        <v>11769</v>
      </c>
      <c r="B11688" t="s">
        <v>96</v>
      </c>
      <c r="C11688" s="2">
        <v>45142</v>
      </c>
      <c r="D11688" t="s">
        <v>29</v>
      </c>
      <c r="E11688">
        <v>314</v>
      </c>
    </row>
    <row r="11689" spans="1:5" x14ac:dyDescent="0.55000000000000004">
      <c r="A11689" t="s">
        <v>11770</v>
      </c>
      <c r="B11689" t="s">
        <v>78</v>
      </c>
      <c r="C11689" s="2">
        <v>44439</v>
      </c>
      <c r="D11689" t="s">
        <v>29</v>
      </c>
      <c r="E11689">
        <v>1405</v>
      </c>
    </row>
    <row r="11690" spans="1:5" x14ac:dyDescent="0.55000000000000004">
      <c r="A11690" t="s">
        <v>11771</v>
      </c>
      <c r="B11690" t="s">
        <v>35</v>
      </c>
      <c r="C11690" s="2">
        <v>44527</v>
      </c>
      <c r="D11690" t="s">
        <v>26</v>
      </c>
      <c r="E11690">
        <v>139</v>
      </c>
    </row>
    <row r="11691" spans="1:5" x14ac:dyDescent="0.55000000000000004">
      <c r="A11691" t="s">
        <v>11772</v>
      </c>
      <c r="B11691" t="s">
        <v>41</v>
      </c>
      <c r="C11691" s="2">
        <v>44016</v>
      </c>
      <c r="D11691" t="s">
        <v>29</v>
      </c>
      <c r="E11691">
        <v>2434</v>
      </c>
    </row>
    <row r="11692" spans="1:5" x14ac:dyDescent="0.55000000000000004">
      <c r="A11692" t="s">
        <v>11773</v>
      </c>
      <c r="B11692" t="s">
        <v>86</v>
      </c>
      <c r="C11692" s="2">
        <v>44392</v>
      </c>
      <c r="D11692" t="s">
        <v>29</v>
      </c>
      <c r="E11692">
        <v>1816</v>
      </c>
    </row>
    <row r="11693" spans="1:5" x14ac:dyDescent="0.55000000000000004">
      <c r="A11693" t="s">
        <v>11774</v>
      </c>
      <c r="B11693" t="s">
        <v>67</v>
      </c>
      <c r="C11693" s="2">
        <v>44234</v>
      </c>
      <c r="D11693" t="s">
        <v>26</v>
      </c>
      <c r="E11693">
        <v>853</v>
      </c>
    </row>
    <row r="11694" spans="1:5" x14ac:dyDescent="0.55000000000000004">
      <c r="A11694" t="s">
        <v>11775</v>
      </c>
      <c r="B11694" t="s">
        <v>23</v>
      </c>
      <c r="C11694" s="2">
        <v>44577</v>
      </c>
      <c r="D11694" t="s">
        <v>26</v>
      </c>
      <c r="E11694">
        <v>1571</v>
      </c>
    </row>
    <row r="11695" spans="1:5" x14ac:dyDescent="0.55000000000000004">
      <c r="A11695" t="s">
        <v>11776</v>
      </c>
      <c r="B11695" t="s">
        <v>137</v>
      </c>
      <c r="C11695" s="2">
        <v>43528</v>
      </c>
      <c r="D11695" t="s">
        <v>26</v>
      </c>
      <c r="E11695">
        <v>2372</v>
      </c>
    </row>
    <row r="11696" spans="1:5" x14ac:dyDescent="0.55000000000000004">
      <c r="A11696" t="s">
        <v>11777</v>
      </c>
      <c r="B11696" t="s">
        <v>118</v>
      </c>
      <c r="C11696" s="2">
        <v>44632</v>
      </c>
      <c r="D11696" t="s">
        <v>26</v>
      </c>
      <c r="E11696">
        <v>631</v>
      </c>
    </row>
    <row r="11697" spans="1:5" x14ac:dyDescent="0.55000000000000004">
      <c r="A11697" t="s">
        <v>11778</v>
      </c>
      <c r="B11697" t="s">
        <v>35</v>
      </c>
      <c r="C11697" s="2">
        <v>44772</v>
      </c>
      <c r="D11697" t="s">
        <v>26</v>
      </c>
      <c r="E11697">
        <v>1700</v>
      </c>
    </row>
    <row r="11698" spans="1:5" x14ac:dyDescent="0.55000000000000004">
      <c r="A11698" t="s">
        <v>11779</v>
      </c>
      <c r="B11698" t="s">
        <v>101</v>
      </c>
      <c r="C11698" s="2">
        <v>43134</v>
      </c>
      <c r="D11698" t="s">
        <v>29</v>
      </c>
      <c r="E11698">
        <v>2749</v>
      </c>
    </row>
    <row r="11699" spans="1:5" x14ac:dyDescent="0.55000000000000004">
      <c r="A11699" t="s">
        <v>11780</v>
      </c>
      <c r="B11699" t="s">
        <v>63</v>
      </c>
      <c r="C11699" s="2">
        <v>43756</v>
      </c>
      <c r="D11699" t="s">
        <v>26</v>
      </c>
      <c r="E11699">
        <v>2889</v>
      </c>
    </row>
    <row r="11700" spans="1:5" x14ac:dyDescent="0.55000000000000004">
      <c r="A11700" t="s">
        <v>11781</v>
      </c>
      <c r="B11700" t="s">
        <v>67</v>
      </c>
      <c r="C11700" s="2">
        <v>45484</v>
      </c>
      <c r="D11700" t="s">
        <v>26</v>
      </c>
      <c r="E11700">
        <v>1795</v>
      </c>
    </row>
    <row r="11701" spans="1:5" x14ac:dyDescent="0.55000000000000004">
      <c r="A11701" t="s">
        <v>11782</v>
      </c>
      <c r="B11701" t="s">
        <v>72</v>
      </c>
      <c r="C11701" s="2">
        <v>42918</v>
      </c>
      <c r="D11701" t="s">
        <v>26</v>
      </c>
      <c r="E11701">
        <v>119</v>
      </c>
    </row>
    <row r="11702" spans="1:5" x14ac:dyDescent="0.55000000000000004">
      <c r="A11702" t="s">
        <v>11783</v>
      </c>
      <c r="B11702" t="s">
        <v>94</v>
      </c>
      <c r="C11702" s="2">
        <v>44381</v>
      </c>
      <c r="D11702" t="s">
        <v>26</v>
      </c>
      <c r="E11702">
        <v>2255</v>
      </c>
    </row>
    <row r="11703" spans="1:5" x14ac:dyDescent="0.55000000000000004">
      <c r="A11703" t="s">
        <v>11784</v>
      </c>
      <c r="B11703" t="s">
        <v>99</v>
      </c>
      <c r="C11703" s="2">
        <v>43876</v>
      </c>
      <c r="D11703" t="s">
        <v>26</v>
      </c>
      <c r="E11703">
        <v>646</v>
      </c>
    </row>
    <row r="11704" spans="1:5" x14ac:dyDescent="0.55000000000000004">
      <c r="A11704" t="s">
        <v>11785</v>
      </c>
      <c r="B11704" t="s">
        <v>14</v>
      </c>
      <c r="C11704" s="2">
        <v>44470</v>
      </c>
      <c r="D11704" t="s">
        <v>29</v>
      </c>
      <c r="E11704">
        <v>1622</v>
      </c>
    </row>
    <row r="11705" spans="1:5" x14ac:dyDescent="0.55000000000000004">
      <c r="A11705" t="s">
        <v>11786</v>
      </c>
      <c r="B11705" t="s">
        <v>76</v>
      </c>
      <c r="C11705" s="2">
        <v>45418</v>
      </c>
      <c r="D11705" t="s">
        <v>29</v>
      </c>
      <c r="E11705">
        <v>900</v>
      </c>
    </row>
    <row r="11706" spans="1:5" x14ac:dyDescent="0.55000000000000004">
      <c r="A11706" t="s">
        <v>11787</v>
      </c>
      <c r="B11706" t="s">
        <v>15</v>
      </c>
      <c r="C11706" s="2">
        <v>43252</v>
      </c>
      <c r="D11706" t="s">
        <v>26</v>
      </c>
      <c r="E11706">
        <v>816</v>
      </c>
    </row>
    <row r="11707" spans="1:5" x14ac:dyDescent="0.55000000000000004">
      <c r="A11707" t="s">
        <v>11788</v>
      </c>
      <c r="B11707" t="s">
        <v>35</v>
      </c>
      <c r="C11707" s="2">
        <v>44739</v>
      </c>
      <c r="D11707" t="s">
        <v>26</v>
      </c>
      <c r="E11707">
        <v>1209</v>
      </c>
    </row>
    <row r="11708" spans="1:5" x14ac:dyDescent="0.55000000000000004">
      <c r="A11708" t="s">
        <v>11789</v>
      </c>
      <c r="B11708" t="s">
        <v>118</v>
      </c>
      <c r="C11708" s="2">
        <v>44490</v>
      </c>
      <c r="D11708" t="s">
        <v>26</v>
      </c>
      <c r="E11708">
        <v>1537</v>
      </c>
    </row>
    <row r="11709" spans="1:5" x14ac:dyDescent="0.55000000000000004">
      <c r="A11709" t="s">
        <v>11790</v>
      </c>
      <c r="B11709" t="s">
        <v>86</v>
      </c>
      <c r="C11709" s="2">
        <v>43778</v>
      </c>
      <c r="D11709" t="s">
        <v>29</v>
      </c>
      <c r="E11709">
        <v>3</v>
      </c>
    </row>
    <row r="11710" spans="1:5" x14ac:dyDescent="0.55000000000000004">
      <c r="A11710" t="s">
        <v>11791</v>
      </c>
      <c r="B11710" t="s">
        <v>15</v>
      </c>
      <c r="C11710" s="2">
        <v>44228</v>
      </c>
      <c r="D11710" t="s">
        <v>26</v>
      </c>
      <c r="E11710">
        <v>2372</v>
      </c>
    </row>
    <row r="11711" spans="1:5" x14ac:dyDescent="0.55000000000000004">
      <c r="A11711" t="s">
        <v>11792</v>
      </c>
      <c r="B11711" t="s">
        <v>35</v>
      </c>
      <c r="C11711" s="2">
        <v>43836</v>
      </c>
      <c r="D11711" t="s">
        <v>29</v>
      </c>
      <c r="E11711">
        <v>1661</v>
      </c>
    </row>
    <row r="11712" spans="1:5" x14ac:dyDescent="0.55000000000000004">
      <c r="A11712" t="s">
        <v>11793</v>
      </c>
      <c r="B11712" t="s">
        <v>38</v>
      </c>
      <c r="C11712" s="2">
        <v>44498</v>
      </c>
      <c r="D11712" t="s">
        <v>29</v>
      </c>
      <c r="E11712">
        <v>1175</v>
      </c>
    </row>
    <row r="11713" spans="1:5" x14ac:dyDescent="0.55000000000000004">
      <c r="A11713" t="s">
        <v>11794</v>
      </c>
      <c r="B11713" t="s">
        <v>175</v>
      </c>
      <c r="C11713" s="2">
        <v>44259</v>
      </c>
      <c r="D11713" t="s">
        <v>29</v>
      </c>
      <c r="E11713">
        <v>2003</v>
      </c>
    </row>
    <row r="11714" spans="1:5" x14ac:dyDescent="0.55000000000000004">
      <c r="A11714" t="s">
        <v>11795</v>
      </c>
      <c r="B11714" t="s">
        <v>96</v>
      </c>
      <c r="C11714" s="2">
        <v>43605</v>
      </c>
      <c r="D11714" t="s">
        <v>29</v>
      </c>
      <c r="E11714">
        <v>1067</v>
      </c>
    </row>
    <row r="11715" spans="1:5" x14ac:dyDescent="0.55000000000000004">
      <c r="A11715" t="s">
        <v>11796</v>
      </c>
      <c r="B11715" t="s">
        <v>101</v>
      </c>
      <c r="C11715" s="2">
        <v>43839</v>
      </c>
      <c r="D11715" t="s">
        <v>26</v>
      </c>
      <c r="E11715">
        <v>2461</v>
      </c>
    </row>
    <row r="11716" spans="1:5" x14ac:dyDescent="0.55000000000000004">
      <c r="A11716" t="s">
        <v>11797</v>
      </c>
      <c r="B11716" t="s">
        <v>63</v>
      </c>
      <c r="C11716" s="2">
        <v>43072</v>
      </c>
      <c r="D11716" t="s">
        <v>29</v>
      </c>
      <c r="E11716">
        <v>1029</v>
      </c>
    </row>
    <row r="11717" spans="1:5" x14ac:dyDescent="0.55000000000000004">
      <c r="A11717" t="s">
        <v>11798</v>
      </c>
      <c r="B11717" t="s">
        <v>78</v>
      </c>
      <c r="C11717" s="2">
        <v>43489</v>
      </c>
      <c r="D11717" t="s">
        <v>29</v>
      </c>
      <c r="E11717">
        <v>1108</v>
      </c>
    </row>
    <row r="11718" spans="1:5" x14ac:dyDescent="0.55000000000000004">
      <c r="A11718" t="s">
        <v>11799</v>
      </c>
      <c r="B11718" t="s">
        <v>140</v>
      </c>
      <c r="C11718" s="2">
        <v>44042</v>
      </c>
      <c r="D11718" t="s">
        <v>29</v>
      </c>
      <c r="E11718">
        <v>987</v>
      </c>
    </row>
    <row r="11719" spans="1:5" x14ac:dyDescent="0.55000000000000004">
      <c r="A11719" t="s">
        <v>11800</v>
      </c>
      <c r="B11719" t="s">
        <v>41</v>
      </c>
      <c r="C11719" s="2">
        <v>43933</v>
      </c>
      <c r="D11719" t="s">
        <v>29</v>
      </c>
      <c r="E11719">
        <v>2119</v>
      </c>
    </row>
    <row r="11720" spans="1:5" x14ac:dyDescent="0.55000000000000004">
      <c r="A11720" t="s">
        <v>11801</v>
      </c>
      <c r="B11720" t="s">
        <v>67</v>
      </c>
      <c r="C11720" s="2">
        <v>45222</v>
      </c>
      <c r="D11720" t="s">
        <v>26</v>
      </c>
      <c r="E11720">
        <v>238</v>
      </c>
    </row>
    <row r="11721" spans="1:5" x14ac:dyDescent="0.55000000000000004">
      <c r="A11721" t="s">
        <v>11802</v>
      </c>
      <c r="B11721" t="s">
        <v>76</v>
      </c>
      <c r="C11721" s="2">
        <v>44124</v>
      </c>
      <c r="D11721" t="s">
        <v>29</v>
      </c>
      <c r="E11721">
        <v>869</v>
      </c>
    </row>
    <row r="11722" spans="1:5" x14ac:dyDescent="0.55000000000000004">
      <c r="A11722" t="s">
        <v>11803</v>
      </c>
      <c r="B11722" t="s">
        <v>115</v>
      </c>
      <c r="C11722" s="2">
        <v>43196</v>
      </c>
      <c r="D11722" t="s">
        <v>26</v>
      </c>
      <c r="E11722">
        <v>1730</v>
      </c>
    </row>
    <row r="11723" spans="1:5" x14ac:dyDescent="0.55000000000000004">
      <c r="A11723" t="s">
        <v>11804</v>
      </c>
      <c r="B11723" t="s">
        <v>175</v>
      </c>
      <c r="C11723" s="2">
        <v>45184</v>
      </c>
      <c r="D11723" t="s">
        <v>26</v>
      </c>
      <c r="E11723">
        <v>1295</v>
      </c>
    </row>
    <row r="11724" spans="1:5" x14ac:dyDescent="0.55000000000000004">
      <c r="A11724" t="s">
        <v>11805</v>
      </c>
      <c r="B11724" t="s">
        <v>84</v>
      </c>
      <c r="C11724" s="2">
        <v>43931</v>
      </c>
      <c r="D11724" t="s">
        <v>26</v>
      </c>
      <c r="E11724">
        <v>2811</v>
      </c>
    </row>
    <row r="11725" spans="1:5" x14ac:dyDescent="0.55000000000000004">
      <c r="A11725" t="s">
        <v>11806</v>
      </c>
      <c r="B11725" t="s">
        <v>142</v>
      </c>
      <c r="C11725" s="2">
        <v>44071</v>
      </c>
      <c r="D11725" t="s">
        <v>29</v>
      </c>
      <c r="E11725">
        <v>2112</v>
      </c>
    </row>
    <row r="11726" spans="1:5" x14ac:dyDescent="0.55000000000000004">
      <c r="A11726" t="s">
        <v>11807</v>
      </c>
      <c r="B11726" t="s">
        <v>142</v>
      </c>
      <c r="C11726" s="2">
        <v>43543</v>
      </c>
      <c r="D11726" t="s">
        <v>26</v>
      </c>
      <c r="E11726">
        <v>371</v>
      </c>
    </row>
    <row r="11727" spans="1:5" x14ac:dyDescent="0.55000000000000004">
      <c r="A11727" t="s">
        <v>11808</v>
      </c>
      <c r="B11727" t="s">
        <v>118</v>
      </c>
      <c r="C11727" s="2">
        <v>44669</v>
      </c>
      <c r="D11727" t="s">
        <v>29</v>
      </c>
      <c r="E11727">
        <v>500</v>
      </c>
    </row>
    <row r="11728" spans="1:5" x14ac:dyDescent="0.55000000000000004">
      <c r="A11728" t="s">
        <v>11809</v>
      </c>
      <c r="B11728" t="s">
        <v>175</v>
      </c>
      <c r="C11728" s="2">
        <v>44758</v>
      </c>
      <c r="D11728" t="s">
        <v>29</v>
      </c>
      <c r="E11728">
        <v>53</v>
      </c>
    </row>
    <row r="11729" spans="1:5" x14ac:dyDescent="0.55000000000000004">
      <c r="A11729" t="s">
        <v>11810</v>
      </c>
      <c r="B11729" t="s">
        <v>142</v>
      </c>
      <c r="C11729" s="2">
        <v>42969</v>
      </c>
      <c r="D11729" t="s">
        <v>26</v>
      </c>
      <c r="E11729">
        <v>2375</v>
      </c>
    </row>
    <row r="11730" spans="1:5" x14ac:dyDescent="0.55000000000000004">
      <c r="A11730" t="s">
        <v>11811</v>
      </c>
      <c r="B11730" t="s">
        <v>38</v>
      </c>
      <c r="C11730" s="2">
        <v>43944</v>
      </c>
      <c r="D11730" t="s">
        <v>26</v>
      </c>
      <c r="E11730">
        <v>1846</v>
      </c>
    </row>
    <row r="11731" spans="1:5" x14ac:dyDescent="0.55000000000000004">
      <c r="A11731" t="s">
        <v>11812</v>
      </c>
      <c r="B11731" t="s">
        <v>151</v>
      </c>
      <c r="C11731" s="2">
        <v>43980</v>
      </c>
      <c r="D11731" t="s">
        <v>29</v>
      </c>
      <c r="E11731">
        <v>1055</v>
      </c>
    </row>
    <row r="11732" spans="1:5" x14ac:dyDescent="0.55000000000000004">
      <c r="A11732" t="s">
        <v>11813</v>
      </c>
      <c r="B11732" t="s">
        <v>101</v>
      </c>
      <c r="C11732" s="2">
        <v>43820</v>
      </c>
      <c r="D11732" t="s">
        <v>26</v>
      </c>
      <c r="E11732">
        <v>2583</v>
      </c>
    </row>
    <row r="11733" spans="1:5" x14ac:dyDescent="0.55000000000000004">
      <c r="A11733" t="s">
        <v>11814</v>
      </c>
      <c r="B11733" t="s">
        <v>156</v>
      </c>
      <c r="C11733" s="2">
        <v>44408</v>
      </c>
      <c r="D11733" t="s">
        <v>29</v>
      </c>
      <c r="E11733">
        <v>1159</v>
      </c>
    </row>
    <row r="11734" spans="1:5" x14ac:dyDescent="0.55000000000000004">
      <c r="A11734" t="s">
        <v>11815</v>
      </c>
      <c r="B11734" t="s">
        <v>63</v>
      </c>
      <c r="C11734" s="2">
        <v>43740</v>
      </c>
      <c r="D11734" t="s">
        <v>26</v>
      </c>
      <c r="E11734">
        <v>2350</v>
      </c>
    </row>
    <row r="11735" spans="1:5" x14ac:dyDescent="0.55000000000000004">
      <c r="A11735" t="s">
        <v>11816</v>
      </c>
      <c r="B11735" t="s">
        <v>35</v>
      </c>
      <c r="C11735" s="2">
        <v>43897</v>
      </c>
      <c r="D11735" t="s">
        <v>29</v>
      </c>
      <c r="E11735">
        <v>428</v>
      </c>
    </row>
    <row r="11736" spans="1:5" x14ac:dyDescent="0.55000000000000004">
      <c r="A11736" t="s">
        <v>11817</v>
      </c>
      <c r="B11736" t="s">
        <v>151</v>
      </c>
      <c r="C11736" s="2">
        <v>43136</v>
      </c>
      <c r="D11736" t="s">
        <v>29</v>
      </c>
      <c r="E11736">
        <v>2356</v>
      </c>
    </row>
    <row r="11737" spans="1:5" x14ac:dyDescent="0.55000000000000004">
      <c r="A11737" t="s">
        <v>11818</v>
      </c>
      <c r="B11737" t="s">
        <v>101</v>
      </c>
      <c r="C11737" s="2">
        <v>43936</v>
      </c>
      <c r="D11737" t="s">
        <v>26</v>
      </c>
      <c r="E11737">
        <v>2144</v>
      </c>
    </row>
    <row r="11738" spans="1:5" x14ac:dyDescent="0.55000000000000004">
      <c r="A11738" t="s">
        <v>11819</v>
      </c>
      <c r="B11738" t="s">
        <v>63</v>
      </c>
      <c r="C11738" s="2">
        <v>43210</v>
      </c>
      <c r="D11738" t="s">
        <v>26</v>
      </c>
      <c r="E11738">
        <v>823</v>
      </c>
    </row>
    <row r="11739" spans="1:5" x14ac:dyDescent="0.55000000000000004">
      <c r="A11739" t="s">
        <v>11820</v>
      </c>
      <c r="B11739" t="s">
        <v>14</v>
      </c>
      <c r="C11739" s="2">
        <v>43634</v>
      </c>
      <c r="D11739" t="s">
        <v>29</v>
      </c>
      <c r="E11739">
        <v>515</v>
      </c>
    </row>
    <row r="11740" spans="1:5" x14ac:dyDescent="0.55000000000000004">
      <c r="A11740" t="s">
        <v>11821</v>
      </c>
      <c r="B11740" t="s">
        <v>38</v>
      </c>
      <c r="C11740" s="2">
        <v>44349</v>
      </c>
      <c r="D11740" t="s">
        <v>26</v>
      </c>
      <c r="E11740">
        <v>1468</v>
      </c>
    </row>
    <row r="11741" spans="1:5" x14ac:dyDescent="0.55000000000000004">
      <c r="A11741" t="s">
        <v>11822</v>
      </c>
      <c r="B11741" t="s">
        <v>35</v>
      </c>
      <c r="C11741" s="2">
        <v>43969</v>
      </c>
      <c r="D11741" t="s">
        <v>26</v>
      </c>
      <c r="E11741">
        <v>354</v>
      </c>
    </row>
    <row r="11742" spans="1:5" x14ac:dyDescent="0.55000000000000004">
      <c r="A11742" t="s">
        <v>11823</v>
      </c>
      <c r="B11742" t="s">
        <v>94</v>
      </c>
      <c r="C11742" s="2">
        <v>43637</v>
      </c>
      <c r="D11742" t="s">
        <v>26</v>
      </c>
      <c r="E11742">
        <v>1447</v>
      </c>
    </row>
    <row r="11743" spans="1:5" x14ac:dyDescent="0.55000000000000004">
      <c r="A11743" t="s">
        <v>11824</v>
      </c>
      <c r="B11743" t="s">
        <v>32</v>
      </c>
      <c r="C11743" s="2">
        <v>44445</v>
      </c>
      <c r="D11743" t="s">
        <v>26</v>
      </c>
      <c r="E11743">
        <v>2366</v>
      </c>
    </row>
    <row r="11744" spans="1:5" x14ac:dyDescent="0.55000000000000004">
      <c r="A11744" t="s">
        <v>11825</v>
      </c>
      <c r="B11744" t="s">
        <v>156</v>
      </c>
      <c r="C11744" s="2">
        <v>43257</v>
      </c>
      <c r="D11744" t="s">
        <v>29</v>
      </c>
      <c r="E11744">
        <v>258</v>
      </c>
    </row>
    <row r="11745" spans="1:5" x14ac:dyDescent="0.55000000000000004">
      <c r="A11745" t="s">
        <v>11826</v>
      </c>
      <c r="B11745" t="s">
        <v>175</v>
      </c>
      <c r="C11745" s="2">
        <v>44209</v>
      </c>
      <c r="D11745" t="s">
        <v>29</v>
      </c>
      <c r="E11745">
        <v>2313</v>
      </c>
    </row>
    <row r="11746" spans="1:5" x14ac:dyDescent="0.55000000000000004">
      <c r="A11746" t="s">
        <v>11827</v>
      </c>
      <c r="B11746" t="s">
        <v>15</v>
      </c>
      <c r="C11746" s="2">
        <v>44189</v>
      </c>
      <c r="D11746" t="s">
        <v>26</v>
      </c>
      <c r="E11746">
        <v>2984</v>
      </c>
    </row>
    <row r="11747" spans="1:5" x14ac:dyDescent="0.55000000000000004">
      <c r="A11747" t="s">
        <v>11828</v>
      </c>
      <c r="B11747" t="s">
        <v>38</v>
      </c>
      <c r="C11747" s="2">
        <v>44298</v>
      </c>
      <c r="D11747" t="s">
        <v>26</v>
      </c>
      <c r="E11747">
        <v>1011</v>
      </c>
    </row>
    <row r="11748" spans="1:5" x14ac:dyDescent="0.55000000000000004">
      <c r="A11748" t="s">
        <v>11829</v>
      </c>
      <c r="B11748" t="s">
        <v>99</v>
      </c>
      <c r="C11748" s="2">
        <v>45687</v>
      </c>
      <c r="D11748" t="s">
        <v>29</v>
      </c>
      <c r="E11748">
        <v>2782</v>
      </c>
    </row>
    <row r="11749" spans="1:5" x14ac:dyDescent="0.55000000000000004">
      <c r="A11749" t="s">
        <v>11830</v>
      </c>
      <c r="B11749" t="s">
        <v>140</v>
      </c>
      <c r="C11749" s="2">
        <v>43875</v>
      </c>
      <c r="D11749" t="s">
        <v>29</v>
      </c>
      <c r="E11749">
        <v>1762</v>
      </c>
    </row>
    <row r="11750" spans="1:5" x14ac:dyDescent="0.55000000000000004">
      <c r="A11750" t="s">
        <v>11831</v>
      </c>
      <c r="B11750" t="s">
        <v>142</v>
      </c>
      <c r="C11750" s="2">
        <v>44212</v>
      </c>
      <c r="D11750" t="s">
        <v>29</v>
      </c>
      <c r="E11750">
        <v>677</v>
      </c>
    </row>
    <row r="11751" spans="1:5" x14ac:dyDescent="0.55000000000000004">
      <c r="A11751" t="s">
        <v>11832</v>
      </c>
      <c r="B11751" t="s">
        <v>175</v>
      </c>
      <c r="C11751" s="2">
        <v>45610</v>
      </c>
      <c r="D11751" t="s">
        <v>29</v>
      </c>
      <c r="E11751">
        <v>290</v>
      </c>
    </row>
    <row r="11752" spans="1:5" x14ac:dyDescent="0.55000000000000004">
      <c r="A11752" t="s">
        <v>11833</v>
      </c>
      <c r="B11752" t="s">
        <v>94</v>
      </c>
      <c r="C11752" s="2">
        <v>44293</v>
      </c>
      <c r="D11752" t="s">
        <v>29</v>
      </c>
      <c r="E11752">
        <v>68</v>
      </c>
    </row>
    <row r="11753" spans="1:5" x14ac:dyDescent="0.55000000000000004">
      <c r="A11753" t="s">
        <v>11834</v>
      </c>
      <c r="B11753" t="s">
        <v>35</v>
      </c>
      <c r="C11753" s="2">
        <v>44266</v>
      </c>
      <c r="D11753" t="s">
        <v>29</v>
      </c>
      <c r="E11753">
        <v>2253</v>
      </c>
    </row>
    <row r="11754" spans="1:5" x14ac:dyDescent="0.55000000000000004">
      <c r="A11754" t="s">
        <v>11835</v>
      </c>
      <c r="B11754" t="s">
        <v>151</v>
      </c>
      <c r="C11754" s="2">
        <v>44010</v>
      </c>
      <c r="D11754" t="s">
        <v>29</v>
      </c>
      <c r="E11754">
        <v>1174</v>
      </c>
    </row>
    <row r="11755" spans="1:5" x14ac:dyDescent="0.55000000000000004">
      <c r="A11755" t="s">
        <v>11836</v>
      </c>
      <c r="B11755" t="s">
        <v>156</v>
      </c>
      <c r="C11755" s="2">
        <v>44287</v>
      </c>
      <c r="D11755" t="s">
        <v>26</v>
      </c>
      <c r="E11755">
        <v>87</v>
      </c>
    </row>
    <row r="11756" spans="1:5" x14ac:dyDescent="0.55000000000000004">
      <c r="A11756" t="s">
        <v>11837</v>
      </c>
      <c r="B11756" t="s">
        <v>67</v>
      </c>
      <c r="C11756" s="2">
        <v>43875</v>
      </c>
      <c r="D11756" t="s">
        <v>26</v>
      </c>
      <c r="E11756">
        <v>1668</v>
      </c>
    </row>
    <row r="11757" spans="1:5" x14ac:dyDescent="0.55000000000000004">
      <c r="A11757" t="s">
        <v>11838</v>
      </c>
      <c r="B11757" t="s">
        <v>63</v>
      </c>
      <c r="C11757" s="2">
        <v>43246</v>
      </c>
      <c r="D11757" t="s">
        <v>26</v>
      </c>
      <c r="E11757">
        <v>2595</v>
      </c>
    </row>
    <row r="11758" spans="1:5" x14ac:dyDescent="0.55000000000000004">
      <c r="A11758" t="s">
        <v>11839</v>
      </c>
      <c r="B11758" t="s">
        <v>32</v>
      </c>
      <c r="C11758" s="2">
        <v>44747</v>
      </c>
      <c r="D11758" t="s">
        <v>26</v>
      </c>
      <c r="E11758">
        <v>738</v>
      </c>
    </row>
    <row r="11759" spans="1:5" x14ac:dyDescent="0.55000000000000004">
      <c r="A11759" t="s">
        <v>11840</v>
      </c>
      <c r="B11759" t="s">
        <v>101</v>
      </c>
      <c r="C11759" s="2">
        <v>44457</v>
      </c>
      <c r="D11759" t="s">
        <v>29</v>
      </c>
      <c r="E11759">
        <v>992</v>
      </c>
    </row>
    <row r="11760" spans="1:5" x14ac:dyDescent="0.55000000000000004">
      <c r="A11760" t="s">
        <v>11841</v>
      </c>
      <c r="B11760" t="s">
        <v>67</v>
      </c>
      <c r="C11760" s="2">
        <v>44149</v>
      </c>
      <c r="D11760" t="s">
        <v>26</v>
      </c>
      <c r="E11760">
        <v>1932</v>
      </c>
    </row>
    <row r="11761" spans="1:5" x14ac:dyDescent="0.55000000000000004">
      <c r="A11761" t="s">
        <v>11842</v>
      </c>
      <c r="B11761" t="s">
        <v>115</v>
      </c>
      <c r="C11761" s="2">
        <v>43630</v>
      </c>
      <c r="D11761" t="s">
        <v>29</v>
      </c>
      <c r="E11761">
        <v>2290</v>
      </c>
    </row>
    <row r="11762" spans="1:5" x14ac:dyDescent="0.55000000000000004">
      <c r="A11762" t="s">
        <v>11843</v>
      </c>
      <c r="B11762" t="s">
        <v>74</v>
      </c>
      <c r="C11762" s="2">
        <v>44045</v>
      </c>
      <c r="D11762" t="s">
        <v>29</v>
      </c>
      <c r="E11762">
        <v>480</v>
      </c>
    </row>
    <row r="11763" spans="1:5" x14ac:dyDescent="0.55000000000000004">
      <c r="A11763" t="s">
        <v>11844</v>
      </c>
      <c r="B11763" t="s">
        <v>63</v>
      </c>
      <c r="C11763" s="2">
        <v>43374</v>
      </c>
      <c r="D11763" t="s">
        <v>26</v>
      </c>
      <c r="E11763">
        <v>318</v>
      </c>
    </row>
    <row r="11764" spans="1:5" x14ac:dyDescent="0.55000000000000004">
      <c r="A11764" t="s">
        <v>11845</v>
      </c>
      <c r="B11764" t="s">
        <v>175</v>
      </c>
      <c r="C11764" s="2">
        <v>45390</v>
      </c>
      <c r="D11764" t="s">
        <v>29</v>
      </c>
      <c r="E11764">
        <v>231</v>
      </c>
    </row>
    <row r="11765" spans="1:5" x14ac:dyDescent="0.55000000000000004">
      <c r="A11765" t="s">
        <v>11846</v>
      </c>
      <c r="B11765" t="s">
        <v>111</v>
      </c>
      <c r="C11765" s="2">
        <v>43813</v>
      </c>
      <c r="D11765" t="s">
        <v>29</v>
      </c>
      <c r="E11765">
        <v>1662</v>
      </c>
    </row>
    <row r="11766" spans="1:5" x14ac:dyDescent="0.55000000000000004">
      <c r="A11766" t="s">
        <v>11847</v>
      </c>
      <c r="B11766" t="s">
        <v>175</v>
      </c>
      <c r="C11766" s="2">
        <v>45318</v>
      </c>
      <c r="D11766" t="s">
        <v>29</v>
      </c>
      <c r="E11766">
        <v>292</v>
      </c>
    </row>
    <row r="11767" spans="1:5" x14ac:dyDescent="0.55000000000000004">
      <c r="A11767" t="s">
        <v>11848</v>
      </c>
      <c r="B11767" t="s">
        <v>23</v>
      </c>
      <c r="C11767" s="2">
        <v>44110</v>
      </c>
      <c r="D11767" t="s">
        <v>26</v>
      </c>
      <c r="E11767">
        <v>136</v>
      </c>
    </row>
    <row r="11768" spans="1:5" x14ac:dyDescent="0.55000000000000004">
      <c r="A11768" t="s">
        <v>11849</v>
      </c>
      <c r="B11768" t="s">
        <v>76</v>
      </c>
      <c r="C11768" s="2">
        <v>44398</v>
      </c>
      <c r="D11768" t="s">
        <v>26</v>
      </c>
      <c r="E11768">
        <v>639</v>
      </c>
    </row>
    <row r="11769" spans="1:5" x14ac:dyDescent="0.55000000000000004">
      <c r="A11769" t="s">
        <v>11850</v>
      </c>
      <c r="B11769" t="s">
        <v>67</v>
      </c>
      <c r="C11769" s="2">
        <v>45284</v>
      </c>
      <c r="D11769" t="s">
        <v>29</v>
      </c>
      <c r="E11769">
        <v>1793</v>
      </c>
    </row>
    <row r="11770" spans="1:5" x14ac:dyDescent="0.55000000000000004">
      <c r="A11770" t="s">
        <v>11851</v>
      </c>
      <c r="B11770" t="s">
        <v>84</v>
      </c>
      <c r="C11770" s="2">
        <v>42985</v>
      </c>
      <c r="D11770" t="s">
        <v>29</v>
      </c>
      <c r="E11770">
        <v>2062</v>
      </c>
    </row>
    <row r="11771" spans="1:5" x14ac:dyDescent="0.55000000000000004">
      <c r="A11771" t="s">
        <v>11852</v>
      </c>
      <c r="B11771" t="s">
        <v>32</v>
      </c>
      <c r="C11771" s="2">
        <v>44211</v>
      </c>
      <c r="D11771" t="s">
        <v>26</v>
      </c>
      <c r="E11771">
        <v>2783</v>
      </c>
    </row>
    <row r="11772" spans="1:5" x14ac:dyDescent="0.55000000000000004">
      <c r="A11772" t="s">
        <v>11853</v>
      </c>
      <c r="B11772" t="s">
        <v>175</v>
      </c>
      <c r="C11772" s="2">
        <v>43518</v>
      </c>
      <c r="D11772" t="s">
        <v>26</v>
      </c>
      <c r="E11772">
        <v>1710</v>
      </c>
    </row>
    <row r="11773" spans="1:5" x14ac:dyDescent="0.55000000000000004">
      <c r="A11773" t="s">
        <v>11854</v>
      </c>
      <c r="B11773" t="s">
        <v>14</v>
      </c>
      <c r="C11773" s="2">
        <v>43691</v>
      </c>
      <c r="D11773" t="s">
        <v>29</v>
      </c>
      <c r="E11773">
        <v>2002</v>
      </c>
    </row>
    <row r="11774" spans="1:5" x14ac:dyDescent="0.55000000000000004">
      <c r="A11774" t="s">
        <v>11855</v>
      </c>
      <c r="B11774" t="s">
        <v>67</v>
      </c>
      <c r="C11774" s="2">
        <v>45440</v>
      </c>
      <c r="D11774" t="s">
        <v>26</v>
      </c>
      <c r="E11774">
        <v>2435</v>
      </c>
    </row>
    <row r="11775" spans="1:5" x14ac:dyDescent="0.55000000000000004">
      <c r="A11775" t="s">
        <v>11856</v>
      </c>
      <c r="B11775" t="s">
        <v>76</v>
      </c>
      <c r="C11775" s="2">
        <v>44161</v>
      </c>
      <c r="D11775" t="s">
        <v>29</v>
      </c>
      <c r="E11775">
        <v>2445</v>
      </c>
    </row>
    <row r="11776" spans="1:5" x14ac:dyDescent="0.55000000000000004">
      <c r="A11776" t="s">
        <v>11857</v>
      </c>
      <c r="B11776" t="s">
        <v>96</v>
      </c>
      <c r="C11776" s="2">
        <v>44182</v>
      </c>
      <c r="D11776" t="s">
        <v>29</v>
      </c>
      <c r="E11776">
        <v>1325</v>
      </c>
    </row>
    <row r="11777" spans="1:5" x14ac:dyDescent="0.55000000000000004">
      <c r="A11777" t="s">
        <v>11858</v>
      </c>
      <c r="B11777" t="s">
        <v>111</v>
      </c>
      <c r="C11777" s="2">
        <v>44454</v>
      </c>
      <c r="D11777" t="s">
        <v>29</v>
      </c>
      <c r="E11777">
        <v>262</v>
      </c>
    </row>
    <row r="11778" spans="1:5" x14ac:dyDescent="0.55000000000000004">
      <c r="A11778" t="s">
        <v>11859</v>
      </c>
      <c r="B11778" t="s">
        <v>151</v>
      </c>
      <c r="C11778" s="2">
        <v>43746</v>
      </c>
      <c r="D11778" t="s">
        <v>29</v>
      </c>
      <c r="E11778">
        <v>2360</v>
      </c>
    </row>
    <row r="11779" spans="1:5" x14ac:dyDescent="0.55000000000000004">
      <c r="A11779" t="s">
        <v>11860</v>
      </c>
      <c r="B11779" t="s">
        <v>175</v>
      </c>
      <c r="C11779" s="2">
        <v>45162</v>
      </c>
      <c r="D11779" t="s">
        <v>29</v>
      </c>
      <c r="E11779">
        <v>1059</v>
      </c>
    </row>
    <row r="11780" spans="1:5" x14ac:dyDescent="0.55000000000000004">
      <c r="A11780" t="s">
        <v>11861</v>
      </c>
      <c r="B11780" t="s">
        <v>41</v>
      </c>
      <c r="C11780" s="2">
        <v>44575</v>
      </c>
      <c r="D11780" t="s">
        <v>26</v>
      </c>
      <c r="E11780">
        <v>2844</v>
      </c>
    </row>
    <row r="11781" spans="1:5" x14ac:dyDescent="0.55000000000000004">
      <c r="A11781" t="s">
        <v>11862</v>
      </c>
      <c r="B11781" t="s">
        <v>78</v>
      </c>
      <c r="C11781" s="2">
        <v>44732</v>
      </c>
      <c r="D11781" t="s">
        <v>29</v>
      </c>
      <c r="E11781">
        <v>937</v>
      </c>
    </row>
    <row r="11782" spans="1:5" x14ac:dyDescent="0.55000000000000004">
      <c r="A11782" t="s">
        <v>11863</v>
      </c>
      <c r="B11782" t="s">
        <v>15</v>
      </c>
      <c r="C11782" s="2">
        <v>43646</v>
      </c>
      <c r="D11782" t="s">
        <v>26</v>
      </c>
      <c r="E11782">
        <v>1455</v>
      </c>
    </row>
    <row r="11783" spans="1:5" x14ac:dyDescent="0.55000000000000004">
      <c r="A11783" t="s">
        <v>11864</v>
      </c>
      <c r="B11783" t="s">
        <v>15</v>
      </c>
      <c r="C11783" s="2">
        <v>44389</v>
      </c>
      <c r="D11783" t="s">
        <v>29</v>
      </c>
      <c r="E11783">
        <v>1217</v>
      </c>
    </row>
    <row r="11784" spans="1:5" x14ac:dyDescent="0.55000000000000004">
      <c r="A11784" t="s">
        <v>11865</v>
      </c>
      <c r="B11784" t="s">
        <v>38</v>
      </c>
      <c r="C11784" s="2">
        <v>44892</v>
      </c>
      <c r="D11784" t="s">
        <v>26</v>
      </c>
      <c r="E11784">
        <v>1323</v>
      </c>
    </row>
    <row r="11785" spans="1:5" x14ac:dyDescent="0.55000000000000004">
      <c r="A11785" t="s">
        <v>11866</v>
      </c>
      <c r="B11785" t="s">
        <v>72</v>
      </c>
      <c r="C11785" s="2">
        <v>44392</v>
      </c>
      <c r="D11785" t="s">
        <v>29</v>
      </c>
      <c r="E11785">
        <v>2681</v>
      </c>
    </row>
    <row r="11786" spans="1:5" x14ac:dyDescent="0.55000000000000004">
      <c r="A11786" t="s">
        <v>11867</v>
      </c>
      <c r="B11786" t="s">
        <v>175</v>
      </c>
      <c r="C11786" s="2">
        <v>45814</v>
      </c>
      <c r="D11786" t="s">
        <v>26</v>
      </c>
      <c r="E11786">
        <v>2896</v>
      </c>
    </row>
    <row r="11787" spans="1:5" x14ac:dyDescent="0.55000000000000004">
      <c r="A11787" t="s">
        <v>11868</v>
      </c>
      <c r="B11787" t="s">
        <v>115</v>
      </c>
      <c r="C11787" s="2">
        <v>43983</v>
      </c>
      <c r="D11787" t="s">
        <v>29</v>
      </c>
      <c r="E11787">
        <v>426</v>
      </c>
    </row>
    <row r="11788" spans="1:5" x14ac:dyDescent="0.55000000000000004">
      <c r="A11788" t="s">
        <v>11869</v>
      </c>
      <c r="B11788" t="s">
        <v>118</v>
      </c>
      <c r="C11788" s="2">
        <v>43887</v>
      </c>
      <c r="D11788" t="s">
        <v>26</v>
      </c>
      <c r="E11788">
        <v>1288</v>
      </c>
    </row>
    <row r="11789" spans="1:5" x14ac:dyDescent="0.55000000000000004">
      <c r="A11789" t="s">
        <v>11870</v>
      </c>
      <c r="B11789" t="s">
        <v>78</v>
      </c>
      <c r="C11789" s="2">
        <v>45238</v>
      </c>
      <c r="D11789" t="s">
        <v>29</v>
      </c>
      <c r="E11789">
        <v>1022</v>
      </c>
    </row>
    <row r="11790" spans="1:5" x14ac:dyDescent="0.55000000000000004">
      <c r="A11790" t="s">
        <v>11871</v>
      </c>
      <c r="B11790" t="s">
        <v>137</v>
      </c>
      <c r="C11790" s="2">
        <v>44417</v>
      </c>
      <c r="D11790" t="s">
        <v>29</v>
      </c>
      <c r="E11790">
        <v>305</v>
      </c>
    </row>
    <row r="11791" spans="1:5" x14ac:dyDescent="0.55000000000000004">
      <c r="A11791" t="s">
        <v>11872</v>
      </c>
      <c r="B11791" t="s">
        <v>111</v>
      </c>
      <c r="C11791" s="2">
        <v>43858</v>
      </c>
      <c r="D11791" t="s">
        <v>29</v>
      </c>
      <c r="E11791">
        <v>1174</v>
      </c>
    </row>
    <row r="11792" spans="1:5" x14ac:dyDescent="0.55000000000000004">
      <c r="A11792" t="s">
        <v>11873</v>
      </c>
      <c r="B11792" t="s">
        <v>78</v>
      </c>
      <c r="C11792" s="2">
        <v>45188</v>
      </c>
      <c r="D11792" t="s">
        <v>29</v>
      </c>
      <c r="E11792">
        <v>151</v>
      </c>
    </row>
    <row r="11793" spans="1:5" x14ac:dyDescent="0.55000000000000004">
      <c r="A11793" t="s">
        <v>11874</v>
      </c>
      <c r="B11793" t="s">
        <v>35</v>
      </c>
      <c r="C11793" s="2">
        <v>44585</v>
      </c>
      <c r="D11793" t="s">
        <v>26</v>
      </c>
      <c r="E11793">
        <v>2707</v>
      </c>
    </row>
    <row r="11794" spans="1:5" x14ac:dyDescent="0.55000000000000004">
      <c r="A11794" t="s">
        <v>11875</v>
      </c>
      <c r="B11794" t="s">
        <v>140</v>
      </c>
      <c r="C11794" s="2">
        <v>44454</v>
      </c>
      <c r="D11794" t="s">
        <v>26</v>
      </c>
      <c r="E11794">
        <v>2492</v>
      </c>
    </row>
    <row r="11795" spans="1:5" x14ac:dyDescent="0.55000000000000004">
      <c r="A11795" t="s">
        <v>11876</v>
      </c>
      <c r="B11795" t="s">
        <v>99</v>
      </c>
      <c r="C11795" s="2">
        <v>44294</v>
      </c>
      <c r="D11795" t="s">
        <v>26</v>
      </c>
      <c r="E11795">
        <v>277</v>
      </c>
    </row>
    <row r="11796" spans="1:5" x14ac:dyDescent="0.55000000000000004">
      <c r="A11796" t="s">
        <v>11877</v>
      </c>
      <c r="B11796" t="s">
        <v>76</v>
      </c>
      <c r="C11796" s="2">
        <v>44380</v>
      </c>
      <c r="D11796" t="s">
        <v>29</v>
      </c>
      <c r="E11796">
        <v>1777</v>
      </c>
    </row>
    <row r="11797" spans="1:5" x14ac:dyDescent="0.55000000000000004">
      <c r="A11797" t="s">
        <v>11878</v>
      </c>
      <c r="B11797" t="s">
        <v>111</v>
      </c>
      <c r="C11797" s="2">
        <v>44355</v>
      </c>
      <c r="D11797" t="s">
        <v>26</v>
      </c>
      <c r="E11797">
        <v>726</v>
      </c>
    </row>
    <row r="11798" spans="1:5" x14ac:dyDescent="0.55000000000000004">
      <c r="A11798" t="s">
        <v>11879</v>
      </c>
      <c r="B11798" t="s">
        <v>118</v>
      </c>
      <c r="C11798" s="2">
        <v>45452</v>
      </c>
      <c r="D11798" t="s">
        <v>29</v>
      </c>
      <c r="E11798">
        <v>2085</v>
      </c>
    </row>
    <row r="11799" spans="1:5" x14ac:dyDescent="0.55000000000000004">
      <c r="A11799" t="s">
        <v>11880</v>
      </c>
      <c r="B11799" t="s">
        <v>140</v>
      </c>
      <c r="C11799" s="2">
        <v>43022</v>
      </c>
      <c r="D11799" t="s">
        <v>26</v>
      </c>
      <c r="E11799">
        <v>2562</v>
      </c>
    </row>
    <row r="11800" spans="1:5" x14ac:dyDescent="0.55000000000000004">
      <c r="A11800" t="s">
        <v>11881</v>
      </c>
      <c r="B11800" t="s">
        <v>156</v>
      </c>
      <c r="C11800" s="2">
        <v>44445</v>
      </c>
      <c r="D11800" t="s">
        <v>29</v>
      </c>
      <c r="E11800">
        <v>1543</v>
      </c>
    </row>
    <row r="11801" spans="1:5" x14ac:dyDescent="0.55000000000000004">
      <c r="A11801" t="s">
        <v>11882</v>
      </c>
      <c r="B11801" t="s">
        <v>151</v>
      </c>
      <c r="C11801" s="2">
        <v>44326</v>
      </c>
      <c r="D11801" t="s">
        <v>26</v>
      </c>
      <c r="E11801">
        <v>846</v>
      </c>
    </row>
    <row r="11802" spans="1:5" x14ac:dyDescent="0.55000000000000004">
      <c r="A11802" t="s">
        <v>11883</v>
      </c>
      <c r="B11802" t="s">
        <v>118</v>
      </c>
      <c r="C11802" s="2">
        <v>45679</v>
      </c>
      <c r="D11802" t="s">
        <v>26</v>
      </c>
      <c r="E11802">
        <v>1000</v>
      </c>
    </row>
    <row r="11803" spans="1:5" x14ac:dyDescent="0.55000000000000004">
      <c r="A11803" t="s">
        <v>11884</v>
      </c>
      <c r="B11803" t="s">
        <v>156</v>
      </c>
      <c r="C11803" s="2">
        <v>44194</v>
      </c>
      <c r="D11803" t="s">
        <v>29</v>
      </c>
      <c r="E11803">
        <v>566</v>
      </c>
    </row>
    <row r="11804" spans="1:5" x14ac:dyDescent="0.55000000000000004">
      <c r="A11804" t="s">
        <v>11885</v>
      </c>
      <c r="B11804" t="s">
        <v>84</v>
      </c>
      <c r="C11804" s="2">
        <v>44492</v>
      </c>
      <c r="D11804" t="s">
        <v>29</v>
      </c>
      <c r="E11804">
        <v>1851</v>
      </c>
    </row>
    <row r="11805" spans="1:5" x14ac:dyDescent="0.55000000000000004">
      <c r="A11805" t="s">
        <v>11886</v>
      </c>
      <c r="B11805" t="s">
        <v>142</v>
      </c>
      <c r="C11805" s="2">
        <v>43611</v>
      </c>
      <c r="D11805" t="s">
        <v>26</v>
      </c>
      <c r="E11805">
        <v>1297</v>
      </c>
    </row>
    <row r="11806" spans="1:5" x14ac:dyDescent="0.55000000000000004">
      <c r="A11806" t="s">
        <v>11887</v>
      </c>
      <c r="B11806" t="s">
        <v>76</v>
      </c>
      <c r="C11806" s="2">
        <v>44847</v>
      </c>
      <c r="D11806" t="s">
        <v>29</v>
      </c>
      <c r="E11806">
        <v>2172</v>
      </c>
    </row>
    <row r="11807" spans="1:5" x14ac:dyDescent="0.55000000000000004">
      <c r="A11807" t="s">
        <v>11888</v>
      </c>
      <c r="B11807" t="s">
        <v>35</v>
      </c>
      <c r="C11807" s="2">
        <v>44104</v>
      </c>
      <c r="D11807" t="s">
        <v>29</v>
      </c>
      <c r="E11807">
        <v>787</v>
      </c>
    </row>
    <row r="11808" spans="1:5" x14ac:dyDescent="0.55000000000000004">
      <c r="A11808" t="s">
        <v>11889</v>
      </c>
      <c r="B11808" t="s">
        <v>99</v>
      </c>
      <c r="C11808" s="2">
        <v>45693</v>
      </c>
      <c r="D11808" t="s">
        <v>26</v>
      </c>
      <c r="E11808">
        <v>2620</v>
      </c>
    </row>
    <row r="11809" spans="1:5" x14ac:dyDescent="0.55000000000000004">
      <c r="A11809" t="s">
        <v>11890</v>
      </c>
      <c r="B11809" t="s">
        <v>151</v>
      </c>
      <c r="C11809" s="2">
        <v>43257</v>
      </c>
      <c r="D11809" t="s">
        <v>29</v>
      </c>
      <c r="E11809">
        <v>2773</v>
      </c>
    </row>
    <row r="11810" spans="1:5" x14ac:dyDescent="0.55000000000000004">
      <c r="A11810" t="s">
        <v>11891</v>
      </c>
      <c r="B11810" t="s">
        <v>78</v>
      </c>
      <c r="C11810" s="2">
        <v>44061</v>
      </c>
      <c r="D11810" t="s">
        <v>29</v>
      </c>
      <c r="E11810">
        <v>363</v>
      </c>
    </row>
    <row r="11811" spans="1:5" x14ac:dyDescent="0.55000000000000004">
      <c r="A11811" t="s">
        <v>11892</v>
      </c>
      <c r="B11811" t="s">
        <v>101</v>
      </c>
      <c r="C11811" s="2">
        <v>43142</v>
      </c>
      <c r="D11811" t="s">
        <v>29</v>
      </c>
      <c r="E11811">
        <v>658</v>
      </c>
    </row>
    <row r="11812" spans="1:5" x14ac:dyDescent="0.55000000000000004">
      <c r="A11812" t="s">
        <v>11893</v>
      </c>
      <c r="B11812" t="s">
        <v>41</v>
      </c>
      <c r="C11812" s="2">
        <v>44878</v>
      </c>
      <c r="D11812" t="s">
        <v>29</v>
      </c>
      <c r="E11812">
        <v>2375</v>
      </c>
    </row>
    <row r="11813" spans="1:5" x14ac:dyDescent="0.55000000000000004">
      <c r="A11813" t="s">
        <v>11894</v>
      </c>
      <c r="B11813" t="s">
        <v>15</v>
      </c>
      <c r="C11813" s="2">
        <v>44423</v>
      </c>
      <c r="D11813" t="s">
        <v>29</v>
      </c>
      <c r="E11813">
        <v>1971</v>
      </c>
    </row>
    <row r="11814" spans="1:5" x14ac:dyDescent="0.55000000000000004">
      <c r="A11814" t="s">
        <v>11895</v>
      </c>
      <c r="B11814" t="s">
        <v>140</v>
      </c>
      <c r="C11814" s="2">
        <v>44398</v>
      </c>
      <c r="D11814" t="s">
        <v>26</v>
      </c>
      <c r="E11814">
        <v>883</v>
      </c>
    </row>
    <row r="11815" spans="1:5" x14ac:dyDescent="0.55000000000000004">
      <c r="A11815" t="s">
        <v>11896</v>
      </c>
      <c r="B11815" t="s">
        <v>35</v>
      </c>
      <c r="C11815" s="2">
        <v>44792</v>
      </c>
      <c r="D11815" t="s">
        <v>26</v>
      </c>
      <c r="E11815">
        <v>856</v>
      </c>
    </row>
    <row r="11816" spans="1:5" x14ac:dyDescent="0.55000000000000004">
      <c r="A11816" t="s">
        <v>11897</v>
      </c>
      <c r="B11816" t="s">
        <v>38</v>
      </c>
      <c r="C11816" s="2">
        <v>44536</v>
      </c>
      <c r="D11816" t="s">
        <v>29</v>
      </c>
      <c r="E11816">
        <v>1923</v>
      </c>
    </row>
    <row r="11817" spans="1:5" x14ac:dyDescent="0.55000000000000004">
      <c r="A11817" t="s">
        <v>11898</v>
      </c>
      <c r="B11817" t="s">
        <v>99</v>
      </c>
      <c r="C11817" s="2">
        <v>45284</v>
      </c>
      <c r="D11817" t="s">
        <v>26</v>
      </c>
      <c r="E11817">
        <v>1692</v>
      </c>
    </row>
    <row r="11818" spans="1:5" x14ac:dyDescent="0.55000000000000004">
      <c r="A11818" t="s">
        <v>11899</v>
      </c>
      <c r="B11818" t="s">
        <v>67</v>
      </c>
      <c r="C11818" s="2">
        <v>43859</v>
      </c>
      <c r="D11818" t="s">
        <v>26</v>
      </c>
      <c r="E11818">
        <v>503</v>
      </c>
    </row>
    <row r="11819" spans="1:5" x14ac:dyDescent="0.55000000000000004">
      <c r="A11819" t="s">
        <v>11900</v>
      </c>
      <c r="B11819" t="s">
        <v>137</v>
      </c>
      <c r="C11819" s="2">
        <v>44100</v>
      </c>
      <c r="D11819" t="s">
        <v>26</v>
      </c>
      <c r="E11819">
        <v>2965</v>
      </c>
    </row>
    <row r="11820" spans="1:5" x14ac:dyDescent="0.55000000000000004">
      <c r="A11820" t="s">
        <v>11901</v>
      </c>
      <c r="B11820" t="s">
        <v>23</v>
      </c>
      <c r="C11820" s="2">
        <v>44405</v>
      </c>
      <c r="D11820" t="s">
        <v>26</v>
      </c>
      <c r="E11820">
        <v>2919</v>
      </c>
    </row>
    <row r="11821" spans="1:5" x14ac:dyDescent="0.55000000000000004">
      <c r="A11821" t="s">
        <v>11902</v>
      </c>
      <c r="B11821" t="s">
        <v>105</v>
      </c>
      <c r="C11821" s="2">
        <v>44354</v>
      </c>
      <c r="D11821" t="s">
        <v>26</v>
      </c>
      <c r="E11821">
        <v>571</v>
      </c>
    </row>
    <row r="11822" spans="1:5" x14ac:dyDescent="0.55000000000000004">
      <c r="A11822" t="s">
        <v>11903</v>
      </c>
      <c r="B11822" t="s">
        <v>67</v>
      </c>
      <c r="C11822" s="2">
        <v>43469</v>
      </c>
      <c r="D11822" t="s">
        <v>29</v>
      </c>
      <c r="E11822">
        <v>759</v>
      </c>
    </row>
    <row r="11823" spans="1:5" x14ac:dyDescent="0.55000000000000004">
      <c r="A11823" t="s">
        <v>11904</v>
      </c>
      <c r="B11823" t="s">
        <v>86</v>
      </c>
      <c r="C11823" s="2">
        <v>43409</v>
      </c>
      <c r="D11823" t="s">
        <v>29</v>
      </c>
      <c r="E11823">
        <v>2999</v>
      </c>
    </row>
    <row r="11824" spans="1:5" x14ac:dyDescent="0.55000000000000004">
      <c r="A11824" t="s">
        <v>11905</v>
      </c>
      <c r="B11824" t="s">
        <v>115</v>
      </c>
      <c r="C11824" s="2">
        <v>43944</v>
      </c>
      <c r="D11824" t="s">
        <v>29</v>
      </c>
      <c r="E11824">
        <v>1124</v>
      </c>
    </row>
    <row r="11825" spans="1:5" x14ac:dyDescent="0.55000000000000004">
      <c r="A11825" t="s">
        <v>11906</v>
      </c>
      <c r="B11825" t="s">
        <v>111</v>
      </c>
      <c r="C11825" s="2">
        <v>43670</v>
      </c>
      <c r="D11825" t="s">
        <v>29</v>
      </c>
      <c r="E11825">
        <v>263</v>
      </c>
    </row>
    <row r="11826" spans="1:5" x14ac:dyDescent="0.55000000000000004">
      <c r="A11826" t="s">
        <v>11907</v>
      </c>
      <c r="B11826" t="s">
        <v>175</v>
      </c>
      <c r="C11826" s="2">
        <v>45674</v>
      </c>
      <c r="D11826" t="s">
        <v>26</v>
      </c>
      <c r="E11826">
        <v>1303</v>
      </c>
    </row>
    <row r="11827" spans="1:5" x14ac:dyDescent="0.55000000000000004">
      <c r="A11827" t="s">
        <v>11908</v>
      </c>
      <c r="B11827" t="s">
        <v>99</v>
      </c>
      <c r="C11827" s="2">
        <v>45636</v>
      </c>
      <c r="D11827" t="s">
        <v>26</v>
      </c>
      <c r="E11827">
        <v>350</v>
      </c>
    </row>
    <row r="11828" spans="1:5" x14ac:dyDescent="0.55000000000000004">
      <c r="A11828" t="s">
        <v>11909</v>
      </c>
      <c r="B11828" t="s">
        <v>84</v>
      </c>
      <c r="C11828" s="2">
        <v>44485</v>
      </c>
      <c r="D11828" t="s">
        <v>26</v>
      </c>
      <c r="E11828">
        <v>209</v>
      </c>
    </row>
    <row r="11829" spans="1:5" x14ac:dyDescent="0.55000000000000004">
      <c r="A11829" t="s">
        <v>11910</v>
      </c>
      <c r="B11829" t="s">
        <v>94</v>
      </c>
      <c r="C11829" s="2">
        <v>44417</v>
      </c>
      <c r="D11829" t="s">
        <v>29</v>
      </c>
      <c r="E11829">
        <v>1647</v>
      </c>
    </row>
    <row r="11830" spans="1:5" x14ac:dyDescent="0.55000000000000004">
      <c r="A11830" t="s">
        <v>11911</v>
      </c>
      <c r="B11830" t="s">
        <v>63</v>
      </c>
      <c r="C11830" s="2">
        <v>42974</v>
      </c>
      <c r="D11830" t="s">
        <v>26</v>
      </c>
      <c r="E11830">
        <v>649</v>
      </c>
    </row>
    <row r="11831" spans="1:5" x14ac:dyDescent="0.55000000000000004">
      <c r="A11831" t="s">
        <v>11912</v>
      </c>
      <c r="B11831" t="s">
        <v>67</v>
      </c>
      <c r="C11831" s="2">
        <v>44083</v>
      </c>
      <c r="D11831" t="s">
        <v>29</v>
      </c>
      <c r="E11831">
        <v>1944</v>
      </c>
    </row>
    <row r="11832" spans="1:5" x14ac:dyDescent="0.55000000000000004">
      <c r="A11832" t="s">
        <v>11913</v>
      </c>
      <c r="B11832" t="s">
        <v>151</v>
      </c>
      <c r="C11832" s="2">
        <v>43585</v>
      </c>
      <c r="D11832" t="s">
        <v>29</v>
      </c>
      <c r="E11832">
        <v>2508</v>
      </c>
    </row>
    <row r="11833" spans="1:5" x14ac:dyDescent="0.55000000000000004">
      <c r="A11833" t="s">
        <v>11914</v>
      </c>
      <c r="B11833" t="s">
        <v>14</v>
      </c>
      <c r="C11833" s="2">
        <v>43548</v>
      </c>
      <c r="D11833" t="s">
        <v>29</v>
      </c>
      <c r="E11833">
        <v>2373</v>
      </c>
    </row>
    <row r="11834" spans="1:5" x14ac:dyDescent="0.55000000000000004">
      <c r="A11834" t="s">
        <v>11915</v>
      </c>
      <c r="B11834" t="s">
        <v>175</v>
      </c>
      <c r="C11834" s="2">
        <v>45705</v>
      </c>
      <c r="D11834" t="s">
        <v>29</v>
      </c>
      <c r="E11834">
        <v>1475</v>
      </c>
    </row>
    <row r="11835" spans="1:5" x14ac:dyDescent="0.55000000000000004">
      <c r="A11835" t="s">
        <v>11916</v>
      </c>
      <c r="B11835" t="s">
        <v>15</v>
      </c>
      <c r="C11835" s="2">
        <v>43122</v>
      </c>
      <c r="D11835" t="s">
        <v>29</v>
      </c>
      <c r="E11835">
        <v>2063</v>
      </c>
    </row>
    <row r="11836" spans="1:5" x14ac:dyDescent="0.55000000000000004">
      <c r="A11836" t="s">
        <v>11917</v>
      </c>
      <c r="B11836" t="s">
        <v>23</v>
      </c>
      <c r="C11836" s="2">
        <v>44725</v>
      </c>
      <c r="D11836" t="s">
        <v>26</v>
      </c>
      <c r="E11836">
        <v>378</v>
      </c>
    </row>
    <row r="11837" spans="1:5" x14ac:dyDescent="0.55000000000000004">
      <c r="A11837" t="s">
        <v>11918</v>
      </c>
      <c r="B11837" t="s">
        <v>151</v>
      </c>
      <c r="C11837" s="2">
        <v>43219</v>
      </c>
      <c r="D11837" t="s">
        <v>29</v>
      </c>
      <c r="E11837">
        <v>244</v>
      </c>
    </row>
    <row r="11838" spans="1:5" x14ac:dyDescent="0.55000000000000004">
      <c r="A11838" t="s">
        <v>11919</v>
      </c>
      <c r="B11838" t="s">
        <v>67</v>
      </c>
      <c r="C11838" s="2">
        <v>45177</v>
      </c>
      <c r="D11838" t="s">
        <v>26</v>
      </c>
      <c r="E11838">
        <v>2211</v>
      </c>
    </row>
    <row r="11839" spans="1:5" x14ac:dyDescent="0.55000000000000004">
      <c r="A11839" t="s">
        <v>11920</v>
      </c>
      <c r="B11839" t="s">
        <v>140</v>
      </c>
      <c r="C11839" s="2">
        <v>44015</v>
      </c>
      <c r="D11839" t="s">
        <v>29</v>
      </c>
      <c r="E11839">
        <v>1580</v>
      </c>
    </row>
    <row r="11840" spans="1:5" x14ac:dyDescent="0.55000000000000004">
      <c r="A11840" t="s">
        <v>11921</v>
      </c>
      <c r="B11840" t="s">
        <v>156</v>
      </c>
      <c r="C11840" s="2">
        <v>44197</v>
      </c>
      <c r="D11840" t="s">
        <v>26</v>
      </c>
      <c r="E11840">
        <v>1220</v>
      </c>
    </row>
    <row r="11841" spans="1:5" x14ac:dyDescent="0.55000000000000004">
      <c r="A11841" t="s">
        <v>11922</v>
      </c>
      <c r="B11841" t="s">
        <v>15</v>
      </c>
      <c r="C11841" s="2">
        <v>43708</v>
      </c>
      <c r="D11841" t="s">
        <v>26</v>
      </c>
      <c r="E11841">
        <v>2806</v>
      </c>
    </row>
    <row r="11842" spans="1:5" x14ac:dyDescent="0.55000000000000004">
      <c r="A11842" t="s">
        <v>11923</v>
      </c>
      <c r="B11842" t="s">
        <v>38</v>
      </c>
      <c r="C11842" s="2">
        <v>44903</v>
      </c>
      <c r="D11842" t="s">
        <v>26</v>
      </c>
      <c r="E11842">
        <v>863</v>
      </c>
    </row>
    <row r="11843" spans="1:5" x14ac:dyDescent="0.55000000000000004">
      <c r="A11843" t="s">
        <v>11924</v>
      </c>
      <c r="B11843" t="s">
        <v>14</v>
      </c>
      <c r="C11843" s="2">
        <v>44097</v>
      </c>
      <c r="D11843" t="s">
        <v>26</v>
      </c>
      <c r="E11843">
        <v>1480</v>
      </c>
    </row>
    <row r="11844" spans="1:5" x14ac:dyDescent="0.55000000000000004">
      <c r="A11844" t="s">
        <v>11925</v>
      </c>
      <c r="B11844" t="s">
        <v>99</v>
      </c>
      <c r="C11844" s="2">
        <v>45265</v>
      </c>
      <c r="D11844" t="s">
        <v>26</v>
      </c>
      <c r="E11844">
        <v>2132</v>
      </c>
    </row>
    <row r="11845" spans="1:5" x14ac:dyDescent="0.55000000000000004">
      <c r="A11845" t="s">
        <v>11926</v>
      </c>
      <c r="B11845" t="s">
        <v>32</v>
      </c>
      <c r="C11845" s="2">
        <v>44423</v>
      </c>
      <c r="D11845" t="s">
        <v>29</v>
      </c>
      <c r="E11845">
        <v>1912</v>
      </c>
    </row>
    <row r="11846" spans="1:5" x14ac:dyDescent="0.55000000000000004">
      <c r="A11846" t="s">
        <v>11927</v>
      </c>
      <c r="B11846" t="s">
        <v>94</v>
      </c>
      <c r="C11846" s="2">
        <v>44340</v>
      </c>
      <c r="D11846" t="s">
        <v>29</v>
      </c>
      <c r="E11846">
        <v>857</v>
      </c>
    </row>
    <row r="11847" spans="1:5" x14ac:dyDescent="0.55000000000000004">
      <c r="A11847" t="s">
        <v>11928</v>
      </c>
      <c r="B11847" t="s">
        <v>74</v>
      </c>
      <c r="C11847" s="2">
        <v>43729</v>
      </c>
      <c r="D11847" t="s">
        <v>26</v>
      </c>
      <c r="E11847">
        <v>999</v>
      </c>
    </row>
    <row r="11848" spans="1:5" x14ac:dyDescent="0.55000000000000004">
      <c r="A11848" t="s">
        <v>11929</v>
      </c>
      <c r="B11848" t="s">
        <v>14</v>
      </c>
      <c r="C11848" s="2">
        <v>44051</v>
      </c>
      <c r="D11848" t="s">
        <v>29</v>
      </c>
      <c r="E11848">
        <v>1586</v>
      </c>
    </row>
    <row r="11849" spans="1:5" x14ac:dyDescent="0.55000000000000004">
      <c r="A11849" t="s">
        <v>11930</v>
      </c>
      <c r="B11849" t="s">
        <v>142</v>
      </c>
      <c r="C11849" s="2">
        <v>43128</v>
      </c>
      <c r="D11849" t="s">
        <v>29</v>
      </c>
      <c r="E11849">
        <v>645</v>
      </c>
    </row>
    <row r="11850" spans="1:5" x14ac:dyDescent="0.55000000000000004">
      <c r="A11850" t="s">
        <v>11931</v>
      </c>
      <c r="B11850" t="s">
        <v>78</v>
      </c>
      <c r="C11850" s="2">
        <v>45080</v>
      </c>
      <c r="D11850" t="s">
        <v>26</v>
      </c>
      <c r="E11850">
        <v>2105</v>
      </c>
    </row>
    <row r="11851" spans="1:5" x14ac:dyDescent="0.55000000000000004">
      <c r="A11851" t="s">
        <v>11932</v>
      </c>
      <c r="B11851" t="s">
        <v>118</v>
      </c>
      <c r="C11851" s="2">
        <v>43524</v>
      </c>
      <c r="D11851" t="s">
        <v>26</v>
      </c>
      <c r="E11851">
        <v>849</v>
      </c>
    </row>
    <row r="11852" spans="1:5" x14ac:dyDescent="0.55000000000000004">
      <c r="A11852" t="s">
        <v>11933</v>
      </c>
      <c r="B11852" t="s">
        <v>41</v>
      </c>
      <c r="C11852" s="2">
        <v>44660</v>
      </c>
      <c r="D11852" t="s">
        <v>29</v>
      </c>
      <c r="E11852">
        <v>2493</v>
      </c>
    </row>
    <row r="11853" spans="1:5" x14ac:dyDescent="0.55000000000000004">
      <c r="A11853" t="s">
        <v>11934</v>
      </c>
      <c r="B11853" t="s">
        <v>142</v>
      </c>
      <c r="C11853" s="2">
        <v>43972</v>
      </c>
      <c r="D11853" t="s">
        <v>29</v>
      </c>
      <c r="E11853">
        <v>2734</v>
      </c>
    </row>
    <row r="11854" spans="1:5" x14ac:dyDescent="0.55000000000000004">
      <c r="A11854" t="s">
        <v>11935</v>
      </c>
      <c r="B11854" t="s">
        <v>96</v>
      </c>
      <c r="C11854" s="2">
        <v>44618</v>
      </c>
      <c r="D11854" t="s">
        <v>26</v>
      </c>
      <c r="E11854">
        <v>2587</v>
      </c>
    </row>
    <row r="11855" spans="1:5" x14ac:dyDescent="0.55000000000000004">
      <c r="A11855" t="s">
        <v>11936</v>
      </c>
      <c r="B11855" t="s">
        <v>74</v>
      </c>
      <c r="C11855" s="2">
        <v>43804</v>
      </c>
      <c r="D11855" t="s">
        <v>26</v>
      </c>
      <c r="E11855">
        <v>1040</v>
      </c>
    </row>
    <row r="11856" spans="1:5" x14ac:dyDescent="0.55000000000000004">
      <c r="A11856" t="s">
        <v>11937</v>
      </c>
      <c r="B11856" t="s">
        <v>76</v>
      </c>
      <c r="C11856" s="2">
        <v>44377</v>
      </c>
      <c r="D11856" t="s">
        <v>26</v>
      </c>
      <c r="E11856">
        <v>936</v>
      </c>
    </row>
    <row r="11857" spans="1:5" x14ac:dyDescent="0.55000000000000004">
      <c r="A11857" t="s">
        <v>11938</v>
      </c>
      <c r="B11857" t="s">
        <v>115</v>
      </c>
      <c r="C11857" s="2">
        <v>43042</v>
      </c>
      <c r="D11857" t="s">
        <v>26</v>
      </c>
      <c r="E11857">
        <v>1590</v>
      </c>
    </row>
    <row r="11858" spans="1:5" x14ac:dyDescent="0.55000000000000004">
      <c r="A11858" t="s">
        <v>11939</v>
      </c>
      <c r="B11858" t="s">
        <v>140</v>
      </c>
      <c r="C11858" s="2">
        <v>43398</v>
      </c>
      <c r="D11858" t="s">
        <v>29</v>
      </c>
      <c r="E11858">
        <v>1767</v>
      </c>
    </row>
    <row r="11859" spans="1:5" x14ac:dyDescent="0.55000000000000004">
      <c r="A11859" t="s">
        <v>11940</v>
      </c>
      <c r="B11859" t="s">
        <v>105</v>
      </c>
      <c r="C11859" s="2">
        <v>44456</v>
      </c>
      <c r="D11859" t="s">
        <v>26</v>
      </c>
      <c r="E11859">
        <v>2146</v>
      </c>
    </row>
    <row r="11860" spans="1:5" x14ac:dyDescent="0.55000000000000004">
      <c r="A11860" t="s">
        <v>11941</v>
      </c>
      <c r="B11860" t="s">
        <v>84</v>
      </c>
      <c r="C11860" s="2">
        <v>43660</v>
      </c>
      <c r="D11860" t="s">
        <v>29</v>
      </c>
      <c r="E11860">
        <v>1253</v>
      </c>
    </row>
    <row r="11861" spans="1:5" x14ac:dyDescent="0.55000000000000004">
      <c r="A11861" t="s">
        <v>11942</v>
      </c>
      <c r="B11861" t="s">
        <v>74</v>
      </c>
      <c r="C11861" s="2">
        <v>43511</v>
      </c>
      <c r="D11861" t="s">
        <v>26</v>
      </c>
      <c r="E11861">
        <v>2184</v>
      </c>
    </row>
    <row r="11862" spans="1:5" x14ac:dyDescent="0.55000000000000004">
      <c r="A11862" t="s">
        <v>11943</v>
      </c>
      <c r="B11862" t="s">
        <v>35</v>
      </c>
      <c r="C11862" s="2">
        <v>44509</v>
      </c>
      <c r="D11862" t="s">
        <v>29</v>
      </c>
      <c r="E11862">
        <v>2520</v>
      </c>
    </row>
    <row r="11863" spans="1:5" x14ac:dyDescent="0.55000000000000004">
      <c r="A11863" t="s">
        <v>11944</v>
      </c>
      <c r="B11863" t="s">
        <v>76</v>
      </c>
      <c r="C11863" s="2">
        <v>45015</v>
      </c>
      <c r="D11863" t="s">
        <v>26</v>
      </c>
      <c r="E11863">
        <v>666</v>
      </c>
    </row>
    <row r="11864" spans="1:5" x14ac:dyDescent="0.55000000000000004">
      <c r="A11864" t="s">
        <v>11945</v>
      </c>
      <c r="B11864" t="s">
        <v>94</v>
      </c>
      <c r="C11864" s="2">
        <v>45820</v>
      </c>
      <c r="D11864" t="s">
        <v>29</v>
      </c>
      <c r="E11864">
        <v>311</v>
      </c>
    </row>
    <row r="11865" spans="1:5" x14ac:dyDescent="0.55000000000000004">
      <c r="A11865" t="s">
        <v>11946</v>
      </c>
      <c r="B11865" t="s">
        <v>118</v>
      </c>
      <c r="C11865" s="2">
        <v>43892</v>
      </c>
      <c r="D11865" t="s">
        <v>26</v>
      </c>
      <c r="E11865">
        <v>2094</v>
      </c>
    </row>
    <row r="11866" spans="1:5" x14ac:dyDescent="0.55000000000000004">
      <c r="A11866" t="s">
        <v>11947</v>
      </c>
      <c r="B11866" t="s">
        <v>156</v>
      </c>
      <c r="C11866" s="2">
        <v>43996</v>
      </c>
      <c r="D11866" t="s">
        <v>29</v>
      </c>
      <c r="E11866">
        <v>326</v>
      </c>
    </row>
    <row r="11867" spans="1:5" x14ac:dyDescent="0.55000000000000004">
      <c r="A11867" t="s">
        <v>11948</v>
      </c>
      <c r="B11867" t="s">
        <v>142</v>
      </c>
      <c r="C11867" s="2">
        <v>43700</v>
      </c>
      <c r="D11867" t="s">
        <v>29</v>
      </c>
      <c r="E11867">
        <v>179</v>
      </c>
    </row>
    <row r="11868" spans="1:5" x14ac:dyDescent="0.55000000000000004">
      <c r="A11868" t="s">
        <v>11949</v>
      </c>
      <c r="B11868" t="s">
        <v>78</v>
      </c>
      <c r="C11868" s="2">
        <v>43712</v>
      </c>
      <c r="D11868" t="s">
        <v>26</v>
      </c>
      <c r="E11868">
        <v>1595</v>
      </c>
    </row>
    <row r="11869" spans="1:5" x14ac:dyDescent="0.55000000000000004">
      <c r="A11869" t="s">
        <v>11950</v>
      </c>
      <c r="B11869" t="s">
        <v>94</v>
      </c>
      <c r="C11869" s="2">
        <v>43491</v>
      </c>
      <c r="D11869" t="s">
        <v>29</v>
      </c>
      <c r="E11869">
        <v>1715</v>
      </c>
    </row>
    <row r="11870" spans="1:5" x14ac:dyDescent="0.55000000000000004">
      <c r="A11870" t="s">
        <v>11951</v>
      </c>
      <c r="B11870" t="s">
        <v>23</v>
      </c>
      <c r="C11870" s="2">
        <v>43867</v>
      </c>
      <c r="D11870" t="s">
        <v>26</v>
      </c>
      <c r="E11870">
        <v>1811</v>
      </c>
    </row>
    <row r="11871" spans="1:5" x14ac:dyDescent="0.55000000000000004">
      <c r="A11871" t="s">
        <v>11952</v>
      </c>
      <c r="B11871" t="s">
        <v>84</v>
      </c>
      <c r="C11871" s="2">
        <v>44171</v>
      </c>
      <c r="D11871" t="s">
        <v>29</v>
      </c>
      <c r="E11871">
        <v>816</v>
      </c>
    </row>
    <row r="11872" spans="1:5" x14ac:dyDescent="0.55000000000000004">
      <c r="A11872" t="s">
        <v>11953</v>
      </c>
      <c r="B11872" t="s">
        <v>67</v>
      </c>
      <c r="C11872" s="2">
        <v>43899</v>
      </c>
      <c r="D11872" t="s">
        <v>29</v>
      </c>
      <c r="E11872">
        <v>549</v>
      </c>
    </row>
    <row r="11873" spans="1:5" x14ac:dyDescent="0.55000000000000004">
      <c r="A11873" t="s">
        <v>11954</v>
      </c>
      <c r="B11873" t="s">
        <v>94</v>
      </c>
      <c r="C11873" s="2">
        <v>44745</v>
      </c>
      <c r="D11873" t="s">
        <v>29</v>
      </c>
      <c r="E11873">
        <v>297</v>
      </c>
    </row>
    <row r="11874" spans="1:5" x14ac:dyDescent="0.55000000000000004">
      <c r="A11874" t="s">
        <v>11955</v>
      </c>
      <c r="B11874" t="s">
        <v>14</v>
      </c>
      <c r="C11874" s="2">
        <v>43769</v>
      </c>
      <c r="D11874" t="s">
        <v>29</v>
      </c>
      <c r="E11874">
        <v>2566</v>
      </c>
    </row>
    <row r="11875" spans="1:5" x14ac:dyDescent="0.55000000000000004">
      <c r="A11875" t="s">
        <v>11956</v>
      </c>
      <c r="B11875" t="s">
        <v>96</v>
      </c>
      <c r="C11875" s="2">
        <v>45701</v>
      </c>
      <c r="D11875" t="s">
        <v>29</v>
      </c>
      <c r="E11875">
        <v>1308</v>
      </c>
    </row>
    <row r="11876" spans="1:5" x14ac:dyDescent="0.55000000000000004">
      <c r="A11876" t="s">
        <v>11957</v>
      </c>
      <c r="B11876" t="s">
        <v>96</v>
      </c>
      <c r="C11876" s="2">
        <v>44370</v>
      </c>
      <c r="D11876" t="s">
        <v>26</v>
      </c>
      <c r="E11876">
        <v>311</v>
      </c>
    </row>
    <row r="11877" spans="1:5" x14ac:dyDescent="0.55000000000000004">
      <c r="A11877" t="s">
        <v>11958</v>
      </c>
      <c r="B11877" t="s">
        <v>140</v>
      </c>
      <c r="C11877" s="2">
        <v>43632</v>
      </c>
      <c r="D11877" t="s">
        <v>26</v>
      </c>
      <c r="E11877">
        <v>727</v>
      </c>
    </row>
    <row r="11878" spans="1:5" x14ac:dyDescent="0.55000000000000004">
      <c r="A11878" t="s">
        <v>11959</v>
      </c>
      <c r="B11878" t="s">
        <v>38</v>
      </c>
      <c r="C11878" s="2">
        <v>44391</v>
      </c>
      <c r="D11878" t="s">
        <v>26</v>
      </c>
      <c r="E11878">
        <v>866</v>
      </c>
    </row>
    <row r="11879" spans="1:5" x14ac:dyDescent="0.55000000000000004">
      <c r="A11879" t="s">
        <v>11960</v>
      </c>
      <c r="B11879" t="s">
        <v>118</v>
      </c>
      <c r="C11879" s="2">
        <v>45615</v>
      </c>
      <c r="D11879" t="s">
        <v>26</v>
      </c>
      <c r="E11879">
        <v>1419</v>
      </c>
    </row>
    <row r="11880" spans="1:5" x14ac:dyDescent="0.55000000000000004">
      <c r="A11880" t="s">
        <v>11961</v>
      </c>
      <c r="B11880" t="s">
        <v>84</v>
      </c>
      <c r="C11880" s="2">
        <v>44437</v>
      </c>
      <c r="D11880" t="s">
        <v>29</v>
      </c>
      <c r="E11880">
        <v>57</v>
      </c>
    </row>
    <row r="11881" spans="1:5" x14ac:dyDescent="0.55000000000000004">
      <c r="A11881" t="s">
        <v>11962</v>
      </c>
      <c r="B11881" t="s">
        <v>15</v>
      </c>
      <c r="C11881" s="2">
        <v>43073</v>
      </c>
      <c r="D11881" t="s">
        <v>26</v>
      </c>
      <c r="E11881">
        <v>2630</v>
      </c>
    </row>
    <row r="11882" spans="1:5" x14ac:dyDescent="0.55000000000000004">
      <c r="A11882" t="s">
        <v>11963</v>
      </c>
      <c r="B11882" t="s">
        <v>14</v>
      </c>
      <c r="C11882" s="2">
        <v>44324</v>
      </c>
      <c r="D11882" t="s">
        <v>29</v>
      </c>
      <c r="E11882">
        <v>702</v>
      </c>
    </row>
    <row r="11883" spans="1:5" x14ac:dyDescent="0.55000000000000004">
      <c r="A11883" t="s">
        <v>11964</v>
      </c>
      <c r="B11883" t="s">
        <v>32</v>
      </c>
      <c r="C11883" s="2">
        <v>44887</v>
      </c>
      <c r="D11883" t="s">
        <v>29</v>
      </c>
      <c r="E11883">
        <v>98</v>
      </c>
    </row>
    <row r="11884" spans="1:5" x14ac:dyDescent="0.55000000000000004">
      <c r="A11884" t="s">
        <v>11965</v>
      </c>
      <c r="B11884" t="s">
        <v>105</v>
      </c>
      <c r="C11884" s="2">
        <v>43416</v>
      </c>
      <c r="D11884" t="s">
        <v>26</v>
      </c>
      <c r="E11884">
        <v>1417</v>
      </c>
    </row>
    <row r="11885" spans="1:5" x14ac:dyDescent="0.55000000000000004">
      <c r="A11885" t="s">
        <v>11966</v>
      </c>
      <c r="B11885" t="s">
        <v>35</v>
      </c>
      <c r="C11885" s="2">
        <v>43893</v>
      </c>
      <c r="D11885" t="s">
        <v>29</v>
      </c>
      <c r="E11885">
        <v>1776</v>
      </c>
    </row>
    <row r="11886" spans="1:5" x14ac:dyDescent="0.55000000000000004">
      <c r="A11886" t="s">
        <v>11967</v>
      </c>
      <c r="B11886" t="s">
        <v>15</v>
      </c>
      <c r="C11886" s="2">
        <v>43110</v>
      </c>
      <c r="D11886" t="s">
        <v>29</v>
      </c>
      <c r="E11886">
        <v>2215</v>
      </c>
    </row>
    <row r="11887" spans="1:5" x14ac:dyDescent="0.55000000000000004">
      <c r="A11887" t="s">
        <v>11968</v>
      </c>
      <c r="B11887" t="s">
        <v>111</v>
      </c>
      <c r="C11887" s="2">
        <v>43396</v>
      </c>
      <c r="D11887" t="s">
        <v>26</v>
      </c>
      <c r="E11887">
        <v>2691</v>
      </c>
    </row>
    <row r="11888" spans="1:5" x14ac:dyDescent="0.55000000000000004">
      <c r="A11888" t="s">
        <v>11969</v>
      </c>
      <c r="B11888" t="s">
        <v>151</v>
      </c>
      <c r="C11888" s="2">
        <v>44506</v>
      </c>
      <c r="D11888" t="s">
        <v>26</v>
      </c>
      <c r="E11888">
        <v>2046</v>
      </c>
    </row>
    <row r="11889" spans="1:5" x14ac:dyDescent="0.55000000000000004">
      <c r="A11889" t="s">
        <v>11970</v>
      </c>
      <c r="B11889" t="s">
        <v>118</v>
      </c>
      <c r="C11889" s="2">
        <v>43796</v>
      </c>
      <c r="D11889" t="s">
        <v>29</v>
      </c>
      <c r="E11889">
        <v>1864</v>
      </c>
    </row>
    <row r="11890" spans="1:5" x14ac:dyDescent="0.55000000000000004">
      <c r="A11890" t="s">
        <v>11971</v>
      </c>
      <c r="B11890" t="s">
        <v>23</v>
      </c>
      <c r="C11890" s="2">
        <v>44479</v>
      </c>
      <c r="D11890" t="s">
        <v>29</v>
      </c>
      <c r="E11890">
        <v>1046</v>
      </c>
    </row>
    <row r="11891" spans="1:5" x14ac:dyDescent="0.55000000000000004">
      <c r="A11891" t="s">
        <v>11972</v>
      </c>
      <c r="B11891" t="s">
        <v>78</v>
      </c>
      <c r="C11891" s="2">
        <v>43736</v>
      </c>
      <c r="D11891" t="s">
        <v>26</v>
      </c>
      <c r="E11891">
        <v>2305</v>
      </c>
    </row>
    <row r="11892" spans="1:5" x14ac:dyDescent="0.55000000000000004">
      <c r="A11892" t="s">
        <v>11973</v>
      </c>
      <c r="B11892" t="s">
        <v>137</v>
      </c>
      <c r="C11892" s="2">
        <v>45728</v>
      </c>
      <c r="D11892" t="s">
        <v>26</v>
      </c>
      <c r="E11892">
        <v>1198</v>
      </c>
    </row>
    <row r="11893" spans="1:5" x14ac:dyDescent="0.55000000000000004">
      <c r="A11893" t="s">
        <v>11974</v>
      </c>
      <c r="B11893" t="s">
        <v>118</v>
      </c>
      <c r="C11893" s="2">
        <v>45837</v>
      </c>
      <c r="D11893" t="s">
        <v>26</v>
      </c>
      <c r="E11893">
        <v>641</v>
      </c>
    </row>
    <row r="11894" spans="1:5" x14ac:dyDescent="0.55000000000000004">
      <c r="A11894" t="s">
        <v>11975</v>
      </c>
      <c r="B11894" t="s">
        <v>14</v>
      </c>
      <c r="C11894" s="2">
        <v>44520</v>
      </c>
      <c r="D11894" t="s">
        <v>26</v>
      </c>
      <c r="E11894">
        <v>2079</v>
      </c>
    </row>
    <row r="11895" spans="1:5" x14ac:dyDescent="0.55000000000000004">
      <c r="A11895" t="s">
        <v>11976</v>
      </c>
      <c r="B11895" t="s">
        <v>38</v>
      </c>
      <c r="C11895" s="2">
        <v>43978</v>
      </c>
      <c r="D11895" t="s">
        <v>29</v>
      </c>
      <c r="E11895">
        <v>2677</v>
      </c>
    </row>
    <row r="11896" spans="1:5" x14ac:dyDescent="0.55000000000000004">
      <c r="A11896" t="s">
        <v>11977</v>
      </c>
      <c r="B11896" t="s">
        <v>105</v>
      </c>
      <c r="C11896" s="2">
        <v>43014</v>
      </c>
      <c r="D11896" t="s">
        <v>29</v>
      </c>
      <c r="E11896">
        <v>568</v>
      </c>
    </row>
    <row r="11897" spans="1:5" x14ac:dyDescent="0.55000000000000004">
      <c r="A11897" t="s">
        <v>11978</v>
      </c>
      <c r="B11897" t="s">
        <v>115</v>
      </c>
      <c r="C11897" s="2">
        <v>43819</v>
      </c>
      <c r="D11897" t="s">
        <v>29</v>
      </c>
      <c r="E11897">
        <v>2242</v>
      </c>
    </row>
    <row r="11898" spans="1:5" x14ac:dyDescent="0.55000000000000004">
      <c r="A11898" t="s">
        <v>11979</v>
      </c>
      <c r="B11898" t="s">
        <v>14</v>
      </c>
      <c r="C11898" s="2">
        <v>43163</v>
      </c>
      <c r="D11898" t="s">
        <v>26</v>
      </c>
      <c r="E11898">
        <v>1708</v>
      </c>
    </row>
    <row r="11899" spans="1:5" x14ac:dyDescent="0.55000000000000004">
      <c r="A11899" t="s">
        <v>11980</v>
      </c>
      <c r="B11899" t="s">
        <v>32</v>
      </c>
      <c r="C11899" s="2">
        <v>44711</v>
      </c>
      <c r="D11899" t="s">
        <v>26</v>
      </c>
      <c r="E11899">
        <v>1368</v>
      </c>
    </row>
    <row r="11900" spans="1:5" x14ac:dyDescent="0.55000000000000004">
      <c r="A11900" t="s">
        <v>11981</v>
      </c>
      <c r="B11900" t="s">
        <v>142</v>
      </c>
      <c r="C11900" s="2">
        <v>43587</v>
      </c>
      <c r="D11900" t="s">
        <v>26</v>
      </c>
      <c r="E11900">
        <v>1954</v>
      </c>
    </row>
    <row r="11901" spans="1:5" x14ac:dyDescent="0.55000000000000004">
      <c r="A11901" t="s">
        <v>11982</v>
      </c>
      <c r="B11901" t="s">
        <v>78</v>
      </c>
      <c r="C11901" s="2">
        <v>44399</v>
      </c>
      <c r="D11901" t="s">
        <v>26</v>
      </c>
      <c r="E11901">
        <v>1140</v>
      </c>
    </row>
    <row r="11902" spans="1:5" x14ac:dyDescent="0.55000000000000004">
      <c r="A11902" t="s">
        <v>11983</v>
      </c>
      <c r="B11902" t="s">
        <v>78</v>
      </c>
      <c r="C11902" s="2">
        <v>43725</v>
      </c>
      <c r="D11902" t="s">
        <v>26</v>
      </c>
      <c r="E11902">
        <v>2460</v>
      </c>
    </row>
    <row r="11903" spans="1:5" x14ac:dyDescent="0.55000000000000004">
      <c r="A11903" t="s">
        <v>11984</v>
      </c>
      <c r="B11903" t="s">
        <v>156</v>
      </c>
      <c r="C11903" s="2">
        <v>43405</v>
      </c>
      <c r="D11903" t="s">
        <v>26</v>
      </c>
      <c r="E11903">
        <v>1011</v>
      </c>
    </row>
    <row r="11904" spans="1:5" x14ac:dyDescent="0.55000000000000004">
      <c r="A11904" t="s">
        <v>11985</v>
      </c>
      <c r="B11904" t="s">
        <v>175</v>
      </c>
      <c r="C11904" s="2">
        <v>44157</v>
      </c>
      <c r="D11904" t="s">
        <v>29</v>
      </c>
      <c r="E11904">
        <v>187</v>
      </c>
    </row>
    <row r="11905" spans="1:5" x14ac:dyDescent="0.55000000000000004">
      <c r="A11905" t="s">
        <v>11986</v>
      </c>
      <c r="B11905" t="s">
        <v>78</v>
      </c>
      <c r="C11905" s="2">
        <v>44155</v>
      </c>
      <c r="D11905" t="s">
        <v>29</v>
      </c>
      <c r="E11905">
        <v>1026</v>
      </c>
    </row>
    <row r="11906" spans="1:5" x14ac:dyDescent="0.55000000000000004">
      <c r="A11906" t="s">
        <v>11987</v>
      </c>
      <c r="B11906" t="s">
        <v>32</v>
      </c>
      <c r="C11906" s="2">
        <v>44644</v>
      </c>
      <c r="D11906" t="s">
        <v>26</v>
      </c>
      <c r="E11906">
        <v>981</v>
      </c>
    </row>
    <row r="11907" spans="1:5" x14ac:dyDescent="0.55000000000000004">
      <c r="A11907" t="s">
        <v>11988</v>
      </c>
      <c r="B11907" t="s">
        <v>99</v>
      </c>
      <c r="C11907" s="2">
        <v>44409</v>
      </c>
      <c r="D11907" t="s">
        <v>29</v>
      </c>
      <c r="E11907">
        <v>1211</v>
      </c>
    </row>
    <row r="11908" spans="1:5" x14ac:dyDescent="0.55000000000000004">
      <c r="A11908" t="s">
        <v>11989</v>
      </c>
      <c r="B11908" t="s">
        <v>142</v>
      </c>
      <c r="C11908" s="2">
        <v>44470</v>
      </c>
      <c r="D11908" t="s">
        <v>26</v>
      </c>
      <c r="E11908">
        <v>1973</v>
      </c>
    </row>
    <row r="11909" spans="1:5" x14ac:dyDescent="0.55000000000000004">
      <c r="A11909" t="s">
        <v>11990</v>
      </c>
      <c r="B11909" t="s">
        <v>35</v>
      </c>
      <c r="C11909" s="2">
        <v>44635</v>
      </c>
      <c r="D11909" t="s">
        <v>29</v>
      </c>
      <c r="E11909">
        <v>1052</v>
      </c>
    </row>
    <row r="11910" spans="1:5" x14ac:dyDescent="0.55000000000000004">
      <c r="A11910" t="s">
        <v>11991</v>
      </c>
      <c r="B11910" t="s">
        <v>151</v>
      </c>
      <c r="C11910" s="2">
        <v>44137</v>
      </c>
      <c r="D11910" t="s">
        <v>29</v>
      </c>
      <c r="E11910">
        <v>632</v>
      </c>
    </row>
    <row r="11911" spans="1:5" x14ac:dyDescent="0.55000000000000004">
      <c r="A11911" t="s">
        <v>11992</v>
      </c>
      <c r="B11911" t="s">
        <v>175</v>
      </c>
      <c r="C11911" s="2">
        <v>45768</v>
      </c>
      <c r="D11911" t="s">
        <v>29</v>
      </c>
      <c r="E11911">
        <v>2148</v>
      </c>
    </row>
    <row r="11912" spans="1:5" x14ac:dyDescent="0.55000000000000004">
      <c r="A11912" t="s">
        <v>11993</v>
      </c>
      <c r="B11912" t="s">
        <v>14</v>
      </c>
      <c r="C11912" s="2">
        <v>43308</v>
      </c>
      <c r="D11912" t="s">
        <v>26</v>
      </c>
      <c r="E11912">
        <v>107</v>
      </c>
    </row>
    <row r="11913" spans="1:5" x14ac:dyDescent="0.55000000000000004">
      <c r="A11913" t="s">
        <v>11994</v>
      </c>
      <c r="B11913" t="s">
        <v>67</v>
      </c>
      <c r="C11913" s="2">
        <v>45148</v>
      </c>
      <c r="D11913" t="s">
        <v>29</v>
      </c>
      <c r="E11913">
        <v>393</v>
      </c>
    </row>
    <row r="11914" spans="1:5" x14ac:dyDescent="0.55000000000000004">
      <c r="A11914" t="s">
        <v>11995</v>
      </c>
      <c r="B11914" t="s">
        <v>156</v>
      </c>
      <c r="C11914" s="2">
        <v>44056</v>
      </c>
      <c r="D11914" t="s">
        <v>29</v>
      </c>
      <c r="E11914">
        <v>2684</v>
      </c>
    </row>
    <row r="11915" spans="1:5" x14ac:dyDescent="0.55000000000000004">
      <c r="A11915" t="s">
        <v>11996</v>
      </c>
      <c r="B11915" t="s">
        <v>63</v>
      </c>
      <c r="C11915" s="2">
        <v>43179</v>
      </c>
      <c r="D11915" t="s">
        <v>26</v>
      </c>
      <c r="E11915">
        <v>2110</v>
      </c>
    </row>
    <row r="11916" spans="1:5" x14ac:dyDescent="0.55000000000000004">
      <c r="A11916" t="s">
        <v>11997</v>
      </c>
      <c r="B11916" t="s">
        <v>111</v>
      </c>
      <c r="C11916" s="2">
        <v>42958</v>
      </c>
      <c r="D11916" t="s">
        <v>29</v>
      </c>
      <c r="E11916">
        <v>234</v>
      </c>
    </row>
    <row r="11917" spans="1:5" x14ac:dyDescent="0.55000000000000004">
      <c r="A11917" t="s">
        <v>11998</v>
      </c>
      <c r="B11917" t="s">
        <v>118</v>
      </c>
      <c r="C11917" s="2">
        <v>44581</v>
      </c>
      <c r="D11917" t="s">
        <v>29</v>
      </c>
      <c r="E11917">
        <v>2706</v>
      </c>
    </row>
    <row r="11918" spans="1:5" x14ac:dyDescent="0.55000000000000004">
      <c r="A11918" t="s">
        <v>11999</v>
      </c>
      <c r="B11918" t="s">
        <v>115</v>
      </c>
      <c r="C11918" s="2">
        <v>43602</v>
      </c>
      <c r="D11918" t="s">
        <v>26</v>
      </c>
      <c r="E11918">
        <v>1290</v>
      </c>
    </row>
    <row r="11919" spans="1:5" x14ac:dyDescent="0.55000000000000004">
      <c r="A11919" t="s">
        <v>12000</v>
      </c>
      <c r="B11919" t="s">
        <v>115</v>
      </c>
      <c r="C11919" s="2">
        <v>44057</v>
      </c>
      <c r="D11919" t="s">
        <v>26</v>
      </c>
      <c r="E11919">
        <v>865</v>
      </c>
    </row>
    <row r="11920" spans="1:5" x14ac:dyDescent="0.55000000000000004">
      <c r="A11920" t="s">
        <v>12001</v>
      </c>
      <c r="B11920" t="s">
        <v>15</v>
      </c>
      <c r="C11920" s="2">
        <v>43916</v>
      </c>
      <c r="D11920" t="s">
        <v>26</v>
      </c>
      <c r="E11920">
        <v>429</v>
      </c>
    </row>
    <row r="11921" spans="1:5" x14ac:dyDescent="0.55000000000000004">
      <c r="A11921" t="s">
        <v>12002</v>
      </c>
      <c r="B11921" t="s">
        <v>142</v>
      </c>
      <c r="C11921" s="2">
        <v>44175</v>
      </c>
      <c r="D11921" t="s">
        <v>26</v>
      </c>
      <c r="E11921">
        <v>1979</v>
      </c>
    </row>
    <row r="11922" spans="1:5" x14ac:dyDescent="0.55000000000000004">
      <c r="A11922" t="s">
        <v>12003</v>
      </c>
      <c r="B11922" t="s">
        <v>84</v>
      </c>
      <c r="C11922" s="2">
        <v>43508</v>
      </c>
      <c r="D11922" t="s">
        <v>29</v>
      </c>
      <c r="E11922">
        <v>1927</v>
      </c>
    </row>
    <row r="11923" spans="1:5" x14ac:dyDescent="0.55000000000000004">
      <c r="A11923" t="s">
        <v>12004</v>
      </c>
      <c r="B11923" t="s">
        <v>23</v>
      </c>
      <c r="C11923" s="2">
        <v>44305</v>
      </c>
      <c r="D11923" t="s">
        <v>26</v>
      </c>
      <c r="E11923">
        <v>2833</v>
      </c>
    </row>
    <row r="11924" spans="1:5" x14ac:dyDescent="0.55000000000000004">
      <c r="A11924" t="s">
        <v>12005</v>
      </c>
      <c r="B11924" t="s">
        <v>74</v>
      </c>
      <c r="C11924" s="2">
        <v>43882</v>
      </c>
      <c r="D11924" t="s">
        <v>26</v>
      </c>
      <c r="E11924">
        <v>1984</v>
      </c>
    </row>
    <row r="11925" spans="1:5" x14ac:dyDescent="0.55000000000000004">
      <c r="A11925" t="s">
        <v>12006</v>
      </c>
      <c r="B11925" t="s">
        <v>84</v>
      </c>
      <c r="C11925" s="2">
        <v>44379</v>
      </c>
      <c r="D11925" t="s">
        <v>26</v>
      </c>
      <c r="E11925">
        <v>121</v>
      </c>
    </row>
    <row r="11926" spans="1:5" x14ac:dyDescent="0.55000000000000004">
      <c r="A11926" t="s">
        <v>12007</v>
      </c>
      <c r="B11926" t="s">
        <v>151</v>
      </c>
      <c r="C11926" s="2">
        <v>44371</v>
      </c>
      <c r="D11926" t="s">
        <v>29</v>
      </c>
      <c r="E11926">
        <v>1460</v>
      </c>
    </row>
    <row r="11927" spans="1:5" x14ac:dyDescent="0.55000000000000004">
      <c r="A11927" t="s">
        <v>12008</v>
      </c>
      <c r="B11927" t="s">
        <v>101</v>
      </c>
      <c r="C11927" s="2">
        <v>43998</v>
      </c>
      <c r="D11927" t="s">
        <v>29</v>
      </c>
      <c r="E11927">
        <v>2170</v>
      </c>
    </row>
    <row r="11928" spans="1:5" x14ac:dyDescent="0.55000000000000004">
      <c r="A11928" t="s">
        <v>12009</v>
      </c>
      <c r="B11928" t="s">
        <v>101</v>
      </c>
      <c r="C11928" s="2">
        <v>43591</v>
      </c>
      <c r="D11928" t="s">
        <v>29</v>
      </c>
      <c r="E11928">
        <v>852</v>
      </c>
    </row>
    <row r="11929" spans="1:5" x14ac:dyDescent="0.55000000000000004">
      <c r="A11929" t="s">
        <v>12010</v>
      </c>
      <c r="B11929" t="s">
        <v>96</v>
      </c>
      <c r="C11929" s="2">
        <v>44669</v>
      </c>
      <c r="D11929" t="s">
        <v>29</v>
      </c>
      <c r="E11929">
        <v>2452</v>
      </c>
    </row>
    <row r="11930" spans="1:5" x14ac:dyDescent="0.55000000000000004">
      <c r="A11930" t="s">
        <v>12011</v>
      </c>
      <c r="B11930" t="s">
        <v>101</v>
      </c>
      <c r="C11930" s="2">
        <v>43746</v>
      </c>
      <c r="D11930" t="s">
        <v>29</v>
      </c>
      <c r="E11930">
        <v>20</v>
      </c>
    </row>
    <row r="11931" spans="1:5" x14ac:dyDescent="0.55000000000000004">
      <c r="A11931" t="s">
        <v>12012</v>
      </c>
      <c r="B11931" t="s">
        <v>15</v>
      </c>
      <c r="C11931" s="2">
        <v>43193</v>
      </c>
      <c r="D11931" t="s">
        <v>26</v>
      </c>
      <c r="E11931">
        <v>1612</v>
      </c>
    </row>
    <row r="11932" spans="1:5" x14ac:dyDescent="0.55000000000000004">
      <c r="A11932" t="s">
        <v>12013</v>
      </c>
      <c r="B11932" t="s">
        <v>101</v>
      </c>
      <c r="C11932" s="2">
        <v>44411</v>
      </c>
      <c r="D11932" t="s">
        <v>26</v>
      </c>
      <c r="E11932">
        <v>1196</v>
      </c>
    </row>
    <row r="11933" spans="1:5" x14ac:dyDescent="0.55000000000000004">
      <c r="A11933" t="s">
        <v>12014</v>
      </c>
      <c r="B11933" t="s">
        <v>76</v>
      </c>
      <c r="C11933" s="2">
        <v>45390</v>
      </c>
      <c r="D11933" t="s">
        <v>29</v>
      </c>
      <c r="E11933">
        <v>424</v>
      </c>
    </row>
    <row r="11934" spans="1:5" x14ac:dyDescent="0.55000000000000004">
      <c r="A11934" t="s">
        <v>12015</v>
      </c>
      <c r="B11934" t="s">
        <v>72</v>
      </c>
      <c r="C11934" s="2">
        <v>42930</v>
      </c>
      <c r="D11934" t="s">
        <v>26</v>
      </c>
      <c r="E11934">
        <v>2225</v>
      </c>
    </row>
    <row r="11935" spans="1:5" x14ac:dyDescent="0.55000000000000004">
      <c r="A11935" t="s">
        <v>12016</v>
      </c>
      <c r="B11935" t="s">
        <v>14</v>
      </c>
      <c r="C11935" s="2">
        <v>43312</v>
      </c>
      <c r="D11935" t="s">
        <v>29</v>
      </c>
      <c r="E11935">
        <v>2116</v>
      </c>
    </row>
    <row r="11936" spans="1:5" x14ac:dyDescent="0.55000000000000004">
      <c r="A11936" t="s">
        <v>12017</v>
      </c>
      <c r="B11936" t="s">
        <v>32</v>
      </c>
      <c r="C11936" s="2">
        <v>44262</v>
      </c>
      <c r="D11936" t="s">
        <v>26</v>
      </c>
      <c r="E11936">
        <v>1456</v>
      </c>
    </row>
    <row r="11937" spans="1:5" x14ac:dyDescent="0.55000000000000004">
      <c r="A11937" t="s">
        <v>12018</v>
      </c>
      <c r="B11937" t="s">
        <v>175</v>
      </c>
      <c r="C11937" s="2">
        <v>44009</v>
      </c>
      <c r="D11937" t="s">
        <v>29</v>
      </c>
      <c r="E11937">
        <v>19</v>
      </c>
    </row>
    <row r="11938" spans="1:5" x14ac:dyDescent="0.55000000000000004">
      <c r="A11938" t="s">
        <v>12019</v>
      </c>
      <c r="B11938" t="s">
        <v>156</v>
      </c>
      <c r="C11938" s="2">
        <v>43359</v>
      </c>
      <c r="D11938" t="s">
        <v>26</v>
      </c>
      <c r="E11938">
        <v>1495</v>
      </c>
    </row>
    <row r="11939" spans="1:5" x14ac:dyDescent="0.55000000000000004">
      <c r="A11939" t="s">
        <v>12020</v>
      </c>
      <c r="B11939" t="s">
        <v>115</v>
      </c>
      <c r="C11939" s="2">
        <v>43740</v>
      </c>
      <c r="D11939" t="s">
        <v>26</v>
      </c>
      <c r="E11939">
        <v>560</v>
      </c>
    </row>
    <row r="11940" spans="1:5" x14ac:dyDescent="0.55000000000000004">
      <c r="A11940" t="s">
        <v>12021</v>
      </c>
      <c r="B11940" t="s">
        <v>101</v>
      </c>
      <c r="C11940" s="2">
        <v>44161</v>
      </c>
      <c r="D11940" t="s">
        <v>29</v>
      </c>
      <c r="E11940">
        <v>1978</v>
      </c>
    </row>
    <row r="11941" spans="1:5" x14ac:dyDescent="0.55000000000000004">
      <c r="A11941" t="s">
        <v>12022</v>
      </c>
      <c r="B11941" t="s">
        <v>15</v>
      </c>
      <c r="C11941" s="2">
        <v>43681</v>
      </c>
      <c r="D11941" t="s">
        <v>26</v>
      </c>
      <c r="E11941">
        <v>2825</v>
      </c>
    </row>
    <row r="11942" spans="1:5" x14ac:dyDescent="0.55000000000000004">
      <c r="A11942" t="s">
        <v>12023</v>
      </c>
      <c r="B11942" t="s">
        <v>140</v>
      </c>
      <c r="C11942" s="2">
        <v>43774</v>
      </c>
      <c r="D11942" t="s">
        <v>29</v>
      </c>
      <c r="E11942">
        <v>2289</v>
      </c>
    </row>
    <row r="11943" spans="1:5" x14ac:dyDescent="0.55000000000000004">
      <c r="A11943" t="s">
        <v>12024</v>
      </c>
      <c r="B11943" t="s">
        <v>142</v>
      </c>
      <c r="C11943" s="2">
        <v>43361</v>
      </c>
      <c r="D11943" t="s">
        <v>26</v>
      </c>
      <c r="E11943">
        <v>1750</v>
      </c>
    </row>
    <row r="11944" spans="1:5" x14ac:dyDescent="0.55000000000000004">
      <c r="A11944" t="s">
        <v>12025</v>
      </c>
      <c r="B11944" t="s">
        <v>151</v>
      </c>
      <c r="C11944" s="2">
        <v>43736</v>
      </c>
      <c r="D11944" t="s">
        <v>29</v>
      </c>
      <c r="E11944">
        <v>2143</v>
      </c>
    </row>
    <row r="11945" spans="1:5" x14ac:dyDescent="0.55000000000000004">
      <c r="A11945" t="s">
        <v>12026</v>
      </c>
      <c r="B11945" t="s">
        <v>74</v>
      </c>
      <c r="C11945" s="2">
        <v>43858</v>
      </c>
      <c r="D11945" t="s">
        <v>29</v>
      </c>
      <c r="E11945">
        <v>612</v>
      </c>
    </row>
    <row r="11946" spans="1:5" x14ac:dyDescent="0.55000000000000004">
      <c r="A11946" t="s">
        <v>12027</v>
      </c>
      <c r="B11946" t="s">
        <v>84</v>
      </c>
      <c r="C11946" s="2">
        <v>44243</v>
      </c>
      <c r="D11946" t="s">
        <v>26</v>
      </c>
      <c r="E11946">
        <v>1017</v>
      </c>
    </row>
    <row r="11947" spans="1:5" x14ac:dyDescent="0.55000000000000004">
      <c r="A11947" t="s">
        <v>12028</v>
      </c>
      <c r="B11947" t="s">
        <v>111</v>
      </c>
      <c r="C11947" s="2">
        <v>43416</v>
      </c>
      <c r="D11947" t="s">
        <v>29</v>
      </c>
      <c r="E11947">
        <v>1578</v>
      </c>
    </row>
    <row r="11948" spans="1:5" x14ac:dyDescent="0.55000000000000004">
      <c r="A11948" t="s">
        <v>12029</v>
      </c>
      <c r="B11948" t="s">
        <v>94</v>
      </c>
      <c r="C11948" s="2">
        <v>44562</v>
      </c>
      <c r="D11948" t="s">
        <v>26</v>
      </c>
      <c r="E11948">
        <v>2497</v>
      </c>
    </row>
    <row r="11949" spans="1:5" x14ac:dyDescent="0.55000000000000004">
      <c r="A11949" t="s">
        <v>12030</v>
      </c>
      <c r="B11949" t="s">
        <v>175</v>
      </c>
      <c r="C11949" s="2">
        <v>45576</v>
      </c>
      <c r="D11949" t="s">
        <v>26</v>
      </c>
      <c r="E11949">
        <v>2511</v>
      </c>
    </row>
    <row r="11950" spans="1:5" x14ac:dyDescent="0.55000000000000004">
      <c r="A11950" t="s">
        <v>12031</v>
      </c>
      <c r="B11950" t="s">
        <v>63</v>
      </c>
      <c r="C11950" s="2">
        <v>42940</v>
      </c>
      <c r="D11950" t="s">
        <v>26</v>
      </c>
      <c r="E11950">
        <v>2556</v>
      </c>
    </row>
    <row r="11951" spans="1:5" x14ac:dyDescent="0.55000000000000004">
      <c r="A11951" t="s">
        <v>12032</v>
      </c>
      <c r="B11951" t="s">
        <v>118</v>
      </c>
      <c r="C11951" s="2">
        <v>44931</v>
      </c>
      <c r="D11951" t="s">
        <v>26</v>
      </c>
      <c r="E11951">
        <v>2455</v>
      </c>
    </row>
    <row r="11952" spans="1:5" x14ac:dyDescent="0.55000000000000004">
      <c r="A11952" t="s">
        <v>12033</v>
      </c>
      <c r="B11952" t="s">
        <v>86</v>
      </c>
      <c r="C11952" s="2">
        <v>43194</v>
      </c>
      <c r="D11952" t="s">
        <v>29</v>
      </c>
      <c r="E11952">
        <v>171</v>
      </c>
    </row>
    <row r="11953" spans="1:5" x14ac:dyDescent="0.55000000000000004">
      <c r="A11953" t="s">
        <v>12034</v>
      </c>
      <c r="B11953" t="s">
        <v>67</v>
      </c>
      <c r="C11953" s="2">
        <v>45666</v>
      </c>
      <c r="D11953" t="s">
        <v>29</v>
      </c>
      <c r="E11953">
        <v>770</v>
      </c>
    </row>
    <row r="11954" spans="1:5" x14ac:dyDescent="0.55000000000000004">
      <c r="A11954" t="s">
        <v>12035</v>
      </c>
      <c r="B11954" t="s">
        <v>105</v>
      </c>
      <c r="C11954" s="2">
        <v>44145</v>
      </c>
      <c r="D11954" t="s">
        <v>29</v>
      </c>
      <c r="E11954">
        <v>969</v>
      </c>
    </row>
    <row r="11955" spans="1:5" x14ac:dyDescent="0.55000000000000004">
      <c r="A11955" t="s">
        <v>12036</v>
      </c>
      <c r="B11955" t="s">
        <v>156</v>
      </c>
      <c r="C11955" s="2">
        <v>44360</v>
      </c>
      <c r="D11955" t="s">
        <v>26</v>
      </c>
      <c r="E11955">
        <v>380</v>
      </c>
    </row>
    <row r="11956" spans="1:5" x14ac:dyDescent="0.55000000000000004">
      <c r="A11956" t="s">
        <v>12037</v>
      </c>
      <c r="B11956" t="s">
        <v>74</v>
      </c>
      <c r="C11956" s="2">
        <v>43437</v>
      </c>
      <c r="D11956" t="s">
        <v>29</v>
      </c>
      <c r="E11956">
        <v>2948</v>
      </c>
    </row>
    <row r="11957" spans="1:5" x14ac:dyDescent="0.55000000000000004">
      <c r="A11957" t="s">
        <v>12038</v>
      </c>
      <c r="B11957" t="s">
        <v>156</v>
      </c>
      <c r="C11957" s="2">
        <v>43849</v>
      </c>
      <c r="D11957" t="s">
        <v>29</v>
      </c>
      <c r="E11957">
        <v>1115</v>
      </c>
    </row>
    <row r="11958" spans="1:5" x14ac:dyDescent="0.55000000000000004">
      <c r="A11958" t="s">
        <v>12039</v>
      </c>
      <c r="B11958" t="s">
        <v>78</v>
      </c>
      <c r="C11958" s="2">
        <v>45470</v>
      </c>
      <c r="D11958" t="s">
        <v>26</v>
      </c>
      <c r="E11958">
        <v>2752</v>
      </c>
    </row>
    <row r="11959" spans="1:5" x14ac:dyDescent="0.55000000000000004">
      <c r="A11959" t="s">
        <v>12040</v>
      </c>
      <c r="B11959" t="s">
        <v>76</v>
      </c>
      <c r="C11959" s="2">
        <v>45307</v>
      </c>
      <c r="D11959" t="s">
        <v>29</v>
      </c>
      <c r="E11959">
        <v>151</v>
      </c>
    </row>
    <row r="11960" spans="1:5" x14ac:dyDescent="0.55000000000000004">
      <c r="A11960" t="s">
        <v>12041</v>
      </c>
      <c r="B11960" t="s">
        <v>84</v>
      </c>
      <c r="C11960" s="2">
        <v>44475</v>
      </c>
      <c r="D11960" t="s">
        <v>26</v>
      </c>
      <c r="E11960">
        <v>2358</v>
      </c>
    </row>
    <row r="11961" spans="1:5" x14ac:dyDescent="0.55000000000000004">
      <c r="A11961" t="s">
        <v>12042</v>
      </c>
      <c r="B11961" t="s">
        <v>140</v>
      </c>
      <c r="C11961" s="2">
        <v>43856</v>
      </c>
      <c r="D11961" t="s">
        <v>26</v>
      </c>
      <c r="E11961">
        <v>2470</v>
      </c>
    </row>
    <row r="11962" spans="1:5" x14ac:dyDescent="0.55000000000000004">
      <c r="A11962" t="s">
        <v>12043</v>
      </c>
      <c r="B11962" t="s">
        <v>156</v>
      </c>
      <c r="C11962" s="2">
        <v>43663</v>
      </c>
      <c r="D11962" t="s">
        <v>29</v>
      </c>
      <c r="E11962">
        <v>1377</v>
      </c>
    </row>
    <row r="11963" spans="1:5" x14ac:dyDescent="0.55000000000000004">
      <c r="A11963" t="s">
        <v>12044</v>
      </c>
      <c r="B11963" t="s">
        <v>23</v>
      </c>
      <c r="C11963" s="2">
        <v>44812</v>
      </c>
      <c r="D11963" t="s">
        <v>29</v>
      </c>
      <c r="E11963">
        <v>954</v>
      </c>
    </row>
    <row r="11964" spans="1:5" x14ac:dyDescent="0.55000000000000004">
      <c r="A11964" t="s">
        <v>12045</v>
      </c>
      <c r="B11964" t="s">
        <v>32</v>
      </c>
      <c r="C11964" s="2">
        <v>44619</v>
      </c>
      <c r="D11964" t="s">
        <v>26</v>
      </c>
      <c r="E11964">
        <v>128</v>
      </c>
    </row>
    <row r="11965" spans="1:5" x14ac:dyDescent="0.55000000000000004">
      <c r="A11965" t="s">
        <v>12046</v>
      </c>
      <c r="B11965" t="s">
        <v>38</v>
      </c>
      <c r="C11965" s="2">
        <v>44241</v>
      </c>
      <c r="D11965" t="s">
        <v>29</v>
      </c>
      <c r="E11965">
        <v>86</v>
      </c>
    </row>
    <row r="11966" spans="1:5" x14ac:dyDescent="0.55000000000000004">
      <c r="A11966" t="s">
        <v>12047</v>
      </c>
      <c r="B11966" t="s">
        <v>111</v>
      </c>
      <c r="C11966" s="2">
        <v>43879</v>
      </c>
      <c r="D11966" t="s">
        <v>26</v>
      </c>
      <c r="E11966">
        <v>1644</v>
      </c>
    </row>
    <row r="11967" spans="1:5" x14ac:dyDescent="0.55000000000000004">
      <c r="A11967" t="s">
        <v>12048</v>
      </c>
      <c r="B11967" t="s">
        <v>99</v>
      </c>
      <c r="C11967" s="2">
        <v>43861</v>
      </c>
      <c r="D11967" t="s">
        <v>26</v>
      </c>
      <c r="E11967">
        <v>2125</v>
      </c>
    </row>
    <row r="11968" spans="1:5" x14ac:dyDescent="0.55000000000000004">
      <c r="A11968" t="s">
        <v>12049</v>
      </c>
      <c r="B11968" t="s">
        <v>76</v>
      </c>
      <c r="C11968" s="2">
        <v>43548</v>
      </c>
      <c r="D11968" t="s">
        <v>29</v>
      </c>
      <c r="E11968">
        <v>448</v>
      </c>
    </row>
    <row r="11969" spans="1:5" x14ac:dyDescent="0.55000000000000004">
      <c r="A11969" t="s">
        <v>12050</v>
      </c>
      <c r="B11969" t="s">
        <v>41</v>
      </c>
      <c r="C11969" s="2">
        <v>44848</v>
      </c>
      <c r="D11969" t="s">
        <v>29</v>
      </c>
      <c r="E11969">
        <v>1758</v>
      </c>
    </row>
    <row r="11970" spans="1:5" x14ac:dyDescent="0.55000000000000004">
      <c r="A11970" t="s">
        <v>12051</v>
      </c>
      <c r="B11970" t="s">
        <v>32</v>
      </c>
      <c r="C11970" s="2">
        <v>44400</v>
      </c>
      <c r="D11970" t="s">
        <v>26</v>
      </c>
      <c r="E11970">
        <v>129</v>
      </c>
    </row>
    <row r="11971" spans="1:5" x14ac:dyDescent="0.55000000000000004">
      <c r="A11971" t="s">
        <v>12052</v>
      </c>
      <c r="B11971" t="s">
        <v>96</v>
      </c>
      <c r="C11971" s="2">
        <v>44127</v>
      </c>
      <c r="D11971" t="s">
        <v>26</v>
      </c>
      <c r="E11971">
        <v>2804</v>
      </c>
    </row>
    <row r="11972" spans="1:5" x14ac:dyDescent="0.55000000000000004">
      <c r="A11972" t="s">
        <v>12053</v>
      </c>
      <c r="B11972" t="s">
        <v>67</v>
      </c>
      <c r="C11972" s="2">
        <v>45539</v>
      </c>
      <c r="D11972" t="s">
        <v>29</v>
      </c>
      <c r="E11972">
        <v>2710</v>
      </c>
    </row>
    <row r="11973" spans="1:5" x14ac:dyDescent="0.55000000000000004">
      <c r="A11973" t="s">
        <v>12054</v>
      </c>
      <c r="B11973" t="s">
        <v>15</v>
      </c>
      <c r="C11973" s="2">
        <v>44559</v>
      </c>
      <c r="D11973" t="s">
        <v>26</v>
      </c>
      <c r="E11973">
        <v>2774</v>
      </c>
    </row>
    <row r="11974" spans="1:5" x14ac:dyDescent="0.55000000000000004">
      <c r="A11974" t="s">
        <v>12055</v>
      </c>
      <c r="B11974" t="s">
        <v>78</v>
      </c>
      <c r="C11974" s="2">
        <v>45204</v>
      </c>
      <c r="D11974" t="s">
        <v>26</v>
      </c>
      <c r="E11974">
        <v>1585</v>
      </c>
    </row>
    <row r="11975" spans="1:5" x14ac:dyDescent="0.55000000000000004">
      <c r="A11975" t="s">
        <v>12056</v>
      </c>
      <c r="B11975" t="s">
        <v>111</v>
      </c>
      <c r="C11975" s="2">
        <v>43953</v>
      </c>
      <c r="D11975" t="s">
        <v>29</v>
      </c>
      <c r="E11975">
        <v>741</v>
      </c>
    </row>
    <row r="11976" spans="1:5" x14ac:dyDescent="0.55000000000000004">
      <c r="A11976" t="s">
        <v>12057</v>
      </c>
      <c r="B11976" t="s">
        <v>63</v>
      </c>
      <c r="C11976" s="2">
        <v>43757</v>
      </c>
      <c r="D11976" t="s">
        <v>26</v>
      </c>
      <c r="E11976">
        <v>1262</v>
      </c>
    </row>
    <row r="11977" spans="1:5" x14ac:dyDescent="0.55000000000000004">
      <c r="A11977" t="s">
        <v>12058</v>
      </c>
      <c r="B11977" t="s">
        <v>118</v>
      </c>
      <c r="C11977" s="2">
        <v>43753</v>
      </c>
      <c r="D11977" t="s">
        <v>26</v>
      </c>
      <c r="E11977">
        <v>131</v>
      </c>
    </row>
    <row r="11978" spans="1:5" x14ac:dyDescent="0.55000000000000004">
      <c r="A11978" t="s">
        <v>12059</v>
      </c>
      <c r="B11978" t="s">
        <v>84</v>
      </c>
      <c r="C11978" s="2">
        <v>44018</v>
      </c>
      <c r="D11978" t="s">
        <v>29</v>
      </c>
      <c r="E11978">
        <v>1800</v>
      </c>
    </row>
    <row r="11979" spans="1:5" x14ac:dyDescent="0.55000000000000004">
      <c r="A11979" t="s">
        <v>12060</v>
      </c>
      <c r="B11979" t="s">
        <v>99</v>
      </c>
      <c r="C11979" s="2">
        <v>45184</v>
      </c>
      <c r="D11979" t="s">
        <v>29</v>
      </c>
      <c r="E11979">
        <v>452</v>
      </c>
    </row>
    <row r="11980" spans="1:5" x14ac:dyDescent="0.55000000000000004">
      <c r="A11980" t="s">
        <v>12061</v>
      </c>
      <c r="B11980" t="s">
        <v>72</v>
      </c>
      <c r="C11980" s="2">
        <v>43705</v>
      </c>
      <c r="D11980" t="s">
        <v>29</v>
      </c>
      <c r="E11980">
        <v>1954</v>
      </c>
    </row>
    <row r="11981" spans="1:5" x14ac:dyDescent="0.55000000000000004">
      <c r="A11981" t="s">
        <v>12062</v>
      </c>
      <c r="B11981" t="s">
        <v>41</v>
      </c>
      <c r="C11981" s="2">
        <v>44158</v>
      </c>
      <c r="D11981" t="s">
        <v>26</v>
      </c>
      <c r="E11981">
        <v>2266</v>
      </c>
    </row>
    <row r="11982" spans="1:5" x14ac:dyDescent="0.55000000000000004">
      <c r="A11982" t="s">
        <v>12063</v>
      </c>
      <c r="B11982" t="s">
        <v>72</v>
      </c>
      <c r="C11982" s="2">
        <v>44494</v>
      </c>
      <c r="D11982" t="s">
        <v>26</v>
      </c>
      <c r="E11982">
        <v>680</v>
      </c>
    </row>
    <row r="11983" spans="1:5" x14ac:dyDescent="0.55000000000000004">
      <c r="A11983" t="s">
        <v>12064</v>
      </c>
      <c r="B11983" t="s">
        <v>76</v>
      </c>
      <c r="C11983" s="2">
        <v>45475</v>
      </c>
      <c r="D11983" t="s">
        <v>29</v>
      </c>
      <c r="E11983">
        <v>2656</v>
      </c>
    </row>
    <row r="11984" spans="1:5" x14ac:dyDescent="0.55000000000000004">
      <c r="A11984" t="s">
        <v>12065</v>
      </c>
      <c r="B11984" t="s">
        <v>105</v>
      </c>
      <c r="C11984" s="2">
        <v>43445</v>
      </c>
      <c r="D11984" t="s">
        <v>26</v>
      </c>
      <c r="E11984">
        <v>2558</v>
      </c>
    </row>
    <row r="11985" spans="1:5" x14ac:dyDescent="0.55000000000000004">
      <c r="A11985" t="s">
        <v>12066</v>
      </c>
      <c r="B11985" t="s">
        <v>94</v>
      </c>
      <c r="C11985" s="2">
        <v>45122</v>
      </c>
      <c r="D11985" t="s">
        <v>26</v>
      </c>
      <c r="E11985">
        <v>2613</v>
      </c>
    </row>
    <row r="11986" spans="1:5" x14ac:dyDescent="0.55000000000000004">
      <c r="A11986" t="s">
        <v>12067</v>
      </c>
      <c r="B11986" t="s">
        <v>67</v>
      </c>
      <c r="C11986" s="2">
        <v>44662</v>
      </c>
      <c r="D11986" t="s">
        <v>26</v>
      </c>
      <c r="E11986">
        <v>2945</v>
      </c>
    </row>
    <row r="11987" spans="1:5" x14ac:dyDescent="0.55000000000000004">
      <c r="A11987" t="s">
        <v>12068</v>
      </c>
      <c r="B11987" t="s">
        <v>41</v>
      </c>
      <c r="C11987" s="2">
        <v>44543</v>
      </c>
      <c r="D11987" t="s">
        <v>29</v>
      </c>
      <c r="E11987">
        <v>1506</v>
      </c>
    </row>
    <row r="11988" spans="1:5" x14ac:dyDescent="0.55000000000000004">
      <c r="A11988" t="s">
        <v>12069</v>
      </c>
      <c r="B11988" t="s">
        <v>151</v>
      </c>
      <c r="C11988" s="2">
        <v>43869</v>
      </c>
      <c r="D11988" t="s">
        <v>26</v>
      </c>
      <c r="E11988">
        <v>252</v>
      </c>
    </row>
    <row r="11989" spans="1:5" x14ac:dyDescent="0.55000000000000004">
      <c r="A11989" t="s">
        <v>12070</v>
      </c>
      <c r="B11989" t="s">
        <v>41</v>
      </c>
      <c r="C11989" s="2">
        <v>44400</v>
      </c>
      <c r="D11989" t="s">
        <v>26</v>
      </c>
      <c r="E11989">
        <v>1866</v>
      </c>
    </row>
    <row r="11990" spans="1:5" x14ac:dyDescent="0.55000000000000004">
      <c r="A11990" t="s">
        <v>12071</v>
      </c>
      <c r="B11990" t="s">
        <v>94</v>
      </c>
      <c r="C11990" s="2">
        <v>45171</v>
      </c>
      <c r="D11990" t="s">
        <v>26</v>
      </c>
      <c r="E11990">
        <v>507</v>
      </c>
    </row>
    <row r="11991" spans="1:5" x14ac:dyDescent="0.55000000000000004">
      <c r="A11991" t="s">
        <v>12072</v>
      </c>
      <c r="B11991" t="s">
        <v>67</v>
      </c>
      <c r="C11991" s="2">
        <v>44780</v>
      </c>
      <c r="D11991" t="s">
        <v>29</v>
      </c>
      <c r="E11991">
        <v>2316</v>
      </c>
    </row>
    <row r="11992" spans="1:5" x14ac:dyDescent="0.55000000000000004">
      <c r="A11992" t="s">
        <v>12073</v>
      </c>
      <c r="B11992" t="s">
        <v>101</v>
      </c>
      <c r="C11992" s="2">
        <v>43928</v>
      </c>
      <c r="D11992" t="s">
        <v>26</v>
      </c>
      <c r="E11992">
        <v>2019</v>
      </c>
    </row>
    <row r="11993" spans="1:5" x14ac:dyDescent="0.55000000000000004">
      <c r="A11993" t="s">
        <v>12074</v>
      </c>
      <c r="B11993" t="s">
        <v>175</v>
      </c>
      <c r="C11993" s="2">
        <v>43970</v>
      </c>
      <c r="D11993" t="s">
        <v>29</v>
      </c>
      <c r="E11993">
        <v>2548</v>
      </c>
    </row>
    <row r="11994" spans="1:5" x14ac:dyDescent="0.55000000000000004">
      <c r="A11994" t="s">
        <v>12075</v>
      </c>
      <c r="B11994" t="s">
        <v>175</v>
      </c>
      <c r="C11994" s="2">
        <v>44512</v>
      </c>
      <c r="D11994" t="s">
        <v>29</v>
      </c>
      <c r="E11994">
        <v>2242</v>
      </c>
    </row>
    <row r="11995" spans="1:5" x14ac:dyDescent="0.55000000000000004">
      <c r="A11995" t="s">
        <v>12076</v>
      </c>
      <c r="B11995" t="s">
        <v>41</v>
      </c>
      <c r="C11995" s="2">
        <v>44026</v>
      </c>
      <c r="D11995" t="s">
        <v>29</v>
      </c>
      <c r="E11995">
        <v>1251</v>
      </c>
    </row>
    <row r="11996" spans="1:5" x14ac:dyDescent="0.55000000000000004">
      <c r="A11996" t="s">
        <v>12077</v>
      </c>
      <c r="B11996" t="s">
        <v>14</v>
      </c>
      <c r="C11996" s="2">
        <v>42926</v>
      </c>
      <c r="D11996" t="s">
        <v>26</v>
      </c>
      <c r="E11996">
        <v>1113</v>
      </c>
    </row>
    <row r="11997" spans="1:5" x14ac:dyDescent="0.55000000000000004">
      <c r="A11997" t="s">
        <v>12078</v>
      </c>
      <c r="B11997" t="s">
        <v>142</v>
      </c>
      <c r="C11997" s="2">
        <v>44523</v>
      </c>
      <c r="D11997" t="s">
        <v>29</v>
      </c>
      <c r="E11997">
        <v>1513</v>
      </c>
    </row>
    <row r="11998" spans="1:5" x14ac:dyDescent="0.55000000000000004">
      <c r="A11998" t="s">
        <v>12079</v>
      </c>
      <c r="B11998" t="s">
        <v>140</v>
      </c>
      <c r="C11998" s="2">
        <v>43009</v>
      </c>
      <c r="D11998" t="s">
        <v>26</v>
      </c>
      <c r="E11998">
        <v>976</v>
      </c>
    </row>
    <row r="11999" spans="1:5" x14ac:dyDescent="0.55000000000000004">
      <c r="A11999" t="s">
        <v>12080</v>
      </c>
      <c r="B11999" t="s">
        <v>118</v>
      </c>
      <c r="C11999" s="2">
        <v>43969</v>
      </c>
      <c r="D11999" t="s">
        <v>26</v>
      </c>
      <c r="E11999">
        <v>2976</v>
      </c>
    </row>
    <row r="12000" spans="1:5" x14ac:dyDescent="0.55000000000000004">
      <c r="A12000" t="s">
        <v>12081</v>
      </c>
      <c r="B12000" t="s">
        <v>140</v>
      </c>
      <c r="C12000" s="2">
        <v>43556</v>
      </c>
      <c r="D12000" t="s">
        <v>26</v>
      </c>
      <c r="E12000">
        <v>1820</v>
      </c>
    </row>
    <row r="12001" spans="1:5" x14ac:dyDescent="0.55000000000000004">
      <c r="A12001" t="s">
        <v>12082</v>
      </c>
      <c r="B12001" t="s">
        <v>118</v>
      </c>
      <c r="C12001" s="2">
        <v>45457</v>
      </c>
      <c r="D12001" t="s">
        <v>26</v>
      </c>
      <c r="E12001">
        <v>2393</v>
      </c>
    </row>
    <row r="12002" spans="1:5" x14ac:dyDescent="0.55000000000000004">
      <c r="A12002" t="s">
        <v>12083</v>
      </c>
      <c r="B12002" t="s">
        <v>140</v>
      </c>
      <c r="C12002" s="2">
        <v>43990</v>
      </c>
      <c r="D12002" t="s">
        <v>26</v>
      </c>
      <c r="E12002">
        <v>722</v>
      </c>
    </row>
    <row r="12003" spans="1:5" x14ac:dyDescent="0.55000000000000004">
      <c r="A12003" t="s">
        <v>12084</v>
      </c>
      <c r="B12003" t="s">
        <v>78</v>
      </c>
      <c r="C12003" s="2">
        <v>45767</v>
      </c>
      <c r="D12003" t="s">
        <v>29</v>
      </c>
      <c r="E12003">
        <v>1251</v>
      </c>
    </row>
    <row r="12004" spans="1:5" x14ac:dyDescent="0.55000000000000004">
      <c r="A12004" t="s">
        <v>12085</v>
      </c>
      <c r="B12004" t="s">
        <v>72</v>
      </c>
      <c r="C12004" s="2">
        <v>43845</v>
      </c>
      <c r="D12004" t="s">
        <v>26</v>
      </c>
      <c r="E12004">
        <v>1095</v>
      </c>
    </row>
    <row r="12005" spans="1:5" x14ac:dyDescent="0.55000000000000004">
      <c r="A12005" t="s">
        <v>12086</v>
      </c>
      <c r="B12005" t="s">
        <v>84</v>
      </c>
      <c r="C12005" s="2">
        <v>44122</v>
      </c>
      <c r="D12005" t="s">
        <v>29</v>
      </c>
      <c r="E12005">
        <v>2358</v>
      </c>
    </row>
    <row r="12006" spans="1:5" x14ac:dyDescent="0.55000000000000004">
      <c r="A12006" t="s">
        <v>12087</v>
      </c>
      <c r="B12006" t="s">
        <v>175</v>
      </c>
      <c r="C12006" s="2">
        <v>44077</v>
      </c>
      <c r="D12006" t="s">
        <v>29</v>
      </c>
      <c r="E12006">
        <v>470</v>
      </c>
    </row>
    <row r="12007" spans="1:5" x14ac:dyDescent="0.55000000000000004">
      <c r="A12007" t="s">
        <v>12088</v>
      </c>
      <c r="B12007" t="s">
        <v>137</v>
      </c>
      <c r="C12007" s="2">
        <v>45433</v>
      </c>
      <c r="D12007" t="s">
        <v>26</v>
      </c>
      <c r="E12007">
        <v>1683</v>
      </c>
    </row>
    <row r="12008" spans="1:5" x14ac:dyDescent="0.55000000000000004">
      <c r="A12008" t="s">
        <v>12089</v>
      </c>
      <c r="B12008" t="s">
        <v>140</v>
      </c>
      <c r="C12008" s="2">
        <v>44209</v>
      </c>
      <c r="D12008" t="s">
        <v>29</v>
      </c>
      <c r="E12008">
        <v>1129</v>
      </c>
    </row>
    <row r="12009" spans="1:5" x14ac:dyDescent="0.55000000000000004">
      <c r="A12009" t="s">
        <v>12090</v>
      </c>
      <c r="B12009" t="s">
        <v>15</v>
      </c>
      <c r="C12009" s="2">
        <v>44417</v>
      </c>
      <c r="D12009" t="s">
        <v>29</v>
      </c>
      <c r="E12009">
        <v>2083</v>
      </c>
    </row>
    <row r="12010" spans="1:5" x14ac:dyDescent="0.55000000000000004">
      <c r="A12010" t="s">
        <v>12091</v>
      </c>
      <c r="B12010" t="s">
        <v>94</v>
      </c>
      <c r="C12010" s="2">
        <v>45356</v>
      </c>
      <c r="D12010" t="s">
        <v>26</v>
      </c>
      <c r="E12010">
        <v>2731</v>
      </c>
    </row>
    <row r="12011" spans="1:5" x14ac:dyDescent="0.55000000000000004">
      <c r="A12011" t="s">
        <v>12092</v>
      </c>
      <c r="B12011" t="s">
        <v>96</v>
      </c>
      <c r="C12011" s="2">
        <v>43740</v>
      </c>
      <c r="D12011" t="s">
        <v>26</v>
      </c>
      <c r="E12011">
        <v>2870</v>
      </c>
    </row>
    <row r="12012" spans="1:5" x14ac:dyDescent="0.55000000000000004">
      <c r="A12012" t="s">
        <v>12093</v>
      </c>
      <c r="B12012" t="s">
        <v>111</v>
      </c>
      <c r="C12012" s="2">
        <v>43301</v>
      </c>
      <c r="D12012" t="s">
        <v>26</v>
      </c>
      <c r="E12012">
        <v>1452</v>
      </c>
    </row>
    <row r="12013" spans="1:5" x14ac:dyDescent="0.55000000000000004">
      <c r="A12013" t="s">
        <v>12094</v>
      </c>
      <c r="B12013" t="s">
        <v>35</v>
      </c>
      <c r="C12013" s="2">
        <v>43943</v>
      </c>
      <c r="D12013" t="s">
        <v>29</v>
      </c>
      <c r="E12013">
        <v>2839</v>
      </c>
    </row>
    <row r="12014" spans="1:5" x14ac:dyDescent="0.55000000000000004">
      <c r="A12014" t="s">
        <v>12095</v>
      </c>
      <c r="B12014" t="s">
        <v>137</v>
      </c>
      <c r="C12014" s="2">
        <v>45495</v>
      </c>
      <c r="D12014" t="s">
        <v>29</v>
      </c>
      <c r="E12014">
        <v>493</v>
      </c>
    </row>
    <row r="12015" spans="1:5" x14ac:dyDescent="0.55000000000000004">
      <c r="A12015" t="s">
        <v>12096</v>
      </c>
      <c r="B12015" t="s">
        <v>99</v>
      </c>
      <c r="C12015" s="2">
        <v>44792</v>
      </c>
      <c r="D12015" t="s">
        <v>26</v>
      </c>
      <c r="E12015">
        <v>2927</v>
      </c>
    </row>
    <row r="12016" spans="1:5" x14ac:dyDescent="0.55000000000000004">
      <c r="A12016" t="s">
        <v>12097</v>
      </c>
      <c r="B12016" t="s">
        <v>101</v>
      </c>
      <c r="C12016" s="2">
        <v>42921</v>
      </c>
      <c r="D12016" t="s">
        <v>26</v>
      </c>
      <c r="E12016">
        <v>1947</v>
      </c>
    </row>
    <row r="12017" spans="1:5" x14ac:dyDescent="0.55000000000000004">
      <c r="A12017" t="s">
        <v>12098</v>
      </c>
      <c r="B12017" t="s">
        <v>156</v>
      </c>
      <c r="C12017" s="2">
        <v>43376</v>
      </c>
      <c r="D12017" t="s">
        <v>26</v>
      </c>
      <c r="E12017">
        <v>1053</v>
      </c>
    </row>
    <row r="12018" spans="1:5" x14ac:dyDescent="0.55000000000000004">
      <c r="A12018" t="s">
        <v>12099</v>
      </c>
      <c r="B12018" t="s">
        <v>142</v>
      </c>
      <c r="C12018" s="2">
        <v>43240</v>
      </c>
      <c r="D12018" t="s">
        <v>29</v>
      </c>
      <c r="E12018">
        <v>1544</v>
      </c>
    </row>
    <row r="12019" spans="1:5" x14ac:dyDescent="0.55000000000000004">
      <c r="A12019" t="s">
        <v>12100</v>
      </c>
      <c r="B12019" t="s">
        <v>137</v>
      </c>
      <c r="C12019" s="2">
        <v>43707</v>
      </c>
      <c r="D12019" t="s">
        <v>26</v>
      </c>
      <c r="E12019">
        <v>1202</v>
      </c>
    </row>
    <row r="12020" spans="1:5" x14ac:dyDescent="0.55000000000000004">
      <c r="A12020" t="s">
        <v>12101</v>
      </c>
      <c r="B12020" t="s">
        <v>115</v>
      </c>
      <c r="C12020" s="2">
        <v>43328</v>
      </c>
      <c r="D12020" t="s">
        <v>26</v>
      </c>
      <c r="E12020">
        <v>1675</v>
      </c>
    </row>
    <row r="12021" spans="1:5" x14ac:dyDescent="0.55000000000000004">
      <c r="A12021" t="s">
        <v>12102</v>
      </c>
      <c r="B12021" t="s">
        <v>38</v>
      </c>
      <c r="C12021" s="2">
        <v>44643</v>
      </c>
      <c r="D12021" t="s">
        <v>29</v>
      </c>
      <c r="E12021">
        <v>1904</v>
      </c>
    </row>
    <row r="12022" spans="1:5" x14ac:dyDescent="0.55000000000000004">
      <c r="A12022" t="s">
        <v>12103</v>
      </c>
      <c r="B12022" t="s">
        <v>86</v>
      </c>
      <c r="C12022" s="2">
        <v>43219</v>
      </c>
      <c r="D12022" t="s">
        <v>29</v>
      </c>
      <c r="E12022">
        <v>2</v>
      </c>
    </row>
    <row r="12023" spans="1:5" x14ac:dyDescent="0.55000000000000004">
      <c r="A12023" t="s">
        <v>12104</v>
      </c>
      <c r="B12023" t="s">
        <v>15</v>
      </c>
      <c r="C12023" s="2">
        <v>43143</v>
      </c>
      <c r="D12023" t="s">
        <v>26</v>
      </c>
      <c r="E12023">
        <v>1834</v>
      </c>
    </row>
    <row r="12024" spans="1:5" x14ac:dyDescent="0.55000000000000004">
      <c r="A12024" t="s">
        <v>12105</v>
      </c>
      <c r="B12024" t="s">
        <v>23</v>
      </c>
      <c r="C12024" s="2">
        <v>44790</v>
      </c>
      <c r="D12024" t="s">
        <v>26</v>
      </c>
      <c r="E12024">
        <v>1798</v>
      </c>
    </row>
    <row r="12025" spans="1:5" x14ac:dyDescent="0.55000000000000004">
      <c r="A12025" t="s">
        <v>12106</v>
      </c>
      <c r="B12025" t="s">
        <v>140</v>
      </c>
      <c r="C12025" s="2">
        <v>43353</v>
      </c>
      <c r="D12025" t="s">
        <v>29</v>
      </c>
      <c r="E12025">
        <v>37</v>
      </c>
    </row>
    <row r="12026" spans="1:5" x14ac:dyDescent="0.55000000000000004">
      <c r="A12026" t="s">
        <v>12107</v>
      </c>
      <c r="B12026" t="s">
        <v>140</v>
      </c>
      <c r="C12026" s="2">
        <v>44548</v>
      </c>
      <c r="D12026" t="s">
        <v>29</v>
      </c>
      <c r="E12026">
        <v>730</v>
      </c>
    </row>
    <row r="12027" spans="1:5" x14ac:dyDescent="0.55000000000000004">
      <c r="A12027" t="s">
        <v>12108</v>
      </c>
      <c r="B12027" t="s">
        <v>41</v>
      </c>
      <c r="C12027" s="2">
        <v>44770</v>
      </c>
      <c r="D12027" t="s">
        <v>26</v>
      </c>
      <c r="E12027">
        <v>2332</v>
      </c>
    </row>
    <row r="12028" spans="1:5" x14ac:dyDescent="0.55000000000000004">
      <c r="A12028" t="s">
        <v>12109</v>
      </c>
      <c r="B12028" t="s">
        <v>78</v>
      </c>
      <c r="C12028" s="2">
        <v>43562</v>
      </c>
      <c r="D12028" t="s">
        <v>29</v>
      </c>
      <c r="E12028">
        <v>862</v>
      </c>
    </row>
    <row r="12029" spans="1:5" x14ac:dyDescent="0.55000000000000004">
      <c r="A12029" t="s">
        <v>12110</v>
      </c>
      <c r="B12029" t="s">
        <v>67</v>
      </c>
      <c r="C12029" s="2">
        <v>45709</v>
      </c>
      <c r="D12029" t="s">
        <v>26</v>
      </c>
      <c r="E12029">
        <v>1995</v>
      </c>
    </row>
    <row r="12030" spans="1:5" x14ac:dyDescent="0.55000000000000004">
      <c r="A12030" t="s">
        <v>12111</v>
      </c>
      <c r="B12030" t="s">
        <v>78</v>
      </c>
      <c r="C12030" s="2">
        <v>45133</v>
      </c>
      <c r="D12030" t="s">
        <v>29</v>
      </c>
      <c r="E12030">
        <v>1628</v>
      </c>
    </row>
    <row r="12031" spans="1:5" x14ac:dyDescent="0.55000000000000004">
      <c r="A12031" t="s">
        <v>12112</v>
      </c>
      <c r="B12031" t="s">
        <v>72</v>
      </c>
      <c r="C12031" s="2">
        <v>43260</v>
      </c>
      <c r="D12031" t="s">
        <v>29</v>
      </c>
      <c r="E12031">
        <v>141</v>
      </c>
    </row>
    <row r="12032" spans="1:5" x14ac:dyDescent="0.55000000000000004">
      <c r="A12032" t="s">
        <v>12113</v>
      </c>
      <c r="B12032" t="s">
        <v>72</v>
      </c>
      <c r="C12032" s="2">
        <v>44428</v>
      </c>
      <c r="D12032" t="s">
        <v>29</v>
      </c>
      <c r="E12032">
        <v>1277</v>
      </c>
    </row>
    <row r="12033" spans="1:5" x14ac:dyDescent="0.55000000000000004">
      <c r="A12033" t="s">
        <v>12114</v>
      </c>
      <c r="B12033" t="s">
        <v>63</v>
      </c>
      <c r="C12033" s="2">
        <v>43064</v>
      </c>
      <c r="D12033" t="s">
        <v>29</v>
      </c>
      <c r="E12033">
        <v>2622</v>
      </c>
    </row>
    <row r="12034" spans="1:5" x14ac:dyDescent="0.55000000000000004">
      <c r="A12034" t="s">
        <v>12115</v>
      </c>
      <c r="B12034" t="s">
        <v>63</v>
      </c>
      <c r="C12034" s="2">
        <v>44093</v>
      </c>
      <c r="D12034" t="s">
        <v>26</v>
      </c>
      <c r="E12034">
        <v>1304</v>
      </c>
    </row>
    <row r="12035" spans="1:5" x14ac:dyDescent="0.55000000000000004">
      <c r="A12035" t="s">
        <v>12116</v>
      </c>
      <c r="B12035" t="s">
        <v>67</v>
      </c>
      <c r="C12035" s="2">
        <v>44731</v>
      </c>
      <c r="D12035" t="s">
        <v>29</v>
      </c>
      <c r="E12035">
        <v>1117</v>
      </c>
    </row>
    <row r="12036" spans="1:5" x14ac:dyDescent="0.55000000000000004">
      <c r="A12036" t="s">
        <v>12117</v>
      </c>
      <c r="B12036" t="s">
        <v>94</v>
      </c>
      <c r="C12036" s="2">
        <v>45442</v>
      </c>
      <c r="D12036" t="s">
        <v>26</v>
      </c>
      <c r="E12036">
        <v>1374</v>
      </c>
    </row>
    <row r="12037" spans="1:5" x14ac:dyDescent="0.55000000000000004">
      <c r="A12037" t="s">
        <v>12118</v>
      </c>
      <c r="B12037" t="s">
        <v>140</v>
      </c>
      <c r="C12037" s="2">
        <v>43027</v>
      </c>
      <c r="D12037" t="s">
        <v>29</v>
      </c>
      <c r="E12037">
        <v>1572</v>
      </c>
    </row>
    <row r="12038" spans="1:5" x14ac:dyDescent="0.55000000000000004">
      <c r="A12038" t="s">
        <v>12119</v>
      </c>
      <c r="B12038" t="s">
        <v>137</v>
      </c>
      <c r="C12038" s="2">
        <v>45380</v>
      </c>
      <c r="D12038" t="s">
        <v>26</v>
      </c>
      <c r="E12038">
        <v>2676</v>
      </c>
    </row>
    <row r="12039" spans="1:5" x14ac:dyDescent="0.55000000000000004">
      <c r="A12039" t="s">
        <v>12120</v>
      </c>
      <c r="B12039" t="s">
        <v>142</v>
      </c>
      <c r="C12039" s="2">
        <v>44313</v>
      </c>
      <c r="D12039" t="s">
        <v>26</v>
      </c>
      <c r="E12039">
        <v>1785</v>
      </c>
    </row>
    <row r="12040" spans="1:5" x14ac:dyDescent="0.55000000000000004">
      <c r="A12040" t="s">
        <v>12121</v>
      </c>
      <c r="B12040" t="s">
        <v>32</v>
      </c>
      <c r="C12040" s="2">
        <v>43874</v>
      </c>
      <c r="D12040" t="s">
        <v>29</v>
      </c>
      <c r="E12040">
        <v>2841</v>
      </c>
    </row>
    <row r="12041" spans="1:5" x14ac:dyDescent="0.55000000000000004">
      <c r="A12041" t="s">
        <v>12122</v>
      </c>
      <c r="B12041" t="s">
        <v>115</v>
      </c>
      <c r="C12041" s="2">
        <v>43572</v>
      </c>
      <c r="D12041" t="s">
        <v>29</v>
      </c>
      <c r="E12041">
        <v>134</v>
      </c>
    </row>
    <row r="12042" spans="1:5" x14ac:dyDescent="0.55000000000000004">
      <c r="A12042" t="s">
        <v>12123</v>
      </c>
      <c r="B12042" t="s">
        <v>38</v>
      </c>
      <c r="C12042" s="2">
        <v>44209</v>
      </c>
      <c r="D12042" t="s">
        <v>29</v>
      </c>
      <c r="E12042">
        <v>264</v>
      </c>
    </row>
    <row r="12043" spans="1:5" x14ac:dyDescent="0.55000000000000004">
      <c r="A12043" t="s">
        <v>12124</v>
      </c>
      <c r="B12043" t="s">
        <v>63</v>
      </c>
      <c r="C12043" s="2">
        <v>43444</v>
      </c>
      <c r="D12043" t="s">
        <v>26</v>
      </c>
      <c r="E12043">
        <v>2873</v>
      </c>
    </row>
    <row r="12044" spans="1:5" x14ac:dyDescent="0.55000000000000004">
      <c r="A12044" t="s">
        <v>12125</v>
      </c>
      <c r="B12044" t="s">
        <v>32</v>
      </c>
      <c r="C12044" s="2">
        <v>44796</v>
      </c>
      <c r="D12044" t="s">
        <v>26</v>
      </c>
      <c r="E12044">
        <v>383</v>
      </c>
    </row>
    <row r="12045" spans="1:5" x14ac:dyDescent="0.55000000000000004">
      <c r="A12045" t="s">
        <v>12126</v>
      </c>
      <c r="B12045" t="s">
        <v>76</v>
      </c>
      <c r="C12045" s="2">
        <v>44019</v>
      </c>
      <c r="D12045" t="s">
        <v>26</v>
      </c>
      <c r="E12045">
        <v>2752</v>
      </c>
    </row>
    <row r="12046" spans="1:5" x14ac:dyDescent="0.55000000000000004">
      <c r="A12046" t="s">
        <v>12127</v>
      </c>
      <c r="B12046" t="s">
        <v>142</v>
      </c>
      <c r="C12046" s="2">
        <v>44375</v>
      </c>
      <c r="D12046" t="s">
        <v>29</v>
      </c>
      <c r="E12046">
        <v>1572</v>
      </c>
    </row>
    <row r="12047" spans="1:5" x14ac:dyDescent="0.55000000000000004">
      <c r="A12047" t="s">
        <v>12128</v>
      </c>
      <c r="B12047" t="s">
        <v>15</v>
      </c>
      <c r="C12047" s="2">
        <v>43808</v>
      </c>
      <c r="D12047" t="s">
        <v>29</v>
      </c>
      <c r="E12047">
        <v>1322</v>
      </c>
    </row>
    <row r="12048" spans="1:5" x14ac:dyDescent="0.55000000000000004">
      <c r="A12048" t="s">
        <v>12129</v>
      </c>
      <c r="B12048" t="s">
        <v>156</v>
      </c>
      <c r="C12048" s="2">
        <v>44260</v>
      </c>
      <c r="D12048" t="s">
        <v>26</v>
      </c>
      <c r="E12048">
        <v>1328</v>
      </c>
    </row>
    <row r="12049" spans="1:5" x14ac:dyDescent="0.55000000000000004">
      <c r="A12049" t="s">
        <v>12130</v>
      </c>
      <c r="B12049" t="s">
        <v>63</v>
      </c>
      <c r="C12049" s="2">
        <v>44424</v>
      </c>
      <c r="D12049" t="s">
        <v>26</v>
      </c>
      <c r="E12049">
        <v>1137</v>
      </c>
    </row>
    <row r="12050" spans="1:5" x14ac:dyDescent="0.55000000000000004">
      <c r="A12050" t="s">
        <v>12131</v>
      </c>
      <c r="B12050" t="s">
        <v>105</v>
      </c>
      <c r="C12050" s="2">
        <v>44201</v>
      </c>
      <c r="D12050" t="s">
        <v>26</v>
      </c>
      <c r="E12050">
        <v>2832</v>
      </c>
    </row>
    <row r="12051" spans="1:5" x14ac:dyDescent="0.55000000000000004">
      <c r="A12051" t="s">
        <v>12132</v>
      </c>
      <c r="B12051" t="s">
        <v>76</v>
      </c>
      <c r="C12051" s="2">
        <v>45153</v>
      </c>
      <c r="D12051" t="s">
        <v>29</v>
      </c>
      <c r="E12051">
        <v>906</v>
      </c>
    </row>
    <row r="12052" spans="1:5" x14ac:dyDescent="0.55000000000000004">
      <c r="A12052" t="s">
        <v>12133</v>
      </c>
      <c r="B12052" t="s">
        <v>111</v>
      </c>
      <c r="C12052" s="2">
        <v>43375</v>
      </c>
      <c r="D12052" t="s">
        <v>26</v>
      </c>
      <c r="E12052">
        <v>2050</v>
      </c>
    </row>
    <row r="12053" spans="1:5" x14ac:dyDescent="0.55000000000000004">
      <c r="A12053" t="s">
        <v>12134</v>
      </c>
      <c r="B12053" t="s">
        <v>78</v>
      </c>
      <c r="C12053" s="2">
        <v>45245</v>
      </c>
      <c r="D12053" t="s">
        <v>26</v>
      </c>
      <c r="E12053">
        <v>1910</v>
      </c>
    </row>
    <row r="12054" spans="1:5" x14ac:dyDescent="0.55000000000000004">
      <c r="A12054" t="s">
        <v>12135</v>
      </c>
      <c r="B12054" t="s">
        <v>99</v>
      </c>
      <c r="C12054" s="2">
        <v>43515</v>
      </c>
      <c r="D12054" t="s">
        <v>29</v>
      </c>
      <c r="E12054">
        <v>2269</v>
      </c>
    </row>
    <row r="12055" spans="1:5" x14ac:dyDescent="0.55000000000000004">
      <c r="A12055" t="s">
        <v>12136</v>
      </c>
      <c r="B12055" t="s">
        <v>94</v>
      </c>
      <c r="C12055" s="2">
        <v>43743</v>
      </c>
      <c r="D12055" t="s">
        <v>26</v>
      </c>
      <c r="E12055">
        <v>2127</v>
      </c>
    </row>
    <row r="12056" spans="1:5" x14ac:dyDescent="0.55000000000000004">
      <c r="A12056" t="s">
        <v>12137</v>
      </c>
      <c r="B12056" t="s">
        <v>142</v>
      </c>
      <c r="C12056" s="2">
        <v>43598</v>
      </c>
      <c r="D12056" t="s">
        <v>29</v>
      </c>
      <c r="E12056">
        <v>918</v>
      </c>
    </row>
    <row r="12057" spans="1:5" x14ac:dyDescent="0.55000000000000004">
      <c r="A12057" t="s">
        <v>12138</v>
      </c>
      <c r="B12057" t="s">
        <v>105</v>
      </c>
      <c r="C12057" s="2">
        <v>43154</v>
      </c>
      <c r="D12057" t="s">
        <v>26</v>
      </c>
      <c r="E12057">
        <v>1548</v>
      </c>
    </row>
    <row r="12058" spans="1:5" x14ac:dyDescent="0.55000000000000004">
      <c r="A12058" t="s">
        <v>12139</v>
      </c>
      <c r="B12058" t="s">
        <v>118</v>
      </c>
      <c r="C12058" s="2">
        <v>45282</v>
      </c>
      <c r="D12058" t="s">
        <v>29</v>
      </c>
      <c r="E12058">
        <v>1214</v>
      </c>
    </row>
    <row r="12059" spans="1:5" x14ac:dyDescent="0.55000000000000004">
      <c r="A12059" t="s">
        <v>12140</v>
      </c>
      <c r="B12059" t="s">
        <v>86</v>
      </c>
      <c r="C12059" s="2">
        <v>43597</v>
      </c>
      <c r="D12059" t="s">
        <v>29</v>
      </c>
      <c r="E12059">
        <v>546</v>
      </c>
    </row>
    <row r="12060" spans="1:5" x14ac:dyDescent="0.55000000000000004">
      <c r="A12060" t="s">
        <v>12141</v>
      </c>
      <c r="B12060" t="s">
        <v>140</v>
      </c>
      <c r="C12060" s="2">
        <v>43142</v>
      </c>
      <c r="D12060" t="s">
        <v>29</v>
      </c>
      <c r="E12060">
        <v>488</v>
      </c>
    </row>
    <row r="12061" spans="1:5" x14ac:dyDescent="0.55000000000000004">
      <c r="A12061" t="s">
        <v>12142</v>
      </c>
      <c r="B12061" t="s">
        <v>14</v>
      </c>
      <c r="C12061" s="2">
        <v>43819</v>
      </c>
      <c r="D12061" t="s">
        <v>26</v>
      </c>
      <c r="E12061">
        <v>1424</v>
      </c>
    </row>
    <row r="12062" spans="1:5" x14ac:dyDescent="0.55000000000000004">
      <c r="A12062" t="s">
        <v>12143</v>
      </c>
      <c r="B12062" t="s">
        <v>38</v>
      </c>
      <c r="C12062" s="2">
        <v>44579</v>
      </c>
      <c r="D12062" t="s">
        <v>29</v>
      </c>
      <c r="E12062">
        <v>34</v>
      </c>
    </row>
    <row r="12063" spans="1:5" x14ac:dyDescent="0.55000000000000004">
      <c r="A12063" t="s">
        <v>12144</v>
      </c>
      <c r="B12063" t="s">
        <v>86</v>
      </c>
      <c r="C12063" s="2">
        <v>43237</v>
      </c>
      <c r="D12063" t="s">
        <v>29</v>
      </c>
      <c r="E12063">
        <v>147</v>
      </c>
    </row>
    <row r="12064" spans="1:5" x14ac:dyDescent="0.55000000000000004">
      <c r="A12064" t="s">
        <v>12145</v>
      </c>
      <c r="B12064" t="s">
        <v>99</v>
      </c>
      <c r="C12064" s="2">
        <v>45098</v>
      </c>
      <c r="D12064" t="s">
        <v>29</v>
      </c>
      <c r="E12064">
        <v>1093</v>
      </c>
    </row>
    <row r="12065" spans="1:5" x14ac:dyDescent="0.55000000000000004">
      <c r="A12065" t="s">
        <v>12146</v>
      </c>
      <c r="B12065" t="s">
        <v>156</v>
      </c>
      <c r="C12065" s="2">
        <v>43106</v>
      </c>
      <c r="D12065" t="s">
        <v>26</v>
      </c>
      <c r="E12065">
        <v>782</v>
      </c>
    </row>
    <row r="12066" spans="1:5" x14ac:dyDescent="0.55000000000000004">
      <c r="A12066" t="s">
        <v>12147</v>
      </c>
      <c r="B12066" t="s">
        <v>111</v>
      </c>
      <c r="C12066" s="2">
        <v>44296</v>
      </c>
      <c r="D12066" t="s">
        <v>29</v>
      </c>
      <c r="E12066">
        <v>2686</v>
      </c>
    </row>
    <row r="12067" spans="1:5" x14ac:dyDescent="0.55000000000000004">
      <c r="A12067" t="s">
        <v>12148</v>
      </c>
      <c r="B12067" t="s">
        <v>105</v>
      </c>
      <c r="C12067" s="2">
        <v>43568</v>
      </c>
      <c r="D12067" t="s">
        <v>29</v>
      </c>
      <c r="E12067">
        <v>2444</v>
      </c>
    </row>
    <row r="12068" spans="1:5" x14ac:dyDescent="0.55000000000000004">
      <c r="A12068" t="s">
        <v>12149</v>
      </c>
      <c r="B12068" t="s">
        <v>72</v>
      </c>
      <c r="C12068" s="2">
        <v>43734</v>
      </c>
      <c r="D12068" t="s">
        <v>26</v>
      </c>
      <c r="E12068">
        <v>1284</v>
      </c>
    </row>
    <row r="12069" spans="1:5" x14ac:dyDescent="0.55000000000000004">
      <c r="A12069" t="s">
        <v>12150</v>
      </c>
      <c r="B12069" t="s">
        <v>140</v>
      </c>
      <c r="C12069" s="2">
        <v>42968</v>
      </c>
      <c r="D12069" t="s">
        <v>26</v>
      </c>
      <c r="E12069">
        <v>1568</v>
      </c>
    </row>
    <row r="12070" spans="1:5" x14ac:dyDescent="0.55000000000000004">
      <c r="A12070" t="s">
        <v>12151</v>
      </c>
      <c r="B12070" t="s">
        <v>35</v>
      </c>
      <c r="C12070" s="2">
        <v>44214</v>
      </c>
      <c r="D12070" t="s">
        <v>29</v>
      </c>
      <c r="E12070">
        <v>2725</v>
      </c>
    </row>
    <row r="12071" spans="1:5" x14ac:dyDescent="0.55000000000000004">
      <c r="A12071" t="s">
        <v>12152</v>
      </c>
      <c r="B12071" t="s">
        <v>86</v>
      </c>
      <c r="C12071" s="2">
        <v>43045</v>
      </c>
      <c r="D12071" t="s">
        <v>29</v>
      </c>
      <c r="E12071">
        <v>357</v>
      </c>
    </row>
    <row r="12072" spans="1:5" x14ac:dyDescent="0.55000000000000004">
      <c r="A12072" t="s">
        <v>12153</v>
      </c>
      <c r="B12072" t="s">
        <v>96</v>
      </c>
      <c r="C12072" s="2">
        <v>45295</v>
      </c>
      <c r="D12072" t="s">
        <v>29</v>
      </c>
      <c r="E12072">
        <v>309</v>
      </c>
    </row>
    <row r="12073" spans="1:5" x14ac:dyDescent="0.55000000000000004">
      <c r="A12073" t="s">
        <v>12154</v>
      </c>
      <c r="B12073" t="s">
        <v>76</v>
      </c>
      <c r="C12073" s="2">
        <v>44288</v>
      </c>
      <c r="D12073" t="s">
        <v>29</v>
      </c>
      <c r="E12073">
        <v>2133</v>
      </c>
    </row>
    <row r="12074" spans="1:5" x14ac:dyDescent="0.55000000000000004">
      <c r="A12074" t="s">
        <v>12155</v>
      </c>
      <c r="B12074" t="s">
        <v>84</v>
      </c>
      <c r="C12074" s="2">
        <v>44121</v>
      </c>
      <c r="D12074" t="s">
        <v>29</v>
      </c>
      <c r="E12074">
        <v>892</v>
      </c>
    </row>
    <row r="12075" spans="1:5" x14ac:dyDescent="0.55000000000000004">
      <c r="A12075" t="s">
        <v>12156</v>
      </c>
      <c r="B12075" t="s">
        <v>74</v>
      </c>
      <c r="C12075" s="2">
        <v>43270</v>
      </c>
      <c r="D12075" t="s">
        <v>29</v>
      </c>
      <c r="E12075">
        <v>810</v>
      </c>
    </row>
    <row r="12076" spans="1:5" x14ac:dyDescent="0.55000000000000004">
      <c r="A12076" t="s">
        <v>12157</v>
      </c>
      <c r="B12076" t="s">
        <v>84</v>
      </c>
      <c r="C12076" s="2">
        <v>44484</v>
      </c>
      <c r="D12076" t="s">
        <v>29</v>
      </c>
      <c r="E12076">
        <v>1369</v>
      </c>
    </row>
    <row r="12077" spans="1:5" x14ac:dyDescent="0.55000000000000004">
      <c r="A12077" t="s">
        <v>12158</v>
      </c>
      <c r="B12077" t="s">
        <v>67</v>
      </c>
      <c r="C12077" s="2">
        <v>43547</v>
      </c>
      <c r="D12077" t="s">
        <v>26</v>
      </c>
      <c r="E12077">
        <v>2557</v>
      </c>
    </row>
    <row r="12078" spans="1:5" x14ac:dyDescent="0.55000000000000004">
      <c r="A12078" t="s">
        <v>12159</v>
      </c>
      <c r="B12078" t="s">
        <v>96</v>
      </c>
      <c r="C12078" s="2">
        <v>45199</v>
      </c>
      <c r="D12078" t="s">
        <v>26</v>
      </c>
      <c r="E12078">
        <v>458</v>
      </c>
    </row>
    <row r="12079" spans="1:5" x14ac:dyDescent="0.55000000000000004">
      <c r="A12079" t="s">
        <v>12160</v>
      </c>
      <c r="B12079" t="s">
        <v>151</v>
      </c>
      <c r="C12079" s="2">
        <v>43467</v>
      </c>
      <c r="D12079" t="s">
        <v>29</v>
      </c>
      <c r="E12079">
        <v>365</v>
      </c>
    </row>
    <row r="12080" spans="1:5" x14ac:dyDescent="0.55000000000000004">
      <c r="A12080" t="s">
        <v>12161</v>
      </c>
      <c r="B12080" t="s">
        <v>101</v>
      </c>
      <c r="C12080" s="2">
        <v>43484</v>
      </c>
      <c r="D12080" t="s">
        <v>29</v>
      </c>
      <c r="E12080">
        <v>315</v>
      </c>
    </row>
    <row r="12081" spans="1:5" x14ac:dyDescent="0.55000000000000004">
      <c r="A12081" t="s">
        <v>12162</v>
      </c>
      <c r="B12081" t="s">
        <v>111</v>
      </c>
      <c r="C12081" s="2">
        <v>43221</v>
      </c>
      <c r="D12081" t="s">
        <v>29</v>
      </c>
      <c r="E12081">
        <v>1373</v>
      </c>
    </row>
    <row r="12082" spans="1:5" x14ac:dyDescent="0.55000000000000004">
      <c r="A12082" t="s">
        <v>12163</v>
      </c>
      <c r="B12082" t="s">
        <v>63</v>
      </c>
      <c r="C12082" s="2">
        <v>43226</v>
      </c>
      <c r="D12082" t="s">
        <v>26</v>
      </c>
      <c r="E12082">
        <v>522</v>
      </c>
    </row>
    <row r="12083" spans="1:5" x14ac:dyDescent="0.55000000000000004">
      <c r="A12083" t="s">
        <v>12164</v>
      </c>
      <c r="B12083" t="s">
        <v>76</v>
      </c>
      <c r="C12083" s="2">
        <v>44537</v>
      </c>
      <c r="D12083" t="s">
        <v>29</v>
      </c>
      <c r="E12083">
        <v>160</v>
      </c>
    </row>
    <row r="12084" spans="1:5" x14ac:dyDescent="0.55000000000000004">
      <c r="A12084" t="s">
        <v>12165</v>
      </c>
      <c r="B12084" t="s">
        <v>78</v>
      </c>
      <c r="C12084" s="2">
        <v>45555</v>
      </c>
      <c r="D12084" t="s">
        <v>26</v>
      </c>
      <c r="E12084">
        <v>9</v>
      </c>
    </row>
    <row r="12085" spans="1:5" x14ac:dyDescent="0.55000000000000004">
      <c r="A12085" t="s">
        <v>12166</v>
      </c>
      <c r="B12085" t="s">
        <v>115</v>
      </c>
      <c r="C12085" s="2">
        <v>43469</v>
      </c>
      <c r="D12085" t="s">
        <v>26</v>
      </c>
      <c r="E12085">
        <v>687</v>
      </c>
    </row>
    <row r="12086" spans="1:5" x14ac:dyDescent="0.55000000000000004">
      <c r="A12086" t="s">
        <v>12167</v>
      </c>
      <c r="B12086" t="s">
        <v>23</v>
      </c>
      <c r="C12086" s="2">
        <v>44737</v>
      </c>
      <c r="D12086" t="s">
        <v>26</v>
      </c>
      <c r="E12086">
        <v>2520</v>
      </c>
    </row>
    <row r="12087" spans="1:5" x14ac:dyDescent="0.55000000000000004">
      <c r="A12087" t="s">
        <v>12168</v>
      </c>
      <c r="B12087" t="s">
        <v>99</v>
      </c>
      <c r="C12087" s="2">
        <v>45658</v>
      </c>
      <c r="D12087" t="s">
        <v>29</v>
      </c>
      <c r="E12087">
        <v>178</v>
      </c>
    </row>
    <row r="12088" spans="1:5" x14ac:dyDescent="0.55000000000000004">
      <c r="A12088" t="s">
        <v>12169</v>
      </c>
      <c r="B12088" t="s">
        <v>118</v>
      </c>
      <c r="C12088" s="2">
        <v>45741</v>
      </c>
      <c r="D12088" t="s">
        <v>29</v>
      </c>
      <c r="E12088">
        <v>1008</v>
      </c>
    </row>
    <row r="12089" spans="1:5" x14ac:dyDescent="0.55000000000000004">
      <c r="A12089" t="s">
        <v>12170</v>
      </c>
      <c r="B12089" t="s">
        <v>15</v>
      </c>
      <c r="C12089" s="2">
        <v>44489</v>
      </c>
      <c r="D12089" t="s">
        <v>29</v>
      </c>
      <c r="E12089">
        <v>2268</v>
      </c>
    </row>
    <row r="12090" spans="1:5" x14ac:dyDescent="0.55000000000000004">
      <c r="A12090" t="s">
        <v>12171</v>
      </c>
      <c r="B12090" t="s">
        <v>38</v>
      </c>
      <c r="C12090" s="2">
        <v>44075</v>
      </c>
      <c r="D12090" t="s">
        <v>26</v>
      </c>
      <c r="E12090">
        <v>1645</v>
      </c>
    </row>
    <row r="12091" spans="1:5" x14ac:dyDescent="0.55000000000000004">
      <c r="A12091" t="s">
        <v>12172</v>
      </c>
      <c r="B12091" t="s">
        <v>67</v>
      </c>
      <c r="C12091" s="2">
        <v>43916</v>
      </c>
      <c r="D12091" t="s">
        <v>29</v>
      </c>
      <c r="E12091">
        <v>2463</v>
      </c>
    </row>
    <row r="12092" spans="1:5" x14ac:dyDescent="0.55000000000000004">
      <c r="A12092" t="s">
        <v>12173</v>
      </c>
      <c r="B12092" t="s">
        <v>63</v>
      </c>
      <c r="C12092" s="2">
        <v>42933</v>
      </c>
      <c r="D12092" t="s">
        <v>26</v>
      </c>
      <c r="E12092">
        <v>2134</v>
      </c>
    </row>
    <row r="12093" spans="1:5" x14ac:dyDescent="0.55000000000000004">
      <c r="A12093" t="s">
        <v>12174</v>
      </c>
      <c r="B12093" t="s">
        <v>76</v>
      </c>
      <c r="C12093" s="2">
        <v>43540</v>
      </c>
      <c r="D12093" t="s">
        <v>29</v>
      </c>
      <c r="E12093">
        <v>2109</v>
      </c>
    </row>
    <row r="12094" spans="1:5" x14ac:dyDescent="0.55000000000000004">
      <c r="A12094" t="s">
        <v>12175</v>
      </c>
      <c r="B12094" t="s">
        <v>99</v>
      </c>
      <c r="C12094" s="2">
        <v>43514</v>
      </c>
      <c r="D12094" t="s">
        <v>29</v>
      </c>
      <c r="E12094">
        <v>2680</v>
      </c>
    </row>
    <row r="12095" spans="1:5" x14ac:dyDescent="0.55000000000000004">
      <c r="A12095" t="s">
        <v>12176</v>
      </c>
      <c r="B12095" t="s">
        <v>67</v>
      </c>
      <c r="C12095" s="2">
        <v>43637</v>
      </c>
      <c r="D12095" t="s">
        <v>26</v>
      </c>
      <c r="E12095">
        <v>1096</v>
      </c>
    </row>
    <row r="12096" spans="1:5" x14ac:dyDescent="0.55000000000000004">
      <c r="A12096" t="s">
        <v>12177</v>
      </c>
      <c r="B12096" t="s">
        <v>14</v>
      </c>
      <c r="C12096" s="2">
        <v>43311</v>
      </c>
      <c r="D12096" t="s">
        <v>26</v>
      </c>
      <c r="E12096">
        <v>1157</v>
      </c>
    </row>
    <row r="12097" spans="1:5" x14ac:dyDescent="0.55000000000000004">
      <c r="A12097" t="s">
        <v>12178</v>
      </c>
      <c r="B12097" t="s">
        <v>41</v>
      </c>
      <c r="C12097" s="2">
        <v>43882</v>
      </c>
      <c r="D12097" t="s">
        <v>29</v>
      </c>
      <c r="E12097">
        <v>136</v>
      </c>
    </row>
    <row r="12098" spans="1:5" x14ac:dyDescent="0.55000000000000004">
      <c r="A12098" t="s">
        <v>12179</v>
      </c>
      <c r="B12098" t="s">
        <v>99</v>
      </c>
      <c r="C12098" s="2">
        <v>43926</v>
      </c>
      <c r="D12098" t="s">
        <v>26</v>
      </c>
      <c r="E12098">
        <v>1388</v>
      </c>
    </row>
    <row r="12099" spans="1:5" x14ac:dyDescent="0.55000000000000004">
      <c r="A12099" t="s">
        <v>12180</v>
      </c>
      <c r="B12099" t="s">
        <v>101</v>
      </c>
      <c r="C12099" s="2">
        <v>44371</v>
      </c>
      <c r="D12099" t="s">
        <v>26</v>
      </c>
      <c r="E12099">
        <v>1397</v>
      </c>
    </row>
    <row r="12100" spans="1:5" x14ac:dyDescent="0.55000000000000004">
      <c r="A12100" t="s">
        <v>12181</v>
      </c>
      <c r="B12100" t="s">
        <v>35</v>
      </c>
      <c r="C12100" s="2">
        <v>44892</v>
      </c>
      <c r="D12100" t="s">
        <v>29</v>
      </c>
      <c r="E12100">
        <v>2422</v>
      </c>
    </row>
    <row r="12101" spans="1:5" x14ac:dyDescent="0.55000000000000004">
      <c r="A12101" t="s">
        <v>12182</v>
      </c>
      <c r="B12101" t="s">
        <v>23</v>
      </c>
      <c r="C12101" s="2">
        <v>43908</v>
      </c>
      <c r="D12101" t="s">
        <v>26</v>
      </c>
      <c r="E12101">
        <v>432</v>
      </c>
    </row>
    <row r="12102" spans="1:5" x14ac:dyDescent="0.55000000000000004">
      <c r="A12102" t="s">
        <v>12183</v>
      </c>
      <c r="B12102" t="s">
        <v>118</v>
      </c>
      <c r="C12102" s="2">
        <v>44432</v>
      </c>
      <c r="D12102" t="s">
        <v>26</v>
      </c>
      <c r="E12102">
        <v>398</v>
      </c>
    </row>
    <row r="12103" spans="1:5" x14ac:dyDescent="0.55000000000000004">
      <c r="A12103" t="s">
        <v>12184</v>
      </c>
      <c r="B12103" t="s">
        <v>140</v>
      </c>
      <c r="C12103" s="2">
        <v>44353</v>
      </c>
      <c r="D12103" t="s">
        <v>29</v>
      </c>
      <c r="E12103">
        <v>2328</v>
      </c>
    </row>
    <row r="12104" spans="1:5" x14ac:dyDescent="0.55000000000000004">
      <c r="A12104" t="s">
        <v>12185</v>
      </c>
      <c r="B12104" t="s">
        <v>156</v>
      </c>
      <c r="C12104" s="2">
        <v>43773</v>
      </c>
      <c r="D12104" t="s">
        <v>26</v>
      </c>
      <c r="E12104">
        <v>561</v>
      </c>
    </row>
    <row r="12105" spans="1:5" x14ac:dyDescent="0.55000000000000004">
      <c r="A12105" t="s">
        <v>12186</v>
      </c>
      <c r="B12105" t="s">
        <v>35</v>
      </c>
      <c r="C12105" s="2">
        <v>43984</v>
      </c>
      <c r="D12105" t="s">
        <v>26</v>
      </c>
      <c r="E12105">
        <v>1190</v>
      </c>
    </row>
    <row r="12106" spans="1:5" x14ac:dyDescent="0.55000000000000004">
      <c r="A12106" t="s">
        <v>12187</v>
      </c>
      <c r="B12106" t="s">
        <v>94</v>
      </c>
      <c r="C12106" s="2">
        <v>45227</v>
      </c>
      <c r="D12106" t="s">
        <v>29</v>
      </c>
      <c r="E12106">
        <v>1728</v>
      </c>
    </row>
    <row r="12107" spans="1:5" x14ac:dyDescent="0.55000000000000004">
      <c r="A12107" t="s">
        <v>12188</v>
      </c>
      <c r="B12107" t="s">
        <v>118</v>
      </c>
      <c r="C12107" s="2">
        <v>44523</v>
      </c>
      <c r="D12107" t="s">
        <v>26</v>
      </c>
      <c r="E12107">
        <v>2071</v>
      </c>
    </row>
    <row r="12108" spans="1:5" x14ac:dyDescent="0.55000000000000004">
      <c r="A12108" t="s">
        <v>12189</v>
      </c>
      <c r="B12108" t="s">
        <v>115</v>
      </c>
      <c r="C12108" s="2">
        <v>43222</v>
      </c>
      <c r="D12108" t="s">
        <v>29</v>
      </c>
      <c r="E12108">
        <v>2318</v>
      </c>
    </row>
    <row r="12109" spans="1:5" x14ac:dyDescent="0.55000000000000004">
      <c r="A12109" t="s">
        <v>12190</v>
      </c>
      <c r="B12109" t="s">
        <v>67</v>
      </c>
      <c r="C12109" s="2">
        <v>44244</v>
      </c>
      <c r="D12109" t="s">
        <v>29</v>
      </c>
      <c r="E12109">
        <v>650</v>
      </c>
    </row>
    <row r="12110" spans="1:5" x14ac:dyDescent="0.55000000000000004">
      <c r="A12110" t="s">
        <v>12191</v>
      </c>
      <c r="B12110" t="s">
        <v>142</v>
      </c>
      <c r="C12110" s="2">
        <v>43853</v>
      </c>
      <c r="D12110" t="s">
        <v>29</v>
      </c>
      <c r="E12110">
        <v>2547</v>
      </c>
    </row>
    <row r="12111" spans="1:5" x14ac:dyDescent="0.55000000000000004">
      <c r="A12111" t="s">
        <v>12192</v>
      </c>
      <c r="B12111" t="s">
        <v>67</v>
      </c>
      <c r="C12111" s="2">
        <v>45759</v>
      </c>
      <c r="D12111" t="s">
        <v>29</v>
      </c>
      <c r="E12111">
        <v>2395</v>
      </c>
    </row>
    <row r="12112" spans="1:5" x14ac:dyDescent="0.55000000000000004">
      <c r="A12112" t="s">
        <v>12193</v>
      </c>
      <c r="B12112" t="s">
        <v>94</v>
      </c>
      <c r="C12112" s="2">
        <v>44780</v>
      </c>
      <c r="D12112" t="s">
        <v>26</v>
      </c>
      <c r="E12112">
        <v>705</v>
      </c>
    </row>
    <row r="12113" spans="1:5" x14ac:dyDescent="0.55000000000000004">
      <c r="A12113" t="s">
        <v>12194</v>
      </c>
      <c r="B12113" t="s">
        <v>101</v>
      </c>
      <c r="C12113" s="2">
        <v>42926</v>
      </c>
      <c r="D12113" t="s">
        <v>26</v>
      </c>
      <c r="E12113">
        <v>1</v>
      </c>
    </row>
    <row r="12114" spans="1:5" x14ac:dyDescent="0.55000000000000004">
      <c r="A12114" t="s">
        <v>12195</v>
      </c>
      <c r="B12114" t="s">
        <v>63</v>
      </c>
      <c r="C12114" s="2">
        <v>43375</v>
      </c>
      <c r="D12114" t="s">
        <v>26</v>
      </c>
      <c r="E12114">
        <v>2965</v>
      </c>
    </row>
    <row r="12115" spans="1:5" x14ac:dyDescent="0.55000000000000004">
      <c r="A12115" t="s">
        <v>12196</v>
      </c>
      <c r="B12115" t="s">
        <v>175</v>
      </c>
      <c r="C12115" s="2">
        <v>44529</v>
      </c>
      <c r="D12115" t="s">
        <v>29</v>
      </c>
      <c r="E12115">
        <v>1513</v>
      </c>
    </row>
    <row r="12116" spans="1:5" x14ac:dyDescent="0.55000000000000004">
      <c r="A12116" t="s">
        <v>12197</v>
      </c>
      <c r="B12116" t="s">
        <v>140</v>
      </c>
      <c r="C12116" s="2">
        <v>44323</v>
      </c>
      <c r="D12116" t="s">
        <v>29</v>
      </c>
      <c r="E12116">
        <v>2029</v>
      </c>
    </row>
    <row r="12117" spans="1:5" x14ac:dyDescent="0.55000000000000004">
      <c r="A12117" t="s">
        <v>12198</v>
      </c>
      <c r="B12117" t="s">
        <v>41</v>
      </c>
      <c r="C12117" s="2">
        <v>44076</v>
      </c>
      <c r="D12117" t="s">
        <v>29</v>
      </c>
      <c r="E12117">
        <v>1600</v>
      </c>
    </row>
    <row r="12118" spans="1:5" x14ac:dyDescent="0.55000000000000004">
      <c r="A12118" t="s">
        <v>12199</v>
      </c>
      <c r="B12118" t="s">
        <v>86</v>
      </c>
      <c r="C12118" s="2">
        <v>43922</v>
      </c>
      <c r="D12118" t="s">
        <v>26</v>
      </c>
      <c r="E12118">
        <v>864</v>
      </c>
    </row>
    <row r="12119" spans="1:5" x14ac:dyDescent="0.55000000000000004">
      <c r="A12119" t="s">
        <v>12200</v>
      </c>
      <c r="B12119" t="s">
        <v>14</v>
      </c>
      <c r="C12119" s="2">
        <v>43501</v>
      </c>
      <c r="D12119" t="s">
        <v>29</v>
      </c>
      <c r="E12119">
        <v>234</v>
      </c>
    </row>
    <row r="12120" spans="1:5" x14ac:dyDescent="0.55000000000000004">
      <c r="A12120" t="s">
        <v>12201</v>
      </c>
      <c r="B12120" t="s">
        <v>156</v>
      </c>
      <c r="C12120" s="2">
        <v>43398</v>
      </c>
      <c r="D12120" t="s">
        <v>29</v>
      </c>
      <c r="E12120">
        <v>1190</v>
      </c>
    </row>
    <row r="12121" spans="1:5" x14ac:dyDescent="0.55000000000000004">
      <c r="A12121" t="s">
        <v>12202</v>
      </c>
      <c r="B12121" t="s">
        <v>35</v>
      </c>
      <c r="C12121" s="2">
        <v>44036</v>
      </c>
      <c r="D12121" t="s">
        <v>29</v>
      </c>
      <c r="E12121">
        <v>1108</v>
      </c>
    </row>
    <row r="12122" spans="1:5" x14ac:dyDescent="0.55000000000000004">
      <c r="A12122" t="s">
        <v>12203</v>
      </c>
      <c r="B12122" t="s">
        <v>86</v>
      </c>
      <c r="C12122" s="2">
        <v>42997</v>
      </c>
      <c r="D12122" t="s">
        <v>29</v>
      </c>
      <c r="E12122">
        <v>590</v>
      </c>
    </row>
    <row r="12123" spans="1:5" x14ac:dyDescent="0.55000000000000004">
      <c r="A12123" t="s">
        <v>12204</v>
      </c>
      <c r="B12123" t="s">
        <v>94</v>
      </c>
      <c r="C12123" s="2">
        <v>45774</v>
      </c>
      <c r="D12123" t="s">
        <v>29</v>
      </c>
      <c r="E12123">
        <v>778</v>
      </c>
    </row>
    <row r="12124" spans="1:5" x14ac:dyDescent="0.55000000000000004">
      <c r="A12124" t="s">
        <v>12205</v>
      </c>
      <c r="B12124" t="s">
        <v>137</v>
      </c>
      <c r="C12124" s="2">
        <v>43999</v>
      </c>
      <c r="D12124" t="s">
        <v>26</v>
      </c>
      <c r="E12124">
        <v>926</v>
      </c>
    </row>
    <row r="12125" spans="1:5" x14ac:dyDescent="0.55000000000000004">
      <c r="A12125" t="s">
        <v>12206</v>
      </c>
      <c r="B12125" t="s">
        <v>14</v>
      </c>
      <c r="C12125" s="2">
        <v>43883</v>
      </c>
      <c r="D12125" t="s">
        <v>26</v>
      </c>
      <c r="E12125">
        <v>1110</v>
      </c>
    </row>
    <row r="12126" spans="1:5" x14ac:dyDescent="0.55000000000000004">
      <c r="A12126" t="s">
        <v>12207</v>
      </c>
      <c r="B12126" t="s">
        <v>94</v>
      </c>
      <c r="C12126" s="2">
        <v>45729</v>
      </c>
      <c r="D12126" t="s">
        <v>29</v>
      </c>
      <c r="E12126">
        <v>1579</v>
      </c>
    </row>
    <row r="12127" spans="1:5" x14ac:dyDescent="0.55000000000000004">
      <c r="A12127" t="s">
        <v>12208</v>
      </c>
      <c r="B12127" t="s">
        <v>84</v>
      </c>
      <c r="C12127" s="2">
        <v>43109</v>
      </c>
      <c r="D12127" t="s">
        <v>26</v>
      </c>
      <c r="E12127">
        <v>1692</v>
      </c>
    </row>
    <row r="12128" spans="1:5" x14ac:dyDescent="0.55000000000000004">
      <c r="A12128" t="s">
        <v>12209</v>
      </c>
      <c r="B12128" t="s">
        <v>115</v>
      </c>
      <c r="C12128" s="2">
        <v>43362</v>
      </c>
      <c r="D12128" t="s">
        <v>29</v>
      </c>
      <c r="E12128">
        <v>1487</v>
      </c>
    </row>
    <row r="12129" spans="1:5" x14ac:dyDescent="0.55000000000000004">
      <c r="A12129" t="s">
        <v>12210</v>
      </c>
      <c r="B12129" t="s">
        <v>96</v>
      </c>
      <c r="C12129" s="2">
        <v>44495</v>
      </c>
      <c r="D12129" t="s">
        <v>29</v>
      </c>
      <c r="E12129">
        <v>2228</v>
      </c>
    </row>
    <row r="12130" spans="1:5" x14ac:dyDescent="0.55000000000000004">
      <c r="A12130" t="s">
        <v>12211</v>
      </c>
      <c r="B12130" t="s">
        <v>101</v>
      </c>
      <c r="C12130" s="2">
        <v>43159</v>
      </c>
      <c r="D12130" t="s">
        <v>26</v>
      </c>
      <c r="E12130">
        <v>2817</v>
      </c>
    </row>
    <row r="12131" spans="1:5" x14ac:dyDescent="0.55000000000000004">
      <c r="A12131" t="s">
        <v>12212</v>
      </c>
      <c r="B12131" t="s">
        <v>111</v>
      </c>
      <c r="C12131" s="2">
        <v>43949</v>
      </c>
      <c r="D12131" t="s">
        <v>26</v>
      </c>
      <c r="E12131">
        <v>2361</v>
      </c>
    </row>
    <row r="12132" spans="1:5" x14ac:dyDescent="0.55000000000000004">
      <c r="A12132" t="s">
        <v>12213</v>
      </c>
      <c r="B12132" t="s">
        <v>63</v>
      </c>
      <c r="C12132" s="2">
        <v>43556</v>
      </c>
      <c r="D12132" t="s">
        <v>26</v>
      </c>
      <c r="E12132">
        <v>2122</v>
      </c>
    </row>
    <row r="12133" spans="1:5" x14ac:dyDescent="0.55000000000000004">
      <c r="A12133" t="s">
        <v>12214</v>
      </c>
      <c r="B12133" t="s">
        <v>63</v>
      </c>
      <c r="C12133" s="2">
        <v>43672</v>
      </c>
      <c r="D12133" t="s">
        <v>29</v>
      </c>
      <c r="E12133">
        <v>2594</v>
      </c>
    </row>
    <row r="12134" spans="1:5" x14ac:dyDescent="0.55000000000000004">
      <c r="A12134" t="s">
        <v>12215</v>
      </c>
      <c r="B12134" t="s">
        <v>175</v>
      </c>
      <c r="C12134" s="2">
        <v>44609</v>
      </c>
      <c r="D12134" t="s">
        <v>26</v>
      </c>
      <c r="E12134">
        <v>2766</v>
      </c>
    </row>
    <row r="12135" spans="1:5" x14ac:dyDescent="0.55000000000000004">
      <c r="A12135" t="s">
        <v>12216</v>
      </c>
      <c r="B12135" t="s">
        <v>35</v>
      </c>
      <c r="C12135" s="2">
        <v>44801</v>
      </c>
      <c r="D12135" t="s">
        <v>29</v>
      </c>
      <c r="E12135">
        <v>2312</v>
      </c>
    </row>
    <row r="12136" spans="1:5" x14ac:dyDescent="0.55000000000000004">
      <c r="A12136" t="s">
        <v>12217</v>
      </c>
      <c r="B12136" t="s">
        <v>99</v>
      </c>
      <c r="C12136" s="2">
        <v>45554</v>
      </c>
      <c r="D12136" t="s">
        <v>26</v>
      </c>
      <c r="E12136">
        <v>2414</v>
      </c>
    </row>
    <row r="12137" spans="1:5" x14ac:dyDescent="0.55000000000000004">
      <c r="A12137" t="s">
        <v>12218</v>
      </c>
      <c r="B12137" t="s">
        <v>105</v>
      </c>
      <c r="C12137" s="2">
        <v>42948</v>
      </c>
      <c r="D12137" t="s">
        <v>29</v>
      </c>
      <c r="E12137">
        <v>2506</v>
      </c>
    </row>
    <row r="12138" spans="1:5" x14ac:dyDescent="0.55000000000000004">
      <c r="A12138" t="s">
        <v>12219</v>
      </c>
      <c r="B12138" t="s">
        <v>101</v>
      </c>
      <c r="C12138" s="2">
        <v>43680</v>
      </c>
      <c r="D12138" t="s">
        <v>29</v>
      </c>
      <c r="E12138">
        <v>2511</v>
      </c>
    </row>
    <row r="12139" spans="1:5" x14ac:dyDescent="0.55000000000000004">
      <c r="A12139" t="s">
        <v>12220</v>
      </c>
      <c r="B12139" t="s">
        <v>151</v>
      </c>
      <c r="C12139" s="2">
        <v>43281</v>
      </c>
      <c r="D12139" t="s">
        <v>29</v>
      </c>
      <c r="E12139">
        <v>2720</v>
      </c>
    </row>
    <row r="12140" spans="1:5" x14ac:dyDescent="0.55000000000000004">
      <c r="A12140" t="s">
        <v>12221</v>
      </c>
      <c r="B12140" t="s">
        <v>32</v>
      </c>
      <c r="C12140" s="2">
        <v>44680</v>
      </c>
      <c r="D12140" t="s">
        <v>26</v>
      </c>
      <c r="E12140">
        <v>1877</v>
      </c>
    </row>
    <row r="12141" spans="1:5" x14ac:dyDescent="0.55000000000000004">
      <c r="A12141" t="s">
        <v>12222</v>
      </c>
      <c r="B12141" t="s">
        <v>140</v>
      </c>
      <c r="C12141" s="2">
        <v>44326</v>
      </c>
      <c r="D12141" t="s">
        <v>26</v>
      </c>
      <c r="E12141">
        <v>568</v>
      </c>
    </row>
    <row r="12142" spans="1:5" x14ac:dyDescent="0.55000000000000004">
      <c r="A12142" t="s">
        <v>12223</v>
      </c>
      <c r="B12142" t="s">
        <v>63</v>
      </c>
      <c r="C12142" s="2">
        <v>43765</v>
      </c>
      <c r="D12142" t="s">
        <v>26</v>
      </c>
      <c r="E12142">
        <v>339</v>
      </c>
    </row>
    <row r="12143" spans="1:5" x14ac:dyDescent="0.55000000000000004">
      <c r="A12143" t="s">
        <v>12224</v>
      </c>
      <c r="B12143" t="s">
        <v>137</v>
      </c>
      <c r="C12143" s="2">
        <v>44178</v>
      </c>
      <c r="D12143" t="s">
        <v>29</v>
      </c>
      <c r="E12143">
        <v>1394</v>
      </c>
    </row>
    <row r="12144" spans="1:5" x14ac:dyDescent="0.55000000000000004">
      <c r="A12144" t="s">
        <v>12225</v>
      </c>
      <c r="B12144" t="s">
        <v>63</v>
      </c>
      <c r="C12144" s="2">
        <v>43437</v>
      </c>
      <c r="D12144" t="s">
        <v>26</v>
      </c>
      <c r="E12144">
        <v>2180</v>
      </c>
    </row>
    <row r="12145" spans="1:5" x14ac:dyDescent="0.55000000000000004">
      <c r="A12145" t="s">
        <v>12226</v>
      </c>
      <c r="B12145" t="s">
        <v>151</v>
      </c>
      <c r="C12145" s="2">
        <v>44172</v>
      </c>
      <c r="D12145" t="s">
        <v>29</v>
      </c>
      <c r="E12145">
        <v>1389</v>
      </c>
    </row>
    <row r="12146" spans="1:5" x14ac:dyDescent="0.55000000000000004">
      <c r="A12146" t="s">
        <v>12227</v>
      </c>
      <c r="B12146" t="s">
        <v>35</v>
      </c>
      <c r="C12146" s="2">
        <v>44794</v>
      </c>
      <c r="D12146" t="s">
        <v>26</v>
      </c>
      <c r="E12146">
        <v>659</v>
      </c>
    </row>
    <row r="12147" spans="1:5" x14ac:dyDescent="0.55000000000000004">
      <c r="A12147" t="s">
        <v>12228</v>
      </c>
      <c r="B12147" t="s">
        <v>94</v>
      </c>
      <c r="C12147" s="2">
        <v>44015</v>
      </c>
      <c r="D12147" t="s">
        <v>26</v>
      </c>
      <c r="E12147">
        <v>360</v>
      </c>
    </row>
    <row r="12148" spans="1:5" x14ac:dyDescent="0.55000000000000004">
      <c r="A12148" t="s">
        <v>12229</v>
      </c>
      <c r="B12148" t="s">
        <v>76</v>
      </c>
      <c r="C12148" s="2">
        <v>45327</v>
      </c>
      <c r="D12148" t="s">
        <v>29</v>
      </c>
      <c r="E12148">
        <v>330</v>
      </c>
    </row>
    <row r="12149" spans="1:5" x14ac:dyDescent="0.55000000000000004">
      <c r="A12149" t="s">
        <v>12230</v>
      </c>
      <c r="B12149" t="s">
        <v>38</v>
      </c>
      <c r="C12149" s="2">
        <v>43885</v>
      </c>
      <c r="D12149" t="s">
        <v>29</v>
      </c>
      <c r="E12149">
        <v>532</v>
      </c>
    </row>
    <row r="12150" spans="1:5" x14ac:dyDescent="0.55000000000000004">
      <c r="A12150" t="s">
        <v>12231</v>
      </c>
      <c r="B12150" t="s">
        <v>23</v>
      </c>
      <c r="C12150" s="2">
        <v>44437</v>
      </c>
      <c r="D12150" t="s">
        <v>29</v>
      </c>
      <c r="E12150">
        <v>72</v>
      </c>
    </row>
    <row r="12151" spans="1:5" x14ac:dyDescent="0.55000000000000004">
      <c r="A12151" t="s">
        <v>12232</v>
      </c>
      <c r="B12151" t="s">
        <v>72</v>
      </c>
      <c r="C12151" s="2">
        <v>44450</v>
      </c>
      <c r="D12151" t="s">
        <v>29</v>
      </c>
      <c r="E12151">
        <v>2705</v>
      </c>
    </row>
    <row r="12152" spans="1:5" x14ac:dyDescent="0.55000000000000004">
      <c r="A12152" t="s">
        <v>12233</v>
      </c>
      <c r="B12152" t="s">
        <v>118</v>
      </c>
      <c r="C12152" s="2">
        <v>45806</v>
      </c>
      <c r="D12152" t="s">
        <v>29</v>
      </c>
      <c r="E12152">
        <v>1095</v>
      </c>
    </row>
    <row r="12153" spans="1:5" x14ac:dyDescent="0.55000000000000004">
      <c r="A12153" t="s">
        <v>12234</v>
      </c>
      <c r="B12153" t="s">
        <v>15</v>
      </c>
      <c r="C12153" s="2">
        <v>43374</v>
      </c>
      <c r="D12153" t="s">
        <v>29</v>
      </c>
      <c r="E12153">
        <v>2731</v>
      </c>
    </row>
    <row r="12154" spans="1:5" x14ac:dyDescent="0.55000000000000004">
      <c r="A12154" t="s">
        <v>12235</v>
      </c>
      <c r="B12154" t="s">
        <v>151</v>
      </c>
      <c r="C12154" s="2">
        <v>43485</v>
      </c>
      <c r="D12154" t="s">
        <v>26</v>
      </c>
      <c r="E12154">
        <v>2631</v>
      </c>
    </row>
    <row r="12155" spans="1:5" x14ac:dyDescent="0.55000000000000004">
      <c r="A12155" t="s">
        <v>12236</v>
      </c>
      <c r="B12155" t="s">
        <v>156</v>
      </c>
      <c r="C12155" s="2">
        <v>44343</v>
      </c>
      <c r="D12155" t="s">
        <v>26</v>
      </c>
      <c r="E12155">
        <v>2544</v>
      </c>
    </row>
    <row r="12156" spans="1:5" x14ac:dyDescent="0.55000000000000004">
      <c r="A12156" t="s">
        <v>12237</v>
      </c>
      <c r="B12156" t="s">
        <v>74</v>
      </c>
      <c r="C12156" s="2">
        <v>42979</v>
      </c>
      <c r="D12156" t="s">
        <v>26</v>
      </c>
      <c r="E12156">
        <v>762</v>
      </c>
    </row>
    <row r="12157" spans="1:5" x14ac:dyDescent="0.55000000000000004">
      <c r="A12157" t="s">
        <v>12238</v>
      </c>
      <c r="B12157" t="s">
        <v>63</v>
      </c>
      <c r="C12157" s="2">
        <v>44424</v>
      </c>
      <c r="D12157" t="s">
        <v>26</v>
      </c>
      <c r="E12157">
        <v>2165</v>
      </c>
    </row>
    <row r="12158" spans="1:5" x14ac:dyDescent="0.55000000000000004">
      <c r="A12158" t="s">
        <v>12239</v>
      </c>
      <c r="B12158" t="s">
        <v>140</v>
      </c>
      <c r="C12158" s="2">
        <v>44274</v>
      </c>
      <c r="D12158" t="s">
        <v>29</v>
      </c>
      <c r="E12158">
        <v>1919</v>
      </c>
    </row>
    <row r="12159" spans="1:5" x14ac:dyDescent="0.55000000000000004">
      <c r="A12159" t="s">
        <v>12240</v>
      </c>
      <c r="B12159" t="s">
        <v>76</v>
      </c>
      <c r="C12159" s="2">
        <v>45813</v>
      </c>
      <c r="D12159" t="s">
        <v>26</v>
      </c>
      <c r="E12159">
        <v>1738</v>
      </c>
    </row>
    <row r="12160" spans="1:5" x14ac:dyDescent="0.55000000000000004">
      <c r="A12160" t="s">
        <v>12241</v>
      </c>
      <c r="B12160" t="s">
        <v>140</v>
      </c>
      <c r="C12160" s="2">
        <v>44227</v>
      </c>
      <c r="D12160" t="s">
        <v>29</v>
      </c>
      <c r="E12160">
        <v>1052</v>
      </c>
    </row>
    <row r="12161" spans="1:5" x14ac:dyDescent="0.55000000000000004">
      <c r="A12161" t="s">
        <v>12242</v>
      </c>
      <c r="B12161" t="s">
        <v>96</v>
      </c>
      <c r="C12161" s="2">
        <v>45440</v>
      </c>
      <c r="D12161" t="s">
        <v>26</v>
      </c>
      <c r="E12161">
        <v>211</v>
      </c>
    </row>
    <row r="12162" spans="1:5" x14ac:dyDescent="0.55000000000000004">
      <c r="A12162" t="s">
        <v>12243</v>
      </c>
      <c r="B12162" t="s">
        <v>41</v>
      </c>
      <c r="C12162" s="2">
        <v>44030</v>
      </c>
      <c r="D12162" t="s">
        <v>26</v>
      </c>
      <c r="E12162">
        <v>2711</v>
      </c>
    </row>
    <row r="12163" spans="1:5" x14ac:dyDescent="0.55000000000000004">
      <c r="A12163" t="s">
        <v>12244</v>
      </c>
      <c r="B12163" t="s">
        <v>76</v>
      </c>
      <c r="C12163" s="2">
        <v>43717</v>
      </c>
      <c r="D12163" t="s">
        <v>29</v>
      </c>
      <c r="E12163">
        <v>6</v>
      </c>
    </row>
    <row r="12164" spans="1:5" x14ac:dyDescent="0.55000000000000004">
      <c r="A12164" t="s">
        <v>12245</v>
      </c>
      <c r="B12164" t="s">
        <v>99</v>
      </c>
      <c r="C12164" s="2">
        <v>44409</v>
      </c>
      <c r="D12164" t="s">
        <v>29</v>
      </c>
      <c r="E12164">
        <v>1011</v>
      </c>
    </row>
    <row r="12165" spans="1:5" x14ac:dyDescent="0.55000000000000004">
      <c r="A12165" t="s">
        <v>12246</v>
      </c>
      <c r="B12165" t="s">
        <v>78</v>
      </c>
      <c r="C12165" s="2">
        <v>45384</v>
      </c>
      <c r="D12165" t="s">
        <v>26</v>
      </c>
      <c r="E12165">
        <v>1614</v>
      </c>
    </row>
    <row r="12166" spans="1:5" x14ac:dyDescent="0.55000000000000004">
      <c r="A12166" t="s">
        <v>12247</v>
      </c>
      <c r="B12166" t="s">
        <v>14</v>
      </c>
      <c r="C12166" s="2">
        <v>44539</v>
      </c>
      <c r="D12166" t="s">
        <v>26</v>
      </c>
      <c r="E12166">
        <v>2631</v>
      </c>
    </row>
    <row r="12167" spans="1:5" x14ac:dyDescent="0.55000000000000004">
      <c r="A12167" t="s">
        <v>12248</v>
      </c>
      <c r="B12167" t="s">
        <v>99</v>
      </c>
      <c r="C12167" s="2">
        <v>45296</v>
      </c>
      <c r="D12167" t="s">
        <v>29</v>
      </c>
      <c r="E12167">
        <v>2914</v>
      </c>
    </row>
    <row r="12168" spans="1:5" x14ac:dyDescent="0.55000000000000004">
      <c r="A12168" t="s">
        <v>12249</v>
      </c>
      <c r="B12168" t="s">
        <v>96</v>
      </c>
      <c r="C12168" s="2">
        <v>44882</v>
      </c>
      <c r="D12168" t="s">
        <v>26</v>
      </c>
      <c r="E12168">
        <v>771</v>
      </c>
    </row>
    <row r="12169" spans="1:5" x14ac:dyDescent="0.55000000000000004">
      <c r="A12169" t="s">
        <v>12250</v>
      </c>
      <c r="B12169" t="s">
        <v>76</v>
      </c>
      <c r="C12169" s="2">
        <v>44623</v>
      </c>
      <c r="D12169" t="s">
        <v>26</v>
      </c>
      <c r="E12169">
        <v>545</v>
      </c>
    </row>
    <row r="12170" spans="1:5" x14ac:dyDescent="0.55000000000000004">
      <c r="A12170" t="s">
        <v>12251</v>
      </c>
      <c r="B12170" t="s">
        <v>111</v>
      </c>
      <c r="C12170" s="2">
        <v>43350</v>
      </c>
      <c r="D12170" t="s">
        <v>26</v>
      </c>
      <c r="E12170">
        <v>2522</v>
      </c>
    </row>
    <row r="12171" spans="1:5" x14ac:dyDescent="0.55000000000000004">
      <c r="A12171" t="s">
        <v>12252</v>
      </c>
      <c r="B12171" t="s">
        <v>72</v>
      </c>
      <c r="C12171" s="2">
        <v>43191</v>
      </c>
      <c r="D12171" t="s">
        <v>29</v>
      </c>
      <c r="E12171">
        <v>524</v>
      </c>
    </row>
    <row r="12172" spans="1:5" x14ac:dyDescent="0.55000000000000004">
      <c r="A12172" t="s">
        <v>12253</v>
      </c>
      <c r="B12172" t="s">
        <v>86</v>
      </c>
      <c r="C12172" s="2">
        <v>44482</v>
      </c>
      <c r="D12172" t="s">
        <v>29</v>
      </c>
      <c r="E12172">
        <v>1953</v>
      </c>
    </row>
    <row r="12173" spans="1:5" x14ac:dyDescent="0.55000000000000004">
      <c r="A12173" t="s">
        <v>12254</v>
      </c>
      <c r="B12173" t="s">
        <v>15</v>
      </c>
      <c r="C12173" s="2">
        <v>44493</v>
      </c>
      <c r="D12173" t="s">
        <v>26</v>
      </c>
      <c r="E12173">
        <v>1867</v>
      </c>
    </row>
    <row r="12174" spans="1:5" x14ac:dyDescent="0.55000000000000004">
      <c r="A12174" t="s">
        <v>12255</v>
      </c>
      <c r="B12174" t="s">
        <v>15</v>
      </c>
      <c r="C12174" s="2">
        <v>43433</v>
      </c>
      <c r="D12174" t="s">
        <v>29</v>
      </c>
      <c r="E12174">
        <v>1826</v>
      </c>
    </row>
    <row r="12175" spans="1:5" x14ac:dyDescent="0.55000000000000004">
      <c r="A12175" t="s">
        <v>12256</v>
      </c>
      <c r="B12175" t="s">
        <v>38</v>
      </c>
      <c r="C12175" s="2">
        <v>44525</v>
      </c>
      <c r="D12175" t="s">
        <v>26</v>
      </c>
      <c r="E12175">
        <v>675</v>
      </c>
    </row>
    <row r="12176" spans="1:5" x14ac:dyDescent="0.55000000000000004">
      <c r="A12176" t="s">
        <v>12257</v>
      </c>
      <c r="B12176" t="s">
        <v>115</v>
      </c>
      <c r="C12176" s="2">
        <v>44265</v>
      </c>
      <c r="D12176" t="s">
        <v>29</v>
      </c>
      <c r="E12176">
        <v>764</v>
      </c>
    </row>
    <row r="12177" spans="1:5" x14ac:dyDescent="0.55000000000000004">
      <c r="A12177" t="s">
        <v>12258</v>
      </c>
      <c r="B12177" t="s">
        <v>74</v>
      </c>
      <c r="C12177" s="2">
        <v>43121</v>
      </c>
      <c r="D12177" t="s">
        <v>29</v>
      </c>
      <c r="E12177">
        <v>2155</v>
      </c>
    </row>
    <row r="12178" spans="1:5" x14ac:dyDescent="0.55000000000000004">
      <c r="A12178" t="s">
        <v>12259</v>
      </c>
      <c r="B12178" t="s">
        <v>156</v>
      </c>
      <c r="C12178" s="2">
        <v>43801</v>
      </c>
      <c r="D12178" t="s">
        <v>26</v>
      </c>
      <c r="E12178">
        <v>930</v>
      </c>
    </row>
    <row r="12179" spans="1:5" x14ac:dyDescent="0.55000000000000004">
      <c r="A12179" t="s">
        <v>12260</v>
      </c>
      <c r="B12179" t="s">
        <v>41</v>
      </c>
      <c r="C12179" s="2">
        <v>44606</v>
      </c>
      <c r="D12179" t="s">
        <v>26</v>
      </c>
      <c r="E12179">
        <v>2175</v>
      </c>
    </row>
    <row r="12180" spans="1:5" x14ac:dyDescent="0.55000000000000004">
      <c r="A12180" t="s">
        <v>12261</v>
      </c>
      <c r="B12180" t="s">
        <v>63</v>
      </c>
      <c r="C12180" s="2">
        <v>44109</v>
      </c>
      <c r="D12180" t="s">
        <v>29</v>
      </c>
      <c r="E12180">
        <v>2914</v>
      </c>
    </row>
    <row r="12181" spans="1:5" x14ac:dyDescent="0.55000000000000004">
      <c r="A12181" t="s">
        <v>12262</v>
      </c>
      <c r="B12181" t="s">
        <v>118</v>
      </c>
      <c r="C12181" s="2">
        <v>45654</v>
      </c>
      <c r="D12181" t="s">
        <v>29</v>
      </c>
      <c r="E12181">
        <v>2220</v>
      </c>
    </row>
    <row r="12182" spans="1:5" x14ac:dyDescent="0.55000000000000004">
      <c r="A12182" t="s">
        <v>12263</v>
      </c>
      <c r="B12182" t="s">
        <v>175</v>
      </c>
      <c r="C12182" s="2">
        <v>45536</v>
      </c>
      <c r="D12182" t="s">
        <v>29</v>
      </c>
      <c r="E12182">
        <v>722</v>
      </c>
    </row>
    <row r="12183" spans="1:5" x14ac:dyDescent="0.55000000000000004">
      <c r="A12183" t="s">
        <v>12264</v>
      </c>
      <c r="B12183" t="s">
        <v>137</v>
      </c>
      <c r="C12183" s="2">
        <v>43530</v>
      </c>
      <c r="D12183" t="s">
        <v>29</v>
      </c>
      <c r="E12183">
        <v>1892</v>
      </c>
    </row>
    <row r="12184" spans="1:5" x14ac:dyDescent="0.55000000000000004">
      <c r="A12184" t="s">
        <v>12265</v>
      </c>
      <c r="B12184" t="s">
        <v>111</v>
      </c>
      <c r="C12184" s="2">
        <v>44326</v>
      </c>
      <c r="D12184" t="s">
        <v>26</v>
      </c>
      <c r="E12184">
        <v>1509</v>
      </c>
    </row>
    <row r="12185" spans="1:5" x14ac:dyDescent="0.55000000000000004">
      <c r="A12185" t="s">
        <v>12266</v>
      </c>
      <c r="B12185" t="s">
        <v>38</v>
      </c>
      <c r="C12185" s="2">
        <v>44861</v>
      </c>
      <c r="D12185" t="s">
        <v>29</v>
      </c>
      <c r="E12185">
        <v>1831</v>
      </c>
    </row>
    <row r="12186" spans="1:5" x14ac:dyDescent="0.55000000000000004">
      <c r="A12186" t="s">
        <v>12267</v>
      </c>
      <c r="B12186" t="s">
        <v>118</v>
      </c>
      <c r="C12186" s="2">
        <v>45410</v>
      </c>
      <c r="D12186" t="s">
        <v>26</v>
      </c>
      <c r="E12186">
        <v>1570</v>
      </c>
    </row>
    <row r="12187" spans="1:5" x14ac:dyDescent="0.55000000000000004">
      <c r="A12187" t="s">
        <v>12268</v>
      </c>
      <c r="B12187" t="s">
        <v>23</v>
      </c>
      <c r="C12187" s="2">
        <v>44331</v>
      </c>
      <c r="D12187" t="s">
        <v>26</v>
      </c>
      <c r="E12187">
        <v>2155</v>
      </c>
    </row>
    <row r="12188" spans="1:5" x14ac:dyDescent="0.55000000000000004">
      <c r="A12188" t="s">
        <v>12269</v>
      </c>
      <c r="B12188" t="s">
        <v>111</v>
      </c>
      <c r="C12188" s="2">
        <v>43411</v>
      </c>
      <c r="D12188" t="s">
        <v>26</v>
      </c>
      <c r="E12188">
        <v>2642</v>
      </c>
    </row>
    <row r="12189" spans="1:5" x14ac:dyDescent="0.55000000000000004">
      <c r="A12189" t="s">
        <v>12270</v>
      </c>
      <c r="B12189" t="s">
        <v>35</v>
      </c>
      <c r="C12189" s="2">
        <v>43942</v>
      </c>
      <c r="D12189" t="s">
        <v>26</v>
      </c>
      <c r="E12189">
        <v>1299</v>
      </c>
    </row>
    <row r="12190" spans="1:5" x14ac:dyDescent="0.55000000000000004">
      <c r="A12190" t="s">
        <v>12271</v>
      </c>
      <c r="B12190" t="s">
        <v>156</v>
      </c>
      <c r="C12190" s="2">
        <v>43751</v>
      </c>
      <c r="D12190" t="s">
        <v>26</v>
      </c>
      <c r="E12190">
        <v>1719</v>
      </c>
    </row>
    <row r="12191" spans="1:5" x14ac:dyDescent="0.55000000000000004">
      <c r="A12191" t="s">
        <v>12272</v>
      </c>
      <c r="B12191" t="s">
        <v>41</v>
      </c>
      <c r="C12191" s="2">
        <v>44802</v>
      </c>
      <c r="D12191" t="s">
        <v>29</v>
      </c>
      <c r="E12191">
        <v>1685</v>
      </c>
    </row>
    <row r="12192" spans="1:5" x14ac:dyDescent="0.55000000000000004">
      <c r="A12192" t="s">
        <v>12273</v>
      </c>
      <c r="B12192" t="s">
        <v>78</v>
      </c>
      <c r="C12192" s="2">
        <v>45289</v>
      </c>
      <c r="D12192" t="s">
        <v>29</v>
      </c>
      <c r="E12192">
        <v>2151</v>
      </c>
    </row>
    <row r="12193" spans="1:5" x14ac:dyDescent="0.55000000000000004">
      <c r="A12193" t="s">
        <v>12274</v>
      </c>
      <c r="B12193" t="s">
        <v>38</v>
      </c>
      <c r="C12193" s="2">
        <v>43970</v>
      </c>
      <c r="D12193" t="s">
        <v>29</v>
      </c>
      <c r="E12193">
        <v>881</v>
      </c>
    </row>
    <row r="12194" spans="1:5" x14ac:dyDescent="0.55000000000000004">
      <c r="A12194" t="s">
        <v>12275</v>
      </c>
      <c r="B12194" t="s">
        <v>41</v>
      </c>
      <c r="C12194" s="2">
        <v>44679</v>
      </c>
      <c r="D12194" t="s">
        <v>26</v>
      </c>
      <c r="E12194">
        <v>920</v>
      </c>
    </row>
    <row r="12195" spans="1:5" x14ac:dyDescent="0.55000000000000004">
      <c r="A12195" t="s">
        <v>12276</v>
      </c>
      <c r="B12195" t="s">
        <v>76</v>
      </c>
      <c r="C12195" s="2">
        <v>45817</v>
      </c>
      <c r="D12195" t="s">
        <v>29</v>
      </c>
      <c r="E12195">
        <v>2532</v>
      </c>
    </row>
    <row r="12196" spans="1:5" x14ac:dyDescent="0.55000000000000004">
      <c r="A12196" t="s">
        <v>12277</v>
      </c>
      <c r="B12196" t="s">
        <v>41</v>
      </c>
      <c r="C12196" s="2">
        <v>44426</v>
      </c>
      <c r="D12196" t="s">
        <v>29</v>
      </c>
      <c r="E12196">
        <v>2399</v>
      </c>
    </row>
    <row r="12197" spans="1:5" x14ac:dyDescent="0.55000000000000004">
      <c r="A12197" t="s">
        <v>12278</v>
      </c>
      <c r="B12197" t="s">
        <v>72</v>
      </c>
      <c r="C12197" s="2">
        <v>44359</v>
      </c>
      <c r="D12197" t="s">
        <v>26</v>
      </c>
      <c r="E12197">
        <v>470</v>
      </c>
    </row>
    <row r="12198" spans="1:5" x14ac:dyDescent="0.55000000000000004">
      <c r="A12198" t="s">
        <v>12279</v>
      </c>
      <c r="B12198" t="s">
        <v>41</v>
      </c>
      <c r="C12198" s="2">
        <v>44517</v>
      </c>
      <c r="D12198" t="s">
        <v>29</v>
      </c>
      <c r="E12198">
        <v>708</v>
      </c>
    </row>
    <row r="12199" spans="1:5" x14ac:dyDescent="0.55000000000000004">
      <c r="A12199" t="s">
        <v>12280</v>
      </c>
      <c r="B12199" t="s">
        <v>63</v>
      </c>
      <c r="C12199" s="2">
        <v>44212</v>
      </c>
      <c r="D12199" t="s">
        <v>29</v>
      </c>
      <c r="E12199">
        <v>2581</v>
      </c>
    </row>
    <row r="12200" spans="1:5" x14ac:dyDescent="0.55000000000000004">
      <c r="A12200" t="s">
        <v>12281</v>
      </c>
      <c r="B12200" t="s">
        <v>142</v>
      </c>
      <c r="C12200" s="2">
        <v>43095</v>
      </c>
      <c r="D12200" t="s">
        <v>29</v>
      </c>
      <c r="E12200">
        <v>1886</v>
      </c>
    </row>
    <row r="12201" spans="1:5" x14ac:dyDescent="0.55000000000000004">
      <c r="A12201" t="s">
        <v>12282</v>
      </c>
      <c r="B12201" t="s">
        <v>151</v>
      </c>
      <c r="C12201" s="2">
        <v>43929</v>
      </c>
      <c r="D12201" t="s">
        <v>29</v>
      </c>
      <c r="E12201">
        <v>2338</v>
      </c>
    </row>
    <row r="12202" spans="1:5" x14ac:dyDescent="0.55000000000000004">
      <c r="A12202" t="s">
        <v>12283</v>
      </c>
      <c r="B12202" t="s">
        <v>140</v>
      </c>
      <c r="C12202" s="2">
        <v>43198</v>
      </c>
      <c r="D12202" t="s">
        <v>29</v>
      </c>
      <c r="E12202">
        <v>2763</v>
      </c>
    </row>
    <row r="12203" spans="1:5" x14ac:dyDescent="0.55000000000000004">
      <c r="A12203" t="s">
        <v>12284</v>
      </c>
      <c r="B12203" t="s">
        <v>151</v>
      </c>
      <c r="C12203" s="2">
        <v>43951</v>
      </c>
      <c r="D12203" t="s">
        <v>29</v>
      </c>
      <c r="E12203">
        <v>1446</v>
      </c>
    </row>
    <row r="12204" spans="1:5" x14ac:dyDescent="0.55000000000000004">
      <c r="A12204" t="s">
        <v>12285</v>
      </c>
      <c r="B12204" t="s">
        <v>156</v>
      </c>
      <c r="C12204" s="2">
        <v>44485</v>
      </c>
      <c r="D12204" t="s">
        <v>29</v>
      </c>
      <c r="E12204">
        <v>2781</v>
      </c>
    </row>
    <row r="12205" spans="1:5" x14ac:dyDescent="0.55000000000000004">
      <c r="A12205" t="s">
        <v>12286</v>
      </c>
      <c r="B12205" t="s">
        <v>15</v>
      </c>
      <c r="C12205" s="2">
        <v>44084</v>
      </c>
      <c r="D12205" t="s">
        <v>26</v>
      </c>
      <c r="E12205">
        <v>2899</v>
      </c>
    </row>
    <row r="12206" spans="1:5" x14ac:dyDescent="0.55000000000000004">
      <c r="A12206" t="s">
        <v>12287</v>
      </c>
      <c r="B12206" t="s">
        <v>96</v>
      </c>
      <c r="C12206" s="2">
        <v>45735</v>
      </c>
      <c r="D12206" t="s">
        <v>26</v>
      </c>
      <c r="E12206">
        <v>553</v>
      </c>
    </row>
    <row r="12207" spans="1:5" x14ac:dyDescent="0.55000000000000004">
      <c r="A12207" t="s">
        <v>12288</v>
      </c>
      <c r="B12207" t="s">
        <v>14</v>
      </c>
      <c r="C12207" s="2">
        <v>43007</v>
      </c>
      <c r="D12207" t="s">
        <v>26</v>
      </c>
      <c r="E12207">
        <v>95</v>
      </c>
    </row>
    <row r="12208" spans="1:5" x14ac:dyDescent="0.55000000000000004">
      <c r="A12208" t="s">
        <v>12289</v>
      </c>
      <c r="B12208" t="s">
        <v>137</v>
      </c>
      <c r="C12208" s="2">
        <v>43589</v>
      </c>
      <c r="D12208" t="s">
        <v>26</v>
      </c>
      <c r="E12208">
        <v>1046</v>
      </c>
    </row>
    <row r="12209" spans="1:5" x14ac:dyDescent="0.55000000000000004">
      <c r="A12209" t="s">
        <v>12290</v>
      </c>
      <c r="B12209" t="s">
        <v>105</v>
      </c>
      <c r="C12209" s="2">
        <v>43950</v>
      </c>
      <c r="D12209" t="s">
        <v>29</v>
      </c>
      <c r="E12209">
        <v>2735</v>
      </c>
    </row>
    <row r="12210" spans="1:5" x14ac:dyDescent="0.55000000000000004">
      <c r="A12210" t="s">
        <v>12291</v>
      </c>
      <c r="B12210" t="s">
        <v>140</v>
      </c>
      <c r="C12210" s="2">
        <v>44137</v>
      </c>
      <c r="D12210" t="s">
        <v>26</v>
      </c>
      <c r="E12210">
        <v>1618</v>
      </c>
    </row>
    <row r="12211" spans="1:5" x14ac:dyDescent="0.55000000000000004">
      <c r="A12211" t="s">
        <v>12292</v>
      </c>
      <c r="B12211" t="s">
        <v>105</v>
      </c>
      <c r="C12211" s="2">
        <v>43571</v>
      </c>
      <c r="D12211" t="s">
        <v>26</v>
      </c>
      <c r="E12211">
        <v>1318</v>
      </c>
    </row>
    <row r="12212" spans="1:5" x14ac:dyDescent="0.55000000000000004">
      <c r="A12212" t="s">
        <v>12293</v>
      </c>
      <c r="B12212" t="s">
        <v>96</v>
      </c>
      <c r="C12212" s="2">
        <v>44790</v>
      </c>
      <c r="D12212" t="s">
        <v>29</v>
      </c>
      <c r="E12212">
        <v>441</v>
      </c>
    </row>
    <row r="12213" spans="1:5" x14ac:dyDescent="0.55000000000000004">
      <c r="A12213" t="s">
        <v>12294</v>
      </c>
      <c r="B12213" t="s">
        <v>84</v>
      </c>
      <c r="C12213" s="2">
        <v>44110</v>
      </c>
      <c r="D12213" t="s">
        <v>26</v>
      </c>
      <c r="E12213">
        <v>2314</v>
      </c>
    </row>
    <row r="12214" spans="1:5" x14ac:dyDescent="0.55000000000000004">
      <c r="A12214" t="s">
        <v>12295</v>
      </c>
      <c r="B12214" t="s">
        <v>41</v>
      </c>
      <c r="C12214" s="2">
        <v>44645</v>
      </c>
      <c r="D12214" t="s">
        <v>29</v>
      </c>
      <c r="E12214">
        <v>402</v>
      </c>
    </row>
    <row r="12215" spans="1:5" x14ac:dyDescent="0.55000000000000004">
      <c r="A12215" t="s">
        <v>12296</v>
      </c>
      <c r="B12215" t="s">
        <v>35</v>
      </c>
      <c r="C12215" s="2">
        <v>43859</v>
      </c>
      <c r="D12215" t="s">
        <v>26</v>
      </c>
      <c r="E12215">
        <v>6</v>
      </c>
    </row>
    <row r="12216" spans="1:5" x14ac:dyDescent="0.55000000000000004">
      <c r="A12216" t="s">
        <v>12297</v>
      </c>
      <c r="B12216" t="s">
        <v>41</v>
      </c>
      <c r="C12216" s="2">
        <v>44374</v>
      </c>
      <c r="D12216" t="s">
        <v>29</v>
      </c>
      <c r="E12216">
        <v>2108</v>
      </c>
    </row>
    <row r="12217" spans="1:5" x14ac:dyDescent="0.55000000000000004">
      <c r="A12217" t="s">
        <v>12298</v>
      </c>
      <c r="B12217" t="s">
        <v>41</v>
      </c>
      <c r="C12217" s="2">
        <v>44821</v>
      </c>
      <c r="D12217" t="s">
        <v>26</v>
      </c>
      <c r="E12217">
        <v>1117</v>
      </c>
    </row>
    <row r="12218" spans="1:5" x14ac:dyDescent="0.55000000000000004">
      <c r="A12218" t="s">
        <v>12299</v>
      </c>
      <c r="B12218" t="s">
        <v>105</v>
      </c>
      <c r="C12218" s="2">
        <v>44266</v>
      </c>
      <c r="D12218" t="s">
        <v>26</v>
      </c>
      <c r="E12218">
        <v>1981</v>
      </c>
    </row>
    <row r="12219" spans="1:5" x14ac:dyDescent="0.55000000000000004">
      <c r="A12219" t="s">
        <v>12300</v>
      </c>
      <c r="B12219" t="s">
        <v>76</v>
      </c>
      <c r="C12219" s="2">
        <v>44666</v>
      </c>
      <c r="D12219" t="s">
        <v>29</v>
      </c>
      <c r="E12219">
        <v>1734</v>
      </c>
    </row>
    <row r="12220" spans="1:5" x14ac:dyDescent="0.55000000000000004">
      <c r="A12220" t="s">
        <v>12301</v>
      </c>
      <c r="B12220" t="s">
        <v>86</v>
      </c>
      <c r="C12220" s="2">
        <v>44358</v>
      </c>
      <c r="D12220" t="s">
        <v>26</v>
      </c>
      <c r="E12220">
        <v>2536</v>
      </c>
    </row>
    <row r="12221" spans="1:5" x14ac:dyDescent="0.55000000000000004">
      <c r="A12221" t="s">
        <v>12302</v>
      </c>
      <c r="B12221" t="s">
        <v>156</v>
      </c>
      <c r="C12221" s="2">
        <v>43974</v>
      </c>
      <c r="D12221" t="s">
        <v>26</v>
      </c>
      <c r="E12221">
        <v>183</v>
      </c>
    </row>
    <row r="12222" spans="1:5" x14ac:dyDescent="0.55000000000000004">
      <c r="A12222" t="s">
        <v>12303</v>
      </c>
      <c r="B12222" t="s">
        <v>86</v>
      </c>
      <c r="C12222" s="2">
        <v>43152</v>
      </c>
      <c r="D12222" t="s">
        <v>29</v>
      </c>
      <c r="E12222">
        <v>509</v>
      </c>
    </row>
    <row r="12223" spans="1:5" x14ac:dyDescent="0.55000000000000004">
      <c r="A12223" t="s">
        <v>12304</v>
      </c>
      <c r="B12223" t="s">
        <v>23</v>
      </c>
      <c r="C12223" s="2">
        <v>44782</v>
      </c>
      <c r="D12223" t="s">
        <v>26</v>
      </c>
      <c r="E12223">
        <v>1359</v>
      </c>
    </row>
    <row r="12224" spans="1:5" x14ac:dyDescent="0.55000000000000004">
      <c r="A12224" t="s">
        <v>12305</v>
      </c>
      <c r="B12224" t="s">
        <v>74</v>
      </c>
      <c r="C12224" s="2">
        <v>43285</v>
      </c>
      <c r="D12224" t="s">
        <v>26</v>
      </c>
      <c r="E12224">
        <v>1048</v>
      </c>
    </row>
    <row r="12225" spans="1:5" x14ac:dyDescent="0.55000000000000004">
      <c r="A12225" t="s">
        <v>12306</v>
      </c>
      <c r="B12225" t="s">
        <v>151</v>
      </c>
      <c r="C12225" s="2">
        <v>44471</v>
      </c>
      <c r="D12225" t="s">
        <v>26</v>
      </c>
      <c r="E12225">
        <v>1341</v>
      </c>
    </row>
    <row r="12226" spans="1:5" x14ac:dyDescent="0.55000000000000004">
      <c r="A12226" t="s">
        <v>12307</v>
      </c>
      <c r="B12226" t="s">
        <v>63</v>
      </c>
      <c r="C12226" s="2">
        <v>43801</v>
      </c>
      <c r="D12226" t="s">
        <v>29</v>
      </c>
      <c r="E12226">
        <v>1528</v>
      </c>
    </row>
    <row r="12227" spans="1:5" x14ac:dyDescent="0.55000000000000004">
      <c r="A12227" t="s">
        <v>12308</v>
      </c>
      <c r="B12227" t="s">
        <v>38</v>
      </c>
      <c r="C12227" s="2">
        <v>44747</v>
      </c>
      <c r="D12227" t="s">
        <v>29</v>
      </c>
      <c r="E12227">
        <v>2038</v>
      </c>
    </row>
    <row r="12228" spans="1:5" x14ac:dyDescent="0.55000000000000004">
      <c r="A12228" t="s">
        <v>12309</v>
      </c>
      <c r="B12228" t="s">
        <v>15</v>
      </c>
      <c r="C12228" s="2">
        <v>43352</v>
      </c>
      <c r="D12228" t="s">
        <v>29</v>
      </c>
      <c r="E12228">
        <v>2958</v>
      </c>
    </row>
    <row r="12229" spans="1:5" x14ac:dyDescent="0.55000000000000004">
      <c r="A12229" t="s">
        <v>12310</v>
      </c>
      <c r="B12229" t="s">
        <v>137</v>
      </c>
      <c r="C12229" s="2">
        <v>43998</v>
      </c>
      <c r="D12229" t="s">
        <v>29</v>
      </c>
      <c r="E12229">
        <v>1371</v>
      </c>
    </row>
    <row r="12230" spans="1:5" x14ac:dyDescent="0.55000000000000004">
      <c r="A12230" t="s">
        <v>12311</v>
      </c>
      <c r="B12230" t="s">
        <v>99</v>
      </c>
      <c r="C12230" s="2">
        <v>45440</v>
      </c>
      <c r="D12230" t="s">
        <v>29</v>
      </c>
      <c r="E12230">
        <v>196</v>
      </c>
    </row>
    <row r="12231" spans="1:5" x14ac:dyDescent="0.55000000000000004">
      <c r="A12231" t="s">
        <v>12312</v>
      </c>
      <c r="B12231" t="s">
        <v>151</v>
      </c>
      <c r="C12231" s="2">
        <v>44280</v>
      </c>
      <c r="D12231" t="s">
        <v>26</v>
      </c>
      <c r="E12231">
        <v>37</v>
      </c>
    </row>
    <row r="12232" spans="1:5" x14ac:dyDescent="0.55000000000000004">
      <c r="A12232" t="s">
        <v>12313</v>
      </c>
      <c r="B12232" t="s">
        <v>156</v>
      </c>
      <c r="C12232" s="2">
        <v>44368</v>
      </c>
      <c r="D12232" t="s">
        <v>29</v>
      </c>
      <c r="E12232">
        <v>2454</v>
      </c>
    </row>
    <row r="12233" spans="1:5" x14ac:dyDescent="0.55000000000000004">
      <c r="A12233" t="s">
        <v>12314</v>
      </c>
      <c r="B12233" t="s">
        <v>74</v>
      </c>
      <c r="C12233" s="2">
        <v>43442</v>
      </c>
      <c r="D12233" t="s">
        <v>26</v>
      </c>
      <c r="E12233">
        <v>1926</v>
      </c>
    </row>
    <row r="12234" spans="1:5" x14ac:dyDescent="0.55000000000000004">
      <c r="A12234" t="s">
        <v>12315</v>
      </c>
      <c r="B12234" t="s">
        <v>96</v>
      </c>
      <c r="C12234" s="2">
        <v>43773</v>
      </c>
      <c r="D12234" t="s">
        <v>26</v>
      </c>
      <c r="E12234">
        <v>2088</v>
      </c>
    </row>
    <row r="12235" spans="1:5" x14ac:dyDescent="0.55000000000000004">
      <c r="A12235" t="s">
        <v>12316</v>
      </c>
      <c r="B12235" t="s">
        <v>14</v>
      </c>
      <c r="C12235" s="2">
        <v>44531</v>
      </c>
      <c r="D12235" t="s">
        <v>29</v>
      </c>
      <c r="E12235">
        <v>349</v>
      </c>
    </row>
    <row r="12236" spans="1:5" x14ac:dyDescent="0.55000000000000004">
      <c r="A12236" t="s">
        <v>12317</v>
      </c>
      <c r="B12236" t="s">
        <v>38</v>
      </c>
      <c r="C12236" s="2">
        <v>43903</v>
      </c>
      <c r="D12236" t="s">
        <v>29</v>
      </c>
      <c r="E12236">
        <v>1082</v>
      </c>
    </row>
    <row r="12237" spans="1:5" x14ac:dyDescent="0.55000000000000004">
      <c r="A12237" t="s">
        <v>12318</v>
      </c>
      <c r="B12237" t="s">
        <v>101</v>
      </c>
      <c r="C12237" s="2">
        <v>43721</v>
      </c>
      <c r="D12237" t="s">
        <v>29</v>
      </c>
      <c r="E12237">
        <v>2474</v>
      </c>
    </row>
    <row r="12238" spans="1:5" x14ac:dyDescent="0.55000000000000004">
      <c r="A12238" t="s">
        <v>12319</v>
      </c>
      <c r="B12238" t="s">
        <v>118</v>
      </c>
      <c r="C12238" s="2">
        <v>45503</v>
      </c>
      <c r="D12238" t="s">
        <v>29</v>
      </c>
      <c r="E12238">
        <v>1943</v>
      </c>
    </row>
    <row r="12239" spans="1:5" x14ac:dyDescent="0.55000000000000004">
      <c r="A12239" t="s">
        <v>12320</v>
      </c>
      <c r="B12239" t="s">
        <v>72</v>
      </c>
      <c r="C12239" s="2">
        <v>44542</v>
      </c>
      <c r="D12239" t="s">
        <v>26</v>
      </c>
      <c r="E12239">
        <v>1881</v>
      </c>
    </row>
    <row r="12240" spans="1:5" x14ac:dyDescent="0.55000000000000004">
      <c r="A12240" t="s">
        <v>12321</v>
      </c>
      <c r="B12240" t="s">
        <v>115</v>
      </c>
      <c r="C12240" s="2">
        <v>44454</v>
      </c>
      <c r="D12240" t="s">
        <v>26</v>
      </c>
      <c r="E12240">
        <v>1187</v>
      </c>
    </row>
    <row r="12241" spans="1:5" x14ac:dyDescent="0.55000000000000004">
      <c r="A12241" t="s">
        <v>12322</v>
      </c>
      <c r="B12241" t="s">
        <v>118</v>
      </c>
      <c r="C12241" s="2">
        <v>44409</v>
      </c>
      <c r="D12241" t="s">
        <v>29</v>
      </c>
      <c r="E12241">
        <v>1597</v>
      </c>
    </row>
    <row r="12242" spans="1:5" x14ac:dyDescent="0.55000000000000004">
      <c r="A12242" t="s">
        <v>12323</v>
      </c>
      <c r="B12242" t="s">
        <v>140</v>
      </c>
      <c r="C12242" s="2">
        <v>43941</v>
      </c>
      <c r="D12242" t="s">
        <v>26</v>
      </c>
      <c r="E12242">
        <v>206</v>
      </c>
    </row>
    <row r="12243" spans="1:5" x14ac:dyDescent="0.55000000000000004">
      <c r="A12243" t="s">
        <v>12324</v>
      </c>
      <c r="B12243" t="s">
        <v>151</v>
      </c>
      <c r="C12243" s="2">
        <v>43231</v>
      </c>
      <c r="D12243" t="s">
        <v>29</v>
      </c>
      <c r="E12243">
        <v>807</v>
      </c>
    </row>
    <row r="12244" spans="1:5" x14ac:dyDescent="0.55000000000000004">
      <c r="A12244" t="s">
        <v>12325</v>
      </c>
      <c r="B12244" t="s">
        <v>101</v>
      </c>
      <c r="C12244" s="2">
        <v>44090</v>
      </c>
      <c r="D12244" t="s">
        <v>29</v>
      </c>
      <c r="E12244">
        <v>2929</v>
      </c>
    </row>
    <row r="12245" spans="1:5" x14ac:dyDescent="0.55000000000000004">
      <c r="A12245" t="s">
        <v>12326</v>
      </c>
      <c r="B12245" t="s">
        <v>72</v>
      </c>
      <c r="C12245" s="2">
        <v>43659</v>
      </c>
      <c r="D12245" t="s">
        <v>29</v>
      </c>
      <c r="E12245">
        <v>2179</v>
      </c>
    </row>
    <row r="12246" spans="1:5" x14ac:dyDescent="0.55000000000000004">
      <c r="A12246" t="s">
        <v>12327</v>
      </c>
      <c r="B12246" t="s">
        <v>15</v>
      </c>
      <c r="C12246" s="2">
        <v>44407</v>
      </c>
      <c r="D12246" t="s">
        <v>29</v>
      </c>
      <c r="E12246">
        <v>2005</v>
      </c>
    </row>
    <row r="12247" spans="1:5" x14ac:dyDescent="0.55000000000000004">
      <c r="A12247" t="s">
        <v>12328</v>
      </c>
      <c r="B12247" t="s">
        <v>151</v>
      </c>
      <c r="C12247" s="2">
        <v>43572</v>
      </c>
      <c r="D12247" t="s">
        <v>26</v>
      </c>
      <c r="E12247">
        <v>1943</v>
      </c>
    </row>
    <row r="12248" spans="1:5" x14ac:dyDescent="0.55000000000000004">
      <c r="A12248" t="s">
        <v>12329</v>
      </c>
      <c r="B12248" t="s">
        <v>99</v>
      </c>
      <c r="C12248" s="2">
        <v>43849</v>
      </c>
      <c r="D12248" t="s">
        <v>26</v>
      </c>
      <c r="E12248">
        <v>2708</v>
      </c>
    </row>
    <row r="12249" spans="1:5" x14ac:dyDescent="0.55000000000000004">
      <c r="A12249" t="s">
        <v>12330</v>
      </c>
      <c r="B12249" t="s">
        <v>96</v>
      </c>
      <c r="C12249" s="2">
        <v>44186</v>
      </c>
      <c r="D12249" t="s">
        <v>26</v>
      </c>
      <c r="E12249">
        <v>2672</v>
      </c>
    </row>
    <row r="12250" spans="1:5" x14ac:dyDescent="0.55000000000000004">
      <c r="A12250" t="s">
        <v>12331</v>
      </c>
      <c r="B12250" t="s">
        <v>32</v>
      </c>
      <c r="C12250" s="2">
        <v>44440</v>
      </c>
      <c r="D12250" t="s">
        <v>29</v>
      </c>
      <c r="E12250">
        <v>1581</v>
      </c>
    </row>
    <row r="12251" spans="1:5" x14ac:dyDescent="0.55000000000000004">
      <c r="A12251" t="s">
        <v>12332</v>
      </c>
      <c r="B12251" t="s">
        <v>84</v>
      </c>
      <c r="C12251" s="2">
        <v>44403</v>
      </c>
      <c r="D12251" t="s">
        <v>29</v>
      </c>
      <c r="E12251">
        <v>2778</v>
      </c>
    </row>
    <row r="12252" spans="1:5" x14ac:dyDescent="0.55000000000000004">
      <c r="A12252" t="s">
        <v>12333</v>
      </c>
      <c r="B12252" t="s">
        <v>74</v>
      </c>
      <c r="C12252" s="2">
        <v>43292</v>
      </c>
      <c r="D12252" t="s">
        <v>29</v>
      </c>
      <c r="E12252">
        <v>361</v>
      </c>
    </row>
    <row r="12253" spans="1:5" x14ac:dyDescent="0.55000000000000004">
      <c r="A12253" t="s">
        <v>12334</v>
      </c>
      <c r="B12253" t="s">
        <v>84</v>
      </c>
      <c r="C12253" s="2">
        <v>44165</v>
      </c>
      <c r="D12253" t="s">
        <v>26</v>
      </c>
      <c r="E12253">
        <v>2688</v>
      </c>
    </row>
    <row r="12254" spans="1:5" x14ac:dyDescent="0.55000000000000004">
      <c r="A12254" t="s">
        <v>12335</v>
      </c>
      <c r="B12254" t="s">
        <v>101</v>
      </c>
      <c r="C12254" s="2">
        <v>44289</v>
      </c>
      <c r="D12254" t="s">
        <v>26</v>
      </c>
      <c r="E12254">
        <v>439</v>
      </c>
    </row>
    <row r="12255" spans="1:5" x14ac:dyDescent="0.55000000000000004">
      <c r="A12255" t="s">
        <v>12336</v>
      </c>
      <c r="B12255" t="s">
        <v>118</v>
      </c>
      <c r="C12255" s="2">
        <v>45813</v>
      </c>
      <c r="D12255" t="s">
        <v>29</v>
      </c>
      <c r="E12255">
        <v>721</v>
      </c>
    </row>
    <row r="12256" spans="1:5" x14ac:dyDescent="0.55000000000000004">
      <c r="A12256" t="s">
        <v>12337</v>
      </c>
      <c r="B12256" t="s">
        <v>76</v>
      </c>
      <c r="C12256" s="2">
        <v>45273</v>
      </c>
      <c r="D12256" t="s">
        <v>29</v>
      </c>
      <c r="E12256">
        <v>1615</v>
      </c>
    </row>
    <row r="12257" spans="1:5" x14ac:dyDescent="0.55000000000000004">
      <c r="A12257" t="s">
        <v>12338</v>
      </c>
      <c r="B12257" t="s">
        <v>41</v>
      </c>
      <c r="C12257" s="2">
        <v>44441</v>
      </c>
      <c r="D12257" t="s">
        <v>29</v>
      </c>
      <c r="E12257">
        <v>913</v>
      </c>
    </row>
    <row r="12258" spans="1:5" x14ac:dyDescent="0.55000000000000004">
      <c r="A12258" t="s">
        <v>12339</v>
      </c>
      <c r="B12258" t="s">
        <v>23</v>
      </c>
      <c r="C12258" s="2">
        <v>43909</v>
      </c>
      <c r="D12258" t="s">
        <v>29</v>
      </c>
      <c r="E12258">
        <v>260</v>
      </c>
    </row>
    <row r="12259" spans="1:5" x14ac:dyDescent="0.55000000000000004">
      <c r="A12259" t="s">
        <v>12340</v>
      </c>
      <c r="B12259" t="s">
        <v>35</v>
      </c>
      <c r="C12259" s="2">
        <v>44520</v>
      </c>
      <c r="D12259" t="s">
        <v>29</v>
      </c>
      <c r="E12259">
        <v>1642</v>
      </c>
    </row>
    <row r="12260" spans="1:5" x14ac:dyDescent="0.55000000000000004">
      <c r="A12260" t="s">
        <v>12341</v>
      </c>
      <c r="B12260" t="s">
        <v>151</v>
      </c>
      <c r="C12260" s="2">
        <v>42950</v>
      </c>
      <c r="D12260" t="s">
        <v>26</v>
      </c>
      <c r="E12260">
        <v>2670</v>
      </c>
    </row>
    <row r="12261" spans="1:5" x14ac:dyDescent="0.55000000000000004">
      <c r="A12261" t="s">
        <v>12342</v>
      </c>
      <c r="B12261" t="s">
        <v>101</v>
      </c>
      <c r="C12261" s="2">
        <v>43328</v>
      </c>
      <c r="D12261" t="s">
        <v>29</v>
      </c>
      <c r="E12261">
        <v>594</v>
      </c>
    </row>
    <row r="12262" spans="1:5" x14ac:dyDescent="0.55000000000000004">
      <c r="A12262" t="s">
        <v>12343</v>
      </c>
      <c r="B12262" t="s">
        <v>41</v>
      </c>
      <c r="C12262" s="2">
        <v>44072</v>
      </c>
      <c r="D12262" t="s">
        <v>26</v>
      </c>
      <c r="E12262">
        <v>1469</v>
      </c>
    </row>
    <row r="12263" spans="1:5" x14ac:dyDescent="0.55000000000000004">
      <c r="A12263" t="s">
        <v>12344</v>
      </c>
      <c r="B12263" t="s">
        <v>38</v>
      </c>
      <c r="C12263" s="2">
        <v>43989</v>
      </c>
      <c r="D12263" t="s">
        <v>29</v>
      </c>
      <c r="E12263">
        <v>1060</v>
      </c>
    </row>
    <row r="12264" spans="1:5" x14ac:dyDescent="0.55000000000000004">
      <c r="A12264" t="s">
        <v>12345</v>
      </c>
      <c r="B12264" t="s">
        <v>142</v>
      </c>
      <c r="C12264" s="2">
        <v>43829</v>
      </c>
      <c r="D12264" t="s">
        <v>29</v>
      </c>
      <c r="E12264">
        <v>2917</v>
      </c>
    </row>
    <row r="12265" spans="1:5" x14ac:dyDescent="0.55000000000000004">
      <c r="A12265" t="s">
        <v>12346</v>
      </c>
      <c r="B12265" t="s">
        <v>76</v>
      </c>
      <c r="C12265" s="2">
        <v>43693</v>
      </c>
      <c r="D12265" t="s">
        <v>29</v>
      </c>
      <c r="E12265">
        <v>2053</v>
      </c>
    </row>
    <row r="12266" spans="1:5" x14ac:dyDescent="0.55000000000000004">
      <c r="A12266" t="s">
        <v>12347</v>
      </c>
      <c r="B12266" t="s">
        <v>115</v>
      </c>
      <c r="C12266" s="2">
        <v>43102</v>
      </c>
      <c r="D12266" t="s">
        <v>26</v>
      </c>
      <c r="E12266">
        <v>2678</v>
      </c>
    </row>
    <row r="12267" spans="1:5" x14ac:dyDescent="0.55000000000000004">
      <c r="A12267" t="s">
        <v>12348</v>
      </c>
      <c r="B12267" t="s">
        <v>86</v>
      </c>
      <c r="C12267" s="2">
        <v>44484</v>
      </c>
      <c r="D12267" t="s">
        <v>26</v>
      </c>
      <c r="E12267">
        <v>2817</v>
      </c>
    </row>
    <row r="12268" spans="1:5" x14ac:dyDescent="0.55000000000000004">
      <c r="A12268" t="s">
        <v>12349</v>
      </c>
      <c r="B12268" t="s">
        <v>78</v>
      </c>
      <c r="C12268" s="2">
        <v>45417</v>
      </c>
      <c r="D12268" t="s">
        <v>26</v>
      </c>
      <c r="E12268">
        <v>2475</v>
      </c>
    </row>
    <row r="12269" spans="1:5" x14ac:dyDescent="0.55000000000000004">
      <c r="A12269" t="s">
        <v>12350</v>
      </c>
      <c r="B12269" t="s">
        <v>140</v>
      </c>
      <c r="C12269" s="2">
        <v>43664</v>
      </c>
      <c r="D12269" t="s">
        <v>26</v>
      </c>
      <c r="E12269">
        <v>1977</v>
      </c>
    </row>
    <row r="12270" spans="1:5" x14ac:dyDescent="0.55000000000000004">
      <c r="A12270" t="s">
        <v>12351</v>
      </c>
      <c r="B12270" t="s">
        <v>35</v>
      </c>
      <c r="C12270" s="2">
        <v>44165</v>
      </c>
      <c r="D12270" t="s">
        <v>29</v>
      </c>
      <c r="E12270">
        <v>2378</v>
      </c>
    </row>
    <row r="12271" spans="1:5" x14ac:dyDescent="0.55000000000000004">
      <c r="A12271" t="s">
        <v>12352</v>
      </c>
      <c r="B12271" t="s">
        <v>78</v>
      </c>
      <c r="C12271" s="2">
        <v>45694</v>
      </c>
      <c r="D12271" t="s">
        <v>29</v>
      </c>
      <c r="E12271">
        <v>1804</v>
      </c>
    </row>
    <row r="12272" spans="1:5" x14ac:dyDescent="0.55000000000000004">
      <c r="A12272" t="s">
        <v>12353</v>
      </c>
      <c r="B12272" t="s">
        <v>15</v>
      </c>
      <c r="C12272" s="2">
        <v>43877</v>
      </c>
      <c r="D12272" t="s">
        <v>26</v>
      </c>
      <c r="E12272">
        <v>1370</v>
      </c>
    </row>
    <row r="12273" spans="1:5" x14ac:dyDescent="0.55000000000000004">
      <c r="A12273" t="s">
        <v>12354</v>
      </c>
      <c r="B12273" t="s">
        <v>86</v>
      </c>
      <c r="C12273" s="2">
        <v>43527</v>
      </c>
      <c r="D12273" t="s">
        <v>26</v>
      </c>
      <c r="E12273">
        <v>1942</v>
      </c>
    </row>
    <row r="12274" spans="1:5" x14ac:dyDescent="0.55000000000000004">
      <c r="A12274" t="s">
        <v>12355</v>
      </c>
      <c r="B12274" t="s">
        <v>74</v>
      </c>
      <c r="C12274" s="2">
        <v>43290</v>
      </c>
      <c r="D12274" t="s">
        <v>29</v>
      </c>
      <c r="E12274">
        <v>2494</v>
      </c>
    </row>
    <row r="12275" spans="1:5" x14ac:dyDescent="0.55000000000000004">
      <c r="A12275" t="s">
        <v>12356</v>
      </c>
      <c r="B12275" t="s">
        <v>118</v>
      </c>
      <c r="C12275" s="2">
        <v>43859</v>
      </c>
      <c r="D12275" t="s">
        <v>29</v>
      </c>
      <c r="E12275">
        <v>1197</v>
      </c>
    </row>
    <row r="12276" spans="1:5" x14ac:dyDescent="0.55000000000000004">
      <c r="A12276" t="s">
        <v>12357</v>
      </c>
      <c r="B12276" t="s">
        <v>41</v>
      </c>
      <c r="C12276" s="2">
        <v>44205</v>
      </c>
      <c r="D12276" t="s">
        <v>29</v>
      </c>
      <c r="E12276">
        <v>38</v>
      </c>
    </row>
    <row r="12277" spans="1:5" x14ac:dyDescent="0.55000000000000004">
      <c r="A12277" t="s">
        <v>12358</v>
      </c>
      <c r="B12277" t="s">
        <v>142</v>
      </c>
      <c r="C12277" s="2">
        <v>44262</v>
      </c>
      <c r="D12277" t="s">
        <v>26</v>
      </c>
      <c r="E12277">
        <v>2350</v>
      </c>
    </row>
    <row r="12278" spans="1:5" x14ac:dyDescent="0.55000000000000004">
      <c r="A12278" t="s">
        <v>12359</v>
      </c>
      <c r="B12278" t="s">
        <v>63</v>
      </c>
      <c r="C12278" s="2">
        <v>43361</v>
      </c>
      <c r="D12278" t="s">
        <v>26</v>
      </c>
      <c r="E12278">
        <v>868</v>
      </c>
    </row>
    <row r="12279" spans="1:5" x14ac:dyDescent="0.55000000000000004">
      <c r="A12279" t="s">
        <v>12360</v>
      </c>
      <c r="B12279" t="s">
        <v>72</v>
      </c>
      <c r="C12279" s="2">
        <v>43717</v>
      </c>
      <c r="D12279" t="s">
        <v>26</v>
      </c>
      <c r="E12279">
        <v>1929</v>
      </c>
    </row>
    <row r="12280" spans="1:5" x14ac:dyDescent="0.55000000000000004">
      <c r="A12280" t="s">
        <v>12361</v>
      </c>
      <c r="B12280" t="s">
        <v>175</v>
      </c>
      <c r="C12280" s="2">
        <v>44538</v>
      </c>
      <c r="D12280" t="s">
        <v>29</v>
      </c>
      <c r="E12280">
        <v>80</v>
      </c>
    </row>
    <row r="12281" spans="1:5" x14ac:dyDescent="0.55000000000000004">
      <c r="A12281" t="s">
        <v>12362</v>
      </c>
      <c r="B12281" t="s">
        <v>105</v>
      </c>
      <c r="C12281" s="2">
        <v>43048</v>
      </c>
      <c r="D12281" t="s">
        <v>26</v>
      </c>
      <c r="E12281">
        <v>1779</v>
      </c>
    </row>
    <row r="12282" spans="1:5" x14ac:dyDescent="0.55000000000000004">
      <c r="A12282" t="s">
        <v>12363</v>
      </c>
      <c r="B12282" t="s">
        <v>118</v>
      </c>
      <c r="C12282" s="2">
        <v>45698</v>
      </c>
      <c r="D12282" t="s">
        <v>29</v>
      </c>
      <c r="E12282">
        <v>310</v>
      </c>
    </row>
    <row r="12283" spans="1:5" x14ac:dyDescent="0.55000000000000004">
      <c r="A12283" t="s">
        <v>12364</v>
      </c>
      <c r="B12283" t="s">
        <v>86</v>
      </c>
      <c r="C12283" s="2">
        <v>43940</v>
      </c>
      <c r="D12283" t="s">
        <v>29</v>
      </c>
      <c r="E12283">
        <v>342</v>
      </c>
    </row>
    <row r="12284" spans="1:5" x14ac:dyDescent="0.55000000000000004">
      <c r="A12284" t="s">
        <v>12365</v>
      </c>
      <c r="B12284" t="s">
        <v>41</v>
      </c>
      <c r="C12284" s="2">
        <v>44108</v>
      </c>
      <c r="D12284" t="s">
        <v>26</v>
      </c>
      <c r="E12284">
        <v>2155</v>
      </c>
    </row>
    <row r="12285" spans="1:5" x14ac:dyDescent="0.55000000000000004">
      <c r="A12285" t="s">
        <v>12366</v>
      </c>
      <c r="B12285" t="s">
        <v>84</v>
      </c>
      <c r="C12285" s="2">
        <v>43270</v>
      </c>
      <c r="D12285" t="s">
        <v>29</v>
      </c>
      <c r="E12285">
        <v>258</v>
      </c>
    </row>
    <row r="12286" spans="1:5" x14ac:dyDescent="0.55000000000000004">
      <c r="A12286" t="s">
        <v>12367</v>
      </c>
      <c r="B12286" t="s">
        <v>78</v>
      </c>
      <c r="C12286" s="2">
        <v>44912</v>
      </c>
      <c r="D12286" t="s">
        <v>29</v>
      </c>
      <c r="E12286">
        <v>348</v>
      </c>
    </row>
    <row r="12287" spans="1:5" x14ac:dyDescent="0.55000000000000004">
      <c r="A12287" t="s">
        <v>12368</v>
      </c>
      <c r="B12287" t="s">
        <v>96</v>
      </c>
      <c r="C12287" s="2">
        <v>45250</v>
      </c>
      <c r="D12287" t="s">
        <v>29</v>
      </c>
      <c r="E12287">
        <v>1376</v>
      </c>
    </row>
    <row r="12288" spans="1:5" x14ac:dyDescent="0.55000000000000004">
      <c r="A12288" t="s">
        <v>12369</v>
      </c>
      <c r="B12288" t="s">
        <v>99</v>
      </c>
      <c r="C12288" s="2">
        <v>44107</v>
      </c>
      <c r="D12288" t="s">
        <v>26</v>
      </c>
      <c r="E12288">
        <v>901</v>
      </c>
    </row>
    <row r="12289" spans="1:5" x14ac:dyDescent="0.55000000000000004">
      <c r="A12289" t="s">
        <v>12370</v>
      </c>
      <c r="B12289" t="s">
        <v>41</v>
      </c>
      <c r="C12289" s="2">
        <v>44585</v>
      </c>
      <c r="D12289" t="s">
        <v>29</v>
      </c>
      <c r="E12289">
        <v>531</v>
      </c>
    </row>
    <row r="12290" spans="1:5" x14ac:dyDescent="0.55000000000000004">
      <c r="A12290" t="s">
        <v>12371</v>
      </c>
      <c r="B12290" t="s">
        <v>41</v>
      </c>
      <c r="C12290" s="2">
        <v>44492</v>
      </c>
      <c r="D12290" t="s">
        <v>29</v>
      </c>
      <c r="E12290">
        <v>2736</v>
      </c>
    </row>
    <row r="12291" spans="1:5" x14ac:dyDescent="0.55000000000000004">
      <c r="A12291" t="s">
        <v>12372</v>
      </c>
      <c r="B12291" t="s">
        <v>14</v>
      </c>
      <c r="C12291" s="2">
        <v>43812</v>
      </c>
      <c r="D12291" t="s">
        <v>26</v>
      </c>
      <c r="E12291">
        <v>23</v>
      </c>
    </row>
    <row r="12292" spans="1:5" x14ac:dyDescent="0.55000000000000004">
      <c r="A12292" t="s">
        <v>12373</v>
      </c>
      <c r="B12292" t="s">
        <v>137</v>
      </c>
      <c r="C12292" s="2">
        <v>44085</v>
      </c>
      <c r="D12292" t="s">
        <v>26</v>
      </c>
      <c r="E12292">
        <v>2240</v>
      </c>
    </row>
    <row r="12293" spans="1:5" x14ac:dyDescent="0.55000000000000004">
      <c r="A12293" t="s">
        <v>12374</v>
      </c>
      <c r="B12293" t="s">
        <v>118</v>
      </c>
      <c r="C12293" s="2">
        <v>44192</v>
      </c>
      <c r="D12293" t="s">
        <v>26</v>
      </c>
      <c r="E12293">
        <v>964</v>
      </c>
    </row>
    <row r="12294" spans="1:5" x14ac:dyDescent="0.55000000000000004">
      <c r="A12294" t="s">
        <v>12375</v>
      </c>
      <c r="B12294" t="s">
        <v>86</v>
      </c>
      <c r="C12294" s="2">
        <v>43211</v>
      </c>
      <c r="D12294" t="s">
        <v>29</v>
      </c>
      <c r="E12294">
        <v>2159</v>
      </c>
    </row>
    <row r="12295" spans="1:5" x14ac:dyDescent="0.55000000000000004">
      <c r="A12295" t="s">
        <v>12376</v>
      </c>
      <c r="B12295" t="s">
        <v>32</v>
      </c>
      <c r="C12295" s="2">
        <v>44850</v>
      </c>
      <c r="D12295" t="s">
        <v>26</v>
      </c>
      <c r="E12295">
        <v>1534</v>
      </c>
    </row>
    <row r="12296" spans="1:5" x14ac:dyDescent="0.55000000000000004">
      <c r="A12296" t="s">
        <v>12377</v>
      </c>
      <c r="B12296" t="s">
        <v>78</v>
      </c>
      <c r="C12296" s="2">
        <v>44260</v>
      </c>
      <c r="D12296" t="s">
        <v>29</v>
      </c>
      <c r="E12296">
        <v>2451</v>
      </c>
    </row>
    <row r="12297" spans="1:5" x14ac:dyDescent="0.55000000000000004">
      <c r="A12297" t="s">
        <v>12378</v>
      </c>
      <c r="B12297" t="s">
        <v>35</v>
      </c>
      <c r="C12297" s="2">
        <v>44670</v>
      </c>
      <c r="D12297" t="s">
        <v>29</v>
      </c>
      <c r="E12297">
        <v>1984</v>
      </c>
    </row>
    <row r="12298" spans="1:5" x14ac:dyDescent="0.55000000000000004">
      <c r="A12298" t="s">
        <v>12379</v>
      </c>
      <c r="B12298" t="s">
        <v>105</v>
      </c>
      <c r="C12298" s="2">
        <v>43757</v>
      </c>
      <c r="D12298" t="s">
        <v>29</v>
      </c>
      <c r="E12298">
        <v>2043</v>
      </c>
    </row>
    <row r="12299" spans="1:5" x14ac:dyDescent="0.55000000000000004">
      <c r="A12299" t="s">
        <v>12380</v>
      </c>
      <c r="B12299" t="s">
        <v>84</v>
      </c>
      <c r="C12299" s="2">
        <v>43761</v>
      </c>
      <c r="D12299" t="s">
        <v>29</v>
      </c>
      <c r="E12299">
        <v>2768</v>
      </c>
    </row>
    <row r="12300" spans="1:5" x14ac:dyDescent="0.55000000000000004">
      <c r="A12300" t="s">
        <v>12381</v>
      </c>
      <c r="B12300" t="s">
        <v>86</v>
      </c>
      <c r="C12300" s="2">
        <v>43574</v>
      </c>
      <c r="D12300" t="s">
        <v>26</v>
      </c>
      <c r="E12300">
        <v>1863</v>
      </c>
    </row>
    <row r="12301" spans="1:5" x14ac:dyDescent="0.55000000000000004">
      <c r="A12301" t="s">
        <v>12382</v>
      </c>
      <c r="B12301" t="s">
        <v>38</v>
      </c>
      <c r="C12301" s="2">
        <v>44140</v>
      </c>
      <c r="D12301" t="s">
        <v>26</v>
      </c>
      <c r="E12301">
        <v>420</v>
      </c>
    </row>
    <row r="12302" spans="1:5" x14ac:dyDescent="0.55000000000000004">
      <c r="A12302" t="s">
        <v>12383</v>
      </c>
      <c r="B12302" t="s">
        <v>118</v>
      </c>
      <c r="C12302" s="2">
        <v>43506</v>
      </c>
      <c r="D12302" t="s">
        <v>26</v>
      </c>
      <c r="E12302">
        <v>2255</v>
      </c>
    </row>
    <row r="12303" spans="1:5" x14ac:dyDescent="0.55000000000000004">
      <c r="A12303" t="s">
        <v>12384</v>
      </c>
      <c r="B12303" t="s">
        <v>86</v>
      </c>
      <c r="C12303" s="2">
        <v>44403</v>
      </c>
      <c r="D12303" t="s">
        <v>26</v>
      </c>
      <c r="E12303">
        <v>2155</v>
      </c>
    </row>
    <row r="12304" spans="1:5" x14ac:dyDescent="0.55000000000000004">
      <c r="A12304" t="s">
        <v>12385</v>
      </c>
      <c r="B12304" t="s">
        <v>99</v>
      </c>
      <c r="C12304" s="2">
        <v>43667</v>
      </c>
      <c r="D12304" t="s">
        <v>29</v>
      </c>
      <c r="E12304">
        <v>1294</v>
      </c>
    </row>
    <row r="12305" spans="1:5" x14ac:dyDescent="0.55000000000000004">
      <c r="A12305" t="s">
        <v>12386</v>
      </c>
      <c r="B12305" t="s">
        <v>101</v>
      </c>
      <c r="C12305" s="2">
        <v>44432</v>
      </c>
      <c r="D12305" t="s">
        <v>29</v>
      </c>
      <c r="E12305">
        <v>1436</v>
      </c>
    </row>
    <row r="12306" spans="1:5" x14ac:dyDescent="0.55000000000000004">
      <c r="A12306" t="s">
        <v>12387</v>
      </c>
      <c r="B12306" t="s">
        <v>118</v>
      </c>
      <c r="C12306" s="2">
        <v>43570</v>
      </c>
      <c r="D12306" t="s">
        <v>29</v>
      </c>
      <c r="E12306">
        <v>2223</v>
      </c>
    </row>
    <row r="12307" spans="1:5" x14ac:dyDescent="0.55000000000000004">
      <c r="A12307" t="s">
        <v>12388</v>
      </c>
      <c r="B12307" t="s">
        <v>115</v>
      </c>
      <c r="C12307" s="2">
        <v>44249</v>
      </c>
      <c r="D12307" t="s">
        <v>26</v>
      </c>
      <c r="E12307">
        <v>1310</v>
      </c>
    </row>
    <row r="12308" spans="1:5" x14ac:dyDescent="0.55000000000000004">
      <c r="A12308" t="s">
        <v>12389</v>
      </c>
      <c r="B12308" t="s">
        <v>67</v>
      </c>
      <c r="C12308" s="2">
        <v>43509</v>
      </c>
      <c r="D12308" t="s">
        <v>26</v>
      </c>
      <c r="E12308">
        <v>6</v>
      </c>
    </row>
    <row r="12309" spans="1:5" x14ac:dyDescent="0.55000000000000004">
      <c r="A12309" t="s">
        <v>12390</v>
      </c>
      <c r="B12309" t="s">
        <v>99</v>
      </c>
      <c r="C12309" s="2">
        <v>45743</v>
      </c>
      <c r="D12309" t="s">
        <v>29</v>
      </c>
      <c r="E12309">
        <v>1992</v>
      </c>
    </row>
    <row r="12310" spans="1:5" x14ac:dyDescent="0.55000000000000004">
      <c r="A12310" t="s">
        <v>12391</v>
      </c>
      <c r="B12310" t="s">
        <v>32</v>
      </c>
      <c r="C12310" s="2">
        <v>44838</v>
      </c>
      <c r="D12310" t="s">
        <v>29</v>
      </c>
      <c r="E12310">
        <v>1038</v>
      </c>
    </row>
    <row r="12311" spans="1:5" x14ac:dyDescent="0.55000000000000004">
      <c r="A12311" t="s">
        <v>12392</v>
      </c>
      <c r="B12311" t="s">
        <v>96</v>
      </c>
      <c r="C12311" s="2">
        <v>45248</v>
      </c>
      <c r="D12311" t="s">
        <v>26</v>
      </c>
      <c r="E12311">
        <v>2409</v>
      </c>
    </row>
    <row r="12312" spans="1:5" x14ac:dyDescent="0.55000000000000004">
      <c r="A12312" t="s">
        <v>12393</v>
      </c>
      <c r="B12312" t="s">
        <v>151</v>
      </c>
      <c r="C12312" s="2">
        <v>43831</v>
      </c>
      <c r="D12312" t="s">
        <v>29</v>
      </c>
      <c r="E12312">
        <v>1543</v>
      </c>
    </row>
    <row r="12313" spans="1:5" x14ac:dyDescent="0.55000000000000004">
      <c r="A12313" t="s">
        <v>12394</v>
      </c>
      <c r="B12313" t="s">
        <v>151</v>
      </c>
      <c r="C12313" s="2">
        <v>43703</v>
      </c>
      <c r="D12313" t="s">
        <v>29</v>
      </c>
      <c r="E12313">
        <v>1591</v>
      </c>
    </row>
    <row r="12314" spans="1:5" x14ac:dyDescent="0.55000000000000004">
      <c r="A12314" t="s">
        <v>12395</v>
      </c>
      <c r="B12314" t="s">
        <v>118</v>
      </c>
      <c r="C12314" s="2">
        <v>44819</v>
      </c>
      <c r="D12314" t="s">
        <v>26</v>
      </c>
      <c r="E12314">
        <v>898</v>
      </c>
    </row>
    <row r="12315" spans="1:5" x14ac:dyDescent="0.55000000000000004">
      <c r="A12315" t="s">
        <v>12396</v>
      </c>
      <c r="B12315" t="s">
        <v>63</v>
      </c>
      <c r="C12315" s="2">
        <v>43532</v>
      </c>
      <c r="D12315" t="s">
        <v>29</v>
      </c>
      <c r="E12315">
        <v>1813</v>
      </c>
    </row>
    <row r="12316" spans="1:5" x14ac:dyDescent="0.55000000000000004">
      <c r="A12316" t="s">
        <v>12397</v>
      </c>
      <c r="B12316" t="s">
        <v>84</v>
      </c>
      <c r="C12316" s="2">
        <v>44440</v>
      </c>
      <c r="D12316" t="s">
        <v>29</v>
      </c>
      <c r="E12316">
        <v>937</v>
      </c>
    </row>
    <row r="12317" spans="1:5" x14ac:dyDescent="0.55000000000000004">
      <c r="A12317" t="s">
        <v>12398</v>
      </c>
      <c r="B12317" t="s">
        <v>151</v>
      </c>
      <c r="C12317" s="2">
        <v>43899</v>
      </c>
      <c r="D12317" t="s">
        <v>26</v>
      </c>
      <c r="E12317">
        <v>639</v>
      </c>
    </row>
    <row r="12318" spans="1:5" x14ac:dyDescent="0.55000000000000004">
      <c r="A12318" t="s">
        <v>12399</v>
      </c>
      <c r="B12318" t="s">
        <v>137</v>
      </c>
      <c r="C12318" s="2">
        <v>45228</v>
      </c>
      <c r="D12318" t="s">
        <v>26</v>
      </c>
      <c r="E12318">
        <v>2056</v>
      </c>
    </row>
    <row r="12319" spans="1:5" x14ac:dyDescent="0.55000000000000004">
      <c r="A12319" t="s">
        <v>12400</v>
      </c>
      <c r="B12319" t="s">
        <v>115</v>
      </c>
      <c r="C12319" s="2">
        <v>44178</v>
      </c>
      <c r="D12319" t="s">
        <v>26</v>
      </c>
      <c r="E12319">
        <v>1412</v>
      </c>
    </row>
    <row r="12320" spans="1:5" x14ac:dyDescent="0.55000000000000004">
      <c r="A12320" t="s">
        <v>12401</v>
      </c>
      <c r="B12320" t="s">
        <v>14</v>
      </c>
      <c r="C12320" s="2">
        <v>43288</v>
      </c>
      <c r="D12320" t="s">
        <v>26</v>
      </c>
      <c r="E12320">
        <v>1986</v>
      </c>
    </row>
    <row r="12321" spans="1:5" x14ac:dyDescent="0.55000000000000004">
      <c r="A12321" t="s">
        <v>12402</v>
      </c>
      <c r="B12321" t="s">
        <v>156</v>
      </c>
      <c r="C12321" s="2">
        <v>43340</v>
      </c>
      <c r="D12321" t="s">
        <v>29</v>
      </c>
      <c r="E12321">
        <v>1003</v>
      </c>
    </row>
    <row r="12322" spans="1:5" x14ac:dyDescent="0.55000000000000004">
      <c r="A12322" t="s">
        <v>12403</v>
      </c>
      <c r="B12322" t="s">
        <v>156</v>
      </c>
      <c r="C12322" s="2">
        <v>43558</v>
      </c>
      <c r="D12322" t="s">
        <v>26</v>
      </c>
      <c r="E12322">
        <v>1323</v>
      </c>
    </row>
    <row r="12323" spans="1:5" x14ac:dyDescent="0.55000000000000004">
      <c r="A12323" t="s">
        <v>12404</v>
      </c>
      <c r="B12323" t="s">
        <v>105</v>
      </c>
      <c r="C12323" s="2">
        <v>43153</v>
      </c>
      <c r="D12323" t="s">
        <v>29</v>
      </c>
      <c r="E12323">
        <v>35</v>
      </c>
    </row>
    <row r="12324" spans="1:5" x14ac:dyDescent="0.55000000000000004">
      <c r="A12324" t="s">
        <v>12405</v>
      </c>
      <c r="B12324" t="s">
        <v>111</v>
      </c>
      <c r="C12324" s="2">
        <v>44214</v>
      </c>
      <c r="D12324" t="s">
        <v>26</v>
      </c>
      <c r="E12324">
        <v>1034</v>
      </c>
    </row>
    <row r="12325" spans="1:5" x14ac:dyDescent="0.55000000000000004">
      <c r="A12325" t="s">
        <v>12406</v>
      </c>
      <c r="B12325" t="s">
        <v>96</v>
      </c>
      <c r="C12325" s="2">
        <v>44000</v>
      </c>
      <c r="D12325" t="s">
        <v>29</v>
      </c>
      <c r="E12325">
        <v>108</v>
      </c>
    </row>
    <row r="12326" spans="1:5" x14ac:dyDescent="0.55000000000000004">
      <c r="A12326" t="s">
        <v>12407</v>
      </c>
      <c r="B12326" t="s">
        <v>32</v>
      </c>
      <c r="C12326" s="2">
        <v>44810</v>
      </c>
      <c r="D12326" t="s">
        <v>29</v>
      </c>
      <c r="E12326">
        <v>671</v>
      </c>
    </row>
    <row r="12327" spans="1:5" x14ac:dyDescent="0.55000000000000004">
      <c r="A12327" t="s">
        <v>12408</v>
      </c>
      <c r="B12327" t="s">
        <v>32</v>
      </c>
      <c r="C12327" s="2">
        <v>43986</v>
      </c>
      <c r="D12327" t="s">
        <v>29</v>
      </c>
      <c r="E12327">
        <v>1455</v>
      </c>
    </row>
    <row r="12328" spans="1:5" x14ac:dyDescent="0.55000000000000004">
      <c r="A12328" t="s">
        <v>12409</v>
      </c>
      <c r="B12328" t="s">
        <v>23</v>
      </c>
      <c r="C12328" s="2">
        <v>44827</v>
      </c>
      <c r="D12328" t="s">
        <v>29</v>
      </c>
      <c r="E12328">
        <v>967</v>
      </c>
    </row>
    <row r="12329" spans="1:5" x14ac:dyDescent="0.55000000000000004">
      <c r="A12329" t="s">
        <v>12410</v>
      </c>
      <c r="B12329" t="s">
        <v>140</v>
      </c>
      <c r="C12329" s="2">
        <v>43690</v>
      </c>
      <c r="D12329" t="s">
        <v>26</v>
      </c>
      <c r="E12329">
        <v>2343</v>
      </c>
    </row>
    <row r="12330" spans="1:5" x14ac:dyDescent="0.55000000000000004">
      <c r="A12330" t="s">
        <v>12411</v>
      </c>
      <c r="B12330" t="s">
        <v>99</v>
      </c>
      <c r="C12330" s="2">
        <v>44764</v>
      </c>
      <c r="D12330" t="s">
        <v>26</v>
      </c>
      <c r="E12330">
        <v>2484</v>
      </c>
    </row>
    <row r="12331" spans="1:5" x14ac:dyDescent="0.55000000000000004">
      <c r="A12331" t="s">
        <v>12412</v>
      </c>
      <c r="B12331" t="s">
        <v>99</v>
      </c>
      <c r="C12331" s="2">
        <v>43847</v>
      </c>
      <c r="D12331" t="s">
        <v>29</v>
      </c>
      <c r="E12331">
        <v>1220</v>
      </c>
    </row>
    <row r="12332" spans="1:5" x14ac:dyDescent="0.55000000000000004">
      <c r="A12332" t="s">
        <v>12413</v>
      </c>
      <c r="B12332" t="s">
        <v>96</v>
      </c>
      <c r="C12332" s="2">
        <v>44415</v>
      </c>
      <c r="D12332" t="s">
        <v>29</v>
      </c>
      <c r="E12332">
        <v>1785</v>
      </c>
    </row>
    <row r="12333" spans="1:5" x14ac:dyDescent="0.55000000000000004">
      <c r="A12333" t="s">
        <v>12414</v>
      </c>
      <c r="B12333" t="s">
        <v>86</v>
      </c>
      <c r="C12333" s="2">
        <v>43336</v>
      </c>
      <c r="D12333" t="s">
        <v>29</v>
      </c>
      <c r="E12333">
        <v>2644</v>
      </c>
    </row>
    <row r="12334" spans="1:5" x14ac:dyDescent="0.55000000000000004">
      <c r="A12334" t="s">
        <v>12415</v>
      </c>
      <c r="B12334" t="s">
        <v>67</v>
      </c>
      <c r="C12334" s="2">
        <v>45625</v>
      </c>
      <c r="D12334" t="s">
        <v>29</v>
      </c>
      <c r="E12334">
        <v>2146</v>
      </c>
    </row>
    <row r="12335" spans="1:5" x14ac:dyDescent="0.55000000000000004">
      <c r="A12335" t="s">
        <v>12416</v>
      </c>
      <c r="B12335" t="s">
        <v>15</v>
      </c>
      <c r="C12335" s="2">
        <v>43530</v>
      </c>
      <c r="D12335" t="s">
        <v>29</v>
      </c>
      <c r="E12335">
        <v>2681</v>
      </c>
    </row>
    <row r="12336" spans="1:5" x14ac:dyDescent="0.55000000000000004">
      <c r="A12336" t="s">
        <v>12417</v>
      </c>
      <c r="B12336" t="s">
        <v>76</v>
      </c>
      <c r="C12336" s="2">
        <v>44949</v>
      </c>
      <c r="D12336" t="s">
        <v>29</v>
      </c>
      <c r="E12336">
        <v>477</v>
      </c>
    </row>
    <row r="12337" spans="1:5" x14ac:dyDescent="0.55000000000000004">
      <c r="A12337" t="s">
        <v>12418</v>
      </c>
      <c r="B12337" t="s">
        <v>63</v>
      </c>
      <c r="C12337" s="2">
        <v>43148</v>
      </c>
      <c r="D12337" t="s">
        <v>29</v>
      </c>
      <c r="E12337">
        <v>1074</v>
      </c>
    </row>
    <row r="12338" spans="1:5" x14ac:dyDescent="0.55000000000000004">
      <c r="A12338" t="s">
        <v>12419</v>
      </c>
      <c r="B12338" t="s">
        <v>84</v>
      </c>
      <c r="C12338" s="2">
        <v>44540</v>
      </c>
      <c r="D12338" t="s">
        <v>29</v>
      </c>
      <c r="E12338">
        <v>264</v>
      </c>
    </row>
    <row r="12339" spans="1:5" x14ac:dyDescent="0.55000000000000004">
      <c r="A12339" t="s">
        <v>12420</v>
      </c>
      <c r="B12339" t="s">
        <v>140</v>
      </c>
      <c r="C12339" s="2">
        <v>43414</v>
      </c>
      <c r="D12339" t="s">
        <v>29</v>
      </c>
      <c r="E12339">
        <v>741</v>
      </c>
    </row>
    <row r="12340" spans="1:5" x14ac:dyDescent="0.55000000000000004">
      <c r="A12340" t="s">
        <v>12421</v>
      </c>
      <c r="B12340" t="s">
        <v>111</v>
      </c>
      <c r="C12340" s="2">
        <v>43897</v>
      </c>
      <c r="D12340" t="s">
        <v>29</v>
      </c>
      <c r="E12340">
        <v>1955</v>
      </c>
    </row>
    <row r="12341" spans="1:5" x14ac:dyDescent="0.55000000000000004">
      <c r="A12341" t="s">
        <v>12422</v>
      </c>
      <c r="B12341" t="s">
        <v>96</v>
      </c>
      <c r="C12341" s="2">
        <v>45445</v>
      </c>
      <c r="D12341" t="s">
        <v>29</v>
      </c>
      <c r="E12341">
        <v>970</v>
      </c>
    </row>
    <row r="12342" spans="1:5" x14ac:dyDescent="0.55000000000000004">
      <c r="A12342" t="s">
        <v>12423</v>
      </c>
      <c r="B12342" t="s">
        <v>15</v>
      </c>
      <c r="C12342" s="2">
        <v>44228</v>
      </c>
      <c r="D12342" t="s">
        <v>26</v>
      </c>
      <c r="E12342">
        <v>325</v>
      </c>
    </row>
    <row r="12343" spans="1:5" x14ac:dyDescent="0.55000000000000004">
      <c r="A12343" t="s">
        <v>12424</v>
      </c>
      <c r="B12343" t="s">
        <v>72</v>
      </c>
      <c r="C12343" s="2">
        <v>43372</v>
      </c>
      <c r="D12343" t="s">
        <v>29</v>
      </c>
      <c r="E12343">
        <v>2110</v>
      </c>
    </row>
    <row r="12344" spans="1:5" x14ac:dyDescent="0.55000000000000004">
      <c r="A12344" t="s">
        <v>12425</v>
      </c>
      <c r="B12344" t="s">
        <v>15</v>
      </c>
      <c r="C12344" s="2">
        <v>43827</v>
      </c>
      <c r="D12344" t="s">
        <v>29</v>
      </c>
      <c r="E12344">
        <v>1570</v>
      </c>
    </row>
    <row r="12345" spans="1:5" x14ac:dyDescent="0.55000000000000004">
      <c r="A12345" t="s">
        <v>12426</v>
      </c>
      <c r="B12345" t="s">
        <v>94</v>
      </c>
      <c r="C12345" s="2">
        <v>43763</v>
      </c>
      <c r="D12345" t="s">
        <v>26</v>
      </c>
      <c r="E12345">
        <v>2245</v>
      </c>
    </row>
    <row r="12346" spans="1:5" x14ac:dyDescent="0.55000000000000004">
      <c r="A12346" t="s">
        <v>12427</v>
      </c>
      <c r="B12346" t="s">
        <v>118</v>
      </c>
      <c r="C12346" s="2">
        <v>45771</v>
      </c>
      <c r="D12346" t="s">
        <v>29</v>
      </c>
      <c r="E12346">
        <v>1360</v>
      </c>
    </row>
    <row r="12347" spans="1:5" x14ac:dyDescent="0.55000000000000004">
      <c r="A12347" t="s">
        <v>12428</v>
      </c>
      <c r="B12347" t="s">
        <v>86</v>
      </c>
      <c r="C12347" s="2">
        <v>43926</v>
      </c>
      <c r="D12347" t="s">
        <v>26</v>
      </c>
      <c r="E12347">
        <v>519</v>
      </c>
    </row>
    <row r="12348" spans="1:5" x14ac:dyDescent="0.55000000000000004">
      <c r="A12348" t="s">
        <v>12429</v>
      </c>
      <c r="B12348" t="s">
        <v>78</v>
      </c>
      <c r="C12348" s="2">
        <v>44233</v>
      </c>
      <c r="D12348" t="s">
        <v>26</v>
      </c>
      <c r="E12348">
        <v>2618</v>
      </c>
    </row>
    <row r="12349" spans="1:5" x14ac:dyDescent="0.55000000000000004">
      <c r="A12349" t="s">
        <v>12430</v>
      </c>
      <c r="B12349" t="s">
        <v>118</v>
      </c>
      <c r="C12349" s="2">
        <v>43582</v>
      </c>
      <c r="D12349" t="s">
        <v>26</v>
      </c>
      <c r="E12349">
        <v>1325</v>
      </c>
    </row>
    <row r="12350" spans="1:5" x14ac:dyDescent="0.55000000000000004">
      <c r="A12350" t="s">
        <v>12431</v>
      </c>
      <c r="B12350" t="s">
        <v>23</v>
      </c>
      <c r="C12350" s="2">
        <v>43856</v>
      </c>
      <c r="D12350" t="s">
        <v>29</v>
      </c>
      <c r="E12350">
        <v>1174</v>
      </c>
    </row>
    <row r="12351" spans="1:5" x14ac:dyDescent="0.55000000000000004">
      <c r="A12351" t="s">
        <v>12432</v>
      </c>
      <c r="B12351" t="s">
        <v>86</v>
      </c>
      <c r="C12351" s="2">
        <v>44431</v>
      </c>
      <c r="D12351" t="s">
        <v>26</v>
      </c>
      <c r="E12351">
        <v>1794</v>
      </c>
    </row>
    <row r="12352" spans="1:5" x14ac:dyDescent="0.55000000000000004">
      <c r="A12352" t="s">
        <v>12433</v>
      </c>
      <c r="B12352" t="s">
        <v>63</v>
      </c>
      <c r="C12352" s="2">
        <v>43694</v>
      </c>
      <c r="D12352" t="s">
        <v>29</v>
      </c>
      <c r="E12352">
        <v>2254</v>
      </c>
    </row>
    <row r="12353" spans="1:5" x14ac:dyDescent="0.55000000000000004">
      <c r="A12353" t="s">
        <v>12434</v>
      </c>
      <c r="B12353" t="s">
        <v>86</v>
      </c>
      <c r="C12353" s="2">
        <v>43499</v>
      </c>
      <c r="D12353" t="s">
        <v>26</v>
      </c>
      <c r="E12353">
        <v>1321</v>
      </c>
    </row>
    <row r="12354" spans="1:5" x14ac:dyDescent="0.55000000000000004">
      <c r="A12354" t="s">
        <v>12435</v>
      </c>
      <c r="B12354" t="s">
        <v>78</v>
      </c>
      <c r="C12354" s="2">
        <v>45789</v>
      </c>
      <c r="D12354" t="s">
        <v>26</v>
      </c>
      <c r="E12354">
        <v>2341</v>
      </c>
    </row>
    <row r="12355" spans="1:5" x14ac:dyDescent="0.55000000000000004">
      <c r="A12355" t="s">
        <v>12436</v>
      </c>
      <c r="B12355" t="s">
        <v>63</v>
      </c>
      <c r="C12355" s="2">
        <v>43484</v>
      </c>
      <c r="D12355" t="s">
        <v>29</v>
      </c>
      <c r="E12355">
        <v>757</v>
      </c>
    </row>
    <row r="12356" spans="1:5" x14ac:dyDescent="0.55000000000000004">
      <c r="A12356" t="s">
        <v>12437</v>
      </c>
      <c r="B12356" t="s">
        <v>156</v>
      </c>
      <c r="C12356" s="2">
        <v>43754</v>
      </c>
      <c r="D12356" t="s">
        <v>26</v>
      </c>
      <c r="E12356">
        <v>2693</v>
      </c>
    </row>
    <row r="12357" spans="1:5" x14ac:dyDescent="0.55000000000000004">
      <c r="A12357" t="s">
        <v>12438</v>
      </c>
      <c r="B12357" t="s">
        <v>78</v>
      </c>
      <c r="C12357" s="2">
        <v>45388</v>
      </c>
      <c r="D12357" t="s">
        <v>26</v>
      </c>
      <c r="E12357">
        <v>551</v>
      </c>
    </row>
    <row r="12358" spans="1:5" x14ac:dyDescent="0.55000000000000004">
      <c r="A12358" t="s">
        <v>12439</v>
      </c>
      <c r="B12358" t="s">
        <v>151</v>
      </c>
      <c r="C12358" s="2">
        <v>44166</v>
      </c>
      <c r="D12358" t="s">
        <v>26</v>
      </c>
      <c r="E12358">
        <v>1011</v>
      </c>
    </row>
    <row r="12359" spans="1:5" x14ac:dyDescent="0.55000000000000004">
      <c r="A12359" t="s">
        <v>12440</v>
      </c>
      <c r="B12359" t="s">
        <v>94</v>
      </c>
      <c r="C12359" s="2">
        <v>43692</v>
      </c>
      <c r="D12359" t="s">
        <v>29</v>
      </c>
      <c r="E12359">
        <v>1377</v>
      </c>
    </row>
    <row r="12360" spans="1:5" x14ac:dyDescent="0.55000000000000004">
      <c r="A12360" t="s">
        <v>12441</v>
      </c>
      <c r="B12360" t="s">
        <v>63</v>
      </c>
      <c r="C12360" s="2">
        <v>43331</v>
      </c>
      <c r="D12360" t="s">
        <v>29</v>
      </c>
      <c r="E12360">
        <v>797</v>
      </c>
    </row>
    <row r="12361" spans="1:5" x14ac:dyDescent="0.55000000000000004">
      <c r="A12361" t="s">
        <v>12442</v>
      </c>
      <c r="B12361" t="s">
        <v>94</v>
      </c>
      <c r="C12361" s="2">
        <v>44975</v>
      </c>
      <c r="D12361" t="s">
        <v>29</v>
      </c>
      <c r="E12361">
        <v>1285</v>
      </c>
    </row>
    <row r="12362" spans="1:5" x14ac:dyDescent="0.55000000000000004">
      <c r="A12362" t="s">
        <v>12443</v>
      </c>
      <c r="B12362" t="s">
        <v>175</v>
      </c>
      <c r="C12362" s="2">
        <v>45684</v>
      </c>
      <c r="D12362" t="s">
        <v>26</v>
      </c>
      <c r="E12362">
        <v>2336</v>
      </c>
    </row>
    <row r="12363" spans="1:5" x14ac:dyDescent="0.55000000000000004">
      <c r="A12363" t="s">
        <v>12444</v>
      </c>
      <c r="B12363" t="s">
        <v>101</v>
      </c>
      <c r="C12363" s="2">
        <v>43237</v>
      </c>
      <c r="D12363" t="s">
        <v>26</v>
      </c>
      <c r="E12363">
        <v>2991</v>
      </c>
    </row>
    <row r="12364" spans="1:5" x14ac:dyDescent="0.55000000000000004">
      <c r="A12364" t="s">
        <v>12445</v>
      </c>
      <c r="B12364" t="s">
        <v>41</v>
      </c>
      <c r="C12364" s="2">
        <v>44076</v>
      </c>
      <c r="D12364" t="s">
        <v>29</v>
      </c>
      <c r="E12364">
        <v>0</v>
      </c>
    </row>
    <row r="12365" spans="1:5" x14ac:dyDescent="0.55000000000000004">
      <c r="A12365" t="s">
        <v>12446</v>
      </c>
      <c r="B12365" t="s">
        <v>67</v>
      </c>
      <c r="C12365" s="2">
        <v>45473</v>
      </c>
      <c r="D12365" t="s">
        <v>29</v>
      </c>
      <c r="E12365">
        <v>2577</v>
      </c>
    </row>
    <row r="12366" spans="1:5" x14ac:dyDescent="0.55000000000000004">
      <c r="A12366" t="s">
        <v>12447</v>
      </c>
      <c r="B12366" t="s">
        <v>111</v>
      </c>
      <c r="C12366" s="2">
        <v>44213</v>
      </c>
      <c r="D12366" t="s">
        <v>29</v>
      </c>
      <c r="E12366">
        <v>2065</v>
      </c>
    </row>
    <row r="12367" spans="1:5" x14ac:dyDescent="0.55000000000000004">
      <c r="A12367" t="s">
        <v>12448</v>
      </c>
      <c r="B12367" t="s">
        <v>35</v>
      </c>
      <c r="C12367" s="2">
        <v>44130</v>
      </c>
      <c r="D12367" t="s">
        <v>29</v>
      </c>
      <c r="E12367">
        <v>779</v>
      </c>
    </row>
    <row r="12368" spans="1:5" x14ac:dyDescent="0.55000000000000004">
      <c r="A12368" t="s">
        <v>12449</v>
      </c>
      <c r="B12368" t="s">
        <v>15</v>
      </c>
      <c r="C12368" s="2">
        <v>43787</v>
      </c>
      <c r="D12368" t="s">
        <v>26</v>
      </c>
      <c r="E12368">
        <v>194</v>
      </c>
    </row>
    <row r="12369" spans="1:5" x14ac:dyDescent="0.55000000000000004">
      <c r="A12369" t="s">
        <v>12450</v>
      </c>
      <c r="B12369" t="s">
        <v>23</v>
      </c>
      <c r="C12369" s="2">
        <v>44791</v>
      </c>
      <c r="D12369" t="s">
        <v>29</v>
      </c>
      <c r="E12369">
        <v>899</v>
      </c>
    </row>
    <row r="12370" spans="1:5" x14ac:dyDescent="0.55000000000000004">
      <c r="A12370" t="s">
        <v>12451</v>
      </c>
      <c r="B12370" t="s">
        <v>23</v>
      </c>
      <c r="C12370" s="2">
        <v>44886</v>
      </c>
      <c r="D12370" t="s">
        <v>26</v>
      </c>
      <c r="E12370">
        <v>1791</v>
      </c>
    </row>
    <row r="12371" spans="1:5" x14ac:dyDescent="0.55000000000000004">
      <c r="A12371" t="s">
        <v>12452</v>
      </c>
      <c r="B12371" t="s">
        <v>76</v>
      </c>
      <c r="C12371" s="2">
        <v>45042</v>
      </c>
      <c r="D12371" t="s">
        <v>29</v>
      </c>
      <c r="E12371">
        <v>111</v>
      </c>
    </row>
    <row r="12372" spans="1:5" x14ac:dyDescent="0.55000000000000004">
      <c r="A12372" t="s">
        <v>12453</v>
      </c>
      <c r="B12372" t="s">
        <v>23</v>
      </c>
      <c r="C12372" s="2">
        <v>44854</v>
      </c>
      <c r="D12372" t="s">
        <v>29</v>
      </c>
      <c r="E12372">
        <v>2061</v>
      </c>
    </row>
    <row r="12373" spans="1:5" x14ac:dyDescent="0.55000000000000004">
      <c r="A12373" t="s">
        <v>12454</v>
      </c>
      <c r="B12373" t="s">
        <v>137</v>
      </c>
      <c r="C12373" s="2">
        <v>44800</v>
      </c>
      <c r="D12373" t="s">
        <v>29</v>
      </c>
      <c r="E12373">
        <v>45</v>
      </c>
    </row>
    <row r="12374" spans="1:5" x14ac:dyDescent="0.55000000000000004">
      <c r="A12374" t="s">
        <v>12455</v>
      </c>
      <c r="B12374" t="s">
        <v>137</v>
      </c>
      <c r="C12374" s="2">
        <v>43692</v>
      </c>
      <c r="D12374" t="s">
        <v>29</v>
      </c>
      <c r="E12374">
        <v>1136</v>
      </c>
    </row>
    <row r="12375" spans="1:5" x14ac:dyDescent="0.55000000000000004">
      <c r="A12375" t="s">
        <v>12456</v>
      </c>
      <c r="B12375" t="s">
        <v>86</v>
      </c>
      <c r="C12375" s="2">
        <v>44272</v>
      </c>
      <c r="D12375" t="s">
        <v>26</v>
      </c>
      <c r="E12375">
        <v>1817</v>
      </c>
    </row>
    <row r="12376" spans="1:5" x14ac:dyDescent="0.55000000000000004">
      <c r="A12376" t="s">
        <v>12457</v>
      </c>
      <c r="B12376" t="s">
        <v>41</v>
      </c>
      <c r="C12376" s="2">
        <v>44118</v>
      </c>
      <c r="D12376" t="s">
        <v>29</v>
      </c>
      <c r="E12376">
        <v>643</v>
      </c>
    </row>
    <row r="12377" spans="1:5" x14ac:dyDescent="0.55000000000000004">
      <c r="A12377" t="s">
        <v>12458</v>
      </c>
      <c r="B12377" t="s">
        <v>32</v>
      </c>
      <c r="C12377" s="2">
        <v>43886</v>
      </c>
      <c r="D12377" t="s">
        <v>26</v>
      </c>
      <c r="E12377">
        <v>70</v>
      </c>
    </row>
    <row r="12378" spans="1:5" x14ac:dyDescent="0.55000000000000004">
      <c r="A12378" t="s">
        <v>12459</v>
      </c>
      <c r="B12378" t="s">
        <v>15</v>
      </c>
      <c r="C12378" s="2">
        <v>44170</v>
      </c>
      <c r="D12378" t="s">
        <v>26</v>
      </c>
      <c r="E12378">
        <v>2910</v>
      </c>
    </row>
    <row r="12379" spans="1:5" x14ac:dyDescent="0.55000000000000004">
      <c r="A12379" t="s">
        <v>12460</v>
      </c>
      <c r="B12379" t="s">
        <v>105</v>
      </c>
      <c r="C12379" s="2">
        <v>44329</v>
      </c>
      <c r="D12379" t="s">
        <v>26</v>
      </c>
      <c r="E12379">
        <v>1657</v>
      </c>
    </row>
    <row r="12380" spans="1:5" x14ac:dyDescent="0.55000000000000004">
      <c r="A12380" t="s">
        <v>12461</v>
      </c>
      <c r="B12380" t="s">
        <v>86</v>
      </c>
      <c r="C12380" s="2">
        <v>43219</v>
      </c>
      <c r="D12380" t="s">
        <v>29</v>
      </c>
      <c r="E12380">
        <v>2116</v>
      </c>
    </row>
    <row r="12381" spans="1:5" x14ac:dyDescent="0.55000000000000004">
      <c r="A12381" t="s">
        <v>12462</v>
      </c>
      <c r="B12381" t="s">
        <v>105</v>
      </c>
      <c r="C12381" s="2">
        <v>43624</v>
      </c>
      <c r="D12381" t="s">
        <v>29</v>
      </c>
      <c r="E12381">
        <v>1580</v>
      </c>
    </row>
    <row r="12382" spans="1:5" x14ac:dyDescent="0.55000000000000004">
      <c r="A12382" t="s">
        <v>12463</v>
      </c>
      <c r="B12382" t="s">
        <v>63</v>
      </c>
      <c r="C12382" s="2">
        <v>42949</v>
      </c>
      <c r="D12382" t="s">
        <v>29</v>
      </c>
      <c r="E12382">
        <v>2544</v>
      </c>
    </row>
    <row r="12383" spans="1:5" x14ac:dyDescent="0.55000000000000004">
      <c r="A12383" t="s">
        <v>12464</v>
      </c>
      <c r="B12383" t="s">
        <v>156</v>
      </c>
      <c r="C12383" s="2">
        <v>44290</v>
      </c>
      <c r="D12383" t="s">
        <v>26</v>
      </c>
      <c r="E12383">
        <v>1438</v>
      </c>
    </row>
    <row r="12384" spans="1:5" x14ac:dyDescent="0.55000000000000004">
      <c r="A12384" t="s">
        <v>12465</v>
      </c>
      <c r="B12384" t="s">
        <v>140</v>
      </c>
      <c r="C12384" s="2">
        <v>43940</v>
      </c>
      <c r="D12384" t="s">
        <v>26</v>
      </c>
      <c r="E12384">
        <v>277</v>
      </c>
    </row>
    <row r="12385" spans="1:5" x14ac:dyDescent="0.55000000000000004">
      <c r="A12385" t="s">
        <v>12466</v>
      </c>
      <c r="B12385" t="s">
        <v>15</v>
      </c>
      <c r="C12385" s="2">
        <v>43822</v>
      </c>
      <c r="D12385" t="s">
        <v>29</v>
      </c>
      <c r="E12385">
        <v>832</v>
      </c>
    </row>
    <row r="12386" spans="1:5" x14ac:dyDescent="0.55000000000000004">
      <c r="A12386" t="s">
        <v>12467</v>
      </c>
      <c r="B12386" t="s">
        <v>23</v>
      </c>
      <c r="C12386" s="2">
        <v>44736</v>
      </c>
      <c r="D12386" t="s">
        <v>26</v>
      </c>
      <c r="E12386">
        <v>1138</v>
      </c>
    </row>
    <row r="12387" spans="1:5" x14ac:dyDescent="0.55000000000000004">
      <c r="A12387" t="s">
        <v>12468</v>
      </c>
      <c r="B12387" t="s">
        <v>137</v>
      </c>
      <c r="C12387" s="2">
        <v>44759</v>
      </c>
      <c r="D12387" t="s">
        <v>26</v>
      </c>
      <c r="E12387">
        <v>2935</v>
      </c>
    </row>
    <row r="12388" spans="1:5" x14ac:dyDescent="0.55000000000000004">
      <c r="A12388" t="s">
        <v>12469</v>
      </c>
      <c r="B12388" t="s">
        <v>94</v>
      </c>
      <c r="C12388" s="2">
        <v>45731</v>
      </c>
      <c r="D12388" t="s">
        <v>29</v>
      </c>
      <c r="E12388">
        <v>2746</v>
      </c>
    </row>
    <row r="12389" spans="1:5" x14ac:dyDescent="0.55000000000000004">
      <c r="A12389" t="s">
        <v>12470</v>
      </c>
      <c r="B12389" t="s">
        <v>142</v>
      </c>
      <c r="C12389" s="2">
        <v>43953</v>
      </c>
      <c r="D12389" t="s">
        <v>29</v>
      </c>
      <c r="E12389">
        <v>29</v>
      </c>
    </row>
    <row r="12390" spans="1:5" x14ac:dyDescent="0.55000000000000004">
      <c r="A12390" t="s">
        <v>12471</v>
      </c>
      <c r="B12390" t="s">
        <v>96</v>
      </c>
      <c r="C12390" s="2">
        <v>44814</v>
      </c>
      <c r="D12390" t="s">
        <v>29</v>
      </c>
      <c r="E12390">
        <v>821</v>
      </c>
    </row>
    <row r="12391" spans="1:5" x14ac:dyDescent="0.55000000000000004">
      <c r="A12391" t="s">
        <v>12472</v>
      </c>
      <c r="B12391" t="s">
        <v>41</v>
      </c>
      <c r="C12391" s="2">
        <v>43835</v>
      </c>
      <c r="D12391" t="s">
        <v>29</v>
      </c>
      <c r="E12391">
        <v>801</v>
      </c>
    </row>
    <row r="12392" spans="1:5" x14ac:dyDescent="0.55000000000000004">
      <c r="A12392" t="s">
        <v>12473</v>
      </c>
      <c r="B12392" t="s">
        <v>78</v>
      </c>
      <c r="C12392" s="2">
        <v>45071</v>
      </c>
      <c r="D12392" t="s">
        <v>29</v>
      </c>
      <c r="E12392">
        <v>2533</v>
      </c>
    </row>
    <row r="12393" spans="1:5" x14ac:dyDescent="0.55000000000000004">
      <c r="A12393" t="s">
        <v>12474</v>
      </c>
      <c r="B12393" t="s">
        <v>35</v>
      </c>
      <c r="C12393" s="2">
        <v>44808</v>
      </c>
      <c r="D12393" t="s">
        <v>26</v>
      </c>
      <c r="E12393">
        <v>1791</v>
      </c>
    </row>
    <row r="12394" spans="1:5" x14ac:dyDescent="0.55000000000000004">
      <c r="A12394" t="s">
        <v>12475</v>
      </c>
      <c r="B12394" t="s">
        <v>67</v>
      </c>
      <c r="C12394" s="2">
        <v>44354</v>
      </c>
      <c r="D12394" t="s">
        <v>29</v>
      </c>
      <c r="E12394">
        <v>136</v>
      </c>
    </row>
    <row r="12395" spans="1:5" x14ac:dyDescent="0.55000000000000004">
      <c r="A12395" t="s">
        <v>12476</v>
      </c>
      <c r="B12395" t="s">
        <v>118</v>
      </c>
      <c r="C12395" s="2">
        <v>45323</v>
      </c>
      <c r="D12395" t="s">
        <v>26</v>
      </c>
      <c r="E12395">
        <v>1430</v>
      </c>
    </row>
    <row r="12396" spans="1:5" x14ac:dyDescent="0.55000000000000004">
      <c r="A12396" t="s">
        <v>12477</v>
      </c>
      <c r="B12396" t="s">
        <v>74</v>
      </c>
      <c r="C12396" s="2">
        <v>44550</v>
      </c>
      <c r="D12396" t="s">
        <v>26</v>
      </c>
      <c r="E12396">
        <v>186</v>
      </c>
    </row>
    <row r="12397" spans="1:5" x14ac:dyDescent="0.55000000000000004">
      <c r="A12397" t="s">
        <v>12478</v>
      </c>
      <c r="B12397" t="s">
        <v>140</v>
      </c>
      <c r="C12397" s="2">
        <v>44158</v>
      </c>
      <c r="D12397" t="s">
        <v>29</v>
      </c>
      <c r="E12397">
        <v>1836</v>
      </c>
    </row>
    <row r="12398" spans="1:5" x14ac:dyDescent="0.55000000000000004">
      <c r="A12398" t="s">
        <v>12479</v>
      </c>
      <c r="B12398" t="s">
        <v>105</v>
      </c>
      <c r="C12398" s="2">
        <v>43049</v>
      </c>
      <c r="D12398" t="s">
        <v>26</v>
      </c>
      <c r="E12398">
        <v>2190</v>
      </c>
    </row>
    <row r="12399" spans="1:5" x14ac:dyDescent="0.55000000000000004">
      <c r="A12399" t="s">
        <v>12480</v>
      </c>
      <c r="B12399" t="s">
        <v>115</v>
      </c>
      <c r="C12399" s="2">
        <v>43567</v>
      </c>
      <c r="D12399" t="s">
        <v>29</v>
      </c>
      <c r="E12399">
        <v>2242</v>
      </c>
    </row>
    <row r="12400" spans="1:5" x14ac:dyDescent="0.55000000000000004">
      <c r="A12400" t="s">
        <v>12481</v>
      </c>
      <c r="B12400" t="s">
        <v>63</v>
      </c>
      <c r="C12400" s="2">
        <v>44049</v>
      </c>
      <c r="D12400" t="s">
        <v>29</v>
      </c>
      <c r="E12400">
        <v>115</v>
      </c>
    </row>
    <row r="12401" spans="1:5" x14ac:dyDescent="0.55000000000000004">
      <c r="A12401" t="s">
        <v>12482</v>
      </c>
      <c r="B12401" t="s">
        <v>175</v>
      </c>
      <c r="C12401" s="2">
        <v>44216</v>
      </c>
      <c r="D12401" t="s">
        <v>29</v>
      </c>
      <c r="E12401">
        <v>2132</v>
      </c>
    </row>
    <row r="12402" spans="1:5" x14ac:dyDescent="0.55000000000000004">
      <c r="A12402" t="s">
        <v>12483</v>
      </c>
      <c r="B12402" t="s">
        <v>111</v>
      </c>
      <c r="C12402" s="2">
        <v>43376</v>
      </c>
      <c r="D12402" t="s">
        <v>29</v>
      </c>
      <c r="E12402">
        <v>2331</v>
      </c>
    </row>
    <row r="12403" spans="1:5" x14ac:dyDescent="0.55000000000000004">
      <c r="A12403" t="s">
        <v>12484</v>
      </c>
      <c r="B12403" t="s">
        <v>94</v>
      </c>
      <c r="C12403" s="2">
        <v>45746</v>
      </c>
      <c r="D12403" t="s">
        <v>26</v>
      </c>
      <c r="E12403">
        <v>457</v>
      </c>
    </row>
    <row r="12404" spans="1:5" x14ac:dyDescent="0.55000000000000004">
      <c r="A12404" t="s">
        <v>12485</v>
      </c>
      <c r="B12404" t="s">
        <v>156</v>
      </c>
      <c r="C12404" s="2">
        <v>44401</v>
      </c>
      <c r="D12404" t="s">
        <v>26</v>
      </c>
      <c r="E12404">
        <v>1270</v>
      </c>
    </row>
    <row r="12405" spans="1:5" x14ac:dyDescent="0.55000000000000004">
      <c r="A12405" t="s">
        <v>12486</v>
      </c>
      <c r="B12405" t="s">
        <v>74</v>
      </c>
      <c r="C12405" s="2">
        <v>43373</v>
      </c>
      <c r="D12405" t="s">
        <v>29</v>
      </c>
      <c r="E12405">
        <v>423</v>
      </c>
    </row>
    <row r="12406" spans="1:5" x14ac:dyDescent="0.55000000000000004">
      <c r="A12406" t="s">
        <v>12487</v>
      </c>
      <c r="B12406" t="s">
        <v>96</v>
      </c>
      <c r="C12406" s="2">
        <v>44454</v>
      </c>
      <c r="D12406" t="s">
        <v>26</v>
      </c>
      <c r="E12406">
        <v>1745</v>
      </c>
    </row>
    <row r="12407" spans="1:5" x14ac:dyDescent="0.55000000000000004">
      <c r="A12407" t="s">
        <v>12488</v>
      </c>
      <c r="B12407" t="s">
        <v>41</v>
      </c>
      <c r="C12407" s="2">
        <v>44224</v>
      </c>
      <c r="D12407" t="s">
        <v>26</v>
      </c>
      <c r="E12407">
        <v>2167</v>
      </c>
    </row>
    <row r="12408" spans="1:5" x14ac:dyDescent="0.55000000000000004">
      <c r="A12408" t="s">
        <v>12489</v>
      </c>
      <c r="B12408" t="s">
        <v>86</v>
      </c>
      <c r="C12408" s="2">
        <v>44003</v>
      </c>
      <c r="D12408" t="s">
        <v>26</v>
      </c>
      <c r="E12408">
        <v>136</v>
      </c>
    </row>
    <row r="12409" spans="1:5" x14ac:dyDescent="0.55000000000000004">
      <c r="A12409" t="s">
        <v>12490</v>
      </c>
      <c r="B12409" t="s">
        <v>140</v>
      </c>
      <c r="C12409" s="2">
        <v>44062</v>
      </c>
      <c r="D12409" t="s">
        <v>29</v>
      </c>
      <c r="E12409">
        <v>2799</v>
      </c>
    </row>
    <row r="12410" spans="1:5" x14ac:dyDescent="0.55000000000000004">
      <c r="A12410" t="s">
        <v>12491</v>
      </c>
      <c r="B12410" t="s">
        <v>67</v>
      </c>
      <c r="C12410" s="2">
        <v>44302</v>
      </c>
      <c r="D12410" t="s">
        <v>29</v>
      </c>
      <c r="E12410">
        <v>2113</v>
      </c>
    </row>
    <row r="12411" spans="1:5" x14ac:dyDescent="0.55000000000000004">
      <c r="A12411" t="s">
        <v>12492</v>
      </c>
      <c r="B12411" t="s">
        <v>115</v>
      </c>
      <c r="C12411" s="2">
        <v>43784</v>
      </c>
      <c r="D12411" t="s">
        <v>29</v>
      </c>
      <c r="E12411">
        <v>663</v>
      </c>
    </row>
    <row r="12412" spans="1:5" x14ac:dyDescent="0.55000000000000004">
      <c r="A12412" t="s">
        <v>12493</v>
      </c>
      <c r="B12412" t="s">
        <v>151</v>
      </c>
      <c r="C12412" s="2">
        <v>44014</v>
      </c>
      <c r="D12412" t="s">
        <v>29</v>
      </c>
      <c r="E12412">
        <v>1743</v>
      </c>
    </row>
    <row r="12413" spans="1:5" x14ac:dyDescent="0.55000000000000004">
      <c r="A12413" t="s">
        <v>12494</v>
      </c>
      <c r="B12413" t="s">
        <v>111</v>
      </c>
      <c r="C12413" s="2">
        <v>44282</v>
      </c>
      <c r="D12413" t="s">
        <v>29</v>
      </c>
      <c r="E12413">
        <v>188</v>
      </c>
    </row>
    <row r="12414" spans="1:5" x14ac:dyDescent="0.55000000000000004">
      <c r="A12414" t="s">
        <v>12495</v>
      </c>
      <c r="B12414" t="s">
        <v>101</v>
      </c>
      <c r="C12414" s="2">
        <v>43889</v>
      </c>
      <c r="D12414" t="s">
        <v>29</v>
      </c>
      <c r="E12414">
        <v>1521</v>
      </c>
    </row>
    <row r="12415" spans="1:5" x14ac:dyDescent="0.55000000000000004">
      <c r="A12415" t="s">
        <v>12496</v>
      </c>
      <c r="B12415" t="s">
        <v>86</v>
      </c>
      <c r="C12415" s="2">
        <v>44072</v>
      </c>
      <c r="D12415" t="s">
        <v>29</v>
      </c>
      <c r="E12415">
        <v>1838</v>
      </c>
    </row>
    <row r="12416" spans="1:5" x14ac:dyDescent="0.55000000000000004">
      <c r="A12416" t="s">
        <v>12497</v>
      </c>
      <c r="B12416" t="s">
        <v>137</v>
      </c>
      <c r="C12416" s="2">
        <v>44463</v>
      </c>
      <c r="D12416" t="s">
        <v>29</v>
      </c>
      <c r="E12416">
        <v>1190</v>
      </c>
    </row>
    <row r="12417" spans="1:5" x14ac:dyDescent="0.55000000000000004">
      <c r="A12417" t="s">
        <v>12498</v>
      </c>
      <c r="B12417" t="s">
        <v>115</v>
      </c>
      <c r="C12417" s="2">
        <v>42923</v>
      </c>
      <c r="D12417" t="s">
        <v>29</v>
      </c>
      <c r="E12417">
        <v>2616</v>
      </c>
    </row>
    <row r="12418" spans="1:5" x14ac:dyDescent="0.55000000000000004">
      <c r="A12418" t="s">
        <v>12499</v>
      </c>
      <c r="B12418" t="s">
        <v>38</v>
      </c>
      <c r="C12418" s="2">
        <v>44736</v>
      </c>
      <c r="D12418" t="s">
        <v>29</v>
      </c>
      <c r="E12418">
        <v>2699</v>
      </c>
    </row>
    <row r="12419" spans="1:5" x14ac:dyDescent="0.55000000000000004">
      <c r="A12419" t="s">
        <v>12500</v>
      </c>
      <c r="B12419" t="s">
        <v>72</v>
      </c>
      <c r="C12419" s="2">
        <v>43641</v>
      </c>
      <c r="D12419" t="s">
        <v>26</v>
      </c>
      <c r="E12419">
        <v>1202</v>
      </c>
    </row>
    <row r="12420" spans="1:5" x14ac:dyDescent="0.55000000000000004">
      <c r="A12420" t="s">
        <v>12501</v>
      </c>
      <c r="B12420" t="s">
        <v>142</v>
      </c>
      <c r="C12420" s="2">
        <v>43283</v>
      </c>
      <c r="D12420" t="s">
        <v>29</v>
      </c>
      <c r="E12420">
        <v>2819</v>
      </c>
    </row>
    <row r="12421" spans="1:5" x14ac:dyDescent="0.55000000000000004">
      <c r="A12421" t="s">
        <v>12502</v>
      </c>
      <c r="B12421" t="s">
        <v>175</v>
      </c>
      <c r="C12421" s="2">
        <v>45649</v>
      </c>
      <c r="D12421" t="s">
        <v>26</v>
      </c>
      <c r="E12421">
        <v>105</v>
      </c>
    </row>
    <row r="12422" spans="1:5" x14ac:dyDescent="0.55000000000000004">
      <c r="A12422" t="s">
        <v>12503</v>
      </c>
      <c r="B12422" t="s">
        <v>35</v>
      </c>
      <c r="C12422" s="2">
        <v>44486</v>
      </c>
      <c r="D12422" t="s">
        <v>29</v>
      </c>
      <c r="E12422">
        <v>2165</v>
      </c>
    </row>
    <row r="12423" spans="1:5" x14ac:dyDescent="0.55000000000000004">
      <c r="A12423" t="s">
        <v>12504</v>
      </c>
      <c r="B12423" t="s">
        <v>15</v>
      </c>
      <c r="C12423" s="2">
        <v>43226</v>
      </c>
      <c r="D12423" t="s">
        <v>26</v>
      </c>
      <c r="E12423">
        <v>1403</v>
      </c>
    </row>
    <row r="12424" spans="1:5" x14ac:dyDescent="0.55000000000000004">
      <c r="A12424" t="s">
        <v>12505</v>
      </c>
      <c r="B12424" t="s">
        <v>96</v>
      </c>
      <c r="C12424" s="2">
        <v>45529</v>
      </c>
      <c r="D12424" t="s">
        <v>29</v>
      </c>
      <c r="E12424">
        <v>1473</v>
      </c>
    </row>
    <row r="12425" spans="1:5" x14ac:dyDescent="0.55000000000000004">
      <c r="A12425" t="s">
        <v>12506</v>
      </c>
      <c r="B12425" t="s">
        <v>137</v>
      </c>
      <c r="C12425" s="2">
        <v>45401</v>
      </c>
      <c r="D12425" t="s">
        <v>26</v>
      </c>
      <c r="E12425">
        <v>190</v>
      </c>
    </row>
    <row r="12426" spans="1:5" x14ac:dyDescent="0.55000000000000004">
      <c r="A12426" t="s">
        <v>12507</v>
      </c>
      <c r="B12426" t="s">
        <v>67</v>
      </c>
      <c r="C12426" s="2">
        <v>43553</v>
      </c>
      <c r="D12426" t="s">
        <v>26</v>
      </c>
      <c r="E12426">
        <v>1180</v>
      </c>
    </row>
    <row r="12427" spans="1:5" x14ac:dyDescent="0.55000000000000004">
      <c r="A12427" t="s">
        <v>12508</v>
      </c>
      <c r="B12427" t="s">
        <v>115</v>
      </c>
      <c r="C12427" s="2">
        <v>42950</v>
      </c>
      <c r="D12427" t="s">
        <v>29</v>
      </c>
      <c r="E12427">
        <v>350</v>
      </c>
    </row>
    <row r="12428" spans="1:5" x14ac:dyDescent="0.55000000000000004">
      <c r="A12428" t="s">
        <v>12509</v>
      </c>
      <c r="B12428" t="s">
        <v>86</v>
      </c>
      <c r="C12428" s="2">
        <v>43038</v>
      </c>
      <c r="D12428" t="s">
        <v>29</v>
      </c>
      <c r="E12428">
        <v>1240</v>
      </c>
    </row>
    <row r="12429" spans="1:5" x14ac:dyDescent="0.55000000000000004">
      <c r="A12429" t="s">
        <v>12510</v>
      </c>
      <c r="B12429" t="s">
        <v>23</v>
      </c>
      <c r="C12429" s="2">
        <v>44332</v>
      </c>
      <c r="D12429" t="s">
        <v>26</v>
      </c>
      <c r="E12429">
        <v>1663</v>
      </c>
    </row>
    <row r="12430" spans="1:5" x14ac:dyDescent="0.55000000000000004">
      <c r="A12430" t="s">
        <v>12511</v>
      </c>
      <c r="B12430" t="s">
        <v>101</v>
      </c>
      <c r="C12430" s="2">
        <v>42945</v>
      </c>
      <c r="D12430" t="s">
        <v>26</v>
      </c>
      <c r="E12430">
        <v>1753</v>
      </c>
    </row>
    <row r="12431" spans="1:5" x14ac:dyDescent="0.55000000000000004">
      <c r="A12431" t="s">
        <v>12512</v>
      </c>
      <c r="B12431" t="s">
        <v>118</v>
      </c>
      <c r="C12431" s="2">
        <v>43935</v>
      </c>
      <c r="D12431" t="s">
        <v>26</v>
      </c>
      <c r="E12431">
        <v>1406</v>
      </c>
    </row>
    <row r="12432" spans="1:5" x14ac:dyDescent="0.55000000000000004">
      <c r="A12432" t="s">
        <v>12513</v>
      </c>
      <c r="B12432" t="s">
        <v>35</v>
      </c>
      <c r="C12432" s="2">
        <v>44582</v>
      </c>
      <c r="D12432" t="s">
        <v>29</v>
      </c>
      <c r="E12432">
        <v>1788</v>
      </c>
    </row>
    <row r="12433" spans="1:5" x14ac:dyDescent="0.55000000000000004">
      <c r="A12433" t="s">
        <v>12514</v>
      </c>
      <c r="B12433" t="s">
        <v>74</v>
      </c>
      <c r="C12433" s="2">
        <v>43390</v>
      </c>
      <c r="D12433" t="s">
        <v>29</v>
      </c>
      <c r="E12433">
        <v>68</v>
      </c>
    </row>
    <row r="12434" spans="1:5" x14ac:dyDescent="0.55000000000000004">
      <c r="A12434" t="s">
        <v>12515</v>
      </c>
      <c r="B12434" t="s">
        <v>41</v>
      </c>
      <c r="C12434" s="2">
        <v>44395</v>
      </c>
      <c r="D12434" t="s">
        <v>29</v>
      </c>
      <c r="E12434">
        <v>2717</v>
      </c>
    </row>
    <row r="12435" spans="1:5" x14ac:dyDescent="0.55000000000000004">
      <c r="A12435" t="s">
        <v>12516</v>
      </c>
      <c r="B12435" t="s">
        <v>35</v>
      </c>
      <c r="C12435" s="2">
        <v>44560</v>
      </c>
      <c r="D12435" t="s">
        <v>26</v>
      </c>
      <c r="E12435">
        <v>172</v>
      </c>
    </row>
    <row r="12436" spans="1:5" x14ac:dyDescent="0.55000000000000004">
      <c r="A12436" t="s">
        <v>12517</v>
      </c>
      <c r="B12436" t="s">
        <v>142</v>
      </c>
      <c r="C12436" s="2">
        <v>43555</v>
      </c>
      <c r="D12436" t="s">
        <v>29</v>
      </c>
      <c r="E12436">
        <v>2260</v>
      </c>
    </row>
    <row r="12437" spans="1:5" x14ac:dyDescent="0.55000000000000004">
      <c r="A12437" t="s">
        <v>12518</v>
      </c>
      <c r="B12437" t="s">
        <v>156</v>
      </c>
      <c r="C12437" s="2">
        <v>42986</v>
      </c>
      <c r="D12437" t="s">
        <v>26</v>
      </c>
      <c r="E12437">
        <v>532</v>
      </c>
    </row>
    <row r="12438" spans="1:5" x14ac:dyDescent="0.55000000000000004">
      <c r="A12438" t="s">
        <v>12519</v>
      </c>
      <c r="B12438" t="s">
        <v>35</v>
      </c>
      <c r="C12438" s="2">
        <v>44809</v>
      </c>
      <c r="D12438" t="s">
        <v>26</v>
      </c>
      <c r="E12438">
        <v>1663</v>
      </c>
    </row>
    <row r="12439" spans="1:5" x14ac:dyDescent="0.55000000000000004">
      <c r="A12439" t="s">
        <v>12520</v>
      </c>
      <c r="B12439" t="s">
        <v>76</v>
      </c>
      <c r="C12439" s="2">
        <v>45803</v>
      </c>
      <c r="D12439" t="s">
        <v>26</v>
      </c>
      <c r="E12439">
        <v>2665</v>
      </c>
    </row>
    <row r="12440" spans="1:5" x14ac:dyDescent="0.55000000000000004">
      <c r="A12440" t="s">
        <v>12521</v>
      </c>
      <c r="B12440" t="s">
        <v>101</v>
      </c>
      <c r="C12440" s="2">
        <v>43552</v>
      </c>
      <c r="D12440" t="s">
        <v>29</v>
      </c>
      <c r="E12440">
        <v>2555</v>
      </c>
    </row>
    <row r="12441" spans="1:5" x14ac:dyDescent="0.55000000000000004">
      <c r="A12441" t="s">
        <v>12522</v>
      </c>
      <c r="B12441" t="s">
        <v>63</v>
      </c>
      <c r="C12441" s="2">
        <v>43597</v>
      </c>
      <c r="D12441" t="s">
        <v>29</v>
      </c>
      <c r="E12441">
        <v>2658</v>
      </c>
    </row>
    <row r="12442" spans="1:5" x14ac:dyDescent="0.55000000000000004">
      <c r="A12442" t="s">
        <v>12523</v>
      </c>
      <c r="B12442" t="s">
        <v>86</v>
      </c>
      <c r="C12442" s="2">
        <v>44430</v>
      </c>
      <c r="D12442" t="s">
        <v>26</v>
      </c>
      <c r="E12442">
        <v>2776</v>
      </c>
    </row>
    <row r="12443" spans="1:5" x14ac:dyDescent="0.55000000000000004">
      <c r="A12443" t="s">
        <v>12524</v>
      </c>
      <c r="B12443" t="s">
        <v>63</v>
      </c>
      <c r="C12443" s="2">
        <v>44531</v>
      </c>
      <c r="D12443" t="s">
        <v>29</v>
      </c>
      <c r="E12443">
        <v>864</v>
      </c>
    </row>
    <row r="12444" spans="1:5" x14ac:dyDescent="0.55000000000000004">
      <c r="A12444" t="s">
        <v>12525</v>
      </c>
      <c r="B12444" t="s">
        <v>99</v>
      </c>
      <c r="C12444" s="2">
        <v>44357</v>
      </c>
      <c r="D12444" t="s">
        <v>29</v>
      </c>
      <c r="E12444">
        <v>1199</v>
      </c>
    </row>
    <row r="12445" spans="1:5" x14ac:dyDescent="0.55000000000000004">
      <c r="A12445" t="s">
        <v>12526</v>
      </c>
      <c r="B12445" t="s">
        <v>96</v>
      </c>
      <c r="C12445" s="2">
        <v>44039</v>
      </c>
      <c r="D12445" t="s">
        <v>26</v>
      </c>
      <c r="E12445">
        <v>1246</v>
      </c>
    </row>
    <row r="12446" spans="1:5" x14ac:dyDescent="0.55000000000000004">
      <c r="A12446" t="s">
        <v>12527</v>
      </c>
      <c r="B12446" t="s">
        <v>86</v>
      </c>
      <c r="C12446" s="2">
        <v>43583</v>
      </c>
      <c r="D12446" t="s">
        <v>26</v>
      </c>
      <c r="E12446">
        <v>1984</v>
      </c>
    </row>
    <row r="12447" spans="1:5" x14ac:dyDescent="0.55000000000000004">
      <c r="A12447" t="s">
        <v>12528</v>
      </c>
      <c r="B12447" t="s">
        <v>142</v>
      </c>
      <c r="C12447" s="2">
        <v>43990</v>
      </c>
      <c r="D12447" t="s">
        <v>26</v>
      </c>
      <c r="E12447">
        <v>965</v>
      </c>
    </row>
    <row r="12448" spans="1:5" x14ac:dyDescent="0.55000000000000004">
      <c r="A12448" t="s">
        <v>12529</v>
      </c>
      <c r="B12448" t="s">
        <v>86</v>
      </c>
      <c r="C12448" s="2">
        <v>43049</v>
      </c>
      <c r="D12448" t="s">
        <v>29</v>
      </c>
      <c r="E12448">
        <v>2633</v>
      </c>
    </row>
    <row r="12449" spans="1:5" x14ac:dyDescent="0.55000000000000004">
      <c r="A12449" t="s">
        <v>12530</v>
      </c>
      <c r="B12449" t="s">
        <v>38</v>
      </c>
      <c r="C12449" s="2">
        <v>44207</v>
      </c>
      <c r="D12449" t="s">
        <v>29</v>
      </c>
      <c r="E12449">
        <v>1114</v>
      </c>
    </row>
    <row r="12450" spans="1:5" x14ac:dyDescent="0.55000000000000004">
      <c r="A12450" t="s">
        <v>12531</v>
      </c>
      <c r="B12450" t="s">
        <v>35</v>
      </c>
      <c r="C12450" s="2">
        <v>44664</v>
      </c>
      <c r="D12450" t="s">
        <v>29</v>
      </c>
      <c r="E12450">
        <v>2876</v>
      </c>
    </row>
    <row r="12451" spans="1:5" x14ac:dyDescent="0.55000000000000004">
      <c r="A12451" t="s">
        <v>12532</v>
      </c>
      <c r="B12451" t="s">
        <v>63</v>
      </c>
      <c r="C12451" s="2">
        <v>44291</v>
      </c>
      <c r="D12451" t="s">
        <v>26</v>
      </c>
      <c r="E12451">
        <v>166</v>
      </c>
    </row>
    <row r="12452" spans="1:5" x14ac:dyDescent="0.55000000000000004">
      <c r="A12452" t="s">
        <v>12533</v>
      </c>
      <c r="B12452" t="s">
        <v>78</v>
      </c>
      <c r="C12452" s="2">
        <v>43608</v>
      </c>
      <c r="D12452" t="s">
        <v>29</v>
      </c>
      <c r="E12452">
        <v>1462</v>
      </c>
    </row>
    <row r="12453" spans="1:5" x14ac:dyDescent="0.55000000000000004">
      <c r="A12453" t="s">
        <v>12534</v>
      </c>
      <c r="B12453" t="s">
        <v>151</v>
      </c>
      <c r="C12453" s="2">
        <v>44128</v>
      </c>
      <c r="D12453" t="s">
        <v>26</v>
      </c>
      <c r="E12453">
        <v>1119</v>
      </c>
    </row>
    <row r="12454" spans="1:5" x14ac:dyDescent="0.55000000000000004">
      <c r="A12454" t="s">
        <v>12535</v>
      </c>
      <c r="B12454" t="s">
        <v>41</v>
      </c>
      <c r="C12454" s="2">
        <v>44685</v>
      </c>
      <c r="D12454" t="s">
        <v>29</v>
      </c>
      <c r="E12454">
        <v>2588</v>
      </c>
    </row>
    <row r="12455" spans="1:5" x14ac:dyDescent="0.55000000000000004">
      <c r="A12455" t="s">
        <v>12536</v>
      </c>
      <c r="B12455" t="s">
        <v>105</v>
      </c>
      <c r="C12455" s="2">
        <v>43564</v>
      </c>
      <c r="D12455" t="s">
        <v>26</v>
      </c>
      <c r="E12455">
        <v>1235</v>
      </c>
    </row>
    <row r="12456" spans="1:5" x14ac:dyDescent="0.55000000000000004">
      <c r="A12456" t="s">
        <v>12537</v>
      </c>
      <c r="B12456" t="s">
        <v>14</v>
      </c>
      <c r="C12456" s="2">
        <v>44324</v>
      </c>
      <c r="D12456" t="s">
        <v>29</v>
      </c>
      <c r="E12456">
        <v>448</v>
      </c>
    </row>
    <row r="12457" spans="1:5" x14ac:dyDescent="0.55000000000000004">
      <c r="A12457" t="s">
        <v>12538</v>
      </c>
      <c r="B12457" t="s">
        <v>78</v>
      </c>
      <c r="C12457" s="2">
        <v>45258</v>
      </c>
      <c r="D12457" t="s">
        <v>26</v>
      </c>
      <c r="E12457">
        <v>2312</v>
      </c>
    </row>
    <row r="12458" spans="1:5" x14ac:dyDescent="0.55000000000000004">
      <c r="A12458" t="s">
        <v>12539</v>
      </c>
      <c r="B12458" t="s">
        <v>23</v>
      </c>
      <c r="C12458" s="2">
        <v>44859</v>
      </c>
      <c r="D12458" t="s">
        <v>29</v>
      </c>
      <c r="E12458">
        <v>863</v>
      </c>
    </row>
    <row r="12459" spans="1:5" x14ac:dyDescent="0.55000000000000004">
      <c r="A12459" t="s">
        <v>12540</v>
      </c>
      <c r="B12459" t="s">
        <v>74</v>
      </c>
      <c r="C12459" s="2">
        <v>43936</v>
      </c>
      <c r="D12459" t="s">
        <v>26</v>
      </c>
      <c r="E12459">
        <v>2416</v>
      </c>
    </row>
    <row r="12460" spans="1:5" x14ac:dyDescent="0.55000000000000004">
      <c r="A12460" t="s">
        <v>12541</v>
      </c>
      <c r="B12460" t="s">
        <v>67</v>
      </c>
      <c r="C12460" s="2">
        <v>43939</v>
      </c>
      <c r="D12460" t="s">
        <v>29</v>
      </c>
      <c r="E12460">
        <v>1664</v>
      </c>
    </row>
    <row r="12461" spans="1:5" x14ac:dyDescent="0.55000000000000004">
      <c r="A12461" t="s">
        <v>12542</v>
      </c>
      <c r="B12461" t="s">
        <v>99</v>
      </c>
      <c r="C12461" s="2">
        <v>45763</v>
      </c>
      <c r="D12461" t="s">
        <v>26</v>
      </c>
      <c r="E12461">
        <v>912</v>
      </c>
    </row>
    <row r="12462" spans="1:5" x14ac:dyDescent="0.55000000000000004">
      <c r="A12462" t="s">
        <v>12543</v>
      </c>
      <c r="B12462" t="s">
        <v>94</v>
      </c>
      <c r="C12462" s="2">
        <v>43538</v>
      </c>
      <c r="D12462" t="s">
        <v>26</v>
      </c>
      <c r="E12462">
        <v>2566</v>
      </c>
    </row>
    <row r="12463" spans="1:5" x14ac:dyDescent="0.55000000000000004">
      <c r="A12463" t="s">
        <v>12544</v>
      </c>
      <c r="B12463" t="s">
        <v>99</v>
      </c>
      <c r="C12463" s="2">
        <v>44670</v>
      </c>
      <c r="D12463" t="s">
        <v>29</v>
      </c>
      <c r="E12463">
        <v>2468</v>
      </c>
    </row>
    <row r="12464" spans="1:5" x14ac:dyDescent="0.55000000000000004">
      <c r="A12464" t="s">
        <v>12545</v>
      </c>
      <c r="B12464" t="s">
        <v>115</v>
      </c>
      <c r="C12464" s="2">
        <v>44308</v>
      </c>
      <c r="D12464" t="s">
        <v>26</v>
      </c>
      <c r="E12464">
        <v>2250</v>
      </c>
    </row>
    <row r="12465" spans="1:5" x14ac:dyDescent="0.55000000000000004">
      <c r="A12465" t="s">
        <v>12546</v>
      </c>
      <c r="B12465" t="s">
        <v>115</v>
      </c>
      <c r="C12465" s="2">
        <v>43664</v>
      </c>
      <c r="D12465" t="s">
        <v>26</v>
      </c>
      <c r="E12465">
        <v>414</v>
      </c>
    </row>
    <row r="12466" spans="1:5" x14ac:dyDescent="0.55000000000000004">
      <c r="A12466" t="s">
        <v>12547</v>
      </c>
      <c r="B12466" t="s">
        <v>101</v>
      </c>
      <c r="C12466" s="2">
        <v>43433</v>
      </c>
      <c r="D12466" t="s">
        <v>29</v>
      </c>
      <c r="E12466">
        <v>1069</v>
      </c>
    </row>
    <row r="12467" spans="1:5" x14ac:dyDescent="0.55000000000000004">
      <c r="A12467" t="s">
        <v>12548</v>
      </c>
      <c r="B12467" t="s">
        <v>140</v>
      </c>
      <c r="C12467" s="2">
        <v>43705</v>
      </c>
      <c r="D12467" t="s">
        <v>26</v>
      </c>
      <c r="E12467">
        <v>1514</v>
      </c>
    </row>
    <row r="12468" spans="1:5" x14ac:dyDescent="0.55000000000000004">
      <c r="A12468" t="s">
        <v>12549</v>
      </c>
      <c r="B12468" t="s">
        <v>15</v>
      </c>
      <c r="C12468" s="2">
        <v>43391</v>
      </c>
      <c r="D12468" t="s">
        <v>26</v>
      </c>
      <c r="E12468">
        <v>634</v>
      </c>
    </row>
    <row r="12469" spans="1:5" x14ac:dyDescent="0.55000000000000004">
      <c r="A12469" t="s">
        <v>12550</v>
      </c>
      <c r="B12469" t="s">
        <v>76</v>
      </c>
      <c r="C12469" s="2">
        <v>44896</v>
      </c>
      <c r="D12469" t="s">
        <v>26</v>
      </c>
      <c r="E12469">
        <v>1727</v>
      </c>
    </row>
    <row r="12470" spans="1:5" x14ac:dyDescent="0.55000000000000004">
      <c r="A12470" t="s">
        <v>12551</v>
      </c>
      <c r="B12470" t="s">
        <v>115</v>
      </c>
      <c r="C12470" s="2">
        <v>43177</v>
      </c>
      <c r="D12470" t="s">
        <v>29</v>
      </c>
      <c r="E12470">
        <v>1648</v>
      </c>
    </row>
    <row r="12471" spans="1:5" x14ac:dyDescent="0.55000000000000004">
      <c r="A12471" t="s">
        <v>12552</v>
      </c>
      <c r="B12471" t="s">
        <v>23</v>
      </c>
      <c r="C12471" s="2">
        <v>44856</v>
      </c>
      <c r="D12471" t="s">
        <v>29</v>
      </c>
      <c r="E12471">
        <v>1616</v>
      </c>
    </row>
    <row r="12472" spans="1:5" x14ac:dyDescent="0.55000000000000004">
      <c r="A12472" t="s">
        <v>12553</v>
      </c>
      <c r="B12472" t="s">
        <v>105</v>
      </c>
      <c r="C12472" s="2">
        <v>44494</v>
      </c>
      <c r="D12472" t="s">
        <v>26</v>
      </c>
      <c r="E12472">
        <v>2392</v>
      </c>
    </row>
    <row r="12473" spans="1:5" x14ac:dyDescent="0.55000000000000004">
      <c r="A12473" t="s">
        <v>12554</v>
      </c>
      <c r="B12473" t="s">
        <v>86</v>
      </c>
      <c r="C12473" s="2">
        <v>43937</v>
      </c>
      <c r="D12473" t="s">
        <v>29</v>
      </c>
      <c r="E12473">
        <v>2000</v>
      </c>
    </row>
    <row r="12474" spans="1:5" x14ac:dyDescent="0.55000000000000004">
      <c r="A12474" t="s">
        <v>12555</v>
      </c>
      <c r="B12474" t="s">
        <v>84</v>
      </c>
      <c r="C12474" s="2">
        <v>43662</v>
      </c>
      <c r="D12474" t="s">
        <v>26</v>
      </c>
      <c r="E12474">
        <v>2274</v>
      </c>
    </row>
    <row r="12475" spans="1:5" x14ac:dyDescent="0.55000000000000004">
      <c r="A12475" t="s">
        <v>12556</v>
      </c>
      <c r="B12475" t="s">
        <v>142</v>
      </c>
      <c r="C12475" s="2">
        <v>44209</v>
      </c>
      <c r="D12475" t="s">
        <v>29</v>
      </c>
      <c r="E12475">
        <v>490</v>
      </c>
    </row>
    <row r="12476" spans="1:5" x14ac:dyDescent="0.55000000000000004">
      <c r="A12476" t="s">
        <v>12557</v>
      </c>
      <c r="B12476" t="s">
        <v>15</v>
      </c>
      <c r="C12476" s="2">
        <v>43391</v>
      </c>
      <c r="D12476" t="s">
        <v>26</v>
      </c>
      <c r="E12476">
        <v>366</v>
      </c>
    </row>
    <row r="12477" spans="1:5" x14ac:dyDescent="0.55000000000000004">
      <c r="A12477" t="s">
        <v>12558</v>
      </c>
      <c r="B12477" t="s">
        <v>118</v>
      </c>
      <c r="C12477" s="2">
        <v>44845</v>
      </c>
      <c r="D12477" t="s">
        <v>29</v>
      </c>
      <c r="E12477">
        <v>385</v>
      </c>
    </row>
    <row r="12478" spans="1:5" x14ac:dyDescent="0.55000000000000004">
      <c r="A12478" t="s">
        <v>12559</v>
      </c>
      <c r="B12478" t="s">
        <v>140</v>
      </c>
      <c r="C12478" s="2">
        <v>42992</v>
      </c>
      <c r="D12478" t="s">
        <v>29</v>
      </c>
      <c r="E12478">
        <v>706</v>
      </c>
    </row>
    <row r="12479" spans="1:5" x14ac:dyDescent="0.55000000000000004">
      <c r="A12479" t="s">
        <v>12560</v>
      </c>
      <c r="B12479" t="s">
        <v>101</v>
      </c>
      <c r="C12479" s="2">
        <v>43085</v>
      </c>
      <c r="D12479" t="s">
        <v>29</v>
      </c>
      <c r="E12479">
        <v>1034</v>
      </c>
    </row>
    <row r="12480" spans="1:5" x14ac:dyDescent="0.55000000000000004">
      <c r="A12480" t="s">
        <v>12561</v>
      </c>
      <c r="B12480" t="s">
        <v>15</v>
      </c>
      <c r="C12480" s="2">
        <v>43096</v>
      </c>
      <c r="D12480" t="s">
        <v>29</v>
      </c>
      <c r="E12480">
        <v>1363</v>
      </c>
    </row>
    <row r="12481" spans="1:5" x14ac:dyDescent="0.55000000000000004">
      <c r="A12481" t="s">
        <v>12562</v>
      </c>
      <c r="B12481" t="s">
        <v>142</v>
      </c>
      <c r="C12481" s="2">
        <v>43459</v>
      </c>
      <c r="D12481" t="s">
        <v>29</v>
      </c>
      <c r="E12481">
        <v>429</v>
      </c>
    </row>
    <row r="12482" spans="1:5" x14ac:dyDescent="0.55000000000000004">
      <c r="A12482" t="s">
        <v>12563</v>
      </c>
      <c r="B12482" t="s">
        <v>86</v>
      </c>
      <c r="C12482" s="2">
        <v>43296</v>
      </c>
      <c r="D12482" t="s">
        <v>29</v>
      </c>
      <c r="E12482">
        <v>1070</v>
      </c>
    </row>
    <row r="12483" spans="1:5" x14ac:dyDescent="0.55000000000000004">
      <c r="A12483" t="s">
        <v>12564</v>
      </c>
      <c r="B12483" t="s">
        <v>156</v>
      </c>
      <c r="C12483" s="2">
        <v>43623</v>
      </c>
      <c r="D12483" t="s">
        <v>26</v>
      </c>
      <c r="E12483">
        <v>2455</v>
      </c>
    </row>
    <row r="12484" spans="1:5" x14ac:dyDescent="0.55000000000000004">
      <c r="A12484" t="s">
        <v>12565</v>
      </c>
      <c r="B12484" t="s">
        <v>94</v>
      </c>
      <c r="C12484" s="2">
        <v>45162</v>
      </c>
      <c r="D12484" t="s">
        <v>29</v>
      </c>
      <c r="E12484">
        <v>2983</v>
      </c>
    </row>
    <row r="12485" spans="1:5" x14ac:dyDescent="0.55000000000000004">
      <c r="A12485" t="s">
        <v>12566</v>
      </c>
      <c r="B12485" t="s">
        <v>86</v>
      </c>
      <c r="C12485" s="2">
        <v>43443</v>
      </c>
      <c r="D12485" t="s">
        <v>26</v>
      </c>
      <c r="E12485">
        <v>2702</v>
      </c>
    </row>
    <row r="12486" spans="1:5" x14ac:dyDescent="0.55000000000000004">
      <c r="A12486" t="s">
        <v>12567</v>
      </c>
      <c r="B12486" t="s">
        <v>38</v>
      </c>
      <c r="C12486" s="2">
        <v>44065</v>
      </c>
      <c r="D12486" t="s">
        <v>26</v>
      </c>
      <c r="E12486">
        <v>2991</v>
      </c>
    </row>
    <row r="12487" spans="1:5" x14ac:dyDescent="0.55000000000000004">
      <c r="A12487" t="s">
        <v>12568</v>
      </c>
      <c r="B12487" t="s">
        <v>175</v>
      </c>
      <c r="C12487" s="2">
        <v>45362</v>
      </c>
      <c r="D12487" t="s">
        <v>26</v>
      </c>
      <c r="E12487">
        <v>1041</v>
      </c>
    </row>
    <row r="12488" spans="1:5" x14ac:dyDescent="0.55000000000000004">
      <c r="A12488" t="s">
        <v>12569</v>
      </c>
      <c r="B12488" t="s">
        <v>32</v>
      </c>
      <c r="C12488" s="2">
        <v>44867</v>
      </c>
      <c r="D12488" t="s">
        <v>29</v>
      </c>
      <c r="E12488">
        <v>1755</v>
      </c>
    </row>
    <row r="12489" spans="1:5" x14ac:dyDescent="0.55000000000000004">
      <c r="A12489" t="s">
        <v>12570</v>
      </c>
      <c r="B12489" t="s">
        <v>72</v>
      </c>
      <c r="C12489" s="2">
        <v>42959</v>
      </c>
      <c r="D12489" t="s">
        <v>26</v>
      </c>
      <c r="E12489">
        <v>2242</v>
      </c>
    </row>
    <row r="12490" spans="1:5" x14ac:dyDescent="0.55000000000000004">
      <c r="A12490" t="s">
        <v>12571</v>
      </c>
      <c r="B12490" t="s">
        <v>137</v>
      </c>
      <c r="C12490" s="2">
        <v>44253</v>
      </c>
      <c r="D12490" t="s">
        <v>29</v>
      </c>
      <c r="E12490">
        <v>1009</v>
      </c>
    </row>
    <row r="12491" spans="1:5" x14ac:dyDescent="0.55000000000000004">
      <c r="A12491" t="s">
        <v>12572</v>
      </c>
      <c r="B12491" t="s">
        <v>32</v>
      </c>
      <c r="C12491" s="2">
        <v>44634</v>
      </c>
      <c r="D12491" t="s">
        <v>29</v>
      </c>
      <c r="E12491">
        <v>674</v>
      </c>
    </row>
    <row r="12492" spans="1:5" x14ac:dyDescent="0.55000000000000004">
      <c r="A12492" t="s">
        <v>12573</v>
      </c>
      <c r="B12492" t="s">
        <v>156</v>
      </c>
      <c r="C12492" s="2">
        <v>43272</v>
      </c>
      <c r="D12492" t="s">
        <v>29</v>
      </c>
      <c r="E12492">
        <v>2744</v>
      </c>
    </row>
    <row r="12493" spans="1:5" x14ac:dyDescent="0.55000000000000004">
      <c r="A12493" t="s">
        <v>12574</v>
      </c>
      <c r="B12493" t="s">
        <v>140</v>
      </c>
      <c r="C12493" s="2">
        <v>42921</v>
      </c>
      <c r="D12493" t="s">
        <v>29</v>
      </c>
      <c r="E12493">
        <v>1152</v>
      </c>
    </row>
    <row r="12494" spans="1:5" x14ac:dyDescent="0.55000000000000004">
      <c r="A12494" t="s">
        <v>12575</v>
      </c>
      <c r="B12494" t="s">
        <v>38</v>
      </c>
      <c r="C12494" s="2">
        <v>44078</v>
      </c>
      <c r="D12494" t="s">
        <v>29</v>
      </c>
      <c r="E12494">
        <v>1788</v>
      </c>
    </row>
    <row r="12495" spans="1:5" x14ac:dyDescent="0.55000000000000004">
      <c r="A12495" t="s">
        <v>12576</v>
      </c>
      <c r="B12495" t="s">
        <v>84</v>
      </c>
      <c r="C12495" s="2">
        <v>44479</v>
      </c>
      <c r="D12495" t="s">
        <v>29</v>
      </c>
      <c r="E12495">
        <v>13</v>
      </c>
    </row>
    <row r="12496" spans="1:5" x14ac:dyDescent="0.55000000000000004">
      <c r="A12496" t="s">
        <v>12577</v>
      </c>
      <c r="B12496" t="s">
        <v>137</v>
      </c>
      <c r="C12496" s="2">
        <v>44163</v>
      </c>
      <c r="D12496" t="s">
        <v>29</v>
      </c>
      <c r="E12496">
        <v>2841</v>
      </c>
    </row>
    <row r="12497" spans="1:5" x14ac:dyDescent="0.55000000000000004">
      <c r="A12497" t="s">
        <v>12578</v>
      </c>
      <c r="B12497" t="s">
        <v>115</v>
      </c>
      <c r="C12497" s="2">
        <v>43306</v>
      </c>
      <c r="D12497" t="s">
        <v>29</v>
      </c>
      <c r="E12497">
        <v>783</v>
      </c>
    </row>
    <row r="12498" spans="1:5" x14ac:dyDescent="0.55000000000000004">
      <c r="A12498" t="s">
        <v>12579</v>
      </c>
      <c r="B12498" t="s">
        <v>156</v>
      </c>
      <c r="C12498" s="2">
        <v>43234</v>
      </c>
      <c r="D12498" t="s">
        <v>29</v>
      </c>
      <c r="E12498">
        <v>1446</v>
      </c>
    </row>
    <row r="12499" spans="1:5" x14ac:dyDescent="0.55000000000000004">
      <c r="A12499" t="s">
        <v>12580</v>
      </c>
      <c r="B12499" t="s">
        <v>111</v>
      </c>
      <c r="C12499" s="2">
        <v>43706</v>
      </c>
      <c r="D12499" t="s">
        <v>26</v>
      </c>
      <c r="E12499">
        <v>2281</v>
      </c>
    </row>
    <row r="12500" spans="1:5" x14ac:dyDescent="0.55000000000000004">
      <c r="A12500" t="s">
        <v>12581</v>
      </c>
      <c r="B12500" t="s">
        <v>151</v>
      </c>
      <c r="C12500" s="2">
        <v>43210</v>
      </c>
      <c r="D12500" t="s">
        <v>29</v>
      </c>
      <c r="E12500">
        <v>2948</v>
      </c>
    </row>
    <row r="12501" spans="1:5" x14ac:dyDescent="0.55000000000000004">
      <c r="A12501" t="s">
        <v>12582</v>
      </c>
      <c r="B12501" t="s">
        <v>72</v>
      </c>
      <c r="C12501" s="2">
        <v>43097</v>
      </c>
      <c r="D12501" t="s">
        <v>26</v>
      </c>
      <c r="E12501">
        <v>2184</v>
      </c>
    </row>
    <row r="12502" spans="1:5" x14ac:dyDescent="0.55000000000000004">
      <c r="A12502" t="s">
        <v>12583</v>
      </c>
      <c r="B12502" t="s">
        <v>84</v>
      </c>
      <c r="C12502" s="2">
        <v>43168</v>
      </c>
      <c r="D12502" t="s">
        <v>29</v>
      </c>
      <c r="E12502">
        <v>1411</v>
      </c>
    </row>
    <row r="12503" spans="1:5" x14ac:dyDescent="0.55000000000000004">
      <c r="A12503" t="s">
        <v>12584</v>
      </c>
      <c r="B12503" t="s">
        <v>74</v>
      </c>
      <c r="C12503" s="2">
        <v>42935</v>
      </c>
      <c r="D12503" t="s">
        <v>29</v>
      </c>
      <c r="E12503">
        <v>1118</v>
      </c>
    </row>
    <row r="12504" spans="1:5" x14ac:dyDescent="0.55000000000000004">
      <c r="A12504" t="s">
        <v>12585</v>
      </c>
      <c r="B12504" t="s">
        <v>72</v>
      </c>
      <c r="C12504" s="2">
        <v>44204</v>
      </c>
      <c r="D12504" t="s">
        <v>29</v>
      </c>
      <c r="E12504">
        <v>579</v>
      </c>
    </row>
    <row r="12505" spans="1:5" x14ac:dyDescent="0.55000000000000004">
      <c r="A12505" t="s">
        <v>12586</v>
      </c>
      <c r="B12505" t="s">
        <v>76</v>
      </c>
      <c r="C12505" s="2">
        <v>45437</v>
      </c>
      <c r="D12505" t="s">
        <v>29</v>
      </c>
      <c r="E12505">
        <v>27</v>
      </c>
    </row>
    <row r="12506" spans="1:5" x14ac:dyDescent="0.55000000000000004">
      <c r="A12506" t="s">
        <v>12587</v>
      </c>
      <c r="B12506" t="s">
        <v>86</v>
      </c>
      <c r="C12506" s="2">
        <v>43740</v>
      </c>
      <c r="D12506" t="s">
        <v>26</v>
      </c>
      <c r="E12506">
        <v>2091</v>
      </c>
    </row>
    <row r="12507" spans="1:5" x14ac:dyDescent="0.55000000000000004">
      <c r="A12507" t="s">
        <v>12588</v>
      </c>
      <c r="B12507" t="s">
        <v>94</v>
      </c>
      <c r="C12507" s="2">
        <v>44587</v>
      </c>
      <c r="D12507" t="s">
        <v>26</v>
      </c>
      <c r="E12507">
        <v>2855</v>
      </c>
    </row>
    <row r="12508" spans="1:5" x14ac:dyDescent="0.55000000000000004">
      <c r="A12508" t="s">
        <v>12589</v>
      </c>
      <c r="B12508" t="s">
        <v>14</v>
      </c>
      <c r="C12508" s="2">
        <v>43815</v>
      </c>
      <c r="D12508" t="s">
        <v>26</v>
      </c>
      <c r="E12508">
        <v>1928</v>
      </c>
    </row>
    <row r="12509" spans="1:5" x14ac:dyDescent="0.55000000000000004">
      <c r="A12509" t="s">
        <v>12590</v>
      </c>
      <c r="B12509" t="s">
        <v>74</v>
      </c>
      <c r="C12509" s="2">
        <v>43226</v>
      </c>
      <c r="D12509" t="s">
        <v>29</v>
      </c>
      <c r="E12509">
        <v>770</v>
      </c>
    </row>
    <row r="12510" spans="1:5" x14ac:dyDescent="0.55000000000000004">
      <c r="A12510" t="s">
        <v>12591</v>
      </c>
      <c r="B12510" t="s">
        <v>151</v>
      </c>
      <c r="C12510" s="2">
        <v>43545</v>
      </c>
      <c r="D12510" t="s">
        <v>26</v>
      </c>
      <c r="E12510">
        <v>2835</v>
      </c>
    </row>
    <row r="12511" spans="1:5" x14ac:dyDescent="0.55000000000000004">
      <c r="A12511" t="s">
        <v>12592</v>
      </c>
      <c r="B12511" t="s">
        <v>38</v>
      </c>
      <c r="C12511" s="2">
        <v>44208</v>
      </c>
      <c r="D12511" t="s">
        <v>26</v>
      </c>
      <c r="E12511">
        <v>2001</v>
      </c>
    </row>
    <row r="12512" spans="1:5" x14ac:dyDescent="0.55000000000000004">
      <c r="A12512" t="s">
        <v>12593</v>
      </c>
      <c r="B12512" t="s">
        <v>67</v>
      </c>
      <c r="C12512" s="2">
        <v>43897</v>
      </c>
      <c r="D12512" t="s">
        <v>26</v>
      </c>
      <c r="E12512">
        <v>620</v>
      </c>
    </row>
    <row r="12513" spans="1:5" x14ac:dyDescent="0.55000000000000004">
      <c r="A12513" t="s">
        <v>12594</v>
      </c>
      <c r="B12513" t="s">
        <v>140</v>
      </c>
      <c r="C12513" s="2">
        <v>43879</v>
      </c>
      <c r="D12513" t="s">
        <v>26</v>
      </c>
      <c r="E12513">
        <v>1848</v>
      </c>
    </row>
    <row r="12514" spans="1:5" x14ac:dyDescent="0.55000000000000004">
      <c r="A12514" t="s">
        <v>12595</v>
      </c>
      <c r="B12514" t="s">
        <v>63</v>
      </c>
      <c r="C12514" s="2">
        <v>43416</v>
      </c>
      <c r="D12514" t="s">
        <v>26</v>
      </c>
      <c r="E12514">
        <v>1677</v>
      </c>
    </row>
    <row r="12515" spans="1:5" x14ac:dyDescent="0.55000000000000004">
      <c r="A12515" t="s">
        <v>12596</v>
      </c>
      <c r="B12515" t="s">
        <v>72</v>
      </c>
      <c r="C12515" s="2">
        <v>43836</v>
      </c>
      <c r="D12515" t="s">
        <v>29</v>
      </c>
      <c r="E12515">
        <v>2953</v>
      </c>
    </row>
    <row r="12516" spans="1:5" x14ac:dyDescent="0.55000000000000004">
      <c r="A12516" t="s">
        <v>12597</v>
      </c>
      <c r="B12516" t="s">
        <v>140</v>
      </c>
      <c r="C12516" s="2">
        <v>43816</v>
      </c>
      <c r="D12516" t="s">
        <v>29</v>
      </c>
      <c r="E12516">
        <v>1779</v>
      </c>
    </row>
    <row r="12517" spans="1:5" x14ac:dyDescent="0.55000000000000004">
      <c r="A12517" t="s">
        <v>12598</v>
      </c>
      <c r="B12517" t="s">
        <v>94</v>
      </c>
      <c r="C12517" s="2">
        <v>44841</v>
      </c>
      <c r="D12517" t="s">
        <v>26</v>
      </c>
      <c r="E12517">
        <v>2378</v>
      </c>
    </row>
    <row r="12518" spans="1:5" x14ac:dyDescent="0.55000000000000004">
      <c r="A12518" t="s">
        <v>12599</v>
      </c>
      <c r="B12518" t="s">
        <v>35</v>
      </c>
      <c r="C12518" s="2">
        <v>44430</v>
      </c>
      <c r="D12518" t="s">
        <v>29</v>
      </c>
      <c r="E12518">
        <v>2201</v>
      </c>
    </row>
    <row r="12519" spans="1:5" x14ac:dyDescent="0.55000000000000004">
      <c r="A12519" t="s">
        <v>12600</v>
      </c>
      <c r="B12519" t="s">
        <v>15</v>
      </c>
      <c r="C12519" s="2">
        <v>44228</v>
      </c>
      <c r="D12519" t="s">
        <v>29</v>
      </c>
      <c r="E12519">
        <v>1205</v>
      </c>
    </row>
    <row r="12520" spans="1:5" x14ac:dyDescent="0.55000000000000004">
      <c r="A12520" t="s">
        <v>12601</v>
      </c>
      <c r="B12520" t="s">
        <v>23</v>
      </c>
      <c r="C12520" s="2">
        <v>44140</v>
      </c>
      <c r="D12520" t="s">
        <v>29</v>
      </c>
      <c r="E12520">
        <v>1099</v>
      </c>
    </row>
    <row r="12521" spans="1:5" x14ac:dyDescent="0.55000000000000004">
      <c r="A12521" t="s">
        <v>12602</v>
      </c>
      <c r="B12521" t="s">
        <v>32</v>
      </c>
      <c r="C12521" s="2">
        <v>44228</v>
      </c>
      <c r="D12521" t="s">
        <v>26</v>
      </c>
      <c r="E12521">
        <v>824</v>
      </c>
    </row>
    <row r="12522" spans="1:5" x14ac:dyDescent="0.55000000000000004">
      <c r="A12522" t="s">
        <v>12603</v>
      </c>
      <c r="B12522" t="s">
        <v>140</v>
      </c>
      <c r="C12522" s="2">
        <v>43918</v>
      </c>
      <c r="D12522" t="s">
        <v>29</v>
      </c>
      <c r="E12522">
        <v>2609</v>
      </c>
    </row>
    <row r="12523" spans="1:5" x14ac:dyDescent="0.55000000000000004">
      <c r="A12523" t="s">
        <v>12604</v>
      </c>
      <c r="B12523" t="s">
        <v>94</v>
      </c>
      <c r="C12523" s="2">
        <v>45493</v>
      </c>
      <c r="D12523" t="s">
        <v>26</v>
      </c>
      <c r="E12523">
        <v>2980</v>
      </c>
    </row>
    <row r="12524" spans="1:5" x14ac:dyDescent="0.55000000000000004">
      <c r="A12524" t="s">
        <v>12605</v>
      </c>
      <c r="B12524" t="s">
        <v>118</v>
      </c>
      <c r="C12524" s="2">
        <v>45117</v>
      </c>
      <c r="D12524" t="s">
        <v>29</v>
      </c>
      <c r="E12524">
        <v>2066</v>
      </c>
    </row>
    <row r="12525" spans="1:5" x14ac:dyDescent="0.55000000000000004">
      <c r="A12525" t="s">
        <v>12606</v>
      </c>
      <c r="B12525" t="s">
        <v>84</v>
      </c>
      <c r="C12525" s="2">
        <v>44369</v>
      </c>
      <c r="D12525" t="s">
        <v>26</v>
      </c>
      <c r="E12525">
        <v>2812</v>
      </c>
    </row>
    <row r="12526" spans="1:5" x14ac:dyDescent="0.55000000000000004">
      <c r="A12526" t="s">
        <v>12607</v>
      </c>
      <c r="B12526" t="s">
        <v>111</v>
      </c>
      <c r="C12526" s="2">
        <v>43387</v>
      </c>
      <c r="D12526" t="s">
        <v>29</v>
      </c>
      <c r="E12526">
        <v>2658</v>
      </c>
    </row>
    <row r="12527" spans="1:5" x14ac:dyDescent="0.55000000000000004">
      <c r="A12527" t="s">
        <v>12608</v>
      </c>
      <c r="B12527" t="s">
        <v>140</v>
      </c>
      <c r="C12527" s="2">
        <v>43816</v>
      </c>
      <c r="D12527" t="s">
        <v>26</v>
      </c>
      <c r="E12527">
        <v>764</v>
      </c>
    </row>
    <row r="12528" spans="1:5" x14ac:dyDescent="0.55000000000000004">
      <c r="A12528" t="s">
        <v>12609</v>
      </c>
      <c r="B12528" t="s">
        <v>142</v>
      </c>
      <c r="C12528" s="2">
        <v>43308</v>
      </c>
      <c r="D12528" t="s">
        <v>26</v>
      </c>
      <c r="E12528">
        <v>1625</v>
      </c>
    </row>
    <row r="12529" spans="1:5" x14ac:dyDescent="0.55000000000000004">
      <c r="A12529" t="s">
        <v>12610</v>
      </c>
      <c r="B12529" t="s">
        <v>115</v>
      </c>
      <c r="C12529" s="2">
        <v>44377</v>
      </c>
      <c r="D12529" t="s">
        <v>26</v>
      </c>
      <c r="E12529">
        <v>439</v>
      </c>
    </row>
    <row r="12530" spans="1:5" x14ac:dyDescent="0.55000000000000004">
      <c r="A12530" t="s">
        <v>12611</v>
      </c>
      <c r="B12530" t="s">
        <v>96</v>
      </c>
      <c r="C12530" s="2">
        <v>45309</v>
      </c>
      <c r="D12530" t="s">
        <v>26</v>
      </c>
      <c r="E12530">
        <v>1398</v>
      </c>
    </row>
    <row r="12531" spans="1:5" x14ac:dyDescent="0.55000000000000004">
      <c r="A12531" t="s">
        <v>12612</v>
      </c>
      <c r="B12531" t="s">
        <v>63</v>
      </c>
      <c r="C12531" s="2">
        <v>43536</v>
      </c>
      <c r="D12531" t="s">
        <v>26</v>
      </c>
      <c r="E12531">
        <v>849</v>
      </c>
    </row>
    <row r="12532" spans="1:5" x14ac:dyDescent="0.55000000000000004">
      <c r="A12532" t="s">
        <v>12613</v>
      </c>
      <c r="B12532" t="s">
        <v>99</v>
      </c>
      <c r="C12532" s="2">
        <v>45653</v>
      </c>
      <c r="D12532" t="s">
        <v>26</v>
      </c>
      <c r="E12532">
        <v>775</v>
      </c>
    </row>
    <row r="12533" spans="1:5" x14ac:dyDescent="0.55000000000000004">
      <c r="A12533" t="s">
        <v>12614</v>
      </c>
      <c r="B12533" t="s">
        <v>151</v>
      </c>
      <c r="C12533" s="2">
        <v>43125</v>
      </c>
      <c r="D12533" t="s">
        <v>29</v>
      </c>
      <c r="E12533">
        <v>2722</v>
      </c>
    </row>
    <row r="12534" spans="1:5" x14ac:dyDescent="0.55000000000000004">
      <c r="A12534" t="s">
        <v>12615</v>
      </c>
      <c r="B12534" t="s">
        <v>94</v>
      </c>
      <c r="C12534" s="2">
        <v>43858</v>
      </c>
      <c r="D12534" t="s">
        <v>26</v>
      </c>
      <c r="E12534">
        <v>431</v>
      </c>
    </row>
    <row r="12535" spans="1:5" x14ac:dyDescent="0.55000000000000004">
      <c r="A12535" t="s">
        <v>12616</v>
      </c>
      <c r="B12535" t="s">
        <v>101</v>
      </c>
      <c r="C12535" s="2">
        <v>43741</v>
      </c>
      <c r="D12535" t="s">
        <v>29</v>
      </c>
      <c r="E12535">
        <v>2214</v>
      </c>
    </row>
    <row r="12536" spans="1:5" x14ac:dyDescent="0.55000000000000004">
      <c r="A12536" t="s">
        <v>12617</v>
      </c>
      <c r="B12536" t="s">
        <v>175</v>
      </c>
      <c r="C12536" s="2">
        <v>43512</v>
      </c>
      <c r="D12536" t="s">
        <v>26</v>
      </c>
      <c r="E12536">
        <v>1022</v>
      </c>
    </row>
    <row r="12537" spans="1:5" x14ac:dyDescent="0.55000000000000004">
      <c r="A12537" t="s">
        <v>12618</v>
      </c>
      <c r="B12537" t="s">
        <v>140</v>
      </c>
      <c r="C12537" s="2">
        <v>43193</v>
      </c>
      <c r="D12537" t="s">
        <v>26</v>
      </c>
      <c r="E12537">
        <v>488</v>
      </c>
    </row>
    <row r="12538" spans="1:5" x14ac:dyDescent="0.55000000000000004">
      <c r="A12538" t="s">
        <v>12619</v>
      </c>
      <c r="B12538" t="s">
        <v>76</v>
      </c>
      <c r="C12538" s="2">
        <v>44375</v>
      </c>
      <c r="D12538" t="s">
        <v>29</v>
      </c>
      <c r="E12538">
        <v>794</v>
      </c>
    </row>
    <row r="12539" spans="1:5" x14ac:dyDescent="0.55000000000000004">
      <c r="A12539" t="s">
        <v>12620</v>
      </c>
      <c r="B12539" t="s">
        <v>74</v>
      </c>
      <c r="C12539" s="2">
        <v>43142</v>
      </c>
      <c r="D12539" t="s">
        <v>29</v>
      </c>
      <c r="E12539">
        <v>1130</v>
      </c>
    </row>
    <row r="12540" spans="1:5" x14ac:dyDescent="0.55000000000000004">
      <c r="A12540" t="s">
        <v>12621</v>
      </c>
      <c r="B12540" t="s">
        <v>118</v>
      </c>
      <c r="C12540" s="2">
        <v>44453</v>
      </c>
      <c r="D12540" t="s">
        <v>29</v>
      </c>
      <c r="E12540">
        <v>2228</v>
      </c>
    </row>
    <row r="12541" spans="1:5" x14ac:dyDescent="0.55000000000000004">
      <c r="A12541" t="s">
        <v>12622</v>
      </c>
      <c r="B12541" t="s">
        <v>115</v>
      </c>
      <c r="C12541" s="2">
        <v>43653</v>
      </c>
      <c r="D12541" t="s">
        <v>29</v>
      </c>
      <c r="E12541">
        <v>1007</v>
      </c>
    </row>
    <row r="12542" spans="1:5" x14ac:dyDescent="0.55000000000000004">
      <c r="A12542" t="s">
        <v>12623</v>
      </c>
      <c r="B12542" t="s">
        <v>84</v>
      </c>
      <c r="C12542" s="2">
        <v>43094</v>
      </c>
      <c r="D12542" t="s">
        <v>29</v>
      </c>
      <c r="E12542">
        <v>2374</v>
      </c>
    </row>
    <row r="12543" spans="1:5" x14ac:dyDescent="0.55000000000000004">
      <c r="A12543" t="s">
        <v>12624</v>
      </c>
      <c r="B12543" t="s">
        <v>137</v>
      </c>
      <c r="C12543" s="2">
        <v>43811</v>
      </c>
      <c r="D12543" t="s">
        <v>26</v>
      </c>
      <c r="E12543">
        <v>2759</v>
      </c>
    </row>
    <row r="12544" spans="1:5" x14ac:dyDescent="0.55000000000000004">
      <c r="A12544" t="s">
        <v>12625</v>
      </c>
      <c r="B12544" t="s">
        <v>101</v>
      </c>
      <c r="C12544" s="2">
        <v>44503</v>
      </c>
      <c r="D12544" t="s">
        <v>29</v>
      </c>
      <c r="E12544">
        <v>50</v>
      </c>
    </row>
    <row r="12545" spans="1:5" x14ac:dyDescent="0.55000000000000004">
      <c r="A12545" t="s">
        <v>12626</v>
      </c>
      <c r="B12545" t="s">
        <v>67</v>
      </c>
      <c r="C12545" s="2">
        <v>45187</v>
      </c>
      <c r="D12545" t="s">
        <v>26</v>
      </c>
      <c r="E12545">
        <v>965</v>
      </c>
    </row>
    <row r="12546" spans="1:5" x14ac:dyDescent="0.55000000000000004">
      <c r="A12546" t="s">
        <v>12627</v>
      </c>
      <c r="B12546" t="s">
        <v>41</v>
      </c>
      <c r="C12546" s="2">
        <v>44609</v>
      </c>
      <c r="D12546" t="s">
        <v>29</v>
      </c>
      <c r="E12546">
        <v>244</v>
      </c>
    </row>
    <row r="12547" spans="1:5" x14ac:dyDescent="0.55000000000000004">
      <c r="A12547" t="s">
        <v>12628</v>
      </c>
      <c r="B12547" t="s">
        <v>156</v>
      </c>
      <c r="C12547" s="2">
        <v>43730</v>
      </c>
      <c r="D12547" t="s">
        <v>26</v>
      </c>
      <c r="E12547">
        <v>578</v>
      </c>
    </row>
    <row r="12548" spans="1:5" x14ac:dyDescent="0.55000000000000004">
      <c r="A12548" t="s">
        <v>12629</v>
      </c>
      <c r="B12548" t="s">
        <v>140</v>
      </c>
      <c r="C12548" s="2">
        <v>44254</v>
      </c>
      <c r="D12548" t="s">
        <v>26</v>
      </c>
      <c r="E12548">
        <v>587</v>
      </c>
    </row>
    <row r="12549" spans="1:5" x14ac:dyDescent="0.55000000000000004">
      <c r="A12549" t="s">
        <v>12630</v>
      </c>
      <c r="B12549" t="s">
        <v>156</v>
      </c>
      <c r="C12549" s="2">
        <v>43929</v>
      </c>
      <c r="D12549" t="s">
        <v>26</v>
      </c>
      <c r="E12549">
        <v>592</v>
      </c>
    </row>
    <row r="12550" spans="1:5" x14ac:dyDescent="0.55000000000000004">
      <c r="A12550" t="s">
        <v>12631</v>
      </c>
      <c r="B12550" t="s">
        <v>111</v>
      </c>
      <c r="C12550" s="2">
        <v>43131</v>
      </c>
      <c r="D12550" t="s">
        <v>26</v>
      </c>
      <c r="E12550">
        <v>1745</v>
      </c>
    </row>
    <row r="12551" spans="1:5" x14ac:dyDescent="0.55000000000000004">
      <c r="A12551" t="s">
        <v>12632</v>
      </c>
      <c r="B12551" t="s">
        <v>35</v>
      </c>
      <c r="C12551" s="2">
        <v>44034</v>
      </c>
      <c r="D12551" t="s">
        <v>26</v>
      </c>
      <c r="E12551">
        <v>1381</v>
      </c>
    </row>
    <row r="12552" spans="1:5" x14ac:dyDescent="0.55000000000000004">
      <c r="A12552" t="s">
        <v>12633</v>
      </c>
      <c r="B12552" t="s">
        <v>142</v>
      </c>
      <c r="C12552" s="2">
        <v>43768</v>
      </c>
      <c r="D12552" t="s">
        <v>26</v>
      </c>
      <c r="E12552">
        <v>266</v>
      </c>
    </row>
    <row r="12553" spans="1:5" x14ac:dyDescent="0.55000000000000004">
      <c r="A12553" t="s">
        <v>12634</v>
      </c>
      <c r="B12553" t="s">
        <v>142</v>
      </c>
      <c r="C12553" s="2">
        <v>44001</v>
      </c>
      <c r="D12553" t="s">
        <v>29</v>
      </c>
      <c r="E12553">
        <v>135</v>
      </c>
    </row>
    <row r="12554" spans="1:5" x14ac:dyDescent="0.55000000000000004">
      <c r="A12554" t="s">
        <v>12635</v>
      </c>
      <c r="B12554" t="s">
        <v>74</v>
      </c>
      <c r="C12554" s="2">
        <v>43578</v>
      </c>
      <c r="D12554" t="s">
        <v>29</v>
      </c>
      <c r="E12554">
        <v>2513</v>
      </c>
    </row>
    <row r="12555" spans="1:5" x14ac:dyDescent="0.55000000000000004">
      <c r="A12555" t="s">
        <v>12636</v>
      </c>
      <c r="B12555" t="s">
        <v>94</v>
      </c>
      <c r="C12555" s="2">
        <v>45499</v>
      </c>
      <c r="D12555" t="s">
        <v>26</v>
      </c>
      <c r="E12555">
        <v>1616</v>
      </c>
    </row>
    <row r="12556" spans="1:5" x14ac:dyDescent="0.55000000000000004">
      <c r="A12556" t="s">
        <v>12637</v>
      </c>
      <c r="B12556" t="s">
        <v>72</v>
      </c>
      <c r="C12556" s="2">
        <v>44369</v>
      </c>
      <c r="D12556" t="s">
        <v>26</v>
      </c>
      <c r="E12556">
        <v>152</v>
      </c>
    </row>
    <row r="12557" spans="1:5" x14ac:dyDescent="0.55000000000000004">
      <c r="A12557" t="s">
        <v>12638</v>
      </c>
      <c r="B12557" t="s">
        <v>23</v>
      </c>
      <c r="C12557" s="2">
        <v>44809</v>
      </c>
      <c r="D12557" t="s">
        <v>29</v>
      </c>
      <c r="E12557">
        <v>753</v>
      </c>
    </row>
    <row r="12558" spans="1:5" x14ac:dyDescent="0.55000000000000004">
      <c r="A12558" t="s">
        <v>12639</v>
      </c>
      <c r="B12558" t="s">
        <v>76</v>
      </c>
      <c r="C12558" s="2">
        <v>45197</v>
      </c>
      <c r="D12558" t="s">
        <v>29</v>
      </c>
      <c r="E12558">
        <v>1713</v>
      </c>
    </row>
    <row r="12559" spans="1:5" x14ac:dyDescent="0.55000000000000004">
      <c r="A12559" t="s">
        <v>12640</v>
      </c>
      <c r="B12559" t="s">
        <v>86</v>
      </c>
      <c r="C12559" s="2">
        <v>43018</v>
      </c>
      <c r="D12559" t="s">
        <v>26</v>
      </c>
      <c r="E12559">
        <v>1715</v>
      </c>
    </row>
    <row r="12560" spans="1:5" x14ac:dyDescent="0.55000000000000004">
      <c r="A12560" t="s">
        <v>12641</v>
      </c>
      <c r="B12560" t="s">
        <v>99</v>
      </c>
      <c r="C12560" s="2">
        <v>43846</v>
      </c>
      <c r="D12560" t="s">
        <v>29</v>
      </c>
      <c r="E12560">
        <v>2282</v>
      </c>
    </row>
    <row r="12561" spans="1:5" x14ac:dyDescent="0.55000000000000004">
      <c r="A12561" t="s">
        <v>12642</v>
      </c>
      <c r="B12561" t="s">
        <v>137</v>
      </c>
      <c r="C12561" s="2">
        <v>44137</v>
      </c>
      <c r="D12561" t="s">
        <v>26</v>
      </c>
      <c r="E12561">
        <v>1191</v>
      </c>
    </row>
    <row r="12562" spans="1:5" x14ac:dyDescent="0.55000000000000004">
      <c r="A12562" t="s">
        <v>12643</v>
      </c>
      <c r="B12562" t="s">
        <v>142</v>
      </c>
      <c r="C12562" s="2">
        <v>43823</v>
      </c>
      <c r="D12562" t="s">
        <v>26</v>
      </c>
      <c r="E12562">
        <v>1929</v>
      </c>
    </row>
    <row r="12563" spans="1:5" x14ac:dyDescent="0.55000000000000004">
      <c r="A12563" t="s">
        <v>12644</v>
      </c>
      <c r="B12563" t="s">
        <v>151</v>
      </c>
      <c r="C12563" s="2">
        <v>43027</v>
      </c>
      <c r="D12563" t="s">
        <v>29</v>
      </c>
      <c r="E12563">
        <v>338</v>
      </c>
    </row>
    <row r="12564" spans="1:5" x14ac:dyDescent="0.55000000000000004">
      <c r="A12564" t="s">
        <v>12645</v>
      </c>
      <c r="B12564" t="s">
        <v>84</v>
      </c>
      <c r="C12564" s="2">
        <v>44462</v>
      </c>
      <c r="D12564" t="s">
        <v>26</v>
      </c>
      <c r="E12564">
        <v>2369</v>
      </c>
    </row>
    <row r="12565" spans="1:5" x14ac:dyDescent="0.55000000000000004">
      <c r="A12565" t="s">
        <v>12646</v>
      </c>
      <c r="B12565" t="s">
        <v>14</v>
      </c>
      <c r="C12565" s="2">
        <v>43316</v>
      </c>
      <c r="D12565" t="s">
        <v>26</v>
      </c>
      <c r="E12565">
        <v>2468</v>
      </c>
    </row>
    <row r="12566" spans="1:5" x14ac:dyDescent="0.55000000000000004">
      <c r="A12566" t="s">
        <v>12647</v>
      </c>
      <c r="B12566" t="s">
        <v>94</v>
      </c>
      <c r="C12566" s="2">
        <v>44101</v>
      </c>
      <c r="D12566" t="s">
        <v>26</v>
      </c>
      <c r="E12566">
        <v>213</v>
      </c>
    </row>
    <row r="12567" spans="1:5" x14ac:dyDescent="0.55000000000000004">
      <c r="A12567" t="s">
        <v>12648</v>
      </c>
      <c r="B12567" t="s">
        <v>111</v>
      </c>
      <c r="C12567" s="2">
        <v>44535</v>
      </c>
      <c r="D12567" t="s">
        <v>29</v>
      </c>
      <c r="E12567">
        <v>725</v>
      </c>
    </row>
    <row r="12568" spans="1:5" x14ac:dyDescent="0.55000000000000004">
      <c r="A12568" t="s">
        <v>12649</v>
      </c>
      <c r="B12568" t="s">
        <v>101</v>
      </c>
      <c r="C12568" s="2">
        <v>44547</v>
      </c>
      <c r="D12568" t="s">
        <v>26</v>
      </c>
      <c r="E12568">
        <v>1975</v>
      </c>
    </row>
    <row r="12569" spans="1:5" x14ac:dyDescent="0.55000000000000004">
      <c r="A12569" t="s">
        <v>12650</v>
      </c>
      <c r="B12569" t="s">
        <v>14</v>
      </c>
      <c r="C12569" s="2">
        <v>44212</v>
      </c>
      <c r="D12569" t="s">
        <v>26</v>
      </c>
      <c r="E12569">
        <v>2670</v>
      </c>
    </row>
    <row r="12570" spans="1:5" x14ac:dyDescent="0.55000000000000004">
      <c r="A12570" t="s">
        <v>12651</v>
      </c>
      <c r="B12570" t="s">
        <v>156</v>
      </c>
      <c r="C12570" s="2">
        <v>43925</v>
      </c>
      <c r="D12570" t="s">
        <v>29</v>
      </c>
      <c r="E12570">
        <v>2103</v>
      </c>
    </row>
    <row r="12571" spans="1:5" x14ac:dyDescent="0.55000000000000004">
      <c r="A12571" t="s">
        <v>12652</v>
      </c>
      <c r="B12571" t="s">
        <v>175</v>
      </c>
      <c r="C12571" s="2">
        <v>44802</v>
      </c>
      <c r="D12571" t="s">
        <v>29</v>
      </c>
      <c r="E12571">
        <v>2554</v>
      </c>
    </row>
    <row r="12572" spans="1:5" x14ac:dyDescent="0.55000000000000004">
      <c r="A12572" t="s">
        <v>12653</v>
      </c>
      <c r="B12572" t="s">
        <v>67</v>
      </c>
      <c r="C12572" s="2">
        <v>45654</v>
      </c>
      <c r="D12572" t="s">
        <v>26</v>
      </c>
      <c r="E12572">
        <v>258</v>
      </c>
    </row>
    <row r="12573" spans="1:5" x14ac:dyDescent="0.55000000000000004">
      <c r="A12573" t="s">
        <v>12654</v>
      </c>
      <c r="B12573" t="s">
        <v>63</v>
      </c>
      <c r="C12573" s="2">
        <v>43261</v>
      </c>
      <c r="D12573" t="s">
        <v>29</v>
      </c>
      <c r="E12573">
        <v>935</v>
      </c>
    </row>
    <row r="12574" spans="1:5" x14ac:dyDescent="0.55000000000000004">
      <c r="A12574" t="s">
        <v>12655</v>
      </c>
      <c r="B12574" t="s">
        <v>99</v>
      </c>
      <c r="C12574" s="2">
        <v>43946</v>
      </c>
      <c r="D12574" t="s">
        <v>29</v>
      </c>
      <c r="E12574">
        <v>713</v>
      </c>
    </row>
    <row r="12575" spans="1:5" x14ac:dyDescent="0.55000000000000004">
      <c r="A12575" t="s">
        <v>12656</v>
      </c>
      <c r="B12575" t="s">
        <v>72</v>
      </c>
      <c r="C12575" s="2">
        <v>44137</v>
      </c>
      <c r="D12575" t="s">
        <v>26</v>
      </c>
      <c r="E12575">
        <v>708</v>
      </c>
    </row>
    <row r="12576" spans="1:5" x14ac:dyDescent="0.55000000000000004">
      <c r="A12576" t="s">
        <v>12657</v>
      </c>
      <c r="B12576" t="s">
        <v>72</v>
      </c>
      <c r="C12576" s="2">
        <v>44094</v>
      </c>
      <c r="D12576" t="s">
        <v>29</v>
      </c>
      <c r="E12576">
        <v>2746</v>
      </c>
    </row>
    <row r="12577" spans="1:5" x14ac:dyDescent="0.55000000000000004">
      <c r="A12577" t="s">
        <v>12658</v>
      </c>
      <c r="B12577" t="s">
        <v>38</v>
      </c>
      <c r="C12577" s="2">
        <v>44188</v>
      </c>
      <c r="D12577" t="s">
        <v>29</v>
      </c>
      <c r="E12577">
        <v>1048</v>
      </c>
    </row>
    <row r="12578" spans="1:5" x14ac:dyDescent="0.55000000000000004">
      <c r="A12578" t="s">
        <v>12659</v>
      </c>
      <c r="B12578" t="s">
        <v>142</v>
      </c>
      <c r="C12578" s="2">
        <v>43146</v>
      </c>
      <c r="D12578" t="s">
        <v>29</v>
      </c>
      <c r="E12578">
        <v>2427</v>
      </c>
    </row>
    <row r="12579" spans="1:5" x14ac:dyDescent="0.55000000000000004">
      <c r="A12579" t="s">
        <v>12660</v>
      </c>
      <c r="B12579" t="s">
        <v>38</v>
      </c>
      <c r="C12579" s="2">
        <v>44340</v>
      </c>
      <c r="D12579" t="s">
        <v>29</v>
      </c>
      <c r="E12579">
        <v>2004</v>
      </c>
    </row>
    <row r="12580" spans="1:5" x14ac:dyDescent="0.55000000000000004">
      <c r="A12580" t="s">
        <v>12661</v>
      </c>
      <c r="B12580" t="s">
        <v>118</v>
      </c>
      <c r="C12580" s="2">
        <v>44972</v>
      </c>
      <c r="D12580" t="s">
        <v>29</v>
      </c>
      <c r="E12580">
        <v>961</v>
      </c>
    </row>
    <row r="12581" spans="1:5" x14ac:dyDescent="0.55000000000000004">
      <c r="A12581" t="s">
        <v>12662</v>
      </c>
      <c r="B12581" t="s">
        <v>35</v>
      </c>
      <c r="C12581" s="2">
        <v>44005</v>
      </c>
      <c r="D12581" t="s">
        <v>29</v>
      </c>
      <c r="E12581">
        <v>1275</v>
      </c>
    </row>
    <row r="12582" spans="1:5" x14ac:dyDescent="0.55000000000000004">
      <c r="A12582" t="s">
        <v>12663</v>
      </c>
      <c r="B12582" t="s">
        <v>86</v>
      </c>
      <c r="C12582" s="2">
        <v>44146</v>
      </c>
      <c r="D12582" t="s">
        <v>29</v>
      </c>
      <c r="E12582">
        <v>1861</v>
      </c>
    </row>
    <row r="12583" spans="1:5" x14ac:dyDescent="0.55000000000000004">
      <c r="A12583" t="s">
        <v>12664</v>
      </c>
      <c r="B12583" t="s">
        <v>99</v>
      </c>
      <c r="C12583" s="2">
        <v>43679</v>
      </c>
      <c r="D12583" t="s">
        <v>26</v>
      </c>
      <c r="E12583">
        <v>1947</v>
      </c>
    </row>
    <row r="12584" spans="1:5" x14ac:dyDescent="0.55000000000000004">
      <c r="A12584" t="s">
        <v>12665</v>
      </c>
      <c r="B12584" t="s">
        <v>175</v>
      </c>
      <c r="C12584" s="2">
        <v>45817</v>
      </c>
      <c r="D12584" t="s">
        <v>26</v>
      </c>
      <c r="E12584">
        <v>1104</v>
      </c>
    </row>
    <row r="12585" spans="1:5" x14ac:dyDescent="0.55000000000000004">
      <c r="A12585" t="s">
        <v>12666</v>
      </c>
      <c r="B12585" t="s">
        <v>118</v>
      </c>
      <c r="C12585" s="2">
        <v>45221</v>
      </c>
      <c r="D12585" t="s">
        <v>26</v>
      </c>
      <c r="E12585">
        <v>1637</v>
      </c>
    </row>
    <row r="12586" spans="1:5" x14ac:dyDescent="0.55000000000000004">
      <c r="A12586" t="s">
        <v>12667</v>
      </c>
      <c r="B12586" t="s">
        <v>140</v>
      </c>
      <c r="C12586" s="2">
        <v>44143</v>
      </c>
      <c r="D12586" t="s">
        <v>26</v>
      </c>
      <c r="E12586">
        <v>1958</v>
      </c>
    </row>
    <row r="12587" spans="1:5" x14ac:dyDescent="0.55000000000000004">
      <c r="A12587" t="s">
        <v>12668</v>
      </c>
      <c r="B12587" t="s">
        <v>175</v>
      </c>
      <c r="C12587" s="2">
        <v>44901</v>
      </c>
      <c r="D12587" t="s">
        <v>29</v>
      </c>
      <c r="E12587">
        <v>2615</v>
      </c>
    </row>
    <row r="12588" spans="1:5" x14ac:dyDescent="0.55000000000000004">
      <c r="A12588" t="s">
        <v>12669</v>
      </c>
      <c r="B12588" t="s">
        <v>35</v>
      </c>
      <c r="C12588" s="2">
        <v>44579</v>
      </c>
      <c r="D12588" t="s">
        <v>26</v>
      </c>
      <c r="E12588">
        <v>1147</v>
      </c>
    </row>
    <row r="12589" spans="1:5" x14ac:dyDescent="0.55000000000000004">
      <c r="A12589" t="s">
        <v>12670</v>
      </c>
      <c r="B12589" t="s">
        <v>175</v>
      </c>
      <c r="C12589" s="2">
        <v>44843</v>
      </c>
      <c r="D12589" t="s">
        <v>26</v>
      </c>
      <c r="E12589">
        <v>2210</v>
      </c>
    </row>
    <row r="12590" spans="1:5" x14ac:dyDescent="0.55000000000000004">
      <c r="A12590" t="s">
        <v>12671</v>
      </c>
      <c r="B12590" t="s">
        <v>96</v>
      </c>
      <c r="C12590" s="2">
        <v>44944</v>
      </c>
      <c r="D12590" t="s">
        <v>26</v>
      </c>
      <c r="E12590">
        <v>55</v>
      </c>
    </row>
    <row r="12591" spans="1:5" x14ac:dyDescent="0.55000000000000004">
      <c r="A12591" t="s">
        <v>12672</v>
      </c>
      <c r="B12591" t="s">
        <v>76</v>
      </c>
      <c r="C12591" s="2">
        <v>45513</v>
      </c>
      <c r="D12591" t="s">
        <v>29</v>
      </c>
      <c r="E12591">
        <v>128</v>
      </c>
    </row>
    <row r="12592" spans="1:5" x14ac:dyDescent="0.55000000000000004">
      <c r="A12592" t="s">
        <v>12673</v>
      </c>
      <c r="B12592" t="s">
        <v>32</v>
      </c>
      <c r="C12592" s="2">
        <v>43942</v>
      </c>
      <c r="D12592" t="s">
        <v>26</v>
      </c>
      <c r="E12592">
        <v>473</v>
      </c>
    </row>
    <row r="12593" spans="1:5" x14ac:dyDescent="0.55000000000000004">
      <c r="A12593" t="s">
        <v>12674</v>
      </c>
      <c r="B12593" t="s">
        <v>15</v>
      </c>
      <c r="C12593" s="2">
        <v>44533</v>
      </c>
      <c r="D12593" t="s">
        <v>26</v>
      </c>
      <c r="E12593">
        <v>389</v>
      </c>
    </row>
    <row r="12594" spans="1:5" x14ac:dyDescent="0.55000000000000004">
      <c r="A12594" t="s">
        <v>12675</v>
      </c>
      <c r="B12594" t="s">
        <v>35</v>
      </c>
      <c r="C12594" s="2">
        <v>43990</v>
      </c>
      <c r="D12594" t="s">
        <v>26</v>
      </c>
      <c r="E12594">
        <v>1485</v>
      </c>
    </row>
    <row r="12595" spans="1:5" x14ac:dyDescent="0.55000000000000004">
      <c r="A12595" t="s">
        <v>12676</v>
      </c>
      <c r="B12595" t="s">
        <v>23</v>
      </c>
      <c r="C12595" s="2">
        <v>44855</v>
      </c>
      <c r="D12595" t="s">
        <v>26</v>
      </c>
      <c r="E12595">
        <v>1158</v>
      </c>
    </row>
    <row r="12596" spans="1:5" x14ac:dyDescent="0.55000000000000004">
      <c r="A12596" t="s">
        <v>12677</v>
      </c>
      <c r="B12596" t="s">
        <v>151</v>
      </c>
      <c r="C12596" s="2">
        <v>43346</v>
      </c>
      <c r="D12596" t="s">
        <v>26</v>
      </c>
      <c r="E12596">
        <v>450</v>
      </c>
    </row>
    <row r="12597" spans="1:5" x14ac:dyDescent="0.55000000000000004">
      <c r="A12597" t="s">
        <v>12678</v>
      </c>
      <c r="B12597" t="s">
        <v>137</v>
      </c>
      <c r="C12597" s="2">
        <v>45001</v>
      </c>
      <c r="D12597" t="s">
        <v>29</v>
      </c>
      <c r="E12597">
        <v>2378</v>
      </c>
    </row>
    <row r="12598" spans="1:5" x14ac:dyDescent="0.55000000000000004">
      <c r="A12598" t="s">
        <v>12679</v>
      </c>
      <c r="B12598" t="s">
        <v>140</v>
      </c>
      <c r="C12598" s="2">
        <v>43458</v>
      </c>
      <c r="D12598" t="s">
        <v>26</v>
      </c>
      <c r="E12598">
        <v>473</v>
      </c>
    </row>
    <row r="12599" spans="1:5" x14ac:dyDescent="0.55000000000000004">
      <c r="A12599" t="s">
        <v>12680</v>
      </c>
      <c r="B12599" t="s">
        <v>142</v>
      </c>
      <c r="C12599" s="2">
        <v>43087</v>
      </c>
      <c r="D12599" t="s">
        <v>29</v>
      </c>
      <c r="E12599">
        <v>1661</v>
      </c>
    </row>
    <row r="12600" spans="1:5" x14ac:dyDescent="0.55000000000000004">
      <c r="A12600" t="s">
        <v>12681</v>
      </c>
      <c r="B12600" t="s">
        <v>14</v>
      </c>
      <c r="C12600" s="2">
        <v>43102</v>
      </c>
      <c r="D12600" t="s">
        <v>26</v>
      </c>
      <c r="E12600">
        <v>855</v>
      </c>
    </row>
    <row r="12601" spans="1:5" x14ac:dyDescent="0.55000000000000004">
      <c r="A12601" t="s">
        <v>12682</v>
      </c>
      <c r="B12601" t="s">
        <v>111</v>
      </c>
      <c r="C12601" s="2">
        <v>43297</v>
      </c>
      <c r="D12601" t="s">
        <v>26</v>
      </c>
      <c r="E12601">
        <v>1780</v>
      </c>
    </row>
    <row r="12602" spans="1:5" x14ac:dyDescent="0.55000000000000004">
      <c r="A12602" t="s">
        <v>12683</v>
      </c>
      <c r="B12602" t="s">
        <v>105</v>
      </c>
      <c r="C12602" s="2">
        <v>43273</v>
      </c>
      <c r="D12602" t="s">
        <v>29</v>
      </c>
      <c r="E12602">
        <v>223</v>
      </c>
    </row>
    <row r="12603" spans="1:5" x14ac:dyDescent="0.55000000000000004">
      <c r="A12603" t="s">
        <v>12684</v>
      </c>
      <c r="B12603" t="s">
        <v>38</v>
      </c>
      <c r="C12603" s="2">
        <v>44255</v>
      </c>
      <c r="D12603" t="s">
        <v>26</v>
      </c>
      <c r="E12603">
        <v>1588</v>
      </c>
    </row>
    <row r="12604" spans="1:5" x14ac:dyDescent="0.55000000000000004">
      <c r="A12604" t="s">
        <v>12685</v>
      </c>
      <c r="B12604" t="s">
        <v>78</v>
      </c>
      <c r="C12604" s="2">
        <v>44597</v>
      </c>
      <c r="D12604" t="s">
        <v>26</v>
      </c>
      <c r="E12604">
        <v>1582</v>
      </c>
    </row>
    <row r="12605" spans="1:5" x14ac:dyDescent="0.55000000000000004">
      <c r="A12605" t="s">
        <v>12686</v>
      </c>
      <c r="B12605" t="s">
        <v>101</v>
      </c>
      <c r="C12605" s="2">
        <v>43381</v>
      </c>
      <c r="D12605" t="s">
        <v>26</v>
      </c>
      <c r="E12605">
        <v>479</v>
      </c>
    </row>
    <row r="12606" spans="1:5" x14ac:dyDescent="0.55000000000000004">
      <c r="A12606" t="s">
        <v>12687</v>
      </c>
      <c r="B12606" t="s">
        <v>101</v>
      </c>
      <c r="C12606" s="2">
        <v>43110</v>
      </c>
      <c r="D12606" t="s">
        <v>29</v>
      </c>
      <c r="E12606">
        <v>214</v>
      </c>
    </row>
    <row r="12607" spans="1:5" x14ac:dyDescent="0.55000000000000004">
      <c r="A12607" t="s">
        <v>12688</v>
      </c>
      <c r="B12607" t="s">
        <v>94</v>
      </c>
      <c r="C12607" s="2">
        <v>45717</v>
      </c>
      <c r="D12607" t="s">
        <v>26</v>
      </c>
      <c r="E12607">
        <v>779</v>
      </c>
    </row>
    <row r="12608" spans="1:5" x14ac:dyDescent="0.55000000000000004">
      <c r="A12608" t="s">
        <v>12689</v>
      </c>
      <c r="B12608" t="s">
        <v>115</v>
      </c>
      <c r="C12608" s="2">
        <v>42932</v>
      </c>
      <c r="D12608" t="s">
        <v>26</v>
      </c>
      <c r="E12608">
        <v>1947</v>
      </c>
    </row>
    <row r="12609" spans="1:5" x14ac:dyDescent="0.55000000000000004">
      <c r="A12609" t="s">
        <v>12690</v>
      </c>
      <c r="B12609" t="s">
        <v>74</v>
      </c>
      <c r="C12609" s="2">
        <v>44332</v>
      </c>
      <c r="D12609" t="s">
        <v>29</v>
      </c>
      <c r="E12609">
        <v>495</v>
      </c>
    </row>
    <row r="12610" spans="1:5" x14ac:dyDescent="0.55000000000000004">
      <c r="A12610" t="s">
        <v>12691</v>
      </c>
      <c r="B12610" t="s">
        <v>32</v>
      </c>
      <c r="C12610" s="2">
        <v>44435</v>
      </c>
      <c r="D12610" t="s">
        <v>29</v>
      </c>
      <c r="E12610">
        <v>1905</v>
      </c>
    </row>
    <row r="12611" spans="1:5" x14ac:dyDescent="0.55000000000000004">
      <c r="A12611" t="s">
        <v>12692</v>
      </c>
      <c r="B12611" t="s">
        <v>78</v>
      </c>
      <c r="C12611" s="2">
        <v>44490</v>
      </c>
      <c r="D12611" t="s">
        <v>26</v>
      </c>
      <c r="E12611">
        <v>1369</v>
      </c>
    </row>
    <row r="12612" spans="1:5" x14ac:dyDescent="0.55000000000000004">
      <c r="A12612" t="s">
        <v>12693</v>
      </c>
      <c r="B12612" t="s">
        <v>118</v>
      </c>
      <c r="C12612" s="2">
        <v>43917</v>
      </c>
      <c r="D12612" t="s">
        <v>29</v>
      </c>
      <c r="E12612">
        <v>118</v>
      </c>
    </row>
    <row r="12613" spans="1:5" x14ac:dyDescent="0.55000000000000004">
      <c r="A12613" t="s">
        <v>12694</v>
      </c>
      <c r="B12613" t="s">
        <v>99</v>
      </c>
      <c r="C12613" s="2">
        <v>43767</v>
      </c>
      <c r="D12613" t="s">
        <v>26</v>
      </c>
      <c r="E12613">
        <v>23</v>
      </c>
    </row>
    <row r="12614" spans="1:5" x14ac:dyDescent="0.55000000000000004">
      <c r="A12614" t="s">
        <v>12695</v>
      </c>
      <c r="B12614" t="s">
        <v>175</v>
      </c>
      <c r="C12614" s="2">
        <v>44828</v>
      </c>
      <c r="D12614" t="s">
        <v>29</v>
      </c>
      <c r="E12614">
        <v>1806</v>
      </c>
    </row>
    <row r="12615" spans="1:5" x14ac:dyDescent="0.55000000000000004">
      <c r="A12615" t="s">
        <v>12696</v>
      </c>
      <c r="B12615" t="s">
        <v>137</v>
      </c>
      <c r="C12615" s="2">
        <v>44419</v>
      </c>
      <c r="D12615" t="s">
        <v>29</v>
      </c>
      <c r="E12615">
        <v>644</v>
      </c>
    </row>
    <row r="12616" spans="1:5" x14ac:dyDescent="0.55000000000000004">
      <c r="A12616" t="s">
        <v>12697</v>
      </c>
      <c r="B12616" t="s">
        <v>137</v>
      </c>
      <c r="C12616" s="2">
        <v>45174</v>
      </c>
      <c r="D12616" t="s">
        <v>26</v>
      </c>
      <c r="E12616">
        <v>1494</v>
      </c>
    </row>
    <row r="12617" spans="1:5" x14ac:dyDescent="0.55000000000000004">
      <c r="A12617" t="s">
        <v>12698</v>
      </c>
      <c r="B12617" t="s">
        <v>32</v>
      </c>
      <c r="C12617" s="2">
        <v>44586</v>
      </c>
      <c r="D12617" t="s">
        <v>26</v>
      </c>
      <c r="E12617">
        <v>1932</v>
      </c>
    </row>
    <row r="12618" spans="1:5" x14ac:dyDescent="0.55000000000000004">
      <c r="A12618" t="s">
        <v>12699</v>
      </c>
      <c r="B12618" t="s">
        <v>137</v>
      </c>
      <c r="C12618" s="2">
        <v>45236</v>
      </c>
      <c r="D12618" t="s">
        <v>26</v>
      </c>
      <c r="E12618">
        <v>1480</v>
      </c>
    </row>
    <row r="12619" spans="1:5" x14ac:dyDescent="0.55000000000000004">
      <c r="A12619" t="s">
        <v>12700</v>
      </c>
      <c r="B12619" t="s">
        <v>105</v>
      </c>
      <c r="C12619" s="2">
        <v>43457</v>
      </c>
      <c r="D12619" t="s">
        <v>26</v>
      </c>
      <c r="E12619">
        <v>982</v>
      </c>
    </row>
    <row r="12620" spans="1:5" x14ac:dyDescent="0.55000000000000004">
      <c r="A12620" t="s">
        <v>12701</v>
      </c>
      <c r="B12620" t="s">
        <v>35</v>
      </c>
      <c r="C12620" s="2">
        <v>43888</v>
      </c>
      <c r="D12620" t="s">
        <v>26</v>
      </c>
      <c r="E12620">
        <v>2885</v>
      </c>
    </row>
    <row r="12621" spans="1:5" x14ac:dyDescent="0.55000000000000004">
      <c r="A12621" t="s">
        <v>12702</v>
      </c>
      <c r="B12621" t="s">
        <v>105</v>
      </c>
      <c r="C12621" s="2">
        <v>43996</v>
      </c>
      <c r="D12621" t="s">
        <v>29</v>
      </c>
      <c r="E12621">
        <v>1961</v>
      </c>
    </row>
    <row r="12622" spans="1:5" x14ac:dyDescent="0.55000000000000004">
      <c r="A12622" t="s">
        <v>12703</v>
      </c>
      <c r="B12622" t="s">
        <v>115</v>
      </c>
      <c r="C12622" s="2">
        <v>43028</v>
      </c>
      <c r="D12622" t="s">
        <v>29</v>
      </c>
      <c r="E12622">
        <v>1696</v>
      </c>
    </row>
    <row r="12623" spans="1:5" x14ac:dyDescent="0.55000000000000004">
      <c r="A12623" t="s">
        <v>12704</v>
      </c>
      <c r="B12623" t="s">
        <v>111</v>
      </c>
      <c r="C12623" s="2">
        <v>44437</v>
      </c>
      <c r="D12623" t="s">
        <v>29</v>
      </c>
      <c r="E12623">
        <v>88</v>
      </c>
    </row>
    <row r="12624" spans="1:5" x14ac:dyDescent="0.55000000000000004">
      <c r="A12624" t="s">
        <v>12705</v>
      </c>
      <c r="B12624" t="s">
        <v>105</v>
      </c>
      <c r="C12624" s="2">
        <v>43520</v>
      </c>
      <c r="D12624" t="s">
        <v>26</v>
      </c>
      <c r="E12624">
        <v>791</v>
      </c>
    </row>
    <row r="12625" spans="1:5" x14ac:dyDescent="0.55000000000000004">
      <c r="A12625" t="s">
        <v>12706</v>
      </c>
      <c r="B12625" t="s">
        <v>86</v>
      </c>
      <c r="C12625" s="2">
        <v>43829</v>
      </c>
      <c r="D12625" t="s">
        <v>29</v>
      </c>
      <c r="E12625">
        <v>1817</v>
      </c>
    </row>
    <row r="12626" spans="1:5" x14ac:dyDescent="0.55000000000000004">
      <c r="A12626" t="s">
        <v>12707</v>
      </c>
      <c r="B12626" t="s">
        <v>156</v>
      </c>
      <c r="C12626" s="2">
        <v>43083</v>
      </c>
      <c r="D12626" t="s">
        <v>29</v>
      </c>
      <c r="E12626">
        <v>2375</v>
      </c>
    </row>
    <row r="12627" spans="1:5" x14ac:dyDescent="0.55000000000000004">
      <c r="A12627" t="s">
        <v>12708</v>
      </c>
      <c r="B12627" t="s">
        <v>142</v>
      </c>
      <c r="C12627" s="2">
        <v>43669</v>
      </c>
      <c r="D12627" t="s">
        <v>29</v>
      </c>
      <c r="E12627">
        <v>350</v>
      </c>
    </row>
    <row r="12628" spans="1:5" x14ac:dyDescent="0.55000000000000004">
      <c r="A12628" t="s">
        <v>12709</v>
      </c>
      <c r="B12628" t="s">
        <v>96</v>
      </c>
      <c r="C12628" s="2">
        <v>44846</v>
      </c>
      <c r="D12628" t="s">
        <v>26</v>
      </c>
      <c r="E12628">
        <v>619</v>
      </c>
    </row>
    <row r="12629" spans="1:5" x14ac:dyDescent="0.55000000000000004">
      <c r="A12629" t="s">
        <v>12710</v>
      </c>
      <c r="B12629" t="s">
        <v>72</v>
      </c>
      <c r="C12629" s="2">
        <v>44377</v>
      </c>
      <c r="D12629" t="s">
        <v>29</v>
      </c>
      <c r="E12629">
        <v>2794</v>
      </c>
    </row>
    <row r="12630" spans="1:5" x14ac:dyDescent="0.55000000000000004">
      <c r="A12630" t="s">
        <v>12711</v>
      </c>
      <c r="B12630" t="s">
        <v>32</v>
      </c>
      <c r="C12630" s="2">
        <v>44841</v>
      </c>
      <c r="D12630" t="s">
        <v>29</v>
      </c>
      <c r="E12630">
        <v>668</v>
      </c>
    </row>
    <row r="12631" spans="1:5" x14ac:dyDescent="0.55000000000000004">
      <c r="A12631" t="s">
        <v>12712</v>
      </c>
      <c r="B12631" t="s">
        <v>101</v>
      </c>
      <c r="C12631" s="2">
        <v>43166</v>
      </c>
      <c r="D12631" t="s">
        <v>29</v>
      </c>
      <c r="E12631">
        <v>2158</v>
      </c>
    </row>
    <row r="12632" spans="1:5" x14ac:dyDescent="0.55000000000000004">
      <c r="A12632" t="s">
        <v>12713</v>
      </c>
      <c r="B12632" t="s">
        <v>15</v>
      </c>
      <c r="C12632" s="2">
        <v>43987</v>
      </c>
      <c r="D12632" t="s">
        <v>26</v>
      </c>
      <c r="E12632">
        <v>1642</v>
      </c>
    </row>
    <row r="12633" spans="1:5" x14ac:dyDescent="0.55000000000000004">
      <c r="A12633" t="s">
        <v>12714</v>
      </c>
      <c r="B12633" t="s">
        <v>175</v>
      </c>
      <c r="C12633" s="2">
        <v>45734</v>
      </c>
      <c r="D12633" t="s">
        <v>26</v>
      </c>
      <c r="E12633">
        <v>404</v>
      </c>
    </row>
    <row r="12634" spans="1:5" x14ac:dyDescent="0.55000000000000004">
      <c r="A12634" t="s">
        <v>12715</v>
      </c>
      <c r="B12634" t="s">
        <v>96</v>
      </c>
      <c r="C12634" s="2">
        <v>43899</v>
      </c>
      <c r="D12634" t="s">
        <v>29</v>
      </c>
      <c r="E12634">
        <v>464</v>
      </c>
    </row>
    <row r="12635" spans="1:5" x14ac:dyDescent="0.55000000000000004">
      <c r="A12635" t="s">
        <v>12716</v>
      </c>
      <c r="B12635" t="s">
        <v>74</v>
      </c>
      <c r="C12635" s="2">
        <v>43053</v>
      </c>
      <c r="D12635" t="s">
        <v>29</v>
      </c>
      <c r="E12635">
        <v>665</v>
      </c>
    </row>
    <row r="12636" spans="1:5" x14ac:dyDescent="0.55000000000000004">
      <c r="A12636" t="s">
        <v>12717</v>
      </c>
      <c r="B12636" t="s">
        <v>78</v>
      </c>
      <c r="C12636" s="2">
        <v>44543</v>
      </c>
      <c r="D12636" t="s">
        <v>26</v>
      </c>
      <c r="E12636">
        <v>643</v>
      </c>
    </row>
    <row r="12637" spans="1:5" x14ac:dyDescent="0.55000000000000004">
      <c r="A12637" t="s">
        <v>12718</v>
      </c>
      <c r="B12637" t="s">
        <v>156</v>
      </c>
      <c r="C12637" s="2">
        <v>44354</v>
      </c>
      <c r="D12637" t="s">
        <v>29</v>
      </c>
      <c r="E12637">
        <v>1492</v>
      </c>
    </row>
    <row r="12638" spans="1:5" x14ac:dyDescent="0.55000000000000004">
      <c r="A12638" t="s">
        <v>12719</v>
      </c>
      <c r="B12638" t="s">
        <v>94</v>
      </c>
      <c r="C12638" s="2">
        <v>44716</v>
      </c>
      <c r="D12638" t="s">
        <v>29</v>
      </c>
      <c r="E12638">
        <v>1800</v>
      </c>
    </row>
    <row r="12639" spans="1:5" x14ac:dyDescent="0.55000000000000004">
      <c r="A12639" t="s">
        <v>12720</v>
      </c>
      <c r="B12639" t="s">
        <v>151</v>
      </c>
      <c r="C12639" s="2">
        <v>43069</v>
      </c>
      <c r="D12639" t="s">
        <v>26</v>
      </c>
      <c r="E12639">
        <v>1817</v>
      </c>
    </row>
    <row r="12640" spans="1:5" x14ac:dyDescent="0.55000000000000004">
      <c r="A12640" t="s">
        <v>12721</v>
      </c>
      <c r="B12640" t="s">
        <v>74</v>
      </c>
      <c r="C12640" s="2">
        <v>44434</v>
      </c>
      <c r="D12640" t="s">
        <v>29</v>
      </c>
      <c r="E12640">
        <v>2924</v>
      </c>
    </row>
    <row r="12641" spans="1:5" x14ac:dyDescent="0.55000000000000004">
      <c r="A12641" t="s">
        <v>12722</v>
      </c>
      <c r="B12641" t="s">
        <v>84</v>
      </c>
      <c r="C12641" s="2">
        <v>43106</v>
      </c>
      <c r="D12641" t="s">
        <v>26</v>
      </c>
      <c r="E12641">
        <v>2795</v>
      </c>
    </row>
    <row r="12642" spans="1:5" x14ac:dyDescent="0.55000000000000004">
      <c r="A12642" t="s">
        <v>12723</v>
      </c>
      <c r="B12642" t="s">
        <v>140</v>
      </c>
      <c r="C12642" s="2">
        <v>43740</v>
      </c>
      <c r="D12642" t="s">
        <v>29</v>
      </c>
      <c r="E12642">
        <v>1270</v>
      </c>
    </row>
    <row r="12643" spans="1:5" x14ac:dyDescent="0.55000000000000004">
      <c r="A12643" t="s">
        <v>12724</v>
      </c>
      <c r="B12643" t="s">
        <v>94</v>
      </c>
      <c r="C12643" s="2">
        <v>44766</v>
      </c>
      <c r="D12643" t="s">
        <v>26</v>
      </c>
      <c r="E12643">
        <v>2223</v>
      </c>
    </row>
    <row r="12644" spans="1:5" x14ac:dyDescent="0.55000000000000004">
      <c r="A12644" t="s">
        <v>12725</v>
      </c>
      <c r="B12644" t="s">
        <v>86</v>
      </c>
      <c r="C12644" s="2">
        <v>43891</v>
      </c>
      <c r="D12644" t="s">
        <v>26</v>
      </c>
      <c r="E12644">
        <v>786</v>
      </c>
    </row>
    <row r="12645" spans="1:5" x14ac:dyDescent="0.55000000000000004">
      <c r="A12645" t="s">
        <v>12726</v>
      </c>
      <c r="B12645" t="s">
        <v>84</v>
      </c>
      <c r="C12645" s="2">
        <v>42932</v>
      </c>
      <c r="D12645" t="s">
        <v>26</v>
      </c>
      <c r="E12645">
        <v>2660</v>
      </c>
    </row>
    <row r="12646" spans="1:5" x14ac:dyDescent="0.55000000000000004">
      <c r="A12646" t="s">
        <v>12727</v>
      </c>
      <c r="B12646" t="s">
        <v>137</v>
      </c>
      <c r="C12646" s="2">
        <v>43837</v>
      </c>
      <c r="D12646" t="s">
        <v>29</v>
      </c>
      <c r="E12646">
        <v>1651</v>
      </c>
    </row>
    <row r="12647" spans="1:5" x14ac:dyDescent="0.55000000000000004">
      <c r="A12647" t="s">
        <v>12728</v>
      </c>
      <c r="B12647" t="s">
        <v>94</v>
      </c>
      <c r="C12647" s="2">
        <v>43831</v>
      </c>
      <c r="D12647" t="s">
        <v>29</v>
      </c>
      <c r="E12647">
        <v>118</v>
      </c>
    </row>
    <row r="12648" spans="1:5" x14ac:dyDescent="0.55000000000000004">
      <c r="A12648" t="s">
        <v>12729</v>
      </c>
      <c r="B12648" t="s">
        <v>101</v>
      </c>
      <c r="C12648" s="2">
        <v>43130</v>
      </c>
      <c r="D12648" t="s">
        <v>26</v>
      </c>
      <c r="E12648">
        <v>2663</v>
      </c>
    </row>
    <row r="12649" spans="1:5" x14ac:dyDescent="0.55000000000000004">
      <c r="A12649" t="s">
        <v>12730</v>
      </c>
      <c r="B12649" t="s">
        <v>94</v>
      </c>
      <c r="C12649" s="2">
        <v>43616</v>
      </c>
      <c r="D12649" t="s">
        <v>26</v>
      </c>
      <c r="E12649">
        <v>424</v>
      </c>
    </row>
    <row r="12650" spans="1:5" x14ac:dyDescent="0.55000000000000004">
      <c r="A12650" t="s">
        <v>12731</v>
      </c>
      <c r="B12650" t="s">
        <v>38</v>
      </c>
      <c r="C12650" s="2">
        <v>44088</v>
      </c>
      <c r="D12650" t="s">
        <v>29</v>
      </c>
      <c r="E12650">
        <v>873</v>
      </c>
    </row>
    <row r="12651" spans="1:5" x14ac:dyDescent="0.55000000000000004">
      <c r="A12651" t="s">
        <v>12732</v>
      </c>
      <c r="B12651" t="s">
        <v>99</v>
      </c>
      <c r="C12651" s="2">
        <v>44373</v>
      </c>
      <c r="D12651" t="s">
        <v>26</v>
      </c>
      <c r="E12651">
        <v>2722</v>
      </c>
    </row>
    <row r="12652" spans="1:5" x14ac:dyDescent="0.55000000000000004">
      <c r="A12652" t="s">
        <v>12733</v>
      </c>
      <c r="B12652" t="s">
        <v>67</v>
      </c>
      <c r="C12652" s="2">
        <v>43825</v>
      </c>
      <c r="D12652" t="s">
        <v>29</v>
      </c>
      <c r="E12652">
        <v>664</v>
      </c>
    </row>
    <row r="12653" spans="1:5" x14ac:dyDescent="0.55000000000000004">
      <c r="A12653" t="s">
        <v>12734</v>
      </c>
      <c r="B12653" t="s">
        <v>14</v>
      </c>
      <c r="C12653" s="2">
        <v>43417</v>
      </c>
      <c r="D12653" t="s">
        <v>29</v>
      </c>
      <c r="E12653">
        <v>1925</v>
      </c>
    </row>
    <row r="12654" spans="1:5" x14ac:dyDescent="0.55000000000000004">
      <c r="A12654" t="s">
        <v>12735</v>
      </c>
      <c r="B12654" t="s">
        <v>23</v>
      </c>
      <c r="C12654" s="2">
        <v>44610</v>
      </c>
      <c r="D12654" t="s">
        <v>29</v>
      </c>
      <c r="E12654">
        <v>1728</v>
      </c>
    </row>
    <row r="12655" spans="1:5" x14ac:dyDescent="0.55000000000000004">
      <c r="A12655" t="s">
        <v>12736</v>
      </c>
      <c r="B12655" t="s">
        <v>84</v>
      </c>
      <c r="C12655" s="2">
        <v>42942</v>
      </c>
      <c r="D12655" t="s">
        <v>26</v>
      </c>
      <c r="E12655">
        <v>260</v>
      </c>
    </row>
    <row r="12656" spans="1:5" x14ac:dyDescent="0.55000000000000004">
      <c r="A12656" t="s">
        <v>12737</v>
      </c>
      <c r="B12656" t="s">
        <v>23</v>
      </c>
      <c r="C12656" s="2">
        <v>43961</v>
      </c>
      <c r="D12656" t="s">
        <v>29</v>
      </c>
      <c r="E12656">
        <v>1190</v>
      </c>
    </row>
    <row r="12657" spans="1:5" x14ac:dyDescent="0.55000000000000004">
      <c r="A12657" t="s">
        <v>12738</v>
      </c>
      <c r="B12657" t="s">
        <v>76</v>
      </c>
      <c r="C12657" s="2">
        <v>43997</v>
      </c>
      <c r="D12657" t="s">
        <v>29</v>
      </c>
      <c r="E12657">
        <v>2960</v>
      </c>
    </row>
    <row r="12658" spans="1:5" x14ac:dyDescent="0.55000000000000004">
      <c r="A12658" t="s">
        <v>12739</v>
      </c>
      <c r="B12658" t="s">
        <v>142</v>
      </c>
      <c r="C12658" s="2">
        <v>44370</v>
      </c>
      <c r="D12658" t="s">
        <v>29</v>
      </c>
      <c r="E12658">
        <v>2264</v>
      </c>
    </row>
    <row r="12659" spans="1:5" x14ac:dyDescent="0.55000000000000004">
      <c r="A12659" t="s">
        <v>12740</v>
      </c>
      <c r="B12659" t="s">
        <v>175</v>
      </c>
      <c r="C12659" s="2">
        <v>44074</v>
      </c>
      <c r="D12659" t="s">
        <v>29</v>
      </c>
      <c r="E12659">
        <v>307</v>
      </c>
    </row>
    <row r="12660" spans="1:5" x14ac:dyDescent="0.55000000000000004">
      <c r="A12660" t="s">
        <v>12741</v>
      </c>
      <c r="B12660" t="s">
        <v>115</v>
      </c>
      <c r="C12660" s="2">
        <v>43779</v>
      </c>
      <c r="D12660" t="s">
        <v>29</v>
      </c>
      <c r="E12660">
        <v>842</v>
      </c>
    </row>
    <row r="12661" spans="1:5" x14ac:dyDescent="0.55000000000000004">
      <c r="A12661" t="s">
        <v>12742</v>
      </c>
      <c r="B12661" t="s">
        <v>84</v>
      </c>
      <c r="C12661" s="2">
        <v>44478</v>
      </c>
      <c r="D12661" t="s">
        <v>26</v>
      </c>
      <c r="E12661">
        <v>1240</v>
      </c>
    </row>
    <row r="12662" spans="1:5" x14ac:dyDescent="0.55000000000000004">
      <c r="A12662" t="s">
        <v>12743</v>
      </c>
      <c r="B12662" t="s">
        <v>38</v>
      </c>
      <c r="C12662" s="2">
        <v>43973</v>
      </c>
      <c r="D12662" t="s">
        <v>26</v>
      </c>
      <c r="E12662">
        <v>1038</v>
      </c>
    </row>
    <row r="12663" spans="1:5" x14ac:dyDescent="0.55000000000000004">
      <c r="A12663" t="s">
        <v>12744</v>
      </c>
      <c r="B12663" t="s">
        <v>94</v>
      </c>
      <c r="C12663" s="2">
        <v>45403</v>
      </c>
      <c r="D12663" t="s">
        <v>29</v>
      </c>
      <c r="E12663">
        <v>1194</v>
      </c>
    </row>
    <row r="12664" spans="1:5" x14ac:dyDescent="0.55000000000000004">
      <c r="A12664" t="s">
        <v>12745</v>
      </c>
      <c r="B12664" t="s">
        <v>38</v>
      </c>
      <c r="C12664" s="2">
        <v>44641</v>
      </c>
      <c r="D12664" t="s">
        <v>29</v>
      </c>
      <c r="E12664">
        <v>591</v>
      </c>
    </row>
    <row r="12665" spans="1:5" x14ac:dyDescent="0.55000000000000004">
      <c r="A12665" t="s">
        <v>12746</v>
      </c>
      <c r="B12665" t="s">
        <v>84</v>
      </c>
      <c r="C12665" s="2">
        <v>44458</v>
      </c>
      <c r="D12665" t="s">
        <v>26</v>
      </c>
      <c r="E12665">
        <v>519</v>
      </c>
    </row>
    <row r="12666" spans="1:5" x14ac:dyDescent="0.55000000000000004">
      <c r="A12666" t="s">
        <v>12747</v>
      </c>
      <c r="B12666" t="s">
        <v>63</v>
      </c>
      <c r="C12666" s="2">
        <v>43044</v>
      </c>
      <c r="D12666" t="s">
        <v>29</v>
      </c>
      <c r="E12666">
        <v>1203</v>
      </c>
    </row>
    <row r="12667" spans="1:5" x14ac:dyDescent="0.55000000000000004">
      <c r="A12667" t="s">
        <v>12748</v>
      </c>
      <c r="B12667" t="s">
        <v>72</v>
      </c>
      <c r="C12667" s="2">
        <v>44437</v>
      </c>
      <c r="D12667" t="s">
        <v>26</v>
      </c>
      <c r="E12667">
        <v>324</v>
      </c>
    </row>
    <row r="12668" spans="1:5" x14ac:dyDescent="0.55000000000000004">
      <c r="A12668" t="s">
        <v>12749</v>
      </c>
      <c r="B12668" t="s">
        <v>140</v>
      </c>
      <c r="C12668" s="2">
        <v>43963</v>
      </c>
      <c r="D12668" t="s">
        <v>29</v>
      </c>
      <c r="E12668">
        <v>1639</v>
      </c>
    </row>
    <row r="12669" spans="1:5" x14ac:dyDescent="0.55000000000000004">
      <c r="A12669" t="s">
        <v>12750</v>
      </c>
      <c r="B12669" t="s">
        <v>142</v>
      </c>
      <c r="C12669" s="2">
        <v>43376</v>
      </c>
      <c r="D12669" t="s">
        <v>29</v>
      </c>
      <c r="E12669">
        <v>400</v>
      </c>
    </row>
    <row r="12670" spans="1:5" x14ac:dyDescent="0.55000000000000004">
      <c r="A12670" t="s">
        <v>12751</v>
      </c>
      <c r="B12670" t="s">
        <v>35</v>
      </c>
      <c r="C12670" s="2">
        <v>44523</v>
      </c>
      <c r="D12670" t="s">
        <v>26</v>
      </c>
      <c r="E12670">
        <v>975</v>
      </c>
    </row>
    <row r="12671" spans="1:5" x14ac:dyDescent="0.55000000000000004">
      <c r="A12671" t="s">
        <v>12752</v>
      </c>
      <c r="B12671" t="s">
        <v>84</v>
      </c>
      <c r="C12671" s="2">
        <v>44328</v>
      </c>
      <c r="D12671" t="s">
        <v>29</v>
      </c>
      <c r="E12671">
        <v>1601</v>
      </c>
    </row>
    <row r="12672" spans="1:5" x14ac:dyDescent="0.55000000000000004">
      <c r="A12672" t="s">
        <v>12753</v>
      </c>
      <c r="B12672" t="s">
        <v>111</v>
      </c>
      <c r="C12672" s="2">
        <v>43217</v>
      </c>
      <c r="D12672" t="s">
        <v>26</v>
      </c>
      <c r="E12672">
        <v>2028</v>
      </c>
    </row>
    <row r="12673" spans="1:5" x14ac:dyDescent="0.55000000000000004">
      <c r="A12673" t="s">
        <v>12754</v>
      </c>
      <c r="B12673" t="s">
        <v>156</v>
      </c>
      <c r="C12673" s="2">
        <v>43786</v>
      </c>
      <c r="D12673" t="s">
        <v>29</v>
      </c>
      <c r="E12673">
        <v>1330</v>
      </c>
    </row>
    <row r="12674" spans="1:5" x14ac:dyDescent="0.55000000000000004">
      <c r="A12674" t="s">
        <v>12755</v>
      </c>
      <c r="B12674" t="s">
        <v>151</v>
      </c>
      <c r="C12674" s="2">
        <v>44476</v>
      </c>
      <c r="D12674" t="s">
        <v>26</v>
      </c>
      <c r="E12674">
        <v>403</v>
      </c>
    </row>
    <row r="12675" spans="1:5" x14ac:dyDescent="0.55000000000000004">
      <c r="A12675" t="s">
        <v>12756</v>
      </c>
      <c r="B12675" t="s">
        <v>140</v>
      </c>
      <c r="C12675" s="2">
        <v>44457</v>
      </c>
      <c r="D12675" t="s">
        <v>29</v>
      </c>
      <c r="E12675">
        <v>2377</v>
      </c>
    </row>
    <row r="12676" spans="1:5" x14ac:dyDescent="0.55000000000000004">
      <c r="A12676" t="s">
        <v>12757</v>
      </c>
      <c r="B12676" t="s">
        <v>137</v>
      </c>
      <c r="C12676" s="2">
        <v>44754</v>
      </c>
      <c r="D12676" t="s">
        <v>26</v>
      </c>
      <c r="E12676">
        <v>1761</v>
      </c>
    </row>
    <row r="12677" spans="1:5" x14ac:dyDescent="0.55000000000000004">
      <c r="A12677" t="s">
        <v>12758</v>
      </c>
      <c r="B12677" t="s">
        <v>142</v>
      </c>
      <c r="C12677" s="2">
        <v>44512</v>
      </c>
      <c r="D12677" t="s">
        <v>29</v>
      </c>
      <c r="E12677">
        <v>2644</v>
      </c>
    </row>
    <row r="12678" spans="1:5" x14ac:dyDescent="0.55000000000000004">
      <c r="A12678" t="s">
        <v>12759</v>
      </c>
      <c r="B12678" t="s">
        <v>175</v>
      </c>
      <c r="C12678" s="2">
        <v>44645</v>
      </c>
      <c r="D12678" t="s">
        <v>26</v>
      </c>
      <c r="E12678">
        <v>393</v>
      </c>
    </row>
    <row r="12679" spans="1:5" x14ac:dyDescent="0.55000000000000004">
      <c r="A12679" t="s">
        <v>12760</v>
      </c>
      <c r="B12679" t="s">
        <v>41</v>
      </c>
      <c r="C12679" s="2">
        <v>44267</v>
      </c>
      <c r="D12679" t="s">
        <v>29</v>
      </c>
      <c r="E12679">
        <v>2675</v>
      </c>
    </row>
    <row r="12680" spans="1:5" x14ac:dyDescent="0.55000000000000004">
      <c r="A12680" t="s">
        <v>12761</v>
      </c>
      <c r="B12680" t="s">
        <v>115</v>
      </c>
      <c r="C12680" s="2">
        <v>43375</v>
      </c>
      <c r="D12680" t="s">
        <v>29</v>
      </c>
      <c r="E12680">
        <v>2624</v>
      </c>
    </row>
    <row r="12681" spans="1:5" x14ac:dyDescent="0.55000000000000004">
      <c r="A12681" t="s">
        <v>12762</v>
      </c>
      <c r="B12681" t="s">
        <v>140</v>
      </c>
      <c r="C12681" s="2">
        <v>44438</v>
      </c>
      <c r="D12681" t="s">
        <v>26</v>
      </c>
      <c r="E12681">
        <v>2591</v>
      </c>
    </row>
    <row r="12682" spans="1:5" x14ac:dyDescent="0.55000000000000004">
      <c r="A12682" t="s">
        <v>12763</v>
      </c>
      <c r="B12682" t="s">
        <v>115</v>
      </c>
      <c r="C12682" s="2">
        <v>44467</v>
      </c>
      <c r="D12682" t="s">
        <v>26</v>
      </c>
      <c r="E12682">
        <v>2033</v>
      </c>
    </row>
    <row r="12683" spans="1:5" x14ac:dyDescent="0.55000000000000004">
      <c r="A12683" t="s">
        <v>12764</v>
      </c>
      <c r="B12683" t="s">
        <v>99</v>
      </c>
      <c r="C12683" s="2">
        <v>43652</v>
      </c>
      <c r="D12683" t="s">
        <v>29</v>
      </c>
      <c r="E12683">
        <v>2193</v>
      </c>
    </row>
    <row r="12684" spans="1:5" x14ac:dyDescent="0.55000000000000004">
      <c r="A12684" t="s">
        <v>12765</v>
      </c>
      <c r="B12684" t="s">
        <v>140</v>
      </c>
      <c r="C12684" s="2">
        <v>44097</v>
      </c>
      <c r="D12684" t="s">
        <v>29</v>
      </c>
      <c r="E12684">
        <v>1854</v>
      </c>
    </row>
    <row r="12685" spans="1:5" x14ac:dyDescent="0.55000000000000004">
      <c r="A12685" t="s">
        <v>12766</v>
      </c>
      <c r="B12685" t="s">
        <v>78</v>
      </c>
      <c r="C12685" s="2">
        <v>45005</v>
      </c>
      <c r="D12685" t="s">
        <v>26</v>
      </c>
      <c r="E12685">
        <v>456</v>
      </c>
    </row>
    <row r="12686" spans="1:5" x14ac:dyDescent="0.55000000000000004">
      <c r="A12686" t="s">
        <v>12767</v>
      </c>
      <c r="B12686" t="s">
        <v>99</v>
      </c>
      <c r="C12686" s="2">
        <v>45624</v>
      </c>
      <c r="D12686" t="s">
        <v>26</v>
      </c>
      <c r="E12686">
        <v>56</v>
      </c>
    </row>
    <row r="12687" spans="1:5" x14ac:dyDescent="0.55000000000000004">
      <c r="A12687" t="s">
        <v>12768</v>
      </c>
      <c r="B12687" t="s">
        <v>84</v>
      </c>
      <c r="C12687" s="2">
        <v>43135</v>
      </c>
      <c r="D12687" t="s">
        <v>29</v>
      </c>
      <c r="E12687">
        <v>2596</v>
      </c>
    </row>
    <row r="12688" spans="1:5" x14ac:dyDescent="0.55000000000000004">
      <c r="A12688" t="s">
        <v>12769</v>
      </c>
      <c r="B12688" t="s">
        <v>76</v>
      </c>
      <c r="C12688" s="2">
        <v>44605</v>
      </c>
      <c r="D12688" t="s">
        <v>29</v>
      </c>
      <c r="E12688">
        <v>2000</v>
      </c>
    </row>
    <row r="12689" spans="1:5" x14ac:dyDescent="0.55000000000000004">
      <c r="A12689" t="s">
        <v>12770</v>
      </c>
      <c r="B12689" t="s">
        <v>156</v>
      </c>
      <c r="C12689" s="2">
        <v>43937</v>
      </c>
      <c r="D12689" t="s">
        <v>26</v>
      </c>
      <c r="E12689">
        <v>975</v>
      </c>
    </row>
    <row r="12690" spans="1:5" x14ac:dyDescent="0.55000000000000004">
      <c r="A12690" t="s">
        <v>12771</v>
      </c>
      <c r="B12690" t="s">
        <v>84</v>
      </c>
      <c r="C12690" s="2">
        <v>44354</v>
      </c>
      <c r="D12690" t="s">
        <v>26</v>
      </c>
      <c r="E12690">
        <v>1520</v>
      </c>
    </row>
    <row r="12691" spans="1:5" x14ac:dyDescent="0.55000000000000004">
      <c r="A12691" t="s">
        <v>12772</v>
      </c>
      <c r="B12691" t="s">
        <v>35</v>
      </c>
      <c r="C12691" s="2">
        <v>44791</v>
      </c>
      <c r="D12691" t="s">
        <v>26</v>
      </c>
      <c r="E12691">
        <v>1769</v>
      </c>
    </row>
    <row r="12692" spans="1:5" x14ac:dyDescent="0.55000000000000004">
      <c r="A12692" t="s">
        <v>12773</v>
      </c>
      <c r="B12692" t="s">
        <v>118</v>
      </c>
      <c r="C12692" s="2">
        <v>45423</v>
      </c>
      <c r="D12692" t="s">
        <v>26</v>
      </c>
      <c r="E12692">
        <v>384</v>
      </c>
    </row>
    <row r="12693" spans="1:5" x14ac:dyDescent="0.55000000000000004">
      <c r="A12693" t="s">
        <v>12774</v>
      </c>
      <c r="B12693" t="s">
        <v>38</v>
      </c>
      <c r="C12693" s="2">
        <v>44704</v>
      </c>
      <c r="D12693" t="s">
        <v>29</v>
      </c>
      <c r="E12693">
        <v>639</v>
      </c>
    </row>
    <row r="12694" spans="1:5" x14ac:dyDescent="0.55000000000000004">
      <c r="A12694" t="s">
        <v>12775</v>
      </c>
      <c r="B12694" t="s">
        <v>175</v>
      </c>
      <c r="C12694" s="2">
        <v>44952</v>
      </c>
      <c r="D12694" t="s">
        <v>26</v>
      </c>
      <c r="E12694">
        <v>313</v>
      </c>
    </row>
    <row r="12695" spans="1:5" x14ac:dyDescent="0.55000000000000004">
      <c r="A12695" t="s">
        <v>12776</v>
      </c>
      <c r="B12695" t="s">
        <v>38</v>
      </c>
      <c r="C12695" s="2">
        <v>44821</v>
      </c>
      <c r="D12695" t="s">
        <v>29</v>
      </c>
      <c r="E12695">
        <v>199</v>
      </c>
    </row>
    <row r="12696" spans="1:5" x14ac:dyDescent="0.55000000000000004">
      <c r="A12696" t="s">
        <v>12777</v>
      </c>
      <c r="B12696" t="s">
        <v>84</v>
      </c>
      <c r="C12696" s="2">
        <v>42925</v>
      </c>
      <c r="D12696" t="s">
        <v>26</v>
      </c>
      <c r="E12696">
        <v>1940</v>
      </c>
    </row>
    <row r="12697" spans="1:5" x14ac:dyDescent="0.55000000000000004">
      <c r="A12697" t="s">
        <v>12778</v>
      </c>
      <c r="B12697" t="s">
        <v>14</v>
      </c>
      <c r="C12697" s="2">
        <v>43086</v>
      </c>
      <c r="D12697" t="s">
        <v>26</v>
      </c>
      <c r="E12697">
        <v>2123</v>
      </c>
    </row>
    <row r="12698" spans="1:5" x14ac:dyDescent="0.55000000000000004">
      <c r="A12698" t="s">
        <v>12779</v>
      </c>
      <c r="B12698" t="s">
        <v>111</v>
      </c>
      <c r="C12698" s="2">
        <v>44189</v>
      </c>
      <c r="D12698" t="s">
        <v>29</v>
      </c>
      <c r="E12698">
        <v>2281</v>
      </c>
    </row>
    <row r="12699" spans="1:5" x14ac:dyDescent="0.55000000000000004">
      <c r="A12699" t="s">
        <v>12780</v>
      </c>
      <c r="B12699" t="s">
        <v>23</v>
      </c>
      <c r="C12699" s="2">
        <v>44747</v>
      </c>
      <c r="D12699" t="s">
        <v>29</v>
      </c>
      <c r="E12699">
        <v>2638</v>
      </c>
    </row>
    <row r="12700" spans="1:5" x14ac:dyDescent="0.55000000000000004">
      <c r="A12700" t="s">
        <v>12781</v>
      </c>
      <c r="B12700" t="s">
        <v>14</v>
      </c>
      <c r="C12700" s="2">
        <v>44427</v>
      </c>
      <c r="D12700" t="s">
        <v>29</v>
      </c>
      <c r="E12700">
        <v>692</v>
      </c>
    </row>
    <row r="12701" spans="1:5" x14ac:dyDescent="0.55000000000000004">
      <c r="A12701" t="s">
        <v>12782</v>
      </c>
      <c r="B12701" t="s">
        <v>23</v>
      </c>
      <c r="C12701" s="2">
        <v>43874</v>
      </c>
      <c r="D12701" t="s">
        <v>29</v>
      </c>
      <c r="E12701">
        <v>2966</v>
      </c>
    </row>
    <row r="12702" spans="1:5" x14ac:dyDescent="0.55000000000000004">
      <c r="A12702" t="s">
        <v>12783</v>
      </c>
      <c r="B12702" t="s">
        <v>137</v>
      </c>
      <c r="C12702" s="2">
        <v>44917</v>
      </c>
      <c r="D12702" t="s">
        <v>26</v>
      </c>
      <c r="E12702">
        <v>2453</v>
      </c>
    </row>
    <row r="12703" spans="1:5" x14ac:dyDescent="0.55000000000000004">
      <c r="A12703" t="s">
        <v>12784</v>
      </c>
      <c r="B12703" t="s">
        <v>86</v>
      </c>
      <c r="C12703" s="2">
        <v>43906</v>
      </c>
      <c r="D12703" t="s">
        <v>26</v>
      </c>
      <c r="E12703">
        <v>2056</v>
      </c>
    </row>
    <row r="12704" spans="1:5" x14ac:dyDescent="0.55000000000000004">
      <c r="A12704" t="s">
        <v>12785</v>
      </c>
      <c r="B12704" t="s">
        <v>74</v>
      </c>
      <c r="C12704" s="2">
        <v>44003</v>
      </c>
      <c r="D12704" t="s">
        <v>29</v>
      </c>
      <c r="E12704">
        <v>1830</v>
      </c>
    </row>
    <row r="12705" spans="1:5" x14ac:dyDescent="0.55000000000000004">
      <c r="A12705" t="s">
        <v>12786</v>
      </c>
      <c r="B12705" t="s">
        <v>78</v>
      </c>
      <c r="C12705" s="2">
        <v>44093</v>
      </c>
      <c r="D12705" t="s">
        <v>29</v>
      </c>
      <c r="E12705">
        <v>1631</v>
      </c>
    </row>
    <row r="12706" spans="1:5" x14ac:dyDescent="0.55000000000000004">
      <c r="A12706" t="s">
        <v>12787</v>
      </c>
      <c r="B12706" t="s">
        <v>67</v>
      </c>
      <c r="C12706" s="2">
        <v>43669</v>
      </c>
      <c r="D12706" t="s">
        <v>29</v>
      </c>
      <c r="E12706">
        <v>841</v>
      </c>
    </row>
    <row r="12707" spans="1:5" x14ac:dyDescent="0.55000000000000004">
      <c r="A12707" t="s">
        <v>12788</v>
      </c>
      <c r="B12707" t="s">
        <v>78</v>
      </c>
      <c r="C12707" s="2">
        <v>44170</v>
      </c>
      <c r="D12707" t="s">
        <v>29</v>
      </c>
      <c r="E12707">
        <v>315</v>
      </c>
    </row>
    <row r="12708" spans="1:5" x14ac:dyDescent="0.55000000000000004">
      <c r="A12708" t="s">
        <v>12789</v>
      </c>
      <c r="B12708" t="s">
        <v>140</v>
      </c>
      <c r="C12708" s="2">
        <v>44218</v>
      </c>
      <c r="D12708" t="s">
        <v>26</v>
      </c>
      <c r="E12708">
        <v>370</v>
      </c>
    </row>
    <row r="12709" spans="1:5" x14ac:dyDescent="0.55000000000000004">
      <c r="A12709" t="s">
        <v>12790</v>
      </c>
      <c r="B12709" t="s">
        <v>32</v>
      </c>
      <c r="C12709" s="2">
        <v>44540</v>
      </c>
      <c r="D12709" t="s">
        <v>29</v>
      </c>
      <c r="E12709">
        <v>144</v>
      </c>
    </row>
    <row r="12710" spans="1:5" x14ac:dyDescent="0.55000000000000004">
      <c r="A12710" t="s">
        <v>12791</v>
      </c>
      <c r="B12710" t="s">
        <v>137</v>
      </c>
      <c r="C12710" s="2">
        <v>45027</v>
      </c>
      <c r="D12710" t="s">
        <v>26</v>
      </c>
      <c r="E12710">
        <v>1998</v>
      </c>
    </row>
    <row r="12711" spans="1:5" x14ac:dyDescent="0.55000000000000004">
      <c r="A12711" t="s">
        <v>12792</v>
      </c>
      <c r="B12711" t="s">
        <v>67</v>
      </c>
      <c r="C12711" s="2">
        <v>43572</v>
      </c>
      <c r="D12711" t="s">
        <v>26</v>
      </c>
      <c r="E12711">
        <v>1612</v>
      </c>
    </row>
    <row r="12712" spans="1:5" x14ac:dyDescent="0.55000000000000004">
      <c r="A12712" t="s">
        <v>12793</v>
      </c>
      <c r="B12712" t="s">
        <v>67</v>
      </c>
      <c r="C12712" s="2">
        <v>44290</v>
      </c>
      <c r="D12712" t="s">
        <v>26</v>
      </c>
      <c r="E12712">
        <v>502</v>
      </c>
    </row>
    <row r="12713" spans="1:5" x14ac:dyDescent="0.55000000000000004">
      <c r="A12713" t="s">
        <v>12794</v>
      </c>
      <c r="B12713" t="s">
        <v>72</v>
      </c>
      <c r="C12713" s="2">
        <v>44284</v>
      </c>
      <c r="D12713" t="s">
        <v>26</v>
      </c>
      <c r="E12713">
        <v>1885</v>
      </c>
    </row>
    <row r="12714" spans="1:5" x14ac:dyDescent="0.55000000000000004">
      <c r="A12714" t="s">
        <v>12795</v>
      </c>
      <c r="B12714" t="s">
        <v>23</v>
      </c>
      <c r="C12714" s="2">
        <v>44511</v>
      </c>
      <c r="D12714" t="s">
        <v>26</v>
      </c>
      <c r="E12714">
        <v>2270</v>
      </c>
    </row>
    <row r="12715" spans="1:5" x14ac:dyDescent="0.55000000000000004">
      <c r="A12715" t="s">
        <v>12796</v>
      </c>
      <c r="B12715" t="s">
        <v>72</v>
      </c>
      <c r="C12715" s="2">
        <v>44511</v>
      </c>
      <c r="D12715" t="s">
        <v>26</v>
      </c>
      <c r="E12715">
        <v>858</v>
      </c>
    </row>
    <row r="12716" spans="1:5" x14ac:dyDescent="0.55000000000000004">
      <c r="A12716" t="s">
        <v>12797</v>
      </c>
      <c r="B12716" t="s">
        <v>63</v>
      </c>
      <c r="C12716" s="2">
        <v>43083</v>
      </c>
      <c r="D12716" t="s">
        <v>26</v>
      </c>
      <c r="E12716">
        <v>1348</v>
      </c>
    </row>
    <row r="12717" spans="1:5" x14ac:dyDescent="0.55000000000000004">
      <c r="A12717" t="s">
        <v>12798</v>
      </c>
      <c r="B12717" t="s">
        <v>101</v>
      </c>
      <c r="C12717" s="2">
        <v>43912</v>
      </c>
      <c r="D12717" t="s">
        <v>29</v>
      </c>
      <c r="E12717">
        <v>561</v>
      </c>
    </row>
    <row r="12718" spans="1:5" x14ac:dyDescent="0.55000000000000004">
      <c r="A12718" t="s">
        <v>12799</v>
      </c>
      <c r="B12718" t="s">
        <v>86</v>
      </c>
      <c r="C12718" s="2">
        <v>42921</v>
      </c>
      <c r="D12718" t="s">
        <v>26</v>
      </c>
      <c r="E12718">
        <v>2126</v>
      </c>
    </row>
    <row r="12719" spans="1:5" x14ac:dyDescent="0.55000000000000004">
      <c r="A12719" t="s">
        <v>12800</v>
      </c>
      <c r="B12719" t="s">
        <v>76</v>
      </c>
      <c r="C12719" s="2">
        <v>44875</v>
      </c>
      <c r="D12719" t="s">
        <v>29</v>
      </c>
      <c r="E12719">
        <v>504</v>
      </c>
    </row>
    <row r="12720" spans="1:5" x14ac:dyDescent="0.55000000000000004">
      <c r="A12720" t="s">
        <v>12801</v>
      </c>
      <c r="B12720" t="s">
        <v>140</v>
      </c>
      <c r="C12720" s="2">
        <v>43275</v>
      </c>
      <c r="D12720" t="s">
        <v>29</v>
      </c>
      <c r="E12720">
        <v>2864</v>
      </c>
    </row>
    <row r="12721" spans="1:5" x14ac:dyDescent="0.55000000000000004">
      <c r="A12721" t="s">
        <v>12802</v>
      </c>
      <c r="B12721" t="s">
        <v>115</v>
      </c>
      <c r="C12721" s="2">
        <v>43451</v>
      </c>
      <c r="D12721" t="s">
        <v>26</v>
      </c>
      <c r="E12721">
        <v>776</v>
      </c>
    </row>
    <row r="12722" spans="1:5" x14ac:dyDescent="0.55000000000000004">
      <c r="A12722" t="s">
        <v>12803</v>
      </c>
      <c r="B12722" t="s">
        <v>84</v>
      </c>
      <c r="C12722" s="2">
        <v>44537</v>
      </c>
      <c r="D12722" t="s">
        <v>26</v>
      </c>
      <c r="E12722">
        <v>2034</v>
      </c>
    </row>
    <row r="12723" spans="1:5" x14ac:dyDescent="0.55000000000000004">
      <c r="A12723" t="s">
        <v>12804</v>
      </c>
      <c r="B12723" t="s">
        <v>35</v>
      </c>
      <c r="C12723" s="2">
        <v>44843</v>
      </c>
      <c r="D12723" t="s">
        <v>26</v>
      </c>
      <c r="E12723">
        <v>589</v>
      </c>
    </row>
    <row r="12724" spans="1:5" x14ac:dyDescent="0.55000000000000004">
      <c r="A12724" t="s">
        <v>12805</v>
      </c>
      <c r="B12724" t="s">
        <v>151</v>
      </c>
      <c r="C12724" s="2">
        <v>43563</v>
      </c>
      <c r="D12724" t="s">
        <v>29</v>
      </c>
      <c r="E12724">
        <v>952</v>
      </c>
    </row>
    <row r="12725" spans="1:5" x14ac:dyDescent="0.55000000000000004">
      <c r="A12725" t="s">
        <v>12806</v>
      </c>
      <c r="B12725" t="s">
        <v>41</v>
      </c>
      <c r="C12725" s="2">
        <v>44834</v>
      </c>
      <c r="D12725" t="s">
        <v>29</v>
      </c>
      <c r="E12725">
        <v>736</v>
      </c>
    </row>
    <row r="12726" spans="1:5" x14ac:dyDescent="0.55000000000000004">
      <c r="A12726" t="s">
        <v>12807</v>
      </c>
      <c r="B12726" t="s">
        <v>137</v>
      </c>
      <c r="C12726" s="2">
        <v>43880</v>
      </c>
      <c r="D12726" t="s">
        <v>29</v>
      </c>
      <c r="E12726">
        <v>2959</v>
      </c>
    </row>
    <row r="12727" spans="1:5" x14ac:dyDescent="0.55000000000000004">
      <c r="A12727" t="s">
        <v>12808</v>
      </c>
      <c r="B12727" t="s">
        <v>72</v>
      </c>
      <c r="C12727" s="2">
        <v>42941</v>
      </c>
      <c r="D12727" t="s">
        <v>29</v>
      </c>
      <c r="E12727">
        <v>758</v>
      </c>
    </row>
    <row r="12728" spans="1:5" x14ac:dyDescent="0.55000000000000004">
      <c r="A12728" t="s">
        <v>12809</v>
      </c>
      <c r="B12728" t="s">
        <v>142</v>
      </c>
      <c r="C12728" s="2">
        <v>43816</v>
      </c>
      <c r="D12728" t="s">
        <v>26</v>
      </c>
      <c r="E12728">
        <v>1970</v>
      </c>
    </row>
    <row r="12729" spans="1:5" x14ac:dyDescent="0.55000000000000004">
      <c r="A12729" t="s">
        <v>12810</v>
      </c>
      <c r="B12729" t="s">
        <v>84</v>
      </c>
      <c r="C12729" s="2">
        <v>43146</v>
      </c>
      <c r="D12729" t="s">
        <v>29</v>
      </c>
      <c r="E12729">
        <v>2660</v>
      </c>
    </row>
    <row r="12730" spans="1:5" x14ac:dyDescent="0.55000000000000004">
      <c r="A12730" t="s">
        <v>12811</v>
      </c>
      <c r="B12730" t="s">
        <v>67</v>
      </c>
      <c r="C12730" s="2">
        <v>45331</v>
      </c>
      <c r="D12730" t="s">
        <v>26</v>
      </c>
      <c r="E12730">
        <v>2529</v>
      </c>
    </row>
    <row r="12731" spans="1:5" x14ac:dyDescent="0.55000000000000004">
      <c r="A12731" t="s">
        <v>12812</v>
      </c>
      <c r="B12731" t="s">
        <v>41</v>
      </c>
      <c r="C12731" s="2">
        <v>44419</v>
      </c>
      <c r="D12731" t="s">
        <v>26</v>
      </c>
      <c r="E12731">
        <v>1402</v>
      </c>
    </row>
    <row r="12732" spans="1:5" x14ac:dyDescent="0.55000000000000004">
      <c r="A12732" t="s">
        <v>12813</v>
      </c>
      <c r="B12732" t="s">
        <v>142</v>
      </c>
      <c r="C12732" s="2">
        <v>44273</v>
      </c>
      <c r="D12732" t="s">
        <v>29</v>
      </c>
      <c r="E12732">
        <v>2320</v>
      </c>
    </row>
    <row r="12733" spans="1:5" x14ac:dyDescent="0.55000000000000004">
      <c r="A12733" t="s">
        <v>12814</v>
      </c>
      <c r="B12733" t="s">
        <v>72</v>
      </c>
      <c r="C12733" s="2">
        <v>44275</v>
      </c>
      <c r="D12733" t="s">
        <v>29</v>
      </c>
      <c r="E12733">
        <v>926</v>
      </c>
    </row>
    <row r="12734" spans="1:5" x14ac:dyDescent="0.55000000000000004">
      <c r="A12734" t="s">
        <v>12815</v>
      </c>
      <c r="B12734" t="s">
        <v>76</v>
      </c>
      <c r="C12734" s="2">
        <v>43474</v>
      </c>
      <c r="D12734" t="s">
        <v>29</v>
      </c>
      <c r="E12734">
        <v>1470</v>
      </c>
    </row>
    <row r="12735" spans="1:5" x14ac:dyDescent="0.55000000000000004">
      <c r="A12735" t="s">
        <v>12816</v>
      </c>
      <c r="B12735" t="s">
        <v>41</v>
      </c>
      <c r="C12735" s="2">
        <v>44837</v>
      </c>
      <c r="D12735" t="s">
        <v>29</v>
      </c>
      <c r="E12735">
        <v>2489</v>
      </c>
    </row>
    <row r="12736" spans="1:5" x14ac:dyDescent="0.55000000000000004">
      <c r="A12736" t="s">
        <v>12817</v>
      </c>
      <c r="B12736" t="s">
        <v>137</v>
      </c>
      <c r="C12736" s="2">
        <v>44382</v>
      </c>
      <c r="D12736" t="s">
        <v>29</v>
      </c>
      <c r="E12736">
        <v>1209</v>
      </c>
    </row>
    <row r="12737" spans="1:5" x14ac:dyDescent="0.55000000000000004">
      <c r="A12737" t="s">
        <v>12818</v>
      </c>
      <c r="B12737" t="s">
        <v>38</v>
      </c>
      <c r="C12737" s="2">
        <v>44204</v>
      </c>
      <c r="D12737" t="s">
        <v>29</v>
      </c>
      <c r="E12737">
        <v>863</v>
      </c>
    </row>
    <row r="12738" spans="1:5" x14ac:dyDescent="0.55000000000000004">
      <c r="A12738" t="s">
        <v>12819</v>
      </c>
      <c r="B12738" t="s">
        <v>15</v>
      </c>
      <c r="C12738" s="2">
        <v>44115</v>
      </c>
      <c r="D12738" t="s">
        <v>29</v>
      </c>
      <c r="E12738">
        <v>1858</v>
      </c>
    </row>
    <row r="12739" spans="1:5" x14ac:dyDescent="0.55000000000000004">
      <c r="A12739" t="s">
        <v>12820</v>
      </c>
      <c r="B12739" t="s">
        <v>72</v>
      </c>
      <c r="C12739" s="2">
        <v>43372</v>
      </c>
      <c r="D12739" t="s">
        <v>26</v>
      </c>
      <c r="E12739">
        <v>1729</v>
      </c>
    </row>
    <row r="12740" spans="1:5" x14ac:dyDescent="0.55000000000000004">
      <c r="A12740" t="s">
        <v>12821</v>
      </c>
      <c r="B12740" t="s">
        <v>38</v>
      </c>
      <c r="C12740" s="2">
        <v>43977</v>
      </c>
      <c r="D12740" t="s">
        <v>26</v>
      </c>
      <c r="E12740">
        <v>2387</v>
      </c>
    </row>
    <row r="12741" spans="1:5" x14ac:dyDescent="0.55000000000000004">
      <c r="A12741" t="s">
        <v>12822</v>
      </c>
      <c r="B12741" t="s">
        <v>72</v>
      </c>
      <c r="C12741" s="2">
        <v>43091</v>
      </c>
      <c r="D12741" t="s">
        <v>26</v>
      </c>
      <c r="E12741">
        <v>1313</v>
      </c>
    </row>
    <row r="12742" spans="1:5" x14ac:dyDescent="0.55000000000000004">
      <c r="A12742" t="s">
        <v>12823</v>
      </c>
      <c r="B12742" t="s">
        <v>115</v>
      </c>
      <c r="C12742" s="2">
        <v>43125</v>
      </c>
      <c r="D12742" t="s">
        <v>26</v>
      </c>
      <c r="E12742">
        <v>980</v>
      </c>
    </row>
    <row r="12743" spans="1:5" x14ac:dyDescent="0.55000000000000004">
      <c r="A12743" t="s">
        <v>12824</v>
      </c>
      <c r="B12743" t="s">
        <v>35</v>
      </c>
      <c r="C12743" s="2">
        <v>44255</v>
      </c>
      <c r="D12743" t="s">
        <v>26</v>
      </c>
      <c r="E12743">
        <v>437</v>
      </c>
    </row>
    <row r="12744" spans="1:5" x14ac:dyDescent="0.55000000000000004">
      <c r="A12744" t="s">
        <v>12825</v>
      </c>
      <c r="B12744" t="s">
        <v>14</v>
      </c>
      <c r="C12744" s="2">
        <v>43890</v>
      </c>
      <c r="D12744" t="s">
        <v>29</v>
      </c>
      <c r="E12744">
        <v>768</v>
      </c>
    </row>
    <row r="12745" spans="1:5" x14ac:dyDescent="0.55000000000000004">
      <c r="A12745" t="s">
        <v>12826</v>
      </c>
      <c r="B12745" t="s">
        <v>86</v>
      </c>
      <c r="C12745" s="2">
        <v>44483</v>
      </c>
      <c r="D12745" t="s">
        <v>26</v>
      </c>
      <c r="E12745">
        <v>729</v>
      </c>
    </row>
    <row r="12746" spans="1:5" x14ac:dyDescent="0.55000000000000004">
      <c r="A12746" t="s">
        <v>12827</v>
      </c>
      <c r="B12746" t="s">
        <v>76</v>
      </c>
      <c r="C12746" s="2">
        <v>44531</v>
      </c>
      <c r="D12746" t="s">
        <v>29</v>
      </c>
      <c r="E12746">
        <v>2362</v>
      </c>
    </row>
    <row r="12747" spans="1:5" x14ac:dyDescent="0.55000000000000004">
      <c r="A12747" t="s">
        <v>12828</v>
      </c>
      <c r="B12747" t="s">
        <v>84</v>
      </c>
      <c r="C12747" s="2">
        <v>43992</v>
      </c>
      <c r="D12747" t="s">
        <v>29</v>
      </c>
      <c r="E12747">
        <v>2914</v>
      </c>
    </row>
    <row r="12748" spans="1:5" x14ac:dyDescent="0.55000000000000004">
      <c r="A12748" t="s">
        <v>12829</v>
      </c>
      <c r="B12748" t="s">
        <v>78</v>
      </c>
      <c r="C12748" s="2">
        <v>43890</v>
      </c>
      <c r="D12748" t="s">
        <v>26</v>
      </c>
      <c r="E12748">
        <v>864</v>
      </c>
    </row>
    <row r="12749" spans="1:5" x14ac:dyDescent="0.55000000000000004">
      <c r="A12749" t="s">
        <v>12830</v>
      </c>
      <c r="B12749" t="s">
        <v>72</v>
      </c>
      <c r="C12749" s="2">
        <v>44410</v>
      </c>
      <c r="D12749" t="s">
        <v>26</v>
      </c>
      <c r="E12749">
        <v>742</v>
      </c>
    </row>
    <row r="12750" spans="1:5" x14ac:dyDescent="0.55000000000000004">
      <c r="A12750" t="s">
        <v>12831</v>
      </c>
      <c r="B12750" t="s">
        <v>63</v>
      </c>
      <c r="C12750" s="2">
        <v>43265</v>
      </c>
      <c r="D12750" t="s">
        <v>26</v>
      </c>
      <c r="E12750">
        <v>2284</v>
      </c>
    </row>
    <row r="12751" spans="1:5" x14ac:dyDescent="0.55000000000000004">
      <c r="A12751" t="s">
        <v>12832</v>
      </c>
      <c r="B12751" t="s">
        <v>96</v>
      </c>
      <c r="C12751" s="2">
        <v>44487</v>
      </c>
      <c r="D12751" t="s">
        <v>29</v>
      </c>
      <c r="E12751">
        <v>2883</v>
      </c>
    </row>
    <row r="12752" spans="1:5" x14ac:dyDescent="0.55000000000000004">
      <c r="A12752" t="s">
        <v>12833</v>
      </c>
      <c r="B12752" t="s">
        <v>76</v>
      </c>
      <c r="C12752" s="2">
        <v>45409</v>
      </c>
      <c r="D12752" t="s">
        <v>26</v>
      </c>
      <c r="E12752">
        <v>2947</v>
      </c>
    </row>
    <row r="12753" spans="1:5" x14ac:dyDescent="0.55000000000000004">
      <c r="A12753" t="s">
        <v>12834</v>
      </c>
      <c r="B12753" t="s">
        <v>23</v>
      </c>
      <c r="C12753" s="2">
        <v>44454</v>
      </c>
      <c r="D12753" t="s">
        <v>26</v>
      </c>
      <c r="E12753">
        <v>2395</v>
      </c>
    </row>
    <row r="12754" spans="1:5" x14ac:dyDescent="0.55000000000000004">
      <c r="A12754" t="s">
        <v>12835</v>
      </c>
      <c r="B12754" t="s">
        <v>175</v>
      </c>
      <c r="C12754" s="2">
        <v>43895</v>
      </c>
      <c r="D12754" t="s">
        <v>26</v>
      </c>
      <c r="E12754">
        <v>1966</v>
      </c>
    </row>
    <row r="12755" spans="1:5" x14ac:dyDescent="0.55000000000000004">
      <c r="A12755" t="s">
        <v>12836</v>
      </c>
      <c r="B12755" t="s">
        <v>14</v>
      </c>
      <c r="C12755" s="2">
        <v>43995</v>
      </c>
      <c r="D12755" t="s">
        <v>29</v>
      </c>
      <c r="E12755">
        <v>2301</v>
      </c>
    </row>
    <row r="12756" spans="1:5" x14ac:dyDescent="0.55000000000000004">
      <c r="A12756" t="s">
        <v>12837</v>
      </c>
      <c r="B12756" t="s">
        <v>94</v>
      </c>
      <c r="C12756" s="2">
        <v>45266</v>
      </c>
      <c r="D12756" t="s">
        <v>26</v>
      </c>
      <c r="E12756">
        <v>1964</v>
      </c>
    </row>
    <row r="12757" spans="1:5" x14ac:dyDescent="0.55000000000000004">
      <c r="A12757" t="s">
        <v>12838</v>
      </c>
      <c r="B12757" t="s">
        <v>32</v>
      </c>
      <c r="C12757" s="2">
        <v>44178</v>
      </c>
      <c r="D12757" t="s">
        <v>26</v>
      </c>
      <c r="E12757">
        <v>922</v>
      </c>
    </row>
    <row r="12758" spans="1:5" x14ac:dyDescent="0.55000000000000004">
      <c r="A12758" t="s">
        <v>12839</v>
      </c>
      <c r="B12758" t="s">
        <v>115</v>
      </c>
      <c r="C12758" s="2">
        <v>43785</v>
      </c>
      <c r="D12758" t="s">
        <v>26</v>
      </c>
      <c r="E12758">
        <v>575</v>
      </c>
    </row>
    <row r="12759" spans="1:5" x14ac:dyDescent="0.55000000000000004">
      <c r="A12759" t="s">
        <v>12840</v>
      </c>
      <c r="B12759" t="s">
        <v>101</v>
      </c>
      <c r="C12759" s="2">
        <v>44247</v>
      </c>
      <c r="D12759" t="s">
        <v>26</v>
      </c>
      <c r="E12759">
        <v>2112</v>
      </c>
    </row>
    <row r="12760" spans="1:5" x14ac:dyDescent="0.55000000000000004">
      <c r="A12760" t="s">
        <v>12841</v>
      </c>
      <c r="B12760" t="s">
        <v>14</v>
      </c>
      <c r="C12760" s="2">
        <v>44181</v>
      </c>
      <c r="D12760" t="s">
        <v>26</v>
      </c>
      <c r="E12760">
        <v>1828</v>
      </c>
    </row>
    <row r="12761" spans="1:5" x14ac:dyDescent="0.55000000000000004">
      <c r="A12761" t="s">
        <v>12842</v>
      </c>
      <c r="B12761" t="s">
        <v>74</v>
      </c>
      <c r="C12761" s="2">
        <v>43679</v>
      </c>
      <c r="D12761" t="s">
        <v>26</v>
      </c>
      <c r="E12761">
        <v>2558</v>
      </c>
    </row>
    <row r="12762" spans="1:5" x14ac:dyDescent="0.55000000000000004">
      <c r="A12762" t="s">
        <v>12843</v>
      </c>
      <c r="B12762" t="s">
        <v>63</v>
      </c>
      <c r="C12762" s="2">
        <v>43069</v>
      </c>
      <c r="D12762" t="s">
        <v>29</v>
      </c>
      <c r="E12762">
        <v>2225</v>
      </c>
    </row>
    <row r="12763" spans="1:5" x14ac:dyDescent="0.55000000000000004">
      <c r="A12763" t="s">
        <v>12844</v>
      </c>
      <c r="B12763" t="s">
        <v>156</v>
      </c>
      <c r="C12763" s="2">
        <v>43469</v>
      </c>
      <c r="D12763" t="s">
        <v>26</v>
      </c>
      <c r="E12763">
        <v>2213</v>
      </c>
    </row>
    <row r="12764" spans="1:5" x14ac:dyDescent="0.55000000000000004">
      <c r="A12764" t="s">
        <v>12845</v>
      </c>
      <c r="B12764" t="s">
        <v>14</v>
      </c>
      <c r="C12764" s="2">
        <v>43321</v>
      </c>
      <c r="D12764" t="s">
        <v>29</v>
      </c>
      <c r="E12764">
        <v>2613</v>
      </c>
    </row>
    <row r="12765" spans="1:5" x14ac:dyDescent="0.55000000000000004">
      <c r="A12765" t="s">
        <v>12846</v>
      </c>
      <c r="B12765" t="s">
        <v>84</v>
      </c>
      <c r="C12765" s="2">
        <v>44248</v>
      </c>
      <c r="D12765" t="s">
        <v>29</v>
      </c>
      <c r="E12765">
        <v>947</v>
      </c>
    </row>
    <row r="12766" spans="1:5" x14ac:dyDescent="0.55000000000000004">
      <c r="A12766" t="s">
        <v>12847</v>
      </c>
      <c r="B12766" t="s">
        <v>99</v>
      </c>
      <c r="C12766" s="2">
        <v>43971</v>
      </c>
      <c r="D12766" t="s">
        <v>26</v>
      </c>
      <c r="E12766">
        <v>914</v>
      </c>
    </row>
    <row r="12767" spans="1:5" x14ac:dyDescent="0.55000000000000004">
      <c r="A12767" t="s">
        <v>12848</v>
      </c>
      <c r="B12767" t="s">
        <v>137</v>
      </c>
      <c r="C12767" s="2">
        <v>44321</v>
      </c>
      <c r="D12767" t="s">
        <v>29</v>
      </c>
      <c r="E12767">
        <v>250</v>
      </c>
    </row>
    <row r="12768" spans="1:5" x14ac:dyDescent="0.55000000000000004">
      <c r="A12768" t="s">
        <v>12849</v>
      </c>
      <c r="B12768" t="s">
        <v>38</v>
      </c>
      <c r="C12768" s="2">
        <v>44343</v>
      </c>
      <c r="D12768" t="s">
        <v>29</v>
      </c>
      <c r="E12768">
        <v>1620</v>
      </c>
    </row>
    <row r="12769" spans="1:5" x14ac:dyDescent="0.55000000000000004">
      <c r="A12769" t="s">
        <v>12850</v>
      </c>
      <c r="B12769" t="s">
        <v>105</v>
      </c>
      <c r="C12769" s="2">
        <v>43544</v>
      </c>
      <c r="D12769" t="s">
        <v>29</v>
      </c>
      <c r="E12769">
        <v>1282</v>
      </c>
    </row>
    <row r="12770" spans="1:5" x14ac:dyDescent="0.55000000000000004">
      <c r="A12770" t="s">
        <v>12851</v>
      </c>
      <c r="B12770" t="s">
        <v>156</v>
      </c>
      <c r="C12770" s="2">
        <v>42980</v>
      </c>
      <c r="D12770" t="s">
        <v>29</v>
      </c>
      <c r="E12770">
        <v>1999</v>
      </c>
    </row>
    <row r="12771" spans="1:5" x14ac:dyDescent="0.55000000000000004">
      <c r="A12771" t="s">
        <v>12852</v>
      </c>
      <c r="B12771" t="s">
        <v>94</v>
      </c>
      <c r="C12771" s="2">
        <v>43528</v>
      </c>
      <c r="D12771" t="s">
        <v>26</v>
      </c>
      <c r="E12771">
        <v>1314</v>
      </c>
    </row>
    <row r="12772" spans="1:5" x14ac:dyDescent="0.55000000000000004">
      <c r="A12772" t="s">
        <v>12853</v>
      </c>
      <c r="B12772" t="s">
        <v>63</v>
      </c>
      <c r="C12772" s="2">
        <v>43646</v>
      </c>
      <c r="D12772" t="s">
        <v>29</v>
      </c>
      <c r="E12772">
        <v>2662</v>
      </c>
    </row>
    <row r="12773" spans="1:5" x14ac:dyDescent="0.55000000000000004">
      <c r="A12773" t="s">
        <v>12854</v>
      </c>
      <c r="B12773" t="s">
        <v>67</v>
      </c>
      <c r="C12773" s="2">
        <v>45590</v>
      </c>
      <c r="D12773" t="s">
        <v>26</v>
      </c>
      <c r="E12773">
        <v>837</v>
      </c>
    </row>
    <row r="12774" spans="1:5" x14ac:dyDescent="0.55000000000000004">
      <c r="A12774" t="s">
        <v>12855</v>
      </c>
      <c r="B12774" t="s">
        <v>84</v>
      </c>
      <c r="C12774" s="2">
        <v>44047</v>
      </c>
      <c r="D12774" t="s">
        <v>26</v>
      </c>
      <c r="E12774">
        <v>2732</v>
      </c>
    </row>
    <row r="12775" spans="1:5" x14ac:dyDescent="0.55000000000000004">
      <c r="A12775" t="s">
        <v>12856</v>
      </c>
      <c r="B12775" t="s">
        <v>115</v>
      </c>
      <c r="C12775" s="2">
        <v>44512</v>
      </c>
      <c r="D12775" t="s">
        <v>26</v>
      </c>
      <c r="E12775">
        <v>2735</v>
      </c>
    </row>
    <row r="12776" spans="1:5" x14ac:dyDescent="0.55000000000000004">
      <c r="A12776" t="s">
        <v>12857</v>
      </c>
      <c r="B12776" t="s">
        <v>99</v>
      </c>
      <c r="C12776" s="2">
        <v>44199</v>
      </c>
      <c r="D12776" t="s">
        <v>26</v>
      </c>
      <c r="E12776">
        <v>2119</v>
      </c>
    </row>
    <row r="12777" spans="1:5" x14ac:dyDescent="0.55000000000000004">
      <c r="A12777" t="s">
        <v>12858</v>
      </c>
      <c r="B12777" t="s">
        <v>111</v>
      </c>
      <c r="C12777" s="2">
        <v>43035</v>
      </c>
      <c r="D12777" t="s">
        <v>26</v>
      </c>
      <c r="E12777">
        <v>2986</v>
      </c>
    </row>
    <row r="12778" spans="1:5" x14ac:dyDescent="0.55000000000000004">
      <c r="A12778" t="s">
        <v>12859</v>
      </c>
      <c r="B12778" t="s">
        <v>99</v>
      </c>
      <c r="C12778" s="2">
        <v>44614</v>
      </c>
      <c r="D12778" t="s">
        <v>29</v>
      </c>
      <c r="E12778">
        <v>1971</v>
      </c>
    </row>
    <row r="12779" spans="1:5" x14ac:dyDescent="0.55000000000000004">
      <c r="A12779" t="s">
        <v>12860</v>
      </c>
      <c r="B12779" t="s">
        <v>23</v>
      </c>
      <c r="C12779" s="2">
        <v>44170</v>
      </c>
      <c r="D12779" t="s">
        <v>29</v>
      </c>
      <c r="E12779">
        <v>2111</v>
      </c>
    </row>
    <row r="12780" spans="1:5" x14ac:dyDescent="0.55000000000000004">
      <c r="A12780" t="s">
        <v>12861</v>
      </c>
      <c r="B12780" t="s">
        <v>96</v>
      </c>
      <c r="C12780" s="2">
        <v>44916</v>
      </c>
      <c r="D12780" t="s">
        <v>26</v>
      </c>
      <c r="E12780">
        <v>1902</v>
      </c>
    </row>
    <row r="12781" spans="1:5" x14ac:dyDescent="0.55000000000000004">
      <c r="A12781" t="s">
        <v>12862</v>
      </c>
      <c r="B12781" t="s">
        <v>74</v>
      </c>
      <c r="C12781" s="2">
        <v>43677</v>
      </c>
      <c r="D12781" t="s">
        <v>29</v>
      </c>
      <c r="E12781">
        <v>1207</v>
      </c>
    </row>
    <row r="12782" spans="1:5" x14ac:dyDescent="0.55000000000000004">
      <c r="A12782" t="s">
        <v>12863</v>
      </c>
      <c r="B12782" t="s">
        <v>115</v>
      </c>
      <c r="C12782" s="2">
        <v>43574</v>
      </c>
      <c r="D12782" t="s">
        <v>26</v>
      </c>
      <c r="E12782">
        <v>886</v>
      </c>
    </row>
    <row r="12783" spans="1:5" x14ac:dyDescent="0.55000000000000004">
      <c r="A12783" t="s">
        <v>12864</v>
      </c>
      <c r="B12783" t="s">
        <v>78</v>
      </c>
      <c r="C12783" s="2">
        <v>43602</v>
      </c>
      <c r="D12783" t="s">
        <v>29</v>
      </c>
      <c r="E12783">
        <v>66</v>
      </c>
    </row>
    <row r="12784" spans="1:5" x14ac:dyDescent="0.55000000000000004">
      <c r="A12784" t="s">
        <v>12865</v>
      </c>
      <c r="B12784" t="s">
        <v>101</v>
      </c>
      <c r="C12784" s="2">
        <v>43758</v>
      </c>
      <c r="D12784" t="s">
        <v>29</v>
      </c>
      <c r="E12784">
        <v>2789</v>
      </c>
    </row>
    <row r="12785" spans="1:5" x14ac:dyDescent="0.55000000000000004">
      <c r="A12785" t="s">
        <v>12866</v>
      </c>
      <c r="B12785" t="s">
        <v>94</v>
      </c>
      <c r="C12785" s="2">
        <v>45487</v>
      </c>
      <c r="D12785" t="s">
        <v>26</v>
      </c>
      <c r="E12785">
        <v>2640</v>
      </c>
    </row>
    <row r="12786" spans="1:5" x14ac:dyDescent="0.55000000000000004">
      <c r="A12786" t="s">
        <v>12867</v>
      </c>
      <c r="B12786" t="s">
        <v>94</v>
      </c>
      <c r="C12786" s="2">
        <v>45110</v>
      </c>
      <c r="D12786" t="s">
        <v>26</v>
      </c>
      <c r="E12786">
        <v>954</v>
      </c>
    </row>
    <row r="12787" spans="1:5" x14ac:dyDescent="0.55000000000000004">
      <c r="A12787" t="s">
        <v>12868</v>
      </c>
      <c r="B12787" t="s">
        <v>74</v>
      </c>
      <c r="C12787" s="2">
        <v>43121</v>
      </c>
      <c r="D12787" t="s">
        <v>26</v>
      </c>
      <c r="E12787">
        <v>2943</v>
      </c>
    </row>
    <row r="12788" spans="1:5" x14ac:dyDescent="0.55000000000000004">
      <c r="A12788" t="s">
        <v>12869</v>
      </c>
      <c r="B12788" t="s">
        <v>140</v>
      </c>
      <c r="C12788" s="2">
        <v>44344</v>
      </c>
      <c r="D12788" t="s">
        <v>26</v>
      </c>
      <c r="E12788">
        <v>427</v>
      </c>
    </row>
    <row r="12789" spans="1:5" x14ac:dyDescent="0.55000000000000004">
      <c r="A12789" t="s">
        <v>12870</v>
      </c>
      <c r="B12789" t="s">
        <v>23</v>
      </c>
      <c r="C12789" s="2">
        <v>44511</v>
      </c>
      <c r="D12789" t="s">
        <v>29</v>
      </c>
      <c r="E12789">
        <v>902</v>
      </c>
    </row>
    <row r="12790" spans="1:5" x14ac:dyDescent="0.55000000000000004">
      <c r="A12790" t="s">
        <v>12871</v>
      </c>
      <c r="B12790" t="s">
        <v>14</v>
      </c>
      <c r="C12790" s="2">
        <v>44135</v>
      </c>
      <c r="D12790" t="s">
        <v>26</v>
      </c>
      <c r="E12790">
        <v>2007</v>
      </c>
    </row>
    <row r="12791" spans="1:5" x14ac:dyDescent="0.55000000000000004">
      <c r="A12791" t="s">
        <v>12872</v>
      </c>
      <c r="B12791" t="s">
        <v>151</v>
      </c>
      <c r="C12791" s="2">
        <v>44404</v>
      </c>
      <c r="D12791" t="s">
        <v>26</v>
      </c>
      <c r="E12791">
        <v>779</v>
      </c>
    </row>
    <row r="12792" spans="1:5" x14ac:dyDescent="0.55000000000000004">
      <c r="A12792" t="s">
        <v>12873</v>
      </c>
      <c r="B12792" t="s">
        <v>84</v>
      </c>
      <c r="C12792" s="2">
        <v>44320</v>
      </c>
      <c r="D12792" t="s">
        <v>26</v>
      </c>
      <c r="E12792">
        <v>943</v>
      </c>
    </row>
    <row r="12793" spans="1:5" x14ac:dyDescent="0.55000000000000004">
      <c r="A12793" t="s">
        <v>12874</v>
      </c>
      <c r="B12793" t="s">
        <v>96</v>
      </c>
      <c r="C12793" s="2">
        <v>45484</v>
      </c>
      <c r="D12793" t="s">
        <v>26</v>
      </c>
      <c r="E12793">
        <v>1910</v>
      </c>
    </row>
    <row r="12794" spans="1:5" x14ac:dyDescent="0.55000000000000004">
      <c r="A12794" t="s">
        <v>12875</v>
      </c>
      <c r="B12794" t="s">
        <v>14</v>
      </c>
      <c r="C12794" s="2">
        <v>44502</v>
      </c>
      <c r="D12794" t="s">
        <v>26</v>
      </c>
      <c r="E12794">
        <v>1989</v>
      </c>
    </row>
    <row r="12795" spans="1:5" x14ac:dyDescent="0.55000000000000004">
      <c r="A12795" t="s">
        <v>12876</v>
      </c>
      <c r="B12795" t="s">
        <v>23</v>
      </c>
      <c r="C12795" s="2">
        <v>44263</v>
      </c>
      <c r="D12795" t="s">
        <v>26</v>
      </c>
      <c r="E12795">
        <v>1696</v>
      </c>
    </row>
    <row r="12796" spans="1:5" x14ac:dyDescent="0.55000000000000004">
      <c r="A12796" t="s">
        <v>12877</v>
      </c>
      <c r="B12796" t="s">
        <v>115</v>
      </c>
      <c r="C12796" s="2">
        <v>44019</v>
      </c>
      <c r="D12796" t="s">
        <v>26</v>
      </c>
      <c r="E12796">
        <v>208</v>
      </c>
    </row>
    <row r="12797" spans="1:5" x14ac:dyDescent="0.55000000000000004">
      <c r="A12797" t="s">
        <v>12878</v>
      </c>
      <c r="B12797" t="s">
        <v>94</v>
      </c>
      <c r="C12797" s="2">
        <v>43525</v>
      </c>
      <c r="D12797" t="s">
        <v>29</v>
      </c>
      <c r="E12797">
        <v>1519</v>
      </c>
    </row>
    <row r="12798" spans="1:5" x14ac:dyDescent="0.55000000000000004">
      <c r="A12798" t="s">
        <v>12879</v>
      </c>
      <c r="B12798" t="s">
        <v>67</v>
      </c>
      <c r="C12798" s="2">
        <v>43996</v>
      </c>
      <c r="D12798" t="s">
        <v>26</v>
      </c>
      <c r="E12798">
        <v>1953</v>
      </c>
    </row>
    <row r="12799" spans="1:5" x14ac:dyDescent="0.55000000000000004">
      <c r="A12799" t="s">
        <v>12880</v>
      </c>
      <c r="B12799" t="s">
        <v>72</v>
      </c>
      <c r="C12799" s="2">
        <v>43114</v>
      </c>
      <c r="D12799" t="s">
        <v>29</v>
      </c>
      <c r="E12799">
        <v>747</v>
      </c>
    </row>
    <row r="12800" spans="1:5" x14ac:dyDescent="0.55000000000000004">
      <c r="A12800" t="s">
        <v>12881</v>
      </c>
      <c r="B12800" t="s">
        <v>175</v>
      </c>
      <c r="C12800" s="2">
        <v>44573</v>
      </c>
      <c r="D12800" t="s">
        <v>29</v>
      </c>
      <c r="E12800">
        <v>2837</v>
      </c>
    </row>
    <row r="12801" spans="1:5" x14ac:dyDescent="0.55000000000000004">
      <c r="A12801" t="s">
        <v>12882</v>
      </c>
      <c r="B12801" t="s">
        <v>156</v>
      </c>
      <c r="C12801" s="2">
        <v>43177</v>
      </c>
      <c r="D12801" t="s">
        <v>29</v>
      </c>
      <c r="E12801">
        <v>1767</v>
      </c>
    </row>
    <row r="12802" spans="1:5" x14ac:dyDescent="0.55000000000000004">
      <c r="A12802" t="s">
        <v>12883</v>
      </c>
      <c r="B12802" t="s">
        <v>99</v>
      </c>
      <c r="C12802" s="2">
        <v>44571</v>
      </c>
      <c r="D12802" t="s">
        <v>29</v>
      </c>
      <c r="E12802">
        <v>998</v>
      </c>
    </row>
    <row r="12803" spans="1:5" x14ac:dyDescent="0.55000000000000004">
      <c r="A12803" t="s">
        <v>12884</v>
      </c>
      <c r="B12803" t="s">
        <v>72</v>
      </c>
      <c r="C12803" s="2">
        <v>43654</v>
      </c>
      <c r="D12803" t="s">
        <v>29</v>
      </c>
      <c r="E12803">
        <v>248</v>
      </c>
    </row>
    <row r="12804" spans="1:5" x14ac:dyDescent="0.55000000000000004">
      <c r="A12804" t="s">
        <v>12885</v>
      </c>
      <c r="B12804" t="s">
        <v>118</v>
      </c>
      <c r="C12804" s="2">
        <v>45205</v>
      </c>
      <c r="D12804" t="s">
        <v>29</v>
      </c>
      <c r="E12804">
        <v>550</v>
      </c>
    </row>
    <row r="12805" spans="1:5" x14ac:dyDescent="0.55000000000000004">
      <c r="A12805" t="s">
        <v>12886</v>
      </c>
      <c r="B12805" t="s">
        <v>23</v>
      </c>
      <c r="C12805" s="2">
        <v>43880</v>
      </c>
      <c r="D12805" t="s">
        <v>29</v>
      </c>
      <c r="E12805">
        <v>2934</v>
      </c>
    </row>
    <row r="12806" spans="1:5" x14ac:dyDescent="0.55000000000000004">
      <c r="A12806" t="s">
        <v>12887</v>
      </c>
      <c r="B12806" t="s">
        <v>94</v>
      </c>
      <c r="C12806" s="2">
        <v>44362</v>
      </c>
      <c r="D12806" t="s">
        <v>29</v>
      </c>
      <c r="E12806">
        <v>1806</v>
      </c>
    </row>
    <row r="12807" spans="1:5" x14ac:dyDescent="0.55000000000000004">
      <c r="A12807" t="s">
        <v>12888</v>
      </c>
      <c r="B12807" t="s">
        <v>32</v>
      </c>
      <c r="C12807" s="2">
        <v>44076</v>
      </c>
      <c r="D12807" t="s">
        <v>26</v>
      </c>
      <c r="E12807">
        <v>99</v>
      </c>
    </row>
    <row r="12808" spans="1:5" x14ac:dyDescent="0.55000000000000004">
      <c r="A12808" t="s">
        <v>12889</v>
      </c>
      <c r="B12808" t="s">
        <v>175</v>
      </c>
      <c r="C12808" s="2">
        <v>45310</v>
      </c>
      <c r="D12808" t="s">
        <v>26</v>
      </c>
      <c r="E12808">
        <v>2982</v>
      </c>
    </row>
    <row r="12809" spans="1:5" x14ac:dyDescent="0.55000000000000004">
      <c r="A12809" t="s">
        <v>12890</v>
      </c>
      <c r="B12809" t="s">
        <v>142</v>
      </c>
      <c r="C12809" s="2">
        <v>44189</v>
      </c>
      <c r="D12809" t="s">
        <v>29</v>
      </c>
      <c r="E12809">
        <v>1952</v>
      </c>
    </row>
    <row r="12810" spans="1:5" x14ac:dyDescent="0.55000000000000004">
      <c r="A12810" t="s">
        <v>12891</v>
      </c>
      <c r="B12810" t="s">
        <v>99</v>
      </c>
      <c r="C12810" s="2">
        <v>43558</v>
      </c>
      <c r="D12810" t="s">
        <v>26</v>
      </c>
      <c r="E12810">
        <v>1285</v>
      </c>
    </row>
    <row r="12811" spans="1:5" x14ac:dyDescent="0.55000000000000004">
      <c r="A12811" t="s">
        <v>12892</v>
      </c>
      <c r="B12811" t="s">
        <v>41</v>
      </c>
      <c r="C12811" s="2">
        <v>44488</v>
      </c>
      <c r="D12811" t="s">
        <v>26</v>
      </c>
      <c r="E12811">
        <v>2200</v>
      </c>
    </row>
    <row r="12812" spans="1:5" x14ac:dyDescent="0.55000000000000004">
      <c r="A12812" t="s">
        <v>12893</v>
      </c>
      <c r="B12812" t="s">
        <v>115</v>
      </c>
      <c r="C12812" s="2">
        <v>44081</v>
      </c>
      <c r="D12812" t="s">
        <v>29</v>
      </c>
      <c r="E12812">
        <v>2210</v>
      </c>
    </row>
    <row r="12813" spans="1:5" x14ac:dyDescent="0.55000000000000004">
      <c r="A12813" t="s">
        <v>12894</v>
      </c>
      <c r="B12813" t="s">
        <v>76</v>
      </c>
      <c r="C12813" s="2">
        <v>44543</v>
      </c>
      <c r="D12813" t="s">
        <v>29</v>
      </c>
      <c r="E12813">
        <v>1318</v>
      </c>
    </row>
    <row r="12814" spans="1:5" x14ac:dyDescent="0.55000000000000004">
      <c r="A12814" t="s">
        <v>12895</v>
      </c>
      <c r="B12814" t="s">
        <v>140</v>
      </c>
      <c r="C12814" s="2">
        <v>43585</v>
      </c>
      <c r="D12814" t="s">
        <v>29</v>
      </c>
      <c r="E12814">
        <v>2855</v>
      </c>
    </row>
    <row r="12815" spans="1:5" x14ac:dyDescent="0.55000000000000004">
      <c r="A12815" t="s">
        <v>12896</v>
      </c>
      <c r="B12815" t="s">
        <v>78</v>
      </c>
      <c r="C12815" s="2">
        <v>45672</v>
      </c>
      <c r="D12815" t="s">
        <v>26</v>
      </c>
      <c r="E12815">
        <v>2986</v>
      </c>
    </row>
    <row r="12816" spans="1:5" x14ac:dyDescent="0.55000000000000004">
      <c r="A12816" t="s">
        <v>12897</v>
      </c>
      <c r="B12816" t="s">
        <v>15</v>
      </c>
      <c r="C12816" s="2">
        <v>43456</v>
      </c>
      <c r="D12816" t="s">
        <v>29</v>
      </c>
      <c r="E12816">
        <v>759</v>
      </c>
    </row>
    <row r="12817" spans="1:5" x14ac:dyDescent="0.55000000000000004">
      <c r="A12817" t="s">
        <v>12898</v>
      </c>
      <c r="B12817" t="s">
        <v>142</v>
      </c>
      <c r="C12817" s="2">
        <v>43561</v>
      </c>
      <c r="D12817" t="s">
        <v>29</v>
      </c>
      <c r="E12817">
        <v>227</v>
      </c>
    </row>
    <row r="12818" spans="1:5" x14ac:dyDescent="0.55000000000000004">
      <c r="A12818" t="s">
        <v>12899</v>
      </c>
      <c r="B12818" t="s">
        <v>35</v>
      </c>
      <c r="C12818" s="2">
        <v>44571</v>
      </c>
      <c r="D12818" t="s">
        <v>26</v>
      </c>
      <c r="E12818">
        <v>1515</v>
      </c>
    </row>
    <row r="12819" spans="1:5" x14ac:dyDescent="0.55000000000000004">
      <c r="A12819" t="s">
        <v>12900</v>
      </c>
      <c r="B12819" t="s">
        <v>41</v>
      </c>
      <c r="C12819" s="2">
        <v>44498</v>
      </c>
      <c r="D12819" t="s">
        <v>29</v>
      </c>
      <c r="E12819">
        <v>1983</v>
      </c>
    </row>
    <row r="12820" spans="1:5" x14ac:dyDescent="0.55000000000000004">
      <c r="A12820" t="s">
        <v>12901</v>
      </c>
      <c r="B12820" t="s">
        <v>137</v>
      </c>
      <c r="C12820" s="2">
        <v>44615</v>
      </c>
      <c r="D12820" t="s">
        <v>26</v>
      </c>
      <c r="E12820">
        <v>2310</v>
      </c>
    </row>
    <row r="12821" spans="1:5" x14ac:dyDescent="0.55000000000000004">
      <c r="A12821" t="s">
        <v>12902</v>
      </c>
      <c r="B12821" t="s">
        <v>137</v>
      </c>
      <c r="C12821" s="2">
        <v>44179</v>
      </c>
      <c r="D12821" t="s">
        <v>26</v>
      </c>
      <c r="E12821">
        <v>479</v>
      </c>
    </row>
    <row r="12822" spans="1:5" x14ac:dyDescent="0.55000000000000004">
      <c r="A12822" t="s">
        <v>12903</v>
      </c>
      <c r="B12822" t="s">
        <v>78</v>
      </c>
      <c r="C12822" s="2">
        <v>45078</v>
      </c>
      <c r="D12822" t="s">
        <v>29</v>
      </c>
      <c r="E12822">
        <v>1294</v>
      </c>
    </row>
    <row r="12823" spans="1:5" x14ac:dyDescent="0.55000000000000004">
      <c r="A12823" t="s">
        <v>12904</v>
      </c>
      <c r="B12823" t="s">
        <v>32</v>
      </c>
      <c r="C12823" s="2">
        <v>44328</v>
      </c>
      <c r="D12823" t="s">
        <v>26</v>
      </c>
      <c r="E12823">
        <v>98</v>
      </c>
    </row>
    <row r="12824" spans="1:5" x14ac:dyDescent="0.55000000000000004">
      <c r="A12824" t="s">
        <v>12905</v>
      </c>
      <c r="B12824" t="s">
        <v>74</v>
      </c>
      <c r="C12824" s="2">
        <v>43375</v>
      </c>
      <c r="D12824" t="s">
        <v>29</v>
      </c>
      <c r="E12824">
        <v>2570</v>
      </c>
    </row>
    <row r="12825" spans="1:5" x14ac:dyDescent="0.55000000000000004">
      <c r="A12825" t="s">
        <v>12906</v>
      </c>
      <c r="B12825" t="s">
        <v>74</v>
      </c>
      <c r="C12825" s="2">
        <v>43537</v>
      </c>
      <c r="D12825" t="s">
        <v>26</v>
      </c>
      <c r="E12825">
        <v>1429</v>
      </c>
    </row>
    <row r="12826" spans="1:5" x14ac:dyDescent="0.55000000000000004">
      <c r="A12826" t="s">
        <v>12907</v>
      </c>
      <c r="B12826" t="s">
        <v>78</v>
      </c>
      <c r="C12826" s="2">
        <v>45673</v>
      </c>
      <c r="D12826" t="s">
        <v>26</v>
      </c>
      <c r="E12826">
        <v>1587</v>
      </c>
    </row>
    <row r="12827" spans="1:5" x14ac:dyDescent="0.55000000000000004">
      <c r="A12827" t="s">
        <v>12908</v>
      </c>
      <c r="B12827" t="s">
        <v>35</v>
      </c>
      <c r="C12827" s="2">
        <v>44811</v>
      </c>
      <c r="D12827" t="s">
        <v>26</v>
      </c>
      <c r="E12827">
        <v>2338</v>
      </c>
    </row>
    <row r="12828" spans="1:5" x14ac:dyDescent="0.55000000000000004">
      <c r="A12828" t="s">
        <v>12909</v>
      </c>
      <c r="B12828" t="s">
        <v>74</v>
      </c>
      <c r="C12828" s="2">
        <v>43438</v>
      </c>
      <c r="D12828" t="s">
        <v>29</v>
      </c>
      <c r="E12828">
        <v>1775</v>
      </c>
    </row>
    <row r="12829" spans="1:5" x14ac:dyDescent="0.55000000000000004">
      <c r="A12829" t="s">
        <v>12910</v>
      </c>
      <c r="B12829" t="s">
        <v>86</v>
      </c>
      <c r="C12829" s="2">
        <v>43550</v>
      </c>
      <c r="D12829" t="s">
        <v>29</v>
      </c>
      <c r="E12829">
        <v>22</v>
      </c>
    </row>
    <row r="12830" spans="1:5" x14ac:dyDescent="0.55000000000000004">
      <c r="A12830" t="s">
        <v>12911</v>
      </c>
      <c r="B12830" t="s">
        <v>142</v>
      </c>
      <c r="C12830" s="2">
        <v>42944</v>
      </c>
      <c r="D12830" t="s">
        <v>26</v>
      </c>
      <c r="E12830">
        <v>1203</v>
      </c>
    </row>
    <row r="12831" spans="1:5" x14ac:dyDescent="0.55000000000000004">
      <c r="A12831" t="s">
        <v>12912</v>
      </c>
      <c r="B12831" t="s">
        <v>142</v>
      </c>
      <c r="C12831" s="2">
        <v>42963</v>
      </c>
      <c r="D12831" t="s">
        <v>29</v>
      </c>
      <c r="E12831">
        <v>2921</v>
      </c>
    </row>
    <row r="12832" spans="1:5" x14ac:dyDescent="0.55000000000000004">
      <c r="A12832" t="s">
        <v>12913</v>
      </c>
      <c r="B12832" t="s">
        <v>140</v>
      </c>
      <c r="C12832" s="2">
        <v>43438</v>
      </c>
      <c r="D12832" t="s">
        <v>29</v>
      </c>
      <c r="E12832">
        <v>1031</v>
      </c>
    </row>
    <row r="12833" spans="1:5" x14ac:dyDescent="0.55000000000000004">
      <c r="A12833" t="s">
        <v>12914</v>
      </c>
      <c r="B12833" t="s">
        <v>32</v>
      </c>
      <c r="C12833" s="2">
        <v>44777</v>
      </c>
      <c r="D12833" t="s">
        <v>29</v>
      </c>
      <c r="E12833">
        <v>2164</v>
      </c>
    </row>
    <row r="12834" spans="1:5" x14ac:dyDescent="0.55000000000000004">
      <c r="A12834" t="s">
        <v>12915</v>
      </c>
      <c r="B12834" t="s">
        <v>137</v>
      </c>
      <c r="C12834" s="2">
        <v>44330</v>
      </c>
      <c r="D12834" t="s">
        <v>29</v>
      </c>
      <c r="E12834">
        <v>2997</v>
      </c>
    </row>
    <row r="12835" spans="1:5" x14ac:dyDescent="0.55000000000000004">
      <c r="A12835" t="s">
        <v>12916</v>
      </c>
      <c r="B12835" t="s">
        <v>99</v>
      </c>
      <c r="C12835" s="2">
        <v>45271</v>
      </c>
      <c r="D12835" t="s">
        <v>29</v>
      </c>
      <c r="E12835">
        <v>697</v>
      </c>
    </row>
    <row r="12836" spans="1:5" x14ac:dyDescent="0.55000000000000004">
      <c r="A12836" t="s">
        <v>12917</v>
      </c>
      <c r="B12836" t="s">
        <v>86</v>
      </c>
      <c r="C12836" s="2">
        <v>43749</v>
      </c>
      <c r="D12836" t="s">
        <v>26</v>
      </c>
      <c r="E12836">
        <v>1155</v>
      </c>
    </row>
    <row r="12837" spans="1:5" x14ac:dyDescent="0.55000000000000004">
      <c r="A12837" t="s">
        <v>12918</v>
      </c>
      <c r="B12837" t="s">
        <v>94</v>
      </c>
      <c r="C12837" s="2">
        <v>45725</v>
      </c>
      <c r="D12837" t="s">
        <v>26</v>
      </c>
      <c r="E12837">
        <v>1155</v>
      </c>
    </row>
    <row r="12838" spans="1:5" x14ac:dyDescent="0.55000000000000004">
      <c r="A12838" t="s">
        <v>12919</v>
      </c>
      <c r="B12838" t="s">
        <v>101</v>
      </c>
      <c r="C12838" s="2">
        <v>43787</v>
      </c>
      <c r="D12838" t="s">
        <v>26</v>
      </c>
      <c r="E12838">
        <v>1295</v>
      </c>
    </row>
    <row r="12839" spans="1:5" x14ac:dyDescent="0.55000000000000004">
      <c r="A12839" t="s">
        <v>12920</v>
      </c>
      <c r="B12839" t="s">
        <v>15</v>
      </c>
      <c r="C12839" s="2">
        <v>43781</v>
      </c>
      <c r="D12839" t="s">
        <v>26</v>
      </c>
      <c r="E12839">
        <v>340</v>
      </c>
    </row>
    <row r="12840" spans="1:5" x14ac:dyDescent="0.55000000000000004">
      <c r="A12840" t="s">
        <v>12921</v>
      </c>
      <c r="B12840" t="s">
        <v>151</v>
      </c>
      <c r="C12840" s="2">
        <v>44003</v>
      </c>
      <c r="D12840" t="s">
        <v>26</v>
      </c>
      <c r="E12840">
        <v>2853</v>
      </c>
    </row>
    <row r="12841" spans="1:5" x14ac:dyDescent="0.55000000000000004">
      <c r="A12841" t="s">
        <v>12922</v>
      </c>
      <c r="B12841" t="s">
        <v>96</v>
      </c>
      <c r="C12841" s="2">
        <v>44823</v>
      </c>
      <c r="D12841" t="s">
        <v>26</v>
      </c>
      <c r="E12841">
        <v>365</v>
      </c>
    </row>
    <row r="12842" spans="1:5" x14ac:dyDescent="0.55000000000000004">
      <c r="A12842" t="s">
        <v>12923</v>
      </c>
      <c r="B12842" t="s">
        <v>67</v>
      </c>
      <c r="C12842" s="2">
        <v>43925</v>
      </c>
      <c r="D12842" t="s">
        <v>26</v>
      </c>
      <c r="E12842">
        <v>2734</v>
      </c>
    </row>
    <row r="12843" spans="1:5" x14ac:dyDescent="0.55000000000000004">
      <c r="A12843" t="s">
        <v>12924</v>
      </c>
      <c r="B12843" t="s">
        <v>94</v>
      </c>
      <c r="C12843" s="2">
        <v>43903</v>
      </c>
      <c r="D12843" t="s">
        <v>29</v>
      </c>
      <c r="E12843">
        <v>1445</v>
      </c>
    </row>
    <row r="12844" spans="1:5" x14ac:dyDescent="0.55000000000000004">
      <c r="A12844" t="s">
        <v>12925</v>
      </c>
      <c r="B12844" t="s">
        <v>105</v>
      </c>
      <c r="C12844" s="2">
        <v>44312</v>
      </c>
      <c r="D12844" t="s">
        <v>29</v>
      </c>
      <c r="E12844">
        <v>245</v>
      </c>
    </row>
    <row r="12845" spans="1:5" x14ac:dyDescent="0.55000000000000004">
      <c r="A12845" t="s">
        <v>12926</v>
      </c>
      <c r="B12845" t="s">
        <v>99</v>
      </c>
      <c r="C12845" s="2">
        <v>43947</v>
      </c>
      <c r="D12845" t="s">
        <v>29</v>
      </c>
      <c r="E12845">
        <v>2318</v>
      </c>
    </row>
    <row r="12846" spans="1:5" x14ac:dyDescent="0.55000000000000004">
      <c r="A12846" t="s">
        <v>12927</v>
      </c>
      <c r="B12846" t="s">
        <v>111</v>
      </c>
      <c r="C12846" s="2">
        <v>44149</v>
      </c>
      <c r="D12846" t="s">
        <v>26</v>
      </c>
      <c r="E12846">
        <v>1262</v>
      </c>
    </row>
    <row r="12847" spans="1:5" x14ac:dyDescent="0.55000000000000004">
      <c r="A12847" t="s">
        <v>12928</v>
      </c>
      <c r="B12847" t="s">
        <v>63</v>
      </c>
      <c r="C12847" s="2">
        <v>43139</v>
      </c>
      <c r="D12847" t="s">
        <v>29</v>
      </c>
      <c r="E12847">
        <v>88</v>
      </c>
    </row>
    <row r="12848" spans="1:5" x14ac:dyDescent="0.55000000000000004">
      <c r="A12848" t="s">
        <v>12929</v>
      </c>
      <c r="B12848" t="s">
        <v>15</v>
      </c>
      <c r="C12848" s="2">
        <v>43061</v>
      </c>
      <c r="D12848" t="s">
        <v>29</v>
      </c>
      <c r="E12848">
        <v>1051</v>
      </c>
    </row>
    <row r="12849" spans="1:5" x14ac:dyDescent="0.55000000000000004">
      <c r="A12849" t="s">
        <v>12930</v>
      </c>
      <c r="B12849" t="s">
        <v>74</v>
      </c>
      <c r="C12849" s="2">
        <v>44211</v>
      </c>
      <c r="D12849" t="s">
        <v>29</v>
      </c>
      <c r="E12849">
        <v>2800</v>
      </c>
    </row>
    <row r="12850" spans="1:5" x14ac:dyDescent="0.55000000000000004">
      <c r="A12850" t="s">
        <v>12931</v>
      </c>
      <c r="B12850" t="s">
        <v>84</v>
      </c>
      <c r="C12850" s="2">
        <v>43902</v>
      </c>
      <c r="D12850" t="s">
        <v>29</v>
      </c>
      <c r="E12850">
        <v>2956</v>
      </c>
    </row>
    <row r="12851" spans="1:5" x14ac:dyDescent="0.55000000000000004">
      <c r="A12851" t="s">
        <v>12932</v>
      </c>
      <c r="B12851" t="s">
        <v>38</v>
      </c>
      <c r="C12851" s="2">
        <v>44624</v>
      </c>
      <c r="D12851" t="s">
        <v>26</v>
      </c>
      <c r="E12851">
        <v>415</v>
      </c>
    </row>
    <row r="12852" spans="1:5" x14ac:dyDescent="0.55000000000000004">
      <c r="A12852" t="s">
        <v>12933</v>
      </c>
      <c r="B12852" t="s">
        <v>35</v>
      </c>
      <c r="C12852" s="2">
        <v>43912</v>
      </c>
      <c r="D12852" t="s">
        <v>26</v>
      </c>
      <c r="E12852">
        <v>640</v>
      </c>
    </row>
    <row r="12853" spans="1:5" x14ac:dyDescent="0.55000000000000004">
      <c r="A12853" t="s">
        <v>12934</v>
      </c>
      <c r="B12853" t="s">
        <v>41</v>
      </c>
      <c r="C12853" s="2">
        <v>44337</v>
      </c>
      <c r="D12853" t="s">
        <v>26</v>
      </c>
      <c r="E12853">
        <v>2391</v>
      </c>
    </row>
    <row r="12854" spans="1:5" x14ac:dyDescent="0.55000000000000004">
      <c r="A12854" t="s">
        <v>12935</v>
      </c>
      <c r="B12854" t="s">
        <v>15</v>
      </c>
      <c r="C12854" s="2">
        <v>43740</v>
      </c>
      <c r="D12854" t="s">
        <v>29</v>
      </c>
      <c r="E12854">
        <v>237</v>
      </c>
    </row>
    <row r="12855" spans="1:5" x14ac:dyDescent="0.55000000000000004">
      <c r="A12855" t="s">
        <v>12936</v>
      </c>
      <c r="B12855" t="s">
        <v>105</v>
      </c>
      <c r="C12855" s="2">
        <v>43658</v>
      </c>
      <c r="D12855" t="s">
        <v>29</v>
      </c>
      <c r="E12855">
        <v>1539</v>
      </c>
    </row>
    <row r="12856" spans="1:5" x14ac:dyDescent="0.55000000000000004">
      <c r="A12856" t="s">
        <v>12937</v>
      </c>
      <c r="B12856" t="s">
        <v>115</v>
      </c>
      <c r="C12856" s="2">
        <v>43763</v>
      </c>
      <c r="D12856" t="s">
        <v>29</v>
      </c>
      <c r="E12856">
        <v>1198</v>
      </c>
    </row>
    <row r="12857" spans="1:5" x14ac:dyDescent="0.55000000000000004">
      <c r="A12857" t="s">
        <v>12938</v>
      </c>
      <c r="B12857" t="s">
        <v>84</v>
      </c>
      <c r="C12857" s="2">
        <v>43694</v>
      </c>
      <c r="D12857" t="s">
        <v>29</v>
      </c>
      <c r="E12857">
        <v>1158</v>
      </c>
    </row>
    <row r="12858" spans="1:5" x14ac:dyDescent="0.55000000000000004">
      <c r="A12858" t="s">
        <v>12939</v>
      </c>
      <c r="B12858" t="s">
        <v>86</v>
      </c>
      <c r="C12858" s="2">
        <v>44475</v>
      </c>
      <c r="D12858" t="s">
        <v>26</v>
      </c>
      <c r="E12858">
        <v>1029</v>
      </c>
    </row>
    <row r="12859" spans="1:5" x14ac:dyDescent="0.55000000000000004">
      <c r="A12859" t="s">
        <v>12940</v>
      </c>
      <c r="B12859" t="s">
        <v>38</v>
      </c>
      <c r="C12859" s="2">
        <v>44462</v>
      </c>
      <c r="D12859" t="s">
        <v>26</v>
      </c>
      <c r="E12859">
        <v>2720</v>
      </c>
    </row>
    <row r="12860" spans="1:5" x14ac:dyDescent="0.55000000000000004">
      <c r="A12860" t="s">
        <v>12941</v>
      </c>
      <c r="B12860" t="s">
        <v>99</v>
      </c>
      <c r="C12860" s="2">
        <v>44399</v>
      </c>
      <c r="D12860" t="s">
        <v>26</v>
      </c>
      <c r="E12860">
        <v>2082</v>
      </c>
    </row>
    <row r="12861" spans="1:5" x14ac:dyDescent="0.55000000000000004">
      <c r="A12861" t="s">
        <v>12942</v>
      </c>
      <c r="B12861" t="s">
        <v>94</v>
      </c>
      <c r="C12861" s="2">
        <v>43741</v>
      </c>
      <c r="D12861" t="s">
        <v>26</v>
      </c>
      <c r="E12861">
        <v>991</v>
      </c>
    </row>
    <row r="12862" spans="1:5" x14ac:dyDescent="0.55000000000000004">
      <c r="A12862" t="s">
        <v>12943</v>
      </c>
      <c r="B12862" t="s">
        <v>76</v>
      </c>
      <c r="C12862" s="2">
        <v>45284</v>
      </c>
      <c r="D12862" t="s">
        <v>26</v>
      </c>
      <c r="E12862">
        <v>1113</v>
      </c>
    </row>
    <row r="12863" spans="1:5" x14ac:dyDescent="0.55000000000000004">
      <c r="A12863" t="s">
        <v>12944</v>
      </c>
      <c r="B12863" t="s">
        <v>78</v>
      </c>
      <c r="C12863" s="2">
        <v>44608</v>
      </c>
      <c r="D12863" t="s">
        <v>29</v>
      </c>
      <c r="E12863">
        <v>2917</v>
      </c>
    </row>
    <row r="12864" spans="1:5" x14ac:dyDescent="0.55000000000000004">
      <c r="A12864" t="s">
        <v>12945</v>
      </c>
      <c r="B12864" t="s">
        <v>32</v>
      </c>
      <c r="C12864" s="2">
        <v>44152</v>
      </c>
      <c r="D12864" t="s">
        <v>29</v>
      </c>
      <c r="E12864">
        <v>2936</v>
      </c>
    </row>
    <row r="12865" spans="1:5" x14ac:dyDescent="0.55000000000000004">
      <c r="A12865" t="s">
        <v>12946</v>
      </c>
      <c r="B12865" t="s">
        <v>111</v>
      </c>
      <c r="C12865" s="2">
        <v>44093</v>
      </c>
      <c r="D12865" t="s">
        <v>26</v>
      </c>
      <c r="E12865">
        <v>2939</v>
      </c>
    </row>
    <row r="12866" spans="1:5" x14ac:dyDescent="0.55000000000000004">
      <c r="A12866" t="s">
        <v>12947</v>
      </c>
      <c r="B12866" t="s">
        <v>76</v>
      </c>
      <c r="C12866" s="2">
        <v>44556</v>
      </c>
      <c r="D12866" t="s">
        <v>29</v>
      </c>
      <c r="E12866">
        <v>2171</v>
      </c>
    </row>
    <row r="12867" spans="1:5" x14ac:dyDescent="0.55000000000000004">
      <c r="A12867" t="s">
        <v>12948</v>
      </c>
      <c r="B12867" t="s">
        <v>23</v>
      </c>
      <c r="C12867" s="2">
        <v>44457</v>
      </c>
      <c r="D12867" t="s">
        <v>26</v>
      </c>
      <c r="E12867">
        <v>20</v>
      </c>
    </row>
    <row r="12868" spans="1:5" x14ac:dyDescent="0.55000000000000004">
      <c r="A12868" t="s">
        <v>12949</v>
      </c>
      <c r="B12868" t="s">
        <v>23</v>
      </c>
      <c r="C12868" s="2">
        <v>44464</v>
      </c>
      <c r="D12868" t="s">
        <v>29</v>
      </c>
      <c r="E12868">
        <v>1391</v>
      </c>
    </row>
    <row r="12869" spans="1:5" x14ac:dyDescent="0.55000000000000004">
      <c r="A12869" t="s">
        <v>12950</v>
      </c>
      <c r="B12869" t="s">
        <v>76</v>
      </c>
      <c r="C12869" s="2">
        <v>45695</v>
      </c>
      <c r="D12869" t="s">
        <v>29</v>
      </c>
      <c r="E12869">
        <v>1659</v>
      </c>
    </row>
    <row r="12870" spans="1:5" x14ac:dyDescent="0.55000000000000004">
      <c r="A12870" t="s">
        <v>12951</v>
      </c>
      <c r="B12870" t="s">
        <v>63</v>
      </c>
      <c r="C12870" s="2">
        <v>44546</v>
      </c>
      <c r="D12870" t="s">
        <v>26</v>
      </c>
      <c r="E12870">
        <v>2639</v>
      </c>
    </row>
    <row r="12871" spans="1:5" x14ac:dyDescent="0.55000000000000004">
      <c r="A12871" t="s">
        <v>12952</v>
      </c>
      <c r="B12871" t="s">
        <v>78</v>
      </c>
      <c r="C12871" s="2">
        <v>44650</v>
      </c>
      <c r="D12871" t="s">
        <v>29</v>
      </c>
      <c r="E12871">
        <v>2294</v>
      </c>
    </row>
    <row r="12872" spans="1:5" x14ac:dyDescent="0.55000000000000004">
      <c r="A12872" t="s">
        <v>12953</v>
      </c>
      <c r="B12872" t="s">
        <v>14</v>
      </c>
      <c r="C12872" s="2">
        <v>44235</v>
      </c>
      <c r="D12872" t="s">
        <v>29</v>
      </c>
      <c r="E12872">
        <v>999</v>
      </c>
    </row>
    <row r="12873" spans="1:5" x14ac:dyDescent="0.55000000000000004">
      <c r="A12873" t="s">
        <v>12954</v>
      </c>
      <c r="B12873" t="s">
        <v>96</v>
      </c>
      <c r="C12873" s="2">
        <v>45093</v>
      </c>
      <c r="D12873" t="s">
        <v>29</v>
      </c>
      <c r="E12873">
        <v>1712</v>
      </c>
    </row>
    <row r="12874" spans="1:5" x14ac:dyDescent="0.55000000000000004">
      <c r="A12874" t="s">
        <v>12955</v>
      </c>
      <c r="B12874" t="s">
        <v>137</v>
      </c>
      <c r="C12874" s="2">
        <v>44509</v>
      </c>
      <c r="D12874" t="s">
        <v>29</v>
      </c>
      <c r="E12874">
        <v>842</v>
      </c>
    </row>
    <row r="12875" spans="1:5" x14ac:dyDescent="0.55000000000000004">
      <c r="A12875" t="s">
        <v>12956</v>
      </c>
      <c r="B12875" t="s">
        <v>15</v>
      </c>
      <c r="C12875" s="2">
        <v>44004</v>
      </c>
      <c r="D12875" t="s">
        <v>26</v>
      </c>
      <c r="E12875">
        <v>1317</v>
      </c>
    </row>
    <row r="12876" spans="1:5" x14ac:dyDescent="0.55000000000000004">
      <c r="A12876" t="s">
        <v>12957</v>
      </c>
      <c r="B12876" t="s">
        <v>63</v>
      </c>
      <c r="C12876" s="2">
        <v>43478</v>
      </c>
      <c r="D12876" t="s">
        <v>26</v>
      </c>
      <c r="E12876">
        <v>1436</v>
      </c>
    </row>
    <row r="12877" spans="1:5" x14ac:dyDescent="0.55000000000000004">
      <c r="A12877" t="s">
        <v>12958</v>
      </c>
      <c r="B12877" t="s">
        <v>115</v>
      </c>
      <c r="C12877" s="2">
        <v>44069</v>
      </c>
      <c r="D12877" t="s">
        <v>26</v>
      </c>
      <c r="E12877">
        <v>2203</v>
      </c>
    </row>
    <row r="12878" spans="1:5" x14ac:dyDescent="0.55000000000000004">
      <c r="A12878" t="s">
        <v>12959</v>
      </c>
      <c r="B12878" t="s">
        <v>15</v>
      </c>
      <c r="C12878" s="2">
        <v>43168</v>
      </c>
      <c r="D12878" t="s">
        <v>29</v>
      </c>
      <c r="E12878">
        <v>519</v>
      </c>
    </row>
    <row r="12879" spans="1:5" x14ac:dyDescent="0.55000000000000004">
      <c r="A12879" t="s">
        <v>12960</v>
      </c>
      <c r="B12879" t="s">
        <v>76</v>
      </c>
      <c r="C12879" s="2">
        <v>45670</v>
      </c>
      <c r="D12879" t="s">
        <v>29</v>
      </c>
      <c r="E12879">
        <v>1255</v>
      </c>
    </row>
    <row r="12880" spans="1:5" x14ac:dyDescent="0.55000000000000004">
      <c r="A12880" t="s">
        <v>12961</v>
      </c>
      <c r="B12880" t="s">
        <v>15</v>
      </c>
      <c r="C12880" s="2">
        <v>43808</v>
      </c>
      <c r="D12880" t="s">
        <v>29</v>
      </c>
      <c r="E12880">
        <v>1771</v>
      </c>
    </row>
    <row r="12881" spans="1:5" x14ac:dyDescent="0.55000000000000004">
      <c r="A12881" t="s">
        <v>12962</v>
      </c>
      <c r="B12881" t="s">
        <v>140</v>
      </c>
      <c r="C12881" s="2">
        <v>44338</v>
      </c>
      <c r="D12881" t="s">
        <v>29</v>
      </c>
      <c r="E12881">
        <v>234</v>
      </c>
    </row>
    <row r="12882" spans="1:5" x14ac:dyDescent="0.55000000000000004">
      <c r="A12882" t="s">
        <v>12963</v>
      </c>
      <c r="B12882" t="s">
        <v>41</v>
      </c>
      <c r="C12882" s="2">
        <v>43998</v>
      </c>
      <c r="D12882" t="s">
        <v>26</v>
      </c>
      <c r="E12882">
        <v>2463</v>
      </c>
    </row>
    <row r="12883" spans="1:5" x14ac:dyDescent="0.55000000000000004">
      <c r="A12883" t="s">
        <v>12964</v>
      </c>
      <c r="B12883" t="s">
        <v>151</v>
      </c>
      <c r="C12883" s="2">
        <v>43664</v>
      </c>
      <c r="D12883" t="s">
        <v>26</v>
      </c>
      <c r="E12883">
        <v>1558</v>
      </c>
    </row>
    <row r="12884" spans="1:5" x14ac:dyDescent="0.55000000000000004">
      <c r="A12884" t="s">
        <v>12965</v>
      </c>
      <c r="B12884" t="s">
        <v>175</v>
      </c>
      <c r="C12884" s="2">
        <v>44502</v>
      </c>
      <c r="D12884" t="s">
        <v>26</v>
      </c>
      <c r="E12884">
        <v>1402</v>
      </c>
    </row>
    <row r="12885" spans="1:5" x14ac:dyDescent="0.55000000000000004">
      <c r="A12885" t="s">
        <v>12966</v>
      </c>
      <c r="B12885" t="s">
        <v>23</v>
      </c>
      <c r="C12885" s="2">
        <v>44262</v>
      </c>
      <c r="D12885" t="s">
        <v>26</v>
      </c>
      <c r="E12885">
        <v>1836</v>
      </c>
    </row>
    <row r="12886" spans="1:5" x14ac:dyDescent="0.55000000000000004">
      <c r="A12886" t="s">
        <v>12967</v>
      </c>
      <c r="B12886" t="s">
        <v>140</v>
      </c>
      <c r="C12886" s="2">
        <v>44103</v>
      </c>
      <c r="D12886" t="s">
        <v>29</v>
      </c>
      <c r="E12886">
        <v>63</v>
      </c>
    </row>
    <row r="12887" spans="1:5" x14ac:dyDescent="0.55000000000000004">
      <c r="A12887" t="s">
        <v>12968</v>
      </c>
      <c r="B12887" t="s">
        <v>67</v>
      </c>
      <c r="C12887" s="2">
        <v>44920</v>
      </c>
      <c r="D12887" t="s">
        <v>29</v>
      </c>
      <c r="E12887">
        <v>1832</v>
      </c>
    </row>
    <row r="12888" spans="1:5" x14ac:dyDescent="0.55000000000000004">
      <c r="A12888" t="s">
        <v>12969</v>
      </c>
      <c r="B12888" t="s">
        <v>111</v>
      </c>
      <c r="C12888" s="2">
        <v>44094</v>
      </c>
      <c r="D12888" t="s">
        <v>26</v>
      </c>
      <c r="E12888">
        <v>107</v>
      </c>
    </row>
    <row r="12889" spans="1:5" x14ac:dyDescent="0.55000000000000004">
      <c r="A12889" t="s">
        <v>12970</v>
      </c>
      <c r="B12889" t="s">
        <v>35</v>
      </c>
      <c r="C12889" s="2">
        <v>44598</v>
      </c>
      <c r="D12889" t="s">
        <v>29</v>
      </c>
      <c r="E12889">
        <v>870</v>
      </c>
    </row>
    <row r="12890" spans="1:5" x14ac:dyDescent="0.55000000000000004">
      <c r="A12890" t="s">
        <v>12971</v>
      </c>
      <c r="B12890" t="s">
        <v>137</v>
      </c>
      <c r="C12890" s="2">
        <v>45168</v>
      </c>
      <c r="D12890" t="s">
        <v>29</v>
      </c>
      <c r="E12890">
        <v>190</v>
      </c>
    </row>
    <row r="12891" spans="1:5" x14ac:dyDescent="0.55000000000000004">
      <c r="A12891" t="s">
        <v>12972</v>
      </c>
      <c r="B12891" t="s">
        <v>38</v>
      </c>
      <c r="C12891" s="2">
        <v>44451</v>
      </c>
      <c r="D12891" t="s">
        <v>29</v>
      </c>
      <c r="E12891">
        <v>1824</v>
      </c>
    </row>
    <row r="12892" spans="1:5" x14ac:dyDescent="0.55000000000000004">
      <c r="A12892" t="s">
        <v>12973</v>
      </c>
      <c r="B12892" t="s">
        <v>96</v>
      </c>
      <c r="C12892" s="2">
        <v>45437</v>
      </c>
      <c r="D12892" t="s">
        <v>26</v>
      </c>
      <c r="E12892">
        <v>1112</v>
      </c>
    </row>
    <row r="12893" spans="1:5" x14ac:dyDescent="0.55000000000000004">
      <c r="A12893" t="s">
        <v>12974</v>
      </c>
      <c r="B12893" t="s">
        <v>142</v>
      </c>
      <c r="C12893" s="2">
        <v>43644</v>
      </c>
      <c r="D12893" t="s">
        <v>29</v>
      </c>
      <c r="E12893">
        <v>1917</v>
      </c>
    </row>
    <row r="12894" spans="1:5" x14ac:dyDescent="0.55000000000000004">
      <c r="A12894" t="s">
        <v>12975</v>
      </c>
      <c r="B12894" t="s">
        <v>142</v>
      </c>
      <c r="C12894" s="2">
        <v>43193</v>
      </c>
      <c r="D12894" t="s">
        <v>29</v>
      </c>
      <c r="E12894">
        <v>74</v>
      </c>
    </row>
    <row r="12895" spans="1:5" x14ac:dyDescent="0.55000000000000004">
      <c r="A12895" t="s">
        <v>12976</v>
      </c>
      <c r="B12895" t="s">
        <v>41</v>
      </c>
      <c r="C12895" s="2">
        <v>44006</v>
      </c>
      <c r="D12895" t="s">
        <v>29</v>
      </c>
      <c r="E12895">
        <v>1509</v>
      </c>
    </row>
    <row r="12896" spans="1:5" x14ac:dyDescent="0.55000000000000004">
      <c r="A12896" t="s">
        <v>12977</v>
      </c>
      <c r="B12896" t="s">
        <v>156</v>
      </c>
      <c r="C12896" s="2">
        <v>43441</v>
      </c>
      <c r="D12896" t="s">
        <v>29</v>
      </c>
      <c r="E12896">
        <v>146</v>
      </c>
    </row>
    <row r="12897" spans="1:5" x14ac:dyDescent="0.55000000000000004">
      <c r="A12897" t="s">
        <v>12978</v>
      </c>
      <c r="B12897" t="s">
        <v>35</v>
      </c>
      <c r="C12897" s="2">
        <v>44487</v>
      </c>
      <c r="D12897" t="s">
        <v>29</v>
      </c>
      <c r="E12897">
        <v>1326</v>
      </c>
    </row>
    <row r="12898" spans="1:5" x14ac:dyDescent="0.55000000000000004">
      <c r="A12898" t="s">
        <v>12979</v>
      </c>
      <c r="B12898" t="s">
        <v>72</v>
      </c>
      <c r="C12898" s="2">
        <v>43675</v>
      </c>
      <c r="D12898" t="s">
        <v>29</v>
      </c>
      <c r="E12898">
        <v>2580</v>
      </c>
    </row>
    <row r="12899" spans="1:5" x14ac:dyDescent="0.55000000000000004">
      <c r="A12899" t="s">
        <v>12980</v>
      </c>
      <c r="B12899" t="s">
        <v>151</v>
      </c>
      <c r="C12899" s="2">
        <v>43921</v>
      </c>
      <c r="D12899" t="s">
        <v>29</v>
      </c>
      <c r="E12899">
        <v>1094</v>
      </c>
    </row>
    <row r="12900" spans="1:5" x14ac:dyDescent="0.55000000000000004">
      <c r="A12900" t="s">
        <v>12981</v>
      </c>
      <c r="B12900" t="s">
        <v>78</v>
      </c>
      <c r="C12900" s="2">
        <v>45717</v>
      </c>
      <c r="D12900" t="s">
        <v>29</v>
      </c>
      <c r="E12900">
        <v>1462</v>
      </c>
    </row>
    <row r="12901" spans="1:5" x14ac:dyDescent="0.55000000000000004">
      <c r="A12901" t="s">
        <v>12982</v>
      </c>
      <c r="B12901" t="s">
        <v>111</v>
      </c>
      <c r="C12901" s="2">
        <v>44417</v>
      </c>
      <c r="D12901" t="s">
        <v>29</v>
      </c>
      <c r="E12901">
        <v>2906</v>
      </c>
    </row>
    <row r="12902" spans="1:5" x14ac:dyDescent="0.55000000000000004">
      <c r="A12902" t="s">
        <v>12983</v>
      </c>
      <c r="B12902" t="s">
        <v>38</v>
      </c>
      <c r="C12902" s="2">
        <v>44800</v>
      </c>
      <c r="D12902" t="s">
        <v>29</v>
      </c>
      <c r="E12902">
        <v>2757</v>
      </c>
    </row>
    <row r="12903" spans="1:5" x14ac:dyDescent="0.55000000000000004">
      <c r="A12903" t="s">
        <v>12984</v>
      </c>
      <c r="B12903" t="s">
        <v>140</v>
      </c>
      <c r="C12903" s="2">
        <v>43348</v>
      </c>
      <c r="D12903" t="s">
        <v>26</v>
      </c>
      <c r="E12903">
        <v>1385</v>
      </c>
    </row>
    <row r="12904" spans="1:5" x14ac:dyDescent="0.55000000000000004">
      <c r="A12904" t="s">
        <v>12985</v>
      </c>
      <c r="B12904" t="s">
        <v>41</v>
      </c>
      <c r="C12904" s="2">
        <v>44387</v>
      </c>
      <c r="D12904" t="s">
        <v>26</v>
      </c>
      <c r="E12904">
        <v>13</v>
      </c>
    </row>
    <row r="12905" spans="1:5" x14ac:dyDescent="0.55000000000000004">
      <c r="A12905" t="s">
        <v>12986</v>
      </c>
      <c r="B12905" t="s">
        <v>41</v>
      </c>
      <c r="C12905" s="2">
        <v>44514</v>
      </c>
      <c r="D12905" t="s">
        <v>26</v>
      </c>
      <c r="E12905">
        <v>2315</v>
      </c>
    </row>
    <row r="12906" spans="1:5" x14ac:dyDescent="0.55000000000000004">
      <c r="A12906" t="s">
        <v>12987</v>
      </c>
      <c r="B12906" t="s">
        <v>94</v>
      </c>
      <c r="C12906" s="2">
        <v>44864</v>
      </c>
      <c r="D12906" t="s">
        <v>26</v>
      </c>
      <c r="E12906">
        <v>40</v>
      </c>
    </row>
    <row r="12907" spans="1:5" x14ac:dyDescent="0.55000000000000004">
      <c r="A12907" t="s">
        <v>12988</v>
      </c>
      <c r="B12907" t="s">
        <v>38</v>
      </c>
      <c r="C12907" s="2">
        <v>44751</v>
      </c>
      <c r="D12907" t="s">
        <v>26</v>
      </c>
      <c r="E12907">
        <v>1926</v>
      </c>
    </row>
    <row r="12908" spans="1:5" x14ac:dyDescent="0.55000000000000004">
      <c r="A12908" t="s">
        <v>12989</v>
      </c>
      <c r="B12908" t="s">
        <v>78</v>
      </c>
      <c r="C12908" s="2">
        <v>45391</v>
      </c>
      <c r="D12908" t="s">
        <v>26</v>
      </c>
      <c r="E12908">
        <v>2162</v>
      </c>
    </row>
    <row r="12909" spans="1:5" x14ac:dyDescent="0.55000000000000004">
      <c r="A12909" t="s">
        <v>12990</v>
      </c>
      <c r="B12909" t="s">
        <v>35</v>
      </c>
      <c r="C12909" s="2">
        <v>44123</v>
      </c>
      <c r="D12909" t="s">
        <v>29</v>
      </c>
      <c r="E12909">
        <v>1593</v>
      </c>
    </row>
    <row r="12910" spans="1:5" x14ac:dyDescent="0.55000000000000004">
      <c r="A12910" t="s">
        <v>12991</v>
      </c>
      <c r="B12910" t="s">
        <v>23</v>
      </c>
      <c r="C12910" s="2">
        <v>44500</v>
      </c>
      <c r="D12910" t="s">
        <v>29</v>
      </c>
      <c r="E12910">
        <v>246</v>
      </c>
    </row>
    <row r="12911" spans="1:5" x14ac:dyDescent="0.55000000000000004">
      <c r="A12911" t="s">
        <v>12992</v>
      </c>
      <c r="B12911" t="s">
        <v>41</v>
      </c>
      <c r="C12911" s="2">
        <v>44389</v>
      </c>
      <c r="D12911" t="s">
        <v>26</v>
      </c>
      <c r="E12911">
        <v>2642</v>
      </c>
    </row>
    <row r="12912" spans="1:5" x14ac:dyDescent="0.55000000000000004">
      <c r="A12912" t="s">
        <v>12993</v>
      </c>
      <c r="B12912" t="s">
        <v>140</v>
      </c>
      <c r="C12912" s="2">
        <v>43742</v>
      </c>
      <c r="D12912" t="s">
        <v>26</v>
      </c>
      <c r="E12912">
        <v>961</v>
      </c>
    </row>
    <row r="12913" spans="1:5" x14ac:dyDescent="0.55000000000000004">
      <c r="A12913" t="s">
        <v>12994</v>
      </c>
      <c r="B12913" t="s">
        <v>140</v>
      </c>
      <c r="C12913" s="2">
        <v>43784</v>
      </c>
      <c r="D12913" t="s">
        <v>26</v>
      </c>
      <c r="E12913">
        <v>2605</v>
      </c>
    </row>
    <row r="12914" spans="1:5" x14ac:dyDescent="0.55000000000000004">
      <c r="A12914" t="s">
        <v>12995</v>
      </c>
      <c r="B12914" t="s">
        <v>105</v>
      </c>
      <c r="C12914" s="2">
        <v>44510</v>
      </c>
      <c r="D12914" t="s">
        <v>29</v>
      </c>
      <c r="E12914">
        <v>1782</v>
      </c>
    </row>
    <row r="12915" spans="1:5" x14ac:dyDescent="0.55000000000000004">
      <c r="A12915" t="s">
        <v>12996</v>
      </c>
      <c r="B12915" t="s">
        <v>38</v>
      </c>
      <c r="C12915" s="2">
        <v>44458</v>
      </c>
      <c r="D12915" t="s">
        <v>29</v>
      </c>
      <c r="E12915">
        <v>2215</v>
      </c>
    </row>
    <row r="12916" spans="1:5" x14ac:dyDescent="0.55000000000000004">
      <c r="A12916" t="s">
        <v>12997</v>
      </c>
      <c r="B12916" t="s">
        <v>105</v>
      </c>
      <c r="C12916" s="2">
        <v>44230</v>
      </c>
      <c r="D12916" t="s">
        <v>29</v>
      </c>
      <c r="E12916">
        <v>805</v>
      </c>
    </row>
    <row r="12917" spans="1:5" x14ac:dyDescent="0.55000000000000004">
      <c r="A12917" t="s">
        <v>12998</v>
      </c>
      <c r="B12917" t="s">
        <v>41</v>
      </c>
      <c r="C12917" s="2">
        <v>44569</v>
      </c>
      <c r="D12917" t="s">
        <v>26</v>
      </c>
      <c r="E12917">
        <v>231</v>
      </c>
    </row>
    <row r="12918" spans="1:5" x14ac:dyDescent="0.55000000000000004">
      <c r="A12918" t="s">
        <v>12999</v>
      </c>
      <c r="B12918" t="s">
        <v>96</v>
      </c>
      <c r="C12918" s="2">
        <v>45096</v>
      </c>
      <c r="D12918" t="s">
        <v>26</v>
      </c>
      <c r="E12918">
        <v>1770</v>
      </c>
    </row>
    <row r="12919" spans="1:5" x14ac:dyDescent="0.55000000000000004">
      <c r="A12919" t="s">
        <v>13000</v>
      </c>
      <c r="B12919" t="s">
        <v>86</v>
      </c>
      <c r="C12919" s="2">
        <v>43375</v>
      </c>
      <c r="D12919" t="s">
        <v>29</v>
      </c>
      <c r="E12919">
        <v>2030</v>
      </c>
    </row>
    <row r="12920" spans="1:5" x14ac:dyDescent="0.55000000000000004">
      <c r="A12920" t="s">
        <v>13001</v>
      </c>
      <c r="B12920" t="s">
        <v>76</v>
      </c>
      <c r="C12920" s="2">
        <v>45378</v>
      </c>
      <c r="D12920" t="s">
        <v>29</v>
      </c>
      <c r="E12920">
        <v>571</v>
      </c>
    </row>
    <row r="12921" spans="1:5" x14ac:dyDescent="0.55000000000000004">
      <c r="A12921" t="s">
        <v>13002</v>
      </c>
      <c r="B12921" t="s">
        <v>84</v>
      </c>
      <c r="C12921" s="2">
        <v>43922</v>
      </c>
      <c r="D12921" t="s">
        <v>26</v>
      </c>
      <c r="E12921">
        <v>1720</v>
      </c>
    </row>
    <row r="12922" spans="1:5" x14ac:dyDescent="0.55000000000000004">
      <c r="A12922" t="s">
        <v>13003</v>
      </c>
      <c r="B12922" t="s">
        <v>156</v>
      </c>
      <c r="C12922" s="2">
        <v>44072</v>
      </c>
      <c r="D12922" t="s">
        <v>26</v>
      </c>
      <c r="E12922">
        <v>2401</v>
      </c>
    </row>
    <row r="12923" spans="1:5" x14ac:dyDescent="0.55000000000000004">
      <c r="A12923" t="s">
        <v>13004</v>
      </c>
      <c r="B12923" t="s">
        <v>115</v>
      </c>
      <c r="C12923" s="2">
        <v>43714</v>
      </c>
      <c r="D12923" t="s">
        <v>26</v>
      </c>
      <c r="E12923">
        <v>2786</v>
      </c>
    </row>
    <row r="12924" spans="1:5" x14ac:dyDescent="0.55000000000000004">
      <c r="A12924" t="s">
        <v>13005</v>
      </c>
      <c r="B12924" t="s">
        <v>140</v>
      </c>
      <c r="C12924" s="2">
        <v>44108</v>
      </c>
      <c r="D12924" t="s">
        <v>29</v>
      </c>
      <c r="E12924">
        <v>88</v>
      </c>
    </row>
    <row r="12925" spans="1:5" x14ac:dyDescent="0.55000000000000004">
      <c r="A12925" t="s">
        <v>13006</v>
      </c>
      <c r="B12925" t="s">
        <v>76</v>
      </c>
      <c r="C12925" s="2">
        <v>45394</v>
      </c>
      <c r="D12925" t="s">
        <v>26</v>
      </c>
      <c r="E12925">
        <v>1405</v>
      </c>
    </row>
    <row r="12926" spans="1:5" x14ac:dyDescent="0.55000000000000004">
      <c r="A12926" t="s">
        <v>13007</v>
      </c>
      <c r="B12926" t="s">
        <v>32</v>
      </c>
      <c r="C12926" s="2">
        <v>44191</v>
      </c>
      <c r="D12926" t="s">
        <v>29</v>
      </c>
      <c r="E12926">
        <v>147</v>
      </c>
    </row>
    <row r="12927" spans="1:5" x14ac:dyDescent="0.55000000000000004">
      <c r="A12927" t="s">
        <v>13008</v>
      </c>
      <c r="B12927" t="s">
        <v>115</v>
      </c>
      <c r="C12927" s="2">
        <v>43712</v>
      </c>
      <c r="D12927" t="s">
        <v>26</v>
      </c>
      <c r="E12927">
        <v>1428</v>
      </c>
    </row>
    <row r="12928" spans="1:5" x14ac:dyDescent="0.55000000000000004">
      <c r="A12928" t="s">
        <v>13009</v>
      </c>
      <c r="B12928" t="s">
        <v>140</v>
      </c>
      <c r="C12928" s="2">
        <v>44172</v>
      </c>
      <c r="D12928" t="s">
        <v>29</v>
      </c>
      <c r="E12928">
        <v>2171</v>
      </c>
    </row>
    <row r="12929" spans="1:5" x14ac:dyDescent="0.55000000000000004">
      <c r="A12929" t="s">
        <v>13010</v>
      </c>
      <c r="B12929" t="s">
        <v>142</v>
      </c>
      <c r="C12929" s="2">
        <v>43900</v>
      </c>
      <c r="D12929" t="s">
        <v>26</v>
      </c>
      <c r="E12929">
        <v>852</v>
      </c>
    </row>
    <row r="12930" spans="1:5" x14ac:dyDescent="0.55000000000000004">
      <c r="A12930" t="s">
        <v>13011</v>
      </c>
      <c r="B12930" t="s">
        <v>142</v>
      </c>
      <c r="C12930" s="2">
        <v>43896</v>
      </c>
      <c r="D12930" t="s">
        <v>26</v>
      </c>
      <c r="E12930">
        <v>86</v>
      </c>
    </row>
    <row r="12931" spans="1:5" x14ac:dyDescent="0.55000000000000004">
      <c r="A12931" t="s">
        <v>13012</v>
      </c>
      <c r="B12931" t="s">
        <v>67</v>
      </c>
      <c r="C12931" s="2">
        <v>43725</v>
      </c>
      <c r="D12931" t="s">
        <v>26</v>
      </c>
      <c r="E12931">
        <v>883</v>
      </c>
    </row>
    <row r="12932" spans="1:5" x14ac:dyDescent="0.55000000000000004">
      <c r="A12932" t="s">
        <v>13013</v>
      </c>
      <c r="B12932" t="s">
        <v>118</v>
      </c>
      <c r="C12932" s="2">
        <v>44727</v>
      </c>
      <c r="D12932" t="s">
        <v>26</v>
      </c>
      <c r="E12932">
        <v>579</v>
      </c>
    </row>
    <row r="12933" spans="1:5" x14ac:dyDescent="0.55000000000000004">
      <c r="A12933" t="s">
        <v>13014</v>
      </c>
      <c r="B12933" t="s">
        <v>151</v>
      </c>
      <c r="C12933" s="2">
        <v>44495</v>
      </c>
      <c r="D12933" t="s">
        <v>29</v>
      </c>
      <c r="E12933">
        <v>1227</v>
      </c>
    </row>
    <row r="12934" spans="1:5" x14ac:dyDescent="0.55000000000000004">
      <c r="A12934" t="s">
        <v>13015</v>
      </c>
      <c r="B12934" t="s">
        <v>63</v>
      </c>
      <c r="C12934" s="2">
        <v>43281</v>
      </c>
      <c r="D12934" t="s">
        <v>29</v>
      </c>
      <c r="E12934">
        <v>2351</v>
      </c>
    </row>
    <row r="12935" spans="1:5" x14ac:dyDescent="0.55000000000000004">
      <c r="A12935" t="s">
        <v>13016</v>
      </c>
      <c r="B12935" t="s">
        <v>76</v>
      </c>
      <c r="C12935" s="2">
        <v>44185</v>
      </c>
      <c r="D12935" t="s">
        <v>29</v>
      </c>
      <c r="E12935">
        <v>2553</v>
      </c>
    </row>
    <row r="12936" spans="1:5" x14ac:dyDescent="0.55000000000000004">
      <c r="A12936" t="s">
        <v>13017</v>
      </c>
      <c r="B12936" t="s">
        <v>156</v>
      </c>
      <c r="C12936" s="2">
        <v>43117</v>
      </c>
      <c r="D12936" t="s">
        <v>26</v>
      </c>
      <c r="E12936">
        <v>369</v>
      </c>
    </row>
    <row r="12937" spans="1:5" x14ac:dyDescent="0.55000000000000004">
      <c r="A12937" t="s">
        <v>13018</v>
      </c>
      <c r="B12937" t="s">
        <v>41</v>
      </c>
      <c r="C12937" s="2">
        <v>44607</v>
      </c>
      <c r="D12937" t="s">
        <v>29</v>
      </c>
      <c r="E12937">
        <v>2501</v>
      </c>
    </row>
    <row r="12938" spans="1:5" x14ac:dyDescent="0.55000000000000004">
      <c r="A12938" t="s">
        <v>13019</v>
      </c>
      <c r="B12938" t="s">
        <v>32</v>
      </c>
      <c r="C12938" s="2">
        <v>44072</v>
      </c>
      <c r="D12938" t="s">
        <v>26</v>
      </c>
      <c r="E12938">
        <v>2641</v>
      </c>
    </row>
    <row r="12939" spans="1:5" x14ac:dyDescent="0.55000000000000004">
      <c r="A12939" t="s">
        <v>13020</v>
      </c>
      <c r="B12939" t="s">
        <v>41</v>
      </c>
      <c r="C12939" s="2">
        <v>44188</v>
      </c>
      <c r="D12939" t="s">
        <v>29</v>
      </c>
      <c r="E12939">
        <v>1722</v>
      </c>
    </row>
    <row r="12940" spans="1:5" x14ac:dyDescent="0.55000000000000004">
      <c r="A12940" t="s">
        <v>13021</v>
      </c>
      <c r="B12940" t="s">
        <v>94</v>
      </c>
      <c r="C12940" s="2">
        <v>44542</v>
      </c>
      <c r="D12940" t="s">
        <v>26</v>
      </c>
      <c r="E12940">
        <v>1012</v>
      </c>
    </row>
    <row r="12941" spans="1:5" x14ac:dyDescent="0.55000000000000004">
      <c r="A12941" t="s">
        <v>13022</v>
      </c>
      <c r="B12941" t="s">
        <v>74</v>
      </c>
      <c r="C12941" s="2">
        <v>43136</v>
      </c>
      <c r="D12941" t="s">
        <v>26</v>
      </c>
      <c r="E12941">
        <v>2266</v>
      </c>
    </row>
    <row r="12942" spans="1:5" x14ac:dyDescent="0.55000000000000004">
      <c r="A12942" t="s">
        <v>13023</v>
      </c>
      <c r="B12942" t="s">
        <v>15</v>
      </c>
      <c r="C12942" s="2">
        <v>44144</v>
      </c>
      <c r="D12942" t="s">
        <v>26</v>
      </c>
      <c r="E12942">
        <v>1077</v>
      </c>
    </row>
    <row r="12943" spans="1:5" x14ac:dyDescent="0.55000000000000004">
      <c r="A12943" t="s">
        <v>13024</v>
      </c>
      <c r="B12943" t="s">
        <v>140</v>
      </c>
      <c r="C12943" s="2">
        <v>43648</v>
      </c>
      <c r="D12943" t="s">
        <v>29</v>
      </c>
      <c r="E12943">
        <v>392</v>
      </c>
    </row>
    <row r="12944" spans="1:5" x14ac:dyDescent="0.55000000000000004">
      <c r="A12944" t="s">
        <v>13025</v>
      </c>
      <c r="B12944" t="s">
        <v>74</v>
      </c>
      <c r="C12944" s="2">
        <v>44255</v>
      </c>
      <c r="D12944" t="s">
        <v>26</v>
      </c>
      <c r="E12944">
        <v>112</v>
      </c>
    </row>
    <row r="12945" spans="1:5" x14ac:dyDescent="0.55000000000000004">
      <c r="A12945" t="s">
        <v>13026</v>
      </c>
      <c r="B12945" t="s">
        <v>137</v>
      </c>
      <c r="C12945" s="2">
        <v>44238</v>
      </c>
      <c r="D12945" t="s">
        <v>26</v>
      </c>
      <c r="E12945">
        <v>2305</v>
      </c>
    </row>
    <row r="12946" spans="1:5" x14ac:dyDescent="0.55000000000000004">
      <c r="A12946" t="s">
        <v>13027</v>
      </c>
      <c r="B12946" t="s">
        <v>175</v>
      </c>
      <c r="C12946" s="2">
        <v>43709</v>
      </c>
      <c r="D12946" t="s">
        <v>29</v>
      </c>
      <c r="E12946">
        <v>2468</v>
      </c>
    </row>
    <row r="12947" spans="1:5" x14ac:dyDescent="0.55000000000000004">
      <c r="A12947" t="s">
        <v>13028</v>
      </c>
      <c r="B12947" t="s">
        <v>101</v>
      </c>
      <c r="C12947" s="2">
        <v>43802</v>
      </c>
      <c r="D12947" t="s">
        <v>29</v>
      </c>
      <c r="E12947">
        <v>2647</v>
      </c>
    </row>
    <row r="12948" spans="1:5" x14ac:dyDescent="0.55000000000000004">
      <c r="A12948" t="s">
        <v>13029</v>
      </c>
      <c r="B12948" t="s">
        <v>23</v>
      </c>
      <c r="C12948" s="2">
        <v>44350</v>
      </c>
      <c r="D12948" t="s">
        <v>26</v>
      </c>
      <c r="E12948">
        <v>888</v>
      </c>
    </row>
    <row r="12949" spans="1:5" x14ac:dyDescent="0.55000000000000004">
      <c r="A12949" t="s">
        <v>13030</v>
      </c>
      <c r="B12949" t="s">
        <v>23</v>
      </c>
      <c r="C12949" s="2">
        <v>44425</v>
      </c>
      <c r="D12949" t="s">
        <v>26</v>
      </c>
      <c r="E12949">
        <v>2284</v>
      </c>
    </row>
    <row r="12950" spans="1:5" x14ac:dyDescent="0.55000000000000004">
      <c r="A12950" t="s">
        <v>13031</v>
      </c>
      <c r="B12950" t="s">
        <v>38</v>
      </c>
      <c r="C12950" s="2">
        <v>44256</v>
      </c>
      <c r="D12950" t="s">
        <v>29</v>
      </c>
      <c r="E12950">
        <v>1463</v>
      </c>
    </row>
    <row r="12951" spans="1:5" x14ac:dyDescent="0.55000000000000004">
      <c r="A12951" t="s">
        <v>13032</v>
      </c>
      <c r="B12951" t="s">
        <v>94</v>
      </c>
      <c r="C12951" s="2">
        <v>44641</v>
      </c>
      <c r="D12951" t="s">
        <v>26</v>
      </c>
      <c r="E12951">
        <v>2170</v>
      </c>
    </row>
    <row r="12952" spans="1:5" x14ac:dyDescent="0.55000000000000004">
      <c r="A12952" t="s">
        <v>13033</v>
      </c>
      <c r="B12952" t="s">
        <v>67</v>
      </c>
      <c r="C12952" s="2">
        <v>44694</v>
      </c>
      <c r="D12952" t="s">
        <v>29</v>
      </c>
      <c r="E12952">
        <v>992</v>
      </c>
    </row>
    <row r="12953" spans="1:5" x14ac:dyDescent="0.55000000000000004">
      <c r="A12953" t="s">
        <v>13034</v>
      </c>
      <c r="B12953" t="s">
        <v>96</v>
      </c>
      <c r="C12953" s="2">
        <v>45429</v>
      </c>
      <c r="D12953" t="s">
        <v>26</v>
      </c>
      <c r="E12953">
        <v>1255</v>
      </c>
    </row>
    <row r="12954" spans="1:5" x14ac:dyDescent="0.55000000000000004">
      <c r="A12954" t="s">
        <v>13035</v>
      </c>
      <c r="B12954" t="s">
        <v>35</v>
      </c>
      <c r="C12954" s="2">
        <v>44495</v>
      </c>
      <c r="D12954" t="s">
        <v>26</v>
      </c>
      <c r="E12954">
        <v>997</v>
      </c>
    </row>
    <row r="12955" spans="1:5" x14ac:dyDescent="0.55000000000000004">
      <c r="A12955" t="s">
        <v>13036</v>
      </c>
      <c r="B12955" t="s">
        <v>14</v>
      </c>
      <c r="C12955" s="2">
        <v>44414</v>
      </c>
      <c r="D12955" t="s">
        <v>26</v>
      </c>
      <c r="E12955">
        <v>1837</v>
      </c>
    </row>
    <row r="12956" spans="1:5" x14ac:dyDescent="0.55000000000000004">
      <c r="A12956" t="s">
        <v>13037</v>
      </c>
      <c r="B12956" t="s">
        <v>96</v>
      </c>
      <c r="C12956" s="2">
        <v>44025</v>
      </c>
      <c r="D12956" t="s">
        <v>26</v>
      </c>
      <c r="E12956">
        <v>1859</v>
      </c>
    </row>
    <row r="12957" spans="1:5" x14ac:dyDescent="0.55000000000000004">
      <c r="A12957" t="s">
        <v>13038</v>
      </c>
      <c r="B12957" t="s">
        <v>23</v>
      </c>
      <c r="C12957" s="2">
        <v>44249</v>
      </c>
      <c r="D12957" t="s">
        <v>26</v>
      </c>
      <c r="E12957">
        <v>1642</v>
      </c>
    </row>
    <row r="12958" spans="1:5" x14ac:dyDescent="0.55000000000000004">
      <c r="A12958" t="s">
        <v>13039</v>
      </c>
      <c r="B12958" t="s">
        <v>105</v>
      </c>
      <c r="C12958" s="2">
        <v>43649</v>
      </c>
      <c r="D12958" t="s">
        <v>26</v>
      </c>
      <c r="E12958">
        <v>1351</v>
      </c>
    </row>
    <row r="12959" spans="1:5" x14ac:dyDescent="0.55000000000000004">
      <c r="A12959" t="s">
        <v>13040</v>
      </c>
      <c r="B12959" t="s">
        <v>86</v>
      </c>
      <c r="C12959" s="2">
        <v>43322</v>
      </c>
      <c r="D12959" t="s">
        <v>26</v>
      </c>
      <c r="E12959">
        <v>1738</v>
      </c>
    </row>
    <row r="12960" spans="1:5" x14ac:dyDescent="0.55000000000000004">
      <c r="A12960" t="s">
        <v>13041</v>
      </c>
      <c r="B12960" t="s">
        <v>15</v>
      </c>
      <c r="C12960" s="2">
        <v>44181</v>
      </c>
      <c r="D12960" t="s">
        <v>26</v>
      </c>
      <c r="E12960">
        <v>1138</v>
      </c>
    </row>
    <row r="12961" spans="1:5" x14ac:dyDescent="0.55000000000000004">
      <c r="A12961" t="s">
        <v>13042</v>
      </c>
      <c r="B12961" t="s">
        <v>76</v>
      </c>
      <c r="C12961" s="2">
        <v>44716</v>
      </c>
      <c r="D12961" t="s">
        <v>26</v>
      </c>
      <c r="E12961">
        <v>2830</v>
      </c>
    </row>
    <row r="12962" spans="1:5" x14ac:dyDescent="0.55000000000000004">
      <c r="A12962" t="s">
        <v>13043</v>
      </c>
      <c r="B12962" t="s">
        <v>15</v>
      </c>
      <c r="C12962" s="2">
        <v>43211</v>
      </c>
      <c r="D12962" t="s">
        <v>29</v>
      </c>
      <c r="E12962">
        <v>2287</v>
      </c>
    </row>
    <row r="12963" spans="1:5" x14ac:dyDescent="0.55000000000000004">
      <c r="A12963" t="s">
        <v>13044</v>
      </c>
      <c r="B12963" t="s">
        <v>41</v>
      </c>
      <c r="C12963" s="2">
        <v>44775</v>
      </c>
      <c r="D12963" t="s">
        <v>29</v>
      </c>
      <c r="E12963">
        <v>2413</v>
      </c>
    </row>
    <row r="12964" spans="1:5" x14ac:dyDescent="0.55000000000000004">
      <c r="A12964" t="s">
        <v>13045</v>
      </c>
      <c r="B12964" t="s">
        <v>94</v>
      </c>
      <c r="C12964" s="2">
        <v>44451</v>
      </c>
      <c r="D12964" t="s">
        <v>29</v>
      </c>
      <c r="E12964">
        <v>2435</v>
      </c>
    </row>
    <row r="12965" spans="1:5" x14ac:dyDescent="0.55000000000000004">
      <c r="A12965" t="s">
        <v>13046</v>
      </c>
      <c r="B12965" t="s">
        <v>74</v>
      </c>
      <c r="C12965" s="2">
        <v>44558</v>
      </c>
      <c r="D12965" t="s">
        <v>26</v>
      </c>
      <c r="E12965">
        <v>2156</v>
      </c>
    </row>
    <row r="12966" spans="1:5" x14ac:dyDescent="0.55000000000000004">
      <c r="A12966" t="s">
        <v>13047</v>
      </c>
      <c r="B12966" t="s">
        <v>140</v>
      </c>
      <c r="C12966" s="2">
        <v>43823</v>
      </c>
      <c r="D12966" t="s">
        <v>26</v>
      </c>
      <c r="E12966">
        <v>2074</v>
      </c>
    </row>
    <row r="12967" spans="1:5" x14ac:dyDescent="0.55000000000000004">
      <c r="A12967" t="s">
        <v>13048</v>
      </c>
      <c r="B12967" t="s">
        <v>96</v>
      </c>
      <c r="C12967" s="2">
        <v>45432</v>
      </c>
      <c r="D12967" t="s">
        <v>29</v>
      </c>
      <c r="E12967">
        <v>2039</v>
      </c>
    </row>
    <row r="12968" spans="1:5" x14ac:dyDescent="0.55000000000000004">
      <c r="A12968" t="s">
        <v>13049</v>
      </c>
      <c r="B12968" t="s">
        <v>137</v>
      </c>
      <c r="C12968" s="2">
        <v>45671</v>
      </c>
      <c r="D12968" t="s">
        <v>29</v>
      </c>
      <c r="E12968">
        <v>2525</v>
      </c>
    </row>
    <row r="12969" spans="1:5" x14ac:dyDescent="0.55000000000000004">
      <c r="A12969" t="s">
        <v>13050</v>
      </c>
      <c r="B12969" t="s">
        <v>74</v>
      </c>
      <c r="C12969" s="2">
        <v>43023</v>
      </c>
      <c r="D12969" t="s">
        <v>29</v>
      </c>
      <c r="E12969">
        <v>73</v>
      </c>
    </row>
    <row r="12970" spans="1:5" x14ac:dyDescent="0.55000000000000004">
      <c r="A12970" t="s">
        <v>13051</v>
      </c>
      <c r="B12970" t="s">
        <v>15</v>
      </c>
      <c r="C12970" s="2">
        <v>43694</v>
      </c>
      <c r="D12970" t="s">
        <v>26</v>
      </c>
      <c r="E12970">
        <v>2444</v>
      </c>
    </row>
    <row r="12971" spans="1:5" x14ac:dyDescent="0.55000000000000004">
      <c r="A12971" t="s">
        <v>13052</v>
      </c>
      <c r="B12971" t="s">
        <v>101</v>
      </c>
      <c r="C12971" s="2">
        <v>44187</v>
      </c>
      <c r="D12971" t="s">
        <v>29</v>
      </c>
      <c r="E12971">
        <v>1284</v>
      </c>
    </row>
    <row r="12972" spans="1:5" x14ac:dyDescent="0.55000000000000004">
      <c r="A12972" t="s">
        <v>13053</v>
      </c>
      <c r="B12972" t="s">
        <v>105</v>
      </c>
      <c r="C12972" s="2">
        <v>44451</v>
      </c>
      <c r="D12972" t="s">
        <v>29</v>
      </c>
      <c r="E12972">
        <v>410</v>
      </c>
    </row>
    <row r="12973" spans="1:5" x14ac:dyDescent="0.55000000000000004">
      <c r="A12973" t="s">
        <v>13054</v>
      </c>
      <c r="B12973" t="s">
        <v>78</v>
      </c>
      <c r="C12973" s="2">
        <v>44763</v>
      </c>
      <c r="D12973" t="s">
        <v>29</v>
      </c>
      <c r="E12973">
        <v>902</v>
      </c>
    </row>
    <row r="12974" spans="1:5" x14ac:dyDescent="0.55000000000000004">
      <c r="A12974" t="s">
        <v>13055</v>
      </c>
      <c r="B12974" t="s">
        <v>74</v>
      </c>
      <c r="C12974" s="2">
        <v>44280</v>
      </c>
      <c r="D12974" t="s">
        <v>26</v>
      </c>
      <c r="E12974">
        <v>576</v>
      </c>
    </row>
    <row r="12975" spans="1:5" x14ac:dyDescent="0.55000000000000004">
      <c r="A12975" t="s">
        <v>13056</v>
      </c>
      <c r="B12975" t="s">
        <v>14</v>
      </c>
      <c r="C12975" s="2">
        <v>43502</v>
      </c>
      <c r="D12975" t="s">
        <v>26</v>
      </c>
      <c r="E12975">
        <v>1080</v>
      </c>
    </row>
    <row r="12976" spans="1:5" x14ac:dyDescent="0.55000000000000004">
      <c r="A12976" t="s">
        <v>13057</v>
      </c>
      <c r="B12976" t="s">
        <v>74</v>
      </c>
      <c r="C12976" s="2">
        <v>44359</v>
      </c>
      <c r="D12976" t="s">
        <v>26</v>
      </c>
      <c r="E12976">
        <v>1884</v>
      </c>
    </row>
    <row r="12977" spans="1:5" x14ac:dyDescent="0.55000000000000004">
      <c r="A12977" t="s">
        <v>13058</v>
      </c>
      <c r="B12977" t="s">
        <v>137</v>
      </c>
      <c r="C12977" s="2">
        <v>43884</v>
      </c>
      <c r="D12977" t="s">
        <v>26</v>
      </c>
      <c r="E12977">
        <v>551</v>
      </c>
    </row>
    <row r="12978" spans="1:5" x14ac:dyDescent="0.55000000000000004">
      <c r="A12978" t="s">
        <v>13059</v>
      </c>
      <c r="B12978" t="s">
        <v>32</v>
      </c>
      <c r="C12978" s="2">
        <v>44404</v>
      </c>
      <c r="D12978" t="s">
        <v>26</v>
      </c>
      <c r="E12978">
        <v>2819</v>
      </c>
    </row>
    <row r="12979" spans="1:5" x14ac:dyDescent="0.55000000000000004">
      <c r="A12979" t="s">
        <v>13060</v>
      </c>
      <c r="B12979" t="s">
        <v>63</v>
      </c>
      <c r="C12979" s="2">
        <v>43851</v>
      </c>
      <c r="D12979" t="s">
        <v>26</v>
      </c>
      <c r="E12979">
        <v>737</v>
      </c>
    </row>
    <row r="12980" spans="1:5" x14ac:dyDescent="0.55000000000000004">
      <c r="A12980" t="s">
        <v>13061</v>
      </c>
      <c r="B12980" t="s">
        <v>140</v>
      </c>
      <c r="C12980" s="2">
        <v>43663</v>
      </c>
      <c r="D12980" t="s">
        <v>29</v>
      </c>
      <c r="E12980">
        <v>2167</v>
      </c>
    </row>
    <row r="12981" spans="1:5" x14ac:dyDescent="0.55000000000000004">
      <c r="A12981" t="s">
        <v>13062</v>
      </c>
      <c r="B12981" t="s">
        <v>115</v>
      </c>
      <c r="C12981" s="2">
        <v>43513</v>
      </c>
      <c r="D12981" t="s">
        <v>29</v>
      </c>
      <c r="E12981">
        <v>909</v>
      </c>
    </row>
    <row r="12982" spans="1:5" x14ac:dyDescent="0.55000000000000004">
      <c r="A12982" t="s">
        <v>13063</v>
      </c>
      <c r="B12982" t="s">
        <v>137</v>
      </c>
      <c r="C12982" s="2">
        <v>44930</v>
      </c>
      <c r="D12982" t="s">
        <v>29</v>
      </c>
      <c r="E12982">
        <v>122</v>
      </c>
    </row>
    <row r="12983" spans="1:5" x14ac:dyDescent="0.55000000000000004">
      <c r="A12983" t="s">
        <v>13064</v>
      </c>
      <c r="B12983" t="s">
        <v>74</v>
      </c>
      <c r="C12983" s="2">
        <v>44109</v>
      </c>
      <c r="D12983" t="s">
        <v>26</v>
      </c>
      <c r="E12983">
        <v>1515</v>
      </c>
    </row>
    <row r="12984" spans="1:5" x14ac:dyDescent="0.55000000000000004">
      <c r="A12984" t="s">
        <v>13065</v>
      </c>
      <c r="B12984" t="s">
        <v>151</v>
      </c>
      <c r="C12984" s="2">
        <v>43046</v>
      </c>
      <c r="D12984" t="s">
        <v>26</v>
      </c>
      <c r="E12984">
        <v>124</v>
      </c>
    </row>
    <row r="12985" spans="1:5" x14ac:dyDescent="0.55000000000000004">
      <c r="A12985" t="s">
        <v>13066</v>
      </c>
      <c r="B12985" t="s">
        <v>94</v>
      </c>
      <c r="C12985" s="2">
        <v>43932</v>
      </c>
      <c r="D12985" t="s">
        <v>29</v>
      </c>
      <c r="E12985">
        <v>2093</v>
      </c>
    </row>
    <row r="12986" spans="1:5" x14ac:dyDescent="0.55000000000000004">
      <c r="A12986" t="s">
        <v>13067</v>
      </c>
      <c r="B12986" t="s">
        <v>156</v>
      </c>
      <c r="C12986" s="2">
        <v>43673</v>
      </c>
      <c r="D12986" t="s">
        <v>29</v>
      </c>
      <c r="E12986">
        <v>1814</v>
      </c>
    </row>
    <row r="12987" spans="1:5" x14ac:dyDescent="0.55000000000000004">
      <c r="A12987" t="s">
        <v>13068</v>
      </c>
      <c r="B12987" t="s">
        <v>175</v>
      </c>
      <c r="C12987" s="2">
        <v>44388</v>
      </c>
      <c r="D12987" t="s">
        <v>26</v>
      </c>
      <c r="E12987">
        <v>896</v>
      </c>
    </row>
    <row r="12988" spans="1:5" x14ac:dyDescent="0.55000000000000004">
      <c r="A12988" t="s">
        <v>13069</v>
      </c>
      <c r="B12988" t="s">
        <v>96</v>
      </c>
      <c r="C12988" s="2">
        <v>43701</v>
      </c>
      <c r="D12988" t="s">
        <v>26</v>
      </c>
      <c r="E12988">
        <v>2965</v>
      </c>
    </row>
    <row r="12989" spans="1:5" x14ac:dyDescent="0.55000000000000004">
      <c r="A12989" t="s">
        <v>13070</v>
      </c>
      <c r="B12989" t="s">
        <v>41</v>
      </c>
      <c r="C12989" s="2">
        <v>43965</v>
      </c>
      <c r="D12989" t="s">
        <v>29</v>
      </c>
      <c r="E12989">
        <v>1127</v>
      </c>
    </row>
    <row r="12990" spans="1:5" x14ac:dyDescent="0.55000000000000004">
      <c r="A12990" t="s">
        <v>13071</v>
      </c>
      <c r="B12990" t="s">
        <v>23</v>
      </c>
      <c r="C12990" s="2">
        <v>44221</v>
      </c>
      <c r="D12990" t="s">
        <v>26</v>
      </c>
      <c r="E12990">
        <v>1847</v>
      </c>
    </row>
    <row r="12991" spans="1:5" x14ac:dyDescent="0.55000000000000004">
      <c r="A12991" t="s">
        <v>13072</v>
      </c>
      <c r="B12991" t="s">
        <v>86</v>
      </c>
      <c r="C12991" s="2">
        <v>43766</v>
      </c>
      <c r="D12991" t="s">
        <v>26</v>
      </c>
      <c r="E12991">
        <v>2046</v>
      </c>
    </row>
    <row r="12992" spans="1:5" x14ac:dyDescent="0.55000000000000004">
      <c r="A12992" t="s">
        <v>13073</v>
      </c>
      <c r="B12992" t="s">
        <v>63</v>
      </c>
      <c r="C12992" s="2">
        <v>42930</v>
      </c>
      <c r="D12992" t="s">
        <v>26</v>
      </c>
      <c r="E12992">
        <v>424</v>
      </c>
    </row>
    <row r="12993" spans="1:5" x14ac:dyDescent="0.55000000000000004">
      <c r="A12993" t="s">
        <v>13074</v>
      </c>
      <c r="B12993" t="s">
        <v>41</v>
      </c>
      <c r="C12993" s="2">
        <v>44742</v>
      </c>
      <c r="D12993" t="s">
        <v>26</v>
      </c>
      <c r="E12993">
        <v>1856</v>
      </c>
    </row>
    <row r="12994" spans="1:5" x14ac:dyDescent="0.55000000000000004">
      <c r="A12994" t="s">
        <v>13075</v>
      </c>
      <c r="B12994" t="s">
        <v>151</v>
      </c>
      <c r="C12994" s="2">
        <v>43400</v>
      </c>
      <c r="D12994" t="s">
        <v>29</v>
      </c>
      <c r="E12994">
        <v>2595</v>
      </c>
    </row>
    <row r="12995" spans="1:5" x14ac:dyDescent="0.55000000000000004">
      <c r="A12995" t="s">
        <v>13076</v>
      </c>
      <c r="B12995" t="s">
        <v>38</v>
      </c>
      <c r="C12995" s="2">
        <v>43921</v>
      </c>
      <c r="D12995" t="s">
        <v>26</v>
      </c>
      <c r="E12995">
        <v>23</v>
      </c>
    </row>
    <row r="12996" spans="1:5" x14ac:dyDescent="0.55000000000000004">
      <c r="A12996" t="s">
        <v>13077</v>
      </c>
      <c r="B12996" t="s">
        <v>115</v>
      </c>
      <c r="C12996" s="2">
        <v>44269</v>
      </c>
      <c r="D12996" t="s">
        <v>29</v>
      </c>
      <c r="E12996">
        <v>2317</v>
      </c>
    </row>
    <row r="12997" spans="1:5" x14ac:dyDescent="0.55000000000000004">
      <c r="A12997" t="s">
        <v>13078</v>
      </c>
      <c r="B12997" t="s">
        <v>105</v>
      </c>
      <c r="C12997" s="2">
        <v>43764</v>
      </c>
      <c r="D12997" t="s">
        <v>26</v>
      </c>
      <c r="E12997">
        <v>314</v>
      </c>
    </row>
    <row r="12998" spans="1:5" x14ac:dyDescent="0.55000000000000004">
      <c r="A12998" t="s">
        <v>13079</v>
      </c>
      <c r="B12998" t="s">
        <v>175</v>
      </c>
      <c r="C12998" s="2">
        <v>45725</v>
      </c>
      <c r="D12998" t="s">
        <v>26</v>
      </c>
      <c r="E12998">
        <v>652</v>
      </c>
    </row>
    <row r="12999" spans="1:5" x14ac:dyDescent="0.55000000000000004">
      <c r="A12999" t="s">
        <v>13080</v>
      </c>
      <c r="B12999" t="s">
        <v>78</v>
      </c>
      <c r="C12999" s="2">
        <v>44535</v>
      </c>
      <c r="D12999" t="s">
        <v>26</v>
      </c>
      <c r="E12999">
        <v>0</v>
      </c>
    </row>
    <row r="13000" spans="1:5" x14ac:dyDescent="0.55000000000000004">
      <c r="A13000" t="s">
        <v>13081</v>
      </c>
      <c r="B13000" t="s">
        <v>140</v>
      </c>
      <c r="C13000" s="2">
        <v>43075</v>
      </c>
      <c r="D13000" t="s">
        <v>26</v>
      </c>
      <c r="E13000">
        <v>2147</v>
      </c>
    </row>
    <row r="13001" spans="1:5" x14ac:dyDescent="0.55000000000000004">
      <c r="A13001" t="s">
        <v>13082</v>
      </c>
      <c r="B13001" t="s">
        <v>101</v>
      </c>
      <c r="C13001" s="2">
        <v>43602</v>
      </c>
      <c r="D13001" t="s">
        <v>29</v>
      </c>
      <c r="E13001">
        <v>2836</v>
      </c>
    </row>
    <row r="13002" spans="1:5" x14ac:dyDescent="0.55000000000000004">
      <c r="A13002" t="s">
        <v>13083</v>
      </c>
      <c r="B13002" t="s">
        <v>23</v>
      </c>
      <c r="C13002" s="2">
        <v>44704</v>
      </c>
      <c r="D13002" t="s">
        <v>29</v>
      </c>
      <c r="E13002">
        <v>217</v>
      </c>
    </row>
    <row r="13003" spans="1:5" x14ac:dyDescent="0.55000000000000004">
      <c r="A13003" t="s">
        <v>13084</v>
      </c>
      <c r="B13003" t="s">
        <v>105</v>
      </c>
      <c r="C13003" s="2">
        <v>44248</v>
      </c>
      <c r="D13003" t="s">
        <v>29</v>
      </c>
      <c r="E13003">
        <v>348</v>
      </c>
    </row>
    <row r="13004" spans="1:5" x14ac:dyDescent="0.55000000000000004">
      <c r="A13004" t="s">
        <v>13085</v>
      </c>
      <c r="B13004" t="s">
        <v>84</v>
      </c>
      <c r="C13004" s="2">
        <v>43428</v>
      </c>
      <c r="D13004" t="s">
        <v>29</v>
      </c>
      <c r="E13004">
        <v>2222</v>
      </c>
    </row>
    <row r="13005" spans="1:5" x14ac:dyDescent="0.55000000000000004">
      <c r="A13005" t="s">
        <v>13086</v>
      </c>
      <c r="B13005" t="s">
        <v>78</v>
      </c>
      <c r="C13005" s="2">
        <v>43635</v>
      </c>
      <c r="D13005" t="s">
        <v>29</v>
      </c>
      <c r="E13005">
        <v>1929</v>
      </c>
    </row>
    <row r="13006" spans="1:5" x14ac:dyDescent="0.55000000000000004">
      <c r="A13006" t="s">
        <v>13087</v>
      </c>
      <c r="B13006" t="s">
        <v>74</v>
      </c>
      <c r="C13006" s="2">
        <v>43048</v>
      </c>
      <c r="D13006" t="s">
        <v>26</v>
      </c>
      <c r="E13006">
        <v>133</v>
      </c>
    </row>
    <row r="13007" spans="1:5" x14ac:dyDescent="0.55000000000000004">
      <c r="A13007" t="s">
        <v>13088</v>
      </c>
      <c r="B13007" t="s">
        <v>156</v>
      </c>
      <c r="C13007" s="2">
        <v>43611</v>
      </c>
      <c r="D13007" t="s">
        <v>26</v>
      </c>
      <c r="E13007">
        <v>339</v>
      </c>
    </row>
    <row r="13008" spans="1:5" x14ac:dyDescent="0.55000000000000004">
      <c r="A13008" t="s">
        <v>13089</v>
      </c>
      <c r="B13008" t="s">
        <v>94</v>
      </c>
      <c r="C13008" s="2">
        <v>44759</v>
      </c>
      <c r="D13008" t="s">
        <v>26</v>
      </c>
      <c r="E13008">
        <v>286</v>
      </c>
    </row>
    <row r="13009" spans="1:5" x14ac:dyDescent="0.55000000000000004">
      <c r="A13009" t="s">
        <v>13090</v>
      </c>
      <c r="B13009" t="s">
        <v>41</v>
      </c>
      <c r="C13009" s="2">
        <v>44061</v>
      </c>
      <c r="D13009" t="s">
        <v>29</v>
      </c>
      <c r="E13009">
        <v>2503</v>
      </c>
    </row>
    <row r="13010" spans="1:5" x14ac:dyDescent="0.55000000000000004">
      <c r="A13010" t="s">
        <v>13091</v>
      </c>
      <c r="B13010" t="s">
        <v>94</v>
      </c>
      <c r="C13010" s="2">
        <v>45130</v>
      </c>
      <c r="D13010" t="s">
        <v>26</v>
      </c>
      <c r="E13010">
        <v>618</v>
      </c>
    </row>
    <row r="13011" spans="1:5" x14ac:dyDescent="0.55000000000000004">
      <c r="A13011" t="s">
        <v>13092</v>
      </c>
      <c r="B13011" t="s">
        <v>96</v>
      </c>
      <c r="C13011" s="2">
        <v>45129</v>
      </c>
      <c r="D13011" t="s">
        <v>26</v>
      </c>
      <c r="E13011">
        <v>2878</v>
      </c>
    </row>
    <row r="13012" spans="1:5" x14ac:dyDescent="0.55000000000000004">
      <c r="A13012" t="s">
        <v>13093</v>
      </c>
      <c r="B13012" t="s">
        <v>76</v>
      </c>
      <c r="C13012" s="2">
        <v>44588</v>
      </c>
      <c r="D13012" t="s">
        <v>29</v>
      </c>
      <c r="E13012">
        <v>1985</v>
      </c>
    </row>
    <row r="13013" spans="1:5" x14ac:dyDescent="0.55000000000000004">
      <c r="A13013" t="s">
        <v>13094</v>
      </c>
      <c r="B13013" t="s">
        <v>32</v>
      </c>
      <c r="C13013" s="2">
        <v>44726</v>
      </c>
      <c r="D13013" t="s">
        <v>29</v>
      </c>
      <c r="E13013">
        <v>203</v>
      </c>
    </row>
    <row r="13014" spans="1:5" x14ac:dyDescent="0.55000000000000004">
      <c r="A13014" t="s">
        <v>13095</v>
      </c>
      <c r="B13014" t="s">
        <v>76</v>
      </c>
      <c r="C13014" s="2">
        <v>44806</v>
      </c>
      <c r="D13014" t="s">
        <v>29</v>
      </c>
      <c r="E13014">
        <v>2057</v>
      </c>
    </row>
    <row r="13015" spans="1:5" x14ac:dyDescent="0.55000000000000004">
      <c r="A13015" t="s">
        <v>13096</v>
      </c>
      <c r="B13015" t="s">
        <v>175</v>
      </c>
      <c r="C13015" s="2">
        <v>44827</v>
      </c>
      <c r="D13015" t="s">
        <v>29</v>
      </c>
      <c r="E13015">
        <v>613</v>
      </c>
    </row>
    <row r="13016" spans="1:5" x14ac:dyDescent="0.55000000000000004">
      <c r="A13016" t="s">
        <v>13097</v>
      </c>
      <c r="B13016" t="s">
        <v>111</v>
      </c>
      <c r="C13016" s="2">
        <v>43884</v>
      </c>
      <c r="D13016" t="s">
        <v>29</v>
      </c>
      <c r="E13016">
        <v>33</v>
      </c>
    </row>
    <row r="13017" spans="1:5" x14ac:dyDescent="0.55000000000000004">
      <c r="A13017" t="s">
        <v>13098</v>
      </c>
      <c r="B13017" t="s">
        <v>175</v>
      </c>
      <c r="C13017" s="2">
        <v>44585</v>
      </c>
      <c r="D13017" t="s">
        <v>26</v>
      </c>
      <c r="E13017">
        <v>735</v>
      </c>
    </row>
    <row r="13018" spans="1:5" x14ac:dyDescent="0.55000000000000004">
      <c r="A13018" t="s">
        <v>13099</v>
      </c>
      <c r="B13018" t="s">
        <v>156</v>
      </c>
      <c r="C13018" s="2">
        <v>43737</v>
      </c>
      <c r="D13018" t="s">
        <v>29</v>
      </c>
      <c r="E13018">
        <v>233</v>
      </c>
    </row>
    <row r="13019" spans="1:5" x14ac:dyDescent="0.55000000000000004">
      <c r="A13019" t="s">
        <v>13100</v>
      </c>
      <c r="B13019" t="s">
        <v>101</v>
      </c>
      <c r="C13019" s="2">
        <v>44126</v>
      </c>
      <c r="D13019" t="s">
        <v>29</v>
      </c>
      <c r="E13019">
        <v>2715</v>
      </c>
    </row>
    <row r="13020" spans="1:5" x14ac:dyDescent="0.55000000000000004">
      <c r="A13020" t="s">
        <v>13101</v>
      </c>
      <c r="B13020" t="s">
        <v>78</v>
      </c>
      <c r="C13020" s="2">
        <v>45514</v>
      </c>
      <c r="D13020" t="s">
        <v>29</v>
      </c>
      <c r="E13020">
        <v>449</v>
      </c>
    </row>
    <row r="13021" spans="1:5" x14ac:dyDescent="0.55000000000000004">
      <c r="A13021" t="s">
        <v>13102</v>
      </c>
      <c r="B13021" t="s">
        <v>118</v>
      </c>
      <c r="C13021" s="2">
        <v>45481</v>
      </c>
      <c r="D13021" t="s">
        <v>29</v>
      </c>
      <c r="E13021">
        <v>1056</v>
      </c>
    </row>
    <row r="13022" spans="1:5" x14ac:dyDescent="0.55000000000000004">
      <c r="A13022" t="s">
        <v>13103</v>
      </c>
      <c r="B13022" t="s">
        <v>94</v>
      </c>
      <c r="C13022" s="2">
        <v>43899</v>
      </c>
      <c r="D13022" t="s">
        <v>26</v>
      </c>
      <c r="E13022">
        <v>2042</v>
      </c>
    </row>
    <row r="13023" spans="1:5" x14ac:dyDescent="0.55000000000000004">
      <c r="A13023" t="s">
        <v>13104</v>
      </c>
      <c r="B13023" t="s">
        <v>118</v>
      </c>
      <c r="C13023" s="2">
        <v>45509</v>
      </c>
      <c r="D13023" t="s">
        <v>26</v>
      </c>
      <c r="E13023">
        <v>474</v>
      </c>
    </row>
    <row r="13024" spans="1:5" x14ac:dyDescent="0.55000000000000004">
      <c r="A13024" t="s">
        <v>13105</v>
      </c>
      <c r="B13024" t="s">
        <v>156</v>
      </c>
      <c r="C13024" s="2">
        <v>44067</v>
      </c>
      <c r="D13024" t="s">
        <v>26</v>
      </c>
      <c r="E13024">
        <v>1567</v>
      </c>
    </row>
    <row r="13025" spans="1:5" x14ac:dyDescent="0.55000000000000004">
      <c r="A13025" t="s">
        <v>13106</v>
      </c>
      <c r="B13025" t="s">
        <v>142</v>
      </c>
      <c r="C13025" s="2">
        <v>43672</v>
      </c>
      <c r="D13025" t="s">
        <v>26</v>
      </c>
      <c r="E13025">
        <v>309</v>
      </c>
    </row>
    <row r="13026" spans="1:5" x14ac:dyDescent="0.55000000000000004">
      <c r="A13026" t="s">
        <v>13107</v>
      </c>
      <c r="B13026" t="s">
        <v>23</v>
      </c>
      <c r="C13026" s="2">
        <v>44853</v>
      </c>
      <c r="D13026" t="s">
        <v>29</v>
      </c>
      <c r="E13026">
        <v>1450</v>
      </c>
    </row>
    <row r="13027" spans="1:5" x14ac:dyDescent="0.55000000000000004">
      <c r="A13027" t="s">
        <v>13108</v>
      </c>
      <c r="B13027" t="s">
        <v>96</v>
      </c>
      <c r="C13027" s="2">
        <v>43638</v>
      </c>
      <c r="D13027" t="s">
        <v>26</v>
      </c>
      <c r="E13027">
        <v>1644</v>
      </c>
    </row>
    <row r="13028" spans="1:5" x14ac:dyDescent="0.55000000000000004">
      <c r="A13028" t="s">
        <v>13109</v>
      </c>
      <c r="B13028" t="s">
        <v>96</v>
      </c>
      <c r="C13028" s="2">
        <v>45712</v>
      </c>
      <c r="D13028" t="s">
        <v>29</v>
      </c>
      <c r="E13028">
        <v>1335</v>
      </c>
    </row>
    <row r="13029" spans="1:5" x14ac:dyDescent="0.55000000000000004">
      <c r="A13029" t="s">
        <v>13110</v>
      </c>
      <c r="B13029" t="s">
        <v>94</v>
      </c>
      <c r="C13029" s="2">
        <v>43657</v>
      </c>
      <c r="D13029" t="s">
        <v>29</v>
      </c>
      <c r="E13029">
        <v>1109</v>
      </c>
    </row>
    <row r="13030" spans="1:5" x14ac:dyDescent="0.55000000000000004">
      <c r="A13030" t="s">
        <v>13111</v>
      </c>
      <c r="B13030" t="s">
        <v>78</v>
      </c>
      <c r="C13030" s="2">
        <v>44652</v>
      </c>
      <c r="D13030" t="s">
        <v>26</v>
      </c>
      <c r="E13030">
        <v>1224</v>
      </c>
    </row>
    <row r="13031" spans="1:5" x14ac:dyDescent="0.55000000000000004">
      <c r="A13031" t="s">
        <v>13112</v>
      </c>
      <c r="B13031" t="s">
        <v>94</v>
      </c>
      <c r="C13031" s="2">
        <v>44608</v>
      </c>
      <c r="D13031" t="s">
        <v>26</v>
      </c>
      <c r="E13031">
        <v>2556</v>
      </c>
    </row>
    <row r="13032" spans="1:5" x14ac:dyDescent="0.55000000000000004">
      <c r="A13032" t="s">
        <v>13113</v>
      </c>
      <c r="B13032" t="s">
        <v>84</v>
      </c>
      <c r="C13032" s="2">
        <v>44485</v>
      </c>
      <c r="D13032" t="s">
        <v>26</v>
      </c>
      <c r="E13032">
        <v>1656</v>
      </c>
    </row>
    <row r="13033" spans="1:5" x14ac:dyDescent="0.55000000000000004">
      <c r="A13033" t="s">
        <v>13114</v>
      </c>
      <c r="B13033" t="s">
        <v>96</v>
      </c>
      <c r="C13033" s="2">
        <v>43542</v>
      </c>
      <c r="D13033" t="s">
        <v>26</v>
      </c>
      <c r="E13033">
        <v>2867</v>
      </c>
    </row>
    <row r="13034" spans="1:5" x14ac:dyDescent="0.55000000000000004">
      <c r="A13034" t="s">
        <v>13115</v>
      </c>
      <c r="B13034" t="s">
        <v>86</v>
      </c>
      <c r="C13034" s="2">
        <v>43006</v>
      </c>
      <c r="D13034" t="s">
        <v>26</v>
      </c>
      <c r="E13034">
        <v>1345</v>
      </c>
    </row>
    <row r="13035" spans="1:5" x14ac:dyDescent="0.55000000000000004">
      <c r="A13035" t="s">
        <v>13116</v>
      </c>
      <c r="B13035" t="s">
        <v>175</v>
      </c>
      <c r="C13035" s="2">
        <v>43973</v>
      </c>
      <c r="D13035" t="s">
        <v>26</v>
      </c>
      <c r="E13035">
        <v>1795</v>
      </c>
    </row>
    <row r="13036" spans="1:5" x14ac:dyDescent="0.55000000000000004">
      <c r="A13036" t="s">
        <v>13117</v>
      </c>
      <c r="B13036" t="s">
        <v>38</v>
      </c>
      <c r="C13036" s="2">
        <v>44879</v>
      </c>
      <c r="D13036" t="s">
        <v>29</v>
      </c>
      <c r="E13036">
        <v>724</v>
      </c>
    </row>
    <row r="13037" spans="1:5" x14ac:dyDescent="0.55000000000000004">
      <c r="A13037" t="s">
        <v>13118</v>
      </c>
      <c r="B13037" t="s">
        <v>140</v>
      </c>
      <c r="C13037" s="2">
        <v>43961</v>
      </c>
      <c r="D13037" t="s">
        <v>29</v>
      </c>
      <c r="E13037">
        <v>2528</v>
      </c>
    </row>
    <row r="13038" spans="1:5" x14ac:dyDescent="0.55000000000000004">
      <c r="A13038" t="s">
        <v>13119</v>
      </c>
      <c r="B13038" t="s">
        <v>15</v>
      </c>
      <c r="C13038" s="2">
        <v>43005</v>
      </c>
      <c r="D13038" t="s">
        <v>29</v>
      </c>
      <c r="E13038">
        <v>585</v>
      </c>
    </row>
    <row r="13039" spans="1:5" x14ac:dyDescent="0.55000000000000004">
      <c r="A13039" t="s">
        <v>13120</v>
      </c>
      <c r="B13039" t="s">
        <v>84</v>
      </c>
      <c r="C13039" s="2">
        <v>43045</v>
      </c>
      <c r="D13039" t="s">
        <v>29</v>
      </c>
      <c r="E13039">
        <v>2972</v>
      </c>
    </row>
    <row r="13040" spans="1:5" x14ac:dyDescent="0.55000000000000004">
      <c r="A13040" t="s">
        <v>13121</v>
      </c>
      <c r="B13040" t="s">
        <v>23</v>
      </c>
      <c r="C13040" s="2">
        <v>44865</v>
      </c>
      <c r="D13040" t="s">
        <v>26</v>
      </c>
      <c r="E13040">
        <v>1207</v>
      </c>
    </row>
    <row r="13041" spans="1:5" x14ac:dyDescent="0.55000000000000004">
      <c r="A13041" t="s">
        <v>13122</v>
      </c>
      <c r="B13041" t="s">
        <v>72</v>
      </c>
      <c r="C13041" s="2">
        <v>42928</v>
      </c>
      <c r="D13041" t="s">
        <v>29</v>
      </c>
      <c r="E13041">
        <v>1565</v>
      </c>
    </row>
    <row r="13042" spans="1:5" x14ac:dyDescent="0.55000000000000004">
      <c r="A13042" t="s">
        <v>13123</v>
      </c>
      <c r="B13042" t="s">
        <v>38</v>
      </c>
      <c r="C13042" s="2">
        <v>43991</v>
      </c>
      <c r="D13042" t="s">
        <v>29</v>
      </c>
      <c r="E13042">
        <v>2676</v>
      </c>
    </row>
    <row r="13043" spans="1:5" x14ac:dyDescent="0.55000000000000004">
      <c r="A13043" t="s">
        <v>13124</v>
      </c>
      <c r="B13043" t="s">
        <v>14</v>
      </c>
      <c r="C13043" s="2">
        <v>43007</v>
      </c>
      <c r="D13043" t="s">
        <v>29</v>
      </c>
      <c r="E13043">
        <v>2190</v>
      </c>
    </row>
    <row r="13044" spans="1:5" x14ac:dyDescent="0.55000000000000004">
      <c r="A13044" t="s">
        <v>13125</v>
      </c>
      <c r="B13044" t="s">
        <v>74</v>
      </c>
      <c r="C13044" s="2">
        <v>43459</v>
      </c>
      <c r="D13044" t="s">
        <v>26</v>
      </c>
      <c r="E13044">
        <v>1744</v>
      </c>
    </row>
    <row r="13045" spans="1:5" x14ac:dyDescent="0.55000000000000004">
      <c r="A13045" t="s">
        <v>13126</v>
      </c>
      <c r="B13045" t="s">
        <v>86</v>
      </c>
      <c r="C13045" s="2">
        <v>44098</v>
      </c>
      <c r="D13045" t="s">
        <v>29</v>
      </c>
      <c r="E13045">
        <v>631</v>
      </c>
    </row>
    <row r="13046" spans="1:5" x14ac:dyDescent="0.55000000000000004">
      <c r="A13046" t="s">
        <v>13127</v>
      </c>
      <c r="B13046" t="s">
        <v>38</v>
      </c>
      <c r="C13046" s="2">
        <v>44293</v>
      </c>
      <c r="D13046" t="s">
        <v>29</v>
      </c>
      <c r="E13046">
        <v>1603</v>
      </c>
    </row>
    <row r="13047" spans="1:5" x14ac:dyDescent="0.55000000000000004">
      <c r="A13047" t="s">
        <v>13128</v>
      </c>
      <c r="B13047" t="s">
        <v>140</v>
      </c>
      <c r="C13047" s="2">
        <v>44426</v>
      </c>
      <c r="D13047" t="s">
        <v>26</v>
      </c>
      <c r="E13047">
        <v>2798</v>
      </c>
    </row>
    <row r="13048" spans="1:5" x14ac:dyDescent="0.55000000000000004">
      <c r="A13048" t="s">
        <v>13129</v>
      </c>
      <c r="B13048" t="s">
        <v>142</v>
      </c>
      <c r="C13048" s="2">
        <v>43557</v>
      </c>
      <c r="D13048" t="s">
        <v>29</v>
      </c>
      <c r="E13048">
        <v>497</v>
      </c>
    </row>
    <row r="13049" spans="1:5" x14ac:dyDescent="0.55000000000000004">
      <c r="A13049" t="s">
        <v>13130</v>
      </c>
      <c r="B13049" t="s">
        <v>76</v>
      </c>
      <c r="C13049" s="2">
        <v>45346</v>
      </c>
      <c r="D13049" t="s">
        <v>26</v>
      </c>
      <c r="E13049">
        <v>1320</v>
      </c>
    </row>
    <row r="13050" spans="1:5" x14ac:dyDescent="0.55000000000000004">
      <c r="A13050" t="s">
        <v>13131</v>
      </c>
      <c r="B13050" t="s">
        <v>142</v>
      </c>
      <c r="C13050" s="2">
        <v>42976</v>
      </c>
      <c r="D13050" t="s">
        <v>29</v>
      </c>
      <c r="E13050">
        <v>1771</v>
      </c>
    </row>
    <row r="13051" spans="1:5" x14ac:dyDescent="0.55000000000000004">
      <c r="A13051" t="s">
        <v>13132</v>
      </c>
      <c r="B13051" t="s">
        <v>14</v>
      </c>
      <c r="C13051" s="2">
        <v>43081</v>
      </c>
      <c r="D13051" t="s">
        <v>29</v>
      </c>
      <c r="E13051">
        <v>1424</v>
      </c>
    </row>
    <row r="13052" spans="1:5" x14ac:dyDescent="0.55000000000000004">
      <c r="A13052" t="s">
        <v>13133</v>
      </c>
      <c r="B13052" t="s">
        <v>118</v>
      </c>
      <c r="C13052" s="2">
        <v>43920</v>
      </c>
      <c r="D13052" t="s">
        <v>26</v>
      </c>
      <c r="E13052">
        <v>22</v>
      </c>
    </row>
    <row r="13053" spans="1:5" x14ac:dyDescent="0.55000000000000004">
      <c r="A13053" t="s">
        <v>13134</v>
      </c>
      <c r="B13053" t="s">
        <v>94</v>
      </c>
      <c r="C13053" s="2">
        <v>45304</v>
      </c>
      <c r="D13053" t="s">
        <v>29</v>
      </c>
      <c r="E13053">
        <v>2267</v>
      </c>
    </row>
    <row r="13054" spans="1:5" x14ac:dyDescent="0.55000000000000004">
      <c r="A13054" t="s">
        <v>13135</v>
      </c>
      <c r="B13054" t="s">
        <v>84</v>
      </c>
      <c r="C13054" s="2">
        <v>43283</v>
      </c>
      <c r="D13054" t="s">
        <v>29</v>
      </c>
      <c r="E13054">
        <v>1506</v>
      </c>
    </row>
    <row r="13055" spans="1:5" x14ac:dyDescent="0.55000000000000004">
      <c r="A13055" t="s">
        <v>13136</v>
      </c>
      <c r="B13055" t="s">
        <v>86</v>
      </c>
      <c r="C13055" s="2">
        <v>43852</v>
      </c>
      <c r="D13055" t="s">
        <v>29</v>
      </c>
      <c r="E13055">
        <v>420</v>
      </c>
    </row>
    <row r="13056" spans="1:5" x14ac:dyDescent="0.55000000000000004">
      <c r="A13056" t="s">
        <v>13137</v>
      </c>
      <c r="B13056" t="s">
        <v>67</v>
      </c>
      <c r="C13056" s="2">
        <v>45218</v>
      </c>
      <c r="D13056" t="s">
        <v>29</v>
      </c>
      <c r="E13056">
        <v>1975</v>
      </c>
    </row>
    <row r="13057" spans="1:5" x14ac:dyDescent="0.55000000000000004">
      <c r="A13057" t="s">
        <v>13138</v>
      </c>
      <c r="B13057" t="s">
        <v>137</v>
      </c>
      <c r="C13057" s="2">
        <v>43653</v>
      </c>
      <c r="D13057" t="s">
        <v>29</v>
      </c>
      <c r="E13057">
        <v>1752</v>
      </c>
    </row>
    <row r="13058" spans="1:5" x14ac:dyDescent="0.55000000000000004">
      <c r="A13058" t="s">
        <v>13139</v>
      </c>
      <c r="B13058" t="s">
        <v>96</v>
      </c>
      <c r="C13058" s="2">
        <v>44003</v>
      </c>
      <c r="D13058" t="s">
        <v>26</v>
      </c>
      <c r="E13058">
        <v>2474</v>
      </c>
    </row>
    <row r="13059" spans="1:5" x14ac:dyDescent="0.55000000000000004">
      <c r="A13059" t="s">
        <v>13140</v>
      </c>
      <c r="B13059" t="s">
        <v>78</v>
      </c>
      <c r="C13059" s="2">
        <v>44118</v>
      </c>
      <c r="D13059" t="s">
        <v>26</v>
      </c>
      <c r="E13059">
        <v>2266</v>
      </c>
    </row>
    <row r="13060" spans="1:5" x14ac:dyDescent="0.55000000000000004">
      <c r="A13060" t="s">
        <v>13141</v>
      </c>
      <c r="B13060" t="s">
        <v>118</v>
      </c>
      <c r="C13060" s="2">
        <v>44418</v>
      </c>
      <c r="D13060" t="s">
        <v>29</v>
      </c>
      <c r="E13060">
        <v>2401</v>
      </c>
    </row>
    <row r="13061" spans="1:5" x14ac:dyDescent="0.55000000000000004">
      <c r="A13061" t="s">
        <v>13142</v>
      </c>
      <c r="B13061" t="s">
        <v>76</v>
      </c>
      <c r="C13061" s="2">
        <v>43946</v>
      </c>
      <c r="D13061" t="s">
        <v>29</v>
      </c>
      <c r="E13061">
        <v>840</v>
      </c>
    </row>
    <row r="13062" spans="1:5" x14ac:dyDescent="0.55000000000000004">
      <c r="A13062" t="s">
        <v>13143</v>
      </c>
      <c r="B13062" t="s">
        <v>14</v>
      </c>
      <c r="C13062" s="2">
        <v>44217</v>
      </c>
      <c r="D13062" t="s">
        <v>26</v>
      </c>
      <c r="E13062">
        <v>453</v>
      </c>
    </row>
    <row r="13063" spans="1:5" x14ac:dyDescent="0.55000000000000004">
      <c r="A13063" t="s">
        <v>13144</v>
      </c>
      <c r="B13063" t="s">
        <v>86</v>
      </c>
      <c r="C13063" s="2">
        <v>43241</v>
      </c>
      <c r="D13063" t="s">
        <v>29</v>
      </c>
      <c r="E13063">
        <v>723</v>
      </c>
    </row>
    <row r="13064" spans="1:5" x14ac:dyDescent="0.55000000000000004">
      <c r="A13064" t="s">
        <v>13145</v>
      </c>
      <c r="B13064" t="s">
        <v>78</v>
      </c>
      <c r="C13064" s="2">
        <v>44955</v>
      </c>
      <c r="D13064" t="s">
        <v>29</v>
      </c>
      <c r="E13064">
        <v>2190</v>
      </c>
    </row>
    <row r="13065" spans="1:5" x14ac:dyDescent="0.55000000000000004">
      <c r="A13065" t="s">
        <v>13146</v>
      </c>
      <c r="B13065" t="s">
        <v>63</v>
      </c>
      <c r="C13065" s="2">
        <v>43318</v>
      </c>
      <c r="D13065" t="s">
        <v>29</v>
      </c>
      <c r="E13065">
        <v>1899</v>
      </c>
    </row>
    <row r="13066" spans="1:5" x14ac:dyDescent="0.55000000000000004">
      <c r="A13066" t="s">
        <v>13147</v>
      </c>
      <c r="B13066" t="s">
        <v>84</v>
      </c>
      <c r="C13066" s="2">
        <v>44524</v>
      </c>
      <c r="D13066" t="s">
        <v>26</v>
      </c>
      <c r="E13066">
        <v>2145</v>
      </c>
    </row>
    <row r="13067" spans="1:5" x14ac:dyDescent="0.55000000000000004">
      <c r="A13067" t="s">
        <v>13148</v>
      </c>
      <c r="B13067" t="s">
        <v>38</v>
      </c>
      <c r="C13067" s="2">
        <v>44040</v>
      </c>
      <c r="D13067" t="s">
        <v>26</v>
      </c>
      <c r="E13067">
        <v>2813</v>
      </c>
    </row>
    <row r="13068" spans="1:5" x14ac:dyDescent="0.55000000000000004">
      <c r="A13068" t="s">
        <v>13149</v>
      </c>
      <c r="B13068" t="s">
        <v>118</v>
      </c>
      <c r="C13068" s="2">
        <v>43650</v>
      </c>
      <c r="D13068" t="s">
        <v>29</v>
      </c>
      <c r="E13068">
        <v>2428</v>
      </c>
    </row>
    <row r="13069" spans="1:5" x14ac:dyDescent="0.55000000000000004">
      <c r="A13069" t="s">
        <v>13150</v>
      </c>
      <c r="B13069" t="s">
        <v>23</v>
      </c>
      <c r="C13069" s="2">
        <v>44379</v>
      </c>
      <c r="D13069" t="s">
        <v>29</v>
      </c>
      <c r="E13069">
        <v>2818</v>
      </c>
    </row>
    <row r="13070" spans="1:5" x14ac:dyDescent="0.55000000000000004">
      <c r="A13070" t="s">
        <v>13151</v>
      </c>
      <c r="B13070" t="s">
        <v>15</v>
      </c>
      <c r="C13070" s="2">
        <v>44203</v>
      </c>
      <c r="D13070" t="s">
        <v>29</v>
      </c>
      <c r="E13070">
        <v>2420</v>
      </c>
    </row>
    <row r="13071" spans="1:5" x14ac:dyDescent="0.55000000000000004">
      <c r="A13071" t="s">
        <v>13152</v>
      </c>
      <c r="B13071" t="s">
        <v>78</v>
      </c>
      <c r="C13071" s="2">
        <v>45650</v>
      </c>
      <c r="D13071" t="s">
        <v>26</v>
      </c>
      <c r="E13071">
        <v>371</v>
      </c>
    </row>
    <row r="13072" spans="1:5" x14ac:dyDescent="0.55000000000000004">
      <c r="A13072" t="s">
        <v>13153</v>
      </c>
      <c r="B13072" t="s">
        <v>105</v>
      </c>
      <c r="C13072" s="2">
        <v>44291</v>
      </c>
      <c r="D13072" t="s">
        <v>26</v>
      </c>
      <c r="E13072">
        <v>1401</v>
      </c>
    </row>
    <row r="13073" spans="1:5" x14ac:dyDescent="0.55000000000000004">
      <c r="A13073" t="s">
        <v>13154</v>
      </c>
      <c r="B13073" t="s">
        <v>118</v>
      </c>
      <c r="C13073" s="2">
        <v>45124</v>
      </c>
      <c r="D13073" t="s">
        <v>26</v>
      </c>
      <c r="E13073">
        <v>249</v>
      </c>
    </row>
    <row r="13074" spans="1:5" x14ac:dyDescent="0.55000000000000004">
      <c r="A13074" t="s">
        <v>13155</v>
      </c>
      <c r="B13074" t="s">
        <v>99</v>
      </c>
      <c r="C13074" s="2">
        <v>44351</v>
      </c>
      <c r="D13074" t="s">
        <v>29</v>
      </c>
      <c r="E13074">
        <v>393</v>
      </c>
    </row>
    <row r="13075" spans="1:5" x14ac:dyDescent="0.55000000000000004">
      <c r="A13075" t="s">
        <v>13156</v>
      </c>
      <c r="B13075" t="s">
        <v>78</v>
      </c>
      <c r="C13075" s="2">
        <v>43525</v>
      </c>
      <c r="D13075" t="s">
        <v>26</v>
      </c>
      <c r="E13075">
        <v>609</v>
      </c>
    </row>
    <row r="13076" spans="1:5" x14ac:dyDescent="0.55000000000000004">
      <c r="A13076" t="s">
        <v>13157</v>
      </c>
      <c r="B13076" t="s">
        <v>86</v>
      </c>
      <c r="C13076" s="2">
        <v>43922</v>
      </c>
      <c r="D13076" t="s">
        <v>26</v>
      </c>
      <c r="E13076">
        <v>286</v>
      </c>
    </row>
    <row r="13077" spans="1:5" x14ac:dyDescent="0.55000000000000004">
      <c r="A13077" t="s">
        <v>13158</v>
      </c>
      <c r="B13077" t="s">
        <v>76</v>
      </c>
      <c r="C13077" s="2">
        <v>45118</v>
      </c>
      <c r="D13077" t="s">
        <v>26</v>
      </c>
      <c r="E13077">
        <v>2939</v>
      </c>
    </row>
    <row r="13078" spans="1:5" x14ac:dyDescent="0.55000000000000004">
      <c r="A13078" t="s">
        <v>13159</v>
      </c>
      <c r="B13078" t="s">
        <v>142</v>
      </c>
      <c r="C13078" s="2">
        <v>44422</v>
      </c>
      <c r="D13078" t="s">
        <v>29</v>
      </c>
      <c r="E13078">
        <v>2942</v>
      </c>
    </row>
    <row r="13079" spans="1:5" x14ac:dyDescent="0.55000000000000004">
      <c r="A13079" t="s">
        <v>13160</v>
      </c>
      <c r="B13079" t="s">
        <v>63</v>
      </c>
      <c r="C13079" s="2">
        <v>43854</v>
      </c>
      <c r="D13079" t="s">
        <v>26</v>
      </c>
      <c r="E13079">
        <v>927</v>
      </c>
    </row>
    <row r="13080" spans="1:5" x14ac:dyDescent="0.55000000000000004">
      <c r="A13080" t="s">
        <v>13161</v>
      </c>
      <c r="B13080" t="s">
        <v>94</v>
      </c>
      <c r="C13080" s="2">
        <v>44988</v>
      </c>
      <c r="D13080" t="s">
        <v>29</v>
      </c>
      <c r="E13080">
        <v>2535</v>
      </c>
    </row>
    <row r="13081" spans="1:5" x14ac:dyDescent="0.55000000000000004">
      <c r="A13081" t="s">
        <v>13162</v>
      </c>
      <c r="B13081" t="s">
        <v>86</v>
      </c>
      <c r="C13081" s="2">
        <v>44192</v>
      </c>
      <c r="D13081" t="s">
        <v>26</v>
      </c>
      <c r="E13081">
        <v>1302</v>
      </c>
    </row>
    <row r="13082" spans="1:5" x14ac:dyDescent="0.55000000000000004">
      <c r="A13082" t="s">
        <v>13163</v>
      </c>
      <c r="B13082" t="s">
        <v>115</v>
      </c>
      <c r="C13082" s="2">
        <v>43718</v>
      </c>
      <c r="D13082" t="s">
        <v>29</v>
      </c>
      <c r="E13082">
        <v>1551</v>
      </c>
    </row>
    <row r="13083" spans="1:5" x14ac:dyDescent="0.55000000000000004">
      <c r="A13083" t="s">
        <v>13164</v>
      </c>
      <c r="B13083" t="s">
        <v>118</v>
      </c>
      <c r="C13083" s="2">
        <v>43780</v>
      </c>
      <c r="D13083" t="s">
        <v>29</v>
      </c>
      <c r="E13083">
        <v>2888</v>
      </c>
    </row>
    <row r="13084" spans="1:5" x14ac:dyDescent="0.55000000000000004">
      <c r="A13084" t="s">
        <v>13165</v>
      </c>
      <c r="B13084" t="s">
        <v>140</v>
      </c>
      <c r="C13084" s="2">
        <v>43227</v>
      </c>
      <c r="D13084" t="s">
        <v>29</v>
      </c>
      <c r="E13084">
        <v>1422</v>
      </c>
    </row>
    <row r="13085" spans="1:5" x14ac:dyDescent="0.55000000000000004">
      <c r="A13085" t="s">
        <v>13166</v>
      </c>
      <c r="B13085" t="s">
        <v>99</v>
      </c>
      <c r="C13085" s="2">
        <v>45090</v>
      </c>
      <c r="D13085" t="s">
        <v>26</v>
      </c>
      <c r="E13085">
        <v>1580</v>
      </c>
    </row>
    <row r="13086" spans="1:5" x14ac:dyDescent="0.55000000000000004">
      <c r="A13086" t="s">
        <v>13167</v>
      </c>
      <c r="B13086" t="s">
        <v>76</v>
      </c>
      <c r="C13086" s="2">
        <v>43688</v>
      </c>
      <c r="D13086" t="s">
        <v>26</v>
      </c>
      <c r="E13086">
        <v>1473</v>
      </c>
    </row>
    <row r="13087" spans="1:5" x14ac:dyDescent="0.55000000000000004">
      <c r="A13087" t="s">
        <v>13168</v>
      </c>
      <c r="B13087" t="s">
        <v>63</v>
      </c>
      <c r="C13087" s="2">
        <v>43686</v>
      </c>
      <c r="D13087" t="s">
        <v>29</v>
      </c>
      <c r="E13087">
        <v>770</v>
      </c>
    </row>
    <row r="13088" spans="1:5" x14ac:dyDescent="0.55000000000000004">
      <c r="A13088" t="s">
        <v>13169</v>
      </c>
      <c r="B13088" t="s">
        <v>72</v>
      </c>
      <c r="C13088" s="2">
        <v>43041</v>
      </c>
      <c r="D13088" t="s">
        <v>26</v>
      </c>
      <c r="E13088">
        <v>728</v>
      </c>
    </row>
    <row r="13089" spans="1:5" x14ac:dyDescent="0.55000000000000004">
      <c r="A13089" t="s">
        <v>13170</v>
      </c>
      <c r="B13089" t="s">
        <v>111</v>
      </c>
      <c r="C13089" s="2">
        <v>43482</v>
      </c>
      <c r="D13089" t="s">
        <v>29</v>
      </c>
      <c r="E13089">
        <v>188</v>
      </c>
    </row>
    <row r="13090" spans="1:5" x14ac:dyDescent="0.55000000000000004">
      <c r="A13090" t="s">
        <v>13171</v>
      </c>
      <c r="B13090" t="s">
        <v>137</v>
      </c>
      <c r="C13090" s="2">
        <v>45717</v>
      </c>
      <c r="D13090" t="s">
        <v>26</v>
      </c>
      <c r="E13090">
        <v>1586</v>
      </c>
    </row>
    <row r="13091" spans="1:5" x14ac:dyDescent="0.55000000000000004">
      <c r="A13091" t="s">
        <v>13172</v>
      </c>
      <c r="B13091" t="s">
        <v>32</v>
      </c>
      <c r="C13091" s="2">
        <v>44380</v>
      </c>
      <c r="D13091" t="s">
        <v>26</v>
      </c>
      <c r="E13091">
        <v>2508</v>
      </c>
    </row>
    <row r="13092" spans="1:5" x14ac:dyDescent="0.55000000000000004">
      <c r="A13092" t="s">
        <v>13173</v>
      </c>
      <c r="B13092" t="s">
        <v>15</v>
      </c>
      <c r="C13092" s="2">
        <v>44062</v>
      </c>
      <c r="D13092" t="s">
        <v>29</v>
      </c>
      <c r="E13092">
        <v>836</v>
      </c>
    </row>
    <row r="13093" spans="1:5" x14ac:dyDescent="0.55000000000000004">
      <c r="A13093" t="s">
        <v>13174</v>
      </c>
      <c r="B13093" t="s">
        <v>175</v>
      </c>
      <c r="C13093" s="2">
        <v>45755</v>
      </c>
      <c r="D13093" t="s">
        <v>29</v>
      </c>
      <c r="E13093">
        <v>396</v>
      </c>
    </row>
    <row r="13094" spans="1:5" x14ac:dyDescent="0.55000000000000004">
      <c r="A13094" t="s">
        <v>13175</v>
      </c>
      <c r="B13094" t="s">
        <v>175</v>
      </c>
      <c r="C13094" s="2">
        <v>45660</v>
      </c>
      <c r="D13094" t="s">
        <v>26</v>
      </c>
      <c r="E13094">
        <v>2605</v>
      </c>
    </row>
    <row r="13095" spans="1:5" x14ac:dyDescent="0.55000000000000004">
      <c r="A13095" t="s">
        <v>13176</v>
      </c>
      <c r="B13095" t="s">
        <v>94</v>
      </c>
      <c r="C13095" s="2">
        <v>44643</v>
      </c>
      <c r="D13095" t="s">
        <v>26</v>
      </c>
      <c r="E13095">
        <v>229</v>
      </c>
    </row>
    <row r="13096" spans="1:5" x14ac:dyDescent="0.55000000000000004">
      <c r="A13096" t="s">
        <v>13177</v>
      </c>
      <c r="B13096" t="s">
        <v>142</v>
      </c>
      <c r="C13096" s="2">
        <v>44227</v>
      </c>
      <c r="D13096" t="s">
        <v>26</v>
      </c>
      <c r="E13096">
        <v>1790</v>
      </c>
    </row>
    <row r="13097" spans="1:5" x14ac:dyDescent="0.55000000000000004">
      <c r="A13097" t="s">
        <v>13178</v>
      </c>
      <c r="B13097" t="s">
        <v>101</v>
      </c>
      <c r="C13097" s="2">
        <v>43577</v>
      </c>
      <c r="D13097" t="s">
        <v>29</v>
      </c>
      <c r="E13097">
        <v>2110</v>
      </c>
    </row>
    <row r="13098" spans="1:5" x14ac:dyDescent="0.55000000000000004">
      <c r="A13098" t="s">
        <v>13179</v>
      </c>
      <c r="B13098" t="s">
        <v>156</v>
      </c>
      <c r="C13098" s="2">
        <v>43410</v>
      </c>
      <c r="D13098" t="s">
        <v>26</v>
      </c>
      <c r="E13098">
        <v>111</v>
      </c>
    </row>
    <row r="13099" spans="1:5" x14ac:dyDescent="0.55000000000000004">
      <c r="A13099" t="s">
        <v>13180</v>
      </c>
      <c r="B13099" t="s">
        <v>118</v>
      </c>
      <c r="C13099" s="2">
        <v>43489</v>
      </c>
      <c r="D13099" t="s">
        <v>29</v>
      </c>
      <c r="E13099">
        <v>1763</v>
      </c>
    </row>
    <row r="13100" spans="1:5" x14ac:dyDescent="0.55000000000000004">
      <c r="A13100" t="s">
        <v>13181</v>
      </c>
      <c r="B13100" t="s">
        <v>142</v>
      </c>
      <c r="C13100" s="2">
        <v>43378</v>
      </c>
      <c r="D13100" t="s">
        <v>29</v>
      </c>
      <c r="E13100">
        <v>2662</v>
      </c>
    </row>
    <row r="13101" spans="1:5" x14ac:dyDescent="0.55000000000000004">
      <c r="A13101" t="s">
        <v>13182</v>
      </c>
      <c r="B13101" t="s">
        <v>41</v>
      </c>
      <c r="C13101" s="2">
        <v>44679</v>
      </c>
      <c r="D13101" t="s">
        <v>26</v>
      </c>
      <c r="E13101">
        <v>2903</v>
      </c>
    </row>
    <row r="13102" spans="1:5" x14ac:dyDescent="0.55000000000000004">
      <c r="A13102" t="s">
        <v>13183</v>
      </c>
      <c r="B13102" t="s">
        <v>99</v>
      </c>
      <c r="C13102" s="2">
        <v>45499</v>
      </c>
      <c r="D13102" t="s">
        <v>26</v>
      </c>
      <c r="E13102">
        <v>1572</v>
      </c>
    </row>
    <row r="13103" spans="1:5" x14ac:dyDescent="0.55000000000000004">
      <c r="A13103" t="s">
        <v>13184</v>
      </c>
      <c r="B13103" t="s">
        <v>84</v>
      </c>
      <c r="C13103" s="2">
        <v>44074</v>
      </c>
      <c r="D13103" t="s">
        <v>26</v>
      </c>
      <c r="E13103">
        <v>1926</v>
      </c>
    </row>
    <row r="13104" spans="1:5" x14ac:dyDescent="0.55000000000000004">
      <c r="A13104" t="s">
        <v>13185</v>
      </c>
      <c r="B13104" t="s">
        <v>86</v>
      </c>
      <c r="C13104" s="2">
        <v>44194</v>
      </c>
      <c r="D13104" t="s">
        <v>26</v>
      </c>
      <c r="E13104">
        <v>1165</v>
      </c>
    </row>
    <row r="13105" spans="1:5" x14ac:dyDescent="0.55000000000000004">
      <c r="A13105" t="s">
        <v>13186</v>
      </c>
      <c r="B13105" t="s">
        <v>156</v>
      </c>
      <c r="C13105" s="2">
        <v>43874</v>
      </c>
      <c r="D13105" t="s">
        <v>26</v>
      </c>
      <c r="E13105">
        <v>2602</v>
      </c>
    </row>
    <row r="13106" spans="1:5" x14ac:dyDescent="0.55000000000000004">
      <c r="A13106" t="s">
        <v>13187</v>
      </c>
      <c r="B13106" t="s">
        <v>175</v>
      </c>
      <c r="C13106" s="2">
        <v>44755</v>
      </c>
      <c r="D13106" t="s">
        <v>26</v>
      </c>
      <c r="E13106">
        <v>236</v>
      </c>
    </row>
    <row r="13107" spans="1:5" x14ac:dyDescent="0.55000000000000004">
      <c r="A13107" t="s">
        <v>13188</v>
      </c>
      <c r="B13107" t="s">
        <v>84</v>
      </c>
      <c r="C13107" s="2">
        <v>43879</v>
      </c>
      <c r="D13107" t="s">
        <v>26</v>
      </c>
      <c r="E13107">
        <v>518</v>
      </c>
    </row>
    <row r="13108" spans="1:5" x14ac:dyDescent="0.55000000000000004">
      <c r="A13108" t="s">
        <v>13189</v>
      </c>
      <c r="B13108" t="s">
        <v>96</v>
      </c>
      <c r="C13108" s="2">
        <v>45635</v>
      </c>
      <c r="D13108" t="s">
        <v>26</v>
      </c>
      <c r="E13108">
        <v>654</v>
      </c>
    </row>
    <row r="13109" spans="1:5" x14ac:dyDescent="0.55000000000000004">
      <c r="A13109" t="s">
        <v>13190</v>
      </c>
      <c r="B13109" t="s">
        <v>76</v>
      </c>
      <c r="C13109" s="2">
        <v>45331</v>
      </c>
      <c r="D13109" t="s">
        <v>29</v>
      </c>
      <c r="E13109">
        <v>1076</v>
      </c>
    </row>
    <row r="13110" spans="1:5" x14ac:dyDescent="0.55000000000000004">
      <c r="A13110" t="s">
        <v>13191</v>
      </c>
      <c r="B13110" t="s">
        <v>86</v>
      </c>
      <c r="C13110" s="2">
        <v>43149</v>
      </c>
      <c r="D13110" t="s">
        <v>26</v>
      </c>
      <c r="E13110">
        <v>17</v>
      </c>
    </row>
    <row r="13111" spans="1:5" x14ac:dyDescent="0.55000000000000004">
      <c r="A13111" t="s">
        <v>13192</v>
      </c>
      <c r="B13111" t="s">
        <v>38</v>
      </c>
      <c r="C13111" s="2">
        <v>43928</v>
      </c>
      <c r="D13111" t="s">
        <v>29</v>
      </c>
      <c r="E13111">
        <v>2582</v>
      </c>
    </row>
    <row r="13112" spans="1:5" x14ac:dyDescent="0.55000000000000004">
      <c r="A13112" t="s">
        <v>13193</v>
      </c>
      <c r="B13112" t="s">
        <v>137</v>
      </c>
      <c r="C13112" s="2">
        <v>43670</v>
      </c>
      <c r="D13112" t="s">
        <v>26</v>
      </c>
      <c r="E13112">
        <v>2552</v>
      </c>
    </row>
    <row r="13113" spans="1:5" x14ac:dyDescent="0.55000000000000004">
      <c r="A13113" t="s">
        <v>13194</v>
      </c>
      <c r="B13113" t="s">
        <v>99</v>
      </c>
      <c r="C13113" s="2">
        <v>44808</v>
      </c>
      <c r="D13113" t="s">
        <v>29</v>
      </c>
      <c r="E13113">
        <v>1345</v>
      </c>
    </row>
    <row r="13114" spans="1:5" x14ac:dyDescent="0.55000000000000004">
      <c r="A13114" t="s">
        <v>13195</v>
      </c>
      <c r="B13114" t="s">
        <v>156</v>
      </c>
      <c r="C13114" s="2">
        <v>43904</v>
      </c>
      <c r="D13114" t="s">
        <v>26</v>
      </c>
      <c r="E13114">
        <v>2220</v>
      </c>
    </row>
    <row r="13115" spans="1:5" x14ac:dyDescent="0.55000000000000004">
      <c r="A13115" t="s">
        <v>13196</v>
      </c>
      <c r="B13115" t="s">
        <v>67</v>
      </c>
      <c r="C13115" s="2">
        <v>43466</v>
      </c>
      <c r="D13115" t="s">
        <v>29</v>
      </c>
      <c r="E13115">
        <v>737</v>
      </c>
    </row>
    <row r="13116" spans="1:5" x14ac:dyDescent="0.55000000000000004">
      <c r="A13116" t="s">
        <v>13197</v>
      </c>
      <c r="B13116" t="s">
        <v>96</v>
      </c>
      <c r="C13116" s="2">
        <v>44725</v>
      </c>
      <c r="D13116" t="s">
        <v>26</v>
      </c>
      <c r="E13116">
        <v>1567</v>
      </c>
    </row>
    <row r="13117" spans="1:5" x14ac:dyDescent="0.55000000000000004">
      <c r="A13117" t="s">
        <v>13198</v>
      </c>
      <c r="B13117" t="s">
        <v>105</v>
      </c>
      <c r="C13117" s="2">
        <v>43962</v>
      </c>
      <c r="D13117" t="s">
        <v>26</v>
      </c>
      <c r="E13117">
        <v>2053</v>
      </c>
    </row>
    <row r="13118" spans="1:5" x14ac:dyDescent="0.55000000000000004">
      <c r="A13118" t="s">
        <v>13199</v>
      </c>
      <c r="B13118" t="s">
        <v>111</v>
      </c>
      <c r="C13118" s="2">
        <v>44522</v>
      </c>
      <c r="D13118" t="s">
        <v>26</v>
      </c>
      <c r="E13118">
        <v>1820</v>
      </c>
    </row>
    <row r="13119" spans="1:5" x14ac:dyDescent="0.55000000000000004">
      <c r="A13119" t="s">
        <v>13200</v>
      </c>
      <c r="B13119" t="s">
        <v>105</v>
      </c>
      <c r="C13119" s="2">
        <v>43622</v>
      </c>
      <c r="D13119" t="s">
        <v>29</v>
      </c>
      <c r="E13119">
        <v>916</v>
      </c>
    </row>
    <row r="13120" spans="1:5" x14ac:dyDescent="0.55000000000000004">
      <c r="A13120" t="s">
        <v>13201</v>
      </c>
      <c r="B13120" t="s">
        <v>105</v>
      </c>
      <c r="C13120" s="2">
        <v>42943</v>
      </c>
      <c r="D13120" t="s">
        <v>29</v>
      </c>
      <c r="E13120">
        <v>2840</v>
      </c>
    </row>
    <row r="13121" spans="1:5" x14ac:dyDescent="0.55000000000000004">
      <c r="A13121" t="s">
        <v>13202</v>
      </c>
      <c r="B13121" t="s">
        <v>72</v>
      </c>
      <c r="C13121" s="2">
        <v>44015</v>
      </c>
      <c r="D13121" t="s">
        <v>29</v>
      </c>
      <c r="E13121">
        <v>298</v>
      </c>
    </row>
    <row r="13122" spans="1:5" x14ac:dyDescent="0.55000000000000004">
      <c r="A13122" t="s">
        <v>13203</v>
      </c>
      <c r="B13122" t="s">
        <v>111</v>
      </c>
      <c r="C13122" s="2">
        <v>43674</v>
      </c>
      <c r="D13122" t="s">
        <v>26</v>
      </c>
      <c r="E13122">
        <v>479</v>
      </c>
    </row>
    <row r="13123" spans="1:5" x14ac:dyDescent="0.55000000000000004">
      <c r="A13123" t="s">
        <v>13204</v>
      </c>
      <c r="B13123" t="s">
        <v>151</v>
      </c>
      <c r="C13123" s="2">
        <v>43591</v>
      </c>
      <c r="D13123" t="s">
        <v>26</v>
      </c>
      <c r="E13123">
        <v>1035</v>
      </c>
    </row>
    <row r="13124" spans="1:5" x14ac:dyDescent="0.55000000000000004">
      <c r="A13124" t="s">
        <v>13205</v>
      </c>
      <c r="B13124" t="s">
        <v>15</v>
      </c>
      <c r="C13124" s="2">
        <v>43082</v>
      </c>
      <c r="D13124" t="s">
        <v>26</v>
      </c>
      <c r="E13124">
        <v>1792</v>
      </c>
    </row>
    <row r="13125" spans="1:5" x14ac:dyDescent="0.55000000000000004">
      <c r="A13125" t="s">
        <v>13206</v>
      </c>
      <c r="B13125" t="s">
        <v>99</v>
      </c>
      <c r="C13125" s="2">
        <v>45555</v>
      </c>
      <c r="D13125" t="s">
        <v>29</v>
      </c>
      <c r="E13125">
        <v>2754</v>
      </c>
    </row>
    <row r="13126" spans="1:5" x14ac:dyDescent="0.55000000000000004">
      <c r="A13126" t="s">
        <v>13207</v>
      </c>
      <c r="B13126" t="s">
        <v>118</v>
      </c>
      <c r="C13126" s="2">
        <v>44881</v>
      </c>
      <c r="D13126" t="s">
        <v>26</v>
      </c>
      <c r="E13126">
        <v>2947</v>
      </c>
    </row>
    <row r="13127" spans="1:5" x14ac:dyDescent="0.55000000000000004">
      <c r="A13127" t="s">
        <v>13208</v>
      </c>
      <c r="B13127" t="s">
        <v>86</v>
      </c>
      <c r="C13127" s="2">
        <v>43167</v>
      </c>
      <c r="D13127" t="s">
        <v>26</v>
      </c>
      <c r="E13127">
        <v>2549</v>
      </c>
    </row>
    <row r="13128" spans="1:5" x14ac:dyDescent="0.55000000000000004">
      <c r="A13128" t="s">
        <v>13209</v>
      </c>
      <c r="B13128" t="s">
        <v>78</v>
      </c>
      <c r="C13128" s="2">
        <v>43959</v>
      </c>
      <c r="D13128" t="s">
        <v>29</v>
      </c>
      <c r="E13128">
        <v>359</v>
      </c>
    </row>
    <row r="13129" spans="1:5" x14ac:dyDescent="0.55000000000000004">
      <c r="A13129" t="s">
        <v>13210</v>
      </c>
      <c r="B13129" t="s">
        <v>67</v>
      </c>
      <c r="C13129" s="2">
        <v>43566</v>
      </c>
      <c r="D13129" t="s">
        <v>29</v>
      </c>
      <c r="E13129">
        <v>379</v>
      </c>
    </row>
    <row r="13130" spans="1:5" x14ac:dyDescent="0.55000000000000004">
      <c r="A13130" t="s">
        <v>13211</v>
      </c>
      <c r="B13130" t="s">
        <v>175</v>
      </c>
      <c r="C13130" s="2">
        <v>44651</v>
      </c>
      <c r="D13130" t="s">
        <v>26</v>
      </c>
      <c r="E13130">
        <v>520</v>
      </c>
    </row>
    <row r="13131" spans="1:5" x14ac:dyDescent="0.55000000000000004">
      <c r="A13131" t="s">
        <v>13212</v>
      </c>
      <c r="B13131" t="s">
        <v>14</v>
      </c>
      <c r="C13131" s="2">
        <v>44377</v>
      </c>
      <c r="D13131" t="s">
        <v>26</v>
      </c>
      <c r="E13131">
        <v>2017</v>
      </c>
    </row>
    <row r="13132" spans="1:5" x14ac:dyDescent="0.55000000000000004">
      <c r="A13132" t="s">
        <v>13213</v>
      </c>
      <c r="B13132" t="s">
        <v>84</v>
      </c>
      <c r="C13132" s="2">
        <v>44211</v>
      </c>
      <c r="D13132" t="s">
        <v>26</v>
      </c>
      <c r="E13132">
        <v>1125</v>
      </c>
    </row>
    <row r="13133" spans="1:5" x14ac:dyDescent="0.55000000000000004">
      <c r="A13133" t="s">
        <v>13214</v>
      </c>
      <c r="B13133" t="s">
        <v>78</v>
      </c>
      <c r="C13133" s="2">
        <v>44996</v>
      </c>
      <c r="D13133" t="s">
        <v>26</v>
      </c>
      <c r="E13133">
        <v>1356</v>
      </c>
    </row>
    <row r="13134" spans="1:5" x14ac:dyDescent="0.55000000000000004">
      <c r="A13134" t="s">
        <v>13215</v>
      </c>
      <c r="B13134" t="s">
        <v>140</v>
      </c>
      <c r="C13134" s="2">
        <v>44105</v>
      </c>
      <c r="D13134" t="s">
        <v>26</v>
      </c>
      <c r="E13134">
        <v>885</v>
      </c>
    </row>
    <row r="13135" spans="1:5" x14ac:dyDescent="0.55000000000000004">
      <c r="A13135" t="s">
        <v>13216</v>
      </c>
      <c r="B13135" t="s">
        <v>137</v>
      </c>
      <c r="C13135" s="2">
        <v>44096</v>
      </c>
      <c r="D13135" t="s">
        <v>29</v>
      </c>
      <c r="E13135">
        <v>1667</v>
      </c>
    </row>
    <row r="13136" spans="1:5" x14ac:dyDescent="0.55000000000000004">
      <c r="A13136" t="s">
        <v>13217</v>
      </c>
      <c r="B13136" t="s">
        <v>41</v>
      </c>
      <c r="C13136" s="2">
        <v>44128</v>
      </c>
      <c r="D13136" t="s">
        <v>29</v>
      </c>
      <c r="E13136">
        <v>2300</v>
      </c>
    </row>
    <row r="13137" spans="1:5" x14ac:dyDescent="0.55000000000000004">
      <c r="A13137" t="s">
        <v>13218</v>
      </c>
      <c r="B13137" t="s">
        <v>23</v>
      </c>
      <c r="C13137" s="2">
        <v>44374</v>
      </c>
      <c r="D13137" t="s">
        <v>29</v>
      </c>
      <c r="E13137">
        <v>926</v>
      </c>
    </row>
    <row r="13138" spans="1:5" x14ac:dyDescent="0.55000000000000004">
      <c r="A13138" t="s">
        <v>13219</v>
      </c>
      <c r="B13138" t="s">
        <v>67</v>
      </c>
      <c r="C13138" s="2">
        <v>45372</v>
      </c>
      <c r="D13138" t="s">
        <v>26</v>
      </c>
      <c r="E13138">
        <v>172</v>
      </c>
    </row>
    <row r="13139" spans="1:5" x14ac:dyDescent="0.55000000000000004">
      <c r="A13139" t="s">
        <v>13220</v>
      </c>
      <c r="B13139" t="s">
        <v>23</v>
      </c>
      <c r="C13139" s="2">
        <v>44139</v>
      </c>
      <c r="D13139" t="s">
        <v>29</v>
      </c>
      <c r="E13139">
        <v>729</v>
      </c>
    </row>
    <row r="13140" spans="1:5" x14ac:dyDescent="0.55000000000000004">
      <c r="A13140" t="s">
        <v>13221</v>
      </c>
      <c r="B13140" t="s">
        <v>76</v>
      </c>
      <c r="C13140" s="2">
        <v>44300</v>
      </c>
      <c r="D13140" t="s">
        <v>26</v>
      </c>
      <c r="E13140">
        <v>1537</v>
      </c>
    </row>
    <row r="13141" spans="1:5" x14ac:dyDescent="0.55000000000000004">
      <c r="A13141" t="s">
        <v>13222</v>
      </c>
      <c r="B13141" t="s">
        <v>142</v>
      </c>
      <c r="C13141" s="2">
        <v>43668</v>
      </c>
      <c r="D13141" t="s">
        <v>29</v>
      </c>
      <c r="E13141">
        <v>813</v>
      </c>
    </row>
    <row r="13142" spans="1:5" x14ac:dyDescent="0.55000000000000004">
      <c r="A13142" t="s">
        <v>13223</v>
      </c>
      <c r="B13142" t="s">
        <v>140</v>
      </c>
      <c r="C13142" s="2">
        <v>43009</v>
      </c>
      <c r="D13142" t="s">
        <v>29</v>
      </c>
      <c r="E13142">
        <v>331</v>
      </c>
    </row>
    <row r="13143" spans="1:5" x14ac:dyDescent="0.55000000000000004">
      <c r="A13143" t="s">
        <v>13224</v>
      </c>
      <c r="B13143" t="s">
        <v>72</v>
      </c>
      <c r="C13143" s="2">
        <v>43534</v>
      </c>
      <c r="D13143" t="s">
        <v>26</v>
      </c>
      <c r="E13143">
        <v>833</v>
      </c>
    </row>
    <row r="13144" spans="1:5" x14ac:dyDescent="0.55000000000000004">
      <c r="A13144" t="s">
        <v>13225</v>
      </c>
      <c r="B13144" t="s">
        <v>96</v>
      </c>
      <c r="C13144" s="2">
        <v>44306</v>
      </c>
      <c r="D13144" t="s">
        <v>29</v>
      </c>
      <c r="E13144">
        <v>2521</v>
      </c>
    </row>
    <row r="13145" spans="1:5" x14ac:dyDescent="0.55000000000000004">
      <c r="A13145" t="s">
        <v>13226</v>
      </c>
      <c r="B13145" t="s">
        <v>74</v>
      </c>
      <c r="C13145" s="2">
        <v>43197</v>
      </c>
      <c r="D13145" t="s">
        <v>29</v>
      </c>
      <c r="E13145">
        <v>2192</v>
      </c>
    </row>
    <row r="13146" spans="1:5" x14ac:dyDescent="0.55000000000000004">
      <c r="A13146" t="s">
        <v>13227</v>
      </c>
      <c r="B13146" t="s">
        <v>175</v>
      </c>
      <c r="C13146" s="2">
        <v>43750</v>
      </c>
      <c r="D13146" t="s">
        <v>26</v>
      </c>
      <c r="E13146">
        <v>1762</v>
      </c>
    </row>
    <row r="13147" spans="1:5" x14ac:dyDescent="0.55000000000000004">
      <c r="A13147" t="s">
        <v>13228</v>
      </c>
      <c r="B13147" t="s">
        <v>101</v>
      </c>
      <c r="C13147" s="2">
        <v>44101</v>
      </c>
      <c r="D13147" t="s">
        <v>29</v>
      </c>
      <c r="E13147">
        <v>776</v>
      </c>
    </row>
    <row r="13148" spans="1:5" x14ac:dyDescent="0.55000000000000004">
      <c r="A13148" t="s">
        <v>13229</v>
      </c>
      <c r="B13148" t="s">
        <v>140</v>
      </c>
      <c r="C13148" s="2">
        <v>43526</v>
      </c>
      <c r="D13148" t="s">
        <v>26</v>
      </c>
      <c r="E13148">
        <v>1751</v>
      </c>
    </row>
    <row r="13149" spans="1:5" x14ac:dyDescent="0.55000000000000004">
      <c r="A13149" t="s">
        <v>13230</v>
      </c>
      <c r="B13149" t="s">
        <v>86</v>
      </c>
      <c r="C13149" s="2">
        <v>44305</v>
      </c>
      <c r="D13149" t="s">
        <v>26</v>
      </c>
      <c r="E13149">
        <v>344</v>
      </c>
    </row>
    <row r="13150" spans="1:5" x14ac:dyDescent="0.55000000000000004">
      <c r="A13150" t="s">
        <v>13231</v>
      </c>
      <c r="B13150" t="s">
        <v>38</v>
      </c>
      <c r="C13150" s="2">
        <v>44458</v>
      </c>
      <c r="D13150" t="s">
        <v>29</v>
      </c>
      <c r="E13150">
        <v>2838</v>
      </c>
    </row>
    <row r="13151" spans="1:5" x14ac:dyDescent="0.55000000000000004">
      <c r="A13151" t="s">
        <v>13232</v>
      </c>
      <c r="B13151" t="s">
        <v>32</v>
      </c>
      <c r="C13151" s="2">
        <v>44404</v>
      </c>
      <c r="D13151" t="s">
        <v>29</v>
      </c>
      <c r="E13151">
        <v>1723</v>
      </c>
    </row>
    <row r="13152" spans="1:5" x14ac:dyDescent="0.55000000000000004">
      <c r="A13152" t="s">
        <v>13233</v>
      </c>
      <c r="B13152" t="s">
        <v>99</v>
      </c>
      <c r="C13152" s="2">
        <v>43946</v>
      </c>
      <c r="D13152" t="s">
        <v>29</v>
      </c>
      <c r="E13152">
        <v>129</v>
      </c>
    </row>
    <row r="13153" spans="1:5" x14ac:dyDescent="0.55000000000000004">
      <c r="A13153" t="s">
        <v>13234</v>
      </c>
      <c r="B13153" t="s">
        <v>118</v>
      </c>
      <c r="C13153" s="2">
        <v>45690</v>
      </c>
      <c r="D13153" t="s">
        <v>29</v>
      </c>
      <c r="E13153">
        <v>445</v>
      </c>
    </row>
    <row r="13154" spans="1:5" x14ac:dyDescent="0.55000000000000004">
      <c r="A13154" t="s">
        <v>13235</v>
      </c>
      <c r="B13154" t="s">
        <v>156</v>
      </c>
      <c r="C13154" s="2">
        <v>43698</v>
      </c>
      <c r="D13154" t="s">
        <v>26</v>
      </c>
      <c r="E13154">
        <v>2675</v>
      </c>
    </row>
    <row r="13155" spans="1:5" x14ac:dyDescent="0.55000000000000004">
      <c r="A13155" t="s">
        <v>13236</v>
      </c>
      <c r="B13155" t="s">
        <v>115</v>
      </c>
      <c r="C13155" s="2">
        <v>44010</v>
      </c>
      <c r="D13155" t="s">
        <v>29</v>
      </c>
      <c r="E13155">
        <v>2528</v>
      </c>
    </row>
    <row r="13156" spans="1:5" x14ac:dyDescent="0.55000000000000004">
      <c r="A13156" t="s">
        <v>13237</v>
      </c>
      <c r="B13156" t="s">
        <v>99</v>
      </c>
      <c r="C13156" s="2">
        <v>45837</v>
      </c>
      <c r="D13156" t="s">
        <v>29</v>
      </c>
      <c r="E13156">
        <v>1682</v>
      </c>
    </row>
    <row r="13157" spans="1:5" x14ac:dyDescent="0.55000000000000004">
      <c r="A13157" t="s">
        <v>13238</v>
      </c>
      <c r="B13157" t="s">
        <v>118</v>
      </c>
      <c r="C13157" s="2">
        <v>44400</v>
      </c>
      <c r="D13157" t="s">
        <v>26</v>
      </c>
      <c r="E13157">
        <v>2759</v>
      </c>
    </row>
    <row r="13158" spans="1:5" x14ac:dyDescent="0.55000000000000004">
      <c r="A13158" t="s">
        <v>13239</v>
      </c>
      <c r="B13158" t="s">
        <v>118</v>
      </c>
      <c r="C13158" s="2">
        <v>43655</v>
      </c>
      <c r="D13158" t="s">
        <v>26</v>
      </c>
      <c r="E13158">
        <v>812</v>
      </c>
    </row>
    <row r="13159" spans="1:5" x14ac:dyDescent="0.55000000000000004">
      <c r="A13159" t="s">
        <v>13240</v>
      </c>
      <c r="B13159" t="s">
        <v>14</v>
      </c>
      <c r="C13159" s="2">
        <v>43492</v>
      </c>
      <c r="D13159" t="s">
        <v>26</v>
      </c>
      <c r="E13159">
        <v>860</v>
      </c>
    </row>
    <row r="13160" spans="1:5" x14ac:dyDescent="0.55000000000000004">
      <c r="A13160" t="s">
        <v>13241</v>
      </c>
      <c r="B13160" t="s">
        <v>63</v>
      </c>
      <c r="C13160" s="2">
        <v>43371</v>
      </c>
      <c r="D13160" t="s">
        <v>26</v>
      </c>
      <c r="E13160">
        <v>424</v>
      </c>
    </row>
    <row r="13161" spans="1:5" x14ac:dyDescent="0.55000000000000004">
      <c r="A13161" t="s">
        <v>13242</v>
      </c>
      <c r="B13161" t="s">
        <v>38</v>
      </c>
      <c r="C13161" s="2">
        <v>44622</v>
      </c>
      <c r="D13161" t="s">
        <v>26</v>
      </c>
      <c r="E13161">
        <v>594</v>
      </c>
    </row>
    <row r="13162" spans="1:5" x14ac:dyDescent="0.55000000000000004">
      <c r="A13162" t="s">
        <v>13243</v>
      </c>
      <c r="B13162" t="s">
        <v>111</v>
      </c>
      <c r="C13162" s="2">
        <v>42972</v>
      </c>
      <c r="D13162" t="s">
        <v>26</v>
      </c>
      <c r="E13162">
        <v>2030</v>
      </c>
    </row>
    <row r="13163" spans="1:5" x14ac:dyDescent="0.55000000000000004">
      <c r="A13163" t="s">
        <v>13244</v>
      </c>
      <c r="B13163" t="s">
        <v>14</v>
      </c>
      <c r="C13163" s="2">
        <v>43446</v>
      </c>
      <c r="D13163" t="s">
        <v>26</v>
      </c>
      <c r="E13163">
        <v>99</v>
      </c>
    </row>
    <row r="13164" spans="1:5" x14ac:dyDescent="0.55000000000000004">
      <c r="A13164" t="s">
        <v>13245</v>
      </c>
      <c r="B13164" t="s">
        <v>118</v>
      </c>
      <c r="C13164" s="2">
        <v>44737</v>
      </c>
      <c r="D13164" t="s">
        <v>26</v>
      </c>
      <c r="E13164">
        <v>2237</v>
      </c>
    </row>
    <row r="13165" spans="1:5" x14ac:dyDescent="0.55000000000000004">
      <c r="A13165" t="s">
        <v>13246</v>
      </c>
      <c r="B13165" t="s">
        <v>140</v>
      </c>
      <c r="C13165" s="2">
        <v>43694</v>
      </c>
      <c r="D13165" t="s">
        <v>29</v>
      </c>
      <c r="E13165">
        <v>2109</v>
      </c>
    </row>
    <row r="13166" spans="1:5" x14ac:dyDescent="0.55000000000000004">
      <c r="A13166" t="s">
        <v>13247</v>
      </c>
      <c r="B13166" t="s">
        <v>156</v>
      </c>
      <c r="C13166" s="2">
        <v>43874</v>
      </c>
      <c r="D13166" t="s">
        <v>26</v>
      </c>
      <c r="E13166">
        <v>2046</v>
      </c>
    </row>
    <row r="13167" spans="1:5" x14ac:dyDescent="0.55000000000000004">
      <c r="A13167" t="s">
        <v>13248</v>
      </c>
      <c r="B13167" t="s">
        <v>35</v>
      </c>
      <c r="C13167" s="2">
        <v>44143</v>
      </c>
      <c r="D13167" t="s">
        <v>29</v>
      </c>
      <c r="E13167">
        <v>175</v>
      </c>
    </row>
    <row r="13168" spans="1:5" x14ac:dyDescent="0.55000000000000004">
      <c r="A13168" t="s">
        <v>13249</v>
      </c>
      <c r="B13168" t="s">
        <v>78</v>
      </c>
      <c r="C13168" s="2">
        <v>44122</v>
      </c>
      <c r="D13168" t="s">
        <v>29</v>
      </c>
      <c r="E13168">
        <v>1288</v>
      </c>
    </row>
    <row r="13169" spans="1:5" x14ac:dyDescent="0.55000000000000004">
      <c r="A13169" t="s">
        <v>13250</v>
      </c>
      <c r="B13169" t="s">
        <v>96</v>
      </c>
      <c r="C13169" s="2">
        <v>45539</v>
      </c>
      <c r="D13169" t="s">
        <v>29</v>
      </c>
      <c r="E13169">
        <v>1747</v>
      </c>
    </row>
    <row r="13170" spans="1:5" x14ac:dyDescent="0.55000000000000004">
      <c r="A13170" t="s">
        <v>13251</v>
      </c>
      <c r="B13170" t="s">
        <v>151</v>
      </c>
      <c r="C13170" s="2">
        <v>43763</v>
      </c>
      <c r="D13170" t="s">
        <v>26</v>
      </c>
      <c r="E13170">
        <v>1461</v>
      </c>
    </row>
    <row r="13171" spans="1:5" x14ac:dyDescent="0.55000000000000004">
      <c r="A13171" t="s">
        <v>13252</v>
      </c>
      <c r="B13171" t="s">
        <v>151</v>
      </c>
      <c r="C13171" s="2">
        <v>43911</v>
      </c>
      <c r="D13171" t="s">
        <v>26</v>
      </c>
      <c r="E13171">
        <v>2170</v>
      </c>
    </row>
    <row r="13172" spans="1:5" x14ac:dyDescent="0.55000000000000004">
      <c r="A13172" t="s">
        <v>13253</v>
      </c>
      <c r="B13172" t="s">
        <v>142</v>
      </c>
      <c r="C13172" s="2">
        <v>44053</v>
      </c>
      <c r="D13172" t="s">
        <v>26</v>
      </c>
      <c r="E13172">
        <v>824</v>
      </c>
    </row>
    <row r="13173" spans="1:5" x14ac:dyDescent="0.55000000000000004">
      <c r="A13173" t="s">
        <v>13254</v>
      </c>
      <c r="B13173" t="s">
        <v>151</v>
      </c>
      <c r="C13173" s="2">
        <v>43005</v>
      </c>
      <c r="D13173" t="s">
        <v>29</v>
      </c>
      <c r="E13173">
        <v>121</v>
      </c>
    </row>
    <row r="13174" spans="1:5" x14ac:dyDescent="0.55000000000000004">
      <c r="A13174" t="s">
        <v>13255</v>
      </c>
      <c r="B13174" t="s">
        <v>74</v>
      </c>
      <c r="C13174" s="2">
        <v>44163</v>
      </c>
      <c r="D13174" t="s">
        <v>26</v>
      </c>
      <c r="E13174">
        <v>1206</v>
      </c>
    </row>
    <row r="13175" spans="1:5" x14ac:dyDescent="0.55000000000000004">
      <c r="A13175" t="s">
        <v>13256</v>
      </c>
      <c r="B13175" t="s">
        <v>15</v>
      </c>
      <c r="C13175" s="2">
        <v>43940</v>
      </c>
      <c r="D13175" t="s">
        <v>26</v>
      </c>
      <c r="E13175">
        <v>2584</v>
      </c>
    </row>
    <row r="13176" spans="1:5" x14ac:dyDescent="0.55000000000000004">
      <c r="A13176" t="s">
        <v>13257</v>
      </c>
      <c r="B13176" t="s">
        <v>38</v>
      </c>
      <c r="C13176" s="2">
        <v>44786</v>
      </c>
      <c r="D13176" t="s">
        <v>29</v>
      </c>
      <c r="E13176">
        <v>406</v>
      </c>
    </row>
    <row r="13177" spans="1:5" x14ac:dyDescent="0.55000000000000004">
      <c r="A13177" t="s">
        <v>13258</v>
      </c>
      <c r="B13177" t="s">
        <v>67</v>
      </c>
      <c r="C13177" s="2">
        <v>45088</v>
      </c>
      <c r="D13177" t="s">
        <v>26</v>
      </c>
      <c r="E13177">
        <v>427</v>
      </c>
    </row>
    <row r="13178" spans="1:5" x14ac:dyDescent="0.55000000000000004">
      <c r="A13178" t="s">
        <v>13259</v>
      </c>
      <c r="B13178" t="s">
        <v>14</v>
      </c>
      <c r="C13178" s="2">
        <v>44070</v>
      </c>
      <c r="D13178" t="s">
        <v>29</v>
      </c>
      <c r="E13178">
        <v>770</v>
      </c>
    </row>
    <row r="13179" spans="1:5" x14ac:dyDescent="0.55000000000000004">
      <c r="A13179" t="s">
        <v>13260</v>
      </c>
      <c r="B13179" t="s">
        <v>101</v>
      </c>
      <c r="C13179" s="2">
        <v>43859</v>
      </c>
      <c r="D13179" t="s">
        <v>26</v>
      </c>
      <c r="E13179">
        <v>2070</v>
      </c>
    </row>
    <row r="13180" spans="1:5" x14ac:dyDescent="0.55000000000000004">
      <c r="A13180" t="s">
        <v>13261</v>
      </c>
      <c r="B13180" t="s">
        <v>35</v>
      </c>
      <c r="C13180" s="2">
        <v>43970</v>
      </c>
      <c r="D13180" t="s">
        <v>29</v>
      </c>
      <c r="E13180">
        <v>2230</v>
      </c>
    </row>
    <row r="13181" spans="1:5" x14ac:dyDescent="0.55000000000000004">
      <c r="A13181" t="s">
        <v>13262</v>
      </c>
      <c r="B13181" t="s">
        <v>23</v>
      </c>
      <c r="C13181" s="2">
        <v>44624</v>
      </c>
      <c r="D13181" t="s">
        <v>26</v>
      </c>
      <c r="E13181">
        <v>56</v>
      </c>
    </row>
    <row r="13182" spans="1:5" x14ac:dyDescent="0.55000000000000004">
      <c r="A13182" t="s">
        <v>13263</v>
      </c>
      <c r="B13182" t="s">
        <v>101</v>
      </c>
      <c r="C13182" s="2">
        <v>44504</v>
      </c>
      <c r="D13182" t="s">
        <v>29</v>
      </c>
      <c r="E13182">
        <v>2065</v>
      </c>
    </row>
    <row r="13183" spans="1:5" x14ac:dyDescent="0.55000000000000004">
      <c r="A13183" t="s">
        <v>13264</v>
      </c>
      <c r="B13183" t="s">
        <v>38</v>
      </c>
      <c r="C13183" s="2">
        <v>44903</v>
      </c>
      <c r="D13183" t="s">
        <v>26</v>
      </c>
      <c r="E13183">
        <v>653</v>
      </c>
    </row>
    <row r="13184" spans="1:5" x14ac:dyDescent="0.55000000000000004">
      <c r="A13184" t="s">
        <v>13265</v>
      </c>
      <c r="B13184" t="s">
        <v>96</v>
      </c>
      <c r="C13184" s="2">
        <v>43658</v>
      </c>
      <c r="D13184" t="s">
        <v>29</v>
      </c>
      <c r="E13184">
        <v>2977</v>
      </c>
    </row>
    <row r="13185" spans="1:5" x14ac:dyDescent="0.55000000000000004">
      <c r="A13185" t="s">
        <v>13266</v>
      </c>
      <c r="B13185" t="s">
        <v>76</v>
      </c>
      <c r="C13185" s="2">
        <v>44135</v>
      </c>
      <c r="D13185" t="s">
        <v>29</v>
      </c>
      <c r="E13185">
        <v>703</v>
      </c>
    </row>
    <row r="13186" spans="1:5" x14ac:dyDescent="0.55000000000000004">
      <c r="A13186" t="s">
        <v>13267</v>
      </c>
      <c r="B13186" t="s">
        <v>99</v>
      </c>
      <c r="C13186" s="2">
        <v>44556</v>
      </c>
      <c r="D13186" t="s">
        <v>29</v>
      </c>
      <c r="E13186">
        <v>1321</v>
      </c>
    </row>
    <row r="13187" spans="1:5" x14ac:dyDescent="0.55000000000000004">
      <c r="A13187" t="s">
        <v>13268</v>
      </c>
      <c r="B13187" t="s">
        <v>67</v>
      </c>
      <c r="C13187" s="2">
        <v>43561</v>
      </c>
      <c r="D13187" t="s">
        <v>29</v>
      </c>
      <c r="E13187">
        <v>2236</v>
      </c>
    </row>
    <row r="13188" spans="1:5" x14ac:dyDescent="0.55000000000000004">
      <c r="A13188" t="s">
        <v>13269</v>
      </c>
      <c r="B13188" t="s">
        <v>118</v>
      </c>
      <c r="C13188" s="2">
        <v>43773</v>
      </c>
      <c r="D13188" t="s">
        <v>29</v>
      </c>
      <c r="E13188">
        <v>2444</v>
      </c>
    </row>
    <row r="13189" spans="1:5" x14ac:dyDescent="0.55000000000000004">
      <c r="A13189" t="s">
        <v>13270</v>
      </c>
      <c r="B13189" t="s">
        <v>72</v>
      </c>
      <c r="C13189" s="2">
        <v>43238</v>
      </c>
      <c r="D13189" t="s">
        <v>29</v>
      </c>
      <c r="E13189">
        <v>413</v>
      </c>
    </row>
    <row r="13190" spans="1:5" x14ac:dyDescent="0.55000000000000004">
      <c r="A13190" t="s">
        <v>13271</v>
      </c>
      <c r="B13190" t="s">
        <v>38</v>
      </c>
      <c r="C13190" s="2">
        <v>44765</v>
      </c>
      <c r="D13190" t="s">
        <v>29</v>
      </c>
      <c r="E13190">
        <v>34</v>
      </c>
    </row>
    <row r="13191" spans="1:5" x14ac:dyDescent="0.55000000000000004">
      <c r="A13191" t="s">
        <v>13272</v>
      </c>
      <c r="B13191" t="s">
        <v>151</v>
      </c>
      <c r="C13191" s="2">
        <v>43169</v>
      </c>
      <c r="D13191" t="s">
        <v>26</v>
      </c>
      <c r="E13191">
        <v>2283</v>
      </c>
    </row>
    <row r="13192" spans="1:5" x14ac:dyDescent="0.55000000000000004">
      <c r="A13192" t="s">
        <v>13273</v>
      </c>
      <c r="B13192" t="s">
        <v>142</v>
      </c>
      <c r="C13192" s="2">
        <v>44004</v>
      </c>
      <c r="D13192" t="s">
        <v>26</v>
      </c>
      <c r="E13192">
        <v>1082</v>
      </c>
    </row>
    <row r="13193" spans="1:5" x14ac:dyDescent="0.55000000000000004">
      <c r="A13193" t="s">
        <v>13274</v>
      </c>
      <c r="B13193" t="s">
        <v>99</v>
      </c>
      <c r="C13193" s="2">
        <v>43483</v>
      </c>
      <c r="D13193" t="s">
        <v>29</v>
      </c>
      <c r="E13193">
        <v>2971</v>
      </c>
    </row>
    <row r="13194" spans="1:5" x14ac:dyDescent="0.55000000000000004">
      <c r="A13194" t="s">
        <v>13275</v>
      </c>
      <c r="B13194" t="s">
        <v>84</v>
      </c>
      <c r="C13194" s="2">
        <v>43444</v>
      </c>
      <c r="D13194" t="s">
        <v>29</v>
      </c>
      <c r="E13194">
        <v>2256</v>
      </c>
    </row>
    <row r="13195" spans="1:5" x14ac:dyDescent="0.55000000000000004">
      <c r="A13195" t="s">
        <v>13276</v>
      </c>
      <c r="B13195" t="s">
        <v>23</v>
      </c>
      <c r="C13195" s="2">
        <v>43922</v>
      </c>
      <c r="D13195" t="s">
        <v>29</v>
      </c>
      <c r="E13195">
        <v>2187</v>
      </c>
    </row>
    <row r="13196" spans="1:5" x14ac:dyDescent="0.55000000000000004">
      <c r="A13196" t="s">
        <v>13277</v>
      </c>
      <c r="B13196" t="s">
        <v>63</v>
      </c>
      <c r="C13196" s="2">
        <v>43311</v>
      </c>
      <c r="D13196" t="s">
        <v>29</v>
      </c>
      <c r="E13196">
        <v>1705</v>
      </c>
    </row>
    <row r="13197" spans="1:5" x14ac:dyDescent="0.55000000000000004">
      <c r="A13197" t="s">
        <v>13278</v>
      </c>
      <c r="B13197" t="s">
        <v>94</v>
      </c>
      <c r="C13197" s="2">
        <v>44769</v>
      </c>
      <c r="D13197" t="s">
        <v>29</v>
      </c>
      <c r="E13197">
        <v>2834</v>
      </c>
    </row>
    <row r="13198" spans="1:5" x14ac:dyDescent="0.55000000000000004">
      <c r="A13198" t="s">
        <v>13279</v>
      </c>
      <c r="B13198" t="s">
        <v>15</v>
      </c>
      <c r="C13198" s="2">
        <v>44424</v>
      </c>
      <c r="D13198" t="s">
        <v>26</v>
      </c>
      <c r="E13198">
        <v>1584</v>
      </c>
    </row>
    <row r="13199" spans="1:5" x14ac:dyDescent="0.55000000000000004">
      <c r="A13199" t="s">
        <v>13280</v>
      </c>
      <c r="B13199" t="s">
        <v>142</v>
      </c>
      <c r="C13199" s="2">
        <v>43291</v>
      </c>
      <c r="D13199" t="s">
        <v>26</v>
      </c>
      <c r="E13199">
        <v>886</v>
      </c>
    </row>
    <row r="13200" spans="1:5" x14ac:dyDescent="0.55000000000000004">
      <c r="A13200" t="s">
        <v>13281</v>
      </c>
      <c r="B13200" t="s">
        <v>74</v>
      </c>
      <c r="C13200" s="2">
        <v>44289</v>
      </c>
      <c r="D13200" t="s">
        <v>26</v>
      </c>
      <c r="E13200">
        <v>1729</v>
      </c>
    </row>
    <row r="13201" spans="1:5" x14ac:dyDescent="0.55000000000000004">
      <c r="A13201" t="s">
        <v>13282</v>
      </c>
      <c r="B13201" t="s">
        <v>41</v>
      </c>
      <c r="C13201" s="2">
        <v>44696</v>
      </c>
      <c r="D13201" t="s">
        <v>29</v>
      </c>
      <c r="E13201">
        <v>1219</v>
      </c>
    </row>
    <row r="13202" spans="1:5" x14ac:dyDescent="0.55000000000000004">
      <c r="A13202" t="s">
        <v>13283</v>
      </c>
      <c r="B13202" t="s">
        <v>142</v>
      </c>
      <c r="C13202" s="2">
        <v>43572</v>
      </c>
      <c r="D13202" t="s">
        <v>29</v>
      </c>
      <c r="E13202">
        <v>2602</v>
      </c>
    </row>
    <row r="13203" spans="1:5" x14ac:dyDescent="0.55000000000000004">
      <c r="A13203" t="s">
        <v>13284</v>
      </c>
      <c r="B13203" t="s">
        <v>38</v>
      </c>
      <c r="C13203" s="2">
        <v>44452</v>
      </c>
      <c r="D13203" t="s">
        <v>26</v>
      </c>
      <c r="E13203">
        <v>2622</v>
      </c>
    </row>
    <row r="13204" spans="1:5" x14ac:dyDescent="0.55000000000000004">
      <c r="A13204" t="s">
        <v>13285</v>
      </c>
      <c r="B13204" t="s">
        <v>14</v>
      </c>
      <c r="C13204" s="2">
        <v>44004</v>
      </c>
      <c r="D13204" t="s">
        <v>29</v>
      </c>
      <c r="E13204">
        <v>2968</v>
      </c>
    </row>
    <row r="13205" spans="1:5" x14ac:dyDescent="0.55000000000000004">
      <c r="A13205" t="s">
        <v>13286</v>
      </c>
      <c r="B13205" t="s">
        <v>99</v>
      </c>
      <c r="C13205" s="2">
        <v>43501</v>
      </c>
      <c r="D13205" t="s">
        <v>26</v>
      </c>
      <c r="E13205">
        <v>1823</v>
      </c>
    </row>
    <row r="13206" spans="1:5" x14ac:dyDescent="0.55000000000000004">
      <c r="A13206" t="s">
        <v>13287</v>
      </c>
      <c r="B13206" t="s">
        <v>67</v>
      </c>
      <c r="C13206" s="2">
        <v>44174</v>
      </c>
      <c r="D13206" t="s">
        <v>29</v>
      </c>
      <c r="E13206">
        <v>2891</v>
      </c>
    </row>
    <row r="13207" spans="1:5" x14ac:dyDescent="0.55000000000000004">
      <c r="A13207" t="s">
        <v>13288</v>
      </c>
      <c r="B13207" t="s">
        <v>175</v>
      </c>
      <c r="C13207" s="2">
        <v>44453</v>
      </c>
      <c r="D13207" t="s">
        <v>29</v>
      </c>
      <c r="E13207">
        <v>437</v>
      </c>
    </row>
    <row r="13208" spans="1:5" x14ac:dyDescent="0.55000000000000004">
      <c r="A13208" t="s">
        <v>13289</v>
      </c>
      <c r="B13208" t="s">
        <v>72</v>
      </c>
      <c r="C13208" s="2">
        <v>43773</v>
      </c>
      <c r="D13208" t="s">
        <v>29</v>
      </c>
      <c r="E13208">
        <v>94</v>
      </c>
    </row>
    <row r="13209" spans="1:5" x14ac:dyDescent="0.55000000000000004">
      <c r="A13209" t="s">
        <v>13290</v>
      </c>
      <c r="B13209" t="s">
        <v>156</v>
      </c>
      <c r="C13209" s="2">
        <v>43081</v>
      </c>
      <c r="D13209" t="s">
        <v>29</v>
      </c>
      <c r="E13209">
        <v>1310</v>
      </c>
    </row>
    <row r="13210" spans="1:5" x14ac:dyDescent="0.55000000000000004">
      <c r="A13210" t="s">
        <v>13291</v>
      </c>
      <c r="B13210" t="s">
        <v>96</v>
      </c>
      <c r="C13210" s="2">
        <v>45679</v>
      </c>
      <c r="D13210" t="s">
        <v>26</v>
      </c>
      <c r="E13210">
        <v>962</v>
      </c>
    </row>
    <row r="13211" spans="1:5" x14ac:dyDescent="0.55000000000000004">
      <c r="A13211" t="s">
        <v>13292</v>
      </c>
      <c r="B13211" t="s">
        <v>35</v>
      </c>
      <c r="C13211" s="2">
        <v>44731</v>
      </c>
      <c r="D13211" t="s">
        <v>26</v>
      </c>
      <c r="E13211">
        <v>2926</v>
      </c>
    </row>
    <row r="13212" spans="1:5" x14ac:dyDescent="0.55000000000000004">
      <c r="A13212" t="s">
        <v>13293</v>
      </c>
      <c r="B13212" t="s">
        <v>74</v>
      </c>
      <c r="C13212" s="2">
        <v>43498</v>
      </c>
      <c r="D13212" t="s">
        <v>26</v>
      </c>
      <c r="E13212">
        <v>489</v>
      </c>
    </row>
    <row r="13213" spans="1:5" x14ac:dyDescent="0.55000000000000004">
      <c r="A13213" t="s">
        <v>13294</v>
      </c>
      <c r="B13213" t="s">
        <v>175</v>
      </c>
      <c r="C13213" s="2">
        <v>45423</v>
      </c>
      <c r="D13213" t="s">
        <v>29</v>
      </c>
      <c r="E13213">
        <v>1588</v>
      </c>
    </row>
    <row r="13214" spans="1:5" x14ac:dyDescent="0.55000000000000004">
      <c r="A13214" t="s">
        <v>13295</v>
      </c>
      <c r="B13214" t="s">
        <v>72</v>
      </c>
      <c r="C13214" s="2">
        <v>43470</v>
      </c>
      <c r="D13214" t="s">
        <v>29</v>
      </c>
      <c r="E13214">
        <v>2433</v>
      </c>
    </row>
    <row r="13215" spans="1:5" x14ac:dyDescent="0.55000000000000004">
      <c r="A13215" t="s">
        <v>13296</v>
      </c>
      <c r="B13215" t="s">
        <v>32</v>
      </c>
      <c r="C13215" s="2">
        <v>44395</v>
      </c>
      <c r="D13215" t="s">
        <v>29</v>
      </c>
      <c r="E13215">
        <v>1008</v>
      </c>
    </row>
    <row r="13216" spans="1:5" x14ac:dyDescent="0.55000000000000004">
      <c r="A13216" t="s">
        <v>13297</v>
      </c>
      <c r="B13216" t="s">
        <v>151</v>
      </c>
      <c r="C13216" s="2">
        <v>43144</v>
      </c>
      <c r="D13216" t="s">
        <v>29</v>
      </c>
      <c r="E13216">
        <v>2230</v>
      </c>
    </row>
    <row r="13217" spans="1:5" x14ac:dyDescent="0.55000000000000004">
      <c r="A13217" t="s">
        <v>13298</v>
      </c>
      <c r="B13217" t="s">
        <v>105</v>
      </c>
      <c r="C13217" s="2">
        <v>43837</v>
      </c>
      <c r="D13217" t="s">
        <v>26</v>
      </c>
      <c r="E13217">
        <v>2958</v>
      </c>
    </row>
    <row r="13218" spans="1:5" x14ac:dyDescent="0.55000000000000004">
      <c r="A13218" t="s">
        <v>13299</v>
      </c>
      <c r="B13218" t="s">
        <v>137</v>
      </c>
      <c r="C13218" s="2">
        <v>43625</v>
      </c>
      <c r="D13218" t="s">
        <v>29</v>
      </c>
      <c r="E13218">
        <v>2659</v>
      </c>
    </row>
    <row r="13219" spans="1:5" x14ac:dyDescent="0.55000000000000004">
      <c r="A13219" t="s">
        <v>13300</v>
      </c>
      <c r="B13219" t="s">
        <v>76</v>
      </c>
      <c r="C13219" s="2">
        <v>45422</v>
      </c>
      <c r="D13219" t="s">
        <v>29</v>
      </c>
      <c r="E13219">
        <v>1780</v>
      </c>
    </row>
    <row r="13220" spans="1:5" x14ac:dyDescent="0.55000000000000004">
      <c r="A13220" t="s">
        <v>13301</v>
      </c>
      <c r="B13220" t="s">
        <v>72</v>
      </c>
      <c r="C13220" s="2">
        <v>42982</v>
      </c>
      <c r="D13220" t="s">
        <v>29</v>
      </c>
      <c r="E13220">
        <v>57</v>
      </c>
    </row>
    <row r="13221" spans="1:5" x14ac:dyDescent="0.55000000000000004">
      <c r="A13221" t="s">
        <v>13302</v>
      </c>
      <c r="B13221" t="s">
        <v>15</v>
      </c>
      <c r="C13221" s="2">
        <v>43983</v>
      </c>
      <c r="D13221" t="s">
        <v>29</v>
      </c>
      <c r="E13221">
        <v>2928</v>
      </c>
    </row>
    <row r="13222" spans="1:5" x14ac:dyDescent="0.55000000000000004">
      <c r="A13222" t="s">
        <v>13303</v>
      </c>
      <c r="B13222" t="s">
        <v>101</v>
      </c>
      <c r="C13222" s="2">
        <v>43435</v>
      </c>
      <c r="D13222" t="s">
        <v>26</v>
      </c>
      <c r="E13222">
        <v>470</v>
      </c>
    </row>
    <row r="13223" spans="1:5" x14ac:dyDescent="0.55000000000000004">
      <c r="A13223" t="s">
        <v>13304</v>
      </c>
      <c r="B13223" t="s">
        <v>111</v>
      </c>
      <c r="C13223" s="2">
        <v>43822</v>
      </c>
      <c r="D13223" t="s">
        <v>29</v>
      </c>
      <c r="E13223">
        <v>1205</v>
      </c>
    </row>
    <row r="13224" spans="1:5" x14ac:dyDescent="0.55000000000000004">
      <c r="A13224" t="s">
        <v>13305</v>
      </c>
      <c r="B13224" t="s">
        <v>140</v>
      </c>
      <c r="C13224" s="2">
        <v>43707</v>
      </c>
      <c r="D13224" t="s">
        <v>26</v>
      </c>
      <c r="E13224">
        <v>478</v>
      </c>
    </row>
    <row r="13225" spans="1:5" x14ac:dyDescent="0.55000000000000004">
      <c r="A13225" t="s">
        <v>13306</v>
      </c>
      <c r="B13225" t="s">
        <v>32</v>
      </c>
      <c r="C13225" s="2">
        <v>44825</v>
      </c>
      <c r="D13225" t="s">
        <v>29</v>
      </c>
      <c r="E13225">
        <v>1750</v>
      </c>
    </row>
    <row r="13226" spans="1:5" x14ac:dyDescent="0.55000000000000004">
      <c r="A13226" t="s">
        <v>13307</v>
      </c>
      <c r="B13226" t="s">
        <v>111</v>
      </c>
      <c r="C13226" s="2">
        <v>44209</v>
      </c>
      <c r="D13226" t="s">
        <v>26</v>
      </c>
      <c r="E13226">
        <v>1294</v>
      </c>
    </row>
    <row r="13227" spans="1:5" x14ac:dyDescent="0.55000000000000004">
      <c r="A13227" t="s">
        <v>13308</v>
      </c>
      <c r="B13227" t="s">
        <v>94</v>
      </c>
      <c r="C13227" s="2">
        <v>44873</v>
      </c>
      <c r="D13227" t="s">
        <v>29</v>
      </c>
      <c r="E13227">
        <v>613</v>
      </c>
    </row>
    <row r="13228" spans="1:5" x14ac:dyDescent="0.55000000000000004">
      <c r="A13228" t="s">
        <v>13309</v>
      </c>
      <c r="B13228" t="s">
        <v>84</v>
      </c>
      <c r="C13228" s="2">
        <v>43601</v>
      </c>
      <c r="D13228" t="s">
        <v>29</v>
      </c>
      <c r="E13228">
        <v>1646</v>
      </c>
    </row>
    <row r="13229" spans="1:5" x14ac:dyDescent="0.55000000000000004">
      <c r="A13229" t="s">
        <v>13310</v>
      </c>
      <c r="B13229" t="s">
        <v>15</v>
      </c>
      <c r="C13229" s="2">
        <v>43274</v>
      </c>
      <c r="D13229" t="s">
        <v>26</v>
      </c>
      <c r="E13229">
        <v>2345</v>
      </c>
    </row>
    <row r="13230" spans="1:5" x14ac:dyDescent="0.55000000000000004">
      <c r="A13230" t="s">
        <v>13311</v>
      </c>
      <c r="B13230" t="s">
        <v>32</v>
      </c>
      <c r="C13230" s="2">
        <v>43943</v>
      </c>
      <c r="D13230" t="s">
        <v>29</v>
      </c>
      <c r="E13230">
        <v>663</v>
      </c>
    </row>
    <row r="13231" spans="1:5" x14ac:dyDescent="0.55000000000000004">
      <c r="A13231" t="s">
        <v>13312</v>
      </c>
      <c r="B13231" t="s">
        <v>72</v>
      </c>
      <c r="C13231" s="2">
        <v>44388</v>
      </c>
      <c r="D13231" t="s">
        <v>29</v>
      </c>
      <c r="E13231">
        <v>1934</v>
      </c>
    </row>
    <row r="13232" spans="1:5" x14ac:dyDescent="0.55000000000000004">
      <c r="A13232" t="s">
        <v>13313</v>
      </c>
      <c r="B13232" t="s">
        <v>32</v>
      </c>
      <c r="C13232" s="2">
        <v>44386</v>
      </c>
      <c r="D13232" t="s">
        <v>26</v>
      </c>
      <c r="E13232">
        <v>1775</v>
      </c>
    </row>
    <row r="13233" spans="1:5" x14ac:dyDescent="0.55000000000000004">
      <c r="A13233" t="s">
        <v>13314</v>
      </c>
      <c r="B13233" t="s">
        <v>38</v>
      </c>
      <c r="C13233" s="2">
        <v>43879</v>
      </c>
      <c r="D13233" t="s">
        <v>26</v>
      </c>
      <c r="E13233">
        <v>1287</v>
      </c>
    </row>
    <row r="13234" spans="1:5" x14ac:dyDescent="0.55000000000000004">
      <c r="A13234" t="s">
        <v>13315</v>
      </c>
      <c r="B13234" t="s">
        <v>118</v>
      </c>
      <c r="C13234" s="2">
        <v>44530</v>
      </c>
      <c r="D13234" t="s">
        <v>26</v>
      </c>
      <c r="E13234">
        <v>932</v>
      </c>
    </row>
    <row r="13235" spans="1:5" x14ac:dyDescent="0.55000000000000004">
      <c r="A13235" t="s">
        <v>13316</v>
      </c>
      <c r="B13235" t="s">
        <v>67</v>
      </c>
      <c r="C13235" s="2">
        <v>44136</v>
      </c>
      <c r="D13235" t="s">
        <v>29</v>
      </c>
      <c r="E13235">
        <v>2937</v>
      </c>
    </row>
    <row r="13236" spans="1:5" x14ac:dyDescent="0.55000000000000004">
      <c r="A13236" t="s">
        <v>13317</v>
      </c>
      <c r="B13236" t="s">
        <v>63</v>
      </c>
      <c r="C13236" s="2">
        <v>44057</v>
      </c>
      <c r="D13236" t="s">
        <v>29</v>
      </c>
      <c r="E13236">
        <v>2748</v>
      </c>
    </row>
    <row r="13237" spans="1:5" x14ac:dyDescent="0.55000000000000004">
      <c r="A13237" t="s">
        <v>13318</v>
      </c>
      <c r="B13237" t="s">
        <v>99</v>
      </c>
      <c r="C13237" s="2">
        <v>45618</v>
      </c>
      <c r="D13237" t="s">
        <v>26</v>
      </c>
      <c r="E13237">
        <v>969</v>
      </c>
    </row>
    <row r="13238" spans="1:5" x14ac:dyDescent="0.55000000000000004">
      <c r="A13238" t="s">
        <v>13319</v>
      </c>
      <c r="B13238" t="s">
        <v>32</v>
      </c>
      <c r="C13238" s="2">
        <v>44107</v>
      </c>
      <c r="D13238" t="s">
        <v>26</v>
      </c>
      <c r="E13238">
        <v>2197</v>
      </c>
    </row>
    <row r="13239" spans="1:5" x14ac:dyDescent="0.55000000000000004">
      <c r="A13239" t="s">
        <v>13320</v>
      </c>
      <c r="B13239" t="s">
        <v>38</v>
      </c>
      <c r="C13239" s="2">
        <v>44905</v>
      </c>
      <c r="D13239" t="s">
        <v>29</v>
      </c>
      <c r="E13239">
        <v>564</v>
      </c>
    </row>
    <row r="13240" spans="1:5" x14ac:dyDescent="0.55000000000000004">
      <c r="A13240" t="s">
        <v>13321</v>
      </c>
      <c r="B13240" t="s">
        <v>72</v>
      </c>
      <c r="C13240" s="2">
        <v>43650</v>
      </c>
      <c r="D13240" t="s">
        <v>29</v>
      </c>
      <c r="E13240">
        <v>1733</v>
      </c>
    </row>
    <row r="13241" spans="1:5" x14ac:dyDescent="0.55000000000000004">
      <c r="A13241" t="s">
        <v>13322</v>
      </c>
      <c r="B13241" t="s">
        <v>35</v>
      </c>
      <c r="C13241" s="2">
        <v>44857</v>
      </c>
      <c r="D13241" t="s">
        <v>29</v>
      </c>
      <c r="E13241">
        <v>764</v>
      </c>
    </row>
    <row r="13242" spans="1:5" x14ac:dyDescent="0.55000000000000004">
      <c r="A13242" t="s">
        <v>13323</v>
      </c>
      <c r="B13242" t="s">
        <v>23</v>
      </c>
      <c r="C13242" s="2">
        <v>44675</v>
      </c>
      <c r="D13242" t="s">
        <v>29</v>
      </c>
      <c r="E13242">
        <v>355</v>
      </c>
    </row>
    <row r="13243" spans="1:5" x14ac:dyDescent="0.55000000000000004">
      <c r="A13243" t="s">
        <v>13324</v>
      </c>
      <c r="B13243" t="s">
        <v>142</v>
      </c>
      <c r="C13243" s="2">
        <v>43381</v>
      </c>
      <c r="D13243" t="s">
        <v>29</v>
      </c>
      <c r="E13243">
        <v>1644</v>
      </c>
    </row>
    <row r="13244" spans="1:5" x14ac:dyDescent="0.55000000000000004">
      <c r="A13244" t="s">
        <v>13325</v>
      </c>
      <c r="B13244" t="s">
        <v>86</v>
      </c>
      <c r="C13244" s="2">
        <v>43935</v>
      </c>
      <c r="D13244" t="s">
        <v>29</v>
      </c>
      <c r="E13244">
        <v>2627</v>
      </c>
    </row>
    <row r="13245" spans="1:5" x14ac:dyDescent="0.55000000000000004">
      <c r="A13245" t="s">
        <v>13326</v>
      </c>
      <c r="B13245" t="s">
        <v>99</v>
      </c>
      <c r="C13245" s="2">
        <v>43678</v>
      </c>
      <c r="D13245" t="s">
        <v>29</v>
      </c>
      <c r="E13245">
        <v>822</v>
      </c>
    </row>
    <row r="13246" spans="1:5" x14ac:dyDescent="0.55000000000000004">
      <c r="A13246" t="s">
        <v>13327</v>
      </c>
      <c r="B13246" t="s">
        <v>96</v>
      </c>
      <c r="C13246" s="2">
        <v>43790</v>
      </c>
      <c r="D13246" t="s">
        <v>29</v>
      </c>
      <c r="E13246">
        <v>2374</v>
      </c>
    </row>
    <row r="13247" spans="1:5" x14ac:dyDescent="0.55000000000000004">
      <c r="A13247" t="s">
        <v>13328</v>
      </c>
      <c r="B13247" t="s">
        <v>105</v>
      </c>
      <c r="C13247" s="2">
        <v>43757</v>
      </c>
      <c r="D13247" t="s">
        <v>26</v>
      </c>
      <c r="E13247">
        <v>1970</v>
      </c>
    </row>
    <row r="13248" spans="1:5" x14ac:dyDescent="0.55000000000000004">
      <c r="A13248" t="s">
        <v>13329</v>
      </c>
      <c r="B13248" t="s">
        <v>63</v>
      </c>
      <c r="C13248" s="2">
        <v>44200</v>
      </c>
      <c r="D13248" t="s">
        <v>29</v>
      </c>
      <c r="E13248">
        <v>16</v>
      </c>
    </row>
    <row r="13249" spans="1:5" x14ac:dyDescent="0.55000000000000004">
      <c r="A13249" t="s">
        <v>13330</v>
      </c>
      <c r="B13249" t="s">
        <v>35</v>
      </c>
      <c r="C13249" s="2">
        <v>44647</v>
      </c>
      <c r="D13249" t="s">
        <v>26</v>
      </c>
      <c r="E13249">
        <v>214</v>
      </c>
    </row>
    <row r="13250" spans="1:5" x14ac:dyDescent="0.55000000000000004">
      <c r="A13250" t="s">
        <v>13331</v>
      </c>
      <c r="B13250" t="s">
        <v>78</v>
      </c>
      <c r="C13250" s="2">
        <v>43782</v>
      </c>
      <c r="D13250" t="s">
        <v>26</v>
      </c>
      <c r="E13250">
        <v>1752</v>
      </c>
    </row>
    <row r="13251" spans="1:5" x14ac:dyDescent="0.55000000000000004">
      <c r="A13251" t="s">
        <v>13332</v>
      </c>
      <c r="B13251" t="s">
        <v>140</v>
      </c>
      <c r="C13251" s="2">
        <v>43501</v>
      </c>
      <c r="D13251" t="s">
        <v>29</v>
      </c>
      <c r="E13251">
        <v>2607</v>
      </c>
    </row>
    <row r="13252" spans="1:5" x14ac:dyDescent="0.55000000000000004">
      <c r="A13252" t="s">
        <v>13333</v>
      </c>
      <c r="B13252" t="s">
        <v>175</v>
      </c>
      <c r="C13252" s="2">
        <v>43614</v>
      </c>
      <c r="D13252" t="s">
        <v>29</v>
      </c>
      <c r="E13252">
        <v>309</v>
      </c>
    </row>
    <row r="13253" spans="1:5" x14ac:dyDescent="0.55000000000000004">
      <c r="A13253" t="s">
        <v>13334</v>
      </c>
      <c r="B13253" t="s">
        <v>156</v>
      </c>
      <c r="C13253" s="2">
        <v>44155</v>
      </c>
      <c r="D13253" t="s">
        <v>26</v>
      </c>
      <c r="E13253">
        <v>2320</v>
      </c>
    </row>
    <row r="13254" spans="1:5" x14ac:dyDescent="0.55000000000000004">
      <c r="A13254" t="s">
        <v>13335</v>
      </c>
      <c r="B13254" t="s">
        <v>76</v>
      </c>
      <c r="C13254" s="2">
        <v>43808</v>
      </c>
      <c r="D13254" t="s">
        <v>26</v>
      </c>
      <c r="E13254">
        <v>192</v>
      </c>
    </row>
    <row r="13255" spans="1:5" x14ac:dyDescent="0.55000000000000004">
      <c r="A13255" t="s">
        <v>13336</v>
      </c>
      <c r="B13255" t="s">
        <v>32</v>
      </c>
      <c r="C13255" s="2">
        <v>44048</v>
      </c>
      <c r="D13255" t="s">
        <v>29</v>
      </c>
      <c r="E13255">
        <v>1606</v>
      </c>
    </row>
    <row r="13256" spans="1:5" x14ac:dyDescent="0.55000000000000004">
      <c r="A13256" t="s">
        <v>13337</v>
      </c>
      <c r="B13256" t="s">
        <v>86</v>
      </c>
      <c r="C13256" s="2">
        <v>44280</v>
      </c>
      <c r="D13256" t="s">
        <v>29</v>
      </c>
      <c r="E13256">
        <v>1265</v>
      </c>
    </row>
    <row r="13257" spans="1:5" x14ac:dyDescent="0.55000000000000004">
      <c r="A13257" t="s">
        <v>13338</v>
      </c>
      <c r="B13257" t="s">
        <v>111</v>
      </c>
      <c r="C13257" s="2">
        <v>43553</v>
      </c>
      <c r="D13257" t="s">
        <v>26</v>
      </c>
      <c r="E13257">
        <v>158</v>
      </c>
    </row>
    <row r="13258" spans="1:5" x14ac:dyDescent="0.55000000000000004">
      <c r="A13258" t="s">
        <v>13339</v>
      </c>
      <c r="B13258" t="s">
        <v>142</v>
      </c>
      <c r="C13258" s="2">
        <v>43113</v>
      </c>
      <c r="D13258" t="s">
        <v>29</v>
      </c>
      <c r="E13258">
        <v>2125</v>
      </c>
    </row>
    <row r="13259" spans="1:5" x14ac:dyDescent="0.55000000000000004">
      <c r="A13259" t="s">
        <v>13340</v>
      </c>
      <c r="B13259" t="s">
        <v>76</v>
      </c>
      <c r="C13259" s="2">
        <v>44566</v>
      </c>
      <c r="D13259" t="s">
        <v>29</v>
      </c>
      <c r="E13259">
        <v>533</v>
      </c>
    </row>
    <row r="13260" spans="1:5" x14ac:dyDescent="0.55000000000000004">
      <c r="A13260" t="s">
        <v>13341</v>
      </c>
      <c r="B13260" t="s">
        <v>35</v>
      </c>
      <c r="C13260" s="2">
        <v>44836</v>
      </c>
      <c r="D13260" t="s">
        <v>29</v>
      </c>
      <c r="E13260">
        <v>2665</v>
      </c>
    </row>
    <row r="13261" spans="1:5" x14ac:dyDescent="0.55000000000000004">
      <c r="A13261" t="s">
        <v>13342</v>
      </c>
      <c r="B13261" t="s">
        <v>41</v>
      </c>
      <c r="C13261" s="2">
        <v>44151</v>
      </c>
      <c r="D13261" t="s">
        <v>26</v>
      </c>
      <c r="E13261">
        <v>2648</v>
      </c>
    </row>
    <row r="13262" spans="1:5" x14ac:dyDescent="0.55000000000000004">
      <c r="A13262" t="s">
        <v>13343</v>
      </c>
      <c r="B13262" t="s">
        <v>111</v>
      </c>
      <c r="C13262" s="2">
        <v>43287</v>
      </c>
      <c r="D13262" t="s">
        <v>26</v>
      </c>
      <c r="E13262">
        <v>1392</v>
      </c>
    </row>
    <row r="13263" spans="1:5" x14ac:dyDescent="0.55000000000000004">
      <c r="A13263" t="s">
        <v>13344</v>
      </c>
      <c r="B13263" t="s">
        <v>38</v>
      </c>
      <c r="C13263" s="2">
        <v>44868</v>
      </c>
      <c r="D13263" t="s">
        <v>29</v>
      </c>
      <c r="E13263">
        <v>2811</v>
      </c>
    </row>
    <row r="13264" spans="1:5" x14ac:dyDescent="0.55000000000000004">
      <c r="A13264" t="s">
        <v>13345</v>
      </c>
      <c r="B13264" t="s">
        <v>175</v>
      </c>
      <c r="C13264" s="2">
        <v>44274</v>
      </c>
      <c r="D13264" t="s">
        <v>26</v>
      </c>
      <c r="E13264">
        <v>2044</v>
      </c>
    </row>
    <row r="13265" spans="1:5" x14ac:dyDescent="0.55000000000000004">
      <c r="A13265" t="s">
        <v>13346</v>
      </c>
      <c r="B13265" t="s">
        <v>118</v>
      </c>
      <c r="C13265" s="2">
        <v>44278</v>
      </c>
      <c r="D13265" t="s">
        <v>26</v>
      </c>
      <c r="E13265">
        <v>446</v>
      </c>
    </row>
    <row r="13266" spans="1:5" x14ac:dyDescent="0.55000000000000004">
      <c r="A13266" t="s">
        <v>13347</v>
      </c>
      <c r="B13266" t="s">
        <v>140</v>
      </c>
      <c r="C13266" s="2">
        <v>43729</v>
      </c>
      <c r="D13266" t="s">
        <v>29</v>
      </c>
      <c r="E13266">
        <v>1637</v>
      </c>
    </row>
    <row r="13267" spans="1:5" x14ac:dyDescent="0.55000000000000004">
      <c r="A13267" t="s">
        <v>13348</v>
      </c>
      <c r="B13267" t="s">
        <v>23</v>
      </c>
      <c r="C13267" s="2">
        <v>44048</v>
      </c>
      <c r="D13267" t="s">
        <v>26</v>
      </c>
      <c r="E13267">
        <v>1832</v>
      </c>
    </row>
    <row r="13268" spans="1:5" x14ac:dyDescent="0.55000000000000004">
      <c r="A13268" t="s">
        <v>13349</v>
      </c>
      <c r="B13268" t="s">
        <v>142</v>
      </c>
      <c r="C13268" s="2">
        <v>44201</v>
      </c>
      <c r="D13268" t="s">
        <v>29</v>
      </c>
      <c r="E13268">
        <v>269</v>
      </c>
    </row>
    <row r="13269" spans="1:5" x14ac:dyDescent="0.55000000000000004">
      <c r="A13269" t="s">
        <v>13350</v>
      </c>
      <c r="B13269" t="s">
        <v>76</v>
      </c>
      <c r="C13269" s="2">
        <v>43949</v>
      </c>
      <c r="D13269" t="s">
        <v>29</v>
      </c>
      <c r="E13269">
        <v>381</v>
      </c>
    </row>
    <row r="13270" spans="1:5" x14ac:dyDescent="0.55000000000000004">
      <c r="A13270" t="s">
        <v>13351</v>
      </c>
      <c r="B13270" t="s">
        <v>151</v>
      </c>
      <c r="C13270" s="2">
        <v>44287</v>
      </c>
      <c r="D13270" t="s">
        <v>29</v>
      </c>
      <c r="E13270">
        <v>3</v>
      </c>
    </row>
    <row r="13271" spans="1:5" x14ac:dyDescent="0.55000000000000004">
      <c r="A13271" t="s">
        <v>13352</v>
      </c>
      <c r="B13271" t="s">
        <v>35</v>
      </c>
      <c r="C13271" s="2">
        <v>44131</v>
      </c>
      <c r="D13271" t="s">
        <v>29</v>
      </c>
      <c r="E13271">
        <v>137</v>
      </c>
    </row>
    <row r="13272" spans="1:5" x14ac:dyDescent="0.55000000000000004">
      <c r="A13272" t="s">
        <v>13353</v>
      </c>
      <c r="B13272" t="s">
        <v>14</v>
      </c>
      <c r="C13272" s="2">
        <v>43750</v>
      </c>
      <c r="D13272" t="s">
        <v>29</v>
      </c>
      <c r="E13272">
        <v>721</v>
      </c>
    </row>
    <row r="13273" spans="1:5" x14ac:dyDescent="0.55000000000000004">
      <c r="A13273" t="s">
        <v>13354</v>
      </c>
      <c r="B13273" t="s">
        <v>72</v>
      </c>
      <c r="C13273" s="2">
        <v>43855</v>
      </c>
      <c r="D13273" t="s">
        <v>29</v>
      </c>
      <c r="E13273">
        <v>1053</v>
      </c>
    </row>
    <row r="13274" spans="1:5" x14ac:dyDescent="0.55000000000000004">
      <c r="A13274" t="s">
        <v>13355</v>
      </c>
      <c r="B13274" t="s">
        <v>63</v>
      </c>
      <c r="C13274" s="2">
        <v>43552</v>
      </c>
      <c r="D13274" t="s">
        <v>29</v>
      </c>
      <c r="E13274">
        <v>2750</v>
      </c>
    </row>
    <row r="13275" spans="1:5" x14ac:dyDescent="0.55000000000000004">
      <c r="A13275" t="s">
        <v>13356</v>
      </c>
      <c r="B13275" t="s">
        <v>140</v>
      </c>
      <c r="C13275" s="2">
        <v>43610</v>
      </c>
      <c r="D13275" t="s">
        <v>26</v>
      </c>
      <c r="E13275">
        <v>1765</v>
      </c>
    </row>
    <row r="13276" spans="1:5" x14ac:dyDescent="0.55000000000000004">
      <c r="A13276" t="s">
        <v>13357</v>
      </c>
      <c r="B13276" t="s">
        <v>38</v>
      </c>
      <c r="C13276" s="2">
        <v>44560</v>
      </c>
      <c r="D13276" t="s">
        <v>26</v>
      </c>
      <c r="E13276">
        <v>1310</v>
      </c>
    </row>
    <row r="13277" spans="1:5" x14ac:dyDescent="0.55000000000000004">
      <c r="A13277" t="s">
        <v>13358</v>
      </c>
      <c r="B13277" t="s">
        <v>151</v>
      </c>
      <c r="C13277" s="2">
        <v>43499</v>
      </c>
      <c r="D13277" t="s">
        <v>29</v>
      </c>
      <c r="E13277">
        <v>2008</v>
      </c>
    </row>
    <row r="13278" spans="1:5" x14ac:dyDescent="0.55000000000000004">
      <c r="A13278" t="s">
        <v>13359</v>
      </c>
      <c r="B13278" t="s">
        <v>38</v>
      </c>
      <c r="C13278" s="2">
        <v>44370</v>
      </c>
      <c r="D13278" t="s">
        <v>26</v>
      </c>
      <c r="E13278">
        <v>334</v>
      </c>
    </row>
    <row r="13279" spans="1:5" x14ac:dyDescent="0.55000000000000004">
      <c r="A13279" t="s">
        <v>13360</v>
      </c>
      <c r="B13279" t="s">
        <v>140</v>
      </c>
      <c r="C13279" s="2">
        <v>42947</v>
      </c>
      <c r="D13279" t="s">
        <v>26</v>
      </c>
      <c r="E13279">
        <v>2082</v>
      </c>
    </row>
    <row r="13280" spans="1:5" x14ac:dyDescent="0.55000000000000004">
      <c r="A13280" t="s">
        <v>13361</v>
      </c>
      <c r="B13280" t="s">
        <v>86</v>
      </c>
      <c r="C13280" s="2">
        <v>44352</v>
      </c>
      <c r="D13280" t="s">
        <v>29</v>
      </c>
      <c r="E13280">
        <v>787</v>
      </c>
    </row>
    <row r="13281" spans="1:5" x14ac:dyDescent="0.55000000000000004">
      <c r="A13281" t="s">
        <v>13362</v>
      </c>
      <c r="B13281" t="s">
        <v>41</v>
      </c>
      <c r="C13281" s="2">
        <v>44851</v>
      </c>
      <c r="D13281" t="s">
        <v>29</v>
      </c>
      <c r="E13281">
        <v>1471</v>
      </c>
    </row>
    <row r="13282" spans="1:5" x14ac:dyDescent="0.55000000000000004">
      <c r="A13282" t="s">
        <v>13363</v>
      </c>
      <c r="B13282" t="s">
        <v>32</v>
      </c>
      <c r="C13282" s="2">
        <v>44841</v>
      </c>
      <c r="D13282" t="s">
        <v>29</v>
      </c>
      <c r="E13282">
        <v>2309</v>
      </c>
    </row>
    <row r="13283" spans="1:5" x14ac:dyDescent="0.55000000000000004">
      <c r="A13283" t="s">
        <v>13364</v>
      </c>
      <c r="B13283" t="s">
        <v>78</v>
      </c>
      <c r="C13283" s="2">
        <v>44233</v>
      </c>
      <c r="D13283" t="s">
        <v>26</v>
      </c>
      <c r="E13283">
        <v>1066</v>
      </c>
    </row>
    <row r="13284" spans="1:5" x14ac:dyDescent="0.55000000000000004">
      <c r="A13284" t="s">
        <v>13365</v>
      </c>
      <c r="B13284" t="s">
        <v>78</v>
      </c>
      <c r="C13284" s="2">
        <v>43751</v>
      </c>
      <c r="D13284" t="s">
        <v>29</v>
      </c>
      <c r="E13284">
        <v>1323</v>
      </c>
    </row>
    <row r="13285" spans="1:5" x14ac:dyDescent="0.55000000000000004">
      <c r="A13285" t="s">
        <v>13366</v>
      </c>
      <c r="B13285" t="s">
        <v>105</v>
      </c>
      <c r="C13285" s="2">
        <v>44533</v>
      </c>
      <c r="D13285" t="s">
        <v>26</v>
      </c>
      <c r="E13285">
        <v>935</v>
      </c>
    </row>
    <row r="13286" spans="1:5" x14ac:dyDescent="0.55000000000000004">
      <c r="A13286" t="s">
        <v>13367</v>
      </c>
      <c r="B13286" t="s">
        <v>142</v>
      </c>
      <c r="C13286" s="2">
        <v>43119</v>
      </c>
      <c r="D13286" t="s">
        <v>29</v>
      </c>
      <c r="E13286">
        <v>1121</v>
      </c>
    </row>
    <row r="13287" spans="1:5" x14ac:dyDescent="0.55000000000000004">
      <c r="A13287" t="s">
        <v>13368</v>
      </c>
      <c r="B13287" t="s">
        <v>78</v>
      </c>
      <c r="C13287" s="2">
        <v>44412</v>
      </c>
      <c r="D13287" t="s">
        <v>26</v>
      </c>
      <c r="E13287">
        <v>2698</v>
      </c>
    </row>
    <row r="13288" spans="1:5" x14ac:dyDescent="0.55000000000000004">
      <c r="A13288" t="s">
        <v>13369</v>
      </c>
      <c r="B13288" t="s">
        <v>63</v>
      </c>
      <c r="C13288" s="2">
        <v>44201</v>
      </c>
      <c r="D13288" t="s">
        <v>26</v>
      </c>
      <c r="E13288">
        <v>2470</v>
      </c>
    </row>
    <row r="13289" spans="1:5" x14ac:dyDescent="0.55000000000000004">
      <c r="A13289" t="s">
        <v>13370</v>
      </c>
      <c r="B13289" t="s">
        <v>96</v>
      </c>
      <c r="C13289" s="2">
        <v>45341</v>
      </c>
      <c r="D13289" t="s">
        <v>29</v>
      </c>
      <c r="E13289">
        <v>1207</v>
      </c>
    </row>
    <row r="13290" spans="1:5" x14ac:dyDescent="0.55000000000000004">
      <c r="A13290" t="s">
        <v>13371</v>
      </c>
      <c r="B13290" t="s">
        <v>35</v>
      </c>
      <c r="C13290" s="2">
        <v>44419</v>
      </c>
      <c r="D13290" t="s">
        <v>26</v>
      </c>
      <c r="E13290">
        <v>933</v>
      </c>
    </row>
    <row r="13291" spans="1:5" x14ac:dyDescent="0.55000000000000004">
      <c r="A13291" t="s">
        <v>13372</v>
      </c>
      <c r="B13291" t="s">
        <v>118</v>
      </c>
      <c r="C13291" s="2">
        <v>44061</v>
      </c>
      <c r="D13291" t="s">
        <v>29</v>
      </c>
      <c r="E13291">
        <v>1413</v>
      </c>
    </row>
    <row r="13292" spans="1:5" x14ac:dyDescent="0.55000000000000004">
      <c r="A13292" t="s">
        <v>13373</v>
      </c>
      <c r="B13292" t="s">
        <v>38</v>
      </c>
      <c r="C13292" s="2">
        <v>44766</v>
      </c>
      <c r="D13292" t="s">
        <v>29</v>
      </c>
      <c r="E13292">
        <v>2043</v>
      </c>
    </row>
    <row r="13293" spans="1:5" x14ac:dyDescent="0.55000000000000004">
      <c r="A13293" t="s">
        <v>13374</v>
      </c>
      <c r="B13293" t="s">
        <v>41</v>
      </c>
      <c r="C13293" s="2">
        <v>44409</v>
      </c>
      <c r="D13293" t="s">
        <v>26</v>
      </c>
      <c r="E13293">
        <v>1208</v>
      </c>
    </row>
    <row r="13294" spans="1:5" x14ac:dyDescent="0.55000000000000004">
      <c r="A13294" t="s">
        <v>13375</v>
      </c>
      <c r="B13294" t="s">
        <v>76</v>
      </c>
      <c r="C13294" s="2">
        <v>45401</v>
      </c>
      <c r="D13294" t="s">
        <v>29</v>
      </c>
      <c r="E13294">
        <v>530</v>
      </c>
    </row>
    <row r="13295" spans="1:5" x14ac:dyDescent="0.55000000000000004">
      <c r="A13295" t="s">
        <v>13376</v>
      </c>
      <c r="B13295" t="s">
        <v>84</v>
      </c>
      <c r="C13295" s="2">
        <v>44220</v>
      </c>
      <c r="D13295" t="s">
        <v>29</v>
      </c>
      <c r="E13295">
        <v>2946</v>
      </c>
    </row>
    <row r="13296" spans="1:5" x14ac:dyDescent="0.55000000000000004">
      <c r="A13296" t="s">
        <v>13377</v>
      </c>
      <c r="B13296" t="s">
        <v>84</v>
      </c>
      <c r="C13296" s="2">
        <v>44187</v>
      </c>
      <c r="D13296" t="s">
        <v>29</v>
      </c>
      <c r="E13296">
        <v>615</v>
      </c>
    </row>
    <row r="13297" spans="1:5" x14ac:dyDescent="0.55000000000000004">
      <c r="A13297" t="s">
        <v>13378</v>
      </c>
      <c r="B13297" t="s">
        <v>137</v>
      </c>
      <c r="C13297" s="2">
        <v>45554</v>
      </c>
      <c r="D13297" t="s">
        <v>26</v>
      </c>
      <c r="E13297">
        <v>2709</v>
      </c>
    </row>
    <row r="13298" spans="1:5" x14ac:dyDescent="0.55000000000000004">
      <c r="A13298" t="s">
        <v>13379</v>
      </c>
      <c r="B13298" t="s">
        <v>118</v>
      </c>
      <c r="C13298" s="2">
        <v>44677</v>
      </c>
      <c r="D13298" t="s">
        <v>26</v>
      </c>
      <c r="E13298">
        <v>2305</v>
      </c>
    </row>
    <row r="13299" spans="1:5" x14ac:dyDescent="0.55000000000000004">
      <c r="A13299" t="s">
        <v>13380</v>
      </c>
      <c r="B13299" t="s">
        <v>137</v>
      </c>
      <c r="C13299" s="2">
        <v>43507</v>
      </c>
      <c r="D13299" t="s">
        <v>29</v>
      </c>
      <c r="E13299">
        <v>1845</v>
      </c>
    </row>
    <row r="13300" spans="1:5" x14ac:dyDescent="0.55000000000000004">
      <c r="A13300" t="s">
        <v>13381</v>
      </c>
      <c r="B13300" t="s">
        <v>35</v>
      </c>
      <c r="C13300" s="2">
        <v>43983</v>
      </c>
      <c r="D13300" t="s">
        <v>26</v>
      </c>
      <c r="E13300">
        <v>131</v>
      </c>
    </row>
    <row r="13301" spans="1:5" x14ac:dyDescent="0.55000000000000004">
      <c r="A13301" t="s">
        <v>13382</v>
      </c>
      <c r="B13301" t="s">
        <v>32</v>
      </c>
      <c r="C13301" s="2">
        <v>44736</v>
      </c>
      <c r="D13301" t="s">
        <v>29</v>
      </c>
      <c r="E13301">
        <v>1194</v>
      </c>
    </row>
    <row r="13302" spans="1:5" x14ac:dyDescent="0.55000000000000004">
      <c r="A13302" t="s">
        <v>13383</v>
      </c>
      <c r="B13302" t="s">
        <v>105</v>
      </c>
      <c r="C13302" s="2">
        <v>44173</v>
      </c>
      <c r="D13302" t="s">
        <v>26</v>
      </c>
      <c r="E13302">
        <v>2371</v>
      </c>
    </row>
    <row r="13303" spans="1:5" x14ac:dyDescent="0.55000000000000004">
      <c r="A13303" t="s">
        <v>13384</v>
      </c>
      <c r="B13303" t="s">
        <v>23</v>
      </c>
      <c r="C13303" s="2">
        <v>44338</v>
      </c>
      <c r="D13303" t="s">
        <v>26</v>
      </c>
      <c r="E13303">
        <v>1553</v>
      </c>
    </row>
    <row r="13304" spans="1:5" x14ac:dyDescent="0.55000000000000004">
      <c r="A13304" t="s">
        <v>13385</v>
      </c>
      <c r="B13304" t="s">
        <v>35</v>
      </c>
      <c r="C13304" s="2">
        <v>44362</v>
      </c>
      <c r="D13304" t="s">
        <v>26</v>
      </c>
      <c r="E13304">
        <v>496</v>
      </c>
    </row>
    <row r="13305" spans="1:5" x14ac:dyDescent="0.55000000000000004">
      <c r="A13305" t="s">
        <v>13386</v>
      </c>
      <c r="B13305" t="s">
        <v>72</v>
      </c>
      <c r="C13305" s="2">
        <v>43946</v>
      </c>
      <c r="D13305" t="s">
        <v>26</v>
      </c>
      <c r="E13305">
        <v>1735</v>
      </c>
    </row>
    <row r="13306" spans="1:5" x14ac:dyDescent="0.55000000000000004">
      <c r="A13306" t="s">
        <v>13387</v>
      </c>
      <c r="B13306" t="s">
        <v>86</v>
      </c>
      <c r="C13306" s="2">
        <v>43953</v>
      </c>
      <c r="D13306" t="s">
        <v>29</v>
      </c>
      <c r="E13306">
        <v>2475</v>
      </c>
    </row>
    <row r="13307" spans="1:5" x14ac:dyDescent="0.55000000000000004">
      <c r="A13307" t="s">
        <v>13388</v>
      </c>
      <c r="B13307" t="s">
        <v>96</v>
      </c>
      <c r="C13307" s="2">
        <v>43672</v>
      </c>
      <c r="D13307" t="s">
        <v>26</v>
      </c>
      <c r="E13307">
        <v>1164</v>
      </c>
    </row>
    <row r="13308" spans="1:5" x14ac:dyDescent="0.55000000000000004">
      <c r="A13308" t="s">
        <v>13389</v>
      </c>
      <c r="B13308" t="s">
        <v>67</v>
      </c>
      <c r="C13308" s="2">
        <v>43758</v>
      </c>
      <c r="D13308" t="s">
        <v>26</v>
      </c>
      <c r="E13308">
        <v>1402</v>
      </c>
    </row>
    <row r="13309" spans="1:5" x14ac:dyDescent="0.55000000000000004">
      <c r="A13309" t="s">
        <v>13390</v>
      </c>
      <c r="B13309" t="s">
        <v>35</v>
      </c>
      <c r="C13309" s="2">
        <v>44575</v>
      </c>
      <c r="D13309" t="s">
        <v>29</v>
      </c>
      <c r="E13309">
        <v>2309</v>
      </c>
    </row>
    <row r="13310" spans="1:5" x14ac:dyDescent="0.55000000000000004">
      <c r="A13310" t="s">
        <v>13391</v>
      </c>
      <c r="B13310" t="s">
        <v>23</v>
      </c>
      <c r="C13310" s="2">
        <v>44012</v>
      </c>
      <c r="D13310" t="s">
        <v>29</v>
      </c>
      <c r="E13310">
        <v>2165</v>
      </c>
    </row>
    <row r="13311" spans="1:5" x14ac:dyDescent="0.55000000000000004">
      <c r="A13311" t="s">
        <v>13392</v>
      </c>
      <c r="B13311" t="s">
        <v>78</v>
      </c>
      <c r="C13311" s="2">
        <v>44535</v>
      </c>
      <c r="D13311" t="s">
        <v>26</v>
      </c>
      <c r="E13311">
        <v>1083</v>
      </c>
    </row>
    <row r="13312" spans="1:5" x14ac:dyDescent="0.55000000000000004">
      <c r="A13312" t="s">
        <v>13393</v>
      </c>
      <c r="B13312" t="s">
        <v>38</v>
      </c>
      <c r="C13312" s="2">
        <v>44549</v>
      </c>
      <c r="D13312" t="s">
        <v>29</v>
      </c>
      <c r="E13312">
        <v>1434</v>
      </c>
    </row>
    <row r="13313" spans="1:5" x14ac:dyDescent="0.55000000000000004">
      <c r="A13313" t="s">
        <v>13394</v>
      </c>
      <c r="B13313" t="s">
        <v>115</v>
      </c>
      <c r="C13313" s="2">
        <v>44249</v>
      </c>
      <c r="D13313" t="s">
        <v>26</v>
      </c>
      <c r="E13313">
        <v>913</v>
      </c>
    </row>
    <row r="13314" spans="1:5" x14ac:dyDescent="0.55000000000000004">
      <c r="A13314" t="s">
        <v>13395</v>
      </c>
      <c r="B13314" t="s">
        <v>156</v>
      </c>
      <c r="C13314" s="2">
        <v>43335</v>
      </c>
      <c r="D13314" t="s">
        <v>29</v>
      </c>
      <c r="E13314">
        <v>1127</v>
      </c>
    </row>
    <row r="13315" spans="1:5" x14ac:dyDescent="0.55000000000000004">
      <c r="A13315" t="s">
        <v>13396</v>
      </c>
      <c r="B13315" t="s">
        <v>142</v>
      </c>
      <c r="C13315" s="2">
        <v>44384</v>
      </c>
      <c r="D13315" t="s">
        <v>29</v>
      </c>
      <c r="E13315">
        <v>2833</v>
      </c>
    </row>
    <row r="13316" spans="1:5" x14ac:dyDescent="0.55000000000000004">
      <c r="A13316" t="s">
        <v>13397</v>
      </c>
      <c r="B13316" t="s">
        <v>14</v>
      </c>
      <c r="C13316" s="2">
        <v>43969</v>
      </c>
      <c r="D13316" t="s">
        <v>26</v>
      </c>
      <c r="E13316">
        <v>1697</v>
      </c>
    </row>
    <row r="13317" spans="1:5" x14ac:dyDescent="0.55000000000000004">
      <c r="A13317" t="s">
        <v>13398</v>
      </c>
      <c r="B13317" t="s">
        <v>76</v>
      </c>
      <c r="C13317" s="2">
        <v>44352</v>
      </c>
      <c r="D13317" t="s">
        <v>26</v>
      </c>
      <c r="E13317">
        <v>980</v>
      </c>
    </row>
    <row r="13318" spans="1:5" x14ac:dyDescent="0.55000000000000004">
      <c r="A13318" t="s">
        <v>13399</v>
      </c>
      <c r="B13318" t="s">
        <v>23</v>
      </c>
      <c r="C13318" s="2">
        <v>44504</v>
      </c>
      <c r="D13318" t="s">
        <v>29</v>
      </c>
      <c r="E13318">
        <v>977</v>
      </c>
    </row>
    <row r="13319" spans="1:5" x14ac:dyDescent="0.55000000000000004">
      <c r="A13319" t="s">
        <v>13400</v>
      </c>
      <c r="B13319" t="s">
        <v>111</v>
      </c>
      <c r="C13319" s="2">
        <v>43838</v>
      </c>
      <c r="D13319" t="s">
        <v>29</v>
      </c>
      <c r="E13319">
        <v>1335</v>
      </c>
    </row>
    <row r="13320" spans="1:5" x14ac:dyDescent="0.55000000000000004">
      <c r="A13320" t="s">
        <v>13401</v>
      </c>
      <c r="B13320" t="s">
        <v>32</v>
      </c>
      <c r="C13320" s="2">
        <v>43873</v>
      </c>
      <c r="D13320" t="s">
        <v>29</v>
      </c>
      <c r="E13320">
        <v>857</v>
      </c>
    </row>
    <row r="13321" spans="1:5" x14ac:dyDescent="0.55000000000000004">
      <c r="A13321" t="s">
        <v>13402</v>
      </c>
      <c r="B13321" t="s">
        <v>41</v>
      </c>
      <c r="C13321" s="2">
        <v>44083</v>
      </c>
      <c r="D13321" t="s">
        <v>26</v>
      </c>
      <c r="E13321">
        <v>2142</v>
      </c>
    </row>
    <row r="13322" spans="1:5" x14ac:dyDescent="0.55000000000000004">
      <c r="A13322" t="s">
        <v>13403</v>
      </c>
      <c r="B13322" t="s">
        <v>105</v>
      </c>
      <c r="C13322" s="2">
        <v>43067</v>
      </c>
      <c r="D13322" t="s">
        <v>26</v>
      </c>
      <c r="E13322">
        <v>292</v>
      </c>
    </row>
    <row r="13323" spans="1:5" x14ac:dyDescent="0.55000000000000004">
      <c r="A13323" t="s">
        <v>13404</v>
      </c>
      <c r="B13323" t="s">
        <v>105</v>
      </c>
      <c r="C13323" s="2">
        <v>43722</v>
      </c>
      <c r="D13323" t="s">
        <v>29</v>
      </c>
      <c r="E13323">
        <v>2610</v>
      </c>
    </row>
    <row r="13324" spans="1:5" x14ac:dyDescent="0.55000000000000004">
      <c r="A13324" t="s">
        <v>13405</v>
      </c>
      <c r="B13324" t="s">
        <v>72</v>
      </c>
      <c r="C13324" s="2">
        <v>43110</v>
      </c>
      <c r="D13324" t="s">
        <v>26</v>
      </c>
      <c r="E13324">
        <v>1308</v>
      </c>
    </row>
    <row r="13325" spans="1:5" x14ac:dyDescent="0.55000000000000004">
      <c r="A13325" t="s">
        <v>13406</v>
      </c>
      <c r="B13325" t="s">
        <v>84</v>
      </c>
      <c r="C13325" s="2">
        <v>43454</v>
      </c>
      <c r="D13325" t="s">
        <v>29</v>
      </c>
      <c r="E13325">
        <v>2267</v>
      </c>
    </row>
    <row r="13326" spans="1:5" x14ac:dyDescent="0.55000000000000004">
      <c r="A13326" t="s">
        <v>13407</v>
      </c>
      <c r="B13326" t="s">
        <v>67</v>
      </c>
      <c r="C13326" s="2">
        <v>44356</v>
      </c>
      <c r="D13326" t="s">
        <v>29</v>
      </c>
      <c r="E13326">
        <v>2603</v>
      </c>
    </row>
    <row r="13327" spans="1:5" x14ac:dyDescent="0.55000000000000004">
      <c r="A13327" t="s">
        <v>13408</v>
      </c>
      <c r="B13327" t="s">
        <v>15</v>
      </c>
      <c r="C13327" s="2">
        <v>43023</v>
      </c>
      <c r="D13327" t="s">
        <v>29</v>
      </c>
      <c r="E13327">
        <v>238</v>
      </c>
    </row>
    <row r="13328" spans="1:5" x14ac:dyDescent="0.55000000000000004">
      <c r="A13328" t="s">
        <v>13409</v>
      </c>
      <c r="B13328" t="s">
        <v>86</v>
      </c>
      <c r="C13328" s="2">
        <v>42974</v>
      </c>
      <c r="D13328" t="s">
        <v>29</v>
      </c>
      <c r="E13328">
        <v>102</v>
      </c>
    </row>
    <row r="13329" spans="1:5" x14ac:dyDescent="0.55000000000000004">
      <c r="A13329" t="s">
        <v>13410</v>
      </c>
      <c r="B13329" t="s">
        <v>32</v>
      </c>
      <c r="C13329" s="2">
        <v>44590</v>
      </c>
      <c r="D13329" t="s">
        <v>26</v>
      </c>
      <c r="E13329">
        <v>2615</v>
      </c>
    </row>
    <row r="13330" spans="1:5" x14ac:dyDescent="0.55000000000000004">
      <c r="A13330" t="s">
        <v>13411</v>
      </c>
      <c r="B13330" t="s">
        <v>101</v>
      </c>
      <c r="C13330" s="2">
        <v>43183</v>
      </c>
      <c r="D13330" t="s">
        <v>29</v>
      </c>
      <c r="E13330">
        <v>2739</v>
      </c>
    </row>
    <row r="13331" spans="1:5" x14ac:dyDescent="0.55000000000000004">
      <c r="A13331" t="s">
        <v>13412</v>
      </c>
      <c r="B13331" t="s">
        <v>151</v>
      </c>
      <c r="C13331" s="2">
        <v>43296</v>
      </c>
      <c r="D13331" t="s">
        <v>29</v>
      </c>
      <c r="E13331">
        <v>1657</v>
      </c>
    </row>
    <row r="13332" spans="1:5" x14ac:dyDescent="0.55000000000000004">
      <c r="A13332" t="s">
        <v>13413</v>
      </c>
      <c r="B13332" t="s">
        <v>105</v>
      </c>
      <c r="C13332" s="2">
        <v>43439</v>
      </c>
      <c r="D13332" t="s">
        <v>26</v>
      </c>
      <c r="E13332">
        <v>532</v>
      </c>
    </row>
    <row r="13333" spans="1:5" x14ac:dyDescent="0.55000000000000004">
      <c r="A13333" t="s">
        <v>13414</v>
      </c>
      <c r="B13333" t="s">
        <v>140</v>
      </c>
      <c r="C13333" s="2">
        <v>43602</v>
      </c>
      <c r="D13333" t="s">
        <v>29</v>
      </c>
      <c r="E13333">
        <v>626</v>
      </c>
    </row>
    <row r="13334" spans="1:5" x14ac:dyDescent="0.55000000000000004">
      <c r="A13334" t="s">
        <v>13415</v>
      </c>
      <c r="B13334" t="s">
        <v>14</v>
      </c>
      <c r="C13334" s="2">
        <v>44491</v>
      </c>
      <c r="D13334" t="s">
        <v>29</v>
      </c>
      <c r="E13334">
        <v>2483</v>
      </c>
    </row>
    <row r="13335" spans="1:5" x14ac:dyDescent="0.55000000000000004">
      <c r="A13335" t="s">
        <v>13416</v>
      </c>
      <c r="B13335" t="s">
        <v>67</v>
      </c>
      <c r="C13335" s="2">
        <v>43681</v>
      </c>
      <c r="D13335" t="s">
        <v>29</v>
      </c>
      <c r="E13335">
        <v>2011</v>
      </c>
    </row>
    <row r="13336" spans="1:5" x14ac:dyDescent="0.55000000000000004">
      <c r="A13336" t="s">
        <v>13417</v>
      </c>
      <c r="B13336" t="s">
        <v>142</v>
      </c>
      <c r="C13336" s="2">
        <v>43902</v>
      </c>
      <c r="D13336" t="s">
        <v>26</v>
      </c>
      <c r="E13336">
        <v>1806</v>
      </c>
    </row>
    <row r="13337" spans="1:5" x14ac:dyDescent="0.55000000000000004">
      <c r="A13337" t="s">
        <v>13418</v>
      </c>
      <c r="B13337" t="s">
        <v>32</v>
      </c>
      <c r="C13337" s="2">
        <v>44890</v>
      </c>
      <c r="D13337" t="s">
        <v>29</v>
      </c>
      <c r="E13337">
        <v>2026</v>
      </c>
    </row>
    <row r="13338" spans="1:5" x14ac:dyDescent="0.55000000000000004">
      <c r="A13338" t="s">
        <v>13419</v>
      </c>
      <c r="B13338" t="s">
        <v>38</v>
      </c>
      <c r="C13338" s="2">
        <v>44504</v>
      </c>
      <c r="D13338" t="s">
        <v>26</v>
      </c>
      <c r="E13338">
        <v>2868</v>
      </c>
    </row>
    <row r="13339" spans="1:5" x14ac:dyDescent="0.55000000000000004">
      <c r="A13339" t="s">
        <v>13420</v>
      </c>
      <c r="B13339" t="s">
        <v>35</v>
      </c>
      <c r="C13339" s="2">
        <v>44221</v>
      </c>
      <c r="D13339" t="s">
        <v>29</v>
      </c>
      <c r="E13339">
        <v>799</v>
      </c>
    </row>
    <row r="13340" spans="1:5" x14ac:dyDescent="0.55000000000000004">
      <c r="A13340" t="s">
        <v>13421</v>
      </c>
      <c r="B13340" t="s">
        <v>101</v>
      </c>
      <c r="C13340" s="2">
        <v>44075</v>
      </c>
      <c r="D13340" t="s">
        <v>26</v>
      </c>
      <c r="E13340">
        <v>2126</v>
      </c>
    </row>
    <row r="13341" spans="1:5" x14ac:dyDescent="0.55000000000000004">
      <c r="A13341" t="s">
        <v>13422</v>
      </c>
      <c r="B13341" t="s">
        <v>156</v>
      </c>
      <c r="C13341" s="2">
        <v>43658</v>
      </c>
      <c r="D13341" t="s">
        <v>29</v>
      </c>
      <c r="E13341">
        <v>1096</v>
      </c>
    </row>
    <row r="13342" spans="1:5" x14ac:dyDescent="0.55000000000000004">
      <c r="A13342" t="s">
        <v>13423</v>
      </c>
      <c r="B13342" t="s">
        <v>115</v>
      </c>
      <c r="C13342" s="2">
        <v>44307</v>
      </c>
      <c r="D13342" t="s">
        <v>26</v>
      </c>
      <c r="E13342">
        <v>2076</v>
      </c>
    </row>
    <row r="13343" spans="1:5" x14ac:dyDescent="0.55000000000000004">
      <c r="A13343" t="s">
        <v>13424</v>
      </c>
      <c r="B13343" t="s">
        <v>86</v>
      </c>
      <c r="C13343" s="2">
        <v>43843</v>
      </c>
      <c r="D13343" t="s">
        <v>26</v>
      </c>
      <c r="E13343">
        <v>2159</v>
      </c>
    </row>
    <row r="13344" spans="1:5" x14ac:dyDescent="0.55000000000000004">
      <c r="A13344" t="s">
        <v>13425</v>
      </c>
      <c r="B13344" t="s">
        <v>105</v>
      </c>
      <c r="C13344" s="2">
        <v>43735</v>
      </c>
      <c r="D13344" t="s">
        <v>26</v>
      </c>
      <c r="E13344">
        <v>2476</v>
      </c>
    </row>
    <row r="13345" spans="1:5" x14ac:dyDescent="0.55000000000000004">
      <c r="A13345" t="s">
        <v>13426</v>
      </c>
      <c r="B13345" t="s">
        <v>14</v>
      </c>
      <c r="C13345" s="2">
        <v>43123</v>
      </c>
      <c r="D13345" t="s">
        <v>29</v>
      </c>
      <c r="E13345">
        <v>1441</v>
      </c>
    </row>
    <row r="13346" spans="1:5" x14ac:dyDescent="0.55000000000000004">
      <c r="A13346" t="s">
        <v>13427</v>
      </c>
      <c r="B13346" t="s">
        <v>115</v>
      </c>
      <c r="C13346" s="2">
        <v>43563</v>
      </c>
      <c r="D13346" t="s">
        <v>29</v>
      </c>
      <c r="E13346">
        <v>679</v>
      </c>
    </row>
    <row r="13347" spans="1:5" x14ac:dyDescent="0.55000000000000004">
      <c r="A13347" t="s">
        <v>13428</v>
      </c>
      <c r="B13347" t="s">
        <v>96</v>
      </c>
      <c r="C13347" s="2">
        <v>44629</v>
      </c>
      <c r="D13347" t="s">
        <v>29</v>
      </c>
      <c r="E13347">
        <v>2225</v>
      </c>
    </row>
    <row r="13348" spans="1:5" x14ac:dyDescent="0.55000000000000004">
      <c r="A13348" t="s">
        <v>13429</v>
      </c>
      <c r="B13348" t="s">
        <v>175</v>
      </c>
      <c r="C13348" s="2">
        <v>45489</v>
      </c>
      <c r="D13348" t="s">
        <v>26</v>
      </c>
      <c r="E13348">
        <v>1479</v>
      </c>
    </row>
    <row r="13349" spans="1:5" x14ac:dyDescent="0.55000000000000004">
      <c r="A13349" t="s">
        <v>13430</v>
      </c>
      <c r="B13349" t="s">
        <v>35</v>
      </c>
      <c r="C13349" s="2">
        <v>44509</v>
      </c>
      <c r="D13349" t="s">
        <v>26</v>
      </c>
      <c r="E13349">
        <v>790</v>
      </c>
    </row>
    <row r="13350" spans="1:5" x14ac:dyDescent="0.55000000000000004">
      <c r="A13350" t="s">
        <v>13431</v>
      </c>
      <c r="B13350" t="s">
        <v>151</v>
      </c>
      <c r="C13350" s="2">
        <v>43061</v>
      </c>
      <c r="D13350" t="s">
        <v>29</v>
      </c>
      <c r="E13350">
        <v>2351</v>
      </c>
    </row>
    <row r="13351" spans="1:5" x14ac:dyDescent="0.55000000000000004">
      <c r="A13351" t="s">
        <v>13432</v>
      </c>
      <c r="B13351" t="s">
        <v>118</v>
      </c>
      <c r="C13351" s="2">
        <v>44398</v>
      </c>
      <c r="D13351" t="s">
        <v>26</v>
      </c>
      <c r="E13351">
        <v>2724</v>
      </c>
    </row>
    <row r="13352" spans="1:5" x14ac:dyDescent="0.55000000000000004">
      <c r="A13352" t="s">
        <v>13433</v>
      </c>
      <c r="B13352" t="s">
        <v>151</v>
      </c>
      <c r="C13352" s="2">
        <v>44230</v>
      </c>
      <c r="D13352" t="s">
        <v>29</v>
      </c>
      <c r="E13352">
        <v>2027</v>
      </c>
    </row>
    <row r="13353" spans="1:5" x14ac:dyDescent="0.55000000000000004">
      <c r="A13353" t="s">
        <v>13434</v>
      </c>
      <c r="B13353" t="s">
        <v>111</v>
      </c>
      <c r="C13353" s="2">
        <v>43701</v>
      </c>
      <c r="D13353" t="s">
        <v>26</v>
      </c>
      <c r="E13353">
        <v>2524</v>
      </c>
    </row>
    <row r="13354" spans="1:5" x14ac:dyDescent="0.55000000000000004">
      <c r="A13354" t="s">
        <v>13435</v>
      </c>
      <c r="B13354" t="s">
        <v>175</v>
      </c>
      <c r="C13354" s="2">
        <v>45198</v>
      </c>
      <c r="D13354" t="s">
        <v>26</v>
      </c>
      <c r="E13354">
        <v>1903</v>
      </c>
    </row>
    <row r="13355" spans="1:5" x14ac:dyDescent="0.55000000000000004">
      <c r="A13355" t="s">
        <v>13436</v>
      </c>
      <c r="B13355" t="s">
        <v>101</v>
      </c>
      <c r="C13355" s="2">
        <v>43655</v>
      </c>
      <c r="D13355" t="s">
        <v>26</v>
      </c>
      <c r="E13355">
        <v>583</v>
      </c>
    </row>
    <row r="13356" spans="1:5" x14ac:dyDescent="0.55000000000000004">
      <c r="A13356" t="s">
        <v>13437</v>
      </c>
      <c r="B13356" t="s">
        <v>115</v>
      </c>
      <c r="C13356" s="2">
        <v>44560</v>
      </c>
      <c r="D13356" t="s">
        <v>26</v>
      </c>
      <c r="E13356">
        <v>83</v>
      </c>
    </row>
    <row r="13357" spans="1:5" x14ac:dyDescent="0.55000000000000004">
      <c r="A13357" t="s">
        <v>13438</v>
      </c>
      <c r="B13357" t="s">
        <v>137</v>
      </c>
      <c r="C13357" s="2">
        <v>43643</v>
      </c>
      <c r="D13357" t="s">
        <v>26</v>
      </c>
      <c r="E13357">
        <v>2042</v>
      </c>
    </row>
    <row r="13358" spans="1:5" x14ac:dyDescent="0.55000000000000004">
      <c r="A13358" t="s">
        <v>13439</v>
      </c>
      <c r="B13358" t="s">
        <v>67</v>
      </c>
      <c r="C13358" s="2">
        <v>45203</v>
      </c>
      <c r="D13358" t="s">
        <v>29</v>
      </c>
      <c r="E13358">
        <v>2715</v>
      </c>
    </row>
    <row r="13359" spans="1:5" x14ac:dyDescent="0.55000000000000004">
      <c r="A13359" t="s">
        <v>13440</v>
      </c>
      <c r="B13359" t="s">
        <v>32</v>
      </c>
      <c r="C13359" s="2">
        <v>44561</v>
      </c>
      <c r="D13359" t="s">
        <v>29</v>
      </c>
      <c r="E13359">
        <v>231</v>
      </c>
    </row>
    <row r="13360" spans="1:5" x14ac:dyDescent="0.55000000000000004">
      <c r="A13360" t="s">
        <v>13441</v>
      </c>
      <c r="B13360" t="s">
        <v>118</v>
      </c>
      <c r="C13360" s="2">
        <v>43486</v>
      </c>
      <c r="D13360" t="s">
        <v>29</v>
      </c>
      <c r="E13360">
        <v>494</v>
      </c>
    </row>
    <row r="13361" spans="1:5" x14ac:dyDescent="0.55000000000000004">
      <c r="A13361" t="s">
        <v>13442</v>
      </c>
      <c r="B13361" t="s">
        <v>35</v>
      </c>
      <c r="C13361" s="2">
        <v>44087</v>
      </c>
      <c r="D13361" t="s">
        <v>29</v>
      </c>
      <c r="E13361">
        <v>931</v>
      </c>
    </row>
    <row r="13362" spans="1:5" x14ac:dyDescent="0.55000000000000004">
      <c r="A13362" t="s">
        <v>13443</v>
      </c>
      <c r="B13362" t="s">
        <v>67</v>
      </c>
      <c r="C13362" s="2">
        <v>43684</v>
      </c>
      <c r="D13362" t="s">
        <v>29</v>
      </c>
      <c r="E13362">
        <v>791</v>
      </c>
    </row>
    <row r="13363" spans="1:5" x14ac:dyDescent="0.55000000000000004">
      <c r="A13363" t="s">
        <v>13444</v>
      </c>
      <c r="B13363" t="s">
        <v>115</v>
      </c>
      <c r="C13363" s="2">
        <v>44174</v>
      </c>
      <c r="D13363" t="s">
        <v>26</v>
      </c>
      <c r="E13363">
        <v>1355</v>
      </c>
    </row>
    <row r="13364" spans="1:5" x14ac:dyDescent="0.55000000000000004">
      <c r="A13364" t="s">
        <v>13445</v>
      </c>
      <c r="B13364" t="s">
        <v>94</v>
      </c>
      <c r="C13364" s="2">
        <v>44349</v>
      </c>
      <c r="D13364" t="s">
        <v>29</v>
      </c>
      <c r="E13364">
        <v>1569</v>
      </c>
    </row>
    <row r="13365" spans="1:5" x14ac:dyDescent="0.55000000000000004">
      <c r="A13365" t="s">
        <v>13446</v>
      </c>
      <c r="B13365" t="s">
        <v>32</v>
      </c>
      <c r="C13365" s="2">
        <v>44257</v>
      </c>
      <c r="D13365" t="s">
        <v>26</v>
      </c>
      <c r="E13365">
        <v>2990</v>
      </c>
    </row>
    <row r="13366" spans="1:5" x14ac:dyDescent="0.55000000000000004">
      <c r="A13366" t="s">
        <v>13447</v>
      </c>
      <c r="B13366" t="s">
        <v>99</v>
      </c>
      <c r="C13366" s="2">
        <v>45381</v>
      </c>
      <c r="D13366" t="s">
        <v>26</v>
      </c>
      <c r="E13366">
        <v>2903</v>
      </c>
    </row>
    <row r="13367" spans="1:5" x14ac:dyDescent="0.55000000000000004">
      <c r="A13367" t="s">
        <v>13448</v>
      </c>
      <c r="B13367" t="s">
        <v>76</v>
      </c>
      <c r="C13367" s="2">
        <v>45505</v>
      </c>
      <c r="D13367" t="s">
        <v>29</v>
      </c>
      <c r="E13367">
        <v>2766</v>
      </c>
    </row>
    <row r="13368" spans="1:5" x14ac:dyDescent="0.55000000000000004">
      <c r="A13368" t="s">
        <v>13449</v>
      </c>
      <c r="B13368" t="s">
        <v>175</v>
      </c>
      <c r="C13368" s="2">
        <v>45042</v>
      </c>
      <c r="D13368" t="s">
        <v>26</v>
      </c>
      <c r="E13368">
        <v>733</v>
      </c>
    </row>
    <row r="13369" spans="1:5" x14ac:dyDescent="0.55000000000000004">
      <c r="A13369" t="s">
        <v>13450</v>
      </c>
      <c r="B13369" t="s">
        <v>101</v>
      </c>
      <c r="C13369" s="2">
        <v>43972</v>
      </c>
      <c r="D13369" t="s">
        <v>29</v>
      </c>
      <c r="E13369">
        <v>1299</v>
      </c>
    </row>
    <row r="13370" spans="1:5" x14ac:dyDescent="0.55000000000000004">
      <c r="A13370" t="s">
        <v>13451</v>
      </c>
      <c r="B13370" t="s">
        <v>151</v>
      </c>
      <c r="C13370" s="2">
        <v>43098</v>
      </c>
      <c r="D13370" t="s">
        <v>26</v>
      </c>
      <c r="E13370">
        <v>1425</v>
      </c>
    </row>
    <row r="13371" spans="1:5" x14ac:dyDescent="0.55000000000000004">
      <c r="A13371" t="s">
        <v>13452</v>
      </c>
      <c r="B13371" t="s">
        <v>105</v>
      </c>
      <c r="C13371" s="2">
        <v>44285</v>
      </c>
      <c r="D13371" t="s">
        <v>29</v>
      </c>
      <c r="E13371">
        <v>845</v>
      </c>
    </row>
    <row r="13372" spans="1:5" x14ac:dyDescent="0.55000000000000004">
      <c r="A13372" t="s">
        <v>13453</v>
      </c>
      <c r="B13372" t="s">
        <v>99</v>
      </c>
      <c r="C13372" s="2">
        <v>45481</v>
      </c>
      <c r="D13372" t="s">
        <v>26</v>
      </c>
      <c r="E13372">
        <v>2688</v>
      </c>
    </row>
    <row r="13373" spans="1:5" x14ac:dyDescent="0.55000000000000004">
      <c r="A13373" t="s">
        <v>13454</v>
      </c>
      <c r="B13373" t="s">
        <v>14</v>
      </c>
      <c r="C13373" s="2">
        <v>43827</v>
      </c>
      <c r="D13373" t="s">
        <v>29</v>
      </c>
      <c r="E13373">
        <v>1827</v>
      </c>
    </row>
    <row r="13374" spans="1:5" x14ac:dyDescent="0.55000000000000004">
      <c r="A13374" t="s">
        <v>13455</v>
      </c>
      <c r="B13374" t="s">
        <v>32</v>
      </c>
      <c r="C13374" s="2">
        <v>44225</v>
      </c>
      <c r="D13374" t="s">
        <v>26</v>
      </c>
      <c r="E13374">
        <v>1271</v>
      </c>
    </row>
    <row r="13375" spans="1:5" x14ac:dyDescent="0.55000000000000004">
      <c r="A13375" t="s">
        <v>13456</v>
      </c>
      <c r="B13375" t="s">
        <v>76</v>
      </c>
      <c r="C13375" s="2">
        <v>44693</v>
      </c>
      <c r="D13375" t="s">
        <v>29</v>
      </c>
      <c r="E13375">
        <v>2679</v>
      </c>
    </row>
    <row r="13376" spans="1:5" x14ac:dyDescent="0.55000000000000004">
      <c r="A13376" t="s">
        <v>13457</v>
      </c>
      <c r="B13376" t="s">
        <v>32</v>
      </c>
      <c r="C13376" s="2">
        <v>44379</v>
      </c>
      <c r="D13376" t="s">
        <v>26</v>
      </c>
      <c r="E13376">
        <v>2431</v>
      </c>
    </row>
    <row r="13377" spans="1:5" x14ac:dyDescent="0.55000000000000004">
      <c r="A13377" t="s">
        <v>13458</v>
      </c>
      <c r="B13377" t="s">
        <v>41</v>
      </c>
      <c r="C13377" s="2">
        <v>44600</v>
      </c>
      <c r="D13377" t="s">
        <v>29</v>
      </c>
      <c r="E13377">
        <v>1292</v>
      </c>
    </row>
    <row r="13378" spans="1:5" x14ac:dyDescent="0.55000000000000004">
      <c r="A13378" t="s">
        <v>13459</v>
      </c>
      <c r="B13378" t="s">
        <v>38</v>
      </c>
      <c r="C13378" s="2">
        <v>44618</v>
      </c>
      <c r="D13378" t="s">
        <v>26</v>
      </c>
      <c r="E13378">
        <v>2592</v>
      </c>
    </row>
    <row r="13379" spans="1:5" x14ac:dyDescent="0.55000000000000004">
      <c r="A13379" t="s">
        <v>13460</v>
      </c>
      <c r="B13379" t="s">
        <v>84</v>
      </c>
      <c r="C13379" s="2">
        <v>44287</v>
      </c>
      <c r="D13379" t="s">
        <v>26</v>
      </c>
      <c r="E13379">
        <v>2264</v>
      </c>
    </row>
    <row r="13380" spans="1:5" x14ac:dyDescent="0.55000000000000004">
      <c r="A13380" t="s">
        <v>13461</v>
      </c>
      <c r="B13380" t="s">
        <v>84</v>
      </c>
      <c r="C13380" s="2">
        <v>42929</v>
      </c>
      <c r="D13380" t="s">
        <v>26</v>
      </c>
      <c r="E13380">
        <v>2019</v>
      </c>
    </row>
    <row r="13381" spans="1:5" x14ac:dyDescent="0.55000000000000004">
      <c r="A13381" t="s">
        <v>13462</v>
      </c>
      <c r="B13381" t="s">
        <v>15</v>
      </c>
      <c r="C13381" s="2">
        <v>44278</v>
      </c>
      <c r="D13381" t="s">
        <v>26</v>
      </c>
      <c r="E13381">
        <v>1453</v>
      </c>
    </row>
    <row r="13382" spans="1:5" x14ac:dyDescent="0.55000000000000004">
      <c r="A13382" t="s">
        <v>13463</v>
      </c>
      <c r="B13382" t="s">
        <v>15</v>
      </c>
      <c r="C13382" s="2">
        <v>43385</v>
      </c>
      <c r="D13382" t="s">
        <v>29</v>
      </c>
      <c r="E13382">
        <v>2162</v>
      </c>
    </row>
    <row r="13383" spans="1:5" x14ac:dyDescent="0.55000000000000004">
      <c r="A13383" t="s">
        <v>13464</v>
      </c>
      <c r="B13383" t="s">
        <v>111</v>
      </c>
      <c r="C13383" s="2">
        <v>42928</v>
      </c>
      <c r="D13383" t="s">
        <v>29</v>
      </c>
      <c r="E13383">
        <v>240</v>
      </c>
    </row>
    <row r="13384" spans="1:5" x14ac:dyDescent="0.55000000000000004">
      <c r="A13384" t="s">
        <v>13465</v>
      </c>
      <c r="B13384" t="s">
        <v>111</v>
      </c>
      <c r="C13384" s="2">
        <v>44297</v>
      </c>
      <c r="D13384" t="s">
        <v>26</v>
      </c>
      <c r="E13384">
        <v>2218</v>
      </c>
    </row>
    <row r="13385" spans="1:5" x14ac:dyDescent="0.55000000000000004">
      <c r="A13385" t="s">
        <v>13466</v>
      </c>
      <c r="B13385" t="s">
        <v>72</v>
      </c>
      <c r="C13385" s="2">
        <v>43632</v>
      </c>
      <c r="D13385" t="s">
        <v>26</v>
      </c>
      <c r="E13385">
        <v>2647</v>
      </c>
    </row>
    <row r="13386" spans="1:5" x14ac:dyDescent="0.55000000000000004">
      <c r="A13386" t="s">
        <v>13467</v>
      </c>
      <c r="B13386" t="s">
        <v>115</v>
      </c>
      <c r="C13386" s="2">
        <v>44535</v>
      </c>
      <c r="D13386" t="s">
        <v>26</v>
      </c>
      <c r="E13386">
        <v>784</v>
      </c>
    </row>
    <row r="13387" spans="1:5" x14ac:dyDescent="0.55000000000000004">
      <c r="A13387" t="s">
        <v>13468</v>
      </c>
      <c r="B13387" t="s">
        <v>74</v>
      </c>
      <c r="C13387" s="2">
        <v>44254</v>
      </c>
      <c r="D13387" t="s">
        <v>29</v>
      </c>
      <c r="E13387">
        <v>1855</v>
      </c>
    </row>
    <row r="13388" spans="1:5" x14ac:dyDescent="0.55000000000000004">
      <c r="A13388" t="s">
        <v>13469</v>
      </c>
      <c r="B13388" t="s">
        <v>72</v>
      </c>
      <c r="C13388" s="2">
        <v>42955</v>
      </c>
      <c r="D13388" t="s">
        <v>29</v>
      </c>
      <c r="E13388">
        <v>1454</v>
      </c>
    </row>
    <row r="13389" spans="1:5" x14ac:dyDescent="0.55000000000000004">
      <c r="A13389" t="s">
        <v>13470</v>
      </c>
      <c r="B13389" t="s">
        <v>23</v>
      </c>
      <c r="C13389" s="2">
        <v>44046</v>
      </c>
      <c r="D13389" t="s">
        <v>29</v>
      </c>
      <c r="E13389">
        <v>1137</v>
      </c>
    </row>
    <row r="13390" spans="1:5" x14ac:dyDescent="0.55000000000000004">
      <c r="A13390" t="s">
        <v>13471</v>
      </c>
      <c r="B13390" t="s">
        <v>175</v>
      </c>
      <c r="C13390" s="2">
        <v>44994</v>
      </c>
      <c r="D13390" t="s">
        <v>29</v>
      </c>
      <c r="E13390">
        <v>1759</v>
      </c>
    </row>
    <row r="13391" spans="1:5" x14ac:dyDescent="0.55000000000000004">
      <c r="A13391" t="s">
        <v>13472</v>
      </c>
      <c r="B13391" t="s">
        <v>74</v>
      </c>
      <c r="C13391" s="2">
        <v>44185</v>
      </c>
      <c r="D13391" t="s">
        <v>29</v>
      </c>
      <c r="E13391">
        <v>1648</v>
      </c>
    </row>
    <row r="13392" spans="1:5" x14ac:dyDescent="0.55000000000000004">
      <c r="A13392" t="s">
        <v>13473</v>
      </c>
      <c r="B13392" t="s">
        <v>78</v>
      </c>
      <c r="C13392" s="2">
        <v>45346</v>
      </c>
      <c r="D13392" t="s">
        <v>29</v>
      </c>
      <c r="E13392">
        <v>39</v>
      </c>
    </row>
    <row r="13393" spans="1:5" x14ac:dyDescent="0.55000000000000004">
      <c r="A13393" t="s">
        <v>13474</v>
      </c>
      <c r="B13393" t="s">
        <v>74</v>
      </c>
      <c r="C13393" s="2">
        <v>44391</v>
      </c>
      <c r="D13393" t="s">
        <v>29</v>
      </c>
      <c r="E13393">
        <v>223</v>
      </c>
    </row>
    <row r="13394" spans="1:5" x14ac:dyDescent="0.55000000000000004">
      <c r="A13394" t="s">
        <v>13475</v>
      </c>
      <c r="B13394" t="s">
        <v>41</v>
      </c>
      <c r="C13394" s="2">
        <v>44384</v>
      </c>
      <c r="D13394" t="s">
        <v>26</v>
      </c>
      <c r="E13394">
        <v>1114</v>
      </c>
    </row>
    <row r="13395" spans="1:5" x14ac:dyDescent="0.55000000000000004">
      <c r="A13395" t="s">
        <v>13476</v>
      </c>
      <c r="B13395" t="s">
        <v>14</v>
      </c>
      <c r="C13395" s="2">
        <v>44491</v>
      </c>
      <c r="D13395" t="s">
        <v>26</v>
      </c>
      <c r="E13395">
        <v>4</v>
      </c>
    </row>
    <row r="13396" spans="1:5" x14ac:dyDescent="0.55000000000000004">
      <c r="A13396" t="s">
        <v>13477</v>
      </c>
      <c r="B13396" t="s">
        <v>105</v>
      </c>
      <c r="C13396" s="2">
        <v>43720</v>
      </c>
      <c r="D13396" t="s">
        <v>29</v>
      </c>
      <c r="E13396">
        <v>1401</v>
      </c>
    </row>
    <row r="13397" spans="1:5" x14ac:dyDescent="0.55000000000000004">
      <c r="A13397" t="s">
        <v>13478</v>
      </c>
      <c r="B13397" t="s">
        <v>15</v>
      </c>
      <c r="C13397" s="2">
        <v>43692</v>
      </c>
      <c r="D13397" t="s">
        <v>29</v>
      </c>
      <c r="E13397">
        <v>1890</v>
      </c>
    </row>
    <row r="13398" spans="1:5" x14ac:dyDescent="0.55000000000000004">
      <c r="A13398" t="s">
        <v>13479</v>
      </c>
      <c r="B13398" t="s">
        <v>86</v>
      </c>
      <c r="C13398" s="2">
        <v>43775</v>
      </c>
      <c r="D13398" t="s">
        <v>29</v>
      </c>
      <c r="E13398">
        <v>1485</v>
      </c>
    </row>
    <row r="13399" spans="1:5" x14ac:dyDescent="0.55000000000000004">
      <c r="A13399" t="s">
        <v>13480</v>
      </c>
      <c r="B13399" t="s">
        <v>78</v>
      </c>
      <c r="C13399" s="2">
        <v>45341</v>
      </c>
      <c r="D13399" t="s">
        <v>26</v>
      </c>
      <c r="E13399">
        <v>2970</v>
      </c>
    </row>
    <row r="13400" spans="1:5" x14ac:dyDescent="0.55000000000000004">
      <c r="A13400" t="s">
        <v>13481</v>
      </c>
      <c r="B13400" t="s">
        <v>72</v>
      </c>
      <c r="C13400" s="2">
        <v>44121</v>
      </c>
      <c r="D13400" t="s">
        <v>29</v>
      </c>
      <c r="E13400">
        <v>1964</v>
      </c>
    </row>
    <row r="13401" spans="1:5" x14ac:dyDescent="0.55000000000000004">
      <c r="A13401" t="s">
        <v>13482</v>
      </c>
      <c r="B13401" t="s">
        <v>156</v>
      </c>
      <c r="C13401" s="2">
        <v>43088</v>
      </c>
      <c r="D13401" t="s">
        <v>26</v>
      </c>
      <c r="E13401">
        <v>1382</v>
      </c>
    </row>
    <row r="13402" spans="1:5" x14ac:dyDescent="0.55000000000000004">
      <c r="A13402" t="s">
        <v>13483</v>
      </c>
      <c r="B13402" t="s">
        <v>14</v>
      </c>
      <c r="C13402" s="2">
        <v>43804</v>
      </c>
      <c r="D13402" t="s">
        <v>29</v>
      </c>
      <c r="E13402">
        <v>2516</v>
      </c>
    </row>
    <row r="13403" spans="1:5" x14ac:dyDescent="0.55000000000000004">
      <c r="A13403" t="s">
        <v>13484</v>
      </c>
      <c r="B13403" t="s">
        <v>14</v>
      </c>
      <c r="C13403" s="2">
        <v>44539</v>
      </c>
      <c r="D13403" t="s">
        <v>26</v>
      </c>
      <c r="E13403">
        <v>988</v>
      </c>
    </row>
    <row r="13404" spans="1:5" x14ac:dyDescent="0.55000000000000004">
      <c r="A13404" t="s">
        <v>13485</v>
      </c>
      <c r="B13404" t="s">
        <v>63</v>
      </c>
      <c r="C13404" s="2">
        <v>43028</v>
      </c>
      <c r="D13404" t="s">
        <v>29</v>
      </c>
      <c r="E13404">
        <v>1745</v>
      </c>
    </row>
    <row r="13405" spans="1:5" x14ac:dyDescent="0.55000000000000004">
      <c r="A13405" t="s">
        <v>13486</v>
      </c>
      <c r="B13405" t="s">
        <v>118</v>
      </c>
      <c r="C13405" s="2">
        <v>44227</v>
      </c>
      <c r="D13405" t="s">
        <v>26</v>
      </c>
      <c r="E13405">
        <v>1272</v>
      </c>
    </row>
    <row r="13406" spans="1:5" x14ac:dyDescent="0.55000000000000004">
      <c r="A13406" t="s">
        <v>13487</v>
      </c>
      <c r="B13406" t="s">
        <v>41</v>
      </c>
      <c r="C13406" s="2">
        <v>44824</v>
      </c>
      <c r="D13406" t="s">
        <v>26</v>
      </c>
      <c r="E13406">
        <v>1712</v>
      </c>
    </row>
    <row r="13407" spans="1:5" x14ac:dyDescent="0.55000000000000004">
      <c r="A13407" t="s">
        <v>13488</v>
      </c>
      <c r="B13407" t="s">
        <v>175</v>
      </c>
      <c r="C13407" s="2">
        <v>43866</v>
      </c>
      <c r="D13407" t="s">
        <v>29</v>
      </c>
      <c r="E13407">
        <v>1369</v>
      </c>
    </row>
    <row r="13408" spans="1:5" x14ac:dyDescent="0.55000000000000004">
      <c r="A13408" t="s">
        <v>13489</v>
      </c>
      <c r="B13408" t="s">
        <v>63</v>
      </c>
      <c r="C13408" s="2">
        <v>43864</v>
      </c>
      <c r="D13408" t="s">
        <v>26</v>
      </c>
      <c r="E13408">
        <v>51</v>
      </c>
    </row>
    <row r="13409" spans="1:5" x14ac:dyDescent="0.55000000000000004">
      <c r="A13409" t="s">
        <v>13490</v>
      </c>
      <c r="B13409" t="s">
        <v>111</v>
      </c>
      <c r="C13409" s="2">
        <v>43334</v>
      </c>
      <c r="D13409" t="s">
        <v>29</v>
      </c>
      <c r="E13409">
        <v>675</v>
      </c>
    </row>
    <row r="13410" spans="1:5" x14ac:dyDescent="0.55000000000000004">
      <c r="A13410" t="s">
        <v>13491</v>
      </c>
      <c r="B13410" t="s">
        <v>99</v>
      </c>
      <c r="C13410" s="2">
        <v>43466</v>
      </c>
      <c r="D13410" t="s">
        <v>29</v>
      </c>
      <c r="E13410">
        <v>2905</v>
      </c>
    </row>
    <row r="13411" spans="1:5" x14ac:dyDescent="0.55000000000000004">
      <c r="A13411" t="s">
        <v>13492</v>
      </c>
      <c r="B13411" t="s">
        <v>67</v>
      </c>
      <c r="C13411" s="2">
        <v>43753</v>
      </c>
      <c r="D13411" t="s">
        <v>29</v>
      </c>
      <c r="E13411">
        <v>610</v>
      </c>
    </row>
    <row r="13412" spans="1:5" x14ac:dyDescent="0.55000000000000004">
      <c r="A13412" t="s">
        <v>13493</v>
      </c>
      <c r="B13412" t="s">
        <v>23</v>
      </c>
      <c r="C13412" s="2">
        <v>44245</v>
      </c>
      <c r="D13412" t="s">
        <v>26</v>
      </c>
      <c r="E13412">
        <v>2357</v>
      </c>
    </row>
    <row r="13413" spans="1:5" x14ac:dyDescent="0.55000000000000004">
      <c r="A13413" t="s">
        <v>13494</v>
      </c>
      <c r="B13413" t="s">
        <v>137</v>
      </c>
      <c r="C13413" s="2">
        <v>45013</v>
      </c>
      <c r="D13413" t="s">
        <v>26</v>
      </c>
      <c r="E13413">
        <v>1440</v>
      </c>
    </row>
    <row r="13414" spans="1:5" x14ac:dyDescent="0.55000000000000004">
      <c r="A13414" t="s">
        <v>13495</v>
      </c>
      <c r="B13414" t="s">
        <v>76</v>
      </c>
      <c r="C13414" s="2">
        <v>43696</v>
      </c>
      <c r="D13414" t="s">
        <v>29</v>
      </c>
      <c r="E13414">
        <v>456</v>
      </c>
    </row>
    <row r="13415" spans="1:5" x14ac:dyDescent="0.55000000000000004">
      <c r="A13415" t="s">
        <v>13496</v>
      </c>
      <c r="B13415" t="s">
        <v>76</v>
      </c>
      <c r="C13415" s="2">
        <v>43672</v>
      </c>
      <c r="D13415" t="s">
        <v>29</v>
      </c>
      <c r="E13415">
        <v>1630</v>
      </c>
    </row>
    <row r="13416" spans="1:5" x14ac:dyDescent="0.55000000000000004">
      <c r="A13416" t="s">
        <v>13497</v>
      </c>
      <c r="B13416" t="s">
        <v>115</v>
      </c>
      <c r="C13416" s="2">
        <v>43730</v>
      </c>
      <c r="D13416" t="s">
        <v>26</v>
      </c>
      <c r="E13416">
        <v>902</v>
      </c>
    </row>
    <row r="13417" spans="1:5" x14ac:dyDescent="0.55000000000000004">
      <c r="A13417" t="s">
        <v>13498</v>
      </c>
      <c r="B13417" t="s">
        <v>140</v>
      </c>
      <c r="C13417" s="2">
        <v>43858</v>
      </c>
      <c r="D13417" t="s">
        <v>26</v>
      </c>
      <c r="E13417">
        <v>1358</v>
      </c>
    </row>
    <row r="13418" spans="1:5" x14ac:dyDescent="0.55000000000000004">
      <c r="A13418" t="s">
        <v>13499</v>
      </c>
      <c r="B13418" t="s">
        <v>23</v>
      </c>
      <c r="C13418" s="2">
        <v>43951</v>
      </c>
      <c r="D13418" t="s">
        <v>29</v>
      </c>
      <c r="E13418">
        <v>485</v>
      </c>
    </row>
    <row r="13419" spans="1:5" x14ac:dyDescent="0.55000000000000004">
      <c r="A13419" t="s">
        <v>13500</v>
      </c>
      <c r="B13419" t="s">
        <v>115</v>
      </c>
      <c r="C13419" s="2">
        <v>43859</v>
      </c>
      <c r="D13419" t="s">
        <v>29</v>
      </c>
      <c r="E13419">
        <v>1814</v>
      </c>
    </row>
    <row r="13420" spans="1:5" x14ac:dyDescent="0.55000000000000004">
      <c r="A13420" t="s">
        <v>13501</v>
      </c>
      <c r="B13420" t="s">
        <v>32</v>
      </c>
      <c r="C13420" s="2">
        <v>44713</v>
      </c>
      <c r="D13420" t="s">
        <v>26</v>
      </c>
      <c r="E13420">
        <v>425</v>
      </c>
    </row>
    <row r="13421" spans="1:5" x14ac:dyDescent="0.55000000000000004">
      <c r="A13421" t="s">
        <v>13502</v>
      </c>
      <c r="B13421" t="s">
        <v>32</v>
      </c>
      <c r="C13421" s="2">
        <v>44414</v>
      </c>
      <c r="D13421" t="s">
        <v>29</v>
      </c>
      <c r="E13421">
        <v>1815</v>
      </c>
    </row>
    <row r="13422" spans="1:5" x14ac:dyDescent="0.55000000000000004">
      <c r="A13422" t="s">
        <v>13503</v>
      </c>
      <c r="B13422" t="s">
        <v>142</v>
      </c>
      <c r="C13422" s="2">
        <v>44079</v>
      </c>
      <c r="D13422" t="s">
        <v>29</v>
      </c>
      <c r="E13422">
        <v>2757</v>
      </c>
    </row>
    <row r="13423" spans="1:5" x14ac:dyDescent="0.55000000000000004">
      <c r="A13423" t="s">
        <v>13504</v>
      </c>
      <c r="B13423" t="s">
        <v>142</v>
      </c>
      <c r="C13423" s="2">
        <v>44042</v>
      </c>
      <c r="D13423" t="s">
        <v>29</v>
      </c>
      <c r="E13423">
        <v>1110</v>
      </c>
    </row>
    <row r="13424" spans="1:5" x14ac:dyDescent="0.55000000000000004">
      <c r="A13424" t="s">
        <v>13505</v>
      </c>
      <c r="B13424" t="s">
        <v>32</v>
      </c>
      <c r="C13424" s="2">
        <v>44691</v>
      </c>
      <c r="D13424" t="s">
        <v>26</v>
      </c>
      <c r="E13424">
        <v>609</v>
      </c>
    </row>
    <row r="13425" spans="1:5" x14ac:dyDescent="0.55000000000000004">
      <c r="A13425" t="s">
        <v>13506</v>
      </c>
      <c r="B13425" t="s">
        <v>72</v>
      </c>
      <c r="C13425" s="2">
        <v>44156</v>
      </c>
      <c r="D13425" t="s">
        <v>26</v>
      </c>
      <c r="E13425">
        <v>75</v>
      </c>
    </row>
    <row r="13426" spans="1:5" x14ac:dyDescent="0.55000000000000004">
      <c r="A13426" t="s">
        <v>13507</v>
      </c>
      <c r="B13426" t="s">
        <v>67</v>
      </c>
      <c r="C13426" s="2">
        <v>45473</v>
      </c>
      <c r="D13426" t="s">
        <v>29</v>
      </c>
      <c r="E13426">
        <v>2916</v>
      </c>
    </row>
    <row r="13427" spans="1:5" x14ac:dyDescent="0.55000000000000004">
      <c r="A13427" t="s">
        <v>13508</v>
      </c>
      <c r="B13427" t="s">
        <v>96</v>
      </c>
      <c r="C13427" s="2">
        <v>45318</v>
      </c>
      <c r="D13427" t="s">
        <v>26</v>
      </c>
      <c r="E13427">
        <v>1048</v>
      </c>
    </row>
    <row r="13428" spans="1:5" x14ac:dyDescent="0.55000000000000004">
      <c r="A13428" t="s">
        <v>13509</v>
      </c>
      <c r="B13428" t="s">
        <v>118</v>
      </c>
      <c r="C13428" s="2">
        <v>44353</v>
      </c>
      <c r="D13428" t="s">
        <v>29</v>
      </c>
      <c r="E13428">
        <v>1426</v>
      </c>
    </row>
    <row r="13429" spans="1:5" x14ac:dyDescent="0.55000000000000004">
      <c r="A13429" t="s">
        <v>13510</v>
      </c>
      <c r="B13429" t="s">
        <v>32</v>
      </c>
      <c r="C13429" s="2">
        <v>44656</v>
      </c>
      <c r="D13429" t="s">
        <v>29</v>
      </c>
      <c r="E13429">
        <v>2203</v>
      </c>
    </row>
    <row r="13430" spans="1:5" x14ac:dyDescent="0.55000000000000004">
      <c r="A13430" t="s">
        <v>13511</v>
      </c>
      <c r="B13430" t="s">
        <v>38</v>
      </c>
      <c r="C13430" s="2">
        <v>44713</v>
      </c>
      <c r="D13430" t="s">
        <v>26</v>
      </c>
      <c r="E13430">
        <v>1830</v>
      </c>
    </row>
    <row r="13431" spans="1:5" x14ac:dyDescent="0.55000000000000004">
      <c r="A13431" t="s">
        <v>13512</v>
      </c>
      <c r="B13431" t="s">
        <v>84</v>
      </c>
      <c r="C13431" s="2">
        <v>43945</v>
      </c>
      <c r="D13431" t="s">
        <v>26</v>
      </c>
      <c r="E13431">
        <v>2850</v>
      </c>
    </row>
    <row r="13432" spans="1:5" x14ac:dyDescent="0.55000000000000004">
      <c r="A13432" t="s">
        <v>13513</v>
      </c>
      <c r="B13432" t="s">
        <v>63</v>
      </c>
      <c r="C13432" s="2">
        <v>42942</v>
      </c>
      <c r="D13432" t="s">
        <v>26</v>
      </c>
      <c r="E13432">
        <v>2334</v>
      </c>
    </row>
    <row r="13433" spans="1:5" x14ac:dyDescent="0.55000000000000004">
      <c r="A13433" t="s">
        <v>13514</v>
      </c>
      <c r="B13433" t="s">
        <v>41</v>
      </c>
      <c r="C13433" s="2">
        <v>44732</v>
      </c>
      <c r="D13433" t="s">
        <v>26</v>
      </c>
      <c r="E13433">
        <v>1328</v>
      </c>
    </row>
    <row r="13434" spans="1:5" x14ac:dyDescent="0.55000000000000004">
      <c r="A13434" t="s">
        <v>13515</v>
      </c>
      <c r="B13434" t="s">
        <v>84</v>
      </c>
      <c r="C13434" s="2">
        <v>43916</v>
      </c>
      <c r="D13434" t="s">
        <v>29</v>
      </c>
      <c r="E13434">
        <v>2418</v>
      </c>
    </row>
    <row r="13435" spans="1:5" x14ac:dyDescent="0.55000000000000004">
      <c r="A13435" t="s">
        <v>13516</v>
      </c>
      <c r="B13435" t="s">
        <v>86</v>
      </c>
      <c r="C13435" s="2">
        <v>42949</v>
      </c>
      <c r="D13435" t="s">
        <v>26</v>
      </c>
      <c r="E13435">
        <v>796</v>
      </c>
    </row>
    <row r="13436" spans="1:5" x14ac:dyDescent="0.55000000000000004">
      <c r="A13436" t="s">
        <v>13517</v>
      </c>
      <c r="B13436" t="s">
        <v>76</v>
      </c>
      <c r="C13436" s="2">
        <v>44351</v>
      </c>
      <c r="D13436" t="s">
        <v>29</v>
      </c>
      <c r="E13436">
        <v>1852</v>
      </c>
    </row>
    <row r="13437" spans="1:5" x14ac:dyDescent="0.55000000000000004">
      <c r="A13437" t="s">
        <v>13518</v>
      </c>
      <c r="B13437" t="s">
        <v>76</v>
      </c>
      <c r="C13437" s="2">
        <v>44086</v>
      </c>
      <c r="D13437" t="s">
        <v>26</v>
      </c>
      <c r="E13437">
        <v>268</v>
      </c>
    </row>
    <row r="13438" spans="1:5" x14ac:dyDescent="0.55000000000000004">
      <c r="A13438" t="s">
        <v>13519</v>
      </c>
      <c r="B13438" t="s">
        <v>175</v>
      </c>
      <c r="C13438" s="2">
        <v>44807</v>
      </c>
      <c r="D13438" t="s">
        <v>29</v>
      </c>
      <c r="E13438">
        <v>1827</v>
      </c>
    </row>
    <row r="13439" spans="1:5" x14ac:dyDescent="0.55000000000000004">
      <c r="A13439" t="s">
        <v>13520</v>
      </c>
      <c r="B13439" t="s">
        <v>118</v>
      </c>
      <c r="C13439" s="2">
        <v>45603</v>
      </c>
      <c r="D13439" t="s">
        <v>26</v>
      </c>
      <c r="E13439">
        <v>1134</v>
      </c>
    </row>
    <row r="13440" spans="1:5" x14ac:dyDescent="0.55000000000000004">
      <c r="A13440" t="s">
        <v>13521</v>
      </c>
      <c r="B13440" t="s">
        <v>14</v>
      </c>
      <c r="C13440" s="2">
        <v>44014</v>
      </c>
      <c r="D13440" t="s">
        <v>26</v>
      </c>
      <c r="E13440">
        <v>2190</v>
      </c>
    </row>
    <row r="13441" spans="1:5" x14ac:dyDescent="0.55000000000000004">
      <c r="A13441" t="s">
        <v>13522</v>
      </c>
      <c r="B13441" t="s">
        <v>105</v>
      </c>
      <c r="C13441" s="2">
        <v>43518</v>
      </c>
      <c r="D13441" t="s">
        <v>29</v>
      </c>
      <c r="E13441">
        <v>1263</v>
      </c>
    </row>
    <row r="13442" spans="1:5" x14ac:dyDescent="0.55000000000000004">
      <c r="A13442" t="s">
        <v>13523</v>
      </c>
      <c r="B13442" t="s">
        <v>32</v>
      </c>
      <c r="C13442" s="2">
        <v>44074</v>
      </c>
      <c r="D13442" t="s">
        <v>26</v>
      </c>
      <c r="E13442">
        <v>1840</v>
      </c>
    </row>
    <row r="13443" spans="1:5" x14ac:dyDescent="0.55000000000000004">
      <c r="A13443" t="s">
        <v>13524</v>
      </c>
      <c r="B13443" t="s">
        <v>74</v>
      </c>
      <c r="C13443" s="2">
        <v>43777</v>
      </c>
      <c r="D13443" t="s">
        <v>29</v>
      </c>
      <c r="E13443">
        <v>229</v>
      </c>
    </row>
    <row r="13444" spans="1:5" x14ac:dyDescent="0.55000000000000004">
      <c r="A13444" t="s">
        <v>13525</v>
      </c>
      <c r="B13444" t="s">
        <v>23</v>
      </c>
      <c r="C13444" s="2">
        <v>44401</v>
      </c>
      <c r="D13444" t="s">
        <v>26</v>
      </c>
      <c r="E13444">
        <v>2719</v>
      </c>
    </row>
    <row r="13445" spans="1:5" x14ac:dyDescent="0.55000000000000004">
      <c r="A13445" t="s">
        <v>13526</v>
      </c>
      <c r="B13445" t="s">
        <v>137</v>
      </c>
      <c r="C13445" s="2">
        <v>44353</v>
      </c>
      <c r="D13445" t="s">
        <v>26</v>
      </c>
      <c r="E13445">
        <v>1530</v>
      </c>
    </row>
    <row r="13446" spans="1:5" x14ac:dyDescent="0.55000000000000004">
      <c r="A13446" t="s">
        <v>13527</v>
      </c>
      <c r="B13446" t="s">
        <v>23</v>
      </c>
      <c r="C13446" s="2">
        <v>44667</v>
      </c>
      <c r="D13446" t="s">
        <v>26</v>
      </c>
      <c r="E13446">
        <v>1921</v>
      </c>
    </row>
    <row r="13447" spans="1:5" x14ac:dyDescent="0.55000000000000004">
      <c r="A13447" t="s">
        <v>13528</v>
      </c>
      <c r="B13447" t="s">
        <v>99</v>
      </c>
      <c r="C13447" s="2">
        <v>43817</v>
      </c>
      <c r="D13447" t="s">
        <v>26</v>
      </c>
      <c r="E13447">
        <v>483</v>
      </c>
    </row>
    <row r="13448" spans="1:5" x14ac:dyDescent="0.55000000000000004">
      <c r="A13448" t="s">
        <v>13529</v>
      </c>
      <c r="B13448" t="s">
        <v>94</v>
      </c>
      <c r="C13448" s="2">
        <v>43722</v>
      </c>
      <c r="D13448" t="s">
        <v>29</v>
      </c>
      <c r="E13448">
        <v>435</v>
      </c>
    </row>
    <row r="13449" spans="1:5" x14ac:dyDescent="0.55000000000000004">
      <c r="A13449" t="s">
        <v>13530</v>
      </c>
      <c r="B13449" t="s">
        <v>67</v>
      </c>
      <c r="C13449" s="2">
        <v>43771</v>
      </c>
      <c r="D13449" t="s">
        <v>26</v>
      </c>
      <c r="E13449">
        <v>1561</v>
      </c>
    </row>
    <row r="13450" spans="1:5" x14ac:dyDescent="0.55000000000000004">
      <c r="A13450" t="s">
        <v>13531</v>
      </c>
      <c r="B13450" t="s">
        <v>137</v>
      </c>
      <c r="C13450" s="2">
        <v>43561</v>
      </c>
      <c r="D13450" t="s">
        <v>26</v>
      </c>
      <c r="E13450">
        <v>1129</v>
      </c>
    </row>
    <row r="13451" spans="1:5" x14ac:dyDescent="0.55000000000000004">
      <c r="A13451" t="s">
        <v>13532</v>
      </c>
      <c r="B13451" t="s">
        <v>94</v>
      </c>
      <c r="C13451" s="2">
        <v>45268</v>
      </c>
      <c r="D13451" t="s">
        <v>26</v>
      </c>
      <c r="E13451">
        <v>1244</v>
      </c>
    </row>
    <row r="13452" spans="1:5" x14ac:dyDescent="0.55000000000000004">
      <c r="A13452" t="s">
        <v>13533</v>
      </c>
      <c r="B13452" t="s">
        <v>140</v>
      </c>
      <c r="C13452" s="2">
        <v>44419</v>
      </c>
      <c r="D13452" t="s">
        <v>29</v>
      </c>
      <c r="E13452">
        <v>1152</v>
      </c>
    </row>
    <row r="13453" spans="1:5" x14ac:dyDescent="0.55000000000000004">
      <c r="A13453" t="s">
        <v>13534</v>
      </c>
      <c r="B13453" t="s">
        <v>32</v>
      </c>
      <c r="C13453" s="2">
        <v>44367</v>
      </c>
      <c r="D13453" t="s">
        <v>26</v>
      </c>
      <c r="E13453">
        <v>1421</v>
      </c>
    </row>
    <row r="13454" spans="1:5" x14ac:dyDescent="0.55000000000000004">
      <c r="A13454" t="s">
        <v>13535</v>
      </c>
      <c r="B13454" t="s">
        <v>38</v>
      </c>
      <c r="C13454" s="2">
        <v>43963</v>
      </c>
      <c r="D13454" t="s">
        <v>29</v>
      </c>
      <c r="E13454">
        <v>402</v>
      </c>
    </row>
    <row r="13455" spans="1:5" x14ac:dyDescent="0.55000000000000004">
      <c r="A13455" t="s">
        <v>13536</v>
      </c>
      <c r="B13455" t="s">
        <v>32</v>
      </c>
      <c r="C13455" s="2">
        <v>44287</v>
      </c>
      <c r="D13455" t="s">
        <v>29</v>
      </c>
      <c r="E13455">
        <v>637</v>
      </c>
    </row>
    <row r="13456" spans="1:5" x14ac:dyDescent="0.55000000000000004">
      <c r="A13456" t="s">
        <v>13537</v>
      </c>
      <c r="B13456" t="s">
        <v>96</v>
      </c>
      <c r="C13456" s="2">
        <v>45758</v>
      </c>
      <c r="D13456" t="s">
        <v>26</v>
      </c>
      <c r="E13456">
        <v>2880</v>
      </c>
    </row>
    <row r="13457" spans="1:5" x14ac:dyDescent="0.55000000000000004">
      <c r="A13457" t="s">
        <v>13538</v>
      </c>
      <c r="B13457" t="s">
        <v>35</v>
      </c>
      <c r="C13457" s="2">
        <v>43979</v>
      </c>
      <c r="D13457" t="s">
        <v>26</v>
      </c>
      <c r="E13457">
        <v>1777</v>
      </c>
    </row>
    <row r="13458" spans="1:5" x14ac:dyDescent="0.55000000000000004">
      <c r="A13458" t="s">
        <v>13539</v>
      </c>
      <c r="B13458" t="s">
        <v>137</v>
      </c>
      <c r="C13458" s="2">
        <v>45656</v>
      </c>
      <c r="D13458" t="s">
        <v>26</v>
      </c>
      <c r="E13458">
        <v>86</v>
      </c>
    </row>
    <row r="13459" spans="1:5" x14ac:dyDescent="0.55000000000000004">
      <c r="A13459" t="s">
        <v>13540</v>
      </c>
      <c r="B13459" t="s">
        <v>32</v>
      </c>
      <c r="C13459" s="2">
        <v>44856</v>
      </c>
      <c r="D13459" t="s">
        <v>29</v>
      </c>
      <c r="E13459">
        <v>2777</v>
      </c>
    </row>
    <row r="13460" spans="1:5" x14ac:dyDescent="0.55000000000000004">
      <c r="A13460" t="s">
        <v>13541</v>
      </c>
      <c r="B13460" t="s">
        <v>142</v>
      </c>
      <c r="C13460" s="2">
        <v>44228</v>
      </c>
      <c r="D13460" t="s">
        <v>29</v>
      </c>
      <c r="E13460">
        <v>2140</v>
      </c>
    </row>
    <row r="13461" spans="1:5" x14ac:dyDescent="0.55000000000000004">
      <c r="A13461" t="s">
        <v>13542</v>
      </c>
      <c r="B13461" t="s">
        <v>74</v>
      </c>
      <c r="C13461" s="2">
        <v>43513</v>
      </c>
      <c r="D13461" t="s">
        <v>29</v>
      </c>
      <c r="E13461">
        <v>330</v>
      </c>
    </row>
    <row r="13462" spans="1:5" x14ac:dyDescent="0.55000000000000004">
      <c r="A13462" t="s">
        <v>13543</v>
      </c>
      <c r="B13462" t="s">
        <v>140</v>
      </c>
      <c r="C13462" s="2">
        <v>44225</v>
      </c>
      <c r="D13462" t="s">
        <v>29</v>
      </c>
      <c r="E13462">
        <v>2959</v>
      </c>
    </row>
    <row r="13463" spans="1:5" x14ac:dyDescent="0.55000000000000004">
      <c r="A13463" t="s">
        <v>13544</v>
      </c>
      <c r="B13463" t="s">
        <v>101</v>
      </c>
      <c r="C13463" s="2">
        <v>43113</v>
      </c>
      <c r="D13463" t="s">
        <v>26</v>
      </c>
      <c r="E13463">
        <v>1953</v>
      </c>
    </row>
    <row r="13464" spans="1:5" x14ac:dyDescent="0.55000000000000004">
      <c r="A13464" t="s">
        <v>13545</v>
      </c>
      <c r="B13464" t="s">
        <v>118</v>
      </c>
      <c r="C13464" s="2">
        <v>45377</v>
      </c>
      <c r="D13464" t="s">
        <v>26</v>
      </c>
      <c r="E13464">
        <v>2495</v>
      </c>
    </row>
    <row r="13465" spans="1:5" x14ac:dyDescent="0.55000000000000004">
      <c r="A13465" t="s">
        <v>13546</v>
      </c>
      <c r="B13465" t="s">
        <v>84</v>
      </c>
      <c r="C13465" s="2">
        <v>43251</v>
      </c>
      <c r="D13465" t="s">
        <v>26</v>
      </c>
      <c r="E13465">
        <v>1676</v>
      </c>
    </row>
    <row r="13466" spans="1:5" x14ac:dyDescent="0.55000000000000004">
      <c r="A13466" t="s">
        <v>13547</v>
      </c>
      <c r="B13466" t="s">
        <v>94</v>
      </c>
      <c r="C13466" s="2">
        <v>45386</v>
      </c>
      <c r="D13466" t="s">
        <v>26</v>
      </c>
      <c r="E13466">
        <v>2281</v>
      </c>
    </row>
    <row r="13467" spans="1:5" x14ac:dyDescent="0.55000000000000004">
      <c r="A13467" t="s">
        <v>13548</v>
      </c>
      <c r="B13467" t="s">
        <v>14</v>
      </c>
      <c r="C13467" s="2">
        <v>43618</v>
      </c>
      <c r="D13467" t="s">
        <v>29</v>
      </c>
      <c r="E13467">
        <v>2270</v>
      </c>
    </row>
    <row r="13468" spans="1:5" x14ac:dyDescent="0.55000000000000004">
      <c r="A13468" t="s">
        <v>13549</v>
      </c>
      <c r="B13468" t="s">
        <v>72</v>
      </c>
      <c r="C13468" s="2">
        <v>43490</v>
      </c>
      <c r="D13468" t="s">
        <v>26</v>
      </c>
      <c r="E13468">
        <v>1044</v>
      </c>
    </row>
    <row r="13469" spans="1:5" x14ac:dyDescent="0.55000000000000004">
      <c r="A13469" t="s">
        <v>13550</v>
      </c>
      <c r="B13469" t="s">
        <v>32</v>
      </c>
      <c r="C13469" s="2">
        <v>44813</v>
      </c>
      <c r="D13469" t="s">
        <v>29</v>
      </c>
      <c r="E13469">
        <v>2915</v>
      </c>
    </row>
    <row r="13470" spans="1:5" x14ac:dyDescent="0.55000000000000004">
      <c r="A13470" t="s">
        <v>13551</v>
      </c>
      <c r="B13470" t="s">
        <v>38</v>
      </c>
      <c r="C13470" s="2">
        <v>44491</v>
      </c>
      <c r="D13470" t="s">
        <v>29</v>
      </c>
      <c r="E13470">
        <v>723</v>
      </c>
    </row>
    <row r="13471" spans="1:5" x14ac:dyDescent="0.55000000000000004">
      <c r="A13471" t="s">
        <v>13552</v>
      </c>
      <c r="B13471" t="s">
        <v>156</v>
      </c>
      <c r="C13471" s="2">
        <v>42930</v>
      </c>
      <c r="D13471" t="s">
        <v>26</v>
      </c>
      <c r="E13471">
        <v>944</v>
      </c>
    </row>
    <row r="13472" spans="1:5" x14ac:dyDescent="0.55000000000000004">
      <c r="A13472" t="s">
        <v>13553</v>
      </c>
      <c r="B13472" t="s">
        <v>142</v>
      </c>
      <c r="C13472" s="2">
        <v>43321</v>
      </c>
      <c r="D13472" t="s">
        <v>26</v>
      </c>
      <c r="E13472">
        <v>1497</v>
      </c>
    </row>
    <row r="13473" spans="1:5" x14ac:dyDescent="0.55000000000000004">
      <c r="A13473" t="s">
        <v>13554</v>
      </c>
      <c r="B13473" t="s">
        <v>74</v>
      </c>
      <c r="C13473" s="2">
        <v>44445</v>
      </c>
      <c r="D13473" t="s">
        <v>29</v>
      </c>
      <c r="E13473">
        <v>378</v>
      </c>
    </row>
    <row r="13474" spans="1:5" x14ac:dyDescent="0.55000000000000004">
      <c r="A13474" t="s">
        <v>13555</v>
      </c>
      <c r="B13474" t="s">
        <v>15</v>
      </c>
      <c r="C13474" s="2">
        <v>43628</v>
      </c>
      <c r="D13474" t="s">
        <v>29</v>
      </c>
      <c r="E13474">
        <v>729</v>
      </c>
    </row>
    <row r="13475" spans="1:5" x14ac:dyDescent="0.55000000000000004">
      <c r="A13475" t="s">
        <v>13556</v>
      </c>
      <c r="B13475" t="s">
        <v>118</v>
      </c>
      <c r="C13475" s="2">
        <v>44089</v>
      </c>
      <c r="D13475" t="s">
        <v>29</v>
      </c>
      <c r="E13475">
        <v>2501</v>
      </c>
    </row>
    <row r="13476" spans="1:5" x14ac:dyDescent="0.55000000000000004">
      <c r="A13476" t="s">
        <v>13557</v>
      </c>
      <c r="B13476" t="s">
        <v>156</v>
      </c>
      <c r="C13476" s="2">
        <v>44214</v>
      </c>
      <c r="D13476" t="s">
        <v>29</v>
      </c>
      <c r="E13476">
        <v>1717</v>
      </c>
    </row>
    <row r="13477" spans="1:5" x14ac:dyDescent="0.55000000000000004">
      <c r="A13477" t="s">
        <v>13558</v>
      </c>
      <c r="B13477" t="s">
        <v>84</v>
      </c>
      <c r="C13477" s="2">
        <v>44238</v>
      </c>
      <c r="D13477" t="s">
        <v>26</v>
      </c>
      <c r="E13477">
        <v>2498</v>
      </c>
    </row>
    <row r="13478" spans="1:5" x14ac:dyDescent="0.55000000000000004">
      <c r="A13478" t="s">
        <v>13559</v>
      </c>
      <c r="B13478" t="s">
        <v>84</v>
      </c>
      <c r="C13478" s="2">
        <v>44124</v>
      </c>
      <c r="D13478" t="s">
        <v>29</v>
      </c>
      <c r="E13478">
        <v>2072</v>
      </c>
    </row>
    <row r="13479" spans="1:5" x14ac:dyDescent="0.55000000000000004">
      <c r="A13479" t="s">
        <v>13560</v>
      </c>
      <c r="B13479" t="s">
        <v>151</v>
      </c>
      <c r="C13479" s="2">
        <v>43287</v>
      </c>
      <c r="D13479" t="s">
        <v>29</v>
      </c>
      <c r="E13479">
        <v>308</v>
      </c>
    </row>
    <row r="13480" spans="1:5" x14ac:dyDescent="0.55000000000000004">
      <c r="A13480" t="s">
        <v>13561</v>
      </c>
      <c r="B13480" t="s">
        <v>32</v>
      </c>
      <c r="C13480" s="2">
        <v>43908</v>
      </c>
      <c r="D13480" t="s">
        <v>26</v>
      </c>
      <c r="E13480">
        <v>41</v>
      </c>
    </row>
    <row r="13481" spans="1:5" x14ac:dyDescent="0.55000000000000004">
      <c r="A13481" t="s">
        <v>13562</v>
      </c>
      <c r="B13481" t="s">
        <v>72</v>
      </c>
      <c r="C13481" s="2">
        <v>43743</v>
      </c>
      <c r="D13481" t="s">
        <v>26</v>
      </c>
      <c r="E13481">
        <v>869</v>
      </c>
    </row>
    <row r="13482" spans="1:5" x14ac:dyDescent="0.55000000000000004">
      <c r="A13482" t="s">
        <v>13563</v>
      </c>
      <c r="B13482" t="s">
        <v>84</v>
      </c>
      <c r="C13482" s="2">
        <v>44192</v>
      </c>
      <c r="D13482" t="s">
        <v>26</v>
      </c>
      <c r="E13482">
        <v>593</v>
      </c>
    </row>
    <row r="13483" spans="1:5" x14ac:dyDescent="0.55000000000000004">
      <c r="A13483" t="s">
        <v>13564</v>
      </c>
      <c r="B13483" t="s">
        <v>15</v>
      </c>
      <c r="C13483" s="2">
        <v>44456</v>
      </c>
      <c r="D13483" t="s">
        <v>29</v>
      </c>
      <c r="E13483">
        <v>2856</v>
      </c>
    </row>
    <row r="13484" spans="1:5" x14ac:dyDescent="0.55000000000000004">
      <c r="A13484" t="s">
        <v>13565</v>
      </c>
      <c r="B13484" t="s">
        <v>118</v>
      </c>
      <c r="C13484" s="2">
        <v>45405</v>
      </c>
      <c r="D13484" t="s">
        <v>26</v>
      </c>
      <c r="E13484">
        <v>2177</v>
      </c>
    </row>
    <row r="13485" spans="1:5" x14ac:dyDescent="0.55000000000000004">
      <c r="A13485" t="s">
        <v>13566</v>
      </c>
      <c r="B13485" t="s">
        <v>111</v>
      </c>
      <c r="C13485" s="2">
        <v>44099</v>
      </c>
      <c r="D13485" t="s">
        <v>29</v>
      </c>
      <c r="E13485">
        <v>2781</v>
      </c>
    </row>
    <row r="13486" spans="1:5" x14ac:dyDescent="0.55000000000000004">
      <c r="A13486" t="s">
        <v>13567</v>
      </c>
      <c r="B13486" t="s">
        <v>105</v>
      </c>
      <c r="C13486" s="2">
        <v>43782</v>
      </c>
      <c r="D13486" t="s">
        <v>26</v>
      </c>
      <c r="E13486">
        <v>961</v>
      </c>
    </row>
    <row r="13487" spans="1:5" x14ac:dyDescent="0.55000000000000004">
      <c r="A13487" t="s">
        <v>13568</v>
      </c>
      <c r="B13487" t="s">
        <v>32</v>
      </c>
      <c r="C13487" s="2">
        <v>44569</v>
      </c>
      <c r="D13487" t="s">
        <v>29</v>
      </c>
      <c r="E13487">
        <v>1081</v>
      </c>
    </row>
    <row r="13488" spans="1:5" x14ac:dyDescent="0.55000000000000004">
      <c r="A13488" t="s">
        <v>13569</v>
      </c>
      <c r="B13488" t="s">
        <v>151</v>
      </c>
      <c r="C13488" s="2">
        <v>44338</v>
      </c>
      <c r="D13488" t="s">
        <v>29</v>
      </c>
      <c r="E13488">
        <v>1048</v>
      </c>
    </row>
    <row r="13489" spans="1:5" x14ac:dyDescent="0.55000000000000004">
      <c r="A13489" t="s">
        <v>13570</v>
      </c>
      <c r="B13489" t="s">
        <v>99</v>
      </c>
      <c r="C13489" s="2">
        <v>44210</v>
      </c>
      <c r="D13489" t="s">
        <v>26</v>
      </c>
      <c r="E13489">
        <v>987</v>
      </c>
    </row>
    <row r="13490" spans="1:5" x14ac:dyDescent="0.55000000000000004">
      <c r="A13490" t="s">
        <v>13571</v>
      </c>
      <c r="B13490" t="s">
        <v>67</v>
      </c>
      <c r="C13490" s="2">
        <v>43483</v>
      </c>
      <c r="D13490" t="s">
        <v>26</v>
      </c>
      <c r="E13490">
        <v>494</v>
      </c>
    </row>
    <row r="13491" spans="1:5" x14ac:dyDescent="0.55000000000000004">
      <c r="A13491" t="s">
        <v>13572</v>
      </c>
      <c r="B13491" t="s">
        <v>111</v>
      </c>
      <c r="C13491" s="2">
        <v>44244</v>
      </c>
      <c r="D13491" t="s">
        <v>29</v>
      </c>
      <c r="E13491">
        <v>1954</v>
      </c>
    </row>
    <row r="13492" spans="1:5" x14ac:dyDescent="0.55000000000000004">
      <c r="A13492" t="s">
        <v>13573</v>
      </c>
      <c r="B13492" t="s">
        <v>101</v>
      </c>
      <c r="C13492" s="2">
        <v>44149</v>
      </c>
      <c r="D13492" t="s">
        <v>29</v>
      </c>
      <c r="E13492">
        <v>408</v>
      </c>
    </row>
    <row r="13493" spans="1:5" x14ac:dyDescent="0.55000000000000004">
      <c r="A13493" t="s">
        <v>13574</v>
      </c>
      <c r="B13493" t="s">
        <v>38</v>
      </c>
      <c r="C13493" s="2">
        <v>44590</v>
      </c>
      <c r="D13493" t="s">
        <v>26</v>
      </c>
      <c r="E13493">
        <v>863</v>
      </c>
    </row>
    <row r="13494" spans="1:5" x14ac:dyDescent="0.55000000000000004">
      <c r="A13494" t="s">
        <v>13575</v>
      </c>
      <c r="B13494" t="s">
        <v>32</v>
      </c>
      <c r="C13494" s="2">
        <v>44573</v>
      </c>
      <c r="D13494" t="s">
        <v>29</v>
      </c>
      <c r="E13494">
        <v>1017</v>
      </c>
    </row>
    <row r="13495" spans="1:5" x14ac:dyDescent="0.55000000000000004">
      <c r="A13495" t="s">
        <v>13576</v>
      </c>
      <c r="B13495" t="s">
        <v>105</v>
      </c>
      <c r="C13495" s="2">
        <v>43336</v>
      </c>
      <c r="D13495" t="s">
        <v>29</v>
      </c>
      <c r="E13495">
        <v>1481</v>
      </c>
    </row>
    <row r="13496" spans="1:5" x14ac:dyDescent="0.55000000000000004">
      <c r="A13496" t="s">
        <v>13577</v>
      </c>
      <c r="B13496" t="s">
        <v>14</v>
      </c>
      <c r="C13496" s="2">
        <v>43949</v>
      </c>
      <c r="D13496" t="s">
        <v>26</v>
      </c>
      <c r="E13496">
        <v>2497</v>
      </c>
    </row>
    <row r="13497" spans="1:5" x14ac:dyDescent="0.55000000000000004">
      <c r="A13497" t="s">
        <v>13578</v>
      </c>
      <c r="B13497" t="s">
        <v>96</v>
      </c>
      <c r="C13497" s="2">
        <v>44458</v>
      </c>
      <c r="D13497" t="s">
        <v>26</v>
      </c>
      <c r="E13497">
        <v>1895</v>
      </c>
    </row>
    <row r="13498" spans="1:5" x14ac:dyDescent="0.55000000000000004">
      <c r="A13498" t="s">
        <v>13579</v>
      </c>
      <c r="B13498" t="s">
        <v>111</v>
      </c>
      <c r="C13498" s="2">
        <v>43258</v>
      </c>
      <c r="D13498" t="s">
        <v>29</v>
      </c>
      <c r="E13498">
        <v>612</v>
      </c>
    </row>
    <row r="13499" spans="1:5" x14ac:dyDescent="0.55000000000000004">
      <c r="A13499" t="s">
        <v>13580</v>
      </c>
      <c r="B13499" t="s">
        <v>38</v>
      </c>
      <c r="C13499" s="2">
        <v>44282</v>
      </c>
      <c r="D13499" t="s">
        <v>26</v>
      </c>
      <c r="E13499">
        <v>1141</v>
      </c>
    </row>
    <row r="13500" spans="1:5" x14ac:dyDescent="0.55000000000000004">
      <c r="A13500" t="s">
        <v>13581</v>
      </c>
      <c r="B13500" t="s">
        <v>63</v>
      </c>
      <c r="C13500" s="2">
        <v>43431</v>
      </c>
      <c r="D13500" t="s">
        <v>26</v>
      </c>
      <c r="E13500">
        <v>393</v>
      </c>
    </row>
    <row r="13501" spans="1:5" x14ac:dyDescent="0.55000000000000004">
      <c r="A13501" t="s">
        <v>13582</v>
      </c>
      <c r="B13501" t="s">
        <v>78</v>
      </c>
      <c r="C13501" s="2">
        <v>44303</v>
      </c>
      <c r="D13501" t="s">
        <v>29</v>
      </c>
      <c r="E13501">
        <v>1976</v>
      </c>
    </row>
    <row r="13502" spans="1:5" x14ac:dyDescent="0.55000000000000004">
      <c r="A13502" t="s">
        <v>13583</v>
      </c>
      <c r="B13502" t="s">
        <v>137</v>
      </c>
      <c r="C13502" s="2">
        <v>45825</v>
      </c>
      <c r="D13502" t="s">
        <v>29</v>
      </c>
      <c r="E13502">
        <v>1334</v>
      </c>
    </row>
    <row r="13503" spans="1:5" x14ac:dyDescent="0.55000000000000004">
      <c r="A13503" t="s">
        <v>13584</v>
      </c>
      <c r="B13503" t="s">
        <v>140</v>
      </c>
      <c r="C13503" s="2">
        <v>43256</v>
      </c>
      <c r="D13503" t="s">
        <v>26</v>
      </c>
      <c r="E13503">
        <v>2010</v>
      </c>
    </row>
    <row r="13504" spans="1:5" x14ac:dyDescent="0.55000000000000004">
      <c r="A13504" t="s">
        <v>13585</v>
      </c>
      <c r="B13504" t="s">
        <v>151</v>
      </c>
      <c r="C13504" s="2">
        <v>43373</v>
      </c>
      <c r="D13504" t="s">
        <v>29</v>
      </c>
      <c r="E13504">
        <v>77</v>
      </c>
    </row>
    <row r="13505" spans="1:5" x14ac:dyDescent="0.55000000000000004">
      <c r="A13505" t="s">
        <v>13586</v>
      </c>
      <c r="B13505" t="s">
        <v>14</v>
      </c>
      <c r="C13505" s="2">
        <v>43777</v>
      </c>
      <c r="D13505" t="s">
        <v>29</v>
      </c>
      <c r="E13505">
        <v>2829</v>
      </c>
    </row>
    <row r="13506" spans="1:5" x14ac:dyDescent="0.55000000000000004">
      <c r="A13506" t="s">
        <v>13587</v>
      </c>
      <c r="B13506" t="s">
        <v>111</v>
      </c>
      <c r="C13506" s="2">
        <v>44496</v>
      </c>
      <c r="D13506" t="s">
        <v>29</v>
      </c>
      <c r="E13506">
        <v>2950</v>
      </c>
    </row>
    <row r="13507" spans="1:5" x14ac:dyDescent="0.55000000000000004">
      <c r="A13507" t="s">
        <v>13588</v>
      </c>
      <c r="B13507" t="s">
        <v>67</v>
      </c>
      <c r="C13507" s="2">
        <v>43647</v>
      </c>
      <c r="D13507" t="s">
        <v>29</v>
      </c>
      <c r="E13507">
        <v>2123</v>
      </c>
    </row>
    <row r="13508" spans="1:5" x14ac:dyDescent="0.55000000000000004">
      <c r="A13508" t="s">
        <v>13589</v>
      </c>
      <c r="B13508" t="s">
        <v>105</v>
      </c>
      <c r="C13508" s="2">
        <v>44172</v>
      </c>
      <c r="D13508" t="s">
        <v>29</v>
      </c>
      <c r="E13508">
        <v>170</v>
      </c>
    </row>
    <row r="13509" spans="1:5" x14ac:dyDescent="0.55000000000000004">
      <c r="A13509" t="s">
        <v>13590</v>
      </c>
      <c r="B13509" t="s">
        <v>96</v>
      </c>
      <c r="C13509" s="2">
        <v>45682</v>
      </c>
      <c r="D13509" t="s">
        <v>26</v>
      </c>
      <c r="E13509">
        <v>2127</v>
      </c>
    </row>
    <row r="13510" spans="1:5" x14ac:dyDescent="0.55000000000000004">
      <c r="A13510" t="s">
        <v>13591</v>
      </c>
      <c r="B13510" t="s">
        <v>101</v>
      </c>
      <c r="C13510" s="2">
        <v>43300</v>
      </c>
      <c r="D13510" t="s">
        <v>29</v>
      </c>
      <c r="E13510">
        <v>1422</v>
      </c>
    </row>
    <row r="13511" spans="1:5" x14ac:dyDescent="0.55000000000000004">
      <c r="A13511" t="s">
        <v>13592</v>
      </c>
      <c r="B13511" t="s">
        <v>67</v>
      </c>
      <c r="C13511" s="2">
        <v>45271</v>
      </c>
      <c r="D13511" t="s">
        <v>26</v>
      </c>
      <c r="E13511">
        <v>2361</v>
      </c>
    </row>
    <row r="13512" spans="1:5" x14ac:dyDescent="0.55000000000000004">
      <c r="A13512" t="s">
        <v>13593</v>
      </c>
      <c r="B13512" t="s">
        <v>151</v>
      </c>
      <c r="C13512" s="2">
        <v>44417</v>
      </c>
      <c r="D13512" t="s">
        <v>29</v>
      </c>
      <c r="E13512">
        <v>95</v>
      </c>
    </row>
    <row r="13513" spans="1:5" x14ac:dyDescent="0.55000000000000004">
      <c r="A13513" t="s">
        <v>13594</v>
      </c>
      <c r="B13513" t="s">
        <v>118</v>
      </c>
      <c r="C13513" s="2">
        <v>45218</v>
      </c>
      <c r="D13513" t="s">
        <v>26</v>
      </c>
      <c r="E13513">
        <v>2580</v>
      </c>
    </row>
    <row r="13514" spans="1:5" x14ac:dyDescent="0.55000000000000004">
      <c r="A13514" t="s">
        <v>13595</v>
      </c>
      <c r="B13514" t="s">
        <v>35</v>
      </c>
      <c r="C13514" s="2">
        <v>44570</v>
      </c>
      <c r="D13514" t="s">
        <v>29</v>
      </c>
      <c r="E13514">
        <v>2965</v>
      </c>
    </row>
    <row r="13515" spans="1:5" x14ac:dyDescent="0.55000000000000004">
      <c r="A13515" t="s">
        <v>13596</v>
      </c>
      <c r="B13515" t="s">
        <v>151</v>
      </c>
      <c r="C13515" s="2">
        <v>43696</v>
      </c>
      <c r="D13515" t="s">
        <v>26</v>
      </c>
      <c r="E13515">
        <v>2144</v>
      </c>
    </row>
    <row r="13516" spans="1:5" x14ac:dyDescent="0.55000000000000004">
      <c r="A13516" t="s">
        <v>13597</v>
      </c>
      <c r="B13516" t="s">
        <v>142</v>
      </c>
      <c r="C13516" s="2">
        <v>43669</v>
      </c>
      <c r="D13516" t="s">
        <v>29</v>
      </c>
      <c r="E13516">
        <v>2205</v>
      </c>
    </row>
    <row r="13517" spans="1:5" x14ac:dyDescent="0.55000000000000004">
      <c r="A13517" t="s">
        <v>13598</v>
      </c>
      <c r="B13517" t="s">
        <v>72</v>
      </c>
      <c r="C13517" s="2">
        <v>44302</v>
      </c>
      <c r="D13517" t="s">
        <v>26</v>
      </c>
      <c r="E13517">
        <v>1712</v>
      </c>
    </row>
    <row r="13518" spans="1:5" x14ac:dyDescent="0.55000000000000004">
      <c r="A13518" t="s">
        <v>13599</v>
      </c>
      <c r="B13518" t="s">
        <v>72</v>
      </c>
      <c r="C13518" s="2">
        <v>44464</v>
      </c>
      <c r="D13518" t="s">
        <v>26</v>
      </c>
      <c r="E13518">
        <v>2894</v>
      </c>
    </row>
    <row r="13519" spans="1:5" x14ac:dyDescent="0.55000000000000004">
      <c r="A13519" t="s">
        <v>13600</v>
      </c>
      <c r="B13519" t="s">
        <v>38</v>
      </c>
      <c r="C13519" s="2">
        <v>44000</v>
      </c>
      <c r="D13519" t="s">
        <v>29</v>
      </c>
      <c r="E13519">
        <v>1884</v>
      </c>
    </row>
    <row r="13520" spans="1:5" x14ac:dyDescent="0.55000000000000004">
      <c r="A13520" t="s">
        <v>13601</v>
      </c>
      <c r="B13520" t="s">
        <v>86</v>
      </c>
      <c r="C13520" s="2">
        <v>42958</v>
      </c>
      <c r="D13520" t="s">
        <v>26</v>
      </c>
      <c r="E13520">
        <v>345</v>
      </c>
    </row>
    <row r="13521" spans="1:5" x14ac:dyDescent="0.55000000000000004">
      <c r="A13521" t="s">
        <v>13602</v>
      </c>
      <c r="B13521" t="s">
        <v>86</v>
      </c>
      <c r="C13521" s="2">
        <v>43322</v>
      </c>
      <c r="D13521" t="s">
        <v>26</v>
      </c>
      <c r="E13521">
        <v>2604</v>
      </c>
    </row>
    <row r="13522" spans="1:5" x14ac:dyDescent="0.55000000000000004">
      <c r="A13522" t="s">
        <v>13603</v>
      </c>
      <c r="B13522" t="s">
        <v>15</v>
      </c>
      <c r="C13522" s="2">
        <v>44447</v>
      </c>
      <c r="D13522" t="s">
        <v>26</v>
      </c>
      <c r="E13522">
        <v>880</v>
      </c>
    </row>
    <row r="13523" spans="1:5" x14ac:dyDescent="0.55000000000000004">
      <c r="A13523" t="s">
        <v>13604</v>
      </c>
      <c r="B13523" t="s">
        <v>175</v>
      </c>
      <c r="C13523" s="2">
        <v>44697</v>
      </c>
      <c r="D13523" t="s">
        <v>26</v>
      </c>
      <c r="E13523">
        <v>1169</v>
      </c>
    </row>
    <row r="13524" spans="1:5" x14ac:dyDescent="0.55000000000000004">
      <c r="A13524" t="s">
        <v>13605</v>
      </c>
      <c r="B13524" t="s">
        <v>15</v>
      </c>
      <c r="C13524" s="2">
        <v>43893</v>
      </c>
      <c r="D13524" t="s">
        <v>29</v>
      </c>
      <c r="E13524">
        <v>1555</v>
      </c>
    </row>
    <row r="13525" spans="1:5" x14ac:dyDescent="0.55000000000000004">
      <c r="A13525" t="s">
        <v>13606</v>
      </c>
      <c r="B13525" t="s">
        <v>76</v>
      </c>
      <c r="C13525" s="2">
        <v>45697</v>
      </c>
      <c r="D13525" t="s">
        <v>29</v>
      </c>
      <c r="E13525">
        <v>866</v>
      </c>
    </row>
    <row r="13526" spans="1:5" x14ac:dyDescent="0.55000000000000004">
      <c r="A13526" t="s">
        <v>13607</v>
      </c>
      <c r="B13526" t="s">
        <v>78</v>
      </c>
      <c r="C13526" s="2">
        <v>45463</v>
      </c>
      <c r="D13526" t="s">
        <v>26</v>
      </c>
      <c r="E13526">
        <v>968</v>
      </c>
    </row>
    <row r="13527" spans="1:5" x14ac:dyDescent="0.55000000000000004">
      <c r="A13527" t="s">
        <v>13608</v>
      </c>
      <c r="B13527" t="s">
        <v>15</v>
      </c>
      <c r="C13527" s="2">
        <v>44125</v>
      </c>
      <c r="D13527" t="s">
        <v>29</v>
      </c>
      <c r="E13527">
        <v>32</v>
      </c>
    </row>
    <row r="13528" spans="1:5" x14ac:dyDescent="0.55000000000000004">
      <c r="A13528" t="s">
        <v>13609</v>
      </c>
      <c r="B13528" t="s">
        <v>67</v>
      </c>
      <c r="C13528" s="2">
        <v>43593</v>
      </c>
      <c r="D13528" t="s">
        <v>29</v>
      </c>
      <c r="E13528">
        <v>1016</v>
      </c>
    </row>
    <row r="13529" spans="1:5" x14ac:dyDescent="0.55000000000000004">
      <c r="A13529" t="s">
        <v>13610</v>
      </c>
      <c r="B13529" t="s">
        <v>67</v>
      </c>
      <c r="C13529" s="2">
        <v>44220</v>
      </c>
      <c r="D13529" t="s">
        <v>26</v>
      </c>
      <c r="E13529">
        <v>720</v>
      </c>
    </row>
    <row r="13530" spans="1:5" x14ac:dyDescent="0.55000000000000004">
      <c r="A13530" t="s">
        <v>13611</v>
      </c>
      <c r="B13530" t="s">
        <v>41</v>
      </c>
      <c r="C13530" s="2">
        <v>44138</v>
      </c>
      <c r="D13530" t="s">
        <v>26</v>
      </c>
      <c r="E13530">
        <v>2699</v>
      </c>
    </row>
    <row r="13531" spans="1:5" x14ac:dyDescent="0.55000000000000004">
      <c r="A13531" t="s">
        <v>13612</v>
      </c>
      <c r="B13531" t="s">
        <v>76</v>
      </c>
      <c r="C13531" s="2">
        <v>45064</v>
      </c>
      <c r="D13531" t="s">
        <v>29</v>
      </c>
      <c r="E13531">
        <v>1855</v>
      </c>
    </row>
    <row r="13532" spans="1:5" x14ac:dyDescent="0.55000000000000004">
      <c r="A13532" t="s">
        <v>13613</v>
      </c>
      <c r="B13532" t="s">
        <v>41</v>
      </c>
      <c r="C13532" s="2">
        <v>44575</v>
      </c>
      <c r="D13532" t="s">
        <v>26</v>
      </c>
      <c r="E13532">
        <v>2642</v>
      </c>
    </row>
    <row r="13533" spans="1:5" x14ac:dyDescent="0.55000000000000004">
      <c r="A13533" t="s">
        <v>13614</v>
      </c>
      <c r="B13533" t="s">
        <v>96</v>
      </c>
      <c r="C13533" s="2">
        <v>45059</v>
      </c>
      <c r="D13533" t="s">
        <v>29</v>
      </c>
      <c r="E13533">
        <v>1180</v>
      </c>
    </row>
    <row r="13534" spans="1:5" x14ac:dyDescent="0.55000000000000004">
      <c r="A13534" t="s">
        <v>13615</v>
      </c>
      <c r="B13534" t="s">
        <v>111</v>
      </c>
      <c r="C13534" s="2">
        <v>43150</v>
      </c>
      <c r="D13534" t="s">
        <v>26</v>
      </c>
      <c r="E13534">
        <v>2565</v>
      </c>
    </row>
    <row r="13535" spans="1:5" x14ac:dyDescent="0.55000000000000004">
      <c r="A13535" t="s">
        <v>13616</v>
      </c>
      <c r="B13535" t="s">
        <v>111</v>
      </c>
      <c r="C13535" s="2">
        <v>43702</v>
      </c>
      <c r="D13535" t="s">
        <v>26</v>
      </c>
      <c r="E13535">
        <v>692</v>
      </c>
    </row>
    <row r="13536" spans="1:5" x14ac:dyDescent="0.55000000000000004">
      <c r="A13536" t="s">
        <v>13617</v>
      </c>
      <c r="B13536" t="s">
        <v>72</v>
      </c>
      <c r="C13536" s="2">
        <v>42941</v>
      </c>
      <c r="D13536" t="s">
        <v>26</v>
      </c>
      <c r="E13536">
        <v>1149</v>
      </c>
    </row>
    <row r="13537" spans="1:5" x14ac:dyDescent="0.55000000000000004">
      <c r="A13537" t="s">
        <v>13618</v>
      </c>
      <c r="B13537" t="s">
        <v>118</v>
      </c>
      <c r="C13537" s="2">
        <v>45136</v>
      </c>
      <c r="D13537" t="s">
        <v>29</v>
      </c>
      <c r="E13537">
        <v>2771</v>
      </c>
    </row>
    <row r="13538" spans="1:5" x14ac:dyDescent="0.55000000000000004">
      <c r="A13538" t="s">
        <v>13619</v>
      </c>
      <c r="B13538" t="s">
        <v>84</v>
      </c>
      <c r="C13538" s="2">
        <v>44555</v>
      </c>
      <c r="D13538" t="s">
        <v>26</v>
      </c>
      <c r="E13538">
        <v>2408</v>
      </c>
    </row>
    <row r="13539" spans="1:5" x14ac:dyDescent="0.55000000000000004">
      <c r="A13539" t="s">
        <v>13620</v>
      </c>
      <c r="B13539" t="s">
        <v>23</v>
      </c>
      <c r="C13539" s="2">
        <v>44622</v>
      </c>
      <c r="D13539" t="s">
        <v>26</v>
      </c>
      <c r="E13539">
        <v>858</v>
      </c>
    </row>
    <row r="13540" spans="1:5" x14ac:dyDescent="0.55000000000000004">
      <c r="A13540" t="s">
        <v>13621</v>
      </c>
      <c r="B13540" t="s">
        <v>67</v>
      </c>
      <c r="C13540" s="2">
        <v>43698</v>
      </c>
      <c r="D13540" t="s">
        <v>29</v>
      </c>
      <c r="E13540">
        <v>307</v>
      </c>
    </row>
    <row r="13541" spans="1:5" x14ac:dyDescent="0.55000000000000004">
      <c r="A13541" t="s">
        <v>13622</v>
      </c>
      <c r="B13541" t="s">
        <v>99</v>
      </c>
      <c r="C13541" s="2">
        <v>45006</v>
      </c>
      <c r="D13541" t="s">
        <v>26</v>
      </c>
      <c r="E13541">
        <v>2985</v>
      </c>
    </row>
    <row r="13542" spans="1:5" x14ac:dyDescent="0.55000000000000004">
      <c r="A13542" t="s">
        <v>13623</v>
      </c>
      <c r="B13542" t="s">
        <v>140</v>
      </c>
      <c r="C13542" s="2">
        <v>44084</v>
      </c>
      <c r="D13542" t="s">
        <v>26</v>
      </c>
      <c r="E13542">
        <v>2478</v>
      </c>
    </row>
    <row r="13543" spans="1:5" x14ac:dyDescent="0.55000000000000004">
      <c r="A13543" t="s">
        <v>13624</v>
      </c>
      <c r="B13543" t="s">
        <v>32</v>
      </c>
      <c r="C13543" s="2">
        <v>44369</v>
      </c>
      <c r="D13543" t="s">
        <v>29</v>
      </c>
      <c r="E13543">
        <v>304</v>
      </c>
    </row>
    <row r="13544" spans="1:5" x14ac:dyDescent="0.55000000000000004">
      <c r="A13544" t="s">
        <v>13625</v>
      </c>
      <c r="B13544" t="s">
        <v>142</v>
      </c>
      <c r="C13544" s="2">
        <v>43704</v>
      </c>
      <c r="D13544" t="s">
        <v>26</v>
      </c>
      <c r="E13544">
        <v>2124</v>
      </c>
    </row>
    <row r="13545" spans="1:5" x14ac:dyDescent="0.55000000000000004">
      <c r="A13545" t="s">
        <v>13626</v>
      </c>
      <c r="B13545" t="s">
        <v>78</v>
      </c>
      <c r="C13545" s="2">
        <v>44088</v>
      </c>
      <c r="D13545" t="s">
        <v>26</v>
      </c>
      <c r="E13545">
        <v>289</v>
      </c>
    </row>
    <row r="13546" spans="1:5" x14ac:dyDescent="0.55000000000000004">
      <c r="A13546" t="s">
        <v>13627</v>
      </c>
      <c r="B13546" t="s">
        <v>101</v>
      </c>
      <c r="C13546" s="2">
        <v>43215</v>
      </c>
      <c r="D13546" t="s">
        <v>29</v>
      </c>
      <c r="E13546">
        <v>60</v>
      </c>
    </row>
    <row r="13547" spans="1:5" x14ac:dyDescent="0.55000000000000004">
      <c r="A13547" t="s">
        <v>13628</v>
      </c>
      <c r="B13547" t="s">
        <v>156</v>
      </c>
      <c r="C13547" s="2">
        <v>44338</v>
      </c>
      <c r="D13547" t="s">
        <v>26</v>
      </c>
      <c r="E13547">
        <v>1985</v>
      </c>
    </row>
    <row r="13548" spans="1:5" x14ac:dyDescent="0.55000000000000004">
      <c r="A13548" t="s">
        <v>13629</v>
      </c>
      <c r="B13548" t="s">
        <v>67</v>
      </c>
      <c r="C13548" s="2">
        <v>44994</v>
      </c>
      <c r="D13548" t="s">
        <v>29</v>
      </c>
      <c r="E13548">
        <v>433</v>
      </c>
    </row>
    <row r="13549" spans="1:5" x14ac:dyDescent="0.55000000000000004">
      <c r="A13549" t="s">
        <v>13630</v>
      </c>
      <c r="B13549" t="s">
        <v>118</v>
      </c>
      <c r="C13549" s="2">
        <v>43700</v>
      </c>
      <c r="D13549" t="s">
        <v>26</v>
      </c>
      <c r="E13549">
        <v>1726</v>
      </c>
    </row>
    <row r="13550" spans="1:5" x14ac:dyDescent="0.55000000000000004">
      <c r="A13550" t="s">
        <v>13631</v>
      </c>
      <c r="B13550" t="s">
        <v>35</v>
      </c>
      <c r="C13550" s="2">
        <v>44221</v>
      </c>
      <c r="D13550" t="s">
        <v>26</v>
      </c>
      <c r="E13550">
        <v>1475</v>
      </c>
    </row>
    <row r="13551" spans="1:5" x14ac:dyDescent="0.55000000000000004">
      <c r="A13551" t="s">
        <v>13632</v>
      </c>
      <c r="B13551" t="s">
        <v>101</v>
      </c>
      <c r="C13551" s="2">
        <v>44142</v>
      </c>
      <c r="D13551" t="s">
        <v>29</v>
      </c>
      <c r="E13551">
        <v>2667</v>
      </c>
    </row>
    <row r="13552" spans="1:5" x14ac:dyDescent="0.55000000000000004">
      <c r="A13552" t="s">
        <v>13633</v>
      </c>
      <c r="B13552" t="s">
        <v>35</v>
      </c>
      <c r="C13552" s="2">
        <v>44681</v>
      </c>
      <c r="D13552" t="s">
        <v>26</v>
      </c>
      <c r="E13552">
        <v>1294</v>
      </c>
    </row>
    <row r="13553" spans="1:5" x14ac:dyDescent="0.55000000000000004">
      <c r="A13553" t="s">
        <v>13634</v>
      </c>
      <c r="B13553" t="s">
        <v>35</v>
      </c>
      <c r="C13553" s="2">
        <v>43901</v>
      </c>
      <c r="D13553" t="s">
        <v>29</v>
      </c>
      <c r="E13553">
        <v>2512</v>
      </c>
    </row>
    <row r="13554" spans="1:5" x14ac:dyDescent="0.55000000000000004">
      <c r="A13554" t="s">
        <v>13635</v>
      </c>
      <c r="B13554" t="s">
        <v>156</v>
      </c>
      <c r="C13554" s="2">
        <v>43067</v>
      </c>
      <c r="D13554" t="s">
        <v>26</v>
      </c>
      <c r="E13554">
        <v>877</v>
      </c>
    </row>
    <row r="13555" spans="1:5" x14ac:dyDescent="0.55000000000000004">
      <c r="A13555" t="s">
        <v>13636</v>
      </c>
      <c r="B13555" t="s">
        <v>111</v>
      </c>
      <c r="C13555" s="2">
        <v>43261</v>
      </c>
      <c r="D13555" t="s">
        <v>26</v>
      </c>
      <c r="E13555">
        <v>2774</v>
      </c>
    </row>
    <row r="13556" spans="1:5" x14ac:dyDescent="0.55000000000000004">
      <c r="A13556" t="s">
        <v>13637</v>
      </c>
      <c r="B13556" t="s">
        <v>99</v>
      </c>
      <c r="C13556" s="2">
        <v>45573</v>
      </c>
      <c r="D13556" t="s">
        <v>29</v>
      </c>
      <c r="E13556">
        <v>127</v>
      </c>
    </row>
    <row r="13557" spans="1:5" x14ac:dyDescent="0.55000000000000004">
      <c r="A13557" t="s">
        <v>13638</v>
      </c>
      <c r="B13557" t="s">
        <v>67</v>
      </c>
      <c r="C13557" s="2">
        <v>43746</v>
      </c>
      <c r="D13557" t="s">
        <v>26</v>
      </c>
      <c r="E13557">
        <v>14</v>
      </c>
    </row>
    <row r="13558" spans="1:5" x14ac:dyDescent="0.55000000000000004">
      <c r="A13558" t="s">
        <v>13639</v>
      </c>
      <c r="B13558" t="s">
        <v>15</v>
      </c>
      <c r="C13558" s="2">
        <v>43120</v>
      </c>
      <c r="D13558" t="s">
        <v>29</v>
      </c>
      <c r="E13558">
        <v>2440</v>
      </c>
    </row>
    <row r="13559" spans="1:5" x14ac:dyDescent="0.55000000000000004">
      <c r="A13559" t="s">
        <v>13640</v>
      </c>
      <c r="B13559" t="s">
        <v>78</v>
      </c>
      <c r="C13559" s="2">
        <v>44180</v>
      </c>
      <c r="D13559" t="s">
        <v>26</v>
      </c>
      <c r="E13559">
        <v>2883</v>
      </c>
    </row>
    <row r="13560" spans="1:5" x14ac:dyDescent="0.55000000000000004">
      <c r="A13560" t="s">
        <v>13641</v>
      </c>
      <c r="B13560" t="s">
        <v>101</v>
      </c>
      <c r="C13560" s="2">
        <v>42969</v>
      </c>
      <c r="D13560" t="s">
        <v>26</v>
      </c>
      <c r="E13560">
        <v>1695</v>
      </c>
    </row>
    <row r="13561" spans="1:5" x14ac:dyDescent="0.55000000000000004">
      <c r="A13561" t="s">
        <v>13642</v>
      </c>
      <c r="B13561" t="s">
        <v>67</v>
      </c>
      <c r="C13561" s="2">
        <v>43586</v>
      </c>
      <c r="D13561" t="s">
        <v>29</v>
      </c>
      <c r="E13561">
        <v>2287</v>
      </c>
    </row>
    <row r="13562" spans="1:5" x14ac:dyDescent="0.55000000000000004">
      <c r="A13562" t="s">
        <v>13643</v>
      </c>
      <c r="B13562" t="s">
        <v>38</v>
      </c>
      <c r="C13562" s="2">
        <v>44866</v>
      </c>
      <c r="D13562" t="s">
        <v>29</v>
      </c>
      <c r="E13562">
        <v>1069</v>
      </c>
    </row>
    <row r="13563" spans="1:5" x14ac:dyDescent="0.55000000000000004">
      <c r="A13563" t="s">
        <v>13644</v>
      </c>
      <c r="B13563" t="s">
        <v>137</v>
      </c>
      <c r="C13563" s="2">
        <v>44580</v>
      </c>
      <c r="D13563" t="s">
        <v>26</v>
      </c>
      <c r="E13563">
        <v>1998</v>
      </c>
    </row>
    <row r="13564" spans="1:5" x14ac:dyDescent="0.55000000000000004">
      <c r="A13564" t="s">
        <v>13645</v>
      </c>
      <c r="B13564" t="s">
        <v>72</v>
      </c>
      <c r="C13564" s="2">
        <v>44513</v>
      </c>
      <c r="D13564" t="s">
        <v>26</v>
      </c>
      <c r="E13564">
        <v>812</v>
      </c>
    </row>
    <row r="13565" spans="1:5" x14ac:dyDescent="0.55000000000000004">
      <c r="A13565" t="s">
        <v>13646</v>
      </c>
      <c r="B13565" t="s">
        <v>105</v>
      </c>
      <c r="C13565" s="2">
        <v>43800</v>
      </c>
      <c r="D13565" t="s">
        <v>29</v>
      </c>
      <c r="E13565">
        <v>2030</v>
      </c>
    </row>
    <row r="13566" spans="1:5" x14ac:dyDescent="0.55000000000000004">
      <c r="A13566" t="s">
        <v>13647</v>
      </c>
      <c r="B13566" t="s">
        <v>76</v>
      </c>
      <c r="C13566" s="2">
        <v>45172</v>
      </c>
      <c r="D13566" t="s">
        <v>26</v>
      </c>
      <c r="E13566">
        <v>2289</v>
      </c>
    </row>
    <row r="13567" spans="1:5" x14ac:dyDescent="0.55000000000000004">
      <c r="A13567" t="s">
        <v>13648</v>
      </c>
      <c r="B13567" t="s">
        <v>137</v>
      </c>
      <c r="C13567" s="2">
        <v>44382</v>
      </c>
      <c r="D13567" t="s">
        <v>26</v>
      </c>
      <c r="E13567">
        <v>2929</v>
      </c>
    </row>
    <row r="13568" spans="1:5" x14ac:dyDescent="0.55000000000000004">
      <c r="A13568" t="s">
        <v>13649</v>
      </c>
      <c r="B13568" t="s">
        <v>23</v>
      </c>
      <c r="C13568" s="2">
        <v>43986</v>
      </c>
      <c r="D13568" t="s">
        <v>26</v>
      </c>
      <c r="E13568">
        <v>1246</v>
      </c>
    </row>
    <row r="13569" spans="1:5" x14ac:dyDescent="0.55000000000000004">
      <c r="A13569" t="s">
        <v>13650</v>
      </c>
      <c r="B13569" t="s">
        <v>63</v>
      </c>
      <c r="C13569" s="2">
        <v>43966</v>
      </c>
      <c r="D13569" t="s">
        <v>29</v>
      </c>
      <c r="E13569">
        <v>2860</v>
      </c>
    </row>
    <row r="13570" spans="1:5" x14ac:dyDescent="0.55000000000000004">
      <c r="A13570" t="s">
        <v>13651</v>
      </c>
      <c r="B13570" t="s">
        <v>63</v>
      </c>
      <c r="C13570" s="2">
        <v>43012</v>
      </c>
      <c r="D13570" t="s">
        <v>29</v>
      </c>
      <c r="E13570">
        <v>2334</v>
      </c>
    </row>
    <row r="13571" spans="1:5" x14ac:dyDescent="0.55000000000000004">
      <c r="A13571" t="s">
        <v>13652</v>
      </c>
      <c r="B13571" t="s">
        <v>96</v>
      </c>
      <c r="C13571" s="2">
        <v>44815</v>
      </c>
      <c r="D13571" t="s">
        <v>29</v>
      </c>
      <c r="E13571">
        <v>2099</v>
      </c>
    </row>
    <row r="13572" spans="1:5" x14ac:dyDescent="0.55000000000000004">
      <c r="A13572" t="s">
        <v>13653</v>
      </c>
      <c r="B13572" t="s">
        <v>41</v>
      </c>
      <c r="C13572" s="2">
        <v>44366</v>
      </c>
      <c r="D13572" t="s">
        <v>26</v>
      </c>
      <c r="E13572">
        <v>480</v>
      </c>
    </row>
    <row r="13573" spans="1:5" x14ac:dyDescent="0.55000000000000004">
      <c r="A13573" t="s">
        <v>13654</v>
      </c>
      <c r="B13573" t="s">
        <v>99</v>
      </c>
      <c r="C13573" s="2">
        <v>43963</v>
      </c>
      <c r="D13573" t="s">
        <v>26</v>
      </c>
      <c r="E13573">
        <v>269</v>
      </c>
    </row>
    <row r="13574" spans="1:5" x14ac:dyDescent="0.55000000000000004">
      <c r="A13574" t="s">
        <v>13655</v>
      </c>
      <c r="B13574" t="s">
        <v>137</v>
      </c>
      <c r="C13574" s="2">
        <v>45618</v>
      </c>
      <c r="D13574" t="s">
        <v>29</v>
      </c>
      <c r="E13574">
        <v>1143</v>
      </c>
    </row>
    <row r="13575" spans="1:5" x14ac:dyDescent="0.55000000000000004">
      <c r="A13575" t="s">
        <v>13656</v>
      </c>
      <c r="B13575" t="s">
        <v>15</v>
      </c>
      <c r="C13575" s="2">
        <v>43257</v>
      </c>
      <c r="D13575" t="s">
        <v>26</v>
      </c>
      <c r="E13575">
        <v>2922</v>
      </c>
    </row>
    <row r="13576" spans="1:5" x14ac:dyDescent="0.55000000000000004">
      <c r="A13576" t="s">
        <v>13657</v>
      </c>
      <c r="B13576" t="s">
        <v>41</v>
      </c>
      <c r="C13576" s="2">
        <v>44298</v>
      </c>
      <c r="D13576" t="s">
        <v>26</v>
      </c>
      <c r="E13576">
        <v>503</v>
      </c>
    </row>
    <row r="13577" spans="1:5" x14ac:dyDescent="0.55000000000000004">
      <c r="A13577" t="s">
        <v>13658</v>
      </c>
      <c r="B13577" t="s">
        <v>105</v>
      </c>
      <c r="C13577" s="2">
        <v>43708</v>
      </c>
      <c r="D13577" t="s">
        <v>29</v>
      </c>
      <c r="E13577">
        <v>2535</v>
      </c>
    </row>
    <row r="13578" spans="1:5" x14ac:dyDescent="0.55000000000000004">
      <c r="A13578" t="s">
        <v>13659</v>
      </c>
      <c r="B13578" t="s">
        <v>41</v>
      </c>
      <c r="C13578" s="2">
        <v>44733</v>
      </c>
      <c r="D13578" t="s">
        <v>29</v>
      </c>
      <c r="E13578">
        <v>1587</v>
      </c>
    </row>
    <row r="13579" spans="1:5" x14ac:dyDescent="0.55000000000000004">
      <c r="A13579" t="s">
        <v>13660</v>
      </c>
      <c r="B13579" t="s">
        <v>14</v>
      </c>
      <c r="C13579" s="2">
        <v>43361</v>
      </c>
      <c r="D13579" t="s">
        <v>26</v>
      </c>
      <c r="E13579">
        <v>537</v>
      </c>
    </row>
    <row r="13580" spans="1:5" x14ac:dyDescent="0.55000000000000004">
      <c r="A13580" t="s">
        <v>13661</v>
      </c>
      <c r="B13580" t="s">
        <v>38</v>
      </c>
      <c r="C13580" s="2">
        <v>44266</v>
      </c>
      <c r="D13580" t="s">
        <v>26</v>
      </c>
      <c r="E13580">
        <v>544</v>
      </c>
    </row>
    <row r="13581" spans="1:5" x14ac:dyDescent="0.55000000000000004">
      <c r="A13581" t="s">
        <v>13662</v>
      </c>
      <c r="B13581" t="s">
        <v>74</v>
      </c>
      <c r="C13581" s="2">
        <v>43919</v>
      </c>
      <c r="D13581" t="s">
        <v>26</v>
      </c>
      <c r="E13581">
        <v>1834</v>
      </c>
    </row>
    <row r="13582" spans="1:5" x14ac:dyDescent="0.55000000000000004">
      <c r="A13582" t="s">
        <v>13663</v>
      </c>
      <c r="B13582" t="s">
        <v>137</v>
      </c>
      <c r="C13582" s="2">
        <v>43535</v>
      </c>
      <c r="D13582" t="s">
        <v>29</v>
      </c>
      <c r="E13582">
        <v>727</v>
      </c>
    </row>
    <row r="13583" spans="1:5" x14ac:dyDescent="0.55000000000000004">
      <c r="A13583" t="s">
        <v>13664</v>
      </c>
      <c r="B13583" t="s">
        <v>41</v>
      </c>
      <c r="C13583" s="2">
        <v>44331</v>
      </c>
      <c r="D13583" t="s">
        <v>26</v>
      </c>
      <c r="E13583">
        <v>2023</v>
      </c>
    </row>
    <row r="13584" spans="1:5" x14ac:dyDescent="0.55000000000000004">
      <c r="A13584" t="s">
        <v>13665</v>
      </c>
      <c r="B13584" t="s">
        <v>76</v>
      </c>
      <c r="C13584" s="2">
        <v>44755</v>
      </c>
      <c r="D13584" t="s">
        <v>26</v>
      </c>
      <c r="E13584">
        <v>325</v>
      </c>
    </row>
    <row r="13585" spans="1:5" x14ac:dyDescent="0.55000000000000004">
      <c r="A13585" t="s">
        <v>13666</v>
      </c>
      <c r="B13585" t="s">
        <v>99</v>
      </c>
      <c r="C13585" s="2">
        <v>44766</v>
      </c>
      <c r="D13585" t="s">
        <v>26</v>
      </c>
      <c r="E13585">
        <v>99</v>
      </c>
    </row>
    <row r="13586" spans="1:5" x14ac:dyDescent="0.55000000000000004">
      <c r="A13586" t="s">
        <v>13667</v>
      </c>
      <c r="B13586" t="s">
        <v>140</v>
      </c>
      <c r="C13586" s="2">
        <v>43364</v>
      </c>
      <c r="D13586" t="s">
        <v>26</v>
      </c>
      <c r="E13586">
        <v>1071</v>
      </c>
    </row>
    <row r="13587" spans="1:5" x14ac:dyDescent="0.55000000000000004">
      <c r="A13587" t="s">
        <v>13668</v>
      </c>
      <c r="B13587" t="s">
        <v>115</v>
      </c>
      <c r="C13587" s="2">
        <v>43697</v>
      </c>
      <c r="D13587" t="s">
        <v>29</v>
      </c>
      <c r="E13587">
        <v>533</v>
      </c>
    </row>
    <row r="13588" spans="1:5" x14ac:dyDescent="0.55000000000000004">
      <c r="A13588" t="s">
        <v>13669</v>
      </c>
      <c r="B13588" t="s">
        <v>76</v>
      </c>
      <c r="C13588" s="2">
        <v>45323</v>
      </c>
      <c r="D13588" t="s">
        <v>26</v>
      </c>
      <c r="E13588">
        <v>1623</v>
      </c>
    </row>
    <row r="13589" spans="1:5" x14ac:dyDescent="0.55000000000000004">
      <c r="A13589" t="s">
        <v>13670</v>
      </c>
      <c r="B13589" t="s">
        <v>74</v>
      </c>
      <c r="C13589" s="2">
        <v>44050</v>
      </c>
      <c r="D13589" t="s">
        <v>26</v>
      </c>
      <c r="E13589">
        <v>39</v>
      </c>
    </row>
    <row r="13590" spans="1:5" x14ac:dyDescent="0.55000000000000004">
      <c r="A13590" t="s">
        <v>13671</v>
      </c>
      <c r="B13590" t="s">
        <v>23</v>
      </c>
      <c r="C13590" s="2">
        <v>44535</v>
      </c>
      <c r="D13590" t="s">
        <v>26</v>
      </c>
      <c r="E13590">
        <v>396</v>
      </c>
    </row>
    <row r="13591" spans="1:5" x14ac:dyDescent="0.55000000000000004">
      <c r="A13591" t="s">
        <v>13672</v>
      </c>
      <c r="B13591" t="s">
        <v>142</v>
      </c>
      <c r="C13591" s="2">
        <v>42955</v>
      </c>
      <c r="D13591" t="s">
        <v>26</v>
      </c>
      <c r="E13591">
        <v>1882</v>
      </c>
    </row>
    <row r="13592" spans="1:5" x14ac:dyDescent="0.55000000000000004">
      <c r="A13592" t="s">
        <v>13673</v>
      </c>
      <c r="B13592" t="s">
        <v>32</v>
      </c>
      <c r="C13592" s="2">
        <v>44201</v>
      </c>
      <c r="D13592" t="s">
        <v>29</v>
      </c>
      <c r="E13592">
        <v>263</v>
      </c>
    </row>
    <row r="13593" spans="1:5" x14ac:dyDescent="0.55000000000000004">
      <c r="A13593" t="s">
        <v>13674</v>
      </c>
      <c r="B13593" t="s">
        <v>63</v>
      </c>
      <c r="C13593" s="2">
        <v>43729</v>
      </c>
      <c r="D13593" t="s">
        <v>26</v>
      </c>
      <c r="E13593">
        <v>639</v>
      </c>
    </row>
    <row r="13594" spans="1:5" x14ac:dyDescent="0.55000000000000004">
      <c r="A13594" t="s">
        <v>13675</v>
      </c>
      <c r="B13594" t="s">
        <v>151</v>
      </c>
      <c r="C13594" s="2">
        <v>44029</v>
      </c>
      <c r="D13594" t="s">
        <v>26</v>
      </c>
      <c r="E13594">
        <v>307</v>
      </c>
    </row>
    <row r="13595" spans="1:5" x14ac:dyDescent="0.55000000000000004">
      <c r="A13595" t="s">
        <v>13676</v>
      </c>
      <c r="B13595" t="s">
        <v>151</v>
      </c>
      <c r="C13595" s="2">
        <v>44273</v>
      </c>
      <c r="D13595" t="s">
        <v>29</v>
      </c>
      <c r="E13595">
        <v>131</v>
      </c>
    </row>
    <row r="13596" spans="1:5" x14ac:dyDescent="0.55000000000000004">
      <c r="A13596" t="s">
        <v>13677</v>
      </c>
      <c r="B13596" t="s">
        <v>105</v>
      </c>
      <c r="C13596" s="2">
        <v>42978</v>
      </c>
      <c r="D13596" t="s">
        <v>26</v>
      </c>
      <c r="E13596">
        <v>2444</v>
      </c>
    </row>
    <row r="13597" spans="1:5" x14ac:dyDescent="0.55000000000000004">
      <c r="A13597" t="s">
        <v>13678</v>
      </c>
      <c r="B13597" t="s">
        <v>156</v>
      </c>
      <c r="C13597" s="2">
        <v>42927</v>
      </c>
      <c r="D13597" t="s">
        <v>26</v>
      </c>
      <c r="E13597">
        <v>1135</v>
      </c>
    </row>
    <row r="13598" spans="1:5" x14ac:dyDescent="0.55000000000000004">
      <c r="A13598" t="s">
        <v>13679</v>
      </c>
      <c r="B13598" t="s">
        <v>101</v>
      </c>
      <c r="C13598" s="2">
        <v>44178</v>
      </c>
      <c r="D13598" t="s">
        <v>29</v>
      </c>
      <c r="E13598">
        <v>337</v>
      </c>
    </row>
    <row r="13599" spans="1:5" x14ac:dyDescent="0.55000000000000004">
      <c r="A13599" t="s">
        <v>13680</v>
      </c>
      <c r="B13599" t="s">
        <v>76</v>
      </c>
      <c r="C13599" s="2">
        <v>44433</v>
      </c>
      <c r="D13599" t="s">
        <v>29</v>
      </c>
      <c r="E13599">
        <v>146</v>
      </c>
    </row>
    <row r="13600" spans="1:5" x14ac:dyDescent="0.55000000000000004">
      <c r="A13600" t="s">
        <v>13681</v>
      </c>
      <c r="B13600" t="s">
        <v>15</v>
      </c>
      <c r="C13600" s="2">
        <v>43931</v>
      </c>
      <c r="D13600" t="s">
        <v>26</v>
      </c>
      <c r="E13600">
        <v>2010</v>
      </c>
    </row>
    <row r="13601" spans="1:5" x14ac:dyDescent="0.55000000000000004">
      <c r="A13601" t="s">
        <v>13682</v>
      </c>
      <c r="B13601" t="s">
        <v>105</v>
      </c>
      <c r="C13601" s="2">
        <v>42991</v>
      </c>
      <c r="D13601" t="s">
        <v>29</v>
      </c>
      <c r="E13601">
        <v>1492</v>
      </c>
    </row>
    <row r="13602" spans="1:5" x14ac:dyDescent="0.55000000000000004">
      <c r="A13602" t="s">
        <v>13683</v>
      </c>
      <c r="B13602" t="s">
        <v>142</v>
      </c>
      <c r="C13602" s="2">
        <v>44342</v>
      </c>
      <c r="D13602" t="s">
        <v>26</v>
      </c>
      <c r="E13602">
        <v>1777</v>
      </c>
    </row>
    <row r="13603" spans="1:5" x14ac:dyDescent="0.55000000000000004">
      <c r="A13603" t="s">
        <v>13684</v>
      </c>
      <c r="B13603" t="s">
        <v>78</v>
      </c>
      <c r="C13603" s="2">
        <v>44304</v>
      </c>
      <c r="D13603" t="s">
        <v>29</v>
      </c>
      <c r="E13603">
        <v>936</v>
      </c>
    </row>
    <row r="13604" spans="1:5" x14ac:dyDescent="0.55000000000000004">
      <c r="A13604" t="s">
        <v>13685</v>
      </c>
      <c r="B13604" t="s">
        <v>63</v>
      </c>
      <c r="C13604" s="2">
        <v>43340</v>
      </c>
      <c r="D13604" t="s">
        <v>29</v>
      </c>
      <c r="E13604">
        <v>111</v>
      </c>
    </row>
    <row r="13605" spans="1:5" x14ac:dyDescent="0.55000000000000004">
      <c r="A13605" t="s">
        <v>13686</v>
      </c>
      <c r="B13605" t="s">
        <v>115</v>
      </c>
      <c r="C13605" s="2">
        <v>43740</v>
      </c>
      <c r="D13605" t="s">
        <v>26</v>
      </c>
      <c r="E13605">
        <v>1725</v>
      </c>
    </row>
    <row r="13606" spans="1:5" x14ac:dyDescent="0.55000000000000004">
      <c r="A13606" t="s">
        <v>13687</v>
      </c>
      <c r="B13606" t="s">
        <v>72</v>
      </c>
      <c r="C13606" s="2">
        <v>43583</v>
      </c>
      <c r="D13606" t="s">
        <v>26</v>
      </c>
      <c r="E13606">
        <v>146</v>
      </c>
    </row>
    <row r="13607" spans="1:5" x14ac:dyDescent="0.55000000000000004">
      <c r="A13607" t="s">
        <v>13688</v>
      </c>
      <c r="B13607" t="s">
        <v>156</v>
      </c>
      <c r="C13607" s="2">
        <v>44097</v>
      </c>
      <c r="D13607" t="s">
        <v>29</v>
      </c>
      <c r="E13607">
        <v>1547</v>
      </c>
    </row>
    <row r="13608" spans="1:5" x14ac:dyDescent="0.55000000000000004">
      <c r="A13608" t="s">
        <v>13689</v>
      </c>
      <c r="B13608" t="s">
        <v>115</v>
      </c>
      <c r="C13608" s="2">
        <v>43910</v>
      </c>
      <c r="D13608" t="s">
        <v>26</v>
      </c>
      <c r="E13608">
        <v>145</v>
      </c>
    </row>
    <row r="13609" spans="1:5" x14ac:dyDescent="0.55000000000000004">
      <c r="A13609" t="s">
        <v>13690</v>
      </c>
      <c r="B13609" t="s">
        <v>94</v>
      </c>
      <c r="C13609" s="2">
        <v>44953</v>
      </c>
      <c r="D13609" t="s">
        <v>26</v>
      </c>
      <c r="E13609">
        <v>2986</v>
      </c>
    </row>
    <row r="13610" spans="1:5" x14ac:dyDescent="0.55000000000000004">
      <c r="A13610" t="s">
        <v>13691</v>
      </c>
      <c r="B13610" t="s">
        <v>111</v>
      </c>
      <c r="C13610" s="2">
        <v>43122</v>
      </c>
      <c r="D13610" t="s">
        <v>26</v>
      </c>
      <c r="E13610">
        <v>906</v>
      </c>
    </row>
    <row r="13611" spans="1:5" x14ac:dyDescent="0.55000000000000004">
      <c r="A13611" t="s">
        <v>13692</v>
      </c>
      <c r="B13611" t="s">
        <v>38</v>
      </c>
      <c r="C13611" s="2">
        <v>44088</v>
      </c>
      <c r="D13611" t="s">
        <v>26</v>
      </c>
      <c r="E13611">
        <v>2423</v>
      </c>
    </row>
    <row r="13612" spans="1:5" x14ac:dyDescent="0.55000000000000004">
      <c r="A13612" t="s">
        <v>13693</v>
      </c>
      <c r="B13612" t="s">
        <v>101</v>
      </c>
      <c r="C13612" s="2">
        <v>43824</v>
      </c>
      <c r="D13612" t="s">
        <v>26</v>
      </c>
      <c r="E13612">
        <v>225</v>
      </c>
    </row>
    <row r="13613" spans="1:5" x14ac:dyDescent="0.55000000000000004">
      <c r="A13613" t="s">
        <v>13694</v>
      </c>
      <c r="B13613" t="s">
        <v>76</v>
      </c>
      <c r="C13613" s="2">
        <v>44079</v>
      </c>
      <c r="D13613" t="s">
        <v>29</v>
      </c>
      <c r="E13613">
        <v>0</v>
      </c>
    </row>
    <row r="13614" spans="1:5" x14ac:dyDescent="0.55000000000000004">
      <c r="A13614" t="s">
        <v>13695</v>
      </c>
      <c r="B13614" t="s">
        <v>96</v>
      </c>
      <c r="C13614" s="2">
        <v>44733</v>
      </c>
      <c r="D13614" t="s">
        <v>26</v>
      </c>
      <c r="E13614">
        <v>2612</v>
      </c>
    </row>
    <row r="13615" spans="1:5" x14ac:dyDescent="0.55000000000000004">
      <c r="A13615" t="s">
        <v>13696</v>
      </c>
      <c r="B13615" t="s">
        <v>175</v>
      </c>
      <c r="C13615" s="2">
        <v>44291</v>
      </c>
      <c r="D13615" t="s">
        <v>29</v>
      </c>
      <c r="E13615">
        <v>2322</v>
      </c>
    </row>
    <row r="13616" spans="1:5" x14ac:dyDescent="0.55000000000000004">
      <c r="A13616" t="s">
        <v>13697</v>
      </c>
      <c r="B13616" t="s">
        <v>35</v>
      </c>
      <c r="C13616" s="2">
        <v>44690</v>
      </c>
      <c r="D13616" t="s">
        <v>29</v>
      </c>
      <c r="E13616">
        <v>1382</v>
      </c>
    </row>
    <row r="13617" spans="1:5" x14ac:dyDescent="0.55000000000000004">
      <c r="A13617" t="s">
        <v>13698</v>
      </c>
      <c r="B13617" t="s">
        <v>63</v>
      </c>
      <c r="C13617" s="2">
        <v>43401</v>
      </c>
      <c r="D13617" t="s">
        <v>26</v>
      </c>
      <c r="E13617">
        <v>910</v>
      </c>
    </row>
    <row r="13618" spans="1:5" x14ac:dyDescent="0.55000000000000004">
      <c r="A13618" t="s">
        <v>13699</v>
      </c>
      <c r="B13618" t="s">
        <v>137</v>
      </c>
      <c r="C13618" s="2">
        <v>45038</v>
      </c>
      <c r="D13618" t="s">
        <v>26</v>
      </c>
      <c r="E13618">
        <v>2707</v>
      </c>
    </row>
    <row r="13619" spans="1:5" x14ac:dyDescent="0.55000000000000004">
      <c r="A13619" t="s">
        <v>13700</v>
      </c>
      <c r="B13619" t="s">
        <v>67</v>
      </c>
      <c r="C13619" s="2">
        <v>44948</v>
      </c>
      <c r="D13619" t="s">
        <v>29</v>
      </c>
      <c r="E13619">
        <v>1138</v>
      </c>
    </row>
    <row r="13620" spans="1:5" x14ac:dyDescent="0.55000000000000004">
      <c r="A13620" t="s">
        <v>13701</v>
      </c>
      <c r="B13620" t="s">
        <v>151</v>
      </c>
      <c r="C13620" s="2">
        <v>43370</v>
      </c>
      <c r="D13620" t="s">
        <v>26</v>
      </c>
      <c r="E13620">
        <v>2408</v>
      </c>
    </row>
    <row r="13621" spans="1:5" x14ac:dyDescent="0.55000000000000004">
      <c r="A13621" t="s">
        <v>13702</v>
      </c>
      <c r="B13621" t="s">
        <v>111</v>
      </c>
      <c r="C13621" s="2">
        <v>43949</v>
      </c>
      <c r="D13621" t="s">
        <v>26</v>
      </c>
      <c r="E13621">
        <v>2877</v>
      </c>
    </row>
    <row r="13622" spans="1:5" x14ac:dyDescent="0.55000000000000004">
      <c r="A13622" t="s">
        <v>13703</v>
      </c>
      <c r="B13622" t="s">
        <v>14</v>
      </c>
      <c r="C13622" s="2">
        <v>42973</v>
      </c>
      <c r="D13622" t="s">
        <v>29</v>
      </c>
      <c r="E13622">
        <v>417</v>
      </c>
    </row>
    <row r="13623" spans="1:5" x14ac:dyDescent="0.55000000000000004">
      <c r="A13623" t="s">
        <v>13704</v>
      </c>
      <c r="B13623" t="s">
        <v>101</v>
      </c>
      <c r="C13623" s="2">
        <v>43207</v>
      </c>
      <c r="D13623" t="s">
        <v>29</v>
      </c>
      <c r="E13623">
        <v>1999</v>
      </c>
    </row>
    <row r="13624" spans="1:5" x14ac:dyDescent="0.55000000000000004">
      <c r="A13624" t="s">
        <v>13705</v>
      </c>
      <c r="B13624" t="s">
        <v>86</v>
      </c>
      <c r="C13624" s="2">
        <v>43006</v>
      </c>
      <c r="D13624" t="s">
        <v>26</v>
      </c>
      <c r="E13624">
        <v>2921</v>
      </c>
    </row>
    <row r="13625" spans="1:5" x14ac:dyDescent="0.55000000000000004">
      <c r="A13625" t="s">
        <v>13706</v>
      </c>
      <c r="B13625" t="s">
        <v>156</v>
      </c>
      <c r="C13625" s="2">
        <v>43798</v>
      </c>
      <c r="D13625" t="s">
        <v>26</v>
      </c>
      <c r="E13625">
        <v>2655</v>
      </c>
    </row>
    <row r="13626" spans="1:5" x14ac:dyDescent="0.55000000000000004">
      <c r="A13626" t="s">
        <v>13707</v>
      </c>
      <c r="B13626" t="s">
        <v>115</v>
      </c>
      <c r="C13626" s="2">
        <v>43465</v>
      </c>
      <c r="D13626" t="s">
        <v>29</v>
      </c>
      <c r="E13626">
        <v>1485</v>
      </c>
    </row>
    <row r="13627" spans="1:5" x14ac:dyDescent="0.55000000000000004">
      <c r="A13627" t="s">
        <v>13708</v>
      </c>
      <c r="B13627" t="s">
        <v>14</v>
      </c>
      <c r="C13627" s="2">
        <v>44517</v>
      </c>
      <c r="D13627" t="s">
        <v>26</v>
      </c>
      <c r="E13627">
        <v>922</v>
      </c>
    </row>
    <row r="13628" spans="1:5" x14ac:dyDescent="0.55000000000000004">
      <c r="A13628" t="s">
        <v>13709</v>
      </c>
      <c r="B13628" t="s">
        <v>23</v>
      </c>
      <c r="C13628" s="2">
        <v>44354</v>
      </c>
      <c r="D13628" t="s">
        <v>29</v>
      </c>
      <c r="E13628">
        <v>1477</v>
      </c>
    </row>
    <row r="13629" spans="1:5" x14ac:dyDescent="0.55000000000000004">
      <c r="A13629" t="s">
        <v>13710</v>
      </c>
      <c r="B13629" t="s">
        <v>67</v>
      </c>
      <c r="C13629" s="2">
        <v>44655</v>
      </c>
      <c r="D13629" t="s">
        <v>29</v>
      </c>
      <c r="E13629">
        <v>1177</v>
      </c>
    </row>
    <row r="13630" spans="1:5" x14ac:dyDescent="0.55000000000000004">
      <c r="A13630" t="s">
        <v>13711</v>
      </c>
      <c r="B13630" t="s">
        <v>35</v>
      </c>
      <c r="C13630" s="2">
        <v>44161</v>
      </c>
      <c r="D13630" t="s">
        <v>26</v>
      </c>
      <c r="E13630">
        <v>400</v>
      </c>
    </row>
    <row r="13631" spans="1:5" x14ac:dyDescent="0.55000000000000004">
      <c r="A13631" t="s">
        <v>13712</v>
      </c>
      <c r="B13631" t="s">
        <v>67</v>
      </c>
      <c r="C13631" s="2">
        <v>43898</v>
      </c>
      <c r="D13631" t="s">
        <v>26</v>
      </c>
      <c r="E13631">
        <v>575</v>
      </c>
    </row>
    <row r="13632" spans="1:5" x14ac:dyDescent="0.55000000000000004">
      <c r="A13632" t="s">
        <v>13713</v>
      </c>
      <c r="B13632" t="s">
        <v>151</v>
      </c>
      <c r="C13632" s="2">
        <v>43263</v>
      </c>
      <c r="D13632" t="s">
        <v>26</v>
      </c>
      <c r="E13632">
        <v>388</v>
      </c>
    </row>
    <row r="13633" spans="1:5" x14ac:dyDescent="0.55000000000000004">
      <c r="A13633" t="s">
        <v>13714</v>
      </c>
      <c r="B13633" t="s">
        <v>101</v>
      </c>
      <c r="C13633" s="2">
        <v>43629</v>
      </c>
      <c r="D13633" t="s">
        <v>26</v>
      </c>
      <c r="E13633">
        <v>2457</v>
      </c>
    </row>
    <row r="13634" spans="1:5" x14ac:dyDescent="0.55000000000000004">
      <c r="A13634" t="s">
        <v>13715</v>
      </c>
      <c r="B13634" t="s">
        <v>67</v>
      </c>
      <c r="C13634" s="2">
        <v>45708</v>
      </c>
      <c r="D13634" t="s">
        <v>26</v>
      </c>
      <c r="E13634">
        <v>1662</v>
      </c>
    </row>
    <row r="13635" spans="1:5" x14ac:dyDescent="0.55000000000000004">
      <c r="A13635" t="s">
        <v>13716</v>
      </c>
      <c r="B13635" t="s">
        <v>78</v>
      </c>
      <c r="C13635" s="2">
        <v>43530</v>
      </c>
      <c r="D13635" t="s">
        <v>26</v>
      </c>
      <c r="E13635">
        <v>1993</v>
      </c>
    </row>
    <row r="13636" spans="1:5" x14ac:dyDescent="0.55000000000000004">
      <c r="A13636" t="s">
        <v>13717</v>
      </c>
      <c r="B13636" t="s">
        <v>118</v>
      </c>
      <c r="C13636" s="2">
        <v>44895</v>
      </c>
      <c r="D13636" t="s">
        <v>26</v>
      </c>
      <c r="E13636">
        <v>1869</v>
      </c>
    </row>
    <row r="13637" spans="1:5" x14ac:dyDescent="0.55000000000000004">
      <c r="A13637" t="s">
        <v>13718</v>
      </c>
      <c r="B13637" t="s">
        <v>111</v>
      </c>
      <c r="C13637" s="2">
        <v>43162</v>
      </c>
      <c r="D13637" t="s">
        <v>26</v>
      </c>
      <c r="E13637">
        <v>1596</v>
      </c>
    </row>
    <row r="13638" spans="1:5" x14ac:dyDescent="0.55000000000000004">
      <c r="A13638" t="s">
        <v>13719</v>
      </c>
      <c r="B13638" t="s">
        <v>175</v>
      </c>
      <c r="C13638" s="2">
        <v>45356</v>
      </c>
      <c r="D13638" t="s">
        <v>29</v>
      </c>
      <c r="E13638">
        <v>2596</v>
      </c>
    </row>
    <row r="13639" spans="1:5" x14ac:dyDescent="0.55000000000000004">
      <c r="A13639" t="s">
        <v>13720</v>
      </c>
      <c r="B13639" t="s">
        <v>86</v>
      </c>
      <c r="C13639" s="2">
        <v>44560</v>
      </c>
      <c r="D13639" t="s">
        <v>26</v>
      </c>
      <c r="E13639">
        <v>1149</v>
      </c>
    </row>
    <row r="13640" spans="1:5" x14ac:dyDescent="0.55000000000000004">
      <c r="A13640" t="s">
        <v>13721</v>
      </c>
      <c r="B13640" t="s">
        <v>101</v>
      </c>
      <c r="C13640" s="2">
        <v>43109</v>
      </c>
      <c r="D13640" t="s">
        <v>29</v>
      </c>
      <c r="E13640">
        <v>2652</v>
      </c>
    </row>
    <row r="13641" spans="1:5" x14ac:dyDescent="0.55000000000000004">
      <c r="A13641" t="s">
        <v>13722</v>
      </c>
      <c r="B13641" t="s">
        <v>105</v>
      </c>
      <c r="C13641" s="2">
        <v>44272</v>
      </c>
      <c r="D13641" t="s">
        <v>26</v>
      </c>
      <c r="E13641">
        <v>2759</v>
      </c>
    </row>
    <row r="13642" spans="1:5" x14ac:dyDescent="0.55000000000000004">
      <c r="A13642" t="s">
        <v>13723</v>
      </c>
      <c r="B13642" t="s">
        <v>35</v>
      </c>
      <c r="C13642" s="2">
        <v>44886</v>
      </c>
      <c r="D13642" t="s">
        <v>29</v>
      </c>
      <c r="E13642">
        <v>803</v>
      </c>
    </row>
    <row r="13643" spans="1:5" x14ac:dyDescent="0.55000000000000004">
      <c r="A13643" t="s">
        <v>13724</v>
      </c>
      <c r="B13643" t="s">
        <v>78</v>
      </c>
      <c r="C13643" s="2">
        <v>45232</v>
      </c>
      <c r="D13643" t="s">
        <v>29</v>
      </c>
      <c r="E13643">
        <v>1740</v>
      </c>
    </row>
    <row r="13644" spans="1:5" x14ac:dyDescent="0.55000000000000004">
      <c r="A13644" t="s">
        <v>13725</v>
      </c>
      <c r="B13644" t="s">
        <v>99</v>
      </c>
      <c r="C13644" s="2">
        <v>45751</v>
      </c>
      <c r="D13644" t="s">
        <v>29</v>
      </c>
      <c r="E13644">
        <v>674</v>
      </c>
    </row>
    <row r="13645" spans="1:5" x14ac:dyDescent="0.55000000000000004">
      <c r="A13645" t="s">
        <v>13726</v>
      </c>
      <c r="B13645" t="s">
        <v>14</v>
      </c>
      <c r="C13645" s="2">
        <v>43208</v>
      </c>
      <c r="D13645" t="s">
        <v>26</v>
      </c>
      <c r="E13645">
        <v>1053</v>
      </c>
    </row>
    <row r="13646" spans="1:5" x14ac:dyDescent="0.55000000000000004">
      <c r="A13646" t="s">
        <v>13727</v>
      </c>
      <c r="B13646" t="s">
        <v>76</v>
      </c>
      <c r="C13646" s="2">
        <v>45742</v>
      </c>
      <c r="D13646" t="s">
        <v>29</v>
      </c>
      <c r="E13646">
        <v>329</v>
      </c>
    </row>
    <row r="13647" spans="1:5" x14ac:dyDescent="0.55000000000000004">
      <c r="A13647" t="s">
        <v>13728</v>
      </c>
      <c r="B13647" t="s">
        <v>94</v>
      </c>
      <c r="C13647" s="2">
        <v>43588</v>
      </c>
      <c r="D13647" t="s">
        <v>26</v>
      </c>
      <c r="E13647">
        <v>1570</v>
      </c>
    </row>
    <row r="13648" spans="1:5" x14ac:dyDescent="0.55000000000000004">
      <c r="A13648" t="s">
        <v>13729</v>
      </c>
      <c r="B13648" t="s">
        <v>137</v>
      </c>
      <c r="C13648" s="2">
        <v>44856</v>
      </c>
      <c r="D13648" t="s">
        <v>26</v>
      </c>
      <c r="E13648">
        <v>1164</v>
      </c>
    </row>
    <row r="13649" spans="1:5" x14ac:dyDescent="0.55000000000000004">
      <c r="A13649" t="s">
        <v>13730</v>
      </c>
      <c r="B13649" t="s">
        <v>96</v>
      </c>
      <c r="C13649" s="2">
        <v>45008</v>
      </c>
      <c r="D13649" t="s">
        <v>29</v>
      </c>
      <c r="E13649">
        <v>362</v>
      </c>
    </row>
    <row r="13650" spans="1:5" x14ac:dyDescent="0.55000000000000004">
      <c r="A13650" t="s">
        <v>13731</v>
      </c>
      <c r="B13650" t="s">
        <v>84</v>
      </c>
      <c r="C13650" s="2">
        <v>43513</v>
      </c>
      <c r="D13650" t="s">
        <v>26</v>
      </c>
      <c r="E13650">
        <v>2959</v>
      </c>
    </row>
    <row r="13651" spans="1:5" x14ac:dyDescent="0.55000000000000004">
      <c r="A13651" t="s">
        <v>13732</v>
      </c>
      <c r="B13651" t="s">
        <v>41</v>
      </c>
      <c r="C13651" s="2">
        <v>44791</v>
      </c>
      <c r="D13651" t="s">
        <v>26</v>
      </c>
      <c r="E13651">
        <v>2810</v>
      </c>
    </row>
    <row r="13652" spans="1:5" x14ac:dyDescent="0.55000000000000004">
      <c r="A13652" t="s">
        <v>13733</v>
      </c>
      <c r="B13652" t="s">
        <v>23</v>
      </c>
      <c r="C13652" s="2">
        <v>44727</v>
      </c>
      <c r="D13652" t="s">
        <v>29</v>
      </c>
      <c r="E13652">
        <v>1380</v>
      </c>
    </row>
    <row r="13653" spans="1:5" x14ac:dyDescent="0.55000000000000004">
      <c r="A13653" t="s">
        <v>13734</v>
      </c>
      <c r="B13653" t="s">
        <v>151</v>
      </c>
      <c r="C13653" s="2">
        <v>43048</v>
      </c>
      <c r="D13653" t="s">
        <v>29</v>
      </c>
      <c r="E13653">
        <v>1488</v>
      </c>
    </row>
    <row r="13654" spans="1:5" x14ac:dyDescent="0.55000000000000004">
      <c r="A13654" t="s">
        <v>13735</v>
      </c>
      <c r="B13654" t="s">
        <v>23</v>
      </c>
      <c r="C13654" s="2">
        <v>44585</v>
      </c>
      <c r="D13654" t="s">
        <v>29</v>
      </c>
      <c r="E13654">
        <v>62</v>
      </c>
    </row>
    <row r="13655" spans="1:5" x14ac:dyDescent="0.55000000000000004">
      <c r="A13655" t="s">
        <v>13736</v>
      </c>
      <c r="B13655" t="s">
        <v>99</v>
      </c>
      <c r="C13655" s="2">
        <v>43674</v>
      </c>
      <c r="D13655" t="s">
        <v>26</v>
      </c>
      <c r="E13655">
        <v>594</v>
      </c>
    </row>
    <row r="13656" spans="1:5" x14ac:dyDescent="0.55000000000000004">
      <c r="A13656" t="s">
        <v>13737</v>
      </c>
      <c r="B13656" t="s">
        <v>35</v>
      </c>
      <c r="C13656" s="2">
        <v>43868</v>
      </c>
      <c r="D13656" t="s">
        <v>29</v>
      </c>
      <c r="E13656">
        <v>2944</v>
      </c>
    </row>
    <row r="13657" spans="1:5" x14ac:dyDescent="0.55000000000000004">
      <c r="A13657" t="s">
        <v>13738</v>
      </c>
      <c r="B13657" t="s">
        <v>23</v>
      </c>
      <c r="C13657" s="2">
        <v>44547</v>
      </c>
      <c r="D13657" t="s">
        <v>29</v>
      </c>
      <c r="E13657">
        <v>1927</v>
      </c>
    </row>
    <row r="13658" spans="1:5" x14ac:dyDescent="0.55000000000000004">
      <c r="A13658" t="s">
        <v>13739</v>
      </c>
      <c r="B13658" t="s">
        <v>151</v>
      </c>
      <c r="C13658" s="2">
        <v>43562</v>
      </c>
      <c r="D13658" t="s">
        <v>29</v>
      </c>
      <c r="E13658">
        <v>1041</v>
      </c>
    </row>
    <row r="13659" spans="1:5" x14ac:dyDescent="0.55000000000000004">
      <c r="A13659" t="s">
        <v>13740</v>
      </c>
      <c r="B13659" t="s">
        <v>72</v>
      </c>
      <c r="C13659" s="2">
        <v>43836</v>
      </c>
      <c r="D13659" t="s">
        <v>26</v>
      </c>
      <c r="E13659">
        <v>2430</v>
      </c>
    </row>
    <row r="13660" spans="1:5" x14ac:dyDescent="0.55000000000000004">
      <c r="A13660" t="s">
        <v>13741</v>
      </c>
      <c r="B13660" t="s">
        <v>84</v>
      </c>
      <c r="C13660" s="2">
        <v>43333</v>
      </c>
      <c r="D13660" t="s">
        <v>29</v>
      </c>
      <c r="E13660">
        <v>2577</v>
      </c>
    </row>
    <row r="13661" spans="1:5" x14ac:dyDescent="0.55000000000000004">
      <c r="A13661" t="s">
        <v>13742</v>
      </c>
      <c r="B13661" t="s">
        <v>74</v>
      </c>
      <c r="C13661" s="2">
        <v>42994</v>
      </c>
      <c r="D13661" t="s">
        <v>26</v>
      </c>
      <c r="E13661">
        <v>2316</v>
      </c>
    </row>
    <row r="13662" spans="1:5" x14ac:dyDescent="0.55000000000000004">
      <c r="A13662" t="s">
        <v>13743</v>
      </c>
      <c r="B13662" t="s">
        <v>67</v>
      </c>
      <c r="C13662" s="2">
        <v>44119</v>
      </c>
      <c r="D13662" t="s">
        <v>29</v>
      </c>
      <c r="E13662">
        <v>1324</v>
      </c>
    </row>
    <row r="13663" spans="1:5" x14ac:dyDescent="0.55000000000000004">
      <c r="A13663" t="s">
        <v>13744</v>
      </c>
      <c r="B13663" t="s">
        <v>142</v>
      </c>
      <c r="C13663" s="2">
        <v>44237</v>
      </c>
      <c r="D13663" t="s">
        <v>26</v>
      </c>
      <c r="E13663">
        <v>1081</v>
      </c>
    </row>
    <row r="13664" spans="1:5" x14ac:dyDescent="0.55000000000000004">
      <c r="A13664" t="s">
        <v>13745</v>
      </c>
      <c r="B13664" t="s">
        <v>41</v>
      </c>
      <c r="C13664" s="2">
        <v>44712</v>
      </c>
      <c r="D13664" t="s">
        <v>29</v>
      </c>
      <c r="E13664">
        <v>1810</v>
      </c>
    </row>
    <row r="13665" spans="1:5" x14ac:dyDescent="0.55000000000000004">
      <c r="A13665" t="s">
        <v>13746</v>
      </c>
      <c r="B13665" t="s">
        <v>142</v>
      </c>
      <c r="C13665" s="2">
        <v>43225</v>
      </c>
      <c r="D13665" t="s">
        <v>26</v>
      </c>
      <c r="E13665">
        <v>1713</v>
      </c>
    </row>
    <row r="13666" spans="1:5" x14ac:dyDescent="0.55000000000000004">
      <c r="A13666" t="s">
        <v>13747</v>
      </c>
      <c r="B13666" t="s">
        <v>14</v>
      </c>
      <c r="C13666" s="2">
        <v>43817</v>
      </c>
      <c r="D13666" t="s">
        <v>29</v>
      </c>
      <c r="E13666">
        <v>460</v>
      </c>
    </row>
    <row r="13667" spans="1:5" x14ac:dyDescent="0.55000000000000004">
      <c r="A13667" t="s">
        <v>13748</v>
      </c>
      <c r="B13667" t="s">
        <v>96</v>
      </c>
      <c r="C13667" s="2">
        <v>43708</v>
      </c>
      <c r="D13667" t="s">
        <v>29</v>
      </c>
      <c r="E13667">
        <v>52</v>
      </c>
    </row>
    <row r="13668" spans="1:5" x14ac:dyDescent="0.55000000000000004">
      <c r="A13668" t="s">
        <v>13749</v>
      </c>
      <c r="B13668" t="s">
        <v>105</v>
      </c>
      <c r="C13668" s="2">
        <v>43272</v>
      </c>
      <c r="D13668" t="s">
        <v>29</v>
      </c>
      <c r="E13668">
        <v>695</v>
      </c>
    </row>
    <row r="13669" spans="1:5" x14ac:dyDescent="0.55000000000000004">
      <c r="A13669" t="s">
        <v>13750</v>
      </c>
      <c r="B13669" t="s">
        <v>111</v>
      </c>
      <c r="C13669" s="2">
        <v>43578</v>
      </c>
      <c r="D13669" t="s">
        <v>26</v>
      </c>
      <c r="E13669">
        <v>2706</v>
      </c>
    </row>
    <row r="13670" spans="1:5" x14ac:dyDescent="0.55000000000000004">
      <c r="A13670" t="s">
        <v>13751</v>
      </c>
      <c r="B13670" t="s">
        <v>38</v>
      </c>
      <c r="C13670" s="2">
        <v>43995</v>
      </c>
      <c r="D13670" t="s">
        <v>26</v>
      </c>
      <c r="E13670">
        <v>1042</v>
      </c>
    </row>
    <row r="13671" spans="1:5" x14ac:dyDescent="0.55000000000000004">
      <c r="A13671" t="s">
        <v>13752</v>
      </c>
      <c r="B13671" t="s">
        <v>78</v>
      </c>
      <c r="C13671" s="2">
        <v>43848</v>
      </c>
      <c r="D13671" t="s">
        <v>29</v>
      </c>
      <c r="E13671">
        <v>1725</v>
      </c>
    </row>
    <row r="13672" spans="1:5" x14ac:dyDescent="0.55000000000000004">
      <c r="A13672" t="s">
        <v>13753</v>
      </c>
      <c r="B13672" t="s">
        <v>105</v>
      </c>
      <c r="C13672" s="2">
        <v>43299</v>
      </c>
      <c r="D13672" t="s">
        <v>26</v>
      </c>
      <c r="E13672">
        <v>2359</v>
      </c>
    </row>
    <row r="13673" spans="1:5" x14ac:dyDescent="0.55000000000000004">
      <c r="A13673" t="s">
        <v>13754</v>
      </c>
      <c r="B13673" t="s">
        <v>86</v>
      </c>
      <c r="C13673" s="2">
        <v>43529</v>
      </c>
      <c r="D13673" t="s">
        <v>26</v>
      </c>
      <c r="E13673">
        <v>2014</v>
      </c>
    </row>
    <row r="13674" spans="1:5" x14ac:dyDescent="0.55000000000000004">
      <c r="A13674" t="s">
        <v>13755</v>
      </c>
      <c r="B13674" t="s">
        <v>86</v>
      </c>
      <c r="C13674" s="2">
        <v>43461</v>
      </c>
      <c r="D13674" t="s">
        <v>26</v>
      </c>
      <c r="E13674">
        <v>394</v>
      </c>
    </row>
    <row r="13675" spans="1:5" x14ac:dyDescent="0.55000000000000004">
      <c r="A13675" t="s">
        <v>13756</v>
      </c>
      <c r="B13675" t="s">
        <v>101</v>
      </c>
      <c r="C13675" s="2">
        <v>43423</v>
      </c>
      <c r="D13675" t="s">
        <v>29</v>
      </c>
      <c r="E13675">
        <v>2515</v>
      </c>
    </row>
    <row r="13676" spans="1:5" x14ac:dyDescent="0.55000000000000004">
      <c r="A13676" t="s">
        <v>13757</v>
      </c>
      <c r="B13676" t="s">
        <v>142</v>
      </c>
      <c r="C13676" s="2">
        <v>43635</v>
      </c>
      <c r="D13676" t="s">
        <v>29</v>
      </c>
      <c r="E13676">
        <v>2271</v>
      </c>
    </row>
    <row r="13677" spans="1:5" x14ac:dyDescent="0.55000000000000004">
      <c r="A13677" t="s">
        <v>13758</v>
      </c>
      <c r="B13677" t="s">
        <v>105</v>
      </c>
      <c r="C13677" s="2">
        <v>44050</v>
      </c>
      <c r="D13677" t="s">
        <v>26</v>
      </c>
      <c r="E13677">
        <v>1825</v>
      </c>
    </row>
    <row r="13678" spans="1:5" x14ac:dyDescent="0.55000000000000004">
      <c r="A13678" t="s">
        <v>13759</v>
      </c>
      <c r="B13678" t="s">
        <v>151</v>
      </c>
      <c r="C13678" s="2">
        <v>44173</v>
      </c>
      <c r="D13678" t="s">
        <v>26</v>
      </c>
      <c r="E13678">
        <v>865</v>
      </c>
    </row>
    <row r="13679" spans="1:5" x14ac:dyDescent="0.55000000000000004">
      <c r="A13679" t="s">
        <v>13760</v>
      </c>
      <c r="B13679" t="s">
        <v>118</v>
      </c>
      <c r="C13679" s="2">
        <v>45129</v>
      </c>
      <c r="D13679" t="s">
        <v>26</v>
      </c>
      <c r="E13679">
        <v>107</v>
      </c>
    </row>
    <row r="13680" spans="1:5" x14ac:dyDescent="0.55000000000000004">
      <c r="A13680" t="s">
        <v>13761</v>
      </c>
      <c r="B13680" t="s">
        <v>118</v>
      </c>
      <c r="C13680" s="2">
        <v>45690</v>
      </c>
      <c r="D13680" t="s">
        <v>26</v>
      </c>
      <c r="E13680">
        <v>2396</v>
      </c>
    </row>
    <row r="13681" spans="1:5" x14ac:dyDescent="0.55000000000000004">
      <c r="A13681" t="s">
        <v>13762</v>
      </c>
      <c r="B13681" t="s">
        <v>140</v>
      </c>
      <c r="C13681" s="2">
        <v>44251</v>
      </c>
      <c r="D13681" t="s">
        <v>29</v>
      </c>
      <c r="E13681">
        <v>1777</v>
      </c>
    </row>
    <row r="13682" spans="1:5" x14ac:dyDescent="0.55000000000000004">
      <c r="A13682" t="s">
        <v>13763</v>
      </c>
      <c r="B13682" t="s">
        <v>115</v>
      </c>
      <c r="C13682" s="2">
        <v>43196</v>
      </c>
      <c r="D13682" t="s">
        <v>26</v>
      </c>
      <c r="E13682">
        <v>1567</v>
      </c>
    </row>
    <row r="13683" spans="1:5" x14ac:dyDescent="0.55000000000000004">
      <c r="A13683" t="s">
        <v>13764</v>
      </c>
      <c r="B13683" t="s">
        <v>156</v>
      </c>
      <c r="C13683" s="2">
        <v>43708</v>
      </c>
      <c r="D13683" t="s">
        <v>29</v>
      </c>
      <c r="E13683">
        <v>2952</v>
      </c>
    </row>
    <row r="13684" spans="1:5" x14ac:dyDescent="0.55000000000000004">
      <c r="A13684" t="s">
        <v>13765</v>
      </c>
      <c r="B13684" t="s">
        <v>140</v>
      </c>
      <c r="C13684" s="2">
        <v>43899</v>
      </c>
      <c r="D13684" t="s">
        <v>29</v>
      </c>
      <c r="E13684">
        <v>1063</v>
      </c>
    </row>
    <row r="13685" spans="1:5" x14ac:dyDescent="0.55000000000000004">
      <c r="A13685" t="s">
        <v>13766</v>
      </c>
      <c r="B13685" t="s">
        <v>15</v>
      </c>
      <c r="C13685" s="2">
        <v>44053</v>
      </c>
      <c r="D13685" t="s">
        <v>29</v>
      </c>
      <c r="E13685">
        <v>1566</v>
      </c>
    </row>
    <row r="13686" spans="1:5" x14ac:dyDescent="0.55000000000000004">
      <c r="A13686" t="s">
        <v>13767</v>
      </c>
      <c r="B13686" t="s">
        <v>105</v>
      </c>
      <c r="C13686" s="2">
        <v>43594</v>
      </c>
      <c r="D13686" t="s">
        <v>26</v>
      </c>
      <c r="E13686">
        <v>2273</v>
      </c>
    </row>
    <row r="13687" spans="1:5" x14ac:dyDescent="0.55000000000000004">
      <c r="A13687" t="s">
        <v>13768</v>
      </c>
      <c r="B13687" t="s">
        <v>84</v>
      </c>
      <c r="C13687" s="2">
        <v>43639</v>
      </c>
      <c r="D13687" t="s">
        <v>26</v>
      </c>
      <c r="E13687">
        <v>2787</v>
      </c>
    </row>
    <row r="13688" spans="1:5" x14ac:dyDescent="0.55000000000000004">
      <c r="A13688" t="s">
        <v>13769</v>
      </c>
      <c r="B13688" t="s">
        <v>74</v>
      </c>
      <c r="C13688" s="2">
        <v>44245</v>
      </c>
      <c r="D13688" t="s">
        <v>29</v>
      </c>
      <c r="E13688">
        <v>1015</v>
      </c>
    </row>
    <row r="13689" spans="1:5" x14ac:dyDescent="0.55000000000000004">
      <c r="A13689" t="s">
        <v>13770</v>
      </c>
      <c r="B13689" t="s">
        <v>137</v>
      </c>
      <c r="C13689" s="2">
        <v>45815</v>
      </c>
      <c r="D13689" t="s">
        <v>26</v>
      </c>
      <c r="E13689">
        <v>1458</v>
      </c>
    </row>
    <row r="13690" spans="1:5" x14ac:dyDescent="0.55000000000000004">
      <c r="A13690" t="s">
        <v>13771</v>
      </c>
      <c r="B13690" t="s">
        <v>15</v>
      </c>
      <c r="C13690" s="2">
        <v>42948</v>
      </c>
      <c r="D13690" t="s">
        <v>26</v>
      </c>
      <c r="E13690">
        <v>2107</v>
      </c>
    </row>
    <row r="13691" spans="1:5" x14ac:dyDescent="0.55000000000000004">
      <c r="A13691" t="s">
        <v>13772</v>
      </c>
      <c r="B13691" t="s">
        <v>140</v>
      </c>
      <c r="C13691" s="2">
        <v>43162</v>
      </c>
      <c r="D13691" t="s">
        <v>26</v>
      </c>
      <c r="E13691">
        <v>590</v>
      </c>
    </row>
    <row r="13692" spans="1:5" x14ac:dyDescent="0.55000000000000004">
      <c r="A13692" t="s">
        <v>13773</v>
      </c>
      <c r="B13692" t="s">
        <v>67</v>
      </c>
      <c r="C13692" s="2">
        <v>44876</v>
      </c>
      <c r="D13692" t="s">
        <v>29</v>
      </c>
      <c r="E13692">
        <v>438</v>
      </c>
    </row>
    <row r="13693" spans="1:5" x14ac:dyDescent="0.55000000000000004">
      <c r="A13693" t="s">
        <v>13774</v>
      </c>
      <c r="B13693" t="s">
        <v>84</v>
      </c>
      <c r="C13693" s="2">
        <v>43405</v>
      </c>
      <c r="D13693" t="s">
        <v>26</v>
      </c>
      <c r="E13693">
        <v>1320</v>
      </c>
    </row>
    <row r="13694" spans="1:5" x14ac:dyDescent="0.55000000000000004">
      <c r="A13694" t="s">
        <v>13775</v>
      </c>
      <c r="B13694" t="s">
        <v>38</v>
      </c>
      <c r="C13694" s="2">
        <v>44514</v>
      </c>
      <c r="D13694" t="s">
        <v>26</v>
      </c>
      <c r="E13694">
        <v>45</v>
      </c>
    </row>
    <row r="13695" spans="1:5" x14ac:dyDescent="0.55000000000000004">
      <c r="A13695" t="s">
        <v>13776</v>
      </c>
      <c r="B13695" t="s">
        <v>63</v>
      </c>
      <c r="C13695" s="2">
        <v>43297</v>
      </c>
      <c r="D13695" t="s">
        <v>29</v>
      </c>
      <c r="E13695">
        <v>1381</v>
      </c>
    </row>
    <row r="13696" spans="1:5" x14ac:dyDescent="0.55000000000000004">
      <c r="A13696" t="s">
        <v>13777</v>
      </c>
      <c r="B13696" t="s">
        <v>175</v>
      </c>
      <c r="C13696" s="2">
        <v>45777</v>
      </c>
      <c r="D13696" t="s">
        <v>26</v>
      </c>
      <c r="E13696">
        <v>2198</v>
      </c>
    </row>
    <row r="13697" spans="1:5" x14ac:dyDescent="0.55000000000000004">
      <c r="A13697" t="s">
        <v>13778</v>
      </c>
      <c r="B13697" t="s">
        <v>118</v>
      </c>
      <c r="C13697" s="2">
        <v>43966</v>
      </c>
      <c r="D13697" t="s">
        <v>26</v>
      </c>
      <c r="E13697">
        <v>1429</v>
      </c>
    </row>
    <row r="13698" spans="1:5" x14ac:dyDescent="0.55000000000000004">
      <c r="A13698" t="s">
        <v>13779</v>
      </c>
      <c r="B13698" t="s">
        <v>105</v>
      </c>
      <c r="C13698" s="2">
        <v>44002</v>
      </c>
      <c r="D13698" t="s">
        <v>26</v>
      </c>
      <c r="E13698">
        <v>2476</v>
      </c>
    </row>
    <row r="13699" spans="1:5" x14ac:dyDescent="0.55000000000000004">
      <c r="A13699" t="s">
        <v>13780</v>
      </c>
      <c r="B13699" t="s">
        <v>118</v>
      </c>
      <c r="C13699" s="2">
        <v>43640</v>
      </c>
      <c r="D13699" t="s">
        <v>29</v>
      </c>
      <c r="E13699">
        <v>797</v>
      </c>
    </row>
    <row r="13700" spans="1:5" x14ac:dyDescent="0.55000000000000004">
      <c r="A13700" t="s">
        <v>13781</v>
      </c>
      <c r="B13700" t="s">
        <v>14</v>
      </c>
      <c r="C13700" s="2">
        <v>43803</v>
      </c>
      <c r="D13700" t="s">
        <v>29</v>
      </c>
      <c r="E13700">
        <v>898</v>
      </c>
    </row>
    <row r="13701" spans="1:5" x14ac:dyDescent="0.55000000000000004">
      <c r="A13701" t="s">
        <v>13782</v>
      </c>
      <c r="B13701" t="s">
        <v>94</v>
      </c>
      <c r="C13701" s="2">
        <v>43527</v>
      </c>
      <c r="D13701" t="s">
        <v>26</v>
      </c>
      <c r="E13701">
        <v>217</v>
      </c>
    </row>
    <row r="13702" spans="1:5" x14ac:dyDescent="0.55000000000000004">
      <c r="A13702" t="s">
        <v>13783</v>
      </c>
      <c r="B13702" t="s">
        <v>63</v>
      </c>
      <c r="C13702" s="2">
        <v>44068</v>
      </c>
      <c r="D13702" t="s">
        <v>29</v>
      </c>
      <c r="E13702">
        <v>76</v>
      </c>
    </row>
    <row r="13703" spans="1:5" x14ac:dyDescent="0.55000000000000004">
      <c r="A13703" t="s">
        <v>13784</v>
      </c>
      <c r="B13703" t="s">
        <v>115</v>
      </c>
      <c r="C13703" s="2">
        <v>44427</v>
      </c>
      <c r="D13703" t="s">
        <v>29</v>
      </c>
      <c r="E13703">
        <v>2610</v>
      </c>
    </row>
    <row r="13704" spans="1:5" x14ac:dyDescent="0.55000000000000004">
      <c r="A13704" t="s">
        <v>13785</v>
      </c>
      <c r="B13704" t="s">
        <v>96</v>
      </c>
      <c r="C13704" s="2">
        <v>45366</v>
      </c>
      <c r="D13704" t="s">
        <v>29</v>
      </c>
      <c r="E13704">
        <v>2426</v>
      </c>
    </row>
    <row r="13705" spans="1:5" x14ac:dyDescent="0.55000000000000004">
      <c r="A13705" t="s">
        <v>13786</v>
      </c>
      <c r="B13705" t="s">
        <v>72</v>
      </c>
      <c r="C13705" s="2">
        <v>44342</v>
      </c>
      <c r="D13705" t="s">
        <v>26</v>
      </c>
      <c r="E13705">
        <v>2382</v>
      </c>
    </row>
    <row r="13706" spans="1:5" x14ac:dyDescent="0.55000000000000004">
      <c r="A13706" t="s">
        <v>13787</v>
      </c>
      <c r="B13706" t="s">
        <v>76</v>
      </c>
      <c r="C13706" s="2">
        <v>43969</v>
      </c>
      <c r="D13706" t="s">
        <v>26</v>
      </c>
      <c r="E13706">
        <v>1345</v>
      </c>
    </row>
    <row r="13707" spans="1:5" x14ac:dyDescent="0.55000000000000004">
      <c r="A13707" t="s">
        <v>13788</v>
      </c>
      <c r="B13707" t="s">
        <v>14</v>
      </c>
      <c r="C13707" s="2">
        <v>43919</v>
      </c>
      <c r="D13707" t="s">
        <v>26</v>
      </c>
      <c r="E13707">
        <v>2370</v>
      </c>
    </row>
    <row r="13708" spans="1:5" x14ac:dyDescent="0.55000000000000004">
      <c r="A13708" t="s">
        <v>13789</v>
      </c>
      <c r="B13708" t="s">
        <v>15</v>
      </c>
      <c r="C13708" s="2">
        <v>42988</v>
      </c>
      <c r="D13708" t="s">
        <v>29</v>
      </c>
      <c r="E13708">
        <v>1986</v>
      </c>
    </row>
    <row r="13709" spans="1:5" x14ac:dyDescent="0.55000000000000004">
      <c r="A13709" t="s">
        <v>13790</v>
      </c>
      <c r="B13709" t="s">
        <v>156</v>
      </c>
      <c r="C13709" s="2">
        <v>44472</v>
      </c>
      <c r="D13709" t="s">
        <v>29</v>
      </c>
      <c r="E13709">
        <v>1426</v>
      </c>
    </row>
    <row r="13710" spans="1:5" x14ac:dyDescent="0.55000000000000004">
      <c r="A13710" t="s">
        <v>13791</v>
      </c>
      <c r="B13710" t="s">
        <v>41</v>
      </c>
      <c r="C13710" s="2">
        <v>44399</v>
      </c>
      <c r="D13710" t="s">
        <v>26</v>
      </c>
      <c r="E13710">
        <v>1787</v>
      </c>
    </row>
    <row r="13711" spans="1:5" x14ac:dyDescent="0.55000000000000004">
      <c r="A13711" t="s">
        <v>13792</v>
      </c>
      <c r="B13711" t="s">
        <v>23</v>
      </c>
      <c r="C13711" s="2">
        <v>44069</v>
      </c>
      <c r="D13711" t="s">
        <v>29</v>
      </c>
      <c r="E13711">
        <v>1012</v>
      </c>
    </row>
    <row r="13712" spans="1:5" x14ac:dyDescent="0.55000000000000004">
      <c r="A13712" t="s">
        <v>13793</v>
      </c>
      <c r="B13712" t="s">
        <v>67</v>
      </c>
      <c r="C13712" s="2">
        <v>45328</v>
      </c>
      <c r="D13712" t="s">
        <v>29</v>
      </c>
      <c r="E13712">
        <v>1928</v>
      </c>
    </row>
    <row r="13713" spans="1:5" x14ac:dyDescent="0.55000000000000004">
      <c r="A13713" t="s">
        <v>13794</v>
      </c>
      <c r="B13713" t="s">
        <v>151</v>
      </c>
      <c r="C13713" s="2">
        <v>44048</v>
      </c>
      <c r="D13713" t="s">
        <v>29</v>
      </c>
      <c r="E13713">
        <v>1006</v>
      </c>
    </row>
    <row r="13714" spans="1:5" x14ac:dyDescent="0.55000000000000004">
      <c r="A13714" t="s">
        <v>13795</v>
      </c>
      <c r="B13714" t="s">
        <v>115</v>
      </c>
      <c r="C13714" s="2">
        <v>44497</v>
      </c>
      <c r="D13714" t="s">
        <v>29</v>
      </c>
      <c r="E13714">
        <v>1526</v>
      </c>
    </row>
    <row r="13715" spans="1:5" x14ac:dyDescent="0.55000000000000004">
      <c r="A13715" t="s">
        <v>13796</v>
      </c>
      <c r="B13715" t="s">
        <v>140</v>
      </c>
      <c r="C13715" s="2">
        <v>43931</v>
      </c>
      <c r="D13715" t="s">
        <v>29</v>
      </c>
      <c r="E13715">
        <v>2491</v>
      </c>
    </row>
    <row r="13716" spans="1:5" x14ac:dyDescent="0.55000000000000004">
      <c r="A13716" t="s">
        <v>13797</v>
      </c>
      <c r="B13716" t="s">
        <v>111</v>
      </c>
      <c r="C13716" s="2">
        <v>44144</v>
      </c>
      <c r="D13716" t="s">
        <v>29</v>
      </c>
      <c r="E13716">
        <v>2559</v>
      </c>
    </row>
    <row r="13717" spans="1:5" x14ac:dyDescent="0.55000000000000004">
      <c r="A13717" t="s">
        <v>13798</v>
      </c>
      <c r="B13717" t="s">
        <v>105</v>
      </c>
      <c r="C13717" s="2">
        <v>44070</v>
      </c>
      <c r="D13717" t="s">
        <v>29</v>
      </c>
      <c r="E13717">
        <v>737</v>
      </c>
    </row>
    <row r="13718" spans="1:5" x14ac:dyDescent="0.55000000000000004">
      <c r="A13718" t="s">
        <v>13799</v>
      </c>
      <c r="B13718" t="s">
        <v>78</v>
      </c>
      <c r="C13718" s="2">
        <v>45141</v>
      </c>
      <c r="D13718" t="s">
        <v>26</v>
      </c>
      <c r="E13718">
        <v>672</v>
      </c>
    </row>
    <row r="13719" spans="1:5" x14ac:dyDescent="0.55000000000000004">
      <c r="A13719" t="s">
        <v>13800</v>
      </c>
      <c r="B13719" t="s">
        <v>41</v>
      </c>
      <c r="C13719" s="2">
        <v>44805</v>
      </c>
      <c r="D13719" t="s">
        <v>26</v>
      </c>
      <c r="E13719">
        <v>685</v>
      </c>
    </row>
    <row r="13720" spans="1:5" x14ac:dyDescent="0.55000000000000004">
      <c r="A13720" t="s">
        <v>13801</v>
      </c>
      <c r="B13720" t="s">
        <v>84</v>
      </c>
      <c r="C13720" s="2">
        <v>43384</v>
      </c>
      <c r="D13720" t="s">
        <v>29</v>
      </c>
      <c r="E13720">
        <v>175</v>
      </c>
    </row>
    <row r="13721" spans="1:5" x14ac:dyDescent="0.55000000000000004">
      <c r="A13721" t="s">
        <v>13802</v>
      </c>
      <c r="B13721" t="s">
        <v>151</v>
      </c>
      <c r="C13721" s="2">
        <v>44302</v>
      </c>
      <c r="D13721" t="s">
        <v>26</v>
      </c>
      <c r="E13721">
        <v>2338</v>
      </c>
    </row>
    <row r="13722" spans="1:5" x14ac:dyDescent="0.55000000000000004">
      <c r="A13722" t="s">
        <v>13803</v>
      </c>
      <c r="B13722" t="s">
        <v>38</v>
      </c>
      <c r="C13722" s="2">
        <v>43913</v>
      </c>
      <c r="D13722" t="s">
        <v>29</v>
      </c>
      <c r="E13722">
        <v>1675</v>
      </c>
    </row>
    <row r="13723" spans="1:5" x14ac:dyDescent="0.55000000000000004">
      <c r="A13723" t="s">
        <v>13804</v>
      </c>
      <c r="B13723" t="s">
        <v>101</v>
      </c>
      <c r="C13723" s="2">
        <v>44483</v>
      </c>
      <c r="D13723" t="s">
        <v>29</v>
      </c>
      <c r="E13723">
        <v>2798</v>
      </c>
    </row>
    <row r="13724" spans="1:5" x14ac:dyDescent="0.55000000000000004">
      <c r="A13724" t="s">
        <v>13805</v>
      </c>
      <c r="B13724" t="s">
        <v>137</v>
      </c>
      <c r="C13724" s="2">
        <v>43913</v>
      </c>
      <c r="D13724" t="s">
        <v>29</v>
      </c>
      <c r="E13724">
        <v>257</v>
      </c>
    </row>
    <row r="13725" spans="1:5" x14ac:dyDescent="0.55000000000000004">
      <c r="A13725" t="s">
        <v>13806</v>
      </c>
      <c r="B13725" t="s">
        <v>38</v>
      </c>
      <c r="C13725" s="2">
        <v>44309</v>
      </c>
      <c r="D13725" t="s">
        <v>29</v>
      </c>
      <c r="E13725">
        <v>783</v>
      </c>
    </row>
    <row r="13726" spans="1:5" x14ac:dyDescent="0.55000000000000004">
      <c r="A13726" t="s">
        <v>13807</v>
      </c>
      <c r="B13726" t="s">
        <v>14</v>
      </c>
      <c r="C13726" s="2">
        <v>43835</v>
      </c>
      <c r="D13726" t="s">
        <v>29</v>
      </c>
      <c r="E13726">
        <v>2123</v>
      </c>
    </row>
    <row r="13727" spans="1:5" x14ac:dyDescent="0.55000000000000004">
      <c r="A13727" t="s">
        <v>13808</v>
      </c>
      <c r="B13727" t="s">
        <v>35</v>
      </c>
      <c r="C13727" s="2">
        <v>44303</v>
      </c>
      <c r="D13727" t="s">
        <v>26</v>
      </c>
      <c r="E13727">
        <v>2364</v>
      </c>
    </row>
    <row r="13728" spans="1:5" x14ac:dyDescent="0.55000000000000004">
      <c r="A13728" t="s">
        <v>13809</v>
      </c>
      <c r="B13728" t="s">
        <v>118</v>
      </c>
      <c r="C13728" s="2">
        <v>45542</v>
      </c>
      <c r="D13728" t="s">
        <v>29</v>
      </c>
      <c r="E13728">
        <v>1575</v>
      </c>
    </row>
    <row r="13729" spans="1:5" x14ac:dyDescent="0.55000000000000004">
      <c r="A13729" t="s">
        <v>13810</v>
      </c>
      <c r="B13729" t="s">
        <v>137</v>
      </c>
      <c r="C13729" s="2">
        <v>45707</v>
      </c>
      <c r="D13729" t="s">
        <v>26</v>
      </c>
      <c r="E13729">
        <v>2625</v>
      </c>
    </row>
    <row r="13730" spans="1:5" x14ac:dyDescent="0.55000000000000004">
      <c r="A13730" t="s">
        <v>13811</v>
      </c>
      <c r="B13730" t="s">
        <v>35</v>
      </c>
      <c r="C13730" s="2">
        <v>44714</v>
      </c>
      <c r="D13730" t="s">
        <v>26</v>
      </c>
      <c r="E13730">
        <v>1450</v>
      </c>
    </row>
    <row r="13731" spans="1:5" x14ac:dyDescent="0.55000000000000004">
      <c r="A13731" t="s">
        <v>13812</v>
      </c>
      <c r="B13731" t="s">
        <v>137</v>
      </c>
      <c r="C13731" s="2">
        <v>43821</v>
      </c>
      <c r="D13731" t="s">
        <v>26</v>
      </c>
      <c r="E13731">
        <v>1928</v>
      </c>
    </row>
    <row r="13732" spans="1:5" x14ac:dyDescent="0.55000000000000004">
      <c r="A13732" t="s">
        <v>13813</v>
      </c>
      <c r="B13732" t="s">
        <v>137</v>
      </c>
      <c r="C13732" s="2">
        <v>43496</v>
      </c>
      <c r="D13732" t="s">
        <v>26</v>
      </c>
      <c r="E13732">
        <v>2788</v>
      </c>
    </row>
    <row r="13733" spans="1:5" x14ac:dyDescent="0.55000000000000004">
      <c r="A13733" t="s">
        <v>13814</v>
      </c>
      <c r="B13733" t="s">
        <v>84</v>
      </c>
      <c r="C13733" s="2">
        <v>43298</v>
      </c>
      <c r="D13733" t="s">
        <v>26</v>
      </c>
      <c r="E13733">
        <v>1752</v>
      </c>
    </row>
    <row r="13734" spans="1:5" x14ac:dyDescent="0.55000000000000004">
      <c r="A13734" t="s">
        <v>13815</v>
      </c>
      <c r="B13734" t="s">
        <v>78</v>
      </c>
      <c r="C13734" s="2">
        <v>44450</v>
      </c>
      <c r="D13734" t="s">
        <v>29</v>
      </c>
      <c r="E13734">
        <v>1025</v>
      </c>
    </row>
    <row r="13735" spans="1:5" x14ac:dyDescent="0.55000000000000004">
      <c r="A13735" t="s">
        <v>13816</v>
      </c>
      <c r="B13735" t="s">
        <v>78</v>
      </c>
      <c r="C13735" s="2">
        <v>44346</v>
      </c>
      <c r="D13735" t="s">
        <v>29</v>
      </c>
      <c r="E13735">
        <v>1021</v>
      </c>
    </row>
    <row r="13736" spans="1:5" x14ac:dyDescent="0.55000000000000004">
      <c r="A13736" t="s">
        <v>13817</v>
      </c>
      <c r="B13736" t="s">
        <v>99</v>
      </c>
      <c r="C13736" s="2">
        <v>43651</v>
      </c>
      <c r="D13736" t="s">
        <v>26</v>
      </c>
      <c r="E13736">
        <v>892</v>
      </c>
    </row>
    <row r="13737" spans="1:5" x14ac:dyDescent="0.55000000000000004">
      <c r="A13737" t="s">
        <v>13818</v>
      </c>
      <c r="B13737" t="s">
        <v>74</v>
      </c>
      <c r="C13737" s="2">
        <v>43993</v>
      </c>
      <c r="D13737" t="s">
        <v>29</v>
      </c>
      <c r="E13737">
        <v>789</v>
      </c>
    </row>
    <row r="13738" spans="1:5" x14ac:dyDescent="0.55000000000000004">
      <c r="A13738" t="s">
        <v>13819</v>
      </c>
      <c r="B13738" t="s">
        <v>156</v>
      </c>
      <c r="C13738" s="2">
        <v>43070</v>
      </c>
      <c r="D13738" t="s">
        <v>26</v>
      </c>
      <c r="E13738">
        <v>1410</v>
      </c>
    </row>
    <row r="13739" spans="1:5" x14ac:dyDescent="0.55000000000000004">
      <c r="A13739" t="s">
        <v>13820</v>
      </c>
      <c r="B13739" t="s">
        <v>76</v>
      </c>
      <c r="C13739" s="2">
        <v>45438</v>
      </c>
      <c r="D13739" t="s">
        <v>26</v>
      </c>
      <c r="E13739">
        <v>1791</v>
      </c>
    </row>
    <row r="13740" spans="1:5" x14ac:dyDescent="0.55000000000000004">
      <c r="A13740" t="s">
        <v>13821</v>
      </c>
      <c r="B13740" t="s">
        <v>78</v>
      </c>
      <c r="C13740" s="2">
        <v>45766</v>
      </c>
      <c r="D13740" t="s">
        <v>26</v>
      </c>
      <c r="E13740">
        <v>1695</v>
      </c>
    </row>
    <row r="13741" spans="1:5" x14ac:dyDescent="0.55000000000000004">
      <c r="A13741" t="s">
        <v>13822</v>
      </c>
      <c r="B13741" t="s">
        <v>115</v>
      </c>
      <c r="C13741" s="2">
        <v>43050</v>
      </c>
      <c r="D13741" t="s">
        <v>26</v>
      </c>
      <c r="E13741">
        <v>1175</v>
      </c>
    </row>
    <row r="13742" spans="1:5" x14ac:dyDescent="0.55000000000000004">
      <c r="A13742" t="s">
        <v>13823</v>
      </c>
      <c r="B13742" t="s">
        <v>15</v>
      </c>
      <c r="C13742" s="2">
        <v>43698</v>
      </c>
      <c r="D13742" t="s">
        <v>26</v>
      </c>
      <c r="E13742">
        <v>103</v>
      </c>
    </row>
    <row r="13743" spans="1:5" x14ac:dyDescent="0.55000000000000004">
      <c r="A13743" t="s">
        <v>13824</v>
      </c>
      <c r="B13743" t="s">
        <v>15</v>
      </c>
      <c r="C13743" s="2">
        <v>43336</v>
      </c>
      <c r="D13743" t="s">
        <v>29</v>
      </c>
      <c r="E13743">
        <v>1889</v>
      </c>
    </row>
    <row r="13744" spans="1:5" x14ac:dyDescent="0.55000000000000004">
      <c r="A13744" t="s">
        <v>13825</v>
      </c>
      <c r="B13744" t="s">
        <v>99</v>
      </c>
      <c r="C13744" s="2">
        <v>45438</v>
      </c>
      <c r="D13744" t="s">
        <v>26</v>
      </c>
      <c r="E13744">
        <v>1408</v>
      </c>
    </row>
    <row r="13745" spans="1:5" x14ac:dyDescent="0.55000000000000004">
      <c r="A13745" t="s">
        <v>13826</v>
      </c>
      <c r="B13745" t="s">
        <v>156</v>
      </c>
      <c r="C13745" s="2">
        <v>43164</v>
      </c>
      <c r="D13745" t="s">
        <v>29</v>
      </c>
      <c r="E13745">
        <v>1325</v>
      </c>
    </row>
    <row r="13746" spans="1:5" x14ac:dyDescent="0.55000000000000004">
      <c r="A13746" t="s">
        <v>13827</v>
      </c>
      <c r="B13746" t="s">
        <v>86</v>
      </c>
      <c r="C13746" s="2">
        <v>44542</v>
      </c>
      <c r="D13746" t="s">
        <v>29</v>
      </c>
      <c r="E13746">
        <v>1250</v>
      </c>
    </row>
    <row r="13747" spans="1:5" x14ac:dyDescent="0.55000000000000004">
      <c r="A13747" t="s">
        <v>13828</v>
      </c>
      <c r="B13747" t="s">
        <v>15</v>
      </c>
      <c r="C13747" s="2">
        <v>43314</v>
      </c>
      <c r="D13747" t="s">
        <v>26</v>
      </c>
      <c r="E13747">
        <v>2670</v>
      </c>
    </row>
    <row r="13748" spans="1:5" x14ac:dyDescent="0.55000000000000004">
      <c r="A13748" t="s">
        <v>13829</v>
      </c>
      <c r="B13748" t="s">
        <v>115</v>
      </c>
      <c r="C13748" s="2">
        <v>44511</v>
      </c>
      <c r="D13748" t="s">
        <v>29</v>
      </c>
      <c r="E13748">
        <v>2096</v>
      </c>
    </row>
    <row r="13749" spans="1:5" x14ac:dyDescent="0.55000000000000004">
      <c r="A13749" t="s">
        <v>13830</v>
      </c>
      <c r="B13749" t="s">
        <v>99</v>
      </c>
      <c r="C13749" s="2">
        <v>44804</v>
      </c>
      <c r="D13749" t="s">
        <v>26</v>
      </c>
      <c r="E13749">
        <v>1656</v>
      </c>
    </row>
    <row r="13750" spans="1:5" x14ac:dyDescent="0.55000000000000004">
      <c r="A13750" t="s">
        <v>13831</v>
      </c>
      <c r="B13750" t="s">
        <v>101</v>
      </c>
      <c r="C13750" s="2">
        <v>43390</v>
      </c>
      <c r="D13750" t="s">
        <v>29</v>
      </c>
      <c r="E13750">
        <v>2609</v>
      </c>
    </row>
    <row r="13751" spans="1:5" x14ac:dyDescent="0.55000000000000004">
      <c r="A13751" t="s">
        <v>13832</v>
      </c>
      <c r="B13751" t="s">
        <v>78</v>
      </c>
      <c r="C13751" s="2">
        <v>43543</v>
      </c>
      <c r="D13751" t="s">
        <v>26</v>
      </c>
      <c r="E13751">
        <v>2234</v>
      </c>
    </row>
    <row r="13752" spans="1:5" x14ac:dyDescent="0.55000000000000004">
      <c r="A13752" t="s">
        <v>13833</v>
      </c>
      <c r="B13752" t="s">
        <v>76</v>
      </c>
      <c r="C13752" s="2">
        <v>45606</v>
      </c>
      <c r="D13752" t="s">
        <v>29</v>
      </c>
      <c r="E13752">
        <v>915</v>
      </c>
    </row>
    <row r="13753" spans="1:5" x14ac:dyDescent="0.55000000000000004">
      <c r="A13753" t="s">
        <v>13834</v>
      </c>
      <c r="B13753" t="s">
        <v>99</v>
      </c>
      <c r="C13753" s="2">
        <v>44262</v>
      </c>
      <c r="D13753" t="s">
        <v>26</v>
      </c>
      <c r="E13753">
        <v>510</v>
      </c>
    </row>
    <row r="13754" spans="1:5" x14ac:dyDescent="0.55000000000000004">
      <c r="A13754" t="s">
        <v>13835</v>
      </c>
      <c r="B13754" t="s">
        <v>156</v>
      </c>
      <c r="C13754" s="2">
        <v>44037</v>
      </c>
      <c r="D13754" t="s">
        <v>29</v>
      </c>
      <c r="E13754">
        <v>1941</v>
      </c>
    </row>
    <row r="13755" spans="1:5" x14ac:dyDescent="0.55000000000000004">
      <c r="A13755" t="s">
        <v>13836</v>
      </c>
      <c r="B13755" t="s">
        <v>67</v>
      </c>
      <c r="C13755" s="2">
        <v>43892</v>
      </c>
      <c r="D13755" t="s">
        <v>29</v>
      </c>
      <c r="E13755">
        <v>1529</v>
      </c>
    </row>
    <row r="13756" spans="1:5" x14ac:dyDescent="0.55000000000000004">
      <c r="A13756" t="s">
        <v>13837</v>
      </c>
      <c r="B13756" t="s">
        <v>94</v>
      </c>
      <c r="C13756" s="2">
        <v>45241</v>
      </c>
      <c r="D13756" t="s">
        <v>26</v>
      </c>
      <c r="E13756">
        <v>2126</v>
      </c>
    </row>
    <row r="13757" spans="1:5" x14ac:dyDescent="0.55000000000000004">
      <c r="A13757" t="s">
        <v>13838</v>
      </c>
      <c r="B13757" t="s">
        <v>67</v>
      </c>
      <c r="C13757" s="2">
        <v>43659</v>
      </c>
      <c r="D13757" t="s">
        <v>29</v>
      </c>
      <c r="E13757">
        <v>280</v>
      </c>
    </row>
    <row r="13758" spans="1:5" x14ac:dyDescent="0.55000000000000004">
      <c r="A13758" t="s">
        <v>13839</v>
      </c>
      <c r="B13758" t="s">
        <v>67</v>
      </c>
      <c r="C13758" s="2">
        <v>43620</v>
      </c>
      <c r="D13758" t="s">
        <v>26</v>
      </c>
      <c r="E13758">
        <v>1152</v>
      </c>
    </row>
    <row r="13759" spans="1:5" x14ac:dyDescent="0.55000000000000004">
      <c r="A13759" t="s">
        <v>13840</v>
      </c>
      <c r="B13759" t="s">
        <v>156</v>
      </c>
      <c r="C13759" s="2">
        <v>43740</v>
      </c>
      <c r="D13759" t="s">
        <v>26</v>
      </c>
      <c r="E13759">
        <v>2276</v>
      </c>
    </row>
    <row r="13760" spans="1:5" x14ac:dyDescent="0.55000000000000004">
      <c r="A13760" t="s">
        <v>13841</v>
      </c>
      <c r="B13760" t="s">
        <v>67</v>
      </c>
      <c r="C13760" s="2">
        <v>44164</v>
      </c>
      <c r="D13760" t="s">
        <v>29</v>
      </c>
      <c r="E13760">
        <v>268</v>
      </c>
    </row>
    <row r="13761" spans="1:5" x14ac:dyDescent="0.55000000000000004">
      <c r="A13761" t="s">
        <v>13842</v>
      </c>
      <c r="B13761" t="s">
        <v>15</v>
      </c>
      <c r="C13761" s="2">
        <v>43337</v>
      </c>
      <c r="D13761" t="s">
        <v>29</v>
      </c>
      <c r="E13761">
        <v>2836</v>
      </c>
    </row>
    <row r="13762" spans="1:5" x14ac:dyDescent="0.55000000000000004">
      <c r="A13762" t="s">
        <v>13843</v>
      </c>
      <c r="B13762" t="s">
        <v>101</v>
      </c>
      <c r="C13762" s="2">
        <v>42986</v>
      </c>
      <c r="D13762" t="s">
        <v>29</v>
      </c>
      <c r="E13762">
        <v>891</v>
      </c>
    </row>
    <row r="13763" spans="1:5" x14ac:dyDescent="0.55000000000000004">
      <c r="A13763" t="s">
        <v>13844</v>
      </c>
      <c r="B13763" t="s">
        <v>118</v>
      </c>
      <c r="C13763" s="2">
        <v>45243</v>
      </c>
      <c r="D13763" t="s">
        <v>26</v>
      </c>
      <c r="E13763">
        <v>320</v>
      </c>
    </row>
    <row r="13764" spans="1:5" x14ac:dyDescent="0.55000000000000004">
      <c r="A13764" t="s">
        <v>13845</v>
      </c>
      <c r="B13764" t="s">
        <v>84</v>
      </c>
      <c r="C13764" s="2">
        <v>44072</v>
      </c>
      <c r="D13764" t="s">
        <v>26</v>
      </c>
      <c r="E13764">
        <v>2824</v>
      </c>
    </row>
    <row r="13765" spans="1:5" x14ac:dyDescent="0.55000000000000004">
      <c r="A13765" t="s">
        <v>13846</v>
      </c>
      <c r="B13765" t="s">
        <v>74</v>
      </c>
      <c r="C13765" s="2">
        <v>43974</v>
      </c>
      <c r="D13765" t="s">
        <v>26</v>
      </c>
      <c r="E13765">
        <v>778</v>
      </c>
    </row>
    <row r="13766" spans="1:5" x14ac:dyDescent="0.55000000000000004">
      <c r="A13766" t="s">
        <v>13847</v>
      </c>
      <c r="B13766" t="s">
        <v>15</v>
      </c>
      <c r="C13766" s="2">
        <v>43190</v>
      </c>
      <c r="D13766" t="s">
        <v>26</v>
      </c>
      <c r="E13766">
        <v>2414</v>
      </c>
    </row>
    <row r="13767" spans="1:5" x14ac:dyDescent="0.55000000000000004">
      <c r="A13767" t="s">
        <v>13848</v>
      </c>
      <c r="B13767" t="s">
        <v>78</v>
      </c>
      <c r="C13767" s="2">
        <v>44291</v>
      </c>
      <c r="D13767" t="s">
        <v>26</v>
      </c>
      <c r="E13767">
        <v>1251</v>
      </c>
    </row>
    <row r="13768" spans="1:5" x14ac:dyDescent="0.55000000000000004">
      <c r="A13768" t="s">
        <v>13849</v>
      </c>
      <c r="B13768" t="s">
        <v>111</v>
      </c>
      <c r="C13768" s="2">
        <v>42930</v>
      </c>
      <c r="D13768" t="s">
        <v>26</v>
      </c>
      <c r="E13768">
        <v>13</v>
      </c>
    </row>
    <row r="13769" spans="1:5" x14ac:dyDescent="0.55000000000000004">
      <c r="A13769" t="s">
        <v>13850</v>
      </c>
      <c r="B13769" t="s">
        <v>118</v>
      </c>
      <c r="C13769" s="2">
        <v>45614</v>
      </c>
      <c r="D13769" t="s">
        <v>26</v>
      </c>
      <c r="E13769">
        <v>1135</v>
      </c>
    </row>
    <row r="13770" spans="1:5" x14ac:dyDescent="0.55000000000000004">
      <c r="A13770" t="s">
        <v>13851</v>
      </c>
      <c r="B13770" t="s">
        <v>23</v>
      </c>
      <c r="C13770" s="2">
        <v>44060</v>
      </c>
      <c r="D13770" t="s">
        <v>26</v>
      </c>
      <c r="E13770">
        <v>1645</v>
      </c>
    </row>
    <row r="13771" spans="1:5" x14ac:dyDescent="0.55000000000000004">
      <c r="A13771" t="s">
        <v>13852</v>
      </c>
      <c r="B13771" t="s">
        <v>156</v>
      </c>
      <c r="C13771" s="2">
        <v>43920</v>
      </c>
      <c r="D13771" t="s">
        <v>29</v>
      </c>
      <c r="E13771">
        <v>1044</v>
      </c>
    </row>
    <row r="13772" spans="1:5" x14ac:dyDescent="0.55000000000000004">
      <c r="A13772" t="s">
        <v>13853</v>
      </c>
      <c r="B13772" t="s">
        <v>23</v>
      </c>
      <c r="C13772" s="2">
        <v>44209</v>
      </c>
      <c r="D13772" t="s">
        <v>29</v>
      </c>
      <c r="E13772">
        <v>809</v>
      </c>
    </row>
    <row r="13773" spans="1:5" x14ac:dyDescent="0.55000000000000004">
      <c r="A13773" t="s">
        <v>13854</v>
      </c>
      <c r="B13773" t="s">
        <v>99</v>
      </c>
      <c r="C13773" s="2">
        <v>45133</v>
      </c>
      <c r="D13773" t="s">
        <v>26</v>
      </c>
      <c r="E13773">
        <v>833</v>
      </c>
    </row>
    <row r="13774" spans="1:5" x14ac:dyDescent="0.55000000000000004">
      <c r="A13774" t="s">
        <v>13855</v>
      </c>
      <c r="B13774" t="s">
        <v>94</v>
      </c>
      <c r="C13774" s="2">
        <v>44423</v>
      </c>
      <c r="D13774" t="s">
        <v>29</v>
      </c>
      <c r="E13774">
        <v>2658</v>
      </c>
    </row>
    <row r="13775" spans="1:5" x14ac:dyDescent="0.55000000000000004">
      <c r="A13775" t="s">
        <v>13856</v>
      </c>
      <c r="B13775" t="s">
        <v>72</v>
      </c>
      <c r="C13775" s="2">
        <v>44347</v>
      </c>
      <c r="D13775" t="s">
        <v>26</v>
      </c>
      <c r="E13775">
        <v>2603</v>
      </c>
    </row>
    <row r="13776" spans="1:5" x14ac:dyDescent="0.55000000000000004">
      <c r="A13776" t="s">
        <v>13857</v>
      </c>
      <c r="B13776" t="s">
        <v>96</v>
      </c>
      <c r="C13776" s="2">
        <v>45753</v>
      </c>
      <c r="D13776" t="s">
        <v>26</v>
      </c>
      <c r="E13776">
        <v>2286</v>
      </c>
    </row>
    <row r="13777" spans="1:5" x14ac:dyDescent="0.55000000000000004">
      <c r="A13777" t="s">
        <v>13858</v>
      </c>
      <c r="B13777" t="s">
        <v>74</v>
      </c>
      <c r="C13777" s="2">
        <v>43662</v>
      </c>
      <c r="D13777" t="s">
        <v>29</v>
      </c>
      <c r="E13777">
        <v>850</v>
      </c>
    </row>
    <row r="13778" spans="1:5" x14ac:dyDescent="0.55000000000000004">
      <c r="A13778" t="s">
        <v>13859</v>
      </c>
      <c r="B13778" t="s">
        <v>38</v>
      </c>
      <c r="C13778" s="2">
        <v>44210</v>
      </c>
      <c r="D13778" t="s">
        <v>29</v>
      </c>
      <c r="E13778">
        <v>2819</v>
      </c>
    </row>
    <row r="13779" spans="1:5" x14ac:dyDescent="0.55000000000000004">
      <c r="A13779" t="s">
        <v>13860</v>
      </c>
      <c r="B13779" t="s">
        <v>67</v>
      </c>
      <c r="C13779" s="2">
        <v>45657</v>
      </c>
      <c r="D13779" t="s">
        <v>26</v>
      </c>
      <c r="E13779">
        <v>139</v>
      </c>
    </row>
    <row r="13780" spans="1:5" x14ac:dyDescent="0.55000000000000004">
      <c r="A13780" t="s">
        <v>13861</v>
      </c>
      <c r="B13780" t="s">
        <v>105</v>
      </c>
      <c r="C13780" s="2">
        <v>43097</v>
      </c>
      <c r="D13780" t="s">
        <v>26</v>
      </c>
      <c r="E13780">
        <v>1628</v>
      </c>
    </row>
    <row r="13781" spans="1:5" x14ac:dyDescent="0.55000000000000004">
      <c r="A13781" t="s">
        <v>13862</v>
      </c>
      <c r="B13781" t="s">
        <v>96</v>
      </c>
      <c r="C13781" s="2">
        <v>43725</v>
      </c>
      <c r="D13781" t="s">
        <v>29</v>
      </c>
      <c r="E13781">
        <v>210</v>
      </c>
    </row>
    <row r="13782" spans="1:5" x14ac:dyDescent="0.55000000000000004">
      <c r="A13782" t="s">
        <v>13863</v>
      </c>
      <c r="B13782" t="s">
        <v>35</v>
      </c>
      <c r="C13782" s="2">
        <v>44319</v>
      </c>
      <c r="D13782" t="s">
        <v>26</v>
      </c>
      <c r="E13782">
        <v>2062</v>
      </c>
    </row>
    <row r="13783" spans="1:5" x14ac:dyDescent="0.55000000000000004">
      <c r="A13783" t="s">
        <v>13864</v>
      </c>
      <c r="B13783" t="s">
        <v>156</v>
      </c>
      <c r="C13783" s="2">
        <v>43065</v>
      </c>
      <c r="D13783" t="s">
        <v>29</v>
      </c>
      <c r="E13783">
        <v>2134</v>
      </c>
    </row>
    <row r="13784" spans="1:5" x14ac:dyDescent="0.55000000000000004">
      <c r="A13784" t="s">
        <v>13865</v>
      </c>
      <c r="B13784" t="s">
        <v>15</v>
      </c>
      <c r="C13784" s="2">
        <v>43743</v>
      </c>
      <c r="D13784" t="s">
        <v>26</v>
      </c>
      <c r="E13784">
        <v>632</v>
      </c>
    </row>
    <row r="13785" spans="1:5" x14ac:dyDescent="0.55000000000000004">
      <c r="A13785" t="s">
        <v>13866</v>
      </c>
      <c r="B13785" t="s">
        <v>67</v>
      </c>
      <c r="C13785" s="2">
        <v>45485</v>
      </c>
      <c r="D13785" t="s">
        <v>29</v>
      </c>
      <c r="E13785">
        <v>2448</v>
      </c>
    </row>
    <row r="13786" spans="1:5" x14ac:dyDescent="0.55000000000000004">
      <c r="A13786" t="s">
        <v>13867</v>
      </c>
      <c r="B13786" t="s">
        <v>14</v>
      </c>
      <c r="C13786" s="2">
        <v>43883</v>
      </c>
      <c r="D13786" t="s">
        <v>26</v>
      </c>
      <c r="E13786">
        <v>1694</v>
      </c>
    </row>
    <row r="13787" spans="1:5" x14ac:dyDescent="0.55000000000000004">
      <c r="A13787" t="s">
        <v>13868</v>
      </c>
      <c r="B13787" t="s">
        <v>41</v>
      </c>
      <c r="C13787" s="2">
        <v>44344</v>
      </c>
      <c r="D13787" t="s">
        <v>26</v>
      </c>
      <c r="E13787">
        <v>15</v>
      </c>
    </row>
    <row r="13788" spans="1:5" x14ac:dyDescent="0.55000000000000004">
      <c r="A13788" t="s">
        <v>13869</v>
      </c>
      <c r="B13788" t="s">
        <v>111</v>
      </c>
      <c r="C13788" s="2">
        <v>44340</v>
      </c>
      <c r="D13788" t="s">
        <v>26</v>
      </c>
      <c r="E13788">
        <v>1016</v>
      </c>
    </row>
    <row r="13789" spans="1:5" x14ac:dyDescent="0.55000000000000004">
      <c r="A13789" t="s">
        <v>13870</v>
      </c>
      <c r="B13789" t="s">
        <v>23</v>
      </c>
      <c r="C13789" s="2">
        <v>44011</v>
      </c>
      <c r="D13789" t="s">
        <v>29</v>
      </c>
      <c r="E13789">
        <v>1969</v>
      </c>
    </row>
    <row r="13790" spans="1:5" x14ac:dyDescent="0.55000000000000004">
      <c r="A13790" t="s">
        <v>13871</v>
      </c>
      <c r="B13790" t="s">
        <v>99</v>
      </c>
      <c r="C13790" s="2">
        <v>43771</v>
      </c>
      <c r="D13790" t="s">
        <v>26</v>
      </c>
      <c r="E13790">
        <v>2175</v>
      </c>
    </row>
    <row r="13791" spans="1:5" x14ac:dyDescent="0.55000000000000004">
      <c r="A13791" t="s">
        <v>13872</v>
      </c>
      <c r="B13791" t="s">
        <v>67</v>
      </c>
      <c r="C13791" s="2">
        <v>44462</v>
      </c>
      <c r="D13791" t="s">
        <v>29</v>
      </c>
      <c r="E13791">
        <v>2496</v>
      </c>
    </row>
    <row r="13792" spans="1:5" x14ac:dyDescent="0.55000000000000004">
      <c r="A13792" t="s">
        <v>13873</v>
      </c>
      <c r="B13792" t="s">
        <v>35</v>
      </c>
      <c r="C13792" s="2">
        <v>44284</v>
      </c>
      <c r="D13792" t="s">
        <v>29</v>
      </c>
      <c r="E13792">
        <v>2597</v>
      </c>
    </row>
    <row r="13793" spans="1:5" x14ac:dyDescent="0.55000000000000004">
      <c r="A13793" t="s">
        <v>13874</v>
      </c>
      <c r="B13793" t="s">
        <v>23</v>
      </c>
      <c r="C13793" s="2">
        <v>44288</v>
      </c>
      <c r="D13793" t="s">
        <v>26</v>
      </c>
      <c r="E13793">
        <v>2278</v>
      </c>
    </row>
    <row r="13794" spans="1:5" x14ac:dyDescent="0.55000000000000004">
      <c r="A13794" t="s">
        <v>13875</v>
      </c>
      <c r="B13794" t="s">
        <v>94</v>
      </c>
      <c r="C13794" s="2">
        <v>44101</v>
      </c>
      <c r="D13794" t="s">
        <v>26</v>
      </c>
      <c r="E13794">
        <v>1835</v>
      </c>
    </row>
    <row r="13795" spans="1:5" x14ac:dyDescent="0.55000000000000004">
      <c r="A13795" t="s">
        <v>13876</v>
      </c>
      <c r="B13795" t="s">
        <v>35</v>
      </c>
      <c r="C13795" s="2">
        <v>44889</v>
      </c>
      <c r="D13795" t="s">
        <v>26</v>
      </c>
      <c r="E13795">
        <v>1121</v>
      </c>
    </row>
    <row r="13796" spans="1:5" x14ac:dyDescent="0.55000000000000004">
      <c r="A13796" t="s">
        <v>13877</v>
      </c>
      <c r="B13796" t="s">
        <v>140</v>
      </c>
      <c r="C13796" s="2">
        <v>44088</v>
      </c>
      <c r="D13796" t="s">
        <v>29</v>
      </c>
      <c r="E13796">
        <v>1023</v>
      </c>
    </row>
    <row r="13797" spans="1:5" x14ac:dyDescent="0.55000000000000004">
      <c r="A13797" t="s">
        <v>13878</v>
      </c>
      <c r="B13797" t="s">
        <v>23</v>
      </c>
      <c r="C13797" s="2">
        <v>44479</v>
      </c>
      <c r="D13797" t="s">
        <v>26</v>
      </c>
      <c r="E13797">
        <v>1727</v>
      </c>
    </row>
    <row r="13798" spans="1:5" x14ac:dyDescent="0.55000000000000004">
      <c r="A13798" t="s">
        <v>13879</v>
      </c>
      <c r="B13798" t="s">
        <v>23</v>
      </c>
      <c r="C13798" s="2">
        <v>44888</v>
      </c>
      <c r="D13798" t="s">
        <v>26</v>
      </c>
      <c r="E13798">
        <v>995</v>
      </c>
    </row>
    <row r="13799" spans="1:5" x14ac:dyDescent="0.55000000000000004">
      <c r="A13799" t="s">
        <v>13880</v>
      </c>
      <c r="B13799" t="s">
        <v>118</v>
      </c>
      <c r="C13799" s="2">
        <v>44180</v>
      </c>
      <c r="D13799" t="s">
        <v>26</v>
      </c>
      <c r="E13799">
        <v>1796</v>
      </c>
    </row>
    <row r="13800" spans="1:5" x14ac:dyDescent="0.55000000000000004">
      <c r="A13800" t="s">
        <v>13881</v>
      </c>
      <c r="B13800" t="s">
        <v>105</v>
      </c>
      <c r="C13800" s="2">
        <v>44212</v>
      </c>
      <c r="D13800" t="s">
        <v>29</v>
      </c>
      <c r="E13800">
        <v>2095</v>
      </c>
    </row>
    <row r="13801" spans="1:5" x14ac:dyDescent="0.55000000000000004">
      <c r="A13801" t="s">
        <v>13882</v>
      </c>
      <c r="B13801" t="s">
        <v>140</v>
      </c>
      <c r="C13801" s="2">
        <v>43120</v>
      </c>
      <c r="D13801" t="s">
        <v>26</v>
      </c>
      <c r="E13801">
        <v>1395</v>
      </c>
    </row>
    <row r="13802" spans="1:5" x14ac:dyDescent="0.55000000000000004">
      <c r="A13802" t="s">
        <v>13883</v>
      </c>
      <c r="B13802" t="s">
        <v>140</v>
      </c>
      <c r="C13802" s="2">
        <v>44554</v>
      </c>
      <c r="D13802" t="s">
        <v>26</v>
      </c>
      <c r="E13802">
        <v>946</v>
      </c>
    </row>
    <row r="13803" spans="1:5" x14ac:dyDescent="0.55000000000000004">
      <c r="A13803" t="s">
        <v>13884</v>
      </c>
      <c r="B13803" t="s">
        <v>142</v>
      </c>
      <c r="C13803" s="2">
        <v>44340</v>
      </c>
      <c r="D13803" t="s">
        <v>29</v>
      </c>
      <c r="E13803">
        <v>2041</v>
      </c>
    </row>
    <row r="13804" spans="1:5" x14ac:dyDescent="0.55000000000000004">
      <c r="A13804" t="s">
        <v>13885</v>
      </c>
      <c r="B13804" t="s">
        <v>99</v>
      </c>
      <c r="C13804" s="2">
        <v>43586</v>
      </c>
      <c r="D13804" t="s">
        <v>26</v>
      </c>
      <c r="E13804">
        <v>2781</v>
      </c>
    </row>
    <row r="13805" spans="1:5" x14ac:dyDescent="0.55000000000000004">
      <c r="A13805" t="s">
        <v>13886</v>
      </c>
      <c r="B13805" t="s">
        <v>23</v>
      </c>
      <c r="C13805" s="2">
        <v>44403</v>
      </c>
      <c r="D13805" t="s">
        <v>29</v>
      </c>
      <c r="E13805">
        <v>2012</v>
      </c>
    </row>
    <row r="13806" spans="1:5" x14ac:dyDescent="0.55000000000000004">
      <c r="A13806" t="s">
        <v>13887</v>
      </c>
      <c r="B13806" t="s">
        <v>142</v>
      </c>
      <c r="C13806" s="2">
        <v>43090</v>
      </c>
      <c r="D13806" t="s">
        <v>29</v>
      </c>
      <c r="E13806">
        <v>2882</v>
      </c>
    </row>
    <row r="13807" spans="1:5" x14ac:dyDescent="0.55000000000000004">
      <c r="A13807" t="s">
        <v>13888</v>
      </c>
      <c r="B13807" t="s">
        <v>74</v>
      </c>
      <c r="C13807" s="2">
        <v>43225</v>
      </c>
      <c r="D13807" t="s">
        <v>26</v>
      </c>
      <c r="E13807">
        <v>1045</v>
      </c>
    </row>
    <row r="13808" spans="1:5" x14ac:dyDescent="0.55000000000000004">
      <c r="A13808" t="s">
        <v>13889</v>
      </c>
      <c r="B13808" t="s">
        <v>156</v>
      </c>
      <c r="C13808" s="2">
        <v>43813</v>
      </c>
      <c r="D13808" t="s">
        <v>26</v>
      </c>
      <c r="E13808">
        <v>649</v>
      </c>
    </row>
    <row r="13809" spans="1:5" x14ac:dyDescent="0.55000000000000004">
      <c r="A13809" t="s">
        <v>13890</v>
      </c>
      <c r="B13809" t="s">
        <v>142</v>
      </c>
      <c r="C13809" s="2">
        <v>44067</v>
      </c>
      <c r="D13809" t="s">
        <v>26</v>
      </c>
      <c r="E13809">
        <v>1719</v>
      </c>
    </row>
    <row r="13810" spans="1:5" x14ac:dyDescent="0.55000000000000004">
      <c r="A13810" t="s">
        <v>13891</v>
      </c>
      <c r="B13810" t="s">
        <v>72</v>
      </c>
      <c r="C13810" s="2">
        <v>43500</v>
      </c>
      <c r="D13810" t="s">
        <v>29</v>
      </c>
      <c r="E13810">
        <v>1259</v>
      </c>
    </row>
    <row r="13811" spans="1:5" x14ac:dyDescent="0.55000000000000004">
      <c r="A13811" t="s">
        <v>13892</v>
      </c>
      <c r="B13811" t="s">
        <v>67</v>
      </c>
      <c r="C13811" s="2">
        <v>44816</v>
      </c>
      <c r="D13811" t="s">
        <v>29</v>
      </c>
      <c r="E13811">
        <v>761</v>
      </c>
    </row>
    <row r="13812" spans="1:5" x14ac:dyDescent="0.55000000000000004">
      <c r="A13812" t="s">
        <v>13893</v>
      </c>
      <c r="B13812" t="s">
        <v>151</v>
      </c>
      <c r="C13812" s="2">
        <v>43835</v>
      </c>
      <c r="D13812" t="s">
        <v>29</v>
      </c>
      <c r="E13812">
        <v>2877</v>
      </c>
    </row>
    <row r="13813" spans="1:5" x14ac:dyDescent="0.55000000000000004">
      <c r="A13813" t="s">
        <v>13894</v>
      </c>
      <c r="B13813" t="s">
        <v>74</v>
      </c>
      <c r="C13813" s="2">
        <v>43899</v>
      </c>
      <c r="D13813" t="s">
        <v>26</v>
      </c>
      <c r="E13813">
        <v>532</v>
      </c>
    </row>
    <row r="13814" spans="1:5" x14ac:dyDescent="0.55000000000000004">
      <c r="A13814" t="s">
        <v>13895</v>
      </c>
      <c r="B13814" t="s">
        <v>137</v>
      </c>
      <c r="C13814" s="2">
        <v>45317</v>
      </c>
      <c r="D13814" t="s">
        <v>29</v>
      </c>
      <c r="E13814">
        <v>1668</v>
      </c>
    </row>
    <row r="13815" spans="1:5" x14ac:dyDescent="0.55000000000000004">
      <c r="A13815" t="s">
        <v>13896</v>
      </c>
      <c r="B13815" t="s">
        <v>14</v>
      </c>
      <c r="C13815" s="2">
        <v>44357</v>
      </c>
      <c r="D13815" t="s">
        <v>29</v>
      </c>
      <c r="E13815">
        <v>771</v>
      </c>
    </row>
    <row r="13816" spans="1:5" x14ac:dyDescent="0.55000000000000004">
      <c r="A13816" t="s">
        <v>13897</v>
      </c>
      <c r="B13816" t="s">
        <v>32</v>
      </c>
      <c r="C13816" s="2">
        <v>44510</v>
      </c>
      <c r="D13816" t="s">
        <v>26</v>
      </c>
      <c r="E13816">
        <v>2891</v>
      </c>
    </row>
    <row r="13817" spans="1:5" x14ac:dyDescent="0.55000000000000004">
      <c r="A13817" t="s">
        <v>13898</v>
      </c>
      <c r="B13817" t="s">
        <v>63</v>
      </c>
      <c r="C13817" s="2">
        <v>43751</v>
      </c>
      <c r="D13817" t="s">
        <v>26</v>
      </c>
      <c r="E13817">
        <v>1747</v>
      </c>
    </row>
    <row r="13818" spans="1:5" x14ac:dyDescent="0.55000000000000004">
      <c r="A13818" t="s">
        <v>13899</v>
      </c>
      <c r="B13818" t="s">
        <v>86</v>
      </c>
      <c r="C13818" s="2">
        <v>44499</v>
      </c>
      <c r="D13818" t="s">
        <v>29</v>
      </c>
      <c r="E13818">
        <v>1195</v>
      </c>
    </row>
    <row r="13819" spans="1:5" x14ac:dyDescent="0.55000000000000004">
      <c r="A13819" t="s">
        <v>13900</v>
      </c>
      <c r="B13819" t="s">
        <v>74</v>
      </c>
      <c r="C13819" s="2">
        <v>44346</v>
      </c>
      <c r="D13819" t="s">
        <v>29</v>
      </c>
      <c r="E13819">
        <v>2431</v>
      </c>
    </row>
    <row r="13820" spans="1:5" x14ac:dyDescent="0.55000000000000004">
      <c r="A13820" t="s">
        <v>13901</v>
      </c>
      <c r="B13820" t="s">
        <v>99</v>
      </c>
      <c r="C13820" s="2">
        <v>44494</v>
      </c>
      <c r="D13820" t="s">
        <v>26</v>
      </c>
      <c r="E13820">
        <v>1700</v>
      </c>
    </row>
    <row r="13821" spans="1:5" x14ac:dyDescent="0.55000000000000004">
      <c r="A13821" t="s">
        <v>13902</v>
      </c>
      <c r="B13821" t="s">
        <v>101</v>
      </c>
      <c r="C13821" s="2">
        <v>44367</v>
      </c>
      <c r="D13821" t="s">
        <v>26</v>
      </c>
      <c r="E13821">
        <v>2766</v>
      </c>
    </row>
    <row r="13822" spans="1:5" x14ac:dyDescent="0.55000000000000004">
      <c r="A13822" t="s">
        <v>13903</v>
      </c>
      <c r="B13822" t="s">
        <v>63</v>
      </c>
      <c r="C13822" s="2">
        <v>43891</v>
      </c>
      <c r="D13822" t="s">
        <v>29</v>
      </c>
      <c r="E13822">
        <v>1705</v>
      </c>
    </row>
    <row r="13823" spans="1:5" x14ac:dyDescent="0.55000000000000004">
      <c r="A13823" t="s">
        <v>13904</v>
      </c>
      <c r="B13823" t="s">
        <v>118</v>
      </c>
      <c r="C13823" s="2">
        <v>43816</v>
      </c>
      <c r="D13823" t="s">
        <v>29</v>
      </c>
      <c r="E13823">
        <v>1448</v>
      </c>
    </row>
    <row r="13824" spans="1:5" x14ac:dyDescent="0.55000000000000004">
      <c r="A13824" t="s">
        <v>13905</v>
      </c>
      <c r="B13824" t="s">
        <v>63</v>
      </c>
      <c r="C13824" s="2">
        <v>43618</v>
      </c>
      <c r="D13824" t="s">
        <v>29</v>
      </c>
      <c r="E13824">
        <v>1855</v>
      </c>
    </row>
    <row r="13825" spans="1:5" x14ac:dyDescent="0.55000000000000004">
      <c r="A13825" t="s">
        <v>13906</v>
      </c>
      <c r="B13825" t="s">
        <v>96</v>
      </c>
      <c r="C13825" s="2">
        <v>45497</v>
      </c>
      <c r="D13825" t="s">
        <v>29</v>
      </c>
      <c r="E13825">
        <v>2305</v>
      </c>
    </row>
    <row r="13826" spans="1:5" x14ac:dyDescent="0.55000000000000004">
      <c r="A13826" t="s">
        <v>13907</v>
      </c>
      <c r="B13826" t="s">
        <v>72</v>
      </c>
      <c r="C13826" s="2">
        <v>44326</v>
      </c>
      <c r="D13826" t="s">
        <v>29</v>
      </c>
      <c r="E13826">
        <v>1389</v>
      </c>
    </row>
    <row r="13827" spans="1:5" x14ac:dyDescent="0.55000000000000004">
      <c r="A13827" t="s">
        <v>13908</v>
      </c>
      <c r="B13827" t="s">
        <v>67</v>
      </c>
      <c r="C13827" s="2">
        <v>44423</v>
      </c>
      <c r="D13827" t="s">
        <v>29</v>
      </c>
      <c r="E13827">
        <v>301</v>
      </c>
    </row>
    <row r="13828" spans="1:5" x14ac:dyDescent="0.55000000000000004">
      <c r="A13828" t="s">
        <v>13909</v>
      </c>
      <c r="B13828" t="s">
        <v>99</v>
      </c>
      <c r="C13828" s="2">
        <v>45567</v>
      </c>
      <c r="D13828" t="s">
        <v>26</v>
      </c>
      <c r="E13828">
        <v>1801</v>
      </c>
    </row>
    <row r="13829" spans="1:5" x14ac:dyDescent="0.55000000000000004">
      <c r="A13829" t="s">
        <v>13910</v>
      </c>
      <c r="B13829" t="s">
        <v>156</v>
      </c>
      <c r="C13829" s="2">
        <v>43556</v>
      </c>
      <c r="D13829" t="s">
        <v>26</v>
      </c>
      <c r="E13829">
        <v>778</v>
      </c>
    </row>
    <row r="13830" spans="1:5" x14ac:dyDescent="0.55000000000000004">
      <c r="A13830" t="s">
        <v>13911</v>
      </c>
      <c r="B13830" t="s">
        <v>118</v>
      </c>
      <c r="C13830" s="2">
        <v>45011</v>
      </c>
      <c r="D13830" t="s">
        <v>26</v>
      </c>
      <c r="E13830">
        <v>1155</v>
      </c>
    </row>
    <row r="13831" spans="1:5" x14ac:dyDescent="0.55000000000000004">
      <c r="A13831" t="s">
        <v>13912</v>
      </c>
      <c r="B13831" t="s">
        <v>72</v>
      </c>
      <c r="C13831" s="2">
        <v>43467</v>
      </c>
      <c r="D13831" t="s">
        <v>29</v>
      </c>
      <c r="E13831">
        <v>1328</v>
      </c>
    </row>
    <row r="13832" spans="1:5" x14ac:dyDescent="0.55000000000000004">
      <c r="A13832" t="s">
        <v>13913</v>
      </c>
      <c r="B13832" t="s">
        <v>14</v>
      </c>
      <c r="C13832" s="2">
        <v>43290</v>
      </c>
      <c r="D13832" t="s">
        <v>29</v>
      </c>
      <c r="E13832">
        <v>1597</v>
      </c>
    </row>
    <row r="13833" spans="1:5" x14ac:dyDescent="0.55000000000000004">
      <c r="A13833" t="s">
        <v>13914</v>
      </c>
      <c r="B13833" t="s">
        <v>96</v>
      </c>
      <c r="C13833" s="2">
        <v>43720</v>
      </c>
      <c r="D13833" t="s">
        <v>26</v>
      </c>
      <c r="E13833">
        <v>493</v>
      </c>
    </row>
    <row r="13834" spans="1:5" x14ac:dyDescent="0.55000000000000004">
      <c r="A13834" t="s">
        <v>13915</v>
      </c>
      <c r="B13834" t="s">
        <v>96</v>
      </c>
      <c r="C13834" s="2">
        <v>45583</v>
      </c>
      <c r="D13834" t="s">
        <v>26</v>
      </c>
      <c r="E13834">
        <v>2530</v>
      </c>
    </row>
    <row r="13835" spans="1:5" x14ac:dyDescent="0.55000000000000004">
      <c r="A13835" t="s">
        <v>13916</v>
      </c>
      <c r="B13835" t="s">
        <v>111</v>
      </c>
      <c r="C13835" s="2">
        <v>44533</v>
      </c>
      <c r="D13835" t="s">
        <v>26</v>
      </c>
      <c r="E13835">
        <v>1630</v>
      </c>
    </row>
    <row r="13836" spans="1:5" x14ac:dyDescent="0.55000000000000004">
      <c r="A13836" t="s">
        <v>13917</v>
      </c>
      <c r="B13836" t="s">
        <v>118</v>
      </c>
      <c r="C13836" s="2">
        <v>43910</v>
      </c>
      <c r="D13836" t="s">
        <v>26</v>
      </c>
      <c r="E13836">
        <v>959</v>
      </c>
    </row>
    <row r="13837" spans="1:5" x14ac:dyDescent="0.55000000000000004">
      <c r="A13837" t="s">
        <v>13918</v>
      </c>
      <c r="B13837" t="s">
        <v>15</v>
      </c>
      <c r="C13837" s="2">
        <v>44393</v>
      </c>
      <c r="D13837" t="s">
        <v>29</v>
      </c>
      <c r="E13837">
        <v>853</v>
      </c>
    </row>
    <row r="13838" spans="1:5" x14ac:dyDescent="0.55000000000000004">
      <c r="A13838" t="s">
        <v>13919</v>
      </c>
      <c r="B13838" t="s">
        <v>118</v>
      </c>
      <c r="C13838" s="2">
        <v>44128</v>
      </c>
      <c r="D13838" t="s">
        <v>29</v>
      </c>
      <c r="E13838">
        <v>10</v>
      </c>
    </row>
    <row r="13839" spans="1:5" x14ac:dyDescent="0.55000000000000004">
      <c r="A13839" t="s">
        <v>13920</v>
      </c>
      <c r="B13839" t="s">
        <v>63</v>
      </c>
      <c r="C13839" s="2">
        <v>44539</v>
      </c>
      <c r="D13839" t="s">
        <v>26</v>
      </c>
      <c r="E13839">
        <v>1245</v>
      </c>
    </row>
    <row r="13840" spans="1:5" x14ac:dyDescent="0.55000000000000004">
      <c r="A13840" t="s">
        <v>13921</v>
      </c>
      <c r="B13840" t="s">
        <v>151</v>
      </c>
      <c r="C13840" s="2">
        <v>43922</v>
      </c>
      <c r="D13840" t="s">
        <v>29</v>
      </c>
      <c r="E13840">
        <v>368</v>
      </c>
    </row>
    <row r="13841" spans="1:5" x14ac:dyDescent="0.55000000000000004">
      <c r="A13841" t="s">
        <v>13922</v>
      </c>
      <c r="B13841" t="s">
        <v>35</v>
      </c>
      <c r="C13841" s="2">
        <v>44152</v>
      </c>
      <c r="D13841" t="s">
        <v>29</v>
      </c>
      <c r="E13841">
        <v>2502</v>
      </c>
    </row>
    <row r="13842" spans="1:5" x14ac:dyDescent="0.55000000000000004">
      <c r="A13842" t="s">
        <v>13923</v>
      </c>
      <c r="B13842" t="s">
        <v>94</v>
      </c>
      <c r="C13842" s="2">
        <v>45714</v>
      </c>
      <c r="D13842" t="s">
        <v>26</v>
      </c>
      <c r="E13842">
        <v>2099</v>
      </c>
    </row>
    <row r="13843" spans="1:5" x14ac:dyDescent="0.55000000000000004">
      <c r="A13843" t="s">
        <v>13924</v>
      </c>
      <c r="B13843" t="s">
        <v>78</v>
      </c>
      <c r="C13843" s="2">
        <v>45003</v>
      </c>
      <c r="D13843" t="s">
        <v>29</v>
      </c>
      <c r="E13843">
        <v>1306</v>
      </c>
    </row>
    <row r="13844" spans="1:5" x14ac:dyDescent="0.55000000000000004">
      <c r="A13844" t="s">
        <v>13925</v>
      </c>
      <c r="B13844" t="s">
        <v>76</v>
      </c>
      <c r="C13844" s="2">
        <v>43958</v>
      </c>
      <c r="D13844" t="s">
        <v>26</v>
      </c>
      <c r="E13844">
        <v>2146</v>
      </c>
    </row>
    <row r="13845" spans="1:5" x14ac:dyDescent="0.55000000000000004">
      <c r="A13845" t="s">
        <v>13926</v>
      </c>
      <c r="B13845" t="s">
        <v>140</v>
      </c>
      <c r="C13845" s="2">
        <v>44507</v>
      </c>
      <c r="D13845" t="s">
        <v>26</v>
      </c>
      <c r="E13845">
        <v>2517</v>
      </c>
    </row>
    <row r="13846" spans="1:5" x14ac:dyDescent="0.55000000000000004">
      <c r="A13846" t="s">
        <v>13927</v>
      </c>
      <c r="B13846" t="s">
        <v>175</v>
      </c>
      <c r="C13846" s="2">
        <v>45360</v>
      </c>
      <c r="D13846" t="s">
        <v>26</v>
      </c>
      <c r="E13846">
        <v>2031</v>
      </c>
    </row>
    <row r="13847" spans="1:5" x14ac:dyDescent="0.55000000000000004">
      <c r="A13847" t="s">
        <v>13928</v>
      </c>
      <c r="B13847" t="s">
        <v>76</v>
      </c>
      <c r="C13847" s="2">
        <v>45523</v>
      </c>
      <c r="D13847" t="s">
        <v>26</v>
      </c>
      <c r="E13847">
        <v>2558</v>
      </c>
    </row>
    <row r="13848" spans="1:5" x14ac:dyDescent="0.55000000000000004">
      <c r="A13848" t="s">
        <v>13929</v>
      </c>
      <c r="B13848" t="s">
        <v>137</v>
      </c>
      <c r="C13848" s="2">
        <v>44312</v>
      </c>
      <c r="D13848" t="s">
        <v>26</v>
      </c>
      <c r="E13848">
        <v>962</v>
      </c>
    </row>
    <row r="13849" spans="1:5" x14ac:dyDescent="0.55000000000000004">
      <c r="A13849" t="s">
        <v>13930</v>
      </c>
      <c r="B13849" t="s">
        <v>72</v>
      </c>
      <c r="C13849" s="2">
        <v>44191</v>
      </c>
      <c r="D13849" t="s">
        <v>29</v>
      </c>
      <c r="E13849">
        <v>132</v>
      </c>
    </row>
    <row r="13850" spans="1:5" x14ac:dyDescent="0.55000000000000004">
      <c r="A13850" t="s">
        <v>13931</v>
      </c>
      <c r="B13850" t="s">
        <v>105</v>
      </c>
      <c r="C13850" s="2">
        <v>44301</v>
      </c>
      <c r="D13850" t="s">
        <v>29</v>
      </c>
      <c r="E13850">
        <v>1503</v>
      </c>
    </row>
    <row r="13851" spans="1:5" x14ac:dyDescent="0.55000000000000004">
      <c r="A13851" t="s">
        <v>13932</v>
      </c>
      <c r="B13851" t="s">
        <v>23</v>
      </c>
      <c r="C13851" s="2">
        <v>44426</v>
      </c>
      <c r="D13851" t="s">
        <v>26</v>
      </c>
      <c r="E13851">
        <v>1470</v>
      </c>
    </row>
    <row r="13852" spans="1:5" x14ac:dyDescent="0.55000000000000004">
      <c r="A13852" t="s">
        <v>13933</v>
      </c>
      <c r="B13852" t="s">
        <v>94</v>
      </c>
      <c r="C13852" s="2">
        <v>43641</v>
      </c>
      <c r="D13852" t="s">
        <v>26</v>
      </c>
      <c r="E13852">
        <v>1652</v>
      </c>
    </row>
    <row r="13853" spans="1:5" x14ac:dyDescent="0.55000000000000004">
      <c r="A13853" t="s">
        <v>13934</v>
      </c>
      <c r="B13853" t="s">
        <v>86</v>
      </c>
      <c r="C13853" s="2">
        <v>43835</v>
      </c>
      <c r="D13853" t="s">
        <v>29</v>
      </c>
      <c r="E13853">
        <v>1494</v>
      </c>
    </row>
    <row r="13854" spans="1:5" x14ac:dyDescent="0.55000000000000004">
      <c r="A13854" t="s">
        <v>13935</v>
      </c>
      <c r="B13854" t="s">
        <v>111</v>
      </c>
      <c r="C13854" s="2">
        <v>43889</v>
      </c>
      <c r="D13854" t="s">
        <v>29</v>
      </c>
      <c r="E13854">
        <v>2135</v>
      </c>
    </row>
    <row r="13855" spans="1:5" x14ac:dyDescent="0.55000000000000004">
      <c r="A13855" t="s">
        <v>13936</v>
      </c>
      <c r="B13855" t="s">
        <v>101</v>
      </c>
      <c r="C13855" s="2">
        <v>43351</v>
      </c>
      <c r="D13855" t="s">
        <v>26</v>
      </c>
      <c r="E13855">
        <v>2274</v>
      </c>
    </row>
    <row r="13856" spans="1:5" x14ac:dyDescent="0.55000000000000004">
      <c r="A13856" t="s">
        <v>13937</v>
      </c>
      <c r="B13856" t="s">
        <v>74</v>
      </c>
      <c r="C13856" s="2">
        <v>42939</v>
      </c>
      <c r="D13856" t="s">
        <v>29</v>
      </c>
      <c r="E13856">
        <v>2742</v>
      </c>
    </row>
    <row r="13857" spans="1:5" x14ac:dyDescent="0.55000000000000004">
      <c r="A13857" t="s">
        <v>13938</v>
      </c>
      <c r="B13857" t="s">
        <v>78</v>
      </c>
      <c r="C13857" s="2">
        <v>43479</v>
      </c>
      <c r="D13857" t="s">
        <v>29</v>
      </c>
      <c r="E13857">
        <v>1615</v>
      </c>
    </row>
    <row r="13858" spans="1:5" x14ac:dyDescent="0.55000000000000004">
      <c r="A13858" t="s">
        <v>13939</v>
      </c>
      <c r="B13858" t="s">
        <v>142</v>
      </c>
      <c r="C13858" s="2">
        <v>43607</v>
      </c>
      <c r="D13858" t="s">
        <v>29</v>
      </c>
      <c r="E13858">
        <v>1961</v>
      </c>
    </row>
    <row r="13859" spans="1:5" x14ac:dyDescent="0.55000000000000004">
      <c r="A13859" t="s">
        <v>13940</v>
      </c>
      <c r="B13859" t="s">
        <v>151</v>
      </c>
      <c r="C13859" s="2">
        <v>43988</v>
      </c>
      <c r="D13859" t="s">
        <v>29</v>
      </c>
      <c r="E13859">
        <v>474</v>
      </c>
    </row>
    <row r="13860" spans="1:5" x14ac:dyDescent="0.55000000000000004">
      <c r="A13860" t="s">
        <v>13941</v>
      </c>
      <c r="B13860" t="s">
        <v>142</v>
      </c>
      <c r="C13860" s="2">
        <v>44088</v>
      </c>
      <c r="D13860" t="s">
        <v>29</v>
      </c>
      <c r="E13860">
        <v>27</v>
      </c>
    </row>
    <row r="13861" spans="1:5" x14ac:dyDescent="0.55000000000000004">
      <c r="A13861" t="s">
        <v>13942</v>
      </c>
      <c r="B13861" t="s">
        <v>118</v>
      </c>
      <c r="C13861" s="2">
        <v>43583</v>
      </c>
      <c r="D13861" t="s">
        <v>29</v>
      </c>
      <c r="E13861">
        <v>1554</v>
      </c>
    </row>
    <row r="13862" spans="1:5" x14ac:dyDescent="0.55000000000000004">
      <c r="A13862" t="s">
        <v>13943</v>
      </c>
      <c r="B13862" t="s">
        <v>175</v>
      </c>
      <c r="C13862" s="2">
        <v>43942</v>
      </c>
      <c r="D13862" t="s">
        <v>29</v>
      </c>
      <c r="E13862">
        <v>2760</v>
      </c>
    </row>
    <row r="13863" spans="1:5" x14ac:dyDescent="0.55000000000000004">
      <c r="A13863" t="s">
        <v>13944</v>
      </c>
      <c r="B13863" t="s">
        <v>76</v>
      </c>
      <c r="C13863" s="2">
        <v>43739</v>
      </c>
      <c r="D13863" t="s">
        <v>29</v>
      </c>
      <c r="E13863">
        <v>793</v>
      </c>
    </row>
    <row r="13864" spans="1:5" x14ac:dyDescent="0.55000000000000004">
      <c r="A13864" t="s">
        <v>13945</v>
      </c>
      <c r="B13864" t="s">
        <v>74</v>
      </c>
      <c r="C13864" s="2">
        <v>43819</v>
      </c>
      <c r="D13864" t="s">
        <v>29</v>
      </c>
      <c r="E13864">
        <v>1662</v>
      </c>
    </row>
    <row r="13865" spans="1:5" x14ac:dyDescent="0.55000000000000004">
      <c r="A13865" t="s">
        <v>13946</v>
      </c>
      <c r="B13865" t="s">
        <v>14</v>
      </c>
      <c r="C13865" s="2">
        <v>44336</v>
      </c>
      <c r="D13865" t="s">
        <v>26</v>
      </c>
      <c r="E13865">
        <v>1201</v>
      </c>
    </row>
    <row r="13866" spans="1:5" x14ac:dyDescent="0.55000000000000004">
      <c r="A13866" t="s">
        <v>13947</v>
      </c>
      <c r="B13866" t="s">
        <v>156</v>
      </c>
      <c r="C13866" s="2">
        <v>44337</v>
      </c>
      <c r="D13866" t="s">
        <v>29</v>
      </c>
      <c r="E13866">
        <v>1542</v>
      </c>
    </row>
    <row r="13867" spans="1:5" x14ac:dyDescent="0.55000000000000004">
      <c r="A13867" t="s">
        <v>13948</v>
      </c>
      <c r="B13867" t="s">
        <v>32</v>
      </c>
      <c r="C13867" s="2">
        <v>44779</v>
      </c>
      <c r="D13867" t="s">
        <v>26</v>
      </c>
      <c r="E13867">
        <v>2090</v>
      </c>
    </row>
    <row r="13868" spans="1:5" x14ac:dyDescent="0.55000000000000004">
      <c r="A13868" t="s">
        <v>13949</v>
      </c>
      <c r="B13868" t="s">
        <v>74</v>
      </c>
      <c r="C13868" s="2">
        <v>43517</v>
      </c>
      <c r="D13868" t="s">
        <v>26</v>
      </c>
      <c r="E13868">
        <v>942</v>
      </c>
    </row>
    <row r="13869" spans="1:5" x14ac:dyDescent="0.55000000000000004">
      <c r="A13869" t="s">
        <v>13950</v>
      </c>
      <c r="B13869" t="s">
        <v>118</v>
      </c>
      <c r="C13869" s="2">
        <v>45051</v>
      </c>
      <c r="D13869" t="s">
        <v>29</v>
      </c>
      <c r="E13869">
        <v>1344</v>
      </c>
    </row>
    <row r="13870" spans="1:5" x14ac:dyDescent="0.55000000000000004">
      <c r="A13870" t="s">
        <v>13951</v>
      </c>
      <c r="B13870" t="s">
        <v>15</v>
      </c>
      <c r="C13870" s="2">
        <v>43597</v>
      </c>
      <c r="D13870" t="s">
        <v>29</v>
      </c>
      <c r="E13870">
        <v>1076</v>
      </c>
    </row>
    <row r="13871" spans="1:5" x14ac:dyDescent="0.55000000000000004">
      <c r="A13871" t="s">
        <v>13952</v>
      </c>
      <c r="B13871" t="s">
        <v>101</v>
      </c>
      <c r="C13871" s="2">
        <v>44525</v>
      </c>
      <c r="D13871" t="s">
        <v>26</v>
      </c>
      <c r="E13871">
        <v>1574</v>
      </c>
    </row>
    <row r="13872" spans="1:5" x14ac:dyDescent="0.55000000000000004">
      <c r="A13872" t="s">
        <v>13953</v>
      </c>
      <c r="B13872" t="s">
        <v>99</v>
      </c>
      <c r="C13872" s="2">
        <v>44246</v>
      </c>
      <c r="D13872" t="s">
        <v>29</v>
      </c>
      <c r="E13872">
        <v>739</v>
      </c>
    </row>
    <row r="13873" spans="1:5" x14ac:dyDescent="0.55000000000000004">
      <c r="A13873" t="s">
        <v>13954</v>
      </c>
      <c r="B13873" t="s">
        <v>140</v>
      </c>
      <c r="C13873" s="2">
        <v>42960</v>
      </c>
      <c r="D13873" t="s">
        <v>29</v>
      </c>
      <c r="E13873">
        <v>796</v>
      </c>
    </row>
    <row r="13874" spans="1:5" x14ac:dyDescent="0.55000000000000004">
      <c r="A13874" t="s">
        <v>13955</v>
      </c>
      <c r="B13874" t="s">
        <v>63</v>
      </c>
      <c r="C13874" s="2">
        <v>43991</v>
      </c>
      <c r="D13874" t="s">
        <v>26</v>
      </c>
      <c r="E13874">
        <v>2579</v>
      </c>
    </row>
    <row r="13875" spans="1:5" x14ac:dyDescent="0.55000000000000004">
      <c r="A13875" t="s">
        <v>13956</v>
      </c>
      <c r="B13875" t="s">
        <v>156</v>
      </c>
      <c r="C13875" s="2">
        <v>44162</v>
      </c>
      <c r="D13875" t="s">
        <v>29</v>
      </c>
      <c r="E13875">
        <v>2410</v>
      </c>
    </row>
    <row r="13876" spans="1:5" x14ac:dyDescent="0.55000000000000004">
      <c r="A13876" t="s">
        <v>13957</v>
      </c>
      <c r="B13876" t="s">
        <v>101</v>
      </c>
      <c r="C13876" s="2">
        <v>43689</v>
      </c>
      <c r="D13876" t="s">
        <v>26</v>
      </c>
      <c r="E13876">
        <v>2239</v>
      </c>
    </row>
    <row r="13877" spans="1:5" x14ac:dyDescent="0.55000000000000004">
      <c r="A13877" t="s">
        <v>13958</v>
      </c>
      <c r="B13877" t="s">
        <v>41</v>
      </c>
      <c r="C13877" s="2">
        <v>44067</v>
      </c>
      <c r="D13877" t="s">
        <v>29</v>
      </c>
      <c r="E13877">
        <v>1311</v>
      </c>
    </row>
    <row r="13878" spans="1:5" x14ac:dyDescent="0.55000000000000004">
      <c r="A13878" t="s">
        <v>13959</v>
      </c>
      <c r="B13878" t="s">
        <v>67</v>
      </c>
      <c r="C13878" s="2">
        <v>45743</v>
      </c>
      <c r="D13878" t="s">
        <v>26</v>
      </c>
      <c r="E13878">
        <v>1181</v>
      </c>
    </row>
    <row r="13879" spans="1:5" x14ac:dyDescent="0.55000000000000004">
      <c r="A13879" t="s">
        <v>13960</v>
      </c>
      <c r="B13879" t="s">
        <v>115</v>
      </c>
      <c r="C13879" s="2">
        <v>43509</v>
      </c>
      <c r="D13879" t="s">
        <v>26</v>
      </c>
      <c r="E13879">
        <v>790</v>
      </c>
    </row>
    <row r="13880" spans="1:5" x14ac:dyDescent="0.55000000000000004">
      <c r="A13880" t="s">
        <v>13961</v>
      </c>
      <c r="B13880" t="s">
        <v>140</v>
      </c>
      <c r="C13880" s="2">
        <v>43373</v>
      </c>
      <c r="D13880" t="s">
        <v>29</v>
      </c>
      <c r="E13880">
        <v>2156</v>
      </c>
    </row>
    <row r="13881" spans="1:5" x14ac:dyDescent="0.55000000000000004">
      <c r="A13881" t="s">
        <v>13962</v>
      </c>
      <c r="B13881" t="s">
        <v>15</v>
      </c>
      <c r="C13881" s="2">
        <v>43449</v>
      </c>
      <c r="D13881" t="s">
        <v>29</v>
      </c>
      <c r="E13881">
        <v>431</v>
      </c>
    </row>
    <row r="13882" spans="1:5" x14ac:dyDescent="0.55000000000000004">
      <c r="A13882" t="s">
        <v>13963</v>
      </c>
      <c r="B13882" t="s">
        <v>72</v>
      </c>
      <c r="C13882" s="2">
        <v>44559</v>
      </c>
      <c r="D13882" t="s">
        <v>29</v>
      </c>
      <c r="E13882">
        <v>495</v>
      </c>
    </row>
    <row r="13883" spans="1:5" x14ac:dyDescent="0.55000000000000004">
      <c r="A13883" t="s">
        <v>13964</v>
      </c>
      <c r="B13883" t="s">
        <v>23</v>
      </c>
      <c r="C13883" s="2">
        <v>44324</v>
      </c>
      <c r="D13883" t="s">
        <v>29</v>
      </c>
      <c r="E13883">
        <v>2508</v>
      </c>
    </row>
    <row r="13884" spans="1:5" x14ac:dyDescent="0.55000000000000004">
      <c r="A13884" t="s">
        <v>13965</v>
      </c>
      <c r="B13884" t="s">
        <v>142</v>
      </c>
      <c r="C13884" s="2">
        <v>43254</v>
      </c>
      <c r="D13884" t="s">
        <v>26</v>
      </c>
      <c r="E13884">
        <v>2682</v>
      </c>
    </row>
    <row r="13885" spans="1:5" x14ac:dyDescent="0.55000000000000004">
      <c r="A13885" t="s">
        <v>13966</v>
      </c>
      <c r="B13885" t="s">
        <v>78</v>
      </c>
      <c r="C13885" s="2">
        <v>44319</v>
      </c>
      <c r="D13885" t="s">
        <v>26</v>
      </c>
      <c r="E13885">
        <v>2460</v>
      </c>
    </row>
    <row r="13886" spans="1:5" x14ac:dyDescent="0.55000000000000004">
      <c r="A13886" t="s">
        <v>13967</v>
      </c>
      <c r="B13886" t="s">
        <v>35</v>
      </c>
      <c r="C13886" s="2">
        <v>44427</v>
      </c>
      <c r="D13886" t="s">
        <v>29</v>
      </c>
      <c r="E13886">
        <v>882</v>
      </c>
    </row>
    <row r="13887" spans="1:5" x14ac:dyDescent="0.55000000000000004">
      <c r="A13887" t="s">
        <v>13968</v>
      </c>
      <c r="B13887" t="s">
        <v>74</v>
      </c>
      <c r="C13887" s="2">
        <v>44322</v>
      </c>
      <c r="D13887" t="s">
        <v>26</v>
      </c>
      <c r="E13887">
        <v>347</v>
      </c>
    </row>
    <row r="13888" spans="1:5" x14ac:dyDescent="0.55000000000000004">
      <c r="A13888" t="s">
        <v>13969</v>
      </c>
      <c r="B13888" t="s">
        <v>137</v>
      </c>
      <c r="C13888" s="2">
        <v>44274</v>
      </c>
      <c r="D13888" t="s">
        <v>29</v>
      </c>
      <c r="E13888">
        <v>2920</v>
      </c>
    </row>
    <row r="13889" spans="1:5" x14ac:dyDescent="0.55000000000000004">
      <c r="A13889" t="s">
        <v>13970</v>
      </c>
      <c r="B13889" t="s">
        <v>111</v>
      </c>
      <c r="C13889" s="2">
        <v>43593</v>
      </c>
      <c r="D13889" t="s">
        <v>29</v>
      </c>
      <c r="E13889">
        <v>2484</v>
      </c>
    </row>
    <row r="13890" spans="1:5" x14ac:dyDescent="0.55000000000000004">
      <c r="A13890" t="s">
        <v>13971</v>
      </c>
      <c r="B13890" t="s">
        <v>32</v>
      </c>
      <c r="C13890" s="2">
        <v>43893</v>
      </c>
      <c r="D13890" t="s">
        <v>26</v>
      </c>
      <c r="E13890">
        <v>1947</v>
      </c>
    </row>
    <row r="13891" spans="1:5" x14ac:dyDescent="0.55000000000000004">
      <c r="A13891" t="s">
        <v>13972</v>
      </c>
      <c r="B13891" t="s">
        <v>105</v>
      </c>
      <c r="C13891" s="2">
        <v>43618</v>
      </c>
      <c r="D13891" t="s">
        <v>29</v>
      </c>
      <c r="E13891">
        <v>1586</v>
      </c>
    </row>
    <row r="13892" spans="1:5" x14ac:dyDescent="0.55000000000000004">
      <c r="A13892" t="s">
        <v>13973</v>
      </c>
      <c r="B13892" t="s">
        <v>137</v>
      </c>
      <c r="C13892" s="2">
        <v>45747</v>
      </c>
      <c r="D13892" t="s">
        <v>29</v>
      </c>
      <c r="E13892">
        <v>537</v>
      </c>
    </row>
    <row r="13893" spans="1:5" x14ac:dyDescent="0.55000000000000004">
      <c r="A13893" t="s">
        <v>13974</v>
      </c>
      <c r="B13893" t="s">
        <v>63</v>
      </c>
      <c r="C13893" s="2">
        <v>43034</v>
      </c>
      <c r="D13893" t="s">
        <v>29</v>
      </c>
      <c r="E13893">
        <v>2624</v>
      </c>
    </row>
    <row r="13894" spans="1:5" x14ac:dyDescent="0.55000000000000004">
      <c r="A13894" t="s">
        <v>13975</v>
      </c>
      <c r="B13894" t="s">
        <v>151</v>
      </c>
      <c r="C13894" s="2">
        <v>43775</v>
      </c>
      <c r="D13894" t="s">
        <v>29</v>
      </c>
      <c r="E13894">
        <v>1829</v>
      </c>
    </row>
    <row r="13895" spans="1:5" x14ac:dyDescent="0.55000000000000004">
      <c r="A13895" t="s">
        <v>13976</v>
      </c>
      <c r="B13895" t="s">
        <v>76</v>
      </c>
      <c r="C13895" s="2">
        <v>45624</v>
      </c>
      <c r="D13895" t="s">
        <v>26</v>
      </c>
      <c r="E13895">
        <v>1810</v>
      </c>
    </row>
    <row r="13896" spans="1:5" x14ac:dyDescent="0.55000000000000004">
      <c r="A13896" t="s">
        <v>13977</v>
      </c>
      <c r="B13896" t="s">
        <v>41</v>
      </c>
      <c r="C13896" s="2">
        <v>43981</v>
      </c>
      <c r="D13896" t="s">
        <v>29</v>
      </c>
      <c r="E13896">
        <v>447</v>
      </c>
    </row>
    <row r="13897" spans="1:5" x14ac:dyDescent="0.55000000000000004">
      <c r="A13897" t="s">
        <v>13978</v>
      </c>
      <c r="B13897" t="s">
        <v>137</v>
      </c>
      <c r="C13897" s="2">
        <v>43681</v>
      </c>
      <c r="D13897" t="s">
        <v>29</v>
      </c>
      <c r="E13897">
        <v>405</v>
      </c>
    </row>
    <row r="13898" spans="1:5" x14ac:dyDescent="0.55000000000000004">
      <c r="A13898" t="s">
        <v>13979</v>
      </c>
      <c r="B13898" t="s">
        <v>63</v>
      </c>
      <c r="C13898" s="2">
        <v>43734</v>
      </c>
      <c r="D13898" t="s">
        <v>29</v>
      </c>
      <c r="E13898">
        <v>1865</v>
      </c>
    </row>
    <row r="13899" spans="1:5" x14ac:dyDescent="0.55000000000000004">
      <c r="A13899" t="s">
        <v>13980</v>
      </c>
      <c r="B13899" t="s">
        <v>96</v>
      </c>
      <c r="C13899" s="2">
        <v>45021</v>
      </c>
      <c r="D13899" t="s">
        <v>29</v>
      </c>
      <c r="E13899">
        <v>2483</v>
      </c>
    </row>
    <row r="13900" spans="1:5" x14ac:dyDescent="0.55000000000000004">
      <c r="A13900" t="s">
        <v>13981</v>
      </c>
      <c r="B13900" t="s">
        <v>86</v>
      </c>
      <c r="C13900" s="2">
        <v>44104</v>
      </c>
      <c r="D13900" t="s">
        <v>26</v>
      </c>
      <c r="E13900">
        <v>526</v>
      </c>
    </row>
    <row r="13901" spans="1:5" x14ac:dyDescent="0.55000000000000004">
      <c r="A13901" t="s">
        <v>13982</v>
      </c>
      <c r="B13901" t="s">
        <v>78</v>
      </c>
      <c r="C13901" s="2">
        <v>44009</v>
      </c>
      <c r="D13901" t="s">
        <v>29</v>
      </c>
      <c r="E13901">
        <v>2463</v>
      </c>
    </row>
    <row r="13902" spans="1:5" x14ac:dyDescent="0.55000000000000004">
      <c r="A13902" t="s">
        <v>13983</v>
      </c>
      <c r="B13902" t="s">
        <v>101</v>
      </c>
      <c r="C13902" s="2">
        <v>43898</v>
      </c>
      <c r="D13902" t="s">
        <v>26</v>
      </c>
      <c r="E13902">
        <v>1916</v>
      </c>
    </row>
    <row r="13903" spans="1:5" x14ac:dyDescent="0.55000000000000004">
      <c r="A13903" t="s">
        <v>13984</v>
      </c>
      <c r="B13903" t="s">
        <v>74</v>
      </c>
      <c r="C13903" s="2">
        <v>44123</v>
      </c>
      <c r="D13903" t="s">
        <v>29</v>
      </c>
      <c r="E13903">
        <v>1931</v>
      </c>
    </row>
    <row r="13904" spans="1:5" x14ac:dyDescent="0.55000000000000004">
      <c r="A13904" t="s">
        <v>13985</v>
      </c>
      <c r="B13904" t="s">
        <v>111</v>
      </c>
      <c r="C13904" s="2">
        <v>43589</v>
      </c>
      <c r="D13904" t="s">
        <v>29</v>
      </c>
      <c r="E13904">
        <v>2386</v>
      </c>
    </row>
    <row r="13905" spans="1:5" x14ac:dyDescent="0.55000000000000004">
      <c r="A13905" t="s">
        <v>13986</v>
      </c>
      <c r="B13905" t="s">
        <v>115</v>
      </c>
      <c r="C13905" s="2">
        <v>43187</v>
      </c>
      <c r="D13905" t="s">
        <v>26</v>
      </c>
      <c r="E13905">
        <v>2477</v>
      </c>
    </row>
    <row r="13906" spans="1:5" x14ac:dyDescent="0.55000000000000004">
      <c r="A13906" t="s">
        <v>13987</v>
      </c>
      <c r="B13906" t="s">
        <v>156</v>
      </c>
      <c r="C13906" s="2">
        <v>43602</v>
      </c>
      <c r="D13906" t="s">
        <v>29</v>
      </c>
      <c r="E13906">
        <v>2744</v>
      </c>
    </row>
    <row r="13907" spans="1:5" x14ac:dyDescent="0.55000000000000004">
      <c r="A13907" t="s">
        <v>13988</v>
      </c>
      <c r="B13907" t="s">
        <v>14</v>
      </c>
      <c r="C13907" s="2">
        <v>43251</v>
      </c>
      <c r="D13907" t="s">
        <v>29</v>
      </c>
      <c r="E13907">
        <v>1221</v>
      </c>
    </row>
    <row r="13908" spans="1:5" x14ac:dyDescent="0.55000000000000004">
      <c r="A13908" t="s">
        <v>13989</v>
      </c>
      <c r="B13908" t="s">
        <v>151</v>
      </c>
      <c r="C13908" s="2">
        <v>44063</v>
      </c>
      <c r="D13908" t="s">
        <v>26</v>
      </c>
      <c r="E13908">
        <v>1544</v>
      </c>
    </row>
    <row r="13909" spans="1:5" x14ac:dyDescent="0.55000000000000004">
      <c r="A13909" t="s">
        <v>13990</v>
      </c>
      <c r="B13909" t="s">
        <v>175</v>
      </c>
      <c r="C13909" s="2">
        <v>45296</v>
      </c>
      <c r="D13909" t="s">
        <v>29</v>
      </c>
      <c r="E13909">
        <v>2340</v>
      </c>
    </row>
    <row r="13910" spans="1:5" x14ac:dyDescent="0.55000000000000004">
      <c r="A13910" t="s">
        <v>13991</v>
      </c>
      <c r="B13910" t="s">
        <v>84</v>
      </c>
      <c r="C13910" s="2">
        <v>43164</v>
      </c>
      <c r="D13910" t="s">
        <v>26</v>
      </c>
      <c r="E13910">
        <v>2765</v>
      </c>
    </row>
    <row r="13911" spans="1:5" x14ac:dyDescent="0.55000000000000004">
      <c r="A13911" t="s">
        <v>13992</v>
      </c>
      <c r="B13911" t="s">
        <v>101</v>
      </c>
      <c r="C13911" s="2">
        <v>43709</v>
      </c>
      <c r="D13911" t="s">
        <v>29</v>
      </c>
      <c r="E13911">
        <v>1104</v>
      </c>
    </row>
    <row r="13912" spans="1:5" x14ac:dyDescent="0.55000000000000004">
      <c r="A13912" t="s">
        <v>13993</v>
      </c>
      <c r="B13912" t="s">
        <v>118</v>
      </c>
      <c r="C13912" s="2">
        <v>45702</v>
      </c>
      <c r="D13912" t="s">
        <v>29</v>
      </c>
      <c r="E13912">
        <v>2073</v>
      </c>
    </row>
    <row r="13913" spans="1:5" x14ac:dyDescent="0.55000000000000004">
      <c r="A13913" t="s">
        <v>13994</v>
      </c>
      <c r="B13913" t="s">
        <v>32</v>
      </c>
      <c r="C13913" s="2">
        <v>44631</v>
      </c>
      <c r="D13913" t="s">
        <v>26</v>
      </c>
      <c r="E13913">
        <v>2127</v>
      </c>
    </row>
    <row r="13914" spans="1:5" x14ac:dyDescent="0.55000000000000004">
      <c r="A13914" t="s">
        <v>13995</v>
      </c>
      <c r="B13914" t="s">
        <v>118</v>
      </c>
      <c r="C13914" s="2">
        <v>45427</v>
      </c>
      <c r="D13914" t="s">
        <v>29</v>
      </c>
      <c r="E13914">
        <v>950</v>
      </c>
    </row>
    <row r="13915" spans="1:5" x14ac:dyDescent="0.55000000000000004">
      <c r="A13915" t="s">
        <v>13996</v>
      </c>
      <c r="B13915" t="s">
        <v>23</v>
      </c>
      <c r="C13915" s="2">
        <v>43992</v>
      </c>
      <c r="D13915" t="s">
        <v>29</v>
      </c>
      <c r="E13915">
        <v>500</v>
      </c>
    </row>
    <row r="13916" spans="1:5" x14ac:dyDescent="0.55000000000000004">
      <c r="A13916" t="s">
        <v>13997</v>
      </c>
      <c r="B13916" t="s">
        <v>99</v>
      </c>
      <c r="C13916" s="2">
        <v>44446</v>
      </c>
      <c r="D13916" t="s">
        <v>29</v>
      </c>
      <c r="E13916">
        <v>2392</v>
      </c>
    </row>
    <row r="13917" spans="1:5" x14ac:dyDescent="0.55000000000000004">
      <c r="A13917" t="s">
        <v>13998</v>
      </c>
      <c r="B13917" t="s">
        <v>142</v>
      </c>
      <c r="C13917" s="2">
        <v>44444</v>
      </c>
      <c r="D13917" t="s">
        <v>29</v>
      </c>
      <c r="E13917">
        <v>2498</v>
      </c>
    </row>
    <row r="13918" spans="1:5" x14ac:dyDescent="0.55000000000000004">
      <c r="A13918" t="s">
        <v>13999</v>
      </c>
      <c r="B13918" t="s">
        <v>142</v>
      </c>
      <c r="C13918" s="2">
        <v>44323</v>
      </c>
      <c r="D13918" t="s">
        <v>29</v>
      </c>
      <c r="E13918">
        <v>1192</v>
      </c>
    </row>
    <row r="13919" spans="1:5" x14ac:dyDescent="0.55000000000000004">
      <c r="A13919" t="s">
        <v>14000</v>
      </c>
      <c r="B13919" t="s">
        <v>84</v>
      </c>
      <c r="C13919" s="2">
        <v>43872</v>
      </c>
      <c r="D13919" t="s">
        <v>29</v>
      </c>
      <c r="E13919">
        <v>762</v>
      </c>
    </row>
    <row r="13920" spans="1:5" x14ac:dyDescent="0.55000000000000004">
      <c r="A13920" t="s">
        <v>14001</v>
      </c>
      <c r="B13920" t="s">
        <v>15</v>
      </c>
      <c r="C13920" s="2">
        <v>43026</v>
      </c>
      <c r="D13920" t="s">
        <v>29</v>
      </c>
      <c r="E13920">
        <v>564</v>
      </c>
    </row>
    <row r="13921" spans="1:5" x14ac:dyDescent="0.55000000000000004">
      <c r="A13921" t="s">
        <v>14002</v>
      </c>
      <c r="B13921" t="s">
        <v>86</v>
      </c>
      <c r="C13921" s="2">
        <v>43531</v>
      </c>
      <c r="D13921" t="s">
        <v>29</v>
      </c>
      <c r="E13921">
        <v>1407</v>
      </c>
    </row>
    <row r="13922" spans="1:5" x14ac:dyDescent="0.55000000000000004">
      <c r="A13922" t="s">
        <v>14003</v>
      </c>
      <c r="B13922" t="s">
        <v>78</v>
      </c>
      <c r="C13922" s="2">
        <v>44082</v>
      </c>
      <c r="D13922" t="s">
        <v>29</v>
      </c>
      <c r="E13922">
        <v>2296</v>
      </c>
    </row>
    <row r="13923" spans="1:5" x14ac:dyDescent="0.55000000000000004">
      <c r="A13923" t="s">
        <v>14004</v>
      </c>
      <c r="B13923" t="s">
        <v>140</v>
      </c>
      <c r="C13923" s="2">
        <v>43047</v>
      </c>
      <c r="D13923" t="s">
        <v>26</v>
      </c>
      <c r="E13923">
        <v>2464</v>
      </c>
    </row>
    <row r="13924" spans="1:5" x14ac:dyDescent="0.55000000000000004">
      <c r="A13924" t="s">
        <v>14005</v>
      </c>
      <c r="B13924" t="s">
        <v>111</v>
      </c>
      <c r="C13924" s="2">
        <v>43434</v>
      </c>
      <c r="D13924" t="s">
        <v>29</v>
      </c>
      <c r="E13924">
        <v>2659</v>
      </c>
    </row>
    <row r="13925" spans="1:5" x14ac:dyDescent="0.55000000000000004">
      <c r="A13925" t="s">
        <v>14006</v>
      </c>
      <c r="B13925" t="s">
        <v>105</v>
      </c>
      <c r="C13925" s="2">
        <v>44042</v>
      </c>
      <c r="D13925" t="s">
        <v>29</v>
      </c>
      <c r="E13925">
        <v>1135</v>
      </c>
    </row>
    <row r="13926" spans="1:5" x14ac:dyDescent="0.55000000000000004">
      <c r="A13926" t="s">
        <v>14007</v>
      </c>
      <c r="B13926" t="s">
        <v>94</v>
      </c>
      <c r="C13926" s="2">
        <v>43690</v>
      </c>
      <c r="D13926" t="s">
        <v>29</v>
      </c>
      <c r="E13926">
        <v>1300</v>
      </c>
    </row>
    <row r="13927" spans="1:5" x14ac:dyDescent="0.55000000000000004">
      <c r="A13927" t="s">
        <v>14008</v>
      </c>
      <c r="B13927" t="s">
        <v>74</v>
      </c>
      <c r="C13927" s="2">
        <v>44173</v>
      </c>
      <c r="D13927" t="s">
        <v>26</v>
      </c>
      <c r="E13927">
        <v>2502</v>
      </c>
    </row>
    <row r="13928" spans="1:5" x14ac:dyDescent="0.55000000000000004">
      <c r="A13928" t="s">
        <v>14009</v>
      </c>
      <c r="B13928" t="s">
        <v>115</v>
      </c>
      <c r="C13928" s="2">
        <v>43434</v>
      </c>
      <c r="D13928" t="s">
        <v>29</v>
      </c>
      <c r="E13928">
        <v>29</v>
      </c>
    </row>
    <row r="13929" spans="1:5" x14ac:dyDescent="0.55000000000000004">
      <c r="A13929" t="s">
        <v>14010</v>
      </c>
      <c r="B13929" t="s">
        <v>63</v>
      </c>
      <c r="C13929" s="2">
        <v>43836</v>
      </c>
      <c r="D13929" t="s">
        <v>26</v>
      </c>
      <c r="E13929">
        <v>2289</v>
      </c>
    </row>
    <row r="13930" spans="1:5" x14ac:dyDescent="0.55000000000000004">
      <c r="A13930" t="s">
        <v>14011</v>
      </c>
      <c r="B13930" t="s">
        <v>94</v>
      </c>
      <c r="C13930" s="2">
        <v>43592</v>
      </c>
      <c r="D13930" t="s">
        <v>26</v>
      </c>
      <c r="E13930">
        <v>1286</v>
      </c>
    </row>
    <row r="13931" spans="1:5" x14ac:dyDescent="0.55000000000000004">
      <c r="A13931" t="s">
        <v>14012</v>
      </c>
      <c r="B13931" t="s">
        <v>140</v>
      </c>
      <c r="C13931" s="2">
        <v>43988</v>
      </c>
      <c r="D13931" t="s">
        <v>26</v>
      </c>
      <c r="E13931">
        <v>2768</v>
      </c>
    </row>
    <row r="13932" spans="1:5" x14ac:dyDescent="0.55000000000000004">
      <c r="A13932" t="s">
        <v>14013</v>
      </c>
      <c r="B13932" t="s">
        <v>94</v>
      </c>
      <c r="C13932" s="2">
        <v>43542</v>
      </c>
      <c r="D13932" t="s">
        <v>29</v>
      </c>
      <c r="E13932">
        <v>2191</v>
      </c>
    </row>
    <row r="13933" spans="1:5" x14ac:dyDescent="0.55000000000000004">
      <c r="A13933" t="s">
        <v>14014</v>
      </c>
      <c r="B13933" t="s">
        <v>96</v>
      </c>
      <c r="C13933" s="2">
        <v>45433</v>
      </c>
      <c r="D13933" t="s">
        <v>29</v>
      </c>
      <c r="E13933">
        <v>1</v>
      </c>
    </row>
    <row r="13934" spans="1:5" x14ac:dyDescent="0.55000000000000004">
      <c r="A13934" t="s">
        <v>14015</v>
      </c>
      <c r="B13934" t="s">
        <v>94</v>
      </c>
      <c r="C13934" s="2">
        <v>45389</v>
      </c>
      <c r="D13934" t="s">
        <v>29</v>
      </c>
      <c r="E13934">
        <v>120</v>
      </c>
    </row>
    <row r="13935" spans="1:5" x14ac:dyDescent="0.55000000000000004">
      <c r="A13935" t="s">
        <v>14016</v>
      </c>
      <c r="B13935" t="s">
        <v>115</v>
      </c>
      <c r="C13935" s="2">
        <v>43308</v>
      </c>
      <c r="D13935" t="s">
        <v>26</v>
      </c>
      <c r="E13935">
        <v>2460</v>
      </c>
    </row>
    <row r="13936" spans="1:5" x14ac:dyDescent="0.55000000000000004">
      <c r="A13936" t="s">
        <v>14017</v>
      </c>
      <c r="B13936" t="s">
        <v>35</v>
      </c>
      <c r="C13936" s="2">
        <v>44186</v>
      </c>
      <c r="D13936" t="s">
        <v>29</v>
      </c>
      <c r="E13936">
        <v>1612</v>
      </c>
    </row>
    <row r="13937" spans="1:5" x14ac:dyDescent="0.55000000000000004">
      <c r="A13937" t="s">
        <v>14018</v>
      </c>
      <c r="B13937" t="s">
        <v>15</v>
      </c>
      <c r="C13937" s="2">
        <v>44170</v>
      </c>
      <c r="D13937" t="s">
        <v>29</v>
      </c>
      <c r="E13937">
        <v>2832</v>
      </c>
    </row>
    <row r="13938" spans="1:5" x14ac:dyDescent="0.55000000000000004">
      <c r="A13938" t="s">
        <v>14019</v>
      </c>
      <c r="B13938" t="s">
        <v>118</v>
      </c>
      <c r="C13938" s="2">
        <v>44713</v>
      </c>
      <c r="D13938" t="s">
        <v>29</v>
      </c>
      <c r="E13938">
        <v>1002</v>
      </c>
    </row>
    <row r="13939" spans="1:5" x14ac:dyDescent="0.55000000000000004">
      <c r="A13939" t="s">
        <v>14020</v>
      </c>
      <c r="B13939" t="s">
        <v>74</v>
      </c>
      <c r="C13939" s="2">
        <v>44479</v>
      </c>
      <c r="D13939" t="s">
        <v>29</v>
      </c>
      <c r="E13939">
        <v>1975</v>
      </c>
    </row>
    <row r="13940" spans="1:5" x14ac:dyDescent="0.55000000000000004">
      <c r="A13940" t="s">
        <v>14021</v>
      </c>
      <c r="B13940" t="s">
        <v>74</v>
      </c>
      <c r="C13940" s="2">
        <v>43979</v>
      </c>
      <c r="D13940" t="s">
        <v>29</v>
      </c>
      <c r="E13940">
        <v>742</v>
      </c>
    </row>
    <row r="13941" spans="1:5" x14ac:dyDescent="0.55000000000000004">
      <c r="A13941" t="s">
        <v>14022</v>
      </c>
      <c r="B13941" t="s">
        <v>140</v>
      </c>
      <c r="C13941" s="2">
        <v>43749</v>
      </c>
      <c r="D13941" t="s">
        <v>29</v>
      </c>
      <c r="E13941">
        <v>2160</v>
      </c>
    </row>
    <row r="13942" spans="1:5" x14ac:dyDescent="0.55000000000000004">
      <c r="A13942" t="s">
        <v>14023</v>
      </c>
      <c r="B13942" t="s">
        <v>140</v>
      </c>
      <c r="C13942" s="2">
        <v>43060</v>
      </c>
      <c r="D13942" t="s">
        <v>29</v>
      </c>
      <c r="E13942">
        <v>952</v>
      </c>
    </row>
    <row r="13943" spans="1:5" x14ac:dyDescent="0.55000000000000004">
      <c r="A13943" t="s">
        <v>14024</v>
      </c>
      <c r="B13943" t="s">
        <v>137</v>
      </c>
      <c r="C13943" s="2">
        <v>44393</v>
      </c>
      <c r="D13943" t="s">
        <v>29</v>
      </c>
      <c r="E13943">
        <v>850</v>
      </c>
    </row>
    <row r="13944" spans="1:5" x14ac:dyDescent="0.55000000000000004">
      <c r="A13944" t="s">
        <v>14025</v>
      </c>
      <c r="B13944" t="s">
        <v>137</v>
      </c>
      <c r="C13944" s="2">
        <v>45653</v>
      </c>
      <c r="D13944" t="s">
        <v>26</v>
      </c>
      <c r="E13944">
        <v>990</v>
      </c>
    </row>
    <row r="13945" spans="1:5" x14ac:dyDescent="0.55000000000000004">
      <c r="A13945" t="s">
        <v>14026</v>
      </c>
      <c r="B13945" t="s">
        <v>14</v>
      </c>
      <c r="C13945" s="2">
        <v>43322</v>
      </c>
      <c r="D13945" t="s">
        <v>26</v>
      </c>
      <c r="E13945">
        <v>1679</v>
      </c>
    </row>
    <row r="13946" spans="1:5" x14ac:dyDescent="0.55000000000000004">
      <c r="A13946" t="s">
        <v>14027</v>
      </c>
      <c r="B13946" t="s">
        <v>72</v>
      </c>
      <c r="C13946" s="2">
        <v>43537</v>
      </c>
      <c r="D13946" t="s">
        <v>29</v>
      </c>
      <c r="E13946">
        <v>1241</v>
      </c>
    </row>
    <row r="13947" spans="1:5" x14ac:dyDescent="0.55000000000000004">
      <c r="A13947" t="s">
        <v>14028</v>
      </c>
      <c r="B13947" t="s">
        <v>14</v>
      </c>
      <c r="C13947" s="2">
        <v>44166</v>
      </c>
      <c r="D13947" t="s">
        <v>29</v>
      </c>
      <c r="E13947">
        <v>1648</v>
      </c>
    </row>
    <row r="13948" spans="1:5" x14ac:dyDescent="0.55000000000000004">
      <c r="A13948" t="s">
        <v>14029</v>
      </c>
      <c r="B13948" t="s">
        <v>101</v>
      </c>
      <c r="C13948" s="2">
        <v>43667</v>
      </c>
      <c r="D13948" t="s">
        <v>29</v>
      </c>
      <c r="E13948">
        <v>2322</v>
      </c>
    </row>
    <row r="13949" spans="1:5" x14ac:dyDescent="0.55000000000000004">
      <c r="A13949" t="s">
        <v>14030</v>
      </c>
      <c r="B13949" t="s">
        <v>96</v>
      </c>
      <c r="C13949" s="2">
        <v>45319</v>
      </c>
      <c r="D13949" t="s">
        <v>26</v>
      </c>
      <c r="E13949">
        <v>1281</v>
      </c>
    </row>
    <row r="13950" spans="1:5" x14ac:dyDescent="0.55000000000000004">
      <c r="A13950" t="s">
        <v>14031</v>
      </c>
      <c r="B13950" t="s">
        <v>63</v>
      </c>
      <c r="C13950" s="2">
        <v>43724</v>
      </c>
      <c r="D13950" t="s">
        <v>29</v>
      </c>
      <c r="E13950">
        <v>1101</v>
      </c>
    </row>
    <row r="13951" spans="1:5" x14ac:dyDescent="0.55000000000000004">
      <c r="A13951" t="s">
        <v>14032</v>
      </c>
      <c r="B13951" t="s">
        <v>137</v>
      </c>
      <c r="C13951" s="2">
        <v>44483</v>
      </c>
      <c r="D13951" t="s">
        <v>29</v>
      </c>
      <c r="E13951">
        <v>2306</v>
      </c>
    </row>
    <row r="13952" spans="1:5" x14ac:dyDescent="0.55000000000000004">
      <c r="A13952" t="s">
        <v>14033</v>
      </c>
      <c r="B13952" t="s">
        <v>35</v>
      </c>
      <c r="C13952" s="2">
        <v>44520</v>
      </c>
      <c r="D13952" t="s">
        <v>29</v>
      </c>
      <c r="E13952">
        <v>422</v>
      </c>
    </row>
    <row r="13953" spans="1:5" x14ac:dyDescent="0.55000000000000004">
      <c r="A13953" t="s">
        <v>14034</v>
      </c>
      <c r="B13953" t="s">
        <v>72</v>
      </c>
      <c r="C13953" s="2">
        <v>43140</v>
      </c>
      <c r="D13953" t="s">
        <v>29</v>
      </c>
      <c r="E13953">
        <v>1557</v>
      </c>
    </row>
    <row r="13954" spans="1:5" x14ac:dyDescent="0.55000000000000004">
      <c r="A13954" t="s">
        <v>14035</v>
      </c>
      <c r="B13954" t="s">
        <v>105</v>
      </c>
      <c r="C13954" s="2">
        <v>43016</v>
      </c>
      <c r="D13954" t="s">
        <v>26</v>
      </c>
      <c r="E13954">
        <v>312</v>
      </c>
    </row>
    <row r="13955" spans="1:5" x14ac:dyDescent="0.55000000000000004">
      <c r="A13955" t="s">
        <v>14036</v>
      </c>
      <c r="B13955" t="s">
        <v>41</v>
      </c>
      <c r="C13955" s="2">
        <v>44192</v>
      </c>
      <c r="D13955" t="s">
        <v>26</v>
      </c>
      <c r="E13955">
        <v>1043</v>
      </c>
    </row>
    <row r="13956" spans="1:5" x14ac:dyDescent="0.55000000000000004">
      <c r="A13956" t="s">
        <v>14037</v>
      </c>
      <c r="B13956" t="s">
        <v>67</v>
      </c>
      <c r="C13956" s="2">
        <v>44135</v>
      </c>
      <c r="D13956" t="s">
        <v>26</v>
      </c>
      <c r="E13956">
        <v>96</v>
      </c>
    </row>
    <row r="13957" spans="1:5" x14ac:dyDescent="0.55000000000000004">
      <c r="A13957" t="s">
        <v>14038</v>
      </c>
      <c r="B13957" t="s">
        <v>137</v>
      </c>
      <c r="C13957" s="2">
        <v>44133</v>
      </c>
      <c r="D13957" t="s">
        <v>26</v>
      </c>
      <c r="E13957">
        <v>1455</v>
      </c>
    </row>
    <row r="13958" spans="1:5" x14ac:dyDescent="0.55000000000000004">
      <c r="A13958" t="s">
        <v>14039</v>
      </c>
      <c r="B13958" t="s">
        <v>63</v>
      </c>
      <c r="C13958" s="2">
        <v>43706</v>
      </c>
      <c r="D13958" t="s">
        <v>29</v>
      </c>
      <c r="E13958">
        <v>106</v>
      </c>
    </row>
    <row r="13959" spans="1:5" x14ac:dyDescent="0.55000000000000004">
      <c r="A13959" t="s">
        <v>14040</v>
      </c>
      <c r="B13959" t="s">
        <v>156</v>
      </c>
      <c r="C13959" s="2">
        <v>44213</v>
      </c>
      <c r="D13959" t="s">
        <v>29</v>
      </c>
      <c r="E13959">
        <v>1635</v>
      </c>
    </row>
    <row r="13960" spans="1:5" x14ac:dyDescent="0.55000000000000004">
      <c r="A13960" t="s">
        <v>14041</v>
      </c>
      <c r="B13960" t="s">
        <v>67</v>
      </c>
      <c r="C13960" s="2">
        <v>45212</v>
      </c>
      <c r="D13960" t="s">
        <v>29</v>
      </c>
      <c r="E13960">
        <v>2452</v>
      </c>
    </row>
    <row r="13961" spans="1:5" x14ac:dyDescent="0.55000000000000004">
      <c r="A13961" t="s">
        <v>14042</v>
      </c>
      <c r="B13961" t="s">
        <v>142</v>
      </c>
      <c r="C13961" s="2">
        <v>42995</v>
      </c>
      <c r="D13961" t="s">
        <v>26</v>
      </c>
      <c r="E13961">
        <v>2462</v>
      </c>
    </row>
    <row r="13962" spans="1:5" x14ac:dyDescent="0.55000000000000004">
      <c r="A13962" t="s">
        <v>14043</v>
      </c>
      <c r="B13962" t="s">
        <v>105</v>
      </c>
      <c r="C13962" s="2">
        <v>43364</v>
      </c>
      <c r="D13962" t="s">
        <v>26</v>
      </c>
      <c r="E13962">
        <v>366</v>
      </c>
    </row>
    <row r="13963" spans="1:5" x14ac:dyDescent="0.55000000000000004">
      <c r="A13963" t="s">
        <v>14044</v>
      </c>
      <c r="B13963" t="s">
        <v>137</v>
      </c>
      <c r="C13963" s="2">
        <v>44760</v>
      </c>
      <c r="D13963" t="s">
        <v>26</v>
      </c>
      <c r="E13963">
        <v>1230</v>
      </c>
    </row>
    <row r="13964" spans="1:5" x14ac:dyDescent="0.55000000000000004">
      <c r="A13964" t="s">
        <v>14045</v>
      </c>
      <c r="B13964" t="s">
        <v>14</v>
      </c>
      <c r="C13964" s="2">
        <v>43474</v>
      </c>
      <c r="D13964" t="s">
        <v>26</v>
      </c>
      <c r="E13964">
        <v>1283</v>
      </c>
    </row>
    <row r="13965" spans="1:5" x14ac:dyDescent="0.55000000000000004">
      <c r="A13965" t="s">
        <v>14046</v>
      </c>
      <c r="B13965" t="s">
        <v>35</v>
      </c>
      <c r="C13965" s="2">
        <v>44765</v>
      </c>
      <c r="D13965" t="s">
        <v>29</v>
      </c>
      <c r="E13965">
        <v>2105</v>
      </c>
    </row>
    <row r="13966" spans="1:5" x14ac:dyDescent="0.55000000000000004">
      <c r="A13966" t="s">
        <v>14047</v>
      </c>
      <c r="B13966" t="s">
        <v>41</v>
      </c>
      <c r="C13966" s="2">
        <v>44377</v>
      </c>
      <c r="D13966" t="s">
        <v>26</v>
      </c>
      <c r="E13966">
        <v>1893</v>
      </c>
    </row>
    <row r="13967" spans="1:5" x14ac:dyDescent="0.55000000000000004">
      <c r="A13967" t="s">
        <v>14048</v>
      </c>
      <c r="B13967" t="s">
        <v>140</v>
      </c>
      <c r="C13967" s="2">
        <v>43976</v>
      </c>
      <c r="D13967" t="s">
        <v>29</v>
      </c>
      <c r="E13967">
        <v>381</v>
      </c>
    </row>
    <row r="13968" spans="1:5" x14ac:dyDescent="0.55000000000000004">
      <c r="A13968" t="s">
        <v>14049</v>
      </c>
      <c r="B13968" t="s">
        <v>35</v>
      </c>
      <c r="C13968" s="2">
        <v>44188</v>
      </c>
      <c r="D13968" t="s">
        <v>29</v>
      </c>
      <c r="E13968">
        <v>1839</v>
      </c>
    </row>
    <row r="13969" spans="1:5" x14ac:dyDescent="0.55000000000000004">
      <c r="A13969" t="s">
        <v>14050</v>
      </c>
      <c r="B13969" t="s">
        <v>175</v>
      </c>
      <c r="C13969" s="2">
        <v>45803</v>
      </c>
      <c r="D13969" t="s">
        <v>26</v>
      </c>
      <c r="E13969">
        <v>989</v>
      </c>
    </row>
    <row r="13970" spans="1:5" x14ac:dyDescent="0.55000000000000004">
      <c r="A13970" t="s">
        <v>14051</v>
      </c>
      <c r="B13970" t="s">
        <v>63</v>
      </c>
      <c r="C13970" s="2">
        <v>43406</v>
      </c>
      <c r="D13970" t="s">
        <v>29</v>
      </c>
      <c r="E13970">
        <v>1785</v>
      </c>
    </row>
    <row r="13971" spans="1:5" x14ac:dyDescent="0.55000000000000004">
      <c r="A13971" t="s">
        <v>14052</v>
      </c>
      <c r="B13971" t="s">
        <v>175</v>
      </c>
      <c r="C13971" s="2">
        <v>44738</v>
      </c>
      <c r="D13971" t="s">
        <v>26</v>
      </c>
      <c r="E13971">
        <v>81</v>
      </c>
    </row>
    <row r="13972" spans="1:5" x14ac:dyDescent="0.55000000000000004">
      <c r="A13972" t="s">
        <v>14053</v>
      </c>
      <c r="B13972" t="s">
        <v>74</v>
      </c>
      <c r="C13972" s="2">
        <v>44046</v>
      </c>
      <c r="D13972" t="s">
        <v>29</v>
      </c>
      <c r="E13972">
        <v>1050</v>
      </c>
    </row>
    <row r="13973" spans="1:5" x14ac:dyDescent="0.55000000000000004">
      <c r="A13973" t="s">
        <v>14054</v>
      </c>
      <c r="B13973" t="s">
        <v>137</v>
      </c>
      <c r="C13973" s="2">
        <v>44778</v>
      </c>
      <c r="D13973" t="s">
        <v>29</v>
      </c>
      <c r="E13973">
        <v>1612</v>
      </c>
    </row>
    <row r="13974" spans="1:5" x14ac:dyDescent="0.55000000000000004">
      <c r="A13974" t="s">
        <v>14055</v>
      </c>
      <c r="B13974" t="s">
        <v>101</v>
      </c>
      <c r="C13974" s="2">
        <v>43088</v>
      </c>
      <c r="D13974" t="s">
        <v>29</v>
      </c>
      <c r="E13974">
        <v>2938</v>
      </c>
    </row>
    <row r="13975" spans="1:5" x14ac:dyDescent="0.55000000000000004">
      <c r="A13975" t="s">
        <v>14056</v>
      </c>
      <c r="B13975" t="s">
        <v>38</v>
      </c>
      <c r="C13975" s="2">
        <v>44189</v>
      </c>
      <c r="D13975" t="s">
        <v>29</v>
      </c>
      <c r="E13975">
        <v>217</v>
      </c>
    </row>
    <row r="13976" spans="1:5" x14ac:dyDescent="0.55000000000000004">
      <c r="A13976" t="s">
        <v>14057</v>
      </c>
      <c r="B13976" t="s">
        <v>78</v>
      </c>
      <c r="C13976" s="2">
        <v>45163</v>
      </c>
      <c r="D13976" t="s">
        <v>29</v>
      </c>
      <c r="E13976">
        <v>267</v>
      </c>
    </row>
    <row r="13977" spans="1:5" x14ac:dyDescent="0.55000000000000004">
      <c r="A13977" t="s">
        <v>14058</v>
      </c>
      <c r="B13977" t="s">
        <v>14</v>
      </c>
      <c r="C13977" s="2">
        <v>43354</v>
      </c>
      <c r="D13977" t="s">
        <v>26</v>
      </c>
      <c r="E13977">
        <v>2189</v>
      </c>
    </row>
    <row r="13978" spans="1:5" x14ac:dyDescent="0.55000000000000004">
      <c r="A13978" t="s">
        <v>14059</v>
      </c>
      <c r="B13978" t="s">
        <v>156</v>
      </c>
      <c r="C13978" s="2">
        <v>43046</v>
      </c>
      <c r="D13978" t="s">
        <v>29</v>
      </c>
      <c r="E13978">
        <v>1006</v>
      </c>
    </row>
    <row r="13979" spans="1:5" x14ac:dyDescent="0.55000000000000004">
      <c r="A13979" t="s">
        <v>14060</v>
      </c>
      <c r="B13979" t="s">
        <v>38</v>
      </c>
      <c r="C13979" s="2">
        <v>44200</v>
      </c>
      <c r="D13979" t="s">
        <v>29</v>
      </c>
      <c r="E13979">
        <v>1509</v>
      </c>
    </row>
    <row r="13980" spans="1:5" x14ac:dyDescent="0.55000000000000004">
      <c r="A13980" t="s">
        <v>14061</v>
      </c>
      <c r="B13980" t="s">
        <v>175</v>
      </c>
      <c r="C13980" s="2">
        <v>44041</v>
      </c>
      <c r="D13980" t="s">
        <v>26</v>
      </c>
      <c r="E13980">
        <v>1047</v>
      </c>
    </row>
    <row r="13981" spans="1:5" x14ac:dyDescent="0.55000000000000004">
      <c r="A13981" t="s">
        <v>14062</v>
      </c>
      <c r="B13981" t="s">
        <v>35</v>
      </c>
      <c r="C13981" s="2">
        <v>44707</v>
      </c>
      <c r="D13981" t="s">
        <v>29</v>
      </c>
      <c r="E13981">
        <v>2871</v>
      </c>
    </row>
    <row r="13982" spans="1:5" x14ac:dyDescent="0.55000000000000004">
      <c r="A13982" t="s">
        <v>14063</v>
      </c>
      <c r="B13982" t="s">
        <v>94</v>
      </c>
      <c r="C13982" s="2">
        <v>44948</v>
      </c>
      <c r="D13982" t="s">
        <v>29</v>
      </c>
      <c r="E13982">
        <v>1759</v>
      </c>
    </row>
    <row r="13983" spans="1:5" x14ac:dyDescent="0.55000000000000004">
      <c r="A13983" t="s">
        <v>14064</v>
      </c>
      <c r="B13983" t="s">
        <v>78</v>
      </c>
      <c r="C13983" s="2">
        <v>43726</v>
      </c>
      <c r="D13983" t="s">
        <v>26</v>
      </c>
      <c r="E13983">
        <v>2699</v>
      </c>
    </row>
    <row r="13984" spans="1:5" x14ac:dyDescent="0.55000000000000004">
      <c r="A13984" t="s">
        <v>14065</v>
      </c>
      <c r="B13984" t="s">
        <v>137</v>
      </c>
      <c r="C13984" s="2">
        <v>43718</v>
      </c>
      <c r="D13984" t="s">
        <v>26</v>
      </c>
      <c r="E13984">
        <v>2218</v>
      </c>
    </row>
    <row r="13985" spans="1:5" x14ac:dyDescent="0.55000000000000004">
      <c r="A13985" t="s">
        <v>14066</v>
      </c>
      <c r="B13985" t="s">
        <v>84</v>
      </c>
      <c r="C13985" s="2">
        <v>44427</v>
      </c>
      <c r="D13985" t="s">
        <v>29</v>
      </c>
      <c r="E13985">
        <v>1863</v>
      </c>
    </row>
    <row r="13986" spans="1:5" x14ac:dyDescent="0.55000000000000004">
      <c r="A13986" t="s">
        <v>14067</v>
      </c>
      <c r="B13986" t="s">
        <v>38</v>
      </c>
      <c r="C13986" s="2">
        <v>44186</v>
      </c>
      <c r="D13986" t="s">
        <v>29</v>
      </c>
      <c r="E13986">
        <v>1066</v>
      </c>
    </row>
    <row r="13987" spans="1:5" x14ac:dyDescent="0.55000000000000004">
      <c r="A13987" t="s">
        <v>14068</v>
      </c>
      <c r="B13987" t="s">
        <v>156</v>
      </c>
      <c r="C13987" s="2">
        <v>44299</v>
      </c>
      <c r="D13987" t="s">
        <v>26</v>
      </c>
      <c r="E13987">
        <v>311</v>
      </c>
    </row>
    <row r="13988" spans="1:5" x14ac:dyDescent="0.55000000000000004">
      <c r="A13988" t="s">
        <v>14069</v>
      </c>
      <c r="B13988" t="s">
        <v>76</v>
      </c>
      <c r="C13988" s="2">
        <v>45567</v>
      </c>
      <c r="D13988" t="s">
        <v>26</v>
      </c>
      <c r="E13988">
        <v>2889</v>
      </c>
    </row>
    <row r="13989" spans="1:5" x14ac:dyDescent="0.55000000000000004">
      <c r="A13989" t="s">
        <v>14070</v>
      </c>
      <c r="B13989" t="s">
        <v>67</v>
      </c>
      <c r="C13989" s="2">
        <v>43935</v>
      </c>
      <c r="D13989" t="s">
        <v>29</v>
      </c>
      <c r="E13989">
        <v>2783</v>
      </c>
    </row>
    <row r="13990" spans="1:5" x14ac:dyDescent="0.55000000000000004">
      <c r="A13990" t="s">
        <v>14071</v>
      </c>
      <c r="B13990" t="s">
        <v>151</v>
      </c>
      <c r="C13990" s="2">
        <v>43600</v>
      </c>
      <c r="D13990" t="s">
        <v>26</v>
      </c>
      <c r="E13990">
        <v>1391</v>
      </c>
    </row>
    <row r="13991" spans="1:5" x14ac:dyDescent="0.55000000000000004">
      <c r="A13991" t="s">
        <v>14072</v>
      </c>
      <c r="B13991" t="s">
        <v>94</v>
      </c>
      <c r="C13991" s="2">
        <v>44539</v>
      </c>
      <c r="D13991" t="s">
        <v>26</v>
      </c>
      <c r="E13991">
        <v>1404</v>
      </c>
    </row>
    <row r="13992" spans="1:5" x14ac:dyDescent="0.55000000000000004">
      <c r="A13992" t="s">
        <v>14073</v>
      </c>
      <c r="B13992" t="s">
        <v>35</v>
      </c>
      <c r="C13992" s="2">
        <v>44711</v>
      </c>
      <c r="D13992" t="s">
        <v>26</v>
      </c>
      <c r="E13992">
        <v>2182</v>
      </c>
    </row>
    <row r="13993" spans="1:5" x14ac:dyDescent="0.55000000000000004">
      <c r="A13993" t="s">
        <v>14074</v>
      </c>
      <c r="B13993" t="s">
        <v>38</v>
      </c>
      <c r="C13993" s="2">
        <v>44696</v>
      </c>
      <c r="D13993" t="s">
        <v>26</v>
      </c>
      <c r="E13993">
        <v>2033</v>
      </c>
    </row>
    <row r="13994" spans="1:5" x14ac:dyDescent="0.55000000000000004">
      <c r="A13994" t="s">
        <v>14075</v>
      </c>
      <c r="B13994" t="s">
        <v>41</v>
      </c>
      <c r="C13994" s="2">
        <v>44877</v>
      </c>
      <c r="D13994" t="s">
        <v>26</v>
      </c>
      <c r="E13994">
        <v>1016</v>
      </c>
    </row>
    <row r="13995" spans="1:5" x14ac:dyDescent="0.55000000000000004">
      <c r="A13995" t="s">
        <v>14076</v>
      </c>
      <c r="B13995" t="s">
        <v>137</v>
      </c>
      <c r="C13995" s="2">
        <v>45541</v>
      </c>
      <c r="D13995" t="s">
        <v>29</v>
      </c>
      <c r="E13995">
        <v>2914</v>
      </c>
    </row>
    <row r="13996" spans="1:5" x14ac:dyDescent="0.55000000000000004">
      <c r="A13996" t="s">
        <v>14077</v>
      </c>
      <c r="B13996" t="s">
        <v>15</v>
      </c>
      <c r="C13996" s="2">
        <v>44545</v>
      </c>
      <c r="D13996" t="s">
        <v>29</v>
      </c>
      <c r="E13996">
        <v>298</v>
      </c>
    </row>
    <row r="13997" spans="1:5" x14ac:dyDescent="0.55000000000000004">
      <c r="A13997" t="s">
        <v>14078</v>
      </c>
      <c r="B13997" t="s">
        <v>63</v>
      </c>
      <c r="C13997" s="2">
        <v>44430</v>
      </c>
      <c r="D13997" t="s">
        <v>29</v>
      </c>
      <c r="E13997">
        <v>177</v>
      </c>
    </row>
    <row r="13998" spans="1:5" x14ac:dyDescent="0.55000000000000004">
      <c r="A13998" t="s">
        <v>14079</v>
      </c>
      <c r="B13998" t="s">
        <v>15</v>
      </c>
      <c r="C13998" s="2">
        <v>44294</v>
      </c>
      <c r="D13998" t="s">
        <v>29</v>
      </c>
      <c r="E13998">
        <v>2533</v>
      </c>
    </row>
    <row r="13999" spans="1:5" x14ac:dyDescent="0.55000000000000004">
      <c r="A13999" t="s">
        <v>14080</v>
      </c>
      <c r="B13999" t="s">
        <v>74</v>
      </c>
      <c r="C13999" s="2">
        <v>43947</v>
      </c>
      <c r="D13999" t="s">
        <v>29</v>
      </c>
      <c r="E13999">
        <v>75</v>
      </c>
    </row>
    <row r="14000" spans="1:5" x14ac:dyDescent="0.55000000000000004">
      <c r="A14000" t="s">
        <v>14081</v>
      </c>
      <c r="B14000" t="s">
        <v>86</v>
      </c>
      <c r="C14000" s="2">
        <v>44348</v>
      </c>
      <c r="D14000" t="s">
        <v>26</v>
      </c>
      <c r="E14000">
        <v>2743</v>
      </c>
    </row>
    <row r="14001" spans="1:5" x14ac:dyDescent="0.55000000000000004">
      <c r="A14001" t="s">
        <v>14082</v>
      </c>
      <c r="B14001" t="s">
        <v>84</v>
      </c>
      <c r="C14001" s="2">
        <v>43023</v>
      </c>
      <c r="D14001" t="s">
        <v>29</v>
      </c>
      <c r="E14001">
        <v>2750</v>
      </c>
    </row>
    <row r="14002" spans="1:5" x14ac:dyDescent="0.55000000000000004">
      <c r="A14002" t="s">
        <v>14083</v>
      </c>
      <c r="B14002" t="s">
        <v>111</v>
      </c>
      <c r="C14002" s="2">
        <v>44491</v>
      </c>
      <c r="D14002" t="s">
        <v>29</v>
      </c>
      <c r="E14002">
        <v>1710</v>
      </c>
    </row>
    <row r="14003" spans="1:5" x14ac:dyDescent="0.55000000000000004">
      <c r="A14003" t="s">
        <v>14084</v>
      </c>
      <c r="B14003" t="s">
        <v>41</v>
      </c>
      <c r="C14003" s="2">
        <v>44550</v>
      </c>
      <c r="D14003" t="s">
        <v>26</v>
      </c>
      <c r="E14003">
        <v>537</v>
      </c>
    </row>
    <row r="14004" spans="1:5" x14ac:dyDescent="0.55000000000000004">
      <c r="A14004" t="s">
        <v>14085</v>
      </c>
      <c r="B14004" t="s">
        <v>142</v>
      </c>
      <c r="C14004" s="2">
        <v>43739</v>
      </c>
      <c r="D14004" t="s">
        <v>26</v>
      </c>
      <c r="E14004">
        <v>2711</v>
      </c>
    </row>
    <row r="14005" spans="1:5" x14ac:dyDescent="0.55000000000000004">
      <c r="A14005" t="s">
        <v>14086</v>
      </c>
      <c r="B14005" t="s">
        <v>35</v>
      </c>
      <c r="C14005" s="2">
        <v>44713</v>
      </c>
      <c r="D14005" t="s">
        <v>26</v>
      </c>
      <c r="E14005">
        <v>392</v>
      </c>
    </row>
    <row r="14006" spans="1:5" x14ac:dyDescent="0.55000000000000004">
      <c r="A14006" t="s">
        <v>14087</v>
      </c>
      <c r="B14006" t="s">
        <v>32</v>
      </c>
      <c r="C14006" s="2">
        <v>44545</v>
      </c>
      <c r="D14006" t="s">
        <v>29</v>
      </c>
      <c r="E14006">
        <v>895</v>
      </c>
    </row>
    <row r="14007" spans="1:5" x14ac:dyDescent="0.55000000000000004">
      <c r="A14007" t="s">
        <v>14088</v>
      </c>
      <c r="B14007" t="s">
        <v>35</v>
      </c>
      <c r="C14007" s="2">
        <v>44731</v>
      </c>
      <c r="D14007" t="s">
        <v>26</v>
      </c>
      <c r="E14007">
        <v>1344</v>
      </c>
    </row>
    <row r="14008" spans="1:5" x14ac:dyDescent="0.55000000000000004">
      <c r="A14008" t="s">
        <v>14089</v>
      </c>
      <c r="B14008" t="s">
        <v>63</v>
      </c>
      <c r="C14008" s="2">
        <v>44536</v>
      </c>
      <c r="D14008" t="s">
        <v>26</v>
      </c>
      <c r="E14008">
        <v>950</v>
      </c>
    </row>
    <row r="14009" spans="1:5" x14ac:dyDescent="0.55000000000000004">
      <c r="A14009" t="s">
        <v>14090</v>
      </c>
      <c r="B14009" t="s">
        <v>115</v>
      </c>
      <c r="C14009" s="2">
        <v>43563</v>
      </c>
      <c r="D14009" t="s">
        <v>29</v>
      </c>
      <c r="E14009">
        <v>1550</v>
      </c>
    </row>
    <row r="14010" spans="1:5" x14ac:dyDescent="0.55000000000000004">
      <c r="A14010" t="s">
        <v>14091</v>
      </c>
      <c r="B14010" t="s">
        <v>156</v>
      </c>
      <c r="C14010" s="2">
        <v>43383</v>
      </c>
      <c r="D14010" t="s">
        <v>29</v>
      </c>
      <c r="E14010">
        <v>1111</v>
      </c>
    </row>
    <row r="14011" spans="1:5" x14ac:dyDescent="0.55000000000000004">
      <c r="A14011" t="s">
        <v>14092</v>
      </c>
      <c r="B14011" t="s">
        <v>94</v>
      </c>
      <c r="C14011" s="2">
        <v>43989</v>
      </c>
      <c r="D14011" t="s">
        <v>26</v>
      </c>
      <c r="E14011">
        <v>2817</v>
      </c>
    </row>
    <row r="14012" spans="1:5" x14ac:dyDescent="0.55000000000000004">
      <c r="A14012" t="s">
        <v>14093</v>
      </c>
      <c r="B14012" t="s">
        <v>111</v>
      </c>
      <c r="C14012" s="2">
        <v>43437</v>
      </c>
      <c r="D14012" t="s">
        <v>26</v>
      </c>
      <c r="E14012">
        <v>250</v>
      </c>
    </row>
    <row r="14013" spans="1:5" x14ac:dyDescent="0.55000000000000004">
      <c r="A14013" t="s">
        <v>14094</v>
      </c>
      <c r="B14013" t="s">
        <v>23</v>
      </c>
      <c r="C14013" s="2">
        <v>44168</v>
      </c>
      <c r="D14013" t="s">
        <v>26</v>
      </c>
      <c r="E14013">
        <v>440</v>
      </c>
    </row>
    <row r="14014" spans="1:5" x14ac:dyDescent="0.55000000000000004">
      <c r="A14014" t="s">
        <v>14095</v>
      </c>
      <c r="B14014" t="s">
        <v>23</v>
      </c>
      <c r="C14014" s="2">
        <v>44557</v>
      </c>
      <c r="D14014" t="s">
        <v>26</v>
      </c>
      <c r="E14014">
        <v>1934</v>
      </c>
    </row>
    <row r="14015" spans="1:5" x14ac:dyDescent="0.55000000000000004">
      <c r="A14015" t="s">
        <v>14096</v>
      </c>
      <c r="B14015" t="s">
        <v>99</v>
      </c>
      <c r="C14015" s="2">
        <v>45499</v>
      </c>
      <c r="D14015" t="s">
        <v>26</v>
      </c>
      <c r="E14015">
        <v>61</v>
      </c>
    </row>
    <row r="14016" spans="1:5" x14ac:dyDescent="0.55000000000000004">
      <c r="A14016" t="s">
        <v>14097</v>
      </c>
      <c r="B14016" t="s">
        <v>94</v>
      </c>
      <c r="C14016" s="2">
        <v>44867</v>
      </c>
      <c r="D14016" t="s">
        <v>26</v>
      </c>
      <c r="E14016">
        <v>2383</v>
      </c>
    </row>
    <row r="14017" spans="1:5" x14ac:dyDescent="0.55000000000000004">
      <c r="A14017" t="s">
        <v>14098</v>
      </c>
      <c r="B14017" t="s">
        <v>14</v>
      </c>
      <c r="C14017" s="2">
        <v>42994</v>
      </c>
      <c r="D14017" t="s">
        <v>26</v>
      </c>
      <c r="E14017">
        <v>1112</v>
      </c>
    </row>
    <row r="14018" spans="1:5" x14ac:dyDescent="0.55000000000000004">
      <c r="A14018" t="s">
        <v>14099</v>
      </c>
      <c r="B14018" t="s">
        <v>35</v>
      </c>
      <c r="C14018" s="2">
        <v>44259</v>
      </c>
      <c r="D14018" t="s">
        <v>26</v>
      </c>
      <c r="E14018">
        <v>2550</v>
      </c>
    </row>
    <row r="14019" spans="1:5" x14ac:dyDescent="0.55000000000000004">
      <c r="A14019" t="s">
        <v>14100</v>
      </c>
      <c r="B14019" t="s">
        <v>105</v>
      </c>
      <c r="C14019" s="2">
        <v>43712</v>
      </c>
      <c r="D14019" t="s">
        <v>26</v>
      </c>
      <c r="E14019">
        <v>102</v>
      </c>
    </row>
    <row r="14020" spans="1:5" x14ac:dyDescent="0.55000000000000004">
      <c r="A14020" t="s">
        <v>14101</v>
      </c>
      <c r="B14020" t="s">
        <v>94</v>
      </c>
      <c r="C14020" s="2">
        <v>44821</v>
      </c>
      <c r="D14020" t="s">
        <v>29</v>
      </c>
      <c r="E14020">
        <v>2904</v>
      </c>
    </row>
    <row r="14021" spans="1:5" x14ac:dyDescent="0.55000000000000004">
      <c r="A14021" t="s">
        <v>14102</v>
      </c>
      <c r="B14021" t="s">
        <v>86</v>
      </c>
      <c r="C14021" s="2">
        <v>44364</v>
      </c>
      <c r="D14021" t="s">
        <v>29</v>
      </c>
      <c r="E14021">
        <v>2968</v>
      </c>
    </row>
    <row r="14022" spans="1:5" x14ac:dyDescent="0.55000000000000004">
      <c r="A14022" t="s">
        <v>14103</v>
      </c>
      <c r="B14022" t="s">
        <v>101</v>
      </c>
      <c r="C14022" s="2">
        <v>43219</v>
      </c>
      <c r="D14022" t="s">
        <v>29</v>
      </c>
      <c r="E14022">
        <v>2486</v>
      </c>
    </row>
    <row r="14023" spans="1:5" x14ac:dyDescent="0.55000000000000004">
      <c r="A14023" t="s">
        <v>14104</v>
      </c>
      <c r="B14023" t="s">
        <v>96</v>
      </c>
      <c r="C14023" s="2">
        <v>44987</v>
      </c>
      <c r="D14023" t="s">
        <v>29</v>
      </c>
      <c r="E14023">
        <v>1413</v>
      </c>
    </row>
    <row r="14024" spans="1:5" x14ac:dyDescent="0.55000000000000004">
      <c r="A14024" t="s">
        <v>14105</v>
      </c>
      <c r="B14024" t="s">
        <v>78</v>
      </c>
      <c r="C14024" s="2">
        <v>45278</v>
      </c>
      <c r="D14024" t="s">
        <v>26</v>
      </c>
      <c r="E14024">
        <v>939</v>
      </c>
    </row>
    <row r="14025" spans="1:5" x14ac:dyDescent="0.55000000000000004">
      <c r="A14025" t="s">
        <v>14106</v>
      </c>
      <c r="B14025" t="s">
        <v>32</v>
      </c>
      <c r="C14025" s="2">
        <v>44328</v>
      </c>
      <c r="D14025" t="s">
        <v>29</v>
      </c>
      <c r="E14025">
        <v>850</v>
      </c>
    </row>
    <row r="14026" spans="1:5" x14ac:dyDescent="0.55000000000000004">
      <c r="A14026" t="s">
        <v>14107</v>
      </c>
      <c r="B14026" t="s">
        <v>74</v>
      </c>
      <c r="C14026" s="2">
        <v>42977</v>
      </c>
      <c r="D14026" t="s">
        <v>29</v>
      </c>
      <c r="E14026">
        <v>325</v>
      </c>
    </row>
    <row r="14027" spans="1:5" x14ac:dyDescent="0.55000000000000004">
      <c r="A14027" t="s">
        <v>14108</v>
      </c>
      <c r="B14027" t="s">
        <v>99</v>
      </c>
      <c r="C14027" s="2">
        <v>45532</v>
      </c>
      <c r="D14027" t="s">
        <v>29</v>
      </c>
      <c r="E14027">
        <v>1822</v>
      </c>
    </row>
    <row r="14028" spans="1:5" x14ac:dyDescent="0.55000000000000004">
      <c r="A14028" t="s">
        <v>14109</v>
      </c>
      <c r="B14028" t="s">
        <v>99</v>
      </c>
      <c r="C14028" s="2">
        <v>45267</v>
      </c>
      <c r="D14028" t="s">
        <v>26</v>
      </c>
      <c r="E14028">
        <v>2168</v>
      </c>
    </row>
    <row r="14029" spans="1:5" x14ac:dyDescent="0.55000000000000004">
      <c r="A14029" t="s">
        <v>14110</v>
      </c>
      <c r="B14029" t="s">
        <v>76</v>
      </c>
      <c r="C14029" s="2">
        <v>43527</v>
      </c>
      <c r="D14029" t="s">
        <v>29</v>
      </c>
      <c r="E14029">
        <v>1975</v>
      </c>
    </row>
    <row r="14030" spans="1:5" x14ac:dyDescent="0.55000000000000004">
      <c r="A14030" t="s">
        <v>14111</v>
      </c>
      <c r="B14030" t="s">
        <v>105</v>
      </c>
      <c r="C14030" s="2">
        <v>44403</v>
      </c>
      <c r="D14030" t="s">
        <v>26</v>
      </c>
      <c r="E14030">
        <v>2473</v>
      </c>
    </row>
    <row r="14031" spans="1:5" x14ac:dyDescent="0.55000000000000004">
      <c r="A14031" t="s">
        <v>14112</v>
      </c>
      <c r="B14031" t="s">
        <v>15</v>
      </c>
      <c r="C14031" s="2">
        <v>43978</v>
      </c>
      <c r="D14031" t="s">
        <v>26</v>
      </c>
      <c r="E14031">
        <v>49</v>
      </c>
    </row>
    <row r="14032" spans="1:5" x14ac:dyDescent="0.55000000000000004">
      <c r="A14032" t="s">
        <v>14113</v>
      </c>
      <c r="B14032" t="s">
        <v>38</v>
      </c>
      <c r="C14032" s="2">
        <v>43976</v>
      </c>
      <c r="D14032" t="s">
        <v>29</v>
      </c>
      <c r="E14032">
        <v>1480</v>
      </c>
    </row>
    <row r="14033" spans="1:5" x14ac:dyDescent="0.55000000000000004">
      <c r="A14033" t="s">
        <v>14114</v>
      </c>
      <c r="B14033" t="s">
        <v>35</v>
      </c>
      <c r="C14033" s="2">
        <v>44901</v>
      </c>
      <c r="D14033" t="s">
        <v>29</v>
      </c>
      <c r="E14033">
        <v>1655</v>
      </c>
    </row>
    <row r="14034" spans="1:5" x14ac:dyDescent="0.55000000000000004">
      <c r="A14034" t="s">
        <v>14115</v>
      </c>
      <c r="B14034" t="s">
        <v>118</v>
      </c>
      <c r="C14034" s="2">
        <v>43538</v>
      </c>
      <c r="D14034" t="s">
        <v>29</v>
      </c>
      <c r="E14034">
        <v>1197</v>
      </c>
    </row>
    <row r="14035" spans="1:5" x14ac:dyDescent="0.55000000000000004">
      <c r="A14035" t="s">
        <v>14116</v>
      </c>
      <c r="B14035" t="s">
        <v>111</v>
      </c>
      <c r="C14035" s="2">
        <v>43776</v>
      </c>
      <c r="D14035" t="s">
        <v>26</v>
      </c>
      <c r="E14035">
        <v>2741</v>
      </c>
    </row>
    <row r="14036" spans="1:5" x14ac:dyDescent="0.55000000000000004">
      <c r="A14036" t="s">
        <v>14117</v>
      </c>
      <c r="B14036" t="s">
        <v>111</v>
      </c>
      <c r="C14036" s="2">
        <v>44307</v>
      </c>
      <c r="D14036" t="s">
        <v>29</v>
      </c>
      <c r="E14036">
        <v>2622</v>
      </c>
    </row>
    <row r="14037" spans="1:5" x14ac:dyDescent="0.55000000000000004">
      <c r="A14037" t="s">
        <v>14118</v>
      </c>
      <c r="B14037" t="s">
        <v>15</v>
      </c>
      <c r="C14037" s="2">
        <v>42924</v>
      </c>
      <c r="D14037" t="s">
        <v>26</v>
      </c>
      <c r="E14037">
        <v>641</v>
      </c>
    </row>
    <row r="14038" spans="1:5" x14ac:dyDescent="0.55000000000000004">
      <c r="A14038" t="s">
        <v>14119</v>
      </c>
      <c r="B14038" t="s">
        <v>15</v>
      </c>
      <c r="C14038" s="2">
        <v>43120</v>
      </c>
      <c r="D14038" t="s">
        <v>29</v>
      </c>
      <c r="E14038">
        <v>1460</v>
      </c>
    </row>
    <row r="14039" spans="1:5" x14ac:dyDescent="0.55000000000000004">
      <c r="A14039" t="s">
        <v>14120</v>
      </c>
      <c r="B14039" t="s">
        <v>67</v>
      </c>
      <c r="C14039" s="2">
        <v>45317</v>
      </c>
      <c r="D14039" t="s">
        <v>29</v>
      </c>
      <c r="E14039">
        <v>218</v>
      </c>
    </row>
    <row r="14040" spans="1:5" x14ac:dyDescent="0.55000000000000004">
      <c r="A14040" t="s">
        <v>14121</v>
      </c>
      <c r="B14040" t="s">
        <v>137</v>
      </c>
      <c r="C14040" s="2">
        <v>45727</v>
      </c>
      <c r="D14040" t="s">
        <v>26</v>
      </c>
      <c r="E14040">
        <v>2721</v>
      </c>
    </row>
    <row r="14041" spans="1:5" x14ac:dyDescent="0.55000000000000004">
      <c r="A14041" t="s">
        <v>14122</v>
      </c>
      <c r="B14041" t="s">
        <v>72</v>
      </c>
      <c r="C14041" s="2">
        <v>42987</v>
      </c>
      <c r="D14041" t="s">
        <v>29</v>
      </c>
      <c r="E14041">
        <v>1398</v>
      </c>
    </row>
    <row r="14042" spans="1:5" x14ac:dyDescent="0.55000000000000004">
      <c r="A14042" t="s">
        <v>14123</v>
      </c>
      <c r="B14042" t="s">
        <v>94</v>
      </c>
      <c r="C14042" s="2">
        <v>43985</v>
      </c>
      <c r="D14042" t="s">
        <v>26</v>
      </c>
      <c r="E14042">
        <v>1032</v>
      </c>
    </row>
    <row r="14043" spans="1:5" x14ac:dyDescent="0.55000000000000004">
      <c r="A14043" t="s">
        <v>14124</v>
      </c>
      <c r="B14043" t="s">
        <v>101</v>
      </c>
      <c r="C14043" s="2">
        <v>44541</v>
      </c>
      <c r="D14043" t="s">
        <v>26</v>
      </c>
      <c r="E14043">
        <v>1895</v>
      </c>
    </row>
    <row r="14044" spans="1:5" x14ac:dyDescent="0.55000000000000004">
      <c r="A14044" t="s">
        <v>14125</v>
      </c>
      <c r="B14044" t="s">
        <v>156</v>
      </c>
      <c r="C14044" s="2">
        <v>43343</v>
      </c>
      <c r="D14044" t="s">
        <v>26</v>
      </c>
      <c r="E14044">
        <v>2591</v>
      </c>
    </row>
    <row r="14045" spans="1:5" x14ac:dyDescent="0.55000000000000004">
      <c r="A14045" t="s">
        <v>14126</v>
      </c>
      <c r="B14045" t="s">
        <v>101</v>
      </c>
      <c r="C14045" s="2">
        <v>43448</v>
      </c>
      <c r="D14045" t="s">
        <v>29</v>
      </c>
      <c r="E14045">
        <v>1966</v>
      </c>
    </row>
    <row r="14046" spans="1:5" x14ac:dyDescent="0.55000000000000004">
      <c r="A14046" t="s">
        <v>14127</v>
      </c>
      <c r="B14046" t="s">
        <v>96</v>
      </c>
      <c r="C14046" s="2">
        <v>44244</v>
      </c>
      <c r="D14046" t="s">
        <v>26</v>
      </c>
      <c r="E14046">
        <v>169</v>
      </c>
    </row>
    <row r="14047" spans="1:5" x14ac:dyDescent="0.55000000000000004">
      <c r="A14047" t="s">
        <v>14128</v>
      </c>
      <c r="B14047" t="s">
        <v>72</v>
      </c>
      <c r="C14047" s="2">
        <v>43527</v>
      </c>
      <c r="D14047" t="s">
        <v>29</v>
      </c>
      <c r="E14047">
        <v>1101</v>
      </c>
    </row>
    <row r="14048" spans="1:5" x14ac:dyDescent="0.55000000000000004">
      <c r="A14048" t="s">
        <v>14129</v>
      </c>
      <c r="B14048" t="s">
        <v>14</v>
      </c>
      <c r="C14048" s="2">
        <v>44313</v>
      </c>
      <c r="D14048" t="s">
        <v>29</v>
      </c>
      <c r="E14048">
        <v>964</v>
      </c>
    </row>
    <row r="14049" spans="1:5" x14ac:dyDescent="0.55000000000000004">
      <c r="A14049" t="s">
        <v>14130</v>
      </c>
      <c r="B14049" t="s">
        <v>35</v>
      </c>
      <c r="C14049" s="2">
        <v>44038</v>
      </c>
      <c r="D14049" t="s">
        <v>29</v>
      </c>
      <c r="E14049">
        <v>330</v>
      </c>
    </row>
    <row r="14050" spans="1:5" x14ac:dyDescent="0.55000000000000004">
      <c r="A14050" t="s">
        <v>14131</v>
      </c>
      <c r="B14050" t="s">
        <v>99</v>
      </c>
      <c r="C14050" s="2">
        <v>43467</v>
      </c>
      <c r="D14050" t="s">
        <v>26</v>
      </c>
      <c r="E14050">
        <v>276</v>
      </c>
    </row>
    <row r="14051" spans="1:5" x14ac:dyDescent="0.55000000000000004">
      <c r="A14051" t="s">
        <v>14132</v>
      </c>
      <c r="B14051" t="s">
        <v>105</v>
      </c>
      <c r="C14051" s="2">
        <v>43035</v>
      </c>
      <c r="D14051" t="s">
        <v>26</v>
      </c>
      <c r="E14051">
        <v>1628</v>
      </c>
    </row>
    <row r="14052" spans="1:5" x14ac:dyDescent="0.55000000000000004">
      <c r="A14052" t="s">
        <v>14133</v>
      </c>
      <c r="B14052" t="s">
        <v>96</v>
      </c>
      <c r="C14052" s="2">
        <v>44202</v>
      </c>
      <c r="D14052" t="s">
        <v>26</v>
      </c>
      <c r="E14052">
        <v>1617</v>
      </c>
    </row>
    <row r="14053" spans="1:5" x14ac:dyDescent="0.55000000000000004">
      <c r="A14053" t="s">
        <v>14134</v>
      </c>
      <c r="B14053" t="s">
        <v>32</v>
      </c>
      <c r="C14053" s="2">
        <v>44348</v>
      </c>
      <c r="D14053" t="s">
        <v>26</v>
      </c>
      <c r="E14053">
        <v>1775</v>
      </c>
    </row>
    <row r="14054" spans="1:5" x14ac:dyDescent="0.55000000000000004">
      <c r="A14054" t="s">
        <v>14135</v>
      </c>
      <c r="B14054" t="s">
        <v>74</v>
      </c>
      <c r="C14054" s="2">
        <v>44224</v>
      </c>
      <c r="D14054" t="s">
        <v>29</v>
      </c>
      <c r="E14054">
        <v>1700</v>
      </c>
    </row>
    <row r="14055" spans="1:5" x14ac:dyDescent="0.55000000000000004">
      <c r="A14055" t="s">
        <v>14136</v>
      </c>
      <c r="B14055" t="s">
        <v>38</v>
      </c>
      <c r="C14055" s="2">
        <v>44691</v>
      </c>
      <c r="D14055" t="s">
        <v>29</v>
      </c>
      <c r="E14055">
        <v>1980</v>
      </c>
    </row>
    <row r="14056" spans="1:5" x14ac:dyDescent="0.55000000000000004">
      <c r="A14056" t="s">
        <v>14137</v>
      </c>
      <c r="B14056" t="s">
        <v>74</v>
      </c>
      <c r="C14056" s="2">
        <v>42976</v>
      </c>
      <c r="D14056" t="s">
        <v>29</v>
      </c>
      <c r="E14056">
        <v>2844</v>
      </c>
    </row>
    <row r="14057" spans="1:5" x14ac:dyDescent="0.55000000000000004">
      <c r="A14057" t="s">
        <v>14138</v>
      </c>
      <c r="B14057" t="s">
        <v>23</v>
      </c>
      <c r="C14057" s="2">
        <v>44281</v>
      </c>
      <c r="D14057" t="s">
        <v>29</v>
      </c>
      <c r="E14057">
        <v>749</v>
      </c>
    </row>
    <row r="14058" spans="1:5" x14ac:dyDescent="0.55000000000000004">
      <c r="A14058" t="s">
        <v>14139</v>
      </c>
      <c r="B14058" t="s">
        <v>15</v>
      </c>
      <c r="C14058" s="2">
        <v>43616</v>
      </c>
      <c r="D14058" t="s">
        <v>29</v>
      </c>
      <c r="E14058">
        <v>1501</v>
      </c>
    </row>
    <row r="14059" spans="1:5" x14ac:dyDescent="0.55000000000000004">
      <c r="A14059" t="s">
        <v>14140</v>
      </c>
      <c r="B14059" t="s">
        <v>72</v>
      </c>
      <c r="C14059" s="2">
        <v>44352</v>
      </c>
      <c r="D14059" t="s">
        <v>26</v>
      </c>
      <c r="E14059">
        <v>2227</v>
      </c>
    </row>
    <row r="14060" spans="1:5" x14ac:dyDescent="0.55000000000000004">
      <c r="A14060" t="s">
        <v>14141</v>
      </c>
      <c r="B14060" t="s">
        <v>63</v>
      </c>
      <c r="C14060" s="2">
        <v>43134</v>
      </c>
      <c r="D14060" t="s">
        <v>26</v>
      </c>
      <c r="E14060">
        <v>46</v>
      </c>
    </row>
    <row r="14061" spans="1:5" x14ac:dyDescent="0.55000000000000004">
      <c r="A14061" t="s">
        <v>14142</v>
      </c>
      <c r="B14061" t="s">
        <v>35</v>
      </c>
      <c r="C14061" s="2">
        <v>43841</v>
      </c>
      <c r="D14061" t="s">
        <v>26</v>
      </c>
      <c r="E14061">
        <v>1582</v>
      </c>
    </row>
    <row r="14062" spans="1:5" x14ac:dyDescent="0.55000000000000004">
      <c r="A14062" t="s">
        <v>14143</v>
      </c>
      <c r="B14062" t="s">
        <v>74</v>
      </c>
      <c r="C14062" s="2">
        <v>44218</v>
      </c>
      <c r="D14062" t="s">
        <v>26</v>
      </c>
      <c r="E14062">
        <v>731</v>
      </c>
    </row>
    <row r="14063" spans="1:5" x14ac:dyDescent="0.55000000000000004">
      <c r="A14063" t="s">
        <v>14144</v>
      </c>
      <c r="B14063" t="s">
        <v>74</v>
      </c>
      <c r="C14063" s="2">
        <v>43593</v>
      </c>
      <c r="D14063" t="s">
        <v>26</v>
      </c>
      <c r="E14063">
        <v>2329</v>
      </c>
    </row>
    <row r="14064" spans="1:5" x14ac:dyDescent="0.55000000000000004">
      <c r="A14064" t="s">
        <v>14145</v>
      </c>
      <c r="B14064" t="s">
        <v>142</v>
      </c>
      <c r="C14064" s="2">
        <v>43038</v>
      </c>
      <c r="D14064" t="s">
        <v>29</v>
      </c>
      <c r="E14064">
        <v>1209</v>
      </c>
    </row>
    <row r="14065" spans="1:5" x14ac:dyDescent="0.55000000000000004">
      <c r="A14065" t="s">
        <v>14146</v>
      </c>
      <c r="B14065" t="s">
        <v>74</v>
      </c>
      <c r="C14065" s="2">
        <v>44429</v>
      </c>
      <c r="D14065" t="s">
        <v>29</v>
      </c>
      <c r="E14065">
        <v>1546</v>
      </c>
    </row>
    <row r="14066" spans="1:5" x14ac:dyDescent="0.55000000000000004">
      <c r="A14066" t="s">
        <v>14147</v>
      </c>
      <c r="B14066" t="s">
        <v>41</v>
      </c>
      <c r="C14066" s="2">
        <v>44379</v>
      </c>
      <c r="D14066" t="s">
        <v>26</v>
      </c>
      <c r="E14066">
        <v>154</v>
      </c>
    </row>
    <row r="14067" spans="1:5" x14ac:dyDescent="0.55000000000000004">
      <c r="A14067" t="s">
        <v>14148</v>
      </c>
      <c r="B14067" t="s">
        <v>99</v>
      </c>
      <c r="C14067" s="2">
        <v>45013</v>
      </c>
      <c r="D14067" t="s">
        <v>26</v>
      </c>
      <c r="E14067">
        <v>1215</v>
      </c>
    </row>
    <row r="14068" spans="1:5" x14ac:dyDescent="0.55000000000000004">
      <c r="A14068" t="s">
        <v>14149</v>
      </c>
      <c r="B14068" t="s">
        <v>72</v>
      </c>
      <c r="C14068" s="2">
        <v>44056</v>
      </c>
      <c r="D14068" t="s">
        <v>26</v>
      </c>
      <c r="E14068">
        <v>394</v>
      </c>
    </row>
    <row r="14069" spans="1:5" x14ac:dyDescent="0.55000000000000004">
      <c r="A14069" t="s">
        <v>14150</v>
      </c>
      <c r="B14069" t="s">
        <v>101</v>
      </c>
      <c r="C14069" s="2">
        <v>43922</v>
      </c>
      <c r="D14069" t="s">
        <v>26</v>
      </c>
      <c r="E14069">
        <v>869</v>
      </c>
    </row>
    <row r="14070" spans="1:5" x14ac:dyDescent="0.55000000000000004">
      <c r="A14070" t="s">
        <v>14151</v>
      </c>
      <c r="B14070" t="s">
        <v>72</v>
      </c>
      <c r="C14070" s="2">
        <v>43532</v>
      </c>
      <c r="D14070" t="s">
        <v>29</v>
      </c>
      <c r="E14070">
        <v>1032</v>
      </c>
    </row>
    <row r="14071" spans="1:5" x14ac:dyDescent="0.55000000000000004">
      <c r="A14071" t="s">
        <v>14152</v>
      </c>
      <c r="B14071" t="s">
        <v>84</v>
      </c>
      <c r="C14071" s="2">
        <v>43888</v>
      </c>
      <c r="D14071" t="s">
        <v>26</v>
      </c>
      <c r="E14071">
        <v>156</v>
      </c>
    </row>
    <row r="14072" spans="1:5" x14ac:dyDescent="0.55000000000000004">
      <c r="A14072" t="s">
        <v>14153</v>
      </c>
      <c r="B14072" t="s">
        <v>101</v>
      </c>
      <c r="C14072" s="2">
        <v>43015</v>
      </c>
      <c r="D14072" t="s">
        <v>29</v>
      </c>
      <c r="E14072">
        <v>251</v>
      </c>
    </row>
    <row r="14073" spans="1:5" x14ac:dyDescent="0.55000000000000004">
      <c r="A14073" t="s">
        <v>14154</v>
      </c>
      <c r="B14073" t="s">
        <v>140</v>
      </c>
      <c r="C14073" s="2">
        <v>43847</v>
      </c>
      <c r="D14073" t="s">
        <v>26</v>
      </c>
      <c r="E14073">
        <v>2012</v>
      </c>
    </row>
    <row r="14074" spans="1:5" x14ac:dyDescent="0.55000000000000004">
      <c r="A14074" t="s">
        <v>14155</v>
      </c>
      <c r="B14074" t="s">
        <v>15</v>
      </c>
      <c r="C14074" s="2">
        <v>43999</v>
      </c>
      <c r="D14074" t="s">
        <v>26</v>
      </c>
      <c r="E14074">
        <v>296</v>
      </c>
    </row>
    <row r="14075" spans="1:5" x14ac:dyDescent="0.55000000000000004">
      <c r="A14075" t="s">
        <v>14156</v>
      </c>
      <c r="B14075" t="s">
        <v>84</v>
      </c>
      <c r="C14075" s="2">
        <v>43167</v>
      </c>
      <c r="D14075" t="s">
        <v>26</v>
      </c>
      <c r="E14075">
        <v>161</v>
      </c>
    </row>
    <row r="14076" spans="1:5" x14ac:dyDescent="0.55000000000000004">
      <c r="A14076" t="s">
        <v>14157</v>
      </c>
      <c r="B14076" t="s">
        <v>142</v>
      </c>
      <c r="C14076" s="2">
        <v>43857</v>
      </c>
      <c r="D14076" t="s">
        <v>26</v>
      </c>
      <c r="E14076">
        <v>2490</v>
      </c>
    </row>
    <row r="14077" spans="1:5" x14ac:dyDescent="0.55000000000000004">
      <c r="A14077" t="s">
        <v>14158</v>
      </c>
      <c r="B14077" t="s">
        <v>14</v>
      </c>
      <c r="C14077" s="2">
        <v>43948</v>
      </c>
      <c r="D14077" t="s">
        <v>29</v>
      </c>
      <c r="E14077">
        <v>1928</v>
      </c>
    </row>
    <row r="14078" spans="1:5" x14ac:dyDescent="0.55000000000000004">
      <c r="A14078" t="s">
        <v>14159</v>
      </c>
      <c r="B14078" t="s">
        <v>32</v>
      </c>
      <c r="C14078" s="2">
        <v>44922</v>
      </c>
      <c r="D14078" t="s">
        <v>26</v>
      </c>
      <c r="E14078">
        <v>2975</v>
      </c>
    </row>
    <row r="14079" spans="1:5" x14ac:dyDescent="0.55000000000000004">
      <c r="A14079" t="s">
        <v>14160</v>
      </c>
      <c r="B14079" t="s">
        <v>115</v>
      </c>
      <c r="C14079" s="2">
        <v>44259</v>
      </c>
      <c r="D14079" t="s">
        <v>26</v>
      </c>
      <c r="E14079">
        <v>1868</v>
      </c>
    </row>
    <row r="14080" spans="1:5" x14ac:dyDescent="0.55000000000000004">
      <c r="A14080" t="s">
        <v>14161</v>
      </c>
      <c r="B14080" t="s">
        <v>142</v>
      </c>
      <c r="C14080" s="2">
        <v>44421</v>
      </c>
      <c r="D14080" t="s">
        <v>29</v>
      </c>
      <c r="E14080">
        <v>1600</v>
      </c>
    </row>
    <row r="14081" spans="1:5" x14ac:dyDescent="0.55000000000000004">
      <c r="A14081" t="s">
        <v>14162</v>
      </c>
      <c r="B14081" t="s">
        <v>84</v>
      </c>
      <c r="C14081" s="2">
        <v>43869</v>
      </c>
      <c r="D14081" t="s">
        <v>29</v>
      </c>
      <c r="E14081">
        <v>1355</v>
      </c>
    </row>
    <row r="14082" spans="1:5" x14ac:dyDescent="0.55000000000000004">
      <c r="A14082" t="s">
        <v>14163</v>
      </c>
      <c r="B14082" t="s">
        <v>99</v>
      </c>
      <c r="C14082" s="2">
        <v>44983</v>
      </c>
      <c r="D14082" t="s">
        <v>29</v>
      </c>
      <c r="E14082">
        <v>1493</v>
      </c>
    </row>
    <row r="14083" spans="1:5" x14ac:dyDescent="0.55000000000000004">
      <c r="A14083" t="s">
        <v>14164</v>
      </c>
      <c r="B14083" t="s">
        <v>15</v>
      </c>
      <c r="C14083" s="2">
        <v>44130</v>
      </c>
      <c r="D14083" t="s">
        <v>26</v>
      </c>
      <c r="E14083">
        <v>922</v>
      </c>
    </row>
    <row r="14084" spans="1:5" x14ac:dyDescent="0.55000000000000004">
      <c r="A14084" t="s">
        <v>14165</v>
      </c>
      <c r="B14084" t="s">
        <v>137</v>
      </c>
      <c r="C14084" s="2">
        <v>44387</v>
      </c>
      <c r="D14084" t="s">
        <v>29</v>
      </c>
      <c r="E14084">
        <v>2574</v>
      </c>
    </row>
    <row r="14085" spans="1:5" x14ac:dyDescent="0.55000000000000004">
      <c r="A14085" t="s">
        <v>14166</v>
      </c>
      <c r="B14085" t="s">
        <v>15</v>
      </c>
      <c r="C14085" s="2">
        <v>44408</v>
      </c>
      <c r="D14085" t="s">
        <v>29</v>
      </c>
      <c r="E14085">
        <v>2593</v>
      </c>
    </row>
    <row r="14086" spans="1:5" x14ac:dyDescent="0.55000000000000004">
      <c r="A14086" t="s">
        <v>14167</v>
      </c>
      <c r="B14086" t="s">
        <v>23</v>
      </c>
      <c r="C14086" s="2">
        <v>44403</v>
      </c>
      <c r="D14086" t="s">
        <v>29</v>
      </c>
      <c r="E14086">
        <v>2470</v>
      </c>
    </row>
    <row r="14087" spans="1:5" x14ac:dyDescent="0.55000000000000004">
      <c r="A14087" t="s">
        <v>14168</v>
      </c>
      <c r="B14087" t="s">
        <v>74</v>
      </c>
      <c r="C14087" s="2">
        <v>42959</v>
      </c>
      <c r="D14087" t="s">
        <v>26</v>
      </c>
      <c r="E14087">
        <v>1978</v>
      </c>
    </row>
    <row r="14088" spans="1:5" x14ac:dyDescent="0.55000000000000004">
      <c r="A14088" t="s">
        <v>14169</v>
      </c>
      <c r="B14088" t="s">
        <v>67</v>
      </c>
      <c r="C14088" s="2">
        <v>44622</v>
      </c>
      <c r="D14088" t="s">
        <v>29</v>
      </c>
      <c r="E14088">
        <v>1288</v>
      </c>
    </row>
    <row r="14089" spans="1:5" x14ac:dyDescent="0.55000000000000004">
      <c r="A14089" t="s">
        <v>14170</v>
      </c>
      <c r="B14089" t="s">
        <v>105</v>
      </c>
      <c r="C14089" s="2">
        <v>43361</v>
      </c>
      <c r="D14089" t="s">
        <v>26</v>
      </c>
      <c r="E14089">
        <v>2203</v>
      </c>
    </row>
    <row r="14090" spans="1:5" x14ac:dyDescent="0.55000000000000004">
      <c r="A14090" t="s">
        <v>14171</v>
      </c>
      <c r="B14090" t="s">
        <v>14</v>
      </c>
      <c r="C14090" s="2">
        <v>43508</v>
      </c>
      <c r="D14090" t="s">
        <v>29</v>
      </c>
      <c r="E14090">
        <v>876</v>
      </c>
    </row>
    <row r="14091" spans="1:5" x14ac:dyDescent="0.55000000000000004">
      <c r="A14091" t="s">
        <v>14172</v>
      </c>
      <c r="B14091" t="s">
        <v>151</v>
      </c>
      <c r="C14091" s="2">
        <v>43458</v>
      </c>
      <c r="D14091" t="s">
        <v>26</v>
      </c>
      <c r="E14091">
        <v>101</v>
      </c>
    </row>
    <row r="14092" spans="1:5" x14ac:dyDescent="0.55000000000000004">
      <c r="A14092" t="s">
        <v>14173</v>
      </c>
      <c r="B14092" t="s">
        <v>84</v>
      </c>
      <c r="C14092" s="2">
        <v>44170</v>
      </c>
      <c r="D14092" t="s">
        <v>26</v>
      </c>
      <c r="E14092">
        <v>106</v>
      </c>
    </row>
    <row r="14093" spans="1:5" x14ac:dyDescent="0.55000000000000004">
      <c r="A14093" t="s">
        <v>14174</v>
      </c>
      <c r="B14093" t="s">
        <v>137</v>
      </c>
      <c r="C14093" s="2">
        <v>45362</v>
      </c>
      <c r="D14093" t="s">
        <v>26</v>
      </c>
      <c r="E14093">
        <v>8</v>
      </c>
    </row>
    <row r="14094" spans="1:5" x14ac:dyDescent="0.55000000000000004">
      <c r="A14094" t="s">
        <v>14175</v>
      </c>
      <c r="B14094" t="s">
        <v>14</v>
      </c>
      <c r="C14094" s="2">
        <v>43232</v>
      </c>
      <c r="D14094" t="s">
        <v>29</v>
      </c>
      <c r="E14094">
        <v>1919</v>
      </c>
    </row>
    <row r="14095" spans="1:5" x14ac:dyDescent="0.55000000000000004">
      <c r="A14095" t="s">
        <v>14176</v>
      </c>
      <c r="B14095" t="s">
        <v>86</v>
      </c>
      <c r="C14095" s="2">
        <v>43608</v>
      </c>
      <c r="D14095" t="s">
        <v>29</v>
      </c>
      <c r="E14095">
        <v>1829</v>
      </c>
    </row>
    <row r="14096" spans="1:5" x14ac:dyDescent="0.55000000000000004">
      <c r="A14096" t="s">
        <v>14177</v>
      </c>
      <c r="B14096" t="s">
        <v>86</v>
      </c>
      <c r="C14096" s="2">
        <v>43331</v>
      </c>
      <c r="D14096" t="s">
        <v>29</v>
      </c>
      <c r="E14096">
        <v>1190</v>
      </c>
    </row>
    <row r="14097" spans="1:5" x14ac:dyDescent="0.55000000000000004">
      <c r="A14097" t="s">
        <v>14178</v>
      </c>
      <c r="B14097" t="s">
        <v>137</v>
      </c>
      <c r="C14097" s="2">
        <v>43832</v>
      </c>
      <c r="D14097" t="s">
        <v>29</v>
      </c>
      <c r="E14097">
        <v>863</v>
      </c>
    </row>
    <row r="14098" spans="1:5" x14ac:dyDescent="0.55000000000000004">
      <c r="A14098" t="s">
        <v>14179</v>
      </c>
      <c r="B14098" t="s">
        <v>67</v>
      </c>
      <c r="C14098" s="2">
        <v>44037</v>
      </c>
      <c r="D14098" t="s">
        <v>29</v>
      </c>
      <c r="E14098">
        <v>330</v>
      </c>
    </row>
    <row r="14099" spans="1:5" x14ac:dyDescent="0.55000000000000004">
      <c r="A14099" t="s">
        <v>14180</v>
      </c>
      <c r="B14099" t="s">
        <v>115</v>
      </c>
      <c r="C14099" s="2">
        <v>43881</v>
      </c>
      <c r="D14099" t="s">
        <v>26</v>
      </c>
      <c r="E14099">
        <v>2599</v>
      </c>
    </row>
    <row r="14100" spans="1:5" x14ac:dyDescent="0.55000000000000004">
      <c r="A14100" t="s">
        <v>14181</v>
      </c>
      <c r="B14100" t="s">
        <v>151</v>
      </c>
      <c r="C14100" s="2">
        <v>43024</v>
      </c>
      <c r="D14100" t="s">
        <v>26</v>
      </c>
      <c r="E14100">
        <v>1429</v>
      </c>
    </row>
    <row r="14101" spans="1:5" x14ac:dyDescent="0.55000000000000004">
      <c r="A14101" t="s">
        <v>14182</v>
      </c>
      <c r="B14101" t="s">
        <v>67</v>
      </c>
      <c r="C14101" s="2">
        <v>44137</v>
      </c>
      <c r="D14101" t="s">
        <v>26</v>
      </c>
      <c r="E14101">
        <v>1944</v>
      </c>
    </row>
    <row r="14102" spans="1:5" x14ac:dyDescent="0.55000000000000004">
      <c r="A14102" t="s">
        <v>14183</v>
      </c>
      <c r="B14102" t="s">
        <v>137</v>
      </c>
      <c r="C14102" s="2">
        <v>44183</v>
      </c>
      <c r="D14102" t="s">
        <v>29</v>
      </c>
      <c r="E14102">
        <v>922</v>
      </c>
    </row>
    <row r="14103" spans="1:5" x14ac:dyDescent="0.55000000000000004">
      <c r="A14103" t="s">
        <v>14184</v>
      </c>
      <c r="B14103" t="s">
        <v>38</v>
      </c>
      <c r="C14103" s="2">
        <v>44339</v>
      </c>
      <c r="D14103" t="s">
        <v>26</v>
      </c>
      <c r="E14103">
        <v>2228</v>
      </c>
    </row>
    <row r="14104" spans="1:5" x14ac:dyDescent="0.55000000000000004">
      <c r="A14104" t="s">
        <v>14185</v>
      </c>
      <c r="B14104" t="s">
        <v>118</v>
      </c>
      <c r="C14104" s="2">
        <v>43682</v>
      </c>
      <c r="D14104" t="s">
        <v>29</v>
      </c>
      <c r="E14104">
        <v>2266</v>
      </c>
    </row>
    <row r="14105" spans="1:5" x14ac:dyDescent="0.55000000000000004">
      <c r="A14105" t="s">
        <v>14186</v>
      </c>
      <c r="B14105" t="s">
        <v>175</v>
      </c>
      <c r="C14105" s="2">
        <v>43519</v>
      </c>
      <c r="D14105" t="s">
        <v>29</v>
      </c>
      <c r="E14105">
        <v>2845</v>
      </c>
    </row>
    <row r="14106" spans="1:5" x14ac:dyDescent="0.55000000000000004">
      <c r="A14106" t="s">
        <v>14187</v>
      </c>
      <c r="B14106" t="s">
        <v>74</v>
      </c>
      <c r="C14106" s="2">
        <v>43136</v>
      </c>
      <c r="D14106" t="s">
        <v>26</v>
      </c>
      <c r="E14106">
        <v>1504</v>
      </c>
    </row>
    <row r="14107" spans="1:5" x14ac:dyDescent="0.55000000000000004">
      <c r="A14107" t="s">
        <v>14188</v>
      </c>
      <c r="B14107" t="s">
        <v>67</v>
      </c>
      <c r="C14107" s="2">
        <v>43550</v>
      </c>
      <c r="D14107" t="s">
        <v>29</v>
      </c>
      <c r="E14107">
        <v>1247</v>
      </c>
    </row>
    <row r="14108" spans="1:5" x14ac:dyDescent="0.55000000000000004">
      <c r="A14108" t="s">
        <v>14189</v>
      </c>
      <c r="B14108" t="s">
        <v>41</v>
      </c>
      <c r="C14108" s="2">
        <v>44305</v>
      </c>
      <c r="D14108" t="s">
        <v>26</v>
      </c>
      <c r="E14108">
        <v>1629</v>
      </c>
    </row>
    <row r="14109" spans="1:5" x14ac:dyDescent="0.55000000000000004">
      <c r="A14109" t="s">
        <v>14190</v>
      </c>
      <c r="B14109" t="s">
        <v>111</v>
      </c>
      <c r="C14109" s="2">
        <v>44312</v>
      </c>
      <c r="D14109" t="s">
        <v>29</v>
      </c>
      <c r="E14109">
        <v>1981</v>
      </c>
    </row>
    <row r="14110" spans="1:5" x14ac:dyDescent="0.55000000000000004">
      <c r="A14110" t="s">
        <v>14191</v>
      </c>
      <c r="B14110" t="s">
        <v>72</v>
      </c>
      <c r="C14110" s="2">
        <v>43106</v>
      </c>
      <c r="D14110" t="s">
        <v>26</v>
      </c>
      <c r="E14110">
        <v>546</v>
      </c>
    </row>
    <row r="14111" spans="1:5" x14ac:dyDescent="0.55000000000000004">
      <c r="A14111" t="s">
        <v>14192</v>
      </c>
      <c r="B14111" t="s">
        <v>15</v>
      </c>
      <c r="C14111" s="2">
        <v>43136</v>
      </c>
      <c r="D14111" t="s">
        <v>29</v>
      </c>
      <c r="E14111">
        <v>2115</v>
      </c>
    </row>
    <row r="14112" spans="1:5" x14ac:dyDescent="0.55000000000000004">
      <c r="A14112" t="s">
        <v>14193</v>
      </c>
      <c r="B14112" t="s">
        <v>115</v>
      </c>
      <c r="C14112" s="2">
        <v>42918</v>
      </c>
      <c r="D14112" t="s">
        <v>26</v>
      </c>
      <c r="E14112">
        <v>2701</v>
      </c>
    </row>
    <row r="14113" spans="1:5" x14ac:dyDescent="0.55000000000000004">
      <c r="A14113" t="s">
        <v>14194</v>
      </c>
      <c r="B14113" t="s">
        <v>76</v>
      </c>
      <c r="C14113" s="2">
        <v>45325</v>
      </c>
      <c r="D14113" t="s">
        <v>29</v>
      </c>
      <c r="E14113">
        <v>1756</v>
      </c>
    </row>
    <row r="14114" spans="1:5" x14ac:dyDescent="0.55000000000000004">
      <c r="A14114" t="s">
        <v>14195</v>
      </c>
      <c r="B14114" t="s">
        <v>63</v>
      </c>
      <c r="C14114" s="2">
        <v>43669</v>
      </c>
      <c r="D14114" t="s">
        <v>26</v>
      </c>
      <c r="E14114">
        <v>349</v>
      </c>
    </row>
    <row r="14115" spans="1:5" x14ac:dyDescent="0.55000000000000004">
      <c r="A14115" t="s">
        <v>14196</v>
      </c>
      <c r="B14115" t="s">
        <v>111</v>
      </c>
      <c r="C14115" s="2">
        <v>43228</v>
      </c>
      <c r="D14115" t="s">
        <v>29</v>
      </c>
      <c r="E14115">
        <v>1982</v>
      </c>
    </row>
    <row r="14116" spans="1:5" x14ac:dyDescent="0.55000000000000004">
      <c r="A14116" t="s">
        <v>14197</v>
      </c>
      <c r="B14116" t="s">
        <v>151</v>
      </c>
      <c r="C14116" s="2">
        <v>44255</v>
      </c>
      <c r="D14116" t="s">
        <v>29</v>
      </c>
      <c r="E14116">
        <v>469</v>
      </c>
    </row>
    <row r="14117" spans="1:5" x14ac:dyDescent="0.55000000000000004">
      <c r="A14117" t="s">
        <v>14198</v>
      </c>
      <c r="B14117" t="s">
        <v>74</v>
      </c>
      <c r="C14117" s="2">
        <v>42942</v>
      </c>
      <c r="D14117" t="s">
        <v>29</v>
      </c>
      <c r="E14117">
        <v>26</v>
      </c>
    </row>
    <row r="14118" spans="1:5" x14ac:dyDescent="0.55000000000000004">
      <c r="A14118" t="s">
        <v>14199</v>
      </c>
      <c r="B14118" t="s">
        <v>101</v>
      </c>
      <c r="C14118" s="2">
        <v>44010</v>
      </c>
      <c r="D14118" t="s">
        <v>29</v>
      </c>
      <c r="E14118">
        <v>2154</v>
      </c>
    </row>
    <row r="14119" spans="1:5" x14ac:dyDescent="0.55000000000000004">
      <c r="A14119" t="s">
        <v>14200</v>
      </c>
      <c r="B14119" t="s">
        <v>35</v>
      </c>
      <c r="C14119" s="2">
        <v>44718</v>
      </c>
      <c r="D14119" t="s">
        <v>29</v>
      </c>
      <c r="E14119">
        <v>1716</v>
      </c>
    </row>
    <row r="14120" spans="1:5" x14ac:dyDescent="0.55000000000000004">
      <c r="A14120" t="s">
        <v>14201</v>
      </c>
      <c r="B14120" t="s">
        <v>78</v>
      </c>
      <c r="C14120" s="2">
        <v>44724</v>
      </c>
      <c r="D14120" t="s">
        <v>26</v>
      </c>
      <c r="E14120">
        <v>1191</v>
      </c>
    </row>
    <row r="14121" spans="1:5" x14ac:dyDescent="0.55000000000000004">
      <c r="A14121" t="s">
        <v>14202</v>
      </c>
      <c r="B14121" t="s">
        <v>96</v>
      </c>
      <c r="C14121" s="2">
        <v>44429</v>
      </c>
      <c r="D14121" t="s">
        <v>29</v>
      </c>
      <c r="E14121">
        <v>2485</v>
      </c>
    </row>
    <row r="14122" spans="1:5" x14ac:dyDescent="0.55000000000000004">
      <c r="A14122" t="s">
        <v>14203</v>
      </c>
      <c r="B14122" t="s">
        <v>175</v>
      </c>
      <c r="C14122" s="2">
        <v>44739</v>
      </c>
      <c r="D14122" t="s">
        <v>29</v>
      </c>
      <c r="E14122">
        <v>2249</v>
      </c>
    </row>
    <row r="14123" spans="1:5" x14ac:dyDescent="0.55000000000000004">
      <c r="A14123" t="s">
        <v>14204</v>
      </c>
      <c r="B14123" t="s">
        <v>23</v>
      </c>
      <c r="C14123" s="2">
        <v>44518</v>
      </c>
      <c r="D14123" t="s">
        <v>26</v>
      </c>
      <c r="E14123">
        <v>2604</v>
      </c>
    </row>
    <row r="14124" spans="1:5" x14ac:dyDescent="0.55000000000000004">
      <c r="A14124" t="s">
        <v>14205</v>
      </c>
      <c r="B14124" t="s">
        <v>15</v>
      </c>
      <c r="C14124" s="2">
        <v>43514</v>
      </c>
      <c r="D14124" t="s">
        <v>26</v>
      </c>
      <c r="E14124">
        <v>1404</v>
      </c>
    </row>
    <row r="14125" spans="1:5" x14ac:dyDescent="0.55000000000000004">
      <c r="A14125" t="s">
        <v>14206</v>
      </c>
      <c r="B14125" t="s">
        <v>105</v>
      </c>
      <c r="C14125" s="2">
        <v>43567</v>
      </c>
      <c r="D14125" t="s">
        <v>29</v>
      </c>
      <c r="E14125">
        <v>1819</v>
      </c>
    </row>
    <row r="14126" spans="1:5" x14ac:dyDescent="0.55000000000000004">
      <c r="A14126" t="s">
        <v>14207</v>
      </c>
      <c r="B14126" t="s">
        <v>101</v>
      </c>
      <c r="C14126" s="2">
        <v>44019</v>
      </c>
      <c r="D14126" t="s">
        <v>29</v>
      </c>
      <c r="E14126">
        <v>2938</v>
      </c>
    </row>
    <row r="14127" spans="1:5" x14ac:dyDescent="0.55000000000000004">
      <c r="A14127" t="s">
        <v>14208</v>
      </c>
      <c r="B14127" t="s">
        <v>96</v>
      </c>
      <c r="C14127" s="2">
        <v>44371</v>
      </c>
      <c r="D14127" t="s">
        <v>29</v>
      </c>
      <c r="E14127">
        <v>362</v>
      </c>
    </row>
    <row r="14128" spans="1:5" x14ac:dyDescent="0.55000000000000004">
      <c r="A14128" t="s">
        <v>14209</v>
      </c>
      <c r="B14128" t="s">
        <v>101</v>
      </c>
      <c r="C14128" s="2">
        <v>44200</v>
      </c>
      <c r="D14128" t="s">
        <v>29</v>
      </c>
      <c r="E14128">
        <v>139</v>
      </c>
    </row>
    <row r="14129" spans="1:5" x14ac:dyDescent="0.55000000000000004">
      <c r="A14129" t="s">
        <v>14210</v>
      </c>
      <c r="B14129" t="s">
        <v>63</v>
      </c>
      <c r="C14129" s="2">
        <v>44402</v>
      </c>
      <c r="D14129" t="s">
        <v>26</v>
      </c>
      <c r="E14129">
        <v>2736</v>
      </c>
    </row>
    <row r="14130" spans="1:5" x14ac:dyDescent="0.55000000000000004">
      <c r="A14130" t="s">
        <v>14211</v>
      </c>
      <c r="B14130" t="s">
        <v>35</v>
      </c>
      <c r="C14130" s="2">
        <v>44341</v>
      </c>
      <c r="D14130" t="s">
        <v>29</v>
      </c>
      <c r="E14130">
        <v>123</v>
      </c>
    </row>
    <row r="14131" spans="1:5" x14ac:dyDescent="0.55000000000000004">
      <c r="A14131" t="s">
        <v>14212</v>
      </c>
      <c r="B14131" t="s">
        <v>115</v>
      </c>
      <c r="C14131" s="2">
        <v>43459</v>
      </c>
      <c r="D14131" t="s">
        <v>26</v>
      </c>
      <c r="E14131">
        <v>2519</v>
      </c>
    </row>
    <row r="14132" spans="1:5" x14ac:dyDescent="0.55000000000000004">
      <c r="A14132" t="s">
        <v>14213</v>
      </c>
      <c r="B14132" t="s">
        <v>86</v>
      </c>
      <c r="C14132" s="2">
        <v>44376</v>
      </c>
      <c r="D14132" t="s">
        <v>26</v>
      </c>
      <c r="E14132">
        <v>2780</v>
      </c>
    </row>
    <row r="14133" spans="1:5" x14ac:dyDescent="0.55000000000000004">
      <c r="A14133" t="s">
        <v>14214</v>
      </c>
      <c r="B14133" t="s">
        <v>15</v>
      </c>
      <c r="C14133" s="2">
        <v>44547</v>
      </c>
      <c r="D14133" t="s">
        <v>26</v>
      </c>
      <c r="E14133">
        <v>1438</v>
      </c>
    </row>
    <row r="14134" spans="1:5" x14ac:dyDescent="0.55000000000000004">
      <c r="A14134" t="s">
        <v>14215</v>
      </c>
      <c r="B14134" t="s">
        <v>35</v>
      </c>
      <c r="C14134" s="2">
        <v>44030</v>
      </c>
      <c r="D14134" t="s">
        <v>29</v>
      </c>
      <c r="E14134">
        <v>2983</v>
      </c>
    </row>
    <row r="14135" spans="1:5" x14ac:dyDescent="0.55000000000000004">
      <c r="A14135" t="s">
        <v>14216</v>
      </c>
      <c r="B14135" t="s">
        <v>38</v>
      </c>
      <c r="C14135" s="2">
        <v>44286</v>
      </c>
      <c r="D14135" t="s">
        <v>26</v>
      </c>
      <c r="E14135">
        <v>915</v>
      </c>
    </row>
    <row r="14136" spans="1:5" x14ac:dyDescent="0.55000000000000004">
      <c r="A14136" t="s">
        <v>14217</v>
      </c>
      <c r="B14136" t="s">
        <v>142</v>
      </c>
      <c r="C14136" s="2">
        <v>44249</v>
      </c>
      <c r="D14136" t="s">
        <v>29</v>
      </c>
      <c r="E14136">
        <v>1997</v>
      </c>
    </row>
    <row r="14137" spans="1:5" x14ac:dyDescent="0.55000000000000004">
      <c r="A14137" t="s">
        <v>14218</v>
      </c>
      <c r="B14137" t="s">
        <v>96</v>
      </c>
      <c r="C14137" s="2">
        <v>44084</v>
      </c>
      <c r="D14137" t="s">
        <v>29</v>
      </c>
      <c r="E14137">
        <v>2939</v>
      </c>
    </row>
    <row r="14138" spans="1:5" x14ac:dyDescent="0.55000000000000004">
      <c r="A14138" t="s">
        <v>14219</v>
      </c>
      <c r="B14138" t="s">
        <v>23</v>
      </c>
      <c r="C14138" s="2">
        <v>44688</v>
      </c>
      <c r="D14138" t="s">
        <v>26</v>
      </c>
      <c r="E14138">
        <v>2875</v>
      </c>
    </row>
    <row r="14139" spans="1:5" x14ac:dyDescent="0.55000000000000004">
      <c r="A14139" t="s">
        <v>14220</v>
      </c>
      <c r="B14139" t="s">
        <v>74</v>
      </c>
      <c r="C14139" s="2">
        <v>43657</v>
      </c>
      <c r="D14139" t="s">
        <v>29</v>
      </c>
      <c r="E14139">
        <v>2812</v>
      </c>
    </row>
    <row r="14140" spans="1:5" x14ac:dyDescent="0.55000000000000004">
      <c r="A14140" t="s">
        <v>14221</v>
      </c>
      <c r="B14140" t="s">
        <v>38</v>
      </c>
      <c r="C14140" s="2">
        <v>44301</v>
      </c>
      <c r="D14140" t="s">
        <v>26</v>
      </c>
      <c r="E14140">
        <v>2068</v>
      </c>
    </row>
    <row r="14141" spans="1:5" x14ac:dyDescent="0.55000000000000004">
      <c r="A14141" t="s">
        <v>14222</v>
      </c>
      <c r="B14141" t="s">
        <v>118</v>
      </c>
      <c r="C14141" s="2">
        <v>44658</v>
      </c>
      <c r="D14141" t="s">
        <v>26</v>
      </c>
      <c r="E14141">
        <v>1611</v>
      </c>
    </row>
    <row r="14142" spans="1:5" x14ac:dyDescent="0.55000000000000004">
      <c r="A14142" t="s">
        <v>14223</v>
      </c>
      <c r="B14142" t="s">
        <v>72</v>
      </c>
      <c r="C14142" s="2">
        <v>44466</v>
      </c>
      <c r="D14142" t="s">
        <v>26</v>
      </c>
      <c r="E14142">
        <v>1779</v>
      </c>
    </row>
    <row r="14143" spans="1:5" x14ac:dyDescent="0.55000000000000004">
      <c r="A14143" t="s">
        <v>14224</v>
      </c>
      <c r="B14143" t="s">
        <v>105</v>
      </c>
      <c r="C14143" s="2">
        <v>44038</v>
      </c>
      <c r="D14143" t="s">
        <v>26</v>
      </c>
      <c r="E14143">
        <v>1314</v>
      </c>
    </row>
    <row r="14144" spans="1:5" x14ac:dyDescent="0.55000000000000004">
      <c r="A14144" t="s">
        <v>14225</v>
      </c>
      <c r="B14144" t="s">
        <v>78</v>
      </c>
      <c r="C14144" s="2">
        <v>45139</v>
      </c>
      <c r="D14144" t="s">
        <v>29</v>
      </c>
      <c r="E14144">
        <v>219</v>
      </c>
    </row>
    <row r="14145" spans="1:5" x14ac:dyDescent="0.55000000000000004">
      <c r="A14145" t="s">
        <v>14226</v>
      </c>
      <c r="B14145" t="s">
        <v>38</v>
      </c>
      <c r="C14145" s="2">
        <v>44226</v>
      </c>
      <c r="D14145" t="s">
        <v>26</v>
      </c>
      <c r="E14145">
        <v>2358</v>
      </c>
    </row>
    <row r="14146" spans="1:5" x14ac:dyDescent="0.55000000000000004">
      <c r="A14146" t="s">
        <v>14227</v>
      </c>
      <c r="B14146" t="s">
        <v>99</v>
      </c>
      <c r="C14146" s="2">
        <v>43703</v>
      </c>
      <c r="D14146" t="s">
        <v>29</v>
      </c>
      <c r="E14146">
        <v>343</v>
      </c>
    </row>
    <row r="14147" spans="1:5" x14ac:dyDescent="0.55000000000000004">
      <c r="A14147" t="s">
        <v>14228</v>
      </c>
      <c r="B14147" t="s">
        <v>35</v>
      </c>
      <c r="C14147" s="2">
        <v>44900</v>
      </c>
      <c r="D14147" t="s">
        <v>26</v>
      </c>
      <c r="E14147">
        <v>1077</v>
      </c>
    </row>
    <row r="14148" spans="1:5" x14ac:dyDescent="0.55000000000000004">
      <c r="A14148" t="s">
        <v>14229</v>
      </c>
      <c r="B14148" t="s">
        <v>151</v>
      </c>
      <c r="C14148" s="2">
        <v>43478</v>
      </c>
      <c r="D14148" t="s">
        <v>26</v>
      </c>
      <c r="E14148">
        <v>1668</v>
      </c>
    </row>
    <row r="14149" spans="1:5" x14ac:dyDescent="0.55000000000000004">
      <c r="A14149" t="s">
        <v>14230</v>
      </c>
      <c r="B14149" t="s">
        <v>63</v>
      </c>
      <c r="C14149" s="2">
        <v>43575</v>
      </c>
      <c r="D14149" t="s">
        <v>29</v>
      </c>
      <c r="E14149">
        <v>2160</v>
      </c>
    </row>
    <row r="14150" spans="1:5" x14ac:dyDescent="0.55000000000000004">
      <c r="A14150" t="s">
        <v>14231</v>
      </c>
      <c r="B14150" t="s">
        <v>142</v>
      </c>
      <c r="C14150" s="2">
        <v>44335</v>
      </c>
      <c r="D14150" t="s">
        <v>29</v>
      </c>
      <c r="E14150">
        <v>1814</v>
      </c>
    </row>
    <row r="14151" spans="1:5" x14ac:dyDescent="0.55000000000000004">
      <c r="A14151" t="s">
        <v>14232</v>
      </c>
      <c r="B14151" t="s">
        <v>32</v>
      </c>
      <c r="C14151" s="2">
        <v>44340</v>
      </c>
      <c r="D14151" t="s">
        <v>29</v>
      </c>
      <c r="E14151">
        <v>1995</v>
      </c>
    </row>
    <row r="14152" spans="1:5" x14ac:dyDescent="0.55000000000000004">
      <c r="A14152" t="s">
        <v>14233</v>
      </c>
      <c r="B14152" t="s">
        <v>72</v>
      </c>
      <c r="C14152" s="2">
        <v>43520</v>
      </c>
      <c r="D14152" t="s">
        <v>29</v>
      </c>
      <c r="E14152">
        <v>385</v>
      </c>
    </row>
    <row r="14153" spans="1:5" x14ac:dyDescent="0.55000000000000004">
      <c r="A14153" t="s">
        <v>14234</v>
      </c>
      <c r="B14153" t="s">
        <v>41</v>
      </c>
      <c r="C14153" s="2">
        <v>44700</v>
      </c>
      <c r="D14153" t="s">
        <v>29</v>
      </c>
      <c r="E14153">
        <v>1587</v>
      </c>
    </row>
    <row r="14154" spans="1:5" x14ac:dyDescent="0.55000000000000004">
      <c r="A14154" t="s">
        <v>14235</v>
      </c>
      <c r="B14154" t="s">
        <v>72</v>
      </c>
      <c r="C14154" s="2">
        <v>43110</v>
      </c>
      <c r="D14154" t="s">
        <v>29</v>
      </c>
      <c r="E14154">
        <v>1188</v>
      </c>
    </row>
    <row r="14155" spans="1:5" x14ac:dyDescent="0.55000000000000004">
      <c r="A14155" t="s">
        <v>14236</v>
      </c>
      <c r="B14155" t="s">
        <v>63</v>
      </c>
      <c r="C14155" s="2">
        <v>42959</v>
      </c>
      <c r="D14155" t="s">
        <v>29</v>
      </c>
      <c r="E14155">
        <v>1171</v>
      </c>
    </row>
    <row r="14156" spans="1:5" x14ac:dyDescent="0.55000000000000004">
      <c r="A14156" t="s">
        <v>14237</v>
      </c>
      <c r="B14156" t="s">
        <v>96</v>
      </c>
      <c r="C14156" s="2">
        <v>44700</v>
      </c>
      <c r="D14156" t="s">
        <v>26</v>
      </c>
      <c r="E14156">
        <v>2468</v>
      </c>
    </row>
    <row r="14157" spans="1:5" x14ac:dyDescent="0.55000000000000004">
      <c r="A14157" t="s">
        <v>14238</v>
      </c>
      <c r="B14157" t="s">
        <v>35</v>
      </c>
      <c r="C14157" s="2">
        <v>44242</v>
      </c>
      <c r="D14157" t="s">
        <v>26</v>
      </c>
      <c r="E14157">
        <v>1600</v>
      </c>
    </row>
    <row r="14158" spans="1:5" x14ac:dyDescent="0.55000000000000004">
      <c r="A14158" t="s">
        <v>14239</v>
      </c>
      <c r="B14158" t="s">
        <v>67</v>
      </c>
      <c r="C14158" s="2">
        <v>44433</v>
      </c>
      <c r="D14158" t="s">
        <v>29</v>
      </c>
      <c r="E14158">
        <v>2140</v>
      </c>
    </row>
    <row r="14159" spans="1:5" x14ac:dyDescent="0.55000000000000004">
      <c r="A14159" t="s">
        <v>14240</v>
      </c>
      <c r="B14159" t="s">
        <v>96</v>
      </c>
      <c r="C14159" s="2">
        <v>43565</v>
      </c>
      <c r="D14159" t="s">
        <v>26</v>
      </c>
      <c r="E14159">
        <v>2390</v>
      </c>
    </row>
    <row r="14160" spans="1:5" x14ac:dyDescent="0.55000000000000004">
      <c r="A14160" t="s">
        <v>14241</v>
      </c>
      <c r="B14160" t="s">
        <v>76</v>
      </c>
      <c r="C14160" s="2">
        <v>44840</v>
      </c>
      <c r="D14160" t="s">
        <v>26</v>
      </c>
      <c r="E14160">
        <v>1722</v>
      </c>
    </row>
    <row r="14161" spans="1:5" x14ac:dyDescent="0.55000000000000004">
      <c r="A14161" t="s">
        <v>14242</v>
      </c>
      <c r="B14161" t="s">
        <v>38</v>
      </c>
      <c r="C14161" s="2">
        <v>44176</v>
      </c>
      <c r="D14161" t="s">
        <v>26</v>
      </c>
      <c r="E14161">
        <v>2279</v>
      </c>
    </row>
    <row r="14162" spans="1:5" x14ac:dyDescent="0.55000000000000004">
      <c r="A14162" t="s">
        <v>14243</v>
      </c>
      <c r="B14162" t="s">
        <v>156</v>
      </c>
      <c r="C14162" s="2">
        <v>43630</v>
      </c>
      <c r="D14162" t="s">
        <v>29</v>
      </c>
      <c r="E14162">
        <v>2155</v>
      </c>
    </row>
    <row r="14163" spans="1:5" x14ac:dyDescent="0.55000000000000004">
      <c r="A14163" t="s">
        <v>14244</v>
      </c>
      <c r="B14163" t="s">
        <v>137</v>
      </c>
      <c r="C14163" s="2">
        <v>44098</v>
      </c>
      <c r="D14163" t="s">
        <v>29</v>
      </c>
      <c r="E14163">
        <v>572</v>
      </c>
    </row>
    <row r="14164" spans="1:5" x14ac:dyDescent="0.55000000000000004">
      <c r="A14164" t="s">
        <v>14245</v>
      </c>
      <c r="B14164" t="s">
        <v>15</v>
      </c>
      <c r="C14164" s="2">
        <v>43893</v>
      </c>
      <c r="D14164" t="s">
        <v>26</v>
      </c>
      <c r="E14164">
        <v>914</v>
      </c>
    </row>
    <row r="14165" spans="1:5" x14ac:dyDescent="0.55000000000000004">
      <c r="A14165" t="s">
        <v>14246</v>
      </c>
      <c r="B14165" t="s">
        <v>115</v>
      </c>
      <c r="C14165" s="2">
        <v>43300</v>
      </c>
      <c r="D14165" t="s">
        <v>29</v>
      </c>
      <c r="E14165">
        <v>2134</v>
      </c>
    </row>
    <row r="14166" spans="1:5" x14ac:dyDescent="0.55000000000000004">
      <c r="A14166" t="s">
        <v>14247</v>
      </c>
      <c r="B14166" t="s">
        <v>115</v>
      </c>
      <c r="C14166" s="2">
        <v>43184</v>
      </c>
      <c r="D14166" t="s">
        <v>29</v>
      </c>
      <c r="E14166">
        <v>1611</v>
      </c>
    </row>
    <row r="14167" spans="1:5" x14ac:dyDescent="0.55000000000000004">
      <c r="A14167" t="s">
        <v>14248</v>
      </c>
      <c r="B14167" t="s">
        <v>101</v>
      </c>
      <c r="C14167" s="2">
        <v>43373</v>
      </c>
      <c r="D14167" t="s">
        <v>29</v>
      </c>
      <c r="E14167">
        <v>28</v>
      </c>
    </row>
    <row r="14168" spans="1:5" x14ac:dyDescent="0.55000000000000004">
      <c r="A14168" t="s">
        <v>14249</v>
      </c>
      <c r="B14168" t="s">
        <v>84</v>
      </c>
      <c r="C14168" s="2">
        <v>44550</v>
      </c>
      <c r="D14168" t="s">
        <v>26</v>
      </c>
      <c r="E14168">
        <v>2551</v>
      </c>
    </row>
    <row r="14169" spans="1:5" x14ac:dyDescent="0.55000000000000004">
      <c r="A14169" t="s">
        <v>14250</v>
      </c>
      <c r="B14169" t="s">
        <v>15</v>
      </c>
      <c r="C14169" s="2">
        <v>44437</v>
      </c>
      <c r="D14169" t="s">
        <v>29</v>
      </c>
      <c r="E14169">
        <v>1070</v>
      </c>
    </row>
    <row r="14170" spans="1:5" x14ac:dyDescent="0.55000000000000004">
      <c r="A14170" t="s">
        <v>14251</v>
      </c>
      <c r="B14170" t="s">
        <v>15</v>
      </c>
      <c r="C14170" s="2">
        <v>43788</v>
      </c>
      <c r="D14170" t="s">
        <v>29</v>
      </c>
      <c r="E14170">
        <v>2928</v>
      </c>
    </row>
    <row r="14171" spans="1:5" x14ac:dyDescent="0.55000000000000004">
      <c r="A14171" t="s">
        <v>14252</v>
      </c>
      <c r="B14171" t="s">
        <v>105</v>
      </c>
      <c r="C14171" s="2">
        <v>44492</v>
      </c>
      <c r="D14171" t="s">
        <v>26</v>
      </c>
      <c r="E14171">
        <v>1242</v>
      </c>
    </row>
    <row r="14172" spans="1:5" x14ac:dyDescent="0.55000000000000004">
      <c r="A14172" t="s">
        <v>14253</v>
      </c>
      <c r="B14172" t="s">
        <v>101</v>
      </c>
      <c r="C14172" s="2">
        <v>44168</v>
      </c>
      <c r="D14172" t="s">
        <v>29</v>
      </c>
      <c r="E14172">
        <v>2113</v>
      </c>
    </row>
    <row r="14173" spans="1:5" x14ac:dyDescent="0.55000000000000004">
      <c r="A14173" t="s">
        <v>14254</v>
      </c>
      <c r="B14173" t="s">
        <v>137</v>
      </c>
      <c r="C14173" s="2">
        <v>44822</v>
      </c>
      <c r="D14173" t="s">
        <v>26</v>
      </c>
      <c r="E14173">
        <v>1688</v>
      </c>
    </row>
    <row r="14174" spans="1:5" x14ac:dyDescent="0.55000000000000004">
      <c r="A14174" t="s">
        <v>14255</v>
      </c>
      <c r="B14174" t="s">
        <v>23</v>
      </c>
      <c r="C14174" s="2">
        <v>44195</v>
      </c>
      <c r="D14174" t="s">
        <v>26</v>
      </c>
      <c r="E14174">
        <v>1952</v>
      </c>
    </row>
    <row r="14175" spans="1:5" x14ac:dyDescent="0.55000000000000004">
      <c r="A14175" t="s">
        <v>14256</v>
      </c>
      <c r="B14175" t="s">
        <v>86</v>
      </c>
      <c r="C14175" s="2">
        <v>43064</v>
      </c>
      <c r="D14175" t="s">
        <v>29</v>
      </c>
      <c r="E14175">
        <v>427</v>
      </c>
    </row>
    <row r="14176" spans="1:5" x14ac:dyDescent="0.55000000000000004">
      <c r="A14176" t="s">
        <v>14257</v>
      </c>
      <c r="B14176" t="s">
        <v>63</v>
      </c>
      <c r="C14176" s="2">
        <v>43677</v>
      </c>
      <c r="D14176" t="s">
        <v>26</v>
      </c>
      <c r="E14176">
        <v>2576</v>
      </c>
    </row>
    <row r="14177" spans="1:5" x14ac:dyDescent="0.55000000000000004">
      <c r="A14177" t="s">
        <v>14258</v>
      </c>
      <c r="B14177" t="s">
        <v>99</v>
      </c>
      <c r="C14177" s="2">
        <v>44682</v>
      </c>
      <c r="D14177" t="s">
        <v>29</v>
      </c>
      <c r="E14177">
        <v>1067</v>
      </c>
    </row>
    <row r="14178" spans="1:5" x14ac:dyDescent="0.55000000000000004">
      <c r="A14178" t="s">
        <v>14259</v>
      </c>
      <c r="B14178" t="s">
        <v>35</v>
      </c>
      <c r="C14178" s="2">
        <v>44761</v>
      </c>
      <c r="D14178" t="s">
        <v>26</v>
      </c>
      <c r="E14178">
        <v>2915</v>
      </c>
    </row>
    <row r="14179" spans="1:5" x14ac:dyDescent="0.55000000000000004">
      <c r="A14179" t="s">
        <v>14260</v>
      </c>
      <c r="B14179" t="s">
        <v>35</v>
      </c>
      <c r="C14179" s="2">
        <v>44500</v>
      </c>
      <c r="D14179" t="s">
        <v>26</v>
      </c>
      <c r="E14179">
        <v>2562</v>
      </c>
    </row>
    <row r="14180" spans="1:5" x14ac:dyDescent="0.55000000000000004">
      <c r="A14180" t="s">
        <v>14261</v>
      </c>
      <c r="B14180" t="s">
        <v>14</v>
      </c>
      <c r="C14180" s="2">
        <v>43642</v>
      </c>
      <c r="D14180" t="s">
        <v>29</v>
      </c>
      <c r="E14180">
        <v>1064</v>
      </c>
    </row>
    <row r="14181" spans="1:5" x14ac:dyDescent="0.55000000000000004">
      <c r="A14181" t="s">
        <v>14262</v>
      </c>
      <c r="B14181" t="s">
        <v>38</v>
      </c>
      <c r="C14181" s="2">
        <v>44512</v>
      </c>
      <c r="D14181" t="s">
        <v>26</v>
      </c>
      <c r="E14181">
        <v>1985</v>
      </c>
    </row>
    <row r="14182" spans="1:5" x14ac:dyDescent="0.55000000000000004">
      <c r="A14182" t="s">
        <v>14263</v>
      </c>
      <c r="B14182" t="s">
        <v>140</v>
      </c>
      <c r="C14182" s="2">
        <v>43776</v>
      </c>
      <c r="D14182" t="s">
        <v>29</v>
      </c>
      <c r="E14182">
        <v>2190</v>
      </c>
    </row>
    <row r="14183" spans="1:5" x14ac:dyDescent="0.55000000000000004">
      <c r="A14183" t="s">
        <v>14264</v>
      </c>
      <c r="B14183" t="s">
        <v>15</v>
      </c>
      <c r="C14183" s="2">
        <v>43977</v>
      </c>
      <c r="D14183" t="s">
        <v>29</v>
      </c>
      <c r="E14183">
        <v>471</v>
      </c>
    </row>
    <row r="14184" spans="1:5" x14ac:dyDescent="0.55000000000000004">
      <c r="A14184" t="s">
        <v>14265</v>
      </c>
      <c r="B14184" t="s">
        <v>63</v>
      </c>
      <c r="C14184" s="2">
        <v>44034</v>
      </c>
      <c r="D14184" t="s">
        <v>26</v>
      </c>
      <c r="E14184">
        <v>487</v>
      </c>
    </row>
    <row r="14185" spans="1:5" x14ac:dyDescent="0.55000000000000004">
      <c r="A14185" t="s">
        <v>14266</v>
      </c>
      <c r="B14185" t="s">
        <v>105</v>
      </c>
      <c r="C14185" s="2">
        <v>43851</v>
      </c>
      <c r="D14185" t="s">
        <v>29</v>
      </c>
      <c r="E14185">
        <v>190</v>
      </c>
    </row>
    <row r="14186" spans="1:5" x14ac:dyDescent="0.55000000000000004">
      <c r="A14186" t="s">
        <v>14267</v>
      </c>
      <c r="B14186" t="s">
        <v>96</v>
      </c>
      <c r="C14186" s="2">
        <v>45660</v>
      </c>
      <c r="D14186" t="s">
        <v>26</v>
      </c>
      <c r="E14186">
        <v>804</v>
      </c>
    </row>
    <row r="14187" spans="1:5" x14ac:dyDescent="0.55000000000000004">
      <c r="A14187" t="s">
        <v>14268</v>
      </c>
      <c r="B14187" t="s">
        <v>86</v>
      </c>
      <c r="C14187" s="2">
        <v>44159</v>
      </c>
      <c r="D14187" t="s">
        <v>29</v>
      </c>
      <c r="E14187">
        <v>2214</v>
      </c>
    </row>
    <row r="14188" spans="1:5" x14ac:dyDescent="0.55000000000000004">
      <c r="A14188" t="s">
        <v>14269</v>
      </c>
      <c r="B14188" t="s">
        <v>105</v>
      </c>
      <c r="C14188" s="2">
        <v>44221</v>
      </c>
      <c r="D14188" t="s">
        <v>26</v>
      </c>
      <c r="E14188">
        <v>1049</v>
      </c>
    </row>
    <row r="14189" spans="1:5" x14ac:dyDescent="0.55000000000000004">
      <c r="A14189" t="s">
        <v>14270</v>
      </c>
      <c r="B14189" t="s">
        <v>86</v>
      </c>
      <c r="C14189" s="2">
        <v>43176</v>
      </c>
      <c r="D14189" t="s">
        <v>29</v>
      </c>
      <c r="E14189">
        <v>2216</v>
      </c>
    </row>
    <row r="14190" spans="1:5" x14ac:dyDescent="0.55000000000000004">
      <c r="A14190" t="s">
        <v>14271</v>
      </c>
      <c r="B14190" t="s">
        <v>99</v>
      </c>
      <c r="C14190" s="2">
        <v>43952</v>
      </c>
      <c r="D14190" t="s">
        <v>29</v>
      </c>
      <c r="E14190">
        <v>63</v>
      </c>
    </row>
    <row r="14191" spans="1:5" x14ac:dyDescent="0.55000000000000004">
      <c r="A14191" t="s">
        <v>14272</v>
      </c>
      <c r="B14191" t="s">
        <v>38</v>
      </c>
      <c r="C14191" s="2">
        <v>44218</v>
      </c>
      <c r="D14191" t="s">
        <v>29</v>
      </c>
      <c r="E14191">
        <v>1017</v>
      </c>
    </row>
    <row r="14192" spans="1:5" x14ac:dyDescent="0.55000000000000004">
      <c r="A14192" t="s">
        <v>14273</v>
      </c>
      <c r="B14192" t="s">
        <v>156</v>
      </c>
      <c r="C14192" s="2">
        <v>43137</v>
      </c>
      <c r="D14192" t="s">
        <v>29</v>
      </c>
      <c r="E14192">
        <v>1736</v>
      </c>
    </row>
    <row r="14193" spans="1:5" x14ac:dyDescent="0.55000000000000004">
      <c r="A14193" t="s">
        <v>14274</v>
      </c>
      <c r="B14193" t="s">
        <v>41</v>
      </c>
      <c r="C14193" s="2">
        <v>44553</v>
      </c>
      <c r="D14193" t="s">
        <v>29</v>
      </c>
      <c r="E14193">
        <v>1668</v>
      </c>
    </row>
    <row r="14194" spans="1:5" x14ac:dyDescent="0.55000000000000004">
      <c r="A14194" t="s">
        <v>14275</v>
      </c>
      <c r="B14194" t="s">
        <v>115</v>
      </c>
      <c r="C14194" s="2">
        <v>43453</v>
      </c>
      <c r="D14194" t="s">
        <v>26</v>
      </c>
      <c r="E14194">
        <v>422</v>
      </c>
    </row>
    <row r="14195" spans="1:5" x14ac:dyDescent="0.55000000000000004">
      <c r="A14195" t="s">
        <v>14276</v>
      </c>
      <c r="B14195" t="s">
        <v>35</v>
      </c>
      <c r="C14195" s="2">
        <v>44054</v>
      </c>
      <c r="D14195" t="s">
        <v>26</v>
      </c>
      <c r="E14195">
        <v>2679</v>
      </c>
    </row>
    <row r="14196" spans="1:5" x14ac:dyDescent="0.55000000000000004">
      <c r="A14196" t="s">
        <v>14277</v>
      </c>
      <c r="B14196" t="s">
        <v>115</v>
      </c>
      <c r="C14196" s="2">
        <v>43516</v>
      </c>
      <c r="D14196" t="s">
        <v>29</v>
      </c>
      <c r="E14196">
        <v>910</v>
      </c>
    </row>
    <row r="14197" spans="1:5" x14ac:dyDescent="0.55000000000000004">
      <c r="A14197" t="s">
        <v>14278</v>
      </c>
      <c r="B14197" t="s">
        <v>23</v>
      </c>
      <c r="C14197" s="2">
        <v>43993</v>
      </c>
      <c r="D14197" t="s">
        <v>26</v>
      </c>
      <c r="E14197">
        <v>2363</v>
      </c>
    </row>
    <row r="14198" spans="1:5" x14ac:dyDescent="0.55000000000000004">
      <c r="A14198" t="s">
        <v>14279</v>
      </c>
      <c r="B14198" t="s">
        <v>67</v>
      </c>
      <c r="C14198" s="2">
        <v>44429</v>
      </c>
      <c r="D14198" t="s">
        <v>29</v>
      </c>
      <c r="E14198">
        <v>2129</v>
      </c>
    </row>
    <row r="14199" spans="1:5" x14ac:dyDescent="0.55000000000000004">
      <c r="A14199" t="s">
        <v>14280</v>
      </c>
      <c r="B14199" t="s">
        <v>84</v>
      </c>
      <c r="C14199" s="2">
        <v>43493</v>
      </c>
      <c r="D14199" t="s">
        <v>26</v>
      </c>
      <c r="E14199">
        <v>2761</v>
      </c>
    </row>
    <row r="14200" spans="1:5" x14ac:dyDescent="0.55000000000000004">
      <c r="A14200" t="s">
        <v>14281</v>
      </c>
      <c r="B14200" t="s">
        <v>115</v>
      </c>
      <c r="C14200" s="2">
        <v>43192</v>
      </c>
      <c r="D14200" t="s">
        <v>29</v>
      </c>
      <c r="E14200">
        <v>1944</v>
      </c>
    </row>
    <row r="14201" spans="1:5" x14ac:dyDescent="0.55000000000000004">
      <c r="A14201" t="s">
        <v>14282</v>
      </c>
      <c r="B14201" t="s">
        <v>74</v>
      </c>
      <c r="C14201" s="2">
        <v>43194</v>
      </c>
      <c r="D14201" t="s">
        <v>29</v>
      </c>
      <c r="E14201">
        <v>2006</v>
      </c>
    </row>
    <row r="14202" spans="1:5" x14ac:dyDescent="0.55000000000000004">
      <c r="A14202" t="s">
        <v>14283</v>
      </c>
      <c r="B14202" t="s">
        <v>41</v>
      </c>
      <c r="C14202" s="2">
        <v>44046</v>
      </c>
      <c r="D14202" t="s">
        <v>29</v>
      </c>
      <c r="E14202">
        <v>1577</v>
      </c>
    </row>
    <row r="14203" spans="1:5" x14ac:dyDescent="0.55000000000000004">
      <c r="A14203" t="s">
        <v>14284</v>
      </c>
      <c r="B14203" t="s">
        <v>35</v>
      </c>
      <c r="C14203" s="2">
        <v>44858</v>
      </c>
      <c r="D14203" t="s">
        <v>29</v>
      </c>
      <c r="E14203">
        <v>797</v>
      </c>
    </row>
    <row r="14204" spans="1:5" x14ac:dyDescent="0.55000000000000004">
      <c r="A14204" t="s">
        <v>14285</v>
      </c>
      <c r="B14204" t="s">
        <v>175</v>
      </c>
      <c r="C14204" s="2">
        <v>43484</v>
      </c>
      <c r="D14204" t="s">
        <v>26</v>
      </c>
      <c r="E14204">
        <v>2789</v>
      </c>
    </row>
    <row r="14205" spans="1:5" x14ac:dyDescent="0.55000000000000004">
      <c r="A14205" t="s">
        <v>14286</v>
      </c>
      <c r="B14205" t="s">
        <v>15</v>
      </c>
      <c r="C14205" s="2">
        <v>43494</v>
      </c>
      <c r="D14205" t="s">
        <v>29</v>
      </c>
      <c r="E14205">
        <v>1996</v>
      </c>
    </row>
    <row r="14206" spans="1:5" x14ac:dyDescent="0.55000000000000004">
      <c r="A14206" t="s">
        <v>14287</v>
      </c>
      <c r="B14206" t="s">
        <v>23</v>
      </c>
      <c r="C14206" s="2">
        <v>44347</v>
      </c>
      <c r="D14206" t="s">
        <v>26</v>
      </c>
      <c r="E14206">
        <v>2155</v>
      </c>
    </row>
    <row r="14207" spans="1:5" x14ac:dyDescent="0.55000000000000004">
      <c r="A14207" t="s">
        <v>14288</v>
      </c>
      <c r="B14207" t="s">
        <v>14</v>
      </c>
      <c r="C14207" s="2">
        <v>44262</v>
      </c>
      <c r="D14207" t="s">
        <v>26</v>
      </c>
      <c r="E14207">
        <v>117</v>
      </c>
    </row>
    <row r="14208" spans="1:5" x14ac:dyDescent="0.55000000000000004">
      <c r="A14208" t="s">
        <v>14289</v>
      </c>
      <c r="B14208" t="s">
        <v>137</v>
      </c>
      <c r="C14208" s="2">
        <v>45669</v>
      </c>
      <c r="D14208" t="s">
        <v>26</v>
      </c>
      <c r="E14208">
        <v>682</v>
      </c>
    </row>
    <row r="14209" spans="1:5" x14ac:dyDescent="0.55000000000000004">
      <c r="A14209" t="s">
        <v>14290</v>
      </c>
      <c r="B14209" t="s">
        <v>23</v>
      </c>
      <c r="C14209" s="2">
        <v>43922</v>
      </c>
      <c r="D14209" t="s">
        <v>29</v>
      </c>
      <c r="E14209">
        <v>1070</v>
      </c>
    </row>
    <row r="14210" spans="1:5" x14ac:dyDescent="0.55000000000000004">
      <c r="A14210" t="s">
        <v>14291</v>
      </c>
      <c r="B14210" t="s">
        <v>175</v>
      </c>
      <c r="C14210" s="2">
        <v>43862</v>
      </c>
      <c r="D14210" t="s">
        <v>29</v>
      </c>
      <c r="E14210">
        <v>1334</v>
      </c>
    </row>
    <row r="14211" spans="1:5" x14ac:dyDescent="0.55000000000000004">
      <c r="A14211" t="s">
        <v>14292</v>
      </c>
      <c r="B14211" t="s">
        <v>99</v>
      </c>
      <c r="C14211" s="2">
        <v>44676</v>
      </c>
      <c r="D14211" t="s">
        <v>26</v>
      </c>
      <c r="E14211">
        <v>633</v>
      </c>
    </row>
    <row r="14212" spans="1:5" x14ac:dyDescent="0.55000000000000004">
      <c r="A14212" t="s">
        <v>14293</v>
      </c>
      <c r="B14212" t="s">
        <v>41</v>
      </c>
      <c r="C14212" s="2">
        <v>44332</v>
      </c>
      <c r="D14212" t="s">
        <v>29</v>
      </c>
      <c r="E14212">
        <v>1723</v>
      </c>
    </row>
    <row r="14213" spans="1:5" x14ac:dyDescent="0.55000000000000004">
      <c r="A14213" t="s">
        <v>14294</v>
      </c>
      <c r="B14213" t="s">
        <v>84</v>
      </c>
      <c r="C14213" s="2">
        <v>43576</v>
      </c>
      <c r="D14213" t="s">
        <v>26</v>
      </c>
      <c r="E14213">
        <v>1703</v>
      </c>
    </row>
    <row r="14214" spans="1:5" x14ac:dyDescent="0.55000000000000004">
      <c r="A14214" t="s">
        <v>14295</v>
      </c>
      <c r="B14214" t="s">
        <v>35</v>
      </c>
      <c r="C14214" s="2">
        <v>44484</v>
      </c>
      <c r="D14214" t="s">
        <v>29</v>
      </c>
      <c r="E14214">
        <v>530</v>
      </c>
    </row>
    <row r="14215" spans="1:5" x14ac:dyDescent="0.55000000000000004">
      <c r="A14215" t="s">
        <v>14296</v>
      </c>
      <c r="B14215" t="s">
        <v>67</v>
      </c>
      <c r="C14215" s="2">
        <v>43524</v>
      </c>
      <c r="D14215" t="s">
        <v>26</v>
      </c>
      <c r="E14215">
        <v>974</v>
      </c>
    </row>
    <row r="14216" spans="1:5" x14ac:dyDescent="0.55000000000000004">
      <c r="A14216" t="s">
        <v>14297</v>
      </c>
      <c r="B14216" t="s">
        <v>99</v>
      </c>
      <c r="C14216" s="2">
        <v>45042</v>
      </c>
      <c r="D14216" t="s">
        <v>29</v>
      </c>
      <c r="E14216">
        <v>1719</v>
      </c>
    </row>
    <row r="14217" spans="1:5" x14ac:dyDescent="0.55000000000000004">
      <c r="A14217" t="s">
        <v>14298</v>
      </c>
      <c r="B14217" t="s">
        <v>105</v>
      </c>
      <c r="C14217" s="2">
        <v>43764</v>
      </c>
      <c r="D14217" t="s">
        <v>26</v>
      </c>
      <c r="E14217">
        <v>54</v>
      </c>
    </row>
    <row r="14218" spans="1:5" x14ac:dyDescent="0.55000000000000004">
      <c r="A14218" t="s">
        <v>14299</v>
      </c>
      <c r="B14218" t="s">
        <v>99</v>
      </c>
      <c r="C14218" s="2">
        <v>43499</v>
      </c>
      <c r="D14218" t="s">
        <v>29</v>
      </c>
      <c r="E14218">
        <v>2374</v>
      </c>
    </row>
    <row r="14219" spans="1:5" x14ac:dyDescent="0.55000000000000004">
      <c r="A14219" t="s">
        <v>14300</v>
      </c>
      <c r="B14219" t="s">
        <v>99</v>
      </c>
      <c r="C14219" s="2">
        <v>43571</v>
      </c>
      <c r="D14219" t="s">
        <v>26</v>
      </c>
      <c r="E14219">
        <v>2153</v>
      </c>
    </row>
    <row r="14220" spans="1:5" x14ac:dyDescent="0.55000000000000004">
      <c r="A14220" t="s">
        <v>14301</v>
      </c>
      <c r="B14220" t="s">
        <v>118</v>
      </c>
      <c r="C14220" s="2">
        <v>45725</v>
      </c>
      <c r="D14220" t="s">
        <v>26</v>
      </c>
      <c r="E14220">
        <v>28</v>
      </c>
    </row>
    <row r="14221" spans="1:5" x14ac:dyDescent="0.55000000000000004">
      <c r="A14221" t="s">
        <v>14302</v>
      </c>
      <c r="B14221" t="s">
        <v>41</v>
      </c>
      <c r="C14221" s="2">
        <v>44337</v>
      </c>
      <c r="D14221" t="s">
        <v>26</v>
      </c>
      <c r="E14221">
        <v>1</v>
      </c>
    </row>
    <row r="14222" spans="1:5" x14ac:dyDescent="0.55000000000000004">
      <c r="A14222" t="s">
        <v>14303</v>
      </c>
      <c r="B14222" t="s">
        <v>111</v>
      </c>
      <c r="C14222" s="2">
        <v>43316</v>
      </c>
      <c r="D14222" t="s">
        <v>29</v>
      </c>
      <c r="E14222">
        <v>2203</v>
      </c>
    </row>
    <row r="14223" spans="1:5" x14ac:dyDescent="0.55000000000000004">
      <c r="A14223" t="s">
        <v>14304</v>
      </c>
      <c r="B14223" t="s">
        <v>72</v>
      </c>
      <c r="C14223" s="2">
        <v>44035</v>
      </c>
      <c r="D14223" t="s">
        <v>29</v>
      </c>
      <c r="E14223">
        <v>2145</v>
      </c>
    </row>
    <row r="14224" spans="1:5" x14ac:dyDescent="0.55000000000000004">
      <c r="A14224" t="s">
        <v>14305</v>
      </c>
      <c r="B14224" t="s">
        <v>78</v>
      </c>
      <c r="C14224" s="2">
        <v>45428</v>
      </c>
      <c r="D14224" t="s">
        <v>26</v>
      </c>
      <c r="E14224">
        <v>2967</v>
      </c>
    </row>
    <row r="14225" spans="1:5" x14ac:dyDescent="0.55000000000000004">
      <c r="A14225" t="s">
        <v>14306</v>
      </c>
      <c r="B14225" t="s">
        <v>35</v>
      </c>
      <c r="C14225" s="2">
        <v>44147</v>
      </c>
      <c r="D14225" t="s">
        <v>26</v>
      </c>
      <c r="E14225">
        <v>780</v>
      </c>
    </row>
    <row r="14226" spans="1:5" x14ac:dyDescent="0.55000000000000004">
      <c r="A14226" t="s">
        <v>14307</v>
      </c>
      <c r="B14226" t="s">
        <v>14</v>
      </c>
      <c r="C14226" s="2">
        <v>43847</v>
      </c>
      <c r="D14226" t="s">
        <v>26</v>
      </c>
      <c r="E14226">
        <v>251</v>
      </c>
    </row>
    <row r="14227" spans="1:5" x14ac:dyDescent="0.55000000000000004">
      <c r="A14227" t="s">
        <v>14308</v>
      </c>
      <c r="B14227" t="s">
        <v>76</v>
      </c>
      <c r="C14227" s="2">
        <v>45687</v>
      </c>
      <c r="D14227" t="s">
        <v>26</v>
      </c>
      <c r="E14227">
        <v>1737</v>
      </c>
    </row>
    <row r="14228" spans="1:5" x14ac:dyDescent="0.55000000000000004">
      <c r="A14228" t="s">
        <v>14309</v>
      </c>
      <c r="B14228" t="s">
        <v>23</v>
      </c>
      <c r="C14228" s="2">
        <v>44179</v>
      </c>
      <c r="D14228" t="s">
        <v>26</v>
      </c>
      <c r="E14228">
        <v>839</v>
      </c>
    </row>
    <row r="14229" spans="1:5" x14ac:dyDescent="0.55000000000000004">
      <c r="A14229" t="s">
        <v>14310</v>
      </c>
      <c r="B14229" t="s">
        <v>76</v>
      </c>
      <c r="C14229" s="2">
        <v>45380</v>
      </c>
      <c r="D14229" t="s">
        <v>29</v>
      </c>
      <c r="E14229">
        <v>2652</v>
      </c>
    </row>
    <row r="14230" spans="1:5" x14ac:dyDescent="0.55000000000000004">
      <c r="A14230" t="s">
        <v>14311</v>
      </c>
      <c r="B14230" t="s">
        <v>101</v>
      </c>
      <c r="C14230" s="2">
        <v>43259</v>
      </c>
      <c r="D14230" t="s">
        <v>26</v>
      </c>
      <c r="E14230">
        <v>1500</v>
      </c>
    </row>
    <row r="14231" spans="1:5" x14ac:dyDescent="0.55000000000000004">
      <c r="A14231" t="s">
        <v>14312</v>
      </c>
      <c r="B14231" t="s">
        <v>84</v>
      </c>
      <c r="C14231" s="2">
        <v>43058</v>
      </c>
      <c r="D14231" t="s">
        <v>29</v>
      </c>
      <c r="E14231">
        <v>2854</v>
      </c>
    </row>
    <row r="14232" spans="1:5" x14ac:dyDescent="0.55000000000000004">
      <c r="A14232" t="s">
        <v>14313</v>
      </c>
      <c r="B14232" t="s">
        <v>74</v>
      </c>
      <c r="C14232" s="2">
        <v>44101</v>
      </c>
      <c r="D14232" t="s">
        <v>26</v>
      </c>
      <c r="E14232">
        <v>1824</v>
      </c>
    </row>
    <row r="14233" spans="1:5" x14ac:dyDescent="0.55000000000000004">
      <c r="A14233" t="s">
        <v>14314</v>
      </c>
      <c r="B14233" t="s">
        <v>14</v>
      </c>
      <c r="C14233" s="2">
        <v>44511</v>
      </c>
      <c r="D14233" t="s">
        <v>26</v>
      </c>
      <c r="E14233">
        <v>1860</v>
      </c>
    </row>
    <row r="14234" spans="1:5" x14ac:dyDescent="0.55000000000000004">
      <c r="A14234" t="s">
        <v>14315</v>
      </c>
      <c r="B14234" t="s">
        <v>78</v>
      </c>
      <c r="C14234" s="2">
        <v>44015</v>
      </c>
      <c r="D14234" t="s">
        <v>26</v>
      </c>
      <c r="E14234">
        <v>2844</v>
      </c>
    </row>
    <row r="14235" spans="1:5" x14ac:dyDescent="0.55000000000000004">
      <c r="A14235" t="s">
        <v>14316</v>
      </c>
      <c r="B14235" t="s">
        <v>32</v>
      </c>
      <c r="C14235" s="2">
        <v>44462</v>
      </c>
      <c r="D14235" t="s">
        <v>26</v>
      </c>
      <c r="E14235">
        <v>2712</v>
      </c>
    </row>
    <row r="14236" spans="1:5" x14ac:dyDescent="0.55000000000000004">
      <c r="A14236" t="s">
        <v>14317</v>
      </c>
      <c r="B14236" t="s">
        <v>99</v>
      </c>
      <c r="C14236" s="2">
        <v>45140</v>
      </c>
      <c r="D14236" t="s">
        <v>26</v>
      </c>
      <c r="E14236">
        <v>1360</v>
      </c>
    </row>
    <row r="14237" spans="1:5" x14ac:dyDescent="0.55000000000000004">
      <c r="A14237" t="s">
        <v>14318</v>
      </c>
      <c r="B14237" t="s">
        <v>99</v>
      </c>
      <c r="C14237" s="2">
        <v>44439</v>
      </c>
      <c r="D14237" t="s">
        <v>29</v>
      </c>
      <c r="E14237">
        <v>2391</v>
      </c>
    </row>
    <row r="14238" spans="1:5" x14ac:dyDescent="0.55000000000000004">
      <c r="A14238" t="s">
        <v>14319</v>
      </c>
      <c r="B14238" t="s">
        <v>105</v>
      </c>
      <c r="C14238" s="2">
        <v>44357</v>
      </c>
      <c r="D14238" t="s">
        <v>29</v>
      </c>
      <c r="E14238">
        <v>820</v>
      </c>
    </row>
    <row r="14239" spans="1:5" x14ac:dyDescent="0.55000000000000004">
      <c r="A14239" t="s">
        <v>14320</v>
      </c>
      <c r="B14239" t="s">
        <v>99</v>
      </c>
      <c r="C14239" s="2">
        <v>45680</v>
      </c>
      <c r="D14239" t="s">
        <v>29</v>
      </c>
      <c r="E14239">
        <v>2641</v>
      </c>
    </row>
    <row r="14240" spans="1:5" x14ac:dyDescent="0.55000000000000004">
      <c r="A14240" t="s">
        <v>14321</v>
      </c>
      <c r="B14240" t="s">
        <v>35</v>
      </c>
      <c r="C14240" s="2">
        <v>44382</v>
      </c>
      <c r="D14240" t="s">
        <v>29</v>
      </c>
      <c r="E14240">
        <v>1438</v>
      </c>
    </row>
    <row r="14241" spans="1:5" x14ac:dyDescent="0.55000000000000004">
      <c r="A14241" t="s">
        <v>14322</v>
      </c>
      <c r="B14241" t="s">
        <v>32</v>
      </c>
      <c r="C14241" s="2">
        <v>44012</v>
      </c>
      <c r="D14241" t="s">
        <v>26</v>
      </c>
      <c r="E14241">
        <v>2496</v>
      </c>
    </row>
    <row r="14242" spans="1:5" x14ac:dyDescent="0.55000000000000004">
      <c r="A14242" t="s">
        <v>14323</v>
      </c>
      <c r="B14242" t="s">
        <v>72</v>
      </c>
      <c r="C14242" s="2">
        <v>44496</v>
      </c>
      <c r="D14242" t="s">
        <v>26</v>
      </c>
      <c r="E14242">
        <v>982</v>
      </c>
    </row>
    <row r="14243" spans="1:5" x14ac:dyDescent="0.55000000000000004">
      <c r="A14243" t="s">
        <v>14324</v>
      </c>
      <c r="B14243" t="s">
        <v>86</v>
      </c>
      <c r="C14243" s="2">
        <v>43660</v>
      </c>
      <c r="D14243" t="s">
        <v>29</v>
      </c>
      <c r="E14243">
        <v>1865</v>
      </c>
    </row>
    <row r="14244" spans="1:5" x14ac:dyDescent="0.55000000000000004">
      <c r="A14244" t="s">
        <v>14325</v>
      </c>
      <c r="B14244" t="s">
        <v>76</v>
      </c>
      <c r="C14244" s="2">
        <v>44074</v>
      </c>
      <c r="D14244" t="s">
        <v>26</v>
      </c>
      <c r="E14244">
        <v>1075</v>
      </c>
    </row>
    <row r="14245" spans="1:5" x14ac:dyDescent="0.55000000000000004">
      <c r="A14245" t="s">
        <v>14326</v>
      </c>
      <c r="B14245" t="s">
        <v>101</v>
      </c>
      <c r="C14245" s="2">
        <v>44258</v>
      </c>
      <c r="D14245" t="s">
        <v>26</v>
      </c>
      <c r="E14245">
        <v>2652</v>
      </c>
    </row>
    <row r="14246" spans="1:5" x14ac:dyDescent="0.55000000000000004">
      <c r="A14246" t="s">
        <v>14327</v>
      </c>
      <c r="B14246" t="s">
        <v>67</v>
      </c>
      <c r="C14246" s="2">
        <v>43865</v>
      </c>
      <c r="D14246" t="s">
        <v>29</v>
      </c>
      <c r="E14246">
        <v>334</v>
      </c>
    </row>
    <row r="14247" spans="1:5" x14ac:dyDescent="0.55000000000000004">
      <c r="A14247" t="s">
        <v>14328</v>
      </c>
      <c r="B14247" t="s">
        <v>38</v>
      </c>
      <c r="C14247" s="2">
        <v>43885</v>
      </c>
      <c r="D14247" t="s">
        <v>29</v>
      </c>
      <c r="E14247">
        <v>1315</v>
      </c>
    </row>
    <row r="14248" spans="1:5" x14ac:dyDescent="0.55000000000000004">
      <c r="A14248" t="s">
        <v>14329</v>
      </c>
      <c r="B14248" t="s">
        <v>99</v>
      </c>
      <c r="C14248" s="2">
        <v>45465</v>
      </c>
      <c r="D14248" t="s">
        <v>29</v>
      </c>
      <c r="E14248">
        <v>851</v>
      </c>
    </row>
    <row r="14249" spans="1:5" x14ac:dyDescent="0.55000000000000004">
      <c r="A14249" t="s">
        <v>14330</v>
      </c>
      <c r="B14249" t="s">
        <v>14</v>
      </c>
      <c r="C14249" s="2">
        <v>44346</v>
      </c>
      <c r="D14249" t="s">
        <v>26</v>
      </c>
      <c r="E14249">
        <v>2404</v>
      </c>
    </row>
    <row r="14250" spans="1:5" x14ac:dyDescent="0.55000000000000004">
      <c r="A14250" t="s">
        <v>14331</v>
      </c>
      <c r="B14250" t="s">
        <v>140</v>
      </c>
      <c r="C14250" s="2">
        <v>43093</v>
      </c>
      <c r="D14250" t="s">
        <v>29</v>
      </c>
      <c r="E14250">
        <v>2947</v>
      </c>
    </row>
    <row r="14251" spans="1:5" x14ac:dyDescent="0.55000000000000004">
      <c r="A14251" t="s">
        <v>14332</v>
      </c>
      <c r="B14251" t="s">
        <v>23</v>
      </c>
      <c r="C14251" s="2">
        <v>43947</v>
      </c>
      <c r="D14251" t="s">
        <v>29</v>
      </c>
      <c r="E14251">
        <v>264</v>
      </c>
    </row>
    <row r="14252" spans="1:5" x14ac:dyDescent="0.55000000000000004">
      <c r="A14252" t="s">
        <v>14333</v>
      </c>
      <c r="B14252" t="s">
        <v>140</v>
      </c>
      <c r="C14252" s="2">
        <v>43875</v>
      </c>
      <c r="D14252" t="s">
        <v>29</v>
      </c>
      <c r="E14252">
        <v>2569</v>
      </c>
    </row>
    <row r="14253" spans="1:5" x14ac:dyDescent="0.55000000000000004">
      <c r="A14253" t="s">
        <v>14334</v>
      </c>
      <c r="B14253" t="s">
        <v>38</v>
      </c>
      <c r="C14253" s="2">
        <v>44152</v>
      </c>
      <c r="D14253" t="s">
        <v>26</v>
      </c>
      <c r="E14253">
        <v>766</v>
      </c>
    </row>
    <row r="14254" spans="1:5" x14ac:dyDescent="0.55000000000000004">
      <c r="A14254" t="s">
        <v>14335</v>
      </c>
      <c r="B14254" t="s">
        <v>15</v>
      </c>
      <c r="C14254" s="2">
        <v>44137</v>
      </c>
      <c r="D14254" t="s">
        <v>26</v>
      </c>
      <c r="E14254">
        <v>1125</v>
      </c>
    </row>
    <row r="14255" spans="1:5" x14ac:dyDescent="0.55000000000000004">
      <c r="A14255" t="s">
        <v>14336</v>
      </c>
      <c r="B14255" t="s">
        <v>111</v>
      </c>
      <c r="C14255" s="2">
        <v>43456</v>
      </c>
      <c r="D14255" t="s">
        <v>26</v>
      </c>
      <c r="E14255">
        <v>290</v>
      </c>
    </row>
    <row r="14256" spans="1:5" x14ac:dyDescent="0.55000000000000004">
      <c r="A14256" t="s">
        <v>14337</v>
      </c>
      <c r="B14256" t="s">
        <v>99</v>
      </c>
      <c r="C14256" s="2">
        <v>43961</v>
      </c>
      <c r="D14256" t="s">
        <v>29</v>
      </c>
      <c r="E14256">
        <v>2565</v>
      </c>
    </row>
    <row r="14257" spans="1:5" x14ac:dyDescent="0.55000000000000004">
      <c r="A14257" t="s">
        <v>14338</v>
      </c>
      <c r="B14257" t="s">
        <v>105</v>
      </c>
      <c r="C14257" s="2">
        <v>43968</v>
      </c>
      <c r="D14257" t="s">
        <v>29</v>
      </c>
      <c r="E14257">
        <v>1381</v>
      </c>
    </row>
    <row r="14258" spans="1:5" x14ac:dyDescent="0.55000000000000004">
      <c r="A14258" t="s">
        <v>14339</v>
      </c>
      <c r="B14258" t="s">
        <v>137</v>
      </c>
      <c r="C14258" s="2">
        <v>45579</v>
      </c>
      <c r="D14258" t="s">
        <v>29</v>
      </c>
      <c r="E14258">
        <v>2195</v>
      </c>
    </row>
    <row r="14259" spans="1:5" x14ac:dyDescent="0.55000000000000004">
      <c r="A14259" t="s">
        <v>14340</v>
      </c>
      <c r="B14259" t="s">
        <v>78</v>
      </c>
      <c r="C14259" s="2">
        <v>45447</v>
      </c>
      <c r="D14259" t="s">
        <v>29</v>
      </c>
      <c r="E14259">
        <v>2403</v>
      </c>
    </row>
    <row r="14260" spans="1:5" x14ac:dyDescent="0.55000000000000004">
      <c r="A14260" t="s">
        <v>14341</v>
      </c>
      <c r="B14260" t="s">
        <v>84</v>
      </c>
      <c r="C14260" s="2">
        <v>43004</v>
      </c>
      <c r="D14260" t="s">
        <v>26</v>
      </c>
      <c r="E14260">
        <v>2360</v>
      </c>
    </row>
    <row r="14261" spans="1:5" x14ac:dyDescent="0.55000000000000004">
      <c r="A14261" t="s">
        <v>14342</v>
      </c>
      <c r="B14261" t="s">
        <v>76</v>
      </c>
      <c r="C14261" s="2">
        <v>44179</v>
      </c>
      <c r="D14261" t="s">
        <v>29</v>
      </c>
      <c r="E14261">
        <v>753</v>
      </c>
    </row>
    <row r="14262" spans="1:5" x14ac:dyDescent="0.55000000000000004">
      <c r="A14262" t="s">
        <v>14343</v>
      </c>
      <c r="B14262" t="s">
        <v>99</v>
      </c>
      <c r="C14262" s="2">
        <v>45582</v>
      </c>
      <c r="D14262" t="s">
        <v>29</v>
      </c>
      <c r="E14262">
        <v>1419</v>
      </c>
    </row>
    <row r="14263" spans="1:5" x14ac:dyDescent="0.55000000000000004">
      <c r="A14263" t="s">
        <v>14344</v>
      </c>
      <c r="B14263" t="s">
        <v>78</v>
      </c>
      <c r="C14263" s="2">
        <v>45678</v>
      </c>
      <c r="D14263" t="s">
        <v>26</v>
      </c>
      <c r="E14263">
        <v>2020</v>
      </c>
    </row>
    <row r="14264" spans="1:5" x14ac:dyDescent="0.55000000000000004">
      <c r="A14264" t="s">
        <v>14345</v>
      </c>
      <c r="B14264" t="s">
        <v>38</v>
      </c>
      <c r="C14264" s="2">
        <v>44210</v>
      </c>
      <c r="D14264" t="s">
        <v>26</v>
      </c>
      <c r="E14264">
        <v>228</v>
      </c>
    </row>
    <row r="14265" spans="1:5" x14ac:dyDescent="0.55000000000000004">
      <c r="A14265" t="s">
        <v>14346</v>
      </c>
      <c r="B14265" t="s">
        <v>99</v>
      </c>
      <c r="C14265" s="2">
        <v>43558</v>
      </c>
      <c r="D14265" t="s">
        <v>29</v>
      </c>
      <c r="E14265">
        <v>1871</v>
      </c>
    </row>
    <row r="14266" spans="1:5" x14ac:dyDescent="0.55000000000000004">
      <c r="A14266" t="s">
        <v>14347</v>
      </c>
      <c r="B14266" t="s">
        <v>137</v>
      </c>
      <c r="C14266" s="2">
        <v>43550</v>
      </c>
      <c r="D14266" t="s">
        <v>26</v>
      </c>
      <c r="E14266">
        <v>2334</v>
      </c>
    </row>
    <row r="14267" spans="1:5" x14ac:dyDescent="0.55000000000000004">
      <c r="A14267" t="s">
        <v>14348</v>
      </c>
      <c r="B14267" t="s">
        <v>94</v>
      </c>
      <c r="C14267" s="2">
        <v>45504</v>
      </c>
      <c r="D14267" t="s">
        <v>29</v>
      </c>
      <c r="E14267">
        <v>861</v>
      </c>
    </row>
    <row r="14268" spans="1:5" x14ac:dyDescent="0.55000000000000004">
      <c r="A14268" t="s">
        <v>14349</v>
      </c>
      <c r="B14268" t="s">
        <v>118</v>
      </c>
      <c r="C14268" s="2">
        <v>44784</v>
      </c>
      <c r="D14268" t="s">
        <v>29</v>
      </c>
      <c r="E14268">
        <v>1316</v>
      </c>
    </row>
    <row r="14269" spans="1:5" x14ac:dyDescent="0.55000000000000004">
      <c r="A14269" t="s">
        <v>14350</v>
      </c>
      <c r="B14269" t="s">
        <v>38</v>
      </c>
      <c r="C14269" s="2">
        <v>44131</v>
      </c>
      <c r="D14269" t="s">
        <v>26</v>
      </c>
      <c r="E14269">
        <v>1352</v>
      </c>
    </row>
    <row r="14270" spans="1:5" x14ac:dyDescent="0.55000000000000004">
      <c r="A14270" t="s">
        <v>14351</v>
      </c>
      <c r="B14270" t="s">
        <v>86</v>
      </c>
      <c r="C14270" s="2">
        <v>44345</v>
      </c>
      <c r="D14270" t="s">
        <v>29</v>
      </c>
      <c r="E14270">
        <v>2606</v>
      </c>
    </row>
    <row r="14271" spans="1:5" x14ac:dyDescent="0.55000000000000004">
      <c r="A14271" t="s">
        <v>14352</v>
      </c>
      <c r="B14271" t="s">
        <v>140</v>
      </c>
      <c r="C14271" s="2">
        <v>43941</v>
      </c>
      <c r="D14271" t="s">
        <v>26</v>
      </c>
      <c r="E14271">
        <v>2876</v>
      </c>
    </row>
    <row r="14272" spans="1:5" x14ac:dyDescent="0.55000000000000004">
      <c r="A14272" t="s">
        <v>14353</v>
      </c>
      <c r="B14272" t="s">
        <v>41</v>
      </c>
      <c r="C14272" s="2">
        <v>44380</v>
      </c>
      <c r="D14272" t="s">
        <v>29</v>
      </c>
      <c r="E14272">
        <v>2456</v>
      </c>
    </row>
    <row r="14273" spans="1:5" x14ac:dyDescent="0.55000000000000004">
      <c r="A14273" t="s">
        <v>14354</v>
      </c>
      <c r="B14273" t="s">
        <v>78</v>
      </c>
      <c r="C14273" s="2">
        <v>43520</v>
      </c>
      <c r="D14273" t="s">
        <v>26</v>
      </c>
      <c r="E14273">
        <v>425</v>
      </c>
    </row>
    <row r="14274" spans="1:5" x14ac:dyDescent="0.55000000000000004">
      <c r="A14274" t="s">
        <v>14355</v>
      </c>
      <c r="B14274" t="s">
        <v>111</v>
      </c>
      <c r="C14274" s="2">
        <v>44339</v>
      </c>
      <c r="D14274" t="s">
        <v>26</v>
      </c>
      <c r="E14274">
        <v>523</v>
      </c>
    </row>
    <row r="14275" spans="1:5" x14ac:dyDescent="0.55000000000000004">
      <c r="A14275" t="s">
        <v>14356</v>
      </c>
      <c r="B14275" t="s">
        <v>118</v>
      </c>
      <c r="C14275" s="2">
        <v>44330</v>
      </c>
      <c r="D14275" t="s">
        <v>29</v>
      </c>
      <c r="E14275">
        <v>624</v>
      </c>
    </row>
    <row r="14276" spans="1:5" x14ac:dyDescent="0.55000000000000004">
      <c r="A14276" t="s">
        <v>14357</v>
      </c>
      <c r="B14276" t="s">
        <v>84</v>
      </c>
      <c r="C14276" s="2">
        <v>44358</v>
      </c>
      <c r="D14276" t="s">
        <v>26</v>
      </c>
      <c r="E14276">
        <v>1201</v>
      </c>
    </row>
    <row r="14277" spans="1:5" x14ac:dyDescent="0.55000000000000004">
      <c r="A14277" t="s">
        <v>14358</v>
      </c>
      <c r="B14277" t="s">
        <v>32</v>
      </c>
      <c r="C14277" s="2">
        <v>44415</v>
      </c>
      <c r="D14277" t="s">
        <v>29</v>
      </c>
      <c r="E14277">
        <v>2778</v>
      </c>
    </row>
    <row r="14278" spans="1:5" x14ac:dyDescent="0.55000000000000004">
      <c r="A14278" t="s">
        <v>14359</v>
      </c>
      <c r="B14278" t="s">
        <v>142</v>
      </c>
      <c r="C14278" s="2">
        <v>42926</v>
      </c>
      <c r="D14278" t="s">
        <v>26</v>
      </c>
      <c r="E14278">
        <v>1412</v>
      </c>
    </row>
    <row r="14279" spans="1:5" x14ac:dyDescent="0.55000000000000004">
      <c r="A14279" t="s">
        <v>14360</v>
      </c>
      <c r="B14279" t="s">
        <v>115</v>
      </c>
      <c r="C14279" s="2">
        <v>44088</v>
      </c>
      <c r="D14279" t="s">
        <v>26</v>
      </c>
      <c r="E14279">
        <v>1610</v>
      </c>
    </row>
    <row r="14280" spans="1:5" x14ac:dyDescent="0.55000000000000004">
      <c r="A14280" t="s">
        <v>14361</v>
      </c>
      <c r="B14280" t="s">
        <v>94</v>
      </c>
      <c r="C14280" s="2">
        <v>45302</v>
      </c>
      <c r="D14280" t="s">
        <v>26</v>
      </c>
      <c r="E14280">
        <v>1262</v>
      </c>
    </row>
    <row r="14281" spans="1:5" x14ac:dyDescent="0.55000000000000004">
      <c r="A14281" t="s">
        <v>14362</v>
      </c>
      <c r="B14281" t="s">
        <v>41</v>
      </c>
      <c r="C14281" s="2">
        <v>44382</v>
      </c>
      <c r="D14281" t="s">
        <v>29</v>
      </c>
      <c r="E14281">
        <v>207</v>
      </c>
    </row>
    <row r="14282" spans="1:5" x14ac:dyDescent="0.55000000000000004">
      <c r="A14282" t="s">
        <v>14363</v>
      </c>
      <c r="B14282" t="s">
        <v>32</v>
      </c>
      <c r="C14282" s="2">
        <v>44567</v>
      </c>
      <c r="D14282" t="s">
        <v>29</v>
      </c>
      <c r="E14282">
        <v>2822</v>
      </c>
    </row>
    <row r="14283" spans="1:5" x14ac:dyDescent="0.55000000000000004">
      <c r="A14283" t="s">
        <v>14364</v>
      </c>
      <c r="B14283" t="s">
        <v>96</v>
      </c>
      <c r="C14283" s="2">
        <v>44118</v>
      </c>
      <c r="D14283" t="s">
        <v>29</v>
      </c>
      <c r="E14283">
        <v>2181</v>
      </c>
    </row>
    <row r="14284" spans="1:5" x14ac:dyDescent="0.55000000000000004">
      <c r="A14284" t="s">
        <v>14365</v>
      </c>
      <c r="B14284" t="s">
        <v>96</v>
      </c>
      <c r="C14284" s="2">
        <v>45450</v>
      </c>
      <c r="D14284" t="s">
        <v>29</v>
      </c>
      <c r="E14284">
        <v>1876</v>
      </c>
    </row>
    <row r="14285" spans="1:5" x14ac:dyDescent="0.55000000000000004">
      <c r="A14285" t="s">
        <v>14366</v>
      </c>
      <c r="B14285" t="s">
        <v>101</v>
      </c>
      <c r="C14285" s="2">
        <v>43414</v>
      </c>
      <c r="D14285" t="s">
        <v>26</v>
      </c>
      <c r="E14285">
        <v>2810</v>
      </c>
    </row>
    <row r="14286" spans="1:5" x14ac:dyDescent="0.55000000000000004">
      <c r="A14286" t="s">
        <v>14367</v>
      </c>
      <c r="B14286" t="s">
        <v>99</v>
      </c>
      <c r="C14286" s="2">
        <v>44336</v>
      </c>
      <c r="D14286" t="s">
        <v>29</v>
      </c>
      <c r="E14286">
        <v>1800</v>
      </c>
    </row>
    <row r="14287" spans="1:5" x14ac:dyDescent="0.55000000000000004">
      <c r="A14287" t="s">
        <v>14368</v>
      </c>
      <c r="B14287" t="s">
        <v>72</v>
      </c>
      <c r="C14287" s="2">
        <v>44287</v>
      </c>
      <c r="D14287" t="s">
        <v>26</v>
      </c>
      <c r="E14287">
        <v>2531</v>
      </c>
    </row>
    <row r="14288" spans="1:5" x14ac:dyDescent="0.55000000000000004">
      <c r="A14288" t="s">
        <v>14369</v>
      </c>
      <c r="B14288" t="s">
        <v>115</v>
      </c>
      <c r="C14288" s="2">
        <v>44523</v>
      </c>
      <c r="D14288" t="s">
        <v>26</v>
      </c>
      <c r="E14288">
        <v>151</v>
      </c>
    </row>
    <row r="14289" spans="1:5" x14ac:dyDescent="0.55000000000000004">
      <c r="A14289" t="s">
        <v>14370</v>
      </c>
      <c r="B14289" t="s">
        <v>41</v>
      </c>
      <c r="C14289" s="2">
        <v>44686</v>
      </c>
      <c r="D14289" t="s">
        <v>26</v>
      </c>
      <c r="E14289">
        <v>1093</v>
      </c>
    </row>
    <row r="14290" spans="1:5" x14ac:dyDescent="0.55000000000000004">
      <c r="A14290" t="s">
        <v>14371</v>
      </c>
      <c r="B14290" t="s">
        <v>35</v>
      </c>
      <c r="C14290" s="2">
        <v>44773</v>
      </c>
      <c r="D14290" t="s">
        <v>29</v>
      </c>
      <c r="E14290">
        <v>2570</v>
      </c>
    </row>
    <row r="14291" spans="1:5" x14ac:dyDescent="0.55000000000000004">
      <c r="A14291" t="s">
        <v>14372</v>
      </c>
      <c r="B14291" t="s">
        <v>118</v>
      </c>
      <c r="C14291" s="2">
        <v>43795</v>
      </c>
      <c r="D14291" t="s">
        <v>26</v>
      </c>
      <c r="E14291">
        <v>1081</v>
      </c>
    </row>
    <row r="14292" spans="1:5" x14ac:dyDescent="0.55000000000000004">
      <c r="A14292" t="s">
        <v>14373</v>
      </c>
      <c r="B14292" t="s">
        <v>94</v>
      </c>
      <c r="C14292" s="2">
        <v>44017</v>
      </c>
      <c r="D14292" t="s">
        <v>26</v>
      </c>
      <c r="E14292">
        <v>2776</v>
      </c>
    </row>
    <row r="14293" spans="1:5" x14ac:dyDescent="0.55000000000000004">
      <c r="A14293" t="s">
        <v>14374</v>
      </c>
      <c r="B14293" t="s">
        <v>72</v>
      </c>
      <c r="C14293" s="2">
        <v>43238</v>
      </c>
      <c r="D14293" t="s">
        <v>26</v>
      </c>
      <c r="E14293">
        <v>63</v>
      </c>
    </row>
    <row r="14294" spans="1:5" x14ac:dyDescent="0.55000000000000004">
      <c r="A14294" t="s">
        <v>14375</v>
      </c>
      <c r="B14294" t="s">
        <v>111</v>
      </c>
      <c r="C14294" s="2">
        <v>44516</v>
      </c>
      <c r="D14294" t="s">
        <v>29</v>
      </c>
      <c r="E14294">
        <v>1410</v>
      </c>
    </row>
    <row r="14295" spans="1:5" x14ac:dyDescent="0.55000000000000004">
      <c r="A14295" t="s">
        <v>14376</v>
      </c>
      <c r="B14295" t="s">
        <v>15</v>
      </c>
      <c r="C14295" s="2">
        <v>43427</v>
      </c>
      <c r="D14295" t="s">
        <v>26</v>
      </c>
      <c r="E14295">
        <v>1772</v>
      </c>
    </row>
    <row r="14296" spans="1:5" x14ac:dyDescent="0.55000000000000004">
      <c r="A14296" t="s">
        <v>14377</v>
      </c>
      <c r="B14296" t="s">
        <v>99</v>
      </c>
      <c r="C14296" s="2">
        <v>44232</v>
      </c>
      <c r="D14296" t="s">
        <v>29</v>
      </c>
      <c r="E14296">
        <v>1548</v>
      </c>
    </row>
    <row r="14297" spans="1:5" x14ac:dyDescent="0.55000000000000004">
      <c r="A14297" t="s">
        <v>14378</v>
      </c>
      <c r="B14297" t="s">
        <v>86</v>
      </c>
      <c r="C14297" s="2">
        <v>43837</v>
      </c>
      <c r="D14297" t="s">
        <v>29</v>
      </c>
      <c r="E14297">
        <v>2980</v>
      </c>
    </row>
    <row r="14298" spans="1:5" x14ac:dyDescent="0.55000000000000004">
      <c r="A14298" t="s">
        <v>14379</v>
      </c>
      <c r="B14298" t="s">
        <v>86</v>
      </c>
      <c r="C14298" s="2">
        <v>43627</v>
      </c>
      <c r="D14298" t="s">
        <v>26</v>
      </c>
      <c r="E14298">
        <v>1359</v>
      </c>
    </row>
    <row r="14299" spans="1:5" x14ac:dyDescent="0.55000000000000004">
      <c r="A14299" t="s">
        <v>14380</v>
      </c>
      <c r="B14299" t="s">
        <v>67</v>
      </c>
      <c r="C14299" s="2">
        <v>45160</v>
      </c>
      <c r="D14299" t="s">
        <v>29</v>
      </c>
      <c r="E14299">
        <v>1573</v>
      </c>
    </row>
    <row r="14300" spans="1:5" x14ac:dyDescent="0.55000000000000004">
      <c r="A14300" t="s">
        <v>14381</v>
      </c>
      <c r="B14300" t="s">
        <v>94</v>
      </c>
      <c r="C14300" s="2">
        <v>45680</v>
      </c>
      <c r="D14300" t="s">
        <v>29</v>
      </c>
      <c r="E14300">
        <v>100</v>
      </c>
    </row>
    <row r="14301" spans="1:5" x14ac:dyDescent="0.55000000000000004">
      <c r="A14301" t="s">
        <v>14382</v>
      </c>
      <c r="B14301" t="s">
        <v>78</v>
      </c>
      <c r="C14301" s="2">
        <v>45211</v>
      </c>
      <c r="D14301" t="s">
        <v>29</v>
      </c>
      <c r="E14301">
        <v>1095</v>
      </c>
    </row>
    <row r="14302" spans="1:5" x14ac:dyDescent="0.55000000000000004">
      <c r="A14302" t="s">
        <v>14383</v>
      </c>
      <c r="B14302" t="s">
        <v>67</v>
      </c>
      <c r="C14302" s="2">
        <v>45419</v>
      </c>
      <c r="D14302" t="s">
        <v>26</v>
      </c>
      <c r="E14302">
        <v>2694</v>
      </c>
    </row>
    <row r="14303" spans="1:5" x14ac:dyDescent="0.55000000000000004">
      <c r="A14303" t="s">
        <v>14384</v>
      </c>
      <c r="B14303" t="s">
        <v>101</v>
      </c>
      <c r="C14303" s="2">
        <v>43551</v>
      </c>
      <c r="D14303" t="s">
        <v>29</v>
      </c>
      <c r="E14303">
        <v>456</v>
      </c>
    </row>
    <row r="14304" spans="1:5" x14ac:dyDescent="0.55000000000000004">
      <c r="A14304" t="s">
        <v>14385</v>
      </c>
      <c r="B14304" t="s">
        <v>63</v>
      </c>
      <c r="C14304" s="2">
        <v>43009</v>
      </c>
      <c r="D14304" t="s">
        <v>26</v>
      </c>
      <c r="E14304">
        <v>220</v>
      </c>
    </row>
    <row r="14305" spans="1:5" x14ac:dyDescent="0.55000000000000004">
      <c r="A14305" t="s">
        <v>14386</v>
      </c>
      <c r="B14305" t="s">
        <v>105</v>
      </c>
      <c r="C14305" s="2">
        <v>43620</v>
      </c>
      <c r="D14305" t="s">
        <v>29</v>
      </c>
      <c r="E14305">
        <v>1069</v>
      </c>
    </row>
    <row r="14306" spans="1:5" x14ac:dyDescent="0.55000000000000004">
      <c r="A14306" t="s">
        <v>14387</v>
      </c>
      <c r="B14306" t="s">
        <v>101</v>
      </c>
      <c r="C14306" s="2">
        <v>44229</v>
      </c>
      <c r="D14306" t="s">
        <v>29</v>
      </c>
      <c r="E14306">
        <v>1394</v>
      </c>
    </row>
    <row r="14307" spans="1:5" x14ac:dyDescent="0.55000000000000004">
      <c r="A14307" t="s">
        <v>14388</v>
      </c>
      <c r="B14307" t="s">
        <v>76</v>
      </c>
      <c r="C14307" s="2">
        <v>44487</v>
      </c>
      <c r="D14307" t="s">
        <v>26</v>
      </c>
      <c r="E14307">
        <v>1170</v>
      </c>
    </row>
    <row r="14308" spans="1:5" x14ac:dyDescent="0.55000000000000004">
      <c r="A14308" t="s">
        <v>14389</v>
      </c>
      <c r="B14308" t="s">
        <v>15</v>
      </c>
      <c r="C14308" s="2">
        <v>44190</v>
      </c>
      <c r="D14308" t="s">
        <v>29</v>
      </c>
      <c r="E14308">
        <v>558</v>
      </c>
    </row>
    <row r="14309" spans="1:5" x14ac:dyDescent="0.55000000000000004">
      <c r="A14309" t="s">
        <v>14390</v>
      </c>
      <c r="B14309" t="s">
        <v>23</v>
      </c>
      <c r="C14309" s="2">
        <v>44374</v>
      </c>
      <c r="D14309" t="s">
        <v>29</v>
      </c>
      <c r="E14309">
        <v>1178</v>
      </c>
    </row>
    <row r="14310" spans="1:5" x14ac:dyDescent="0.55000000000000004">
      <c r="A14310" t="s">
        <v>14391</v>
      </c>
      <c r="B14310" t="s">
        <v>15</v>
      </c>
      <c r="C14310" s="2">
        <v>42929</v>
      </c>
      <c r="D14310" t="s">
        <v>29</v>
      </c>
      <c r="E14310">
        <v>484</v>
      </c>
    </row>
    <row r="14311" spans="1:5" x14ac:dyDescent="0.55000000000000004">
      <c r="A14311" t="s">
        <v>14392</v>
      </c>
      <c r="B14311" t="s">
        <v>41</v>
      </c>
      <c r="C14311" s="2">
        <v>44468</v>
      </c>
      <c r="D14311" t="s">
        <v>29</v>
      </c>
      <c r="E14311">
        <v>144</v>
      </c>
    </row>
    <row r="14312" spans="1:5" x14ac:dyDescent="0.55000000000000004">
      <c r="A14312" t="s">
        <v>14393</v>
      </c>
      <c r="B14312" t="s">
        <v>111</v>
      </c>
      <c r="C14312" s="2">
        <v>44281</v>
      </c>
      <c r="D14312" t="s">
        <v>29</v>
      </c>
      <c r="E14312">
        <v>868</v>
      </c>
    </row>
    <row r="14313" spans="1:5" x14ac:dyDescent="0.55000000000000004">
      <c r="A14313" t="s">
        <v>14394</v>
      </c>
      <c r="B14313" t="s">
        <v>118</v>
      </c>
      <c r="C14313" s="2">
        <v>44268</v>
      </c>
      <c r="D14313" t="s">
        <v>29</v>
      </c>
      <c r="E14313">
        <v>165</v>
      </c>
    </row>
    <row r="14314" spans="1:5" x14ac:dyDescent="0.55000000000000004">
      <c r="A14314" t="s">
        <v>14395</v>
      </c>
      <c r="B14314" t="s">
        <v>140</v>
      </c>
      <c r="C14314" s="2">
        <v>44152</v>
      </c>
      <c r="D14314" t="s">
        <v>29</v>
      </c>
      <c r="E14314">
        <v>2657</v>
      </c>
    </row>
    <row r="14315" spans="1:5" x14ac:dyDescent="0.55000000000000004">
      <c r="A14315" t="s">
        <v>14396</v>
      </c>
      <c r="B14315" t="s">
        <v>115</v>
      </c>
      <c r="C14315" s="2">
        <v>43051</v>
      </c>
      <c r="D14315" t="s">
        <v>26</v>
      </c>
      <c r="E14315">
        <v>2418</v>
      </c>
    </row>
    <row r="14316" spans="1:5" x14ac:dyDescent="0.55000000000000004">
      <c r="A14316" t="s">
        <v>14397</v>
      </c>
      <c r="B14316" t="s">
        <v>101</v>
      </c>
      <c r="C14316" s="2">
        <v>44244</v>
      </c>
      <c r="D14316" t="s">
        <v>26</v>
      </c>
      <c r="E14316">
        <v>810</v>
      </c>
    </row>
    <row r="14317" spans="1:5" x14ac:dyDescent="0.55000000000000004">
      <c r="A14317" t="s">
        <v>14398</v>
      </c>
      <c r="B14317" t="s">
        <v>99</v>
      </c>
      <c r="C14317" s="2">
        <v>45271</v>
      </c>
      <c r="D14317" t="s">
        <v>29</v>
      </c>
      <c r="E14317">
        <v>2682</v>
      </c>
    </row>
    <row r="14318" spans="1:5" x14ac:dyDescent="0.55000000000000004">
      <c r="A14318" t="s">
        <v>14399</v>
      </c>
      <c r="B14318" t="s">
        <v>32</v>
      </c>
      <c r="C14318" s="2">
        <v>44544</v>
      </c>
      <c r="D14318" t="s">
        <v>29</v>
      </c>
      <c r="E14318">
        <v>2309</v>
      </c>
    </row>
    <row r="14319" spans="1:5" x14ac:dyDescent="0.55000000000000004">
      <c r="A14319" t="s">
        <v>14400</v>
      </c>
      <c r="B14319" t="s">
        <v>84</v>
      </c>
      <c r="C14319" s="2">
        <v>43251</v>
      </c>
      <c r="D14319" t="s">
        <v>26</v>
      </c>
      <c r="E14319">
        <v>2354</v>
      </c>
    </row>
    <row r="14320" spans="1:5" x14ac:dyDescent="0.55000000000000004">
      <c r="A14320" t="s">
        <v>14401</v>
      </c>
      <c r="B14320" t="s">
        <v>67</v>
      </c>
      <c r="C14320" s="2">
        <v>43888</v>
      </c>
      <c r="D14320" t="s">
        <v>26</v>
      </c>
      <c r="E14320">
        <v>1008</v>
      </c>
    </row>
    <row r="14321" spans="1:5" x14ac:dyDescent="0.55000000000000004">
      <c r="A14321" t="s">
        <v>14402</v>
      </c>
      <c r="B14321" t="s">
        <v>94</v>
      </c>
      <c r="C14321" s="2">
        <v>44087</v>
      </c>
      <c r="D14321" t="s">
        <v>29</v>
      </c>
      <c r="E14321">
        <v>313</v>
      </c>
    </row>
    <row r="14322" spans="1:5" x14ac:dyDescent="0.55000000000000004">
      <c r="A14322" t="s">
        <v>14403</v>
      </c>
      <c r="B14322" t="s">
        <v>32</v>
      </c>
      <c r="C14322" s="2">
        <v>44773</v>
      </c>
      <c r="D14322" t="s">
        <v>29</v>
      </c>
      <c r="E14322">
        <v>2944</v>
      </c>
    </row>
    <row r="14323" spans="1:5" x14ac:dyDescent="0.55000000000000004">
      <c r="A14323" t="s">
        <v>14404</v>
      </c>
      <c r="B14323" t="s">
        <v>74</v>
      </c>
      <c r="C14323" s="2">
        <v>43082</v>
      </c>
      <c r="D14323" t="s">
        <v>26</v>
      </c>
      <c r="E14323">
        <v>442</v>
      </c>
    </row>
    <row r="14324" spans="1:5" x14ac:dyDescent="0.55000000000000004">
      <c r="A14324" t="s">
        <v>14405</v>
      </c>
      <c r="B14324" t="s">
        <v>41</v>
      </c>
      <c r="C14324" s="2">
        <v>44603</v>
      </c>
      <c r="D14324" t="s">
        <v>29</v>
      </c>
      <c r="E14324">
        <v>2855</v>
      </c>
    </row>
    <row r="14325" spans="1:5" x14ac:dyDescent="0.55000000000000004">
      <c r="A14325" t="s">
        <v>14406</v>
      </c>
      <c r="B14325" t="s">
        <v>137</v>
      </c>
      <c r="C14325" s="2">
        <v>45353</v>
      </c>
      <c r="D14325" t="s">
        <v>29</v>
      </c>
      <c r="E14325">
        <v>793</v>
      </c>
    </row>
    <row r="14326" spans="1:5" x14ac:dyDescent="0.55000000000000004">
      <c r="A14326" t="s">
        <v>14407</v>
      </c>
      <c r="B14326" t="s">
        <v>101</v>
      </c>
      <c r="C14326" s="2">
        <v>43022</v>
      </c>
      <c r="D14326" t="s">
        <v>29</v>
      </c>
      <c r="E14326">
        <v>2234</v>
      </c>
    </row>
    <row r="14327" spans="1:5" x14ac:dyDescent="0.55000000000000004">
      <c r="A14327" t="s">
        <v>14408</v>
      </c>
      <c r="B14327" t="s">
        <v>32</v>
      </c>
      <c r="C14327" s="2">
        <v>43836</v>
      </c>
      <c r="D14327" t="s">
        <v>29</v>
      </c>
      <c r="E14327">
        <v>2472</v>
      </c>
    </row>
    <row r="14328" spans="1:5" x14ac:dyDescent="0.55000000000000004">
      <c r="A14328" t="s">
        <v>14409</v>
      </c>
      <c r="B14328" t="s">
        <v>72</v>
      </c>
      <c r="C14328" s="2">
        <v>43815</v>
      </c>
      <c r="D14328" t="s">
        <v>26</v>
      </c>
      <c r="E14328">
        <v>1057</v>
      </c>
    </row>
    <row r="14329" spans="1:5" x14ac:dyDescent="0.55000000000000004">
      <c r="A14329" t="s">
        <v>14410</v>
      </c>
      <c r="B14329" t="s">
        <v>63</v>
      </c>
      <c r="C14329" s="2">
        <v>44318</v>
      </c>
      <c r="D14329" t="s">
        <v>29</v>
      </c>
      <c r="E14329">
        <v>2348</v>
      </c>
    </row>
    <row r="14330" spans="1:5" x14ac:dyDescent="0.55000000000000004">
      <c r="A14330" t="s">
        <v>14411</v>
      </c>
      <c r="B14330" t="s">
        <v>118</v>
      </c>
      <c r="C14330" s="2">
        <v>44577</v>
      </c>
      <c r="D14330" t="s">
        <v>29</v>
      </c>
      <c r="E14330">
        <v>1035</v>
      </c>
    </row>
    <row r="14331" spans="1:5" x14ac:dyDescent="0.55000000000000004">
      <c r="A14331" t="s">
        <v>14412</v>
      </c>
      <c r="B14331" t="s">
        <v>32</v>
      </c>
      <c r="C14331" s="2">
        <v>44251</v>
      </c>
      <c r="D14331" t="s">
        <v>29</v>
      </c>
      <c r="E14331">
        <v>1965</v>
      </c>
    </row>
    <row r="14332" spans="1:5" x14ac:dyDescent="0.55000000000000004">
      <c r="A14332" t="s">
        <v>14413</v>
      </c>
      <c r="B14332" t="s">
        <v>101</v>
      </c>
      <c r="C14332" s="2">
        <v>44344</v>
      </c>
      <c r="D14332" t="s">
        <v>26</v>
      </c>
      <c r="E14332">
        <v>2929</v>
      </c>
    </row>
    <row r="14333" spans="1:5" x14ac:dyDescent="0.55000000000000004">
      <c r="A14333" t="s">
        <v>14414</v>
      </c>
      <c r="B14333" t="s">
        <v>67</v>
      </c>
      <c r="C14333" s="2">
        <v>45177</v>
      </c>
      <c r="D14333" t="s">
        <v>26</v>
      </c>
      <c r="E14333">
        <v>1601</v>
      </c>
    </row>
    <row r="14334" spans="1:5" x14ac:dyDescent="0.55000000000000004">
      <c r="A14334" t="s">
        <v>14415</v>
      </c>
      <c r="B14334" t="s">
        <v>35</v>
      </c>
      <c r="C14334" s="2">
        <v>44016</v>
      </c>
      <c r="D14334" t="s">
        <v>29</v>
      </c>
      <c r="E14334">
        <v>1881</v>
      </c>
    </row>
    <row r="14335" spans="1:5" x14ac:dyDescent="0.55000000000000004">
      <c r="A14335" t="s">
        <v>14416</v>
      </c>
      <c r="B14335" t="s">
        <v>101</v>
      </c>
      <c r="C14335" s="2">
        <v>43545</v>
      </c>
      <c r="D14335" t="s">
        <v>29</v>
      </c>
      <c r="E14335">
        <v>2144</v>
      </c>
    </row>
    <row r="14336" spans="1:5" x14ac:dyDescent="0.55000000000000004">
      <c r="A14336" t="s">
        <v>14417</v>
      </c>
      <c r="B14336" t="s">
        <v>38</v>
      </c>
      <c r="C14336" s="2">
        <v>43945</v>
      </c>
      <c r="D14336" t="s">
        <v>29</v>
      </c>
      <c r="E14336">
        <v>774</v>
      </c>
    </row>
    <row r="14337" spans="1:5" x14ac:dyDescent="0.55000000000000004">
      <c r="A14337" t="s">
        <v>14418</v>
      </c>
      <c r="B14337" t="s">
        <v>74</v>
      </c>
      <c r="C14337" s="2">
        <v>44533</v>
      </c>
      <c r="D14337" t="s">
        <v>29</v>
      </c>
      <c r="E14337">
        <v>2598</v>
      </c>
    </row>
    <row r="14338" spans="1:5" x14ac:dyDescent="0.55000000000000004">
      <c r="A14338" t="s">
        <v>14419</v>
      </c>
      <c r="B14338" t="s">
        <v>111</v>
      </c>
      <c r="C14338" s="2">
        <v>43249</v>
      </c>
      <c r="D14338" t="s">
        <v>26</v>
      </c>
      <c r="E14338">
        <v>2843</v>
      </c>
    </row>
    <row r="14339" spans="1:5" x14ac:dyDescent="0.55000000000000004">
      <c r="A14339" t="s">
        <v>14420</v>
      </c>
      <c r="B14339" t="s">
        <v>15</v>
      </c>
      <c r="C14339" s="2">
        <v>44072</v>
      </c>
      <c r="D14339" t="s">
        <v>26</v>
      </c>
      <c r="E14339">
        <v>2622</v>
      </c>
    </row>
    <row r="14340" spans="1:5" x14ac:dyDescent="0.55000000000000004">
      <c r="A14340" t="s">
        <v>14421</v>
      </c>
      <c r="B14340" t="s">
        <v>137</v>
      </c>
      <c r="C14340" s="2">
        <v>43579</v>
      </c>
      <c r="D14340" t="s">
        <v>29</v>
      </c>
      <c r="E14340">
        <v>793</v>
      </c>
    </row>
    <row r="14341" spans="1:5" x14ac:dyDescent="0.55000000000000004">
      <c r="A14341" t="s">
        <v>14422</v>
      </c>
      <c r="B14341" t="s">
        <v>38</v>
      </c>
      <c r="C14341" s="2">
        <v>43963</v>
      </c>
      <c r="D14341" t="s">
        <v>26</v>
      </c>
      <c r="E14341">
        <v>1719</v>
      </c>
    </row>
    <row r="14342" spans="1:5" x14ac:dyDescent="0.55000000000000004">
      <c r="A14342" t="s">
        <v>14423</v>
      </c>
      <c r="B14342" t="s">
        <v>14</v>
      </c>
      <c r="C14342" s="2">
        <v>43675</v>
      </c>
      <c r="D14342" t="s">
        <v>29</v>
      </c>
      <c r="E14342">
        <v>2854</v>
      </c>
    </row>
    <row r="14343" spans="1:5" x14ac:dyDescent="0.55000000000000004">
      <c r="A14343" t="s">
        <v>14424</v>
      </c>
      <c r="B14343" t="s">
        <v>76</v>
      </c>
      <c r="C14343" s="2">
        <v>45473</v>
      </c>
      <c r="D14343" t="s">
        <v>29</v>
      </c>
      <c r="E14343">
        <v>254</v>
      </c>
    </row>
    <row r="14344" spans="1:5" x14ac:dyDescent="0.55000000000000004">
      <c r="A14344" t="s">
        <v>14425</v>
      </c>
      <c r="B14344" t="s">
        <v>72</v>
      </c>
      <c r="C14344" s="2">
        <v>44203</v>
      </c>
      <c r="D14344" t="s">
        <v>29</v>
      </c>
      <c r="E14344">
        <v>1376</v>
      </c>
    </row>
    <row r="14345" spans="1:5" x14ac:dyDescent="0.55000000000000004">
      <c r="A14345" t="s">
        <v>14426</v>
      </c>
      <c r="B14345" t="s">
        <v>32</v>
      </c>
      <c r="C14345" s="2">
        <v>44583</v>
      </c>
      <c r="D14345" t="s">
        <v>29</v>
      </c>
      <c r="E14345">
        <v>1734</v>
      </c>
    </row>
    <row r="14346" spans="1:5" x14ac:dyDescent="0.55000000000000004">
      <c r="A14346" t="s">
        <v>14427</v>
      </c>
      <c r="B14346" t="s">
        <v>23</v>
      </c>
      <c r="C14346" s="2">
        <v>44488</v>
      </c>
      <c r="D14346" t="s">
        <v>29</v>
      </c>
      <c r="E14346">
        <v>2315</v>
      </c>
    </row>
    <row r="14347" spans="1:5" x14ac:dyDescent="0.55000000000000004">
      <c r="A14347" t="s">
        <v>14428</v>
      </c>
      <c r="B14347" t="s">
        <v>76</v>
      </c>
      <c r="C14347" s="2">
        <v>43851</v>
      </c>
      <c r="D14347" t="s">
        <v>26</v>
      </c>
      <c r="E14347">
        <v>1702</v>
      </c>
    </row>
    <row r="14348" spans="1:5" x14ac:dyDescent="0.55000000000000004">
      <c r="A14348" t="s">
        <v>14429</v>
      </c>
      <c r="B14348" t="s">
        <v>67</v>
      </c>
      <c r="C14348" s="2">
        <v>43836</v>
      </c>
      <c r="D14348" t="s">
        <v>26</v>
      </c>
      <c r="E14348">
        <v>142</v>
      </c>
    </row>
    <row r="14349" spans="1:5" x14ac:dyDescent="0.55000000000000004">
      <c r="A14349" t="s">
        <v>14430</v>
      </c>
      <c r="B14349" t="s">
        <v>96</v>
      </c>
      <c r="C14349" s="2">
        <v>45589</v>
      </c>
      <c r="D14349" t="s">
        <v>26</v>
      </c>
      <c r="E14349">
        <v>1847</v>
      </c>
    </row>
    <row r="14350" spans="1:5" x14ac:dyDescent="0.55000000000000004">
      <c r="A14350" t="s">
        <v>14431</v>
      </c>
      <c r="B14350" t="s">
        <v>76</v>
      </c>
      <c r="C14350" s="2">
        <v>44324</v>
      </c>
      <c r="D14350" t="s">
        <v>26</v>
      </c>
      <c r="E14350">
        <v>2130</v>
      </c>
    </row>
    <row r="14351" spans="1:5" x14ac:dyDescent="0.55000000000000004">
      <c r="A14351" t="s">
        <v>14432</v>
      </c>
      <c r="B14351" t="s">
        <v>41</v>
      </c>
      <c r="C14351" s="2">
        <v>44326</v>
      </c>
      <c r="D14351" t="s">
        <v>29</v>
      </c>
      <c r="E14351">
        <v>2381</v>
      </c>
    </row>
    <row r="14352" spans="1:5" x14ac:dyDescent="0.55000000000000004">
      <c r="A14352" t="s">
        <v>14433</v>
      </c>
      <c r="B14352" t="s">
        <v>156</v>
      </c>
      <c r="C14352" s="2">
        <v>43140</v>
      </c>
      <c r="D14352" t="s">
        <v>26</v>
      </c>
      <c r="E14352">
        <v>966</v>
      </c>
    </row>
    <row r="14353" spans="1:5" x14ac:dyDescent="0.55000000000000004">
      <c r="A14353" t="s">
        <v>14434</v>
      </c>
      <c r="B14353" t="s">
        <v>118</v>
      </c>
      <c r="C14353" s="2">
        <v>44537</v>
      </c>
      <c r="D14353" t="s">
        <v>29</v>
      </c>
      <c r="E14353">
        <v>2387</v>
      </c>
    </row>
    <row r="14354" spans="1:5" x14ac:dyDescent="0.55000000000000004">
      <c r="A14354" t="s">
        <v>14435</v>
      </c>
      <c r="B14354" t="s">
        <v>41</v>
      </c>
      <c r="C14354" s="2">
        <v>44184</v>
      </c>
      <c r="D14354" t="s">
        <v>26</v>
      </c>
      <c r="E14354">
        <v>722</v>
      </c>
    </row>
    <row r="14355" spans="1:5" x14ac:dyDescent="0.55000000000000004">
      <c r="A14355" t="s">
        <v>14436</v>
      </c>
      <c r="B14355" t="s">
        <v>137</v>
      </c>
      <c r="C14355" s="2">
        <v>44980</v>
      </c>
      <c r="D14355" t="s">
        <v>26</v>
      </c>
      <c r="E14355">
        <v>741</v>
      </c>
    </row>
    <row r="14356" spans="1:5" x14ac:dyDescent="0.55000000000000004">
      <c r="A14356" t="s">
        <v>14437</v>
      </c>
      <c r="B14356" t="s">
        <v>156</v>
      </c>
      <c r="C14356" s="2">
        <v>43628</v>
      </c>
      <c r="D14356" t="s">
        <v>29</v>
      </c>
      <c r="E14356">
        <v>2047</v>
      </c>
    </row>
    <row r="14357" spans="1:5" x14ac:dyDescent="0.55000000000000004">
      <c r="A14357" t="s">
        <v>14438</v>
      </c>
      <c r="B14357" t="s">
        <v>74</v>
      </c>
      <c r="C14357" s="2">
        <v>43125</v>
      </c>
      <c r="D14357" t="s">
        <v>29</v>
      </c>
      <c r="E14357">
        <v>733</v>
      </c>
    </row>
    <row r="14358" spans="1:5" x14ac:dyDescent="0.55000000000000004">
      <c r="A14358" t="s">
        <v>14439</v>
      </c>
      <c r="B14358" t="s">
        <v>137</v>
      </c>
      <c r="C14358" s="2">
        <v>45371</v>
      </c>
      <c r="D14358" t="s">
        <v>29</v>
      </c>
      <c r="E14358">
        <v>850</v>
      </c>
    </row>
    <row r="14359" spans="1:5" x14ac:dyDescent="0.55000000000000004">
      <c r="A14359" t="s">
        <v>14440</v>
      </c>
      <c r="B14359" t="s">
        <v>111</v>
      </c>
      <c r="C14359" s="2">
        <v>43127</v>
      </c>
      <c r="D14359" t="s">
        <v>29</v>
      </c>
      <c r="E14359">
        <v>2445</v>
      </c>
    </row>
    <row r="14360" spans="1:5" x14ac:dyDescent="0.55000000000000004">
      <c r="A14360" t="s">
        <v>14441</v>
      </c>
      <c r="B14360" t="s">
        <v>72</v>
      </c>
      <c r="C14360" s="2">
        <v>43970</v>
      </c>
      <c r="D14360" t="s">
        <v>29</v>
      </c>
      <c r="E14360">
        <v>823</v>
      </c>
    </row>
    <row r="14361" spans="1:5" x14ac:dyDescent="0.55000000000000004">
      <c r="A14361" t="s">
        <v>14442</v>
      </c>
      <c r="B14361" t="s">
        <v>72</v>
      </c>
      <c r="C14361" s="2">
        <v>43932</v>
      </c>
      <c r="D14361" t="s">
        <v>26</v>
      </c>
      <c r="E14361">
        <v>630</v>
      </c>
    </row>
    <row r="14362" spans="1:5" x14ac:dyDescent="0.55000000000000004">
      <c r="A14362" t="s">
        <v>14443</v>
      </c>
      <c r="B14362" t="s">
        <v>151</v>
      </c>
      <c r="C14362" s="2">
        <v>43121</v>
      </c>
      <c r="D14362" t="s">
        <v>29</v>
      </c>
      <c r="E14362">
        <v>1050</v>
      </c>
    </row>
    <row r="14363" spans="1:5" x14ac:dyDescent="0.55000000000000004">
      <c r="A14363" t="s">
        <v>14444</v>
      </c>
      <c r="B14363" t="s">
        <v>35</v>
      </c>
      <c r="C14363" s="2">
        <v>43899</v>
      </c>
      <c r="D14363" t="s">
        <v>26</v>
      </c>
      <c r="E14363">
        <v>2149</v>
      </c>
    </row>
    <row r="14364" spans="1:5" x14ac:dyDescent="0.55000000000000004">
      <c r="A14364" t="s">
        <v>14445</v>
      </c>
      <c r="B14364" t="s">
        <v>78</v>
      </c>
      <c r="C14364" s="2">
        <v>43770</v>
      </c>
      <c r="D14364" t="s">
        <v>26</v>
      </c>
      <c r="E14364">
        <v>1557</v>
      </c>
    </row>
    <row r="14365" spans="1:5" x14ac:dyDescent="0.55000000000000004">
      <c r="A14365" t="s">
        <v>14446</v>
      </c>
      <c r="B14365" t="s">
        <v>14</v>
      </c>
      <c r="C14365" s="2">
        <v>44516</v>
      </c>
      <c r="D14365" t="s">
        <v>29</v>
      </c>
      <c r="E14365">
        <v>1588</v>
      </c>
    </row>
    <row r="14366" spans="1:5" x14ac:dyDescent="0.55000000000000004">
      <c r="A14366" t="s">
        <v>14447</v>
      </c>
      <c r="B14366" t="s">
        <v>63</v>
      </c>
      <c r="C14366" s="2">
        <v>43524</v>
      </c>
      <c r="D14366" t="s">
        <v>29</v>
      </c>
      <c r="E14366">
        <v>851</v>
      </c>
    </row>
    <row r="14367" spans="1:5" x14ac:dyDescent="0.55000000000000004">
      <c r="A14367" t="s">
        <v>14448</v>
      </c>
      <c r="B14367" t="s">
        <v>151</v>
      </c>
      <c r="C14367" s="2">
        <v>43490</v>
      </c>
      <c r="D14367" t="s">
        <v>29</v>
      </c>
      <c r="E14367">
        <v>8</v>
      </c>
    </row>
    <row r="14368" spans="1:5" x14ac:dyDescent="0.55000000000000004">
      <c r="A14368" t="s">
        <v>14449</v>
      </c>
      <c r="B14368" t="s">
        <v>105</v>
      </c>
      <c r="C14368" s="2">
        <v>44247</v>
      </c>
      <c r="D14368" t="s">
        <v>29</v>
      </c>
      <c r="E14368">
        <v>852</v>
      </c>
    </row>
    <row r="14369" spans="1:5" x14ac:dyDescent="0.55000000000000004">
      <c r="A14369" t="s">
        <v>14450</v>
      </c>
      <c r="B14369" t="s">
        <v>63</v>
      </c>
      <c r="C14369" s="2">
        <v>44400</v>
      </c>
      <c r="D14369" t="s">
        <v>29</v>
      </c>
      <c r="E14369">
        <v>1630</v>
      </c>
    </row>
    <row r="14370" spans="1:5" x14ac:dyDescent="0.55000000000000004">
      <c r="A14370" t="s">
        <v>14451</v>
      </c>
      <c r="B14370" t="s">
        <v>84</v>
      </c>
      <c r="C14370" s="2">
        <v>43068</v>
      </c>
      <c r="D14370" t="s">
        <v>29</v>
      </c>
      <c r="E14370">
        <v>2614</v>
      </c>
    </row>
    <row r="14371" spans="1:5" x14ac:dyDescent="0.55000000000000004">
      <c r="A14371" t="s">
        <v>14452</v>
      </c>
      <c r="B14371" t="s">
        <v>105</v>
      </c>
      <c r="C14371" s="2">
        <v>44130</v>
      </c>
      <c r="D14371" t="s">
        <v>29</v>
      </c>
      <c r="E14371">
        <v>154</v>
      </c>
    </row>
    <row r="14372" spans="1:5" x14ac:dyDescent="0.55000000000000004">
      <c r="A14372" t="s">
        <v>14453</v>
      </c>
      <c r="B14372" t="s">
        <v>137</v>
      </c>
      <c r="C14372" s="2">
        <v>44166</v>
      </c>
      <c r="D14372" t="s">
        <v>29</v>
      </c>
      <c r="E14372">
        <v>617</v>
      </c>
    </row>
    <row r="14373" spans="1:5" x14ac:dyDescent="0.55000000000000004">
      <c r="A14373" t="s">
        <v>14454</v>
      </c>
      <c r="B14373" t="s">
        <v>115</v>
      </c>
      <c r="C14373" s="2">
        <v>43654</v>
      </c>
      <c r="D14373" t="s">
        <v>26</v>
      </c>
      <c r="E14373">
        <v>1101</v>
      </c>
    </row>
    <row r="14374" spans="1:5" x14ac:dyDescent="0.55000000000000004">
      <c r="A14374" t="s">
        <v>14455</v>
      </c>
      <c r="B14374" t="s">
        <v>38</v>
      </c>
      <c r="C14374" s="2">
        <v>44297</v>
      </c>
      <c r="D14374" t="s">
        <v>29</v>
      </c>
      <c r="E14374">
        <v>390</v>
      </c>
    </row>
    <row r="14375" spans="1:5" x14ac:dyDescent="0.55000000000000004">
      <c r="A14375" t="s">
        <v>14456</v>
      </c>
      <c r="B14375" t="s">
        <v>96</v>
      </c>
      <c r="C14375" s="2">
        <v>44001</v>
      </c>
      <c r="D14375" t="s">
        <v>26</v>
      </c>
      <c r="E14375">
        <v>2738</v>
      </c>
    </row>
    <row r="14376" spans="1:5" x14ac:dyDescent="0.55000000000000004">
      <c r="A14376" t="s">
        <v>14457</v>
      </c>
      <c r="B14376" t="s">
        <v>101</v>
      </c>
      <c r="C14376" s="2">
        <v>43956</v>
      </c>
      <c r="D14376" t="s">
        <v>29</v>
      </c>
      <c r="E14376">
        <v>178</v>
      </c>
    </row>
    <row r="14377" spans="1:5" x14ac:dyDescent="0.55000000000000004">
      <c r="A14377" t="s">
        <v>14458</v>
      </c>
      <c r="B14377" t="s">
        <v>84</v>
      </c>
      <c r="C14377" s="2">
        <v>44412</v>
      </c>
      <c r="D14377" t="s">
        <v>29</v>
      </c>
      <c r="E14377">
        <v>2195</v>
      </c>
    </row>
    <row r="14378" spans="1:5" x14ac:dyDescent="0.55000000000000004">
      <c r="A14378" t="s">
        <v>14459</v>
      </c>
      <c r="B14378" t="s">
        <v>86</v>
      </c>
      <c r="C14378" s="2">
        <v>43264</v>
      </c>
      <c r="D14378" t="s">
        <v>29</v>
      </c>
      <c r="E14378">
        <v>210</v>
      </c>
    </row>
    <row r="14379" spans="1:5" x14ac:dyDescent="0.55000000000000004">
      <c r="A14379" t="s">
        <v>14460</v>
      </c>
      <c r="B14379" t="s">
        <v>35</v>
      </c>
      <c r="C14379" s="2">
        <v>44121</v>
      </c>
      <c r="D14379" t="s">
        <v>26</v>
      </c>
      <c r="E14379">
        <v>1367</v>
      </c>
    </row>
    <row r="14380" spans="1:5" x14ac:dyDescent="0.55000000000000004">
      <c r="A14380" t="s">
        <v>14461</v>
      </c>
      <c r="B14380" t="s">
        <v>156</v>
      </c>
      <c r="C14380" s="2">
        <v>44258</v>
      </c>
      <c r="D14380" t="s">
        <v>29</v>
      </c>
      <c r="E14380">
        <v>629</v>
      </c>
    </row>
    <row r="14381" spans="1:5" x14ac:dyDescent="0.55000000000000004">
      <c r="A14381" t="s">
        <v>14462</v>
      </c>
      <c r="B14381" t="s">
        <v>94</v>
      </c>
      <c r="C14381" s="2">
        <v>44156</v>
      </c>
      <c r="D14381" t="s">
        <v>29</v>
      </c>
      <c r="E14381">
        <v>145</v>
      </c>
    </row>
    <row r="14382" spans="1:5" x14ac:dyDescent="0.55000000000000004">
      <c r="A14382" t="s">
        <v>14463</v>
      </c>
      <c r="B14382" t="s">
        <v>94</v>
      </c>
      <c r="C14382" s="2">
        <v>44774</v>
      </c>
      <c r="D14382" t="s">
        <v>29</v>
      </c>
      <c r="E14382">
        <v>971</v>
      </c>
    </row>
    <row r="14383" spans="1:5" x14ac:dyDescent="0.55000000000000004">
      <c r="A14383" t="s">
        <v>14464</v>
      </c>
      <c r="B14383" t="s">
        <v>142</v>
      </c>
      <c r="C14383" s="2">
        <v>44481</v>
      </c>
      <c r="D14383" t="s">
        <v>29</v>
      </c>
      <c r="E14383">
        <v>314</v>
      </c>
    </row>
    <row r="14384" spans="1:5" x14ac:dyDescent="0.55000000000000004">
      <c r="A14384" t="s">
        <v>14465</v>
      </c>
      <c r="B14384" t="s">
        <v>115</v>
      </c>
      <c r="C14384" s="2">
        <v>43379</v>
      </c>
      <c r="D14384" t="s">
        <v>26</v>
      </c>
      <c r="E14384">
        <v>17</v>
      </c>
    </row>
    <row r="14385" spans="1:5" x14ac:dyDescent="0.55000000000000004">
      <c r="A14385" t="s">
        <v>14466</v>
      </c>
      <c r="B14385" t="s">
        <v>84</v>
      </c>
      <c r="C14385" s="2">
        <v>43665</v>
      </c>
      <c r="D14385" t="s">
        <v>26</v>
      </c>
      <c r="E14385">
        <v>1938</v>
      </c>
    </row>
    <row r="14386" spans="1:5" x14ac:dyDescent="0.55000000000000004">
      <c r="A14386" t="s">
        <v>14467</v>
      </c>
      <c r="B14386" t="s">
        <v>86</v>
      </c>
      <c r="C14386" s="2">
        <v>44216</v>
      </c>
      <c r="D14386" t="s">
        <v>26</v>
      </c>
      <c r="E14386">
        <v>804</v>
      </c>
    </row>
    <row r="14387" spans="1:5" x14ac:dyDescent="0.55000000000000004">
      <c r="A14387" t="s">
        <v>14468</v>
      </c>
      <c r="B14387" t="s">
        <v>84</v>
      </c>
      <c r="C14387" s="2">
        <v>43022</v>
      </c>
      <c r="D14387" t="s">
        <v>29</v>
      </c>
      <c r="E14387">
        <v>146</v>
      </c>
    </row>
    <row r="14388" spans="1:5" x14ac:dyDescent="0.55000000000000004">
      <c r="A14388" t="s">
        <v>14469</v>
      </c>
      <c r="B14388" t="s">
        <v>118</v>
      </c>
      <c r="C14388" s="2">
        <v>44998</v>
      </c>
      <c r="D14388" t="s">
        <v>29</v>
      </c>
      <c r="E14388">
        <v>2303</v>
      </c>
    </row>
    <row r="14389" spans="1:5" x14ac:dyDescent="0.55000000000000004">
      <c r="A14389" t="s">
        <v>14470</v>
      </c>
      <c r="B14389" t="s">
        <v>137</v>
      </c>
      <c r="C14389" s="2">
        <v>44389</v>
      </c>
      <c r="D14389" t="s">
        <v>26</v>
      </c>
      <c r="E14389">
        <v>1369</v>
      </c>
    </row>
    <row r="14390" spans="1:5" x14ac:dyDescent="0.55000000000000004">
      <c r="A14390" t="s">
        <v>14471</v>
      </c>
      <c r="B14390" t="s">
        <v>86</v>
      </c>
      <c r="C14390" s="2">
        <v>43649</v>
      </c>
      <c r="D14390" t="s">
        <v>29</v>
      </c>
      <c r="E14390">
        <v>982</v>
      </c>
    </row>
    <row r="14391" spans="1:5" x14ac:dyDescent="0.55000000000000004">
      <c r="A14391" t="s">
        <v>14472</v>
      </c>
      <c r="B14391" t="s">
        <v>67</v>
      </c>
      <c r="C14391" s="2">
        <v>44984</v>
      </c>
      <c r="D14391" t="s">
        <v>26</v>
      </c>
      <c r="E14391">
        <v>2153</v>
      </c>
    </row>
    <row r="14392" spans="1:5" x14ac:dyDescent="0.55000000000000004">
      <c r="A14392" t="s">
        <v>14473</v>
      </c>
      <c r="B14392" t="s">
        <v>118</v>
      </c>
      <c r="C14392" s="2">
        <v>44096</v>
      </c>
      <c r="D14392" t="s">
        <v>29</v>
      </c>
      <c r="E14392">
        <v>859</v>
      </c>
    </row>
    <row r="14393" spans="1:5" x14ac:dyDescent="0.55000000000000004">
      <c r="A14393" t="s">
        <v>14474</v>
      </c>
      <c r="B14393" t="s">
        <v>32</v>
      </c>
      <c r="C14393" s="2">
        <v>44729</v>
      </c>
      <c r="D14393" t="s">
        <v>29</v>
      </c>
      <c r="E14393">
        <v>2170</v>
      </c>
    </row>
    <row r="14394" spans="1:5" x14ac:dyDescent="0.55000000000000004">
      <c r="A14394" t="s">
        <v>14475</v>
      </c>
      <c r="B14394" t="s">
        <v>137</v>
      </c>
      <c r="C14394" s="2">
        <v>45061</v>
      </c>
      <c r="D14394" t="s">
        <v>26</v>
      </c>
      <c r="E14394">
        <v>179</v>
      </c>
    </row>
    <row r="14395" spans="1:5" x14ac:dyDescent="0.55000000000000004">
      <c r="A14395" t="s">
        <v>14476</v>
      </c>
      <c r="B14395" t="s">
        <v>76</v>
      </c>
      <c r="C14395" s="2">
        <v>44880</v>
      </c>
      <c r="D14395" t="s">
        <v>29</v>
      </c>
      <c r="E14395">
        <v>2000</v>
      </c>
    </row>
    <row r="14396" spans="1:5" x14ac:dyDescent="0.55000000000000004">
      <c r="A14396" t="s">
        <v>14477</v>
      </c>
      <c r="B14396" t="s">
        <v>41</v>
      </c>
      <c r="C14396" s="2">
        <v>44258</v>
      </c>
      <c r="D14396" t="s">
        <v>26</v>
      </c>
      <c r="E14396">
        <v>2148</v>
      </c>
    </row>
    <row r="14397" spans="1:5" x14ac:dyDescent="0.55000000000000004">
      <c r="A14397" t="s">
        <v>14478</v>
      </c>
      <c r="B14397" t="s">
        <v>14</v>
      </c>
      <c r="C14397" s="2">
        <v>43860</v>
      </c>
      <c r="D14397" t="s">
        <v>26</v>
      </c>
      <c r="E14397">
        <v>1663</v>
      </c>
    </row>
    <row r="14398" spans="1:5" x14ac:dyDescent="0.55000000000000004">
      <c r="A14398" t="s">
        <v>14479</v>
      </c>
      <c r="B14398" t="s">
        <v>35</v>
      </c>
      <c r="C14398" s="2">
        <v>44626</v>
      </c>
      <c r="D14398" t="s">
        <v>26</v>
      </c>
      <c r="E14398">
        <v>2367</v>
      </c>
    </row>
    <row r="14399" spans="1:5" x14ac:dyDescent="0.55000000000000004">
      <c r="A14399" t="s">
        <v>14480</v>
      </c>
      <c r="B14399" t="s">
        <v>38</v>
      </c>
      <c r="C14399" s="2">
        <v>44422</v>
      </c>
      <c r="D14399" t="s">
        <v>26</v>
      </c>
      <c r="E14399">
        <v>1245</v>
      </c>
    </row>
    <row r="14400" spans="1:5" x14ac:dyDescent="0.55000000000000004">
      <c r="A14400" t="s">
        <v>14481</v>
      </c>
      <c r="B14400" t="s">
        <v>84</v>
      </c>
      <c r="C14400" s="2">
        <v>43850</v>
      </c>
      <c r="D14400" t="s">
        <v>29</v>
      </c>
      <c r="E14400">
        <v>107</v>
      </c>
    </row>
    <row r="14401" spans="1:5" x14ac:dyDescent="0.55000000000000004">
      <c r="A14401" t="s">
        <v>14482</v>
      </c>
      <c r="B14401" t="s">
        <v>115</v>
      </c>
      <c r="C14401" s="2">
        <v>43848</v>
      </c>
      <c r="D14401" t="s">
        <v>29</v>
      </c>
      <c r="E14401">
        <v>63</v>
      </c>
    </row>
    <row r="14402" spans="1:5" x14ac:dyDescent="0.55000000000000004">
      <c r="A14402" t="s">
        <v>14483</v>
      </c>
      <c r="B14402" t="s">
        <v>111</v>
      </c>
      <c r="C14402" s="2">
        <v>43761</v>
      </c>
      <c r="D14402" t="s">
        <v>29</v>
      </c>
      <c r="E14402">
        <v>1421</v>
      </c>
    </row>
    <row r="14403" spans="1:5" x14ac:dyDescent="0.55000000000000004">
      <c r="A14403" t="s">
        <v>14484</v>
      </c>
      <c r="B14403" t="s">
        <v>137</v>
      </c>
      <c r="C14403" s="2">
        <v>44789</v>
      </c>
      <c r="D14403" t="s">
        <v>26</v>
      </c>
      <c r="E14403">
        <v>2644</v>
      </c>
    </row>
    <row r="14404" spans="1:5" x14ac:dyDescent="0.55000000000000004">
      <c r="A14404" t="s">
        <v>14485</v>
      </c>
      <c r="B14404" t="s">
        <v>101</v>
      </c>
      <c r="C14404" s="2">
        <v>43578</v>
      </c>
      <c r="D14404" t="s">
        <v>29</v>
      </c>
      <c r="E14404">
        <v>2419</v>
      </c>
    </row>
    <row r="14405" spans="1:5" x14ac:dyDescent="0.55000000000000004">
      <c r="A14405" t="s">
        <v>14486</v>
      </c>
      <c r="B14405" t="s">
        <v>96</v>
      </c>
      <c r="C14405" s="2">
        <v>44011</v>
      </c>
      <c r="D14405" t="s">
        <v>26</v>
      </c>
      <c r="E14405">
        <v>827</v>
      </c>
    </row>
    <row r="14406" spans="1:5" x14ac:dyDescent="0.55000000000000004">
      <c r="A14406" t="s">
        <v>14487</v>
      </c>
      <c r="B14406" t="s">
        <v>105</v>
      </c>
      <c r="C14406" s="2">
        <v>43509</v>
      </c>
      <c r="D14406" t="s">
        <v>26</v>
      </c>
      <c r="E14406">
        <v>172</v>
      </c>
    </row>
    <row r="14407" spans="1:5" x14ac:dyDescent="0.55000000000000004">
      <c r="A14407" t="s">
        <v>14488</v>
      </c>
      <c r="B14407" t="s">
        <v>84</v>
      </c>
      <c r="C14407" s="2">
        <v>43408</v>
      </c>
      <c r="D14407" t="s">
        <v>26</v>
      </c>
      <c r="E14407">
        <v>250</v>
      </c>
    </row>
    <row r="14408" spans="1:5" x14ac:dyDescent="0.55000000000000004">
      <c r="A14408" t="s">
        <v>14489</v>
      </c>
      <c r="B14408" t="s">
        <v>101</v>
      </c>
      <c r="C14408" s="2">
        <v>43406</v>
      </c>
      <c r="D14408" t="s">
        <v>26</v>
      </c>
      <c r="E14408">
        <v>2351</v>
      </c>
    </row>
    <row r="14409" spans="1:5" x14ac:dyDescent="0.55000000000000004">
      <c r="A14409" t="s">
        <v>14490</v>
      </c>
      <c r="B14409" t="s">
        <v>115</v>
      </c>
      <c r="C14409" s="2">
        <v>42993</v>
      </c>
      <c r="D14409" t="s">
        <v>29</v>
      </c>
      <c r="E14409">
        <v>2308</v>
      </c>
    </row>
    <row r="14410" spans="1:5" x14ac:dyDescent="0.55000000000000004">
      <c r="A14410" t="s">
        <v>14491</v>
      </c>
      <c r="B14410" t="s">
        <v>96</v>
      </c>
      <c r="C14410" s="2">
        <v>43878</v>
      </c>
      <c r="D14410" t="s">
        <v>26</v>
      </c>
      <c r="E14410">
        <v>1563</v>
      </c>
    </row>
    <row r="14411" spans="1:5" x14ac:dyDescent="0.55000000000000004">
      <c r="A14411" t="s">
        <v>14492</v>
      </c>
      <c r="B14411" t="s">
        <v>118</v>
      </c>
      <c r="C14411" s="2">
        <v>44457</v>
      </c>
      <c r="D14411" t="s">
        <v>29</v>
      </c>
      <c r="E14411">
        <v>2423</v>
      </c>
    </row>
    <row r="14412" spans="1:5" x14ac:dyDescent="0.55000000000000004">
      <c r="A14412" t="s">
        <v>14493</v>
      </c>
      <c r="B14412" t="s">
        <v>74</v>
      </c>
      <c r="C14412" s="2">
        <v>44477</v>
      </c>
      <c r="D14412" t="s">
        <v>26</v>
      </c>
      <c r="E14412">
        <v>1233</v>
      </c>
    </row>
    <row r="14413" spans="1:5" x14ac:dyDescent="0.55000000000000004">
      <c r="A14413" t="s">
        <v>14494</v>
      </c>
      <c r="B14413" t="s">
        <v>41</v>
      </c>
      <c r="C14413" s="2">
        <v>44132</v>
      </c>
      <c r="D14413" t="s">
        <v>26</v>
      </c>
      <c r="E14413">
        <v>630</v>
      </c>
    </row>
    <row r="14414" spans="1:5" x14ac:dyDescent="0.55000000000000004">
      <c r="A14414" t="s">
        <v>14495</v>
      </c>
      <c r="B14414" t="s">
        <v>99</v>
      </c>
      <c r="C14414" s="2">
        <v>45095</v>
      </c>
      <c r="D14414" t="s">
        <v>26</v>
      </c>
      <c r="E14414">
        <v>547</v>
      </c>
    </row>
    <row r="14415" spans="1:5" x14ac:dyDescent="0.55000000000000004">
      <c r="A14415" t="s">
        <v>14496</v>
      </c>
      <c r="B14415" t="s">
        <v>175</v>
      </c>
      <c r="C14415" s="2">
        <v>44057</v>
      </c>
      <c r="D14415" t="s">
        <v>26</v>
      </c>
      <c r="E14415">
        <v>646</v>
      </c>
    </row>
    <row r="14416" spans="1:5" x14ac:dyDescent="0.55000000000000004">
      <c r="A14416" t="s">
        <v>14497</v>
      </c>
      <c r="B14416" t="s">
        <v>99</v>
      </c>
      <c r="C14416" s="2">
        <v>45150</v>
      </c>
      <c r="D14416" t="s">
        <v>26</v>
      </c>
      <c r="E14416">
        <v>1104</v>
      </c>
    </row>
    <row r="14417" spans="1:5" x14ac:dyDescent="0.55000000000000004">
      <c r="A14417" t="s">
        <v>14498</v>
      </c>
      <c r="B14417" t="s">
        <v>14</v>
      </c>
      <c r="C14417" s="2">
        <v>44382</v>
      </c>
      <c r="D14417" t="s">
        <v>26</v>
      </c>
      <c r="E14417">
        <v>2605</v>
      </c>
    </row>
    <row r="14418" spans="1:5" x14ac:dyDescent="0.55000000000000004">
      <c r="A14418" t="s">
        <v>14499</v>
      </c>
      <c r="B14418" t="s">
        <v>156</v>
      </c>
      <c r="C14418" s="2">
        <v>43592</v>
      </c>
      <c r="D14418" t="s">
        <v>29</v>
      </c>
      <c r="E14418">
        <v>558</v>
      </c>
    </row>
    <row r="14419" spans="1:5" x14ac:dyDescent="0.55000000000000004">
      <c r="A14419" t="s">
        <v>14500</v>
      </c>
      <c r="B14419" t="s">
        <v>72</v>
      </c>
      <c r="C14419" s="2">
        <v>43452</v>
      </c>
      <c r="D14419" t="s">
        <v>26</v>
      </c>
      <c r="E14419">
        <v>699</v>
      </c>
    </row>
    <row r="14420" spans="1:5" x14ac:dyDescent="0.55000000000000004">
      <c r="A14420" t="s">
        <v>14501</v>
      </c>
      <c r="B14420" t="s">
        <v>156</v>
      </c>
      <c r="C14420" s="2">
        <v>43408</v>
      </c>
      <c r="D14420" t="s">
        <v>26</v>
      </c>
      <c r="E14420">
        <v>608</v>
      </c>
    </row>
    <row r="14421" spans="1:5" x14ac:dyDescent="0.55000000000000004">
      <c r="A14421" t="s">
        <v>14502</v>
      </c>
      <c r="B14421" t="s">
        <v>63</v>
      </c>
      <c r="C14421" s="2">
        <v>44332</v>
      </c>
      <c r="D14421" t="s">
        <v>26</v>
      </c>
      <c r="E14421">
        <v>2877</v>
      </c>
    </row>
    <row r="14422" spans="1:5" x14ac:dyDescent="0.55000000000000004">
      <c r="A14422" t="s">
        <v>14503</v>
      </c>
      <c r="B14422" t="s">
        <v>142</v>
      </c>
      <c r="C14422" s="2">
        <v>42947</v>
      </c>
      <c r="D14422" t="s">
        <v>26</v>
      </c>
      <c r="E14422">
        <v>395</v>
      </c>
    </row>
    <row r="14423" spans="1:5" x14ac:dyDescent="0.55000000000000004">
      <c r="A14423" t="s">
        <v>14504</v>
      </c>
      <c r="B14423" t="s">
        <v>151</v>
      </c>
      <c r="C14423" s="2">
        <v>43182</v>
      </c>
      <c r="D14423" t="s">
        <v>29</v>
      </c>
      <c r="E14423">
        <v>2156</v>
      </c>
    </row>
    <row r="14424" spans="1:5" x14ac:dyDescent="0.55000000000000004">
      <c r="A14424" t="s">
        <v>14505</v>
      </c>
      <c r="B14424" t="s">
        <v>32</v>
      </c>
      <c r="C14424" s="2">
        <v>44181</v>
      </c>
      <c r="D14424" t="s">
        <v>26</v>
      </c>
      <c r="E14424">
        <v>1084</v>
      </c>
    </row>
    <row r="14425" spans="1:5" x14ac:dyDescent="0.55000000000000004">
      <c r="A14425" t="s">
        <v>14506</v>
      </c>
      <c r="B14425" t="s">
        <v>38</v>
      </c>
      <c r="C14425" s="2">
        <v>44313</v>
      </c>
      <c r="D14425" t="s">
        <v>29</v>
      </c>
      <c r="E14425">
        <v>251</v>
      </c>
    </row>
    <row r="14426" spans="1:5" x14ac:dyDescent="0.55000000000000004">
      <c r="A14426" t="s">
        <v>14507</v>
      </c>
      <c r="B14426" t="s">
        <v>35</v>
      </c>
      <c r="C14426" s="2">
        <v>44831</v>
      </c>
      <c r="D14426" t="s">
        <v>26</v>
      </c>
      <c r="E14426">
        <v>2925</v>
      </c>
    </row>
    <row r="14427" spans="1:5" x14ac:dyDescent="0.55000000000000004">
      <c r="A14427" t="s">
        <v>14508</v>
      </c>
      <c r="B14427" t="s">
        <v>63</v>
      </c>
      <c r="C14427" s="2">
        <v>43604</v>
      </c>
      <c r="D14427" t="s">
        <v>26</v>
      </c>
      <c r="E14427">
        <v>662</v>
      </c>
    </row>
    <row r="14428" spans="1:5" x14ac:dyDescent="0.55000000000000004">
      <c r="A14428" t="s">
        <v>14509</v>
      </c>
      <c r="B14428" t="s">
        <v>32</v>
      </c>
      <c r="C14428" s="2">
        <v>44491</v>
      </c>
      <c r="D14428" t="s">
        <v>29</v>
      </c>
      <c r="E14428">
        <v>477</v>
      </c>
    </row>
    <row r="14429" spans="1:5" x14ac:dyDescent="0.55000000000000004">
      <c r="A14429" t="s">
        <v>14510</v>
      </c>
      <c r="B14429" t="s">
        <v>35</v>
      </c>
      <c r="C14429" s="2">
        <v>44823</v>
      </c>
      <c r="D14429" t="s">
        <v>29</v>
      </c>
      <c r="E14429">
        <v>752</v>
      </c>
    </row>
    <row r="14430" spans="1:5" x14ac:dyDescent="0.55000000000000004">
      <c r="A14430" t="s">
        <v>14511</v>
      </c>
      <c r="B14430" t="s">
        <v>23</v>
      </c>
      <c r="C14430" s="2">
        <v>44405</v>
      </c>
      <c r="D14430" t="s">
        <v>29</v>
      </c>
      <c r="E14430">
        <v>1670</v>
      </c>
    </row>
    <row r="14431" spans="1:5" x14ac:dyDescent="0.55000000000000004">
      <c r="A14431" t="s">
        <v>14512</v>
      </c>
      <c r="B14431" t="s">
        <v>78</v>
      </c>
      <c r="C14431" s="2">
        <v>45465</v>
      </c>
      <c r="D14431" t="s">
        <v>29</v>
      </c>
      <c r="E14431">
        <v>1170</v>
      </c>
    </row>
    <row r="14432" spans="1:5" x14ac:dyDescent="0.55000000000000004">
      <c r="A14432" t="s">
        <v>14513</v>
      </c>
      <c r="B14432" t="s">
        <v>142</v>
      </c>
      <c r="C14432" s="2">
        <v>44489</v>
      </c>
      <c r="D14432" t="s">
        <v>29</v>
      </c>
      <c r="E14432">
        <v>1877</v>
      </c>
    </row>
    <row r="14433" spans="1:5" x14ac:dyDescent="0.55000000000000004">
      <c r="A14433" t="s">
        <v>14514</v>
      </c>
      <c r="B14433" t="s">
        <v>23</v>
      </c>
      <c r="C14433" s="2">
        <v>44574</v>
      </c>
      <c r="D14433" t="s">
        <v>26</v>
      </c>
      <c r="E14433">
        <v>1539</v>
      </c>
    </row>
    <row r="14434" spans="1:5" x14ac:dyDescent="0.55000000000000004">
      <c r="A14434" t="s">
        <v>14515</v>
      </c>
      <c r="B14434" t="s">
        <v>74</v>
      </c>
      <c r="C14434" s="2">
        <v>43480</v>
      </c>
      <c r="D14434" t="s">
        <v>26</v>
      </c>
      <c r="E14434">
        <v>2260</v>
      </c>
    </row>
    <row r="14435" spans="1:5" x14ac:dyDescent="0.55000000000000004">
      <c r="A14435" t="s">
        <v>14516</v>
      </c>
      <c r="B14435" t="s">
        <v>151</v>
      </c>
      <c r="C14435" s="2">
        <v>42917</v>
      </c>
      <c r="D14435" t="s">
        <v>29</v>
      </c>
      <c r="E14435">
        <v>162</v>
      </c>
    </row>
    <row r="14436" spans="1:5" x14ac:dyDescent="0.55000000000000004">
      <c r="A14436" t="s">
        <v>14517</v>
      </c>
      <c r="B14436" t="s">
        <v>32</v>
      </c>
      <c r="C14436" s="2">
        <v>43941</v>
      </c>
      <c r="D14436" t="s">
        <v>29</v>
      </c>
      <c r="E14436">
        <v>1007</v>
      </c>
    </row>
    <row r="14437" spans="1:5" x14ac:dyDescent="0.55000000000000004">
      <c r="A14437" t="s">
        <v>14518</v>
      </c>
      <c r="B14437" t="s">
        <v>94</v>
      </c>
      <c r="C14437" s="2">
        <v>44438</v>
      </c>
      <c r="D14437" t="s">
        <v>29</v>
      </c>
      <c r="E14437">
        <v>224</v>
      </c>
    </row>
    <row r="14438" spans="1:5" x14ac:dyDescent="0.55000000000000004">
      <c r="A14438" t="s">
        <v>14519</v>
      </c>
      <c r="B14438" t="s">
        <v>72</v>
      </c>
      <c r="C14438" s="2">
        <v>43910</v>
      </c>
      <c r="D14438" t="s">
        <v>26</v>
      </c>
      <c r="E14438">
        <v>499</v>
      </c>
    </row>
    <row r="14439" spans="1:5" x14ac:dyDescent="0.55000000000000004">
      <c r="A14439" t="s">
        <v>14520</v>
      </c>
      <c r="B14439" t="s">
        <v>78</v>
      </c>
      <c r="C14439" s="2">
        <v>44835</v>
      </c>
      <c r="D14439" t="s">
        <v>29</v>
      </c>
      <c r="E14439">
        <v>1924</v>
      </c>
    </row>
    <row r="14440" spans="1:5" x14ac:dyDescent="0.55000000000000004">
      <c r="A14440" t="s">
        <v>14521</v>
      </c>
      <c r="B14440" t="s">
        <v>175</v>
      </c>
      <c r="C14440" s="2">
        <v>44137</v>
      </c>
      <c r="D14440" t="s">
        <v>29</v>
      </c>
      <c r="E14440">
        <v>282</v>
      </c>
    </row>
    <row r="14441" spans="1:5" x14ac:dyDescent="0.55000000000000004">
      <c r="A14441" t="s">
        <v>14522</v>
      </c>
      <c r="B14441" t="s">
        <v>96</v>
      </c>
      <c r="C14441" s="2">
        <v>44276</v>
      </c>
      <c r="D14441" t="s">
        <v>29</v>
      </c>
      <c r="E14441">
        <v>766</v>
      </c>
    </row>
    <row r="14442" spans="1:5" x14ac:dyDescent="0.55000000000000004">
      <c r="A14442" t="s">
        <v>14523</v>
      </c>
      <c r="B14442" t="s">
        <v>23</v>
      </c>
      <c r="C14442" s="2">
        <v>44129</v>
      </c>
      <c r="D14442" t="s">
        <v>29</v>
      </c>
      <c r="E14442">
        <v>1315</v>
      </c>
    </row>
    <row r="14443" spans="1:5" x14ac:dyDescent="0.55000000000000004">
      <c r="A14443" t="s">
        <v>14524</v>
      </c>
      <c r="B14443" t="s">
        <v>137</v>
      </c>
      <c r="C14443" s="2">
        <v>45699</v>
      </c>
      <c r="D14443" t="s">
        <v>29</v>
      </c>
      <c r="E14443">
        <v>2898</v>
      </c>
    </row>
    <row r="14444" spans="1:5" x14ac:dyDescent="0.55000000000000004">
      <c r="A14444" t="s">
        <v>14525</v>
      </c>
      <c r="B14444" t="s">
        <v>15</v>
      </c>
      <c r="C14444" s="2">
        <v>43848</v>
      </c>
      <c r="D14444" t="s">
        <v>26</v>
      </c>
      <c r="E14444">
        <v>2227</v>
      </c>
    </row>
    <row r="14445" spans="1:5" x14ac:dyDescent="0.55000000000000004">
      <c r="A14445" t="s">
        <v>14526</v>
      </c>
      <c r="B14445" t="s">
        <v>78</v>
      </c>
      <c r="C14445" s="2">
        <v>44212</v>
      </c>
      <c r="D14445" t="s">
        <v>29</v>
      </c>
      <c r="E14445">
        <v>795</v>
      </c>
    </row>
    <row r="14446" spans="1:5" x14ac:dyDescent="0.55000000000000004">
      <c r="A14446" t="s">
        <v>14527</v>
      </c>
      <c r="B14446" t="s">
        <v>67</v>
      </c>
      <c r="C14446" s="2">
        <v>44105</v>
      </c>
      <c r="D14446" t="s">
        <v>26</v>
      </c>
      <c r="E14446">
        <v>1144</v>
      </c>
    </row>
    <row r="14447" spans="1:5" x14ac:dyDescent="0.55000000000000004">
      <c r="A14447" t="s">
        <v>14528</v>
      </c>
      <c r="B14447" t="s">
        <v>140</v>
      </c>
      <c r="C14447" s="2">
        <v>43257</v>
      </c>
      <c r="D14447" t="s">
        <v>26</v>
      </c>
      <c r="E14447">
        <v>678</v>
      </c>
    </row>
    <row r="14448" spans="1:5" x14ac:dyDescent="0.55000000000000004">
      <c r="A14448" t="s">
        <v>14529</v>
      </c>
      <c r="B14448" t="s">
        <v>105</v>
      </c>
      <c r="C14448" s="2">
        <v>43245</v>
      </c>
      <c r="D14448" t="s">
        <v>26</v>
      </c>
      <c r="E14448">
        <v>806</v>
      </c>
    </row>
    <row r="14449" spans="1:5" x14ac:dyDescent="0.55000000000000004">
      <c r="A14449" t="s">
        <v>14530</v>
      </c>
      <c r="B14449" t="s">
        <v>67</v>
      </c>
      <c r="C14449" s="2">
        <v>43804</v>
      </c>
      <c r="D14449" t="s">
        <v>26</v>
      </c>
      <c r="E14449">
        <v>2048</v>
      </c>
    </row>
    <row r="14450" spans="1:5" x14ac:dyDescent="0.55000000000000004">
      <c r="A14450" t="s">
        <v>14531</v>
      </c>
      <c r="B14450" t="s">
        <v>111</v>
      </c>
      <c r="C14450" s="2">
        <v>43278</v>
      </c>
      <c r="D14450" t="s">
        <v>26</v>
      </c>
      <c r="E14450">
        <v>890</v>
      </c>
    </row>
    <row r="14451" spans="1:5" x14ac:dyDescent="0.55000000000000004">
      <c r="A14451" t="s">
        <v>14532</v>
      </c>
      <c r="B14451" t="s">
        <v>111</v>
      </c>
      <c r="C14451" s="2">
        <v>44148</v>
      </c>
      <c r="D14451" t="s">
        <v>26</v>
      </c>
      <c r="E14451">
        <v>1576</v>
      </c>
    </row>
    <row r="14452" spans="1:5" x14ac:dyDescent="0.55000000000000004">
      <c r="A14452" t="s">
        <v>14533</v>
      </c>
      <c r="B14452" t="s">
        <v>72</v>
      </c>
      <c r="C14452" s="2">
        <v>43910</v>
      </c>
      <c r="D14452" t="s">
        <v>26</v>
      </c>
      <c r="E14452">
        <v>2379</v>
      </c>
    </row>
    <row r="14453" spans="1:5" x14ac:dyDescent="0.55000000000000004">
      <c r="A14453" t="s">
        <v>14534</v>
      </c>
      <c r="B14453" t="s">
        <v>76</v>
      </c>
      <c r="C14453" s="2">
        <v>44659</v>
      </c>
      <c r="D14453" t="s">
        <v>26</v>
      </c>
      <c r="E14453">
        <v>2945</v>
      </c>
    </row>
    <row r="14454" spans="1:5" x14ac:dyDescent="0.55000000000000004">
      <c r="A14454" t="s">
        <v>14535</v>
      </c>
      <c r="B14454" t="s">
        <v>38</v>
      </c>
      <c r="C14454" s="2">
        <v>44027</v>
      </c>
      <c r="D14454" t="s">
        <v>29</v>
      </c>
      <c r="E14454">
        <v>1225</v>
      </c>
    </row>
    <row r="14455" spans="1:5" x14ac:dyDescent="0.55000000000000004">
      <c r="A14455" t="s">
        <v>14536</v>
      </c>
      <c r="B14455" t="s">
        <v>74</v>
      </c>
      <c r="C14455" s="2">
        <v>43268</v>
      </c>
      <c r="D14455" t="s">
        <v>29</v>
      </c>
      <c r="E14455">
        <v>1386</v>
      </c>
    </row>
    <row r="14456" spans="1:5" x14ac:dyDescent="0.55000000000000004">
      <c r="A14456" t="s">
        <v>14537</v>
      </c>
      <c r="B14456" t="s">
        <v>105</v>
      </c>
      <c r="C14456" s="2">
        <v>43296</v>
      </c>
      <c r="D14456" t="s">
        <v>26</v>
      </c>
      <c r="E14456">
        <v>1030</v>
      </c>
    </row>
    <row r="14457" spans="1:5" x14ac:dyDescent="0.55000000000000004">
      <c r="A14457" t="s">
        <v>14538</v>
      </c>
      <c r="B14457" t="s">
        <v>137</v>
      </c>
      <c r="C14457" s="2">
        <v>44980</v>
      </c>
      <c r="D14457" t="s">
        <v>29</v>
      </c>
      <c r="E14457">
        <v>1813</v>
      </c>
    </row>
    <row r="14458" spans="1:5" x14ac:dyDescent="0.55000000000000004">
      <c r="A14458" t="s">
        <v>14539</v>
      </c>
      <c r="B14458" t="s">
        <v>38</v>
      </c>
      <c r="C14458" s="2">
        <v>43884</v>
      </c>
      <c r="D14458" t="s">
        <v>26</v>
      </c>
      <c r="E14458">
        <v>2356</v>
      </c>
    </row>
    <row r="14459" spans="1:5" x14ac:dyDescent="0.55000000000000004">
      <c r="A14459" t="s">
        <v>14540</v>
      </c>
      <c r="B14459" t="s">
        <v>41</v>
      </c>
      <c r="C14459" s="2">
        <v>44295</v>
      </c>
      <c r="D14459" t="s">
        <v>29</v>
      </c>
      <c r="E14459">
        <v>141</v>
      </c>
    </row>
    <row r="14460" spans="1:5" x14ac:dyDescent="0.55000000000000004">
      <c r="A14460" t="s">
        <v>14541</v>
      </c>
      <c r="B14460" t="s">
        <v>84</v>
      </c>
      <c r="C14460" s="2">
        <v>43766</v>
      </c>
      <c r="D14460" t="s">
        <v>26</v>
      </c>
      <c r="E14460">
        <v>2843</v>
      </c>
    </row>
    <row r="14461" spans="1:5" x14ac:dyDescent="0.55000000000000004">
      <c r="A14461" t="s">
        <v>14542</v>
      </c>
      <c r="B14461" t="s">
        <v>32</v>
      </c>
      <c r="C14461" s="2">
        <v>44218</v>
      </c>
      <c r="D14461" t="s">
        <v>26</v>
      </c>
      <c r="E14461">
        <v>2632</v>
      </c>
    </row>
    <row r="14462" spans="1:5" x14ac:dyDescent="0.55000000000000004">
      <c r="A14462" t="s">
        <v>14543</v>
      </c>
      <c r="B14462" t="s">
        <v>15</v>
      </c>
      <c r="C14462" s="2">
        <v>43487</v>
      </c>
      <c r="D14462" t="s">
        <v>26</v>
      </c>
      <c r="E14462">
        <v>1443</v>
      </c>
    </row>
    <row r="14463" spans="1:5" x14ac:dyDescent="0.55000000000000004">
      <c r="A14463" t="s">
        <v>14544</v>
      </c>
      <c r="B14463" t="s">
        <v>151</v>
      </c>
      <c r="C14463" s="2">
        <v>43617</v>
      </c>
      <c r="D14463" t="s">
        <v>26</v>
      </c>
      <c r="E14463">
        <v>848</v>
      </c>
    </row>
    <row r="14464" spans="1:5" x14ac:dyDescent="0.55000000000000004">
      <c r="A14464" t="s">
        <v>14545</v>
      </c>
      <c r="B14464" t="s">
        <v>41</v>
      </c>
      <c r="C14464" s="2">
        <v>44900</v>
      </c>
      <c r="D14464" t="s">
        <v>29</v>
      </c>
      <c r="E14464">
        <v>2082</v>
      </c>
    </row>
    <row r="14465" spans="1:5" x14ac:dyDescent="0.55000000000000004">
      <c r="A14465" t="s">
        <v>14546</v>
      </c>
      <c r="B14465" t="s">
        <v>35</v>
      </c>
      <c r="C14465" s="2">
        <v>44578</v>
      </c>
      <c r="D14465" t="s">
        <v>26</v>
      </c>
      <c r="E14465">
        <v>2995</v>
      </c>
    </row>
    <row r="14466" spans="1:5" x14ac:dyDescent="0.55000000000000004">
      <c r="A14466" t="s">
        <v>14547</v>
      </c>
      <c r="B14466" t="s">
        <v>94</v>
      </c>
      <c r="C14466" s="2">
        <v>43554</v>
      </c>
      <c r="D14466" t="s">
        <v>29</v>
      </c>
      <c r="E14466">
        <v>992</v>
      </c>
    </row>
    <row r="14467" spans="1:5" x14ac:dyDescent="0.55000000000000004">
      <c r="A14467" t="s">
        <v>14548</v>
      </c>
      <c r="B14467" t="s">
        <v>118</v>
      </c>
      <c r="C14467" s="2">
        <v>43598</v>
      </c>
      <c r="D14467" t="s">
        <v>29</v>
      </c>
      <c r="E14467">
        <v>1393</v>
      </c>
    </row>
    <row r="14468" spans="1:5" x14ac:dyDescent="0.55000000000000004">
      <c r="A14468" t="s">
        <v>14549</v>
      </c>
      <c r="B14468" t="s">
        <v>99</v>
      </c>
      <c r="C14468" s="2">
        <v>45441</v>
      </c>
      <c r="D14468" t="s">
        <v>29</v>
      </c>
      <c r="E14468">
        <v>2336</v>
      </c>
    </row>
    <row r="14469" spans="1:5" x14ac:dyDescent="0.55000000000000004">
      <c r="A14469" t="s">
        <v>14550</v>
      </c>
      <c r="B14469" t="s">
        <v>86</v>
      </c>
      <c r="C14469" s="2">
        <v>43038</v>
      </c>
      <c r="D14469" t="s">
        <v>26</v>
      </c>
      <c r="E14469">
        <v>1414</v>
      </c>
    </row>
    <row r="14470" spans="1:5" x14ac:dyDescent="0.55000000000000004">
      <c r="A14470" t="s">
        <v>14551</v>
      </c>
      <c r="B14470" t="s">
        <v>137</v>
      </c>
      <c r="C14470" s="2">
        <v>45419</v>
      </c>
      <c r="D14470" t="s">
        <v>26</v>
      </c>
      <c r="E14470">
        <v>921</v>
      </c>
    </row>
    <row r="14471" spans="1:5" x14ac:dyDescent="0.55000000000000004">
      <c r="A14471" t="s">
        <v>14552</v>
      </c>
      <c r="B14471" t="s">
        <v>105</v>
      </c>
      <c r="C14471" s="2">
        <v>44434</v>
      </c>
      <c r="D14471" t="s">
        <v>26</v>
      </c>
      <c r="E14471">
        <v>57</v>
      </c>
    </row>
    <row r="14472" spans="1:5" x14ac:dyDescent="0.55000000000000004">
      <c r="A14472" t="s">
        <v>14553</v>
      </c>
      <c r="B14472" t="s">
        <v>14</v>
      </c>
      <c r="C14472" s="2">
        <v>43904</v>
      </c>
      <c r="D14472" t="s">
        <v>26</v>
      </c>
      <c r="E14472">
        <v>2291</v>
      </c>
    </row>
    <row r="14473" spans="1:5" x14ac:dyDescent="0.55000000000000004">
      <c r="A14473" t="s">
        <v>14554</v>
      </c>
      <c r="B14473" t="s">
        <v>140</v>
      </c>
      <c r="C14473" s="2">
        <v>43060</v>
      </c>
      <c r="D14473" t="s">
        <v>29</v>
      </c>
      <c r="E14473">
        <v>2469</v>
      </c>
    </row>
    <row r="14474" spans="1:5" x14ac:dyDescent="0.55000000000000004">
      <c r="A14474" t="s">
        <v>14555</v>
      </c>
      <c r="B14474" t="s">
        <v>175</v>
      </c>
      <c r="C14474" s="2">
        <v>44709</v>
      </c>
      <c r="D14474" t="s">
        <v>29</v>
      </c>
      <c r="E14474">
        <v>1613</v>
      </c>
    </row>
    <row r="14475" spans="1:5" x14ac:dyDescent="0.55000000000000004">
      <c r="A14475" t="s">
        <v>14556</v>
      </c>
      <c r="B14475" t="s">
        <v>38</v>
      </c>
      <c r="C14475" s="2">
        <v>44765</v>
      </c>
      <c r="D14475" t="s">
        <v>29</v>
      </c>
      <c r="E14475">
        <v>1910</v>
      </c>
    </row>
    <row r="14476" spans="1:5" x14ac:dyDescent="0.55000000000000004">
      <c r="A14476" t="s">
        <v>14557</v>
      </c>
      <c r="B14476" t="s">
        <v>78</v>
      </c>
      <c r="C14476" s="2">
        <v>44899</v>
      </c>
      <c r="D14476" t="s">
        <v>26</v>
      </c>
      <c r="E14476">
        <v>2538</v>
      </c>
    </row>
    <row r="14477" spans="1:5" x14ac:dyDescent="0.55000000000000004">
      <c r="A14477" t="s">
        <v>14558</v>
      </c>
      <c r="B14477" t="s">
        <v>115</v>
      </c>
      <c r="C14477" s="2">
        <v>43467</v>
      </c>
      <c r="D14477" t="s">
        <v>26</v>
      </c>
      <c r="E14477">
        <v>1502</v>
      </c>
    </row>
    <row r="14478" spans="1:5" x14ac:dyDescent="0.55000000000000004">
      <c r="A14478" t="s">
        <v>14559</v>
      </c>
      <c r="B14478" t="s">
        <v>35</v>
      </c>
      <c r="C14478" s="2">
        <v>44610</v>
      </c>
      <c r="D14478" t="s">
        <v>29</v>
      </c>
      <c r="E14478">
        <v>169</v>
      </c>
    </row>
    <row r="14479" spans="1:5" x14ac:dyDescent="0.55000000000000004">
      <c r="A14479" t="s">
        <v>14560</v>
      </c>
      <c r="B14479" t="s">
        <v>99</v>
      </c>
      <c r="C14479" s="2">
        <v>45026</v>
      </c>
      <c r="D14479" t="s">
        <v>26</v>
      </c>
      <c r="E14479">
        <v>2722</v>
      </c>
    </row>
    <row r="14480" spans="1:5" x14ac:dyDescent="0.55000000000000004">
      <c r="A14480" t="s">
        <v>14561</v>
      </c>
      <c r="B14480" t="s">
        <v>175</v>
      </c>
      <c r="C14480" s="2">
        <v>44036</v>
      </c>
      <c r="D14480" t="s">
        <v>29</v>
      </c>
      <c r="E14480">
        <v>2705</v>
      </c>
    </row>
    <row r="14481" spans="1:5" x14ac:dyDescent="0.55000000000000004">
      <c r="A14481" t="s">
        <v>14562</v>
      </c>
      <c r="B14481" t="s">
        <v>14</v>
      </c>
      <c r="C14481" s="2">
        <v>44445</v>
      </c>
      <c r="D14481" t="s">
        <v>26</v>
      </c>
      <c r="E14481">
        <v>1363</v>
      </c>
    </row>
    <row r="14482" spans="1:5" x14ac:dyDescent="0.55000000000000004">
      <c r="A14482" t="s">
        <v>14563</v>
      </c>
      <c r="B14482" t="s">
        <v>175</v>
      </c>
      <c r="C14482" s="2">
        <v>43999</v>
      </c>
      <c r="D14482" t="s">
        <v>29</v>
      </c>
      <c r="E14482">
        <v>2601</v>
      </c>
    </row>
    <row r="14483" spans="1:5" x14ac:dyDescent="0.55000000000000004">
      <c r="A14483" t="s">
        <v>14564</v>
      </c>
      <c r="B14483" t="s">
        <v>38</v>
      </c>
      <c r="C14483" s="2">
        <v>44372</v>
      </c>
      <c r="D14483" t="s">
        <v>26</v>
      </c>
      <c r="E14483">
        <v>452</v>
      </c>
    </row>
    <row r="14484" spans="1:5" x14ac:dyDescent="0.55000000000000004">
      <c r="A14484" t="s">
        <v>14565</v>
      </c>
      <c r="B14484" t="s">
        <v>78</v>
      </c>
      <c r="C14484" s="2">
        <v>43720</v>
      </c>
      <c r="D14484" t="s">
        <v>29</v>
      </c>
      <c r="E14484">
        <v>1454</v>
      </c>
    </row>
    <row r="14485" spans="1:5" x14ac:dyDescent="0.55000000000000004">
      <c r="A14485" t="s">
        <v>14566</v>
      </c>
      <c r="B14485" t="s">
        <v>78</v>
      </c>
      <c r="C14485" s="2">
        <v>45147</v>
      </c>
      <c r="D14485" t="s">
        <v>26</v>
      </c>
      <c r="E14485">
        <v>2676</v>
      </c>
    </row>
    <row r="14486" spans="1:5" x14ac:dyDescent="0.55000000000000004">
      <c r="A14486" t="s">
        <v>14567</v>
      </c>
      <c r="B14486" t="s">
        <v>156</v>
      </c>
      <c r="C14486" s="2">
        <v>43063</v>
      </c>
      <c r="D14486" t="s">
        <v>26</v>
      </c>
      <c r="E14486">
        <v>1731</v>
      </c>
    </row>
    <row r="14487" spans="1:5" x14ac:dyDescent="0.55000000000000004">
      <c r="A14487" t="s">
        <v>14568</v>
      </c>
      <c r="B14487" t="s">
        <v>38</v>
      </c>
      <c r="C14487" s="2">
        <v>44666</v>
      </c>
      <c r="D14487" t="s">
        <v>29</v>
      </c>
      <c r="E14487">
        <v>1723</v>
      </c>
    </row>
    <row r="14488" spans="1:5" x14ac:dyDescent="0.55000000000000004">
      <c r="A14488" t="s">
        <v>14569</v>
      </c>
      <c r="B14488" t="s">
        <v>94</v>
      </c>
      <c r="C14488" s="2">
        <v>45544</v>
      </c>
      <c r="D14488" t="s">
        <v>26</v>
      </c>
      <c r="E14488">
        <v>2651</v>
      </c>
    </row>
    <row r="14489" spans="1:5" x14ac:dyDescent="0.55000000000000004">
      <c r="A14489" t="s">
        <v>14570</v>
      </c>
      <c r="B14489" t="s">
        <v>23</v>
      </c>
      <c r="C14489" s="2">
        <v>44374</v>
      </c>
      <c r="D14489" t="s">
        <v>26</v>
      </c>
      <c r="E14489">
        <v>1282</v>
      </c>
    </row>
    <row r="14490" spans="1:5" x14ac:dyDescent="0.55000000000000004">
      <c r="A14490" t="s">
        <v>14571</v>
      </c>
      <c r="B14490" t="s">
        <v>23</v>
      </c>
      <c r="C14490" s="2">
        <v>44654</v>
      </c>
      <c r="D14490" t="s">
        <v>29</v>
      </c>
      <c r="E14490">
        <v>1981</v>
      </c>
    </row>
    <row r="14491" spans="1:5" x14ac:dyDescent="0.55000000000000004">
      <c r="A14491" t="s">
        <v>14572</v>
      </c>
      <c r="B14491" t="s">
        <v>142</v>
      </c>
      <c r="C14491" s="2">
        <v>43425</v>
      </c>
      <c r="D14491" t="s">
        <v>26</v>
      </c>
      <c r="E14491">
        <v>1737</v>
      </c>
    </row>
    <row r="14492" spans="1:5" x14ac:dyDescent="0.55000000000000004">
      <c r="A14492" t="s">
        <v>14573</v>
      </c>
      <c r="B14492" t="s">
        <v>175</v>
      </c>
      <c r="C14492" s="2">
        <v>44558</v>
      </c>
      <c r="D14492" t="s">
        <v>26</v>
      </c>
      <c r="E14492">
        <v>1183</v>
      </c>
    </row>
    <row r="14493" spans="1:5" x14ac:dyDescent="0.55000000000000004">
      <c r="A14493" t="s">
        <v>14574</v>
      </c>
      <c r="B14493" t="s">
        <v>175</v>
      </c>
      <c r="C14493" s="2">
        <v>44796</v>
      </c>
      <c r="D14493" t="s">
        <v>26</v>
      </c>
      <c r="E14493">
        <v>2929</v>
      </c>
    </row>
    <row r="14494" spans="1:5" x14ac:dyDescent="0.55000000000000004">
      <c r="A14494" t="s">
        <v>14575</v>
      </c>
      <c r="B14494" t="s">
        <v>72</v>
      </c>
      <c r="C14494" s="2">
        <v>42965</v>
      </c>
      <c r="D14494" t="s">
        <v>29</v>
      </c>
      <c r="E14494">
        <v>1311</v>
      </c>
    </row>
    <row r="14495" spans="1:5" x14ac:dyDescent="0.55000000000000004">
      <c r="A14495" t="s">
        <v>14576</v>
      </c>
      <c r="B14495" t="s">
        <v>84</v>
      </c>
      <c r="C14495" s="2">
        <v>44404</v>
      </c>
      <c r="D14495" t="s">
        <v>26</v>
      </c>
      <c r="E14495">
        <v>574</v>
      </c>
    </row>
    <row r="14496" spans="1:5" x14ac:dyDescent="0.55000000000000004">
      <c r="A14496" t="s">
        <v>14577</v>
      </c>
      <c r="B14496" t="s">
        <v>140</v>
      </c>
      <c r="C14496" s="2">
        <v>44215</v>
      </c>
      <c r="D14496" t="s">
        <v>26</v>
      </c>
      <c r="E14496">
        <v>1208</v>
      </c>
    </row>
    <row r="14497" spans="1:5" x14ac:dyDescent="0.55000000000000004">
      <c r="A14497" t="s">
        <v>14578</v>
      </c>
      <c r="B14497" t="s">
        <v>63</v>
      </c>
      <c r="C14497" s="2">
        <v>43528</v>
      </c>
      <c r="D14497" t="s">
        <v>26</v>
      </c>
      <c r="E14497">
        <v>2848</v>
      </c>
    </row>
    <row r="14498" spans="1:5" x14ac:dyDescent="0.55000000000000004">
      <c r="A14498" t="s">
        <v>14579</v>
      </c>
      <c r="B14498" t="s">
        <v>38</v>
      </c>
      <c r="C14498" s="2">
        <v>44256</v>
      </c>
      <c r="D14498" t="s">
        <v>29</v>
      </c>
      <c r="E14498">
        <v>291</v>
      </c>
    </row>
    <row r="14499" spans="1:5" x14ac:dyDescent="0.55000000000000004">
      <c r="A14499" t="s">
        <v>14580</v>
      </c>
      <c r="B14499" t="s">
        <v>86</v>
      </c>
      <c r="C14499" s="2">
        <v>43222</v>
      </c>
      <c r="D14499" t="s">
        <v>29</v>
      </c>
      <c r="E14499">
        <v>778</v>
      </c>
    </row>
    <row r="14500" spans="1:5" x14ac:dyDescent="0.55000000000000004">
      <c r="A14500" t="s">
        <v>14581</v>
      </c>
      <c r="B14500" t="s">
        <v>137</v>
      </c>
      <c r="C14500" s="2">
        <v>43956</v>
      </c>
      <c r="D14500" t="s">
        <v>26</v>
      </c>
      <c r="E14500">
        <v>2493</v>
      </c>
    </row>
    <row r="14501" spans="1:5" x14ac:dyDescent="0.55000000000000004">
      <c r="A14501" t="s">
        <v>14582</v>
      </c>
      <c r="B14501" t="s">
        <v>74</v>
      </c>
      <c r="C14501" s="2">
        <v>43603</v>
      </c>
      <c r="D14501" t="s">
        <v>29</v>
      </c>
      <c r="E14501">
        <v>2185</v>
      </c>
    </row>
    <row r="14502" spans="1:5" x14ac:dyDescent="0.55000000000000004">
      <c r="A14502" t="s">
        <v>14583</v>
      </c>
      <c r="B14502" t="s">
        <v>63</v>
      </c>
      <c r="C14502" s="2">
        <v>44249</v>
      </c>
      <c r="D14502" t="s">
        <v>26</v>
      </c>
      <c r="E14502">
        <v>2535</v>
      </c>
    </row>
    <row r="14503" spans="1:5" x14ac:dyDescent="0.55000000000000004">
      <c r="A14503" t="s">
        <v>14584</v>
      </c>
      <c r="B14503" t="s">
        <v>94</v>
      </c>
      <c r="C14503" s="2">
        <v>44961</v>
      </c>
      <c r="D14503" t="s">
        <v>26</v>
      </c>
      <c r="E14503">
        <v>2976</v>
      </c>
    </row>
    <row r="14504" spans="1:5" x14ac:dyDescent="0.55000000000000004">
      <c r="A14504" t="s">
        <v>14585</v>
      </c>
      <c r="B14504" t="s">
        <v>74</v>
      </c>
      <c r="C14504" s="2">
        <v>44447</v>
      </c>
      <c r="D14504" t="s">
        <v>26</v>
      </c>
      <c r="E14504">
        <v>669</v>
      </c>
    </row>
    <row r="14505" spans="1:5" x14ac:dyDescent="0.55000000000000004">
      <c r="A14505" t="s">
        <v>14586</v>
      </c>
      <c r="B14505" t="s">
        <v>86</v>
      </c>
      <c r="C14505" s="2">
        <v>43251</v>
      </c>
      <c r="D14505" t="s">
        <v>29</v>
      </c>
      <c r="E14505">
        <v>1129</v>
      </c>
    </row>
    <row r="14506" spans="1:5" x14ac:dyDescent="0.55000000000000004">
      <c r="A14506" t="s">
        <v>14587</v>
      </c>
      <c r="B14506" t="s">
        <v>23</v>
      </c>
      <c r="C14506" s="2">
        <v>44740</v>
      </c>
      <c r="D14506" t="s">
        <v>29</v>
      </c>
      <c r="E14506">
        <v>1794</v>
      </c>
    </row>
    <row r="14507" spans="1:5" x14ac:dyDescent="0.55000000000000004">
      <c r="A14507" t="s">
        <v>14588</v>
      </c>
      <c r="B14507" t="s">
        <v>99</v>
      </c>
      <c r="C14507" s="2">
        <v>45364</v>
      </c>
      <c r="D14507" t="s">
        <v>26</v>
      </c>
      <c r="E14507">
        <v>1781</v>
      </c>
    </row>
    <row r="14508" spans="1:5" x14ac:dyDescent="0.55000000000000004">
      <c r="A14508" t="s">
        <v>14589</v>
      </c>
      <c r="B14508" t="s">
        <v>15</v>
      </c>
      <c r="C14508" s="2">
        <v>44249</v>
      </c>
      <c r="D14508" t="s">
        <v>29</v>
      </c>
      <c r="E14508">
        <v>1189</v>
      </c>
    </row>
    <row r="14509" spans="1:5" x14ac:dyDescent="0.55000000000000004">
      <c r="A14509" t="s">
        <v>14590</v>
      </c>
      <c r="B14509" t="s">
        <v>156</v>
      </c>
      <c r="C14509" s="2">
        <v>43251</v>
      </c>
      <c r="D14509" t="s">
        <v>29</v>
      </c>
      <c r="E14509">
        <v>2569</v>
      </c>
    </row>
    <row r="14510" spans="1:5" x14ac:dyDescent="0.55000000000000004">
      <c r="A14510" t="s">
        <v>14591</v>
      </c>
      <c r="B14510" t="s">
        <v>76</v>
      </c>
      <c r="C14510" s="2">
        <v>44419</v>
      </c>
      <c r="D14510" t="s">
        <v>26</v>
      </c>
      <c r="E14510">
        <v>1911</v>
      </c>
    </row>
    <row r="14511" spans="1:5" x14ac:dyDescent="0.55000000000000004">
      <c r="A14511" t="s">
        <v>14592</v>
      </c>
      <c r="B14511" t="s">
        <v>38</v>
      </c>
      <c r="C14511" s="2">
        <v>43892</v>
      </c>
      <c r="D14511" t="s">
        <v>29</v>
      </c>
      <c r="E14511">
        <v>2147</v>
      </c>
    </row>
    <row r="14512" spans="1:5" x14ac:dyDescent="0.55000000000000004">
      <c r="A14512" t="s">
        <v>14593</v>
      </c>
      <c r="B14512" t="s">
        <v>74</v>
      </c>
      <c r="C14512" s="2">
        <v>44421</v>
      </c>
      <c r="D14512" t="s">
        <v>26</v>
      </c>
      <c r="E14512">
        <v>2997</v>
      </c>
    </row>
    <row r="14513" spans="1:5" x14ac:dyDescent="0.55000000000000004">
      <c r="A14513" t="s">
        <v>14594</v>
      </c>
      <c r="B14513" t="s">
        <v>74</v>
      </c>
      <c r="C14513" s="2">
        <v>44418</v>
      </c>
      <c r="D14513" t="s">
        <v>26</v>
      </c>
      <c r="E14513">
        <v>447</v>
      </c>
    </row>
    <row r="14514" spans="1:5" x14ac:dyDescent="0.55000000000000004">
      <c r="A14514" t="s">
        <v>14595</v>
      </c>
      <c r="B14514" t="s">
        <v>72</v>
      </c>
      <c r="C14514" s="2">
        <v>43519</v>
      </c>
      <c r="D14514" t="s">
        <v>29</v>
      </c>
      <c r="E14514">
        <v>2145</v>
      </c>
    </row>
    <row r="14515" spans="1:5" x14ac:dyDescent="0.55000000000000004">
      <c r="A14515" t="s">
        <v>14596</v>
      </c>
      <c r="B14515" t="s">
        <v>118</v>
      </c>
      <c r="C14515" s="2">
        <v>43503</v>
      </c>
      <c r="D14515" t="s">
        <v>29</v>
      </c>
      <c r="E14515">
        <v>1604</v>
      </c>
    </row>
    <row r="14516" spans="1:5" x14ac:dyDescent="0.55000000000000004">
      <c r="A14516" t="s">
        <v>14597</v>
      </c>
      <c r="B14516" t="s">
        <v>32</v>
      </c>
      <c r="C14516" s="2">
        <v>44439</v>
      </c>
      <c r="D14516" t="s">
        <v>26</v>
      </c>
      <c r="E14516">
        <v>429</v>
      </c>
    </row>
    <row r="14517" spans="1:5" x14ac:dyDescent="0.55000000000000004">
      <c r="A14517" t="s">
        <v>14598</v>
      </c>
      <c r="B14517" t="s">
        <v>115</v>
      </c>
      <c r="C14517" s="2">
        <v>44430</v>
      </c>
      <c r="D14517" t="s">
        <v>29</v>
      </c>
      <c r="E14517">
        <v>1259</v>
      </c>
    </row>
    <row r="14518" spans="1:5" x14ac:dyDescent="0.55000000000000004">
      <c r="A14518" t="s">
        <v>14599</v>
      </c>
      <c r="B14518" t="s">
        <v>41</v>
      </c>
      <c r="C14518" s="2">
        <v>43871</v>
      </c>
      <c r="D14518" t="s">
        <v>26</v>
      </c>
      <c r="E14518">
        <v>1144</v>
      </c>
    </row>
    <row r="14519" spans="1:5" x14ac:dyDescent="0.55000000000000004">
      <c r="A14519" t="s">
        <v>14600</v>
      </c>
      <c r="B14519" t="s">
        <v>84</v>
      </c>
      <c r="C14519" s="2">
        <v>44113</v>
      </c>
      <c r="D14519" t="s">
        <v>26</v>
      </c>
      <c r="E14519">
        <v>223</v>
      </c>
    </row>
    <row r="14520" spans="1:5" x14ac:dyDescent="0.55000000000000004">
      <c r="A14520" t="s">
        <v>14601</v>
      </c>
      <c r="B14520" t="s">
        <v>38</v>
      </c>
      <c r="C14520" s="2">
        <v>43957</v>
      </c>
      <c r="D14520" t="s">
        <v>29</v>
      </c>
      <c r="E14520">
        <v>694</v>
      </c>
    </row>
    <row r="14521" spans="1:5" x14ac:dyDescent="0.55000000000000004">
      <c r="A14521" t="s">
        <v>14602</v>
      </c>
      <c r="B14521" t="s">
        <v>41</v>
      </c>
      <c r="C14521" s="2">
        <v>44224</v>
      </c>
      <c r="D14521" t="s">
        <v>26</v>
      </c>
      <c r="E14521">
        <v>2998</v>
      </c>
    </row>
    <row r="14522" spans="1:5" x14ac:dyDescent="0.55000000000000004">
      <c r="A14522" t="s">
        <v>14603</v>
      </c>
      <c r="B14522" t="s">
        <v>175</v>
      </c>
      <c r="C14522" s="2">
        <v>44667</v>
      </c>
      <c r="D14522" t="s">
        <v>26</v>
      </c>
      <c r="E14522">
        <v>126</v>
      </c>
    </row>
    <row r="14523" spans="1:5" x14ac:dyDescent="0.55000000000000004">
      <c r="A14523" t="s">
        <v>14604</v>
      </c>
      <c r="B14523" t="s">
        <v>156</v>
      </c>
      <c r="C14523" s="2">
        <v>44081</v>
      </c>
      <c r="D14523" t="s">
        <v>26</v>
      </c>
      <c r="E14523">
        <v>66</v>
      </c>
    </row>
    <row r="14524" spans="1:5" x14ac:dyDescent="0.55000000000000004">
      <c r="A14524" t="s">
        <v>14605</v>
      </c>
      <c r="B14524" t="s">
        <v>41</v>
      </c>
      <c r="C14524" s="2">
        <v>44679</v>
      </c>
      <c r="D14524" t="s">
        <v>29</v>
      </c>
      <c r="E14524">
        <v>231</v>
      </c>
    </row>
    <row r="14525" spans="1:5" x14ac:dyDescent="0.55000000000000004">
      <c r="A14525" t="s">
        <v>14606</v>
      </c>
      <c r="B14525" t="s">
        <v>94</v>
      </c>
      <c r="C14525" s="2">
        <v>44551</v>
      </c>
      <c r="D14525" t="s">
        <v>26</v>
      </c>
      <c r="E14525">
        <v>532</v>
      </c>
    </row>
    <row r="14526" spans="1:5" x14ac:dyDescent="0.55000000000000004">
      <c r="A14526" t="s">
        <v>14607</v>
      </c>
      <c r="B14526" t="s">
        <v>74</v>
      </c>
      <c r="C14526" s="2">
        <v>43037</v>
      </c>
      <c r="D14526" t="s">
        <v>29</v>
      </c>
      <c r="E14526">
        <v>164</v>
      </c>
    </row>
    <row r="14527" spans="1:5" x14ac:dyDescent="0.55000000000000004">
      <c r="A14527" t="s">
        <v>14608</v>
      </c>
      <c r="B14527" t="s">
        <v>38</v>
      </c>
      <c r="C14527" s="2">
        <v>44393</v>
      </c>
      <c r="D14527" t="s">
        <v>26</v>
      </c>
      <c r="E14527">
        <v>307</v>
      </c>
    </row>
    <row r="14528" spans="1:5" x14ac:dyDescent="0.55000000000000004">
      <c r="A14528" t="s">
        <v>14609</v>
      </c>
      <c r="B14528" t="s">
        <v>14</v>
      </c>
      <c r="C14528" s="2">
        <v>44556</v>
      </c>
      <c r="D14528" t="s">
        <v>29</v>
      </c>
      <c r="E14528">
        <v>1517</v>
      </c>
    </row>
    <row r="14529" spans="1:5" x14ac:dyDescent="0.55000000000000004">
      <c r="A14529" t="s">
        <v>14610</v>
      </c>
      <c r="B14529" t="s">
        <v>137</v>
      </c>
      <c r="C14529" s="2">
        <v>43504</v>
      </c>
      <c r="D14529" t="s">
        <v>26</v>
      </c>
      <c r="E14529">
        <v>361</v>
      </c>
    </row>
    <row r="14530" spans="1:5" x14ac:dyDescent="0.55000000000000004">
      <c r="A14530" t="s">
        <v>14611</v>
      </c>
      <c r="B14530" t="s">
        <v>86</v>
      </c>
      <c r="C14530" s="2">
        <v>44407</v>
      </c>
      <c r="D14530" t="s">
        <v>29</v>
      </c>
      <c r="E14530">
        <v>2251</v>
      </c>
    </row>
    <row r="14531" spans="1:5" x14ac:dyDescent="0.55000000000000004">
      <c r="A14531" t="s">
        <v>14612</v>
      </c>
      <c r="B14531" t="s">
        <v>111</v>
      </c>
      <c r="C14531" s="2">
        <v>42996</v>
      </c>
      <c r="D14531" t="s">
        <v>29</v>
      </c>
      <c r="E14531">
        <v>1700</v>
      </c>
    </row>
    <row r="14532" spans="1:5" x14ac:dyDescent="0.55000000000000004">
      <c r="A14532" t="s">
        <v>14613</v>
      </c>
      <c r="B14532" t="s">
        <v>14</v>
      </c>
      <c r="C14532" s="2">
        <v>44495</v>
      </c>
      <c r="D14532" t="s">
        <v>29</v>
      </c>
      <c r="E14532">
        <v>1822</v>
      </c>
    </row>
    <row r="14533" spans="1:5" x14ac:dyDescent="0.55000000000000004">
      <c r="A14533" t="s">
        <v>14614</v>
      </c>
      <c r="B14533" t="s">
        <v>137</v>
      </c>
      <c r="C14533" s="2">
        <v>44931</v>
      </c>
      <c r="D14533" t="s">
        <v>26</v>
      </c>
      <c r="E14533">
        <v>1094</v>
      </c>
    </row>
    <row r="14534" spans="1:5" x14ac:dyDescent="0.55000000000000004">
      <c r="A14534" t="s">
        <v>14615</v>
      </c>
      <c r="B14534" t="s">
        <v>115</v>
      </c>
      <c r="C14534" s="2">
        <v>43459</v>
      </c>
      <c r="D14534" t="s">
        <v>26</v>
      </c>
      <c r="E14534">
        <v>1415</v>
      </c>
    </row>
    <row r="14535" spans="1:5" x14ac:dyDescent="0.55000000000000004">
      <c r="A14535" t="s">
        <v>14616</v>
      </c>
      <c r="B14535" t="s">
        <v>74</v>
      </c>
      <c r="C14535" s="2">
        <v>43597</v>
      </c>
      <c r="D14535" t="s">
        <v>29</v>
      </c>
      <c r="E14535">
        <v>86</v>
      </c>
    </row>
    <row r="14536" spans="1:5" x14ac:dyDescent="0.55000000000000004">
      <c r="A14536" t="s">
        <v>14617</v>
      </c>
      <c r="B14536" t="s">
        <v>23</v>
      </c>
      <c r="C14536" s="2">
        <v>44550</v>
      </c>
      <c r="D14536" t="s">
        <v>26</v>
      </c>
      <c r="E14536">
        <v>1088</v>
      </c>
    </row>
    <row r="14537" spans="1:5" x14ac:dyDescent="0.55000000000000004">
      <c r="A14537" t="s">
        <v>14618</v>
      </c>
      <c r="B14537" t="s">
        <v>78</v>
      </c>
      <c r="C14537" s="2">
        <v>44004</v>
      </c>
      <c r="D14537" t="s">
        <v>29</v>
      </c>
      <c r="E14537">
        <v>1942</v>
      </c>
    </row>
    <row r="14538" spans="1:5" x14ac:dyDescent="0.55000000000000004">
      <c r="A14538" t="s">
        <v>14619</v>
      </c>
      <c r="B14538" t="s">
        <v>142</v>
      </c>
      <c r="C14538" s="2">
        <v>44320</v>
      </c>
      <c r="D14538" t="s">
        <v>26</v>
      </c>
      <c r="E14538">
        <v>266</v>
      </c>
    </row>
    <row r="14539" spans="1:5" x14ac:dyDescent="0.55000000000000004">
      <c r="A14539" t="s">
        <v>14620</v>
      </c>
      <c r="B14539" t="s">
        <v>111</v>
      </c>
      <c r="C14539" s="2">
        <v>44511</v>
      </c>
      <c r="D14539" t="s">
        <v>26</v>
      </c>
      <c r="E14539">
        <v>2211</v>
      </c>
    </row>
    <row r="14540" spans="1:5" x14ac:dyDescent="0.55000000000000004">
      <c r="A14540" t="s">
        <v>14621</v>
      </c>
      <c r="B14540" t="s">
        <v>101</v>
      </c>
      <c r="C14540" s="2">
        <v>43152</v>
      </c>
      <c r="D14540" t="s">
        <v>26</v>
      </c>
      <c r="E14540">
        <v>1371</v>
      </c>
    </row>
    <row r="14541" spans="1:5" x14ac:dyDescent="0.55000000000000004">
      <c r="A14541" t="s">
        <v>14622</v>
      </c>
      <c r="B14541" t="s">
        <v>115</v>
      </c>
      <c r="C14541" s="2">
        <v>43157</v>
      </c>
      <c r="D14541" t="s">
        <v>26</v>
      </c>
      <c r="E14541">
        <v>2905</v>
      </c>
    </row>
    <row r="14542" spans="1:5" x14ac:dyDescent="0.55000000000000004">
      <c r="A14542" t="s">
        <v>14623</v>
      </c>
      <c r="B14542" t="s">
        <v>140</v>
      </c>
      <c r="C14542" s="2">
        <v>43273</v>
      </c>
      <c r="D14542" t="s">
        <v>29</v>
      </c>
      <c r="E14542">
        <v>394</v>
      </c>
    </row>
    <row r="14543" spans="1:5" x14ac:dyDescent="0.55000000000000004">
      <c r="A14543" t="s">
        <v>14624</v>
      </c>
      <c r="B14543" t="s">
        <v>84</v>
      </c>
      <c r="C14543" s="2">
        <v>43342</v>
      </c>
      <c r="D14543" t="s">
        <v>29</v>
      </c>
      <c r="E14543">
        <v>2524</v>
      </c>
    </row>
    <row r="14544" spans="1:5" x14ac:dyDescent="0.55000000000000004">
      <c r="A14544" t="s">
        <v>14625</v>
      </c>
      <c r="B14544" t="s">
        <v>151</v>
      </c>
      <c r="C14544" s="2">
        <v>43456</v>
      </c>
      <c r="D14544" t="s">
        <v>26</v>
      </c>
      <c r="E14544">
        <v>146</v>
      </c>
    </row>
    <row r="14545" spans="1:5" x14ac:dyDescent="0.55000000000000004">
      <c r="A14545" t="s">
        <v>14626</v>
      </c>
      <c r="B14545" t="s">
        <v>101</v>
      </c>
      <c r="C14545" s="2">
        <v>43132</v>
      </c>
      <c r="D14545" t="s">
        <v>29</v>
      </c>
      <c r="E14545">
        <v>1333</v>
      </c>
    </row>
    <row r="14546" spans="1:5" x14ac:dyDescent="0.55000000000000004">
      <c r="A14546" t="s">
        <v>14627</v>
      </c>
      <c r="B14546" t="s">
        <v>14</v>
      </c>
      <c r="C14546" s="2">
        <v>44210</v>
      </c>
      <c r="D14546" t="s">
        <v>29</v>
      </c>
      <c r="E14546">
        <v>2857</v>
      </c>
    </row>
    <row r="14547" spans="1:5" x14ac:dyDescent="0.55000000000000004">
      <c r="A14547" t="s">
        <v>14628</v>
      </c>
      <c r="B14547" t="s">
        <v>76</v>
      </c>
      <c r="C14547" s="2">
        <v>45509</v>
      </c>
      <c r="D14547" t="s">
        <v>26</v>
      </c>
      <c r="E14547">
        <v>1300</v>
      </c>
    </row>
    <row r="14548" spans="1:5" x14ac:dyDescent="0.55000000000000004">
      <c r="A14548" t="s">
        <v>14629</v>
      </c>
      <c r="B14548" t="s">
        <v>86</v>
      </c>
      <c r="C14548" s="2">
        <v>43358</v>
      </c>
      <c r="D14548" t="s">
        <v>26</v>
      </c>
      <c r="E14548">
        <v>2862</v>
      </c>
    </row>
    <row r="14549" spans="1:5" x14ac:dyDescent="0.55000000000000004">
      <c r="A14549" t="s">
        <v>14630</v>
      </c>
      <c r="B14549" t="s">
        <v>142</v>
      </c>
      <c r="C14549" s="2">
        <v>43934</v>
      </c>
      <c r="D14549" t="s">
        <v>26</v>
      </c>
      <c r="E14549">
        <v>2044</v>
      </c>
    </row>
    <row r="14550" spans="1:5" x14ac:dyDescent="0.55000000000000004">
      <c r="A14550" t="s">
        <v>14631</v>
      </c>
      <c r="B14550" t="s">
        <v>94</v>
      </c>
      <c r="C14550" s="2">
        <v>43770</v>
      </c>
      <c r="D14550" t="s">
        <v>26</v>
      </c>
      <c r="E14550">
        <v>596</v>
      </c>
    </row>
    <row r="14551" spans="1:5" x14ac:dyDescent="0.55000000000000004">
      <c r="A14551" t="s">
        <v>14632</v>
      </c>
      <c r="B14551" t="s">
        <v>14</v>
      </c>
      <c r="C14551" s="2">
        <v>43815</v>
      </c>
      <c r="D14551" t="s">
        <v>26</v>
      </c>
      <c r="E14551">
        <v>1318</v>
      </c>
    </row>
    <row r="14552" spans="1:5" x14ac:dyDescent="0.55000000000000004">
      <c r="A14552" t="s">
        <v>14633</v>
      </c>
      <c r="B14552" t="s">
        <v>78</v>
      </c>
      <c r="C14552" s="2">
        <v>43596</v>
      </c>
      <c r="D14552" t="s">
        <v>29</v>
      </c>
      <c r="E14552">
        <v>1314</v>
      </c>
    </row>
    <row r="14553" spans="1:5" x14ac:dyDescent="0.55000000000000004">
      <c r="A14553" t="s">
        <v>14634</v>
      </c>
      <c r="B14553" t="s">
        <v>175</v>
      </c>
      <c r="C14553" s="2">
        <v>44190</v>
      </c>
      <c r="D14553" t="s">
        <v>29</v>
      </c>
      <c r="E14553">
        <v>81</v>
      </c>
    </row>
    <row r="14554" spans="1:5" x14ac:dyDescent="0.55000000000000004">
      <c r="A14554" t="s">
        <v>14635</v>
      </c>
      <c r="B14554" t="s">
        <v>99</v>
      </c>
      <c r="C14554" s="2">
        <v>45585</v>
      </c>
      <c r="D14554" t="s">
        <v>29</v>
      </c>
      <c r="E14554">
        <v>2945</v>
      </c>
    </row>
    <row r="14555" spans="1:5" x14ac:dyDescent="0.55000000000000004">
      <c r="A14555" t="s">
        <v>14636</v>
      </c>
      <c r="B14555" t="s">
        <v>137</v>
      </c>
      <c r="C14555" s="2">
        <v>43607</v>
      </c>
      <c r="D14555" t="s">
        <v>29</v>
      </c>
      <c r="E14555">
        <v>2761</v>
      </c>
    </row>
    <row r="14556" spans="1:5" x14ac:dyDescent="0.55000000000000004">
      <c r="A14556" t="s">
        <v>14637</v>
      </c>
      <c r="B14556" t="s">
        <v>23</v>
      </c>
      <c r="C14556" s="2">
        <v>44093</v>
      </c>
      <c r="D14556" t="s">
        <v>29</v>
      </c>
      <c r="E14556">
        <v>943</v>
      </c>
    </row>
    <row r="14557" spans="1:5" x14ac:dyDescent="0.55000000000000004">
      <c r="A14557" t="s">
        <v>14638</v>
      </c>
      <c r="B14557" t="s">
        <v>175</v>
      </c>
      <c r="C14557" s="2">
        <v>44427</v>
      </c>
      <c r="D14557" t="s">
        <v>29</v>
      </c>
      <c r="E14557">
        <v>159</v>
      </c>
    </row>
    <row r="14558" spans="1:5" x14ac:dyDescent="0.55000000000000004">
      <c r="A14558" t="s">
        <v>14639</v>
      </c>
      <c r="B14558" t="s">
        <v>115</v>
      </c>
      <c r="C14558" s="2">
        <v>44293</v>
      </c>
      <c r="D14558" t="s">
        <v>26</v>
      </c>
      <c r="E14558">
        <v>2385</v>
      </c>
    </row>
    <row r="14559" spans="1:5" x14ac:dyDescent="0.55000000000000004">
      <c r="A14559" t="s">
        <v>14640</v>
      </c>
      <c r="B14559" t="s">
        <v>78</v>
      </c>
      <c r="C14559" s="2">
        <v>45821</v>
      </c>
      <c r="D14559" t="s">
        <v>26</v>
      </c>
      <c r="E14559">
        <v>304</v>
      </c>
    </row>
    <row r="14560" spans="1:5" x14ac:dyDescent="0.55000000000000004">
      <c r="A14560" t="s">
        <v>14641</v>
      </c>
      <c r="B14560" t="s">
        <v>175</v>
      </c>
      <c r="C14560" s="2">
        <v>43868</v>
      </c>
      <c r="D14560" t="s">
        <v>29</v>
      </c>
      <c r="E14560">
        <v>241</v>
      </c>
    </row>
    <row r="14561" spans="1:5" x14ac:dyDescent="0.55000000000000004">
      <c r="A14561" t="s">
        <v>14642</v>
      </c>
      <c r="B14561" t="s">
        <v>14</v>
      </c>
      <c r="C14561" s="2">
        <v>44135</v>
      </c>
      <c r="D14561" t="s">
        <v>26</v>
      </c>
      <c r="E14561">
        <v>674</v>
      </c>
    </row>
    <row r="14562" spans="1:5" x14ac:dyDescent="0.55000000000000004">
      <c r="A14562" t="s">
        <v>14643</v>
      </c>
      <c r="B14562" t="s">
        <v>175</v>
      </c>
      <c r="C14562" s="2">
        <v>45316</v>
      </c>
      <c r="D14562" t="s">
        <v>26</v>
      </c>
      <c r="E14562">
        <v>2405</v>
      </c>
    </row>
    <row r="14563" spans="1:5" x14ac:dyDescent="0.55000000000000004">
      <c r="A14563" t="s">
        <v>14644</v>
      </c>
      <c r="B14563" t="s">
        <v>72</v>
      </c>
      <c r="C14563" s="2">
        <v>44272</v>
      </c>
      <c r="D14563" t="s">
        <v>26</v>
      </c>
      <c r="E14563">
        <v>2114</v>
      </c>
    </row>
    <row r="14564" spans="1:5" x14ac:dyDescent="0.55000000000000004">
      <c r="A14564" t="s">
        <v>14645</v>
      </c>
      <c r="B14564" t="s">
        <v>67</v>
      </c>
      <c r="C14564" s="2">
        <v>45298</v>
      </c>
      <c r="D14564" t="s">
        <v>29</v>
      </c>
      <c r="E14564">
        <v>314</v>
      </c>
    </row>
    <row r="14565" spans="1:5" x14ac:dyDescent="0.55000000000000004">
      <c r="A14565" t="s">
        <v>14646</v>
      </c>
      <c r="B14565" t="s">
        <v>111</v>
      </c>
      <c r="C14565" s="2">
        <v>44371</v>
      </c>
      <c r="D14565" t="s">
        <v>29</v>
      </c>
      <c r="E14565">
        <v>2550</v>
      </c>
    </row>
    <row r="14566" spans="1:5" x14ac:dyDescent="0.55000000000000004">
      <c r="A14566" t="s">
        <v>14647</v>
      </c>
      <c r="B14566" t="s">
        <v>72</v>
      </c>
      <c r="C14566" s="2">
        <v>44556</v>
      </c>
      <c r="D14566" t="s">
        <v>29</v>
      </c>
      <c r="E14566">
        <v>1084</v>
      </c>
    </row>
    <row r="14567" spans="1:5" x14ac:dyDescent="0.55000000000000004">
      <c r="A14567" t="s">
        <v>14648</v>
      </c>
      <c r="B14567" t="s">
        <v>35</v>
      </c>
      <c r="C14567" s="2">
        <v>44223</v>
      </c>
      <c r="D14567" t="s">
        <v>29</v>
      </c>
      <c r="E14567">
        <v>2898</v>
      </c>
    </row>
    <row r="14568" spans="1:5" x14ac:dyDescent="0.55000000000000004">
      <c r="A14568" t="s">
        <v>14649</v>
      </c>
      <c r="B14568" t="s">
        <v>111</v>
      </c>
      <c r="C14568" s="2">
        <v>43007</v>
      </c>
      <c r="D14568" t="s">
        <v>26</v>
      </c>
      <c r="E14568">
        <v>1659</v>
      </c>
    </row>
    <row r="14569" spans="1:5" x14ac:dyDescent="0.55000000000000004">
      <c r="A14569" t="s">
        <v>14650</v>
      </c>
      <c r="B14569" t="s">
        <v>140</v>
      </c>
      <c r="C14569" s="2">
        <v>43450</v>
      </c>
      <c r="D14569" t="s">
        <v>26</v>
      </c>
      <c r="E14569">
        <v>1962</v>
      </c>
    </row>
    <row r="14570" spans="1:5" x14ac:dyDescent="0.55000000000000004">
      <c r="A14570" t="s">
        <v>14651</v>
      </c>
      <c r="B14570" t="s">
        <v>63</v>
      </c>
      <c r="C14570" s="2">
        <v>44007</v>
      </c>
      <c r="D14570" t="s">
        <v>29</v>
      </c>
      <c r="E14570">
        <v>2561</v>
      </c>
    </row>
    <row r="14571" spans="1:5" x14ac:dyDescent="0.55000000000000004">
      <c r="A14571" t="s">
        <v>14652</v>
      </c>
      <c r="B14571" t="s">
        <v>32</v>
      </c>
      <c r="C14571" s="2">
        <v>44637</v>
      </c>
      <c r="D14571" t="s">
        <v>29</v>
      </c>
      <c r="E14571">
        <v>1140</v>
      </c>
    </row>
    <row r="14572" spans="1:5" x14ac:dyDescent="0.55000000000000004">
      <c r="A14572" t="s">
        <v>14653</v>
      </c>
      <c r="B14572" t="s">
        <v>99</v>
      </c>
      <c r="C14572" s="2">
        <v>43722</v>
      </c>
      <c r="D14572" t="s">
        <v>26</v>
      </c>
      <c r="E14572">
        <v>153</v>
      </c>
    </row>
    <row r="14573" spans="1:5" x14ac:dyDescent="0.55000000000000004">
      <c r="A14573" t="s">
        <v>14654</v>
      </c>
      <c r="B14573" t="s">
        <v>111</v>
      </c>
      <c r="C14573" s="2">
        <v>43060</v>
      </c>
      <c r="D14573" t="s">
        <v>26</v>
      </c>
      <c r="E14573">
        <v>2316</v>
      </c>
    </row>
    <row r="14574" spans="1:5" x14ac:dyDescent="0.55000000000000004">
      <c r="A14574" t="s">
        <v>14655</v>
      </c>
      <c r="B14574" t="s">
        <v>35</v>
      </c>
      <c r="C14574" s="2">
        <v>44108</v>
      </c>
      <c r="D14574" t="s">
        <v>29</v>
      </c>
      <c r="E14574">
        <v>607</v>
      </c>
    </row>
    <row r="14575" spans="1:5" x14ac:dyDescent="0.55000000000000004">
      <c r="A14575" t="s">
        <v>14656</v>
      </c>
      <c r="B14575" t="s">
        <v>175</v>
      </c>
      <c r="C14575" s="2">
        <v>44576</v>
      </c>
      <c r="D14575" t="s">
        <v>26</v>
      </c>
      <c r="E14575">
        <v>78</v>
      </c>
    </row>
    <row r="14576" spans="1:5" x14ac:dyDescent="0.55000000000000004">
      <c r="A14576" t="s">
        <v>14657</v>
      </c>
      <c r="B14576" t="s">
        <v>78</v>
      </c>
      <c r="C14576" s="2">
        <v>45211</v>
      </c>
      <c r="D14576" t="s">
        <v>29</v>
      </c>
      <c r="E14576">
        <v>1928</v>
      </c>
    </row>
    <row r="14577" spans="1:5" x14ac:dyDescent="0.55000000000000004">
      <c r="A14577" t="s">
        <v>14658</v>
      </c>
      <c r="B14577" t="s">
        <v>96</v>
      </c>
      <c r="C14577" s="2">
        <v>45582</v>
      </c>
      <c r="D14577" t="s">
        <v>26</v>
      </c>
      <c r="E14577">
        <v>2716</v>
      </c>
    </row>
    <row r="14578" spans="1:5" x14ac:dyDescent="0.55000000000000004">
      <c r="A14578" t="s">
        <v>14659</v>
      </c>
      <c r="B14578" t="s">
        <v>101</v>
      </c>
      <c r="C14578" s="2">
        <v>43849</v>
      </c>
      <c r="D14578" t="s">
        <v>29</v>
      </c>
      <c r="E14578">
        <v>2079</v>
      </c>
    </row>
    <row r="14579" spans="1:5" x14ac:dyDescent="0.55000000000000004">
      <c r="A14579" t="s">
        <v>14660</v>
      </c>
      <c r="B14579" t="s">
        <v>74</v>
      </c>
      <c r="C14579" s="2">
        <v>42940</v>
      </c>
      <c r="D14579" t="s">
        <v>29</v>
      </c>
      <c r="E14579">
        <v>12</v>
      </c>
    </row>
    <row r="14580" spans="1:5" x14ac:dyDescent="0.55000000000000004">
      <c r="A14580" t="s">
        <v>14661</v>
      </c>
      <c r="B14580" t="s">
        <v>67</v>
      </c>
      <c r="C14580" s="2">
        <v>44017</v>
      </c>
      <c r="D14580" t="s">
        <v>29</v>
      </c>
      <c r="E14580">
        <v>220</v>
      </c>
    </row>
    <row r="14581" spans="1:5" x14ac:dyDescent="0.55000000000000004">
      <c r="A14581" t="s">
        <v>14662</v>
      </c>
      <c r="B14581" t="s">
        <v>67</v>
      </c>
      <c r="C14581" s="2">
        <v>44379</v>
      </c>
      <c r="D14581" t="s">
        <v>29</v>
      </c>
      <c r="E14581">
        <v>340</v>
      </c>
    </row>
    <row r="14582" spans="1:5" x14ac:dyDescent="0.55000000000000004">
      <c r="A14582" t="s">
        <v>14663</v>
      </c>
      <c r="B14582" t="s">
        <v>41</v>
      </c>
      <c r="C14582" s="2">
        <v>44279</v>
      </c>
      <c r="D14582" t="s">
        <v>26</v>
      </c>
      <c r="E14582">
        <v>397</v>
      </c>
    </row>
    <row r="14583" spans="1:5" x14ac:dyDescent="0.55000000000000004">
      <c r="A14583" t="s">
        <v>14664</v>
      </c>
      <c r="B14583" t="s">
        <v>86</v>
      </c>
      <c r="C14583" s="2">
        <v>43847</v>
      </c>
      <c r="D14583" t="s">
        <v>26</v>
      </c>
      <c r="E14583">
        <v>224</v>
      </c>
    </row>
    <row r="14584" spans="1:5" x14ac:dyDescent="0.55000000000000004">
      <c r="A14584" t="s">
        <v>14665</v>
      </c>
      <c r="B14584" t="s">
        <v>99</v>
      </c>
      <c r="C14584" s="2">
        <v>44204</v>
      </c>
      <c r="D14584" t="s">
        <v>26</v>
      </c>
      <c r="E14584">
        <v>1770</v>
      </c>
    </row>
    <row r="14585" spans="1:5" x14ac:dyDescent="0.55000000000000004">
      <c r="A14585" t="s">
        <v>14666</v>
      </c>
      <c r="B14585" t="s">
        <v>101</v>
      </c>
      <c r="C14585" s="2">
        <v>43088</v>
      </c>
      <c r="D14585" t="s">
        <v>29</v>
      </c>
      <c r="E14585">
        <v>2633</v>
      </c>
    </row>
    <row r="14586" spans="1:5" x14ac:dyDescent="0.55000000000000004">
      <c r="A14586" t="s">
        <v>14667</v>
      </c>
      <c r="B14586" t="s">
        <v>105</v>
      </c>
      <c r="C14586" s="2">
        <v>42950</v>
      </c>
      <c r="D14586" t="s">
        <v>26</v>
      </c>
      <c r="E14586">
        <v>1827</v>
      </c>
    </row>
    <row r="14587" spans="1:5" x14ac:dyDescent="0.55000000000000004">
      <c r="A14587" t="s">
        <v>14668</v>
      </c>
      <c r="B14587" t="s">
        <v>175</v>
      </c>
      <c r="C14587" s="2">
        <v>44084</v>
      </c>
      <c r="D14587" t="s">
        <v>29</v>
      </c>
      <c r="E14587">
        <v>479</v>
      </c>
    </row>
    <row r="14588" spans="1:5" x14ac:dyDescent="0.55000000000000004">
      <c r="A14588" t="s">
        <v>14669</v>
      </c>
      <c r="B14588" t="s">
        <v>38</v>
      </c>
      <c r="C14588" s="2">
        <v>44118</v>
      </c>
      <c r="D14588" t="s">
        <v>29</v>
      </c>
      <c r="E14588">
        <v>2639</v>
      </c>
    </row>
    <row r="14589" spans="1:5" x14ac:dyDescent="0.55000000000000004">
      <c r="A14589" t="s">
        <v>14670</v>
      </c>
      <c r="B14589" t="s">
        <v>175</v>
      </c>
      <c r="C14589" s="2">
        <v>45109</v>
      </c>
      <c r="D14589" t="s">
        <v>26</v>
      </c>
      <c r="E14589">
        <v>2793</v>
      </c>
    </row>
    <row r="14590" spans="1:5" x14ac:dyDescent="0.55000000000000004">
      <c r="A14590" t="s">
        <v>14671</v>
      </c>
      <c r="B14590" t="s">
        <v>99</v>
      </c>
      <c r="C14590" s="2">
        <v>45180</v>
      </c>
      <c r="D14590" t="s">
        <v>29</v>
      </c>
      <c r="E14590">
        <v>452</v>
      </c>
    </row>
    <row r="14591" spans="1:5" x14ac:dyDescent="0.55000000000000004">
      <c r="A14591" t="s">
        <v>14672</v>
      </c>
      <c r="B14591" t="s">
        <v>74</v>
      </c>
      <c r="C14591" s="2">
        <v>42957</v>
      </c>
      <c r="D14591" t="s">
        <v>29</v>
      </c>
      <c r="E14591">
        <v>6</v>
      </c>
    </row>
    <row r="14592" spans="1:5" x14ac:dyDescent="0.55000000000000004">
      <c r="A14592" t="s">
        <v>14673</v>
      </c>
      <c r="B14592" t="s">
        <v>38</v>
      </c>
      <c r="C14592" s="2">
        <v>44321</v>
      </c>
      <c r="D14592" t="s">
        <v>26</v>
      </c>
      <c r="E14592">
        <v>2326</v>
      </c>
    </row>
    <row r="14593" spans="1:5" x14ac:dyDescent="0.55000000000000004">
      <c r="A14593" t="s">
        <v>14674</v>
      </c>
      <c r="B14593" t="s">
        <v>105</v>
      </c>
      <c r="C14593" s="2">
        <v>44265</v>
      </c>
      <c r="D14593" t="s">
        <v>29</v>
      </c>
      <c r="E14593">
        <v>1601</v>
      </c>
    </row>
    <row r="14594" spans="1:5" x14ac:dyDescent="0.55000000000000004">
      <c r="A14594" t="s">
        <v>14675</v>
      </c>
      <c r="B14594" t="s">
        <v>94</v>
      </c>
      <c r="C14594" s="2">
        <v>45446</v>
      </c>
      <c r="D14594" t="s">
        <v>26</v>
      </c>
      <c r="E14594">
        <v>1687</v>
      </c>
    </row>
    <row r="14595" spans="1:5" x14ac:dyDescent="0.55000000000000004">
      <c r="A14595" t="s">
        <v>14676</v>
      </c>
      <c r="B14595" t="s">
        <v>14</v>
      </c>
      <c r="C14595" s="2">
        <v>44503</v>
      </c>
      <c r="D14595" t="s">
        <v>29</v>
      </c>
      <c r="E14595">
        <v>936</v>
      </c>
    </row>
    <row r="14596" spans="1:5" x14ac:dyDescent="0.55000000000000004">
      <c r="A14596" t="s">
        <v>14677</v>
      </c>
      <c r="B14596" t="s">
        <v>94</v>
      </c>
      <c r="C14596" s="2">
        <v>44312</v>
      </c>
      <c r="D14596" t="s">
        <v>26</v>
      </c>
      <c r="E14596">
        <v>2388</v>
      </c>
    </row>
    <row r="14597" spans="1:5" x14ac:dyDescent="0.55000000000000004">
      <c r="A14597" t="s">
        <v>14678</v>
      </c>
      <c r="B14597" t="s">
        <v>32</v>
      </c>
      <c r="C14597" s="2">
        <v>44540</v>
      </c>
      <c r="D14597" t="s">
        <v>26</v>
      </c>
      <c r="E14597">
        <v>1602</v>
      </c>
    </row>
    <row r="14598" spans="1:5" x14ac:dyDescent="0.55000000000000004">
      <c r="A14598" t="s">
        <v>14679</v>
      </c>
      <c r="B14598" t="s">
        <v>101</v>
      </c>
      <c r="C14598" s="2">
        <v>44355</v>
      </c>
      <c r="D14598" t="s">
        <v>29</v>
      </c>
      <c r="E14598">
        <v>2632</v>
      </c>
    </row>
    <row r="14599" spans="1:5" x14ac:dyDescent="0.55000000000000004">
      <c r="A14599" t="s">
        <v>14680</v>
      </c>
      <c r="B14599" t="s">
        <v>96</v>
      </c>
      <c r="C14599" s="2">
        <v>45219</v>
      </c>
      <c r="D14599" t="s">
        <v>26</v>
      </c>
      <c r="E14599">
        <v>2932</v>
      </c>
    </row>
    <row r="14600" spans="1:5" x14ac:dyDescent="0.55000000000000004">
      <c r="A14600" t="s">
        <v>14681</v>
      </c>
      <c r="B14600" t="s">
        <v>111</v>
      </c>
      <c r="C14600" s="2">
        <v>43642</v>
      </c>
      <c r="D14600" t="s">
        <v>26</v>
      </c>
      <c r="E14600">
        <v>2155</v>
      </c>
    </row>
    <row r="14601" spans="1:5" x14ac:dyDescent="0.55000000000000004">
      <c r="A14601" t="s">
        <v>14682</v>
      </c>
      <c r="B14601" t="s">
        <v>35</v>
      </c>
      <c r="C14601" s="2">
        <v>43885</v>
      </c>
      <c r="D14601" t="s">
        <v>26</v>
      </c>
      <c r="E14601">
        <v>1391</v>
      </c>
    </row>
    <row r="14602" spans="1:5" x14ac:dyDescent="0.55000000000000004">
      <c r="A14602" t="s">
        <v>14683</v>
      </c>
      <c r="B14602" t="s">
        <v>175</v>
      </c>
      <c r="C14602" s="2">
        <v>43665</v>
      </c>
      <c r="D14602" t="s">
        <v>26</v>
      </c>
      <c r="E14602">
        <v>2246</v>
      </c>
    </row>
    <row r="14603" spans="1:5" x14ac:dyDescent="0.55000000000000004">
      <c r="A14603" t="s">
        <v>14684</v>
      </c>
      <c r="B14603" t="s">
        <v>151</v>
      </c>
      <c r="C14603" s="2">
        <v>43005</v>
      </c>
      <c r="D14603" t="s">
        <v>29</v>
      </c>
      <c r="E14603">
        <v>2563</v>
      </c>
    </row>
    <row r="14604" spans="1:5" x14ac:dyDescent="0.55000000000000004">
      <c r="A14604" t="s">
        <v>14685</v>
      </c>
      <c r="B14604" t="s">
        <v>32</v>
      </c>
      <c r="C14604" s="2">
        <v>44213</v>
      </c>
      <c r="D14604" t="s">
        <v>29</v>
      </c>
      <c r="E14604">
        <v>196</v>
      </c>
    </row>
    <row r="14605" spans="1:5" x14ac:dyDescent="0.55000000000000004">
      <c r="A14605" t="s">
        <v>14686</v>
      </c>
      <c r="B14605" t="s">
        <v>41</v>
      </c>
      <c r="C14605" s="2">
        <v>44865</v>
      </c>
      <c r="D14605" t="s">
        <v>26</v>
      </c>
      <c r="E14605">
        <v>1439</v>
      </c>
    </row>
    <row r="14606" spans="1:5" x14ac:dyDescent="0.55000000000000004">
      <c r="A14606" t="s">
        <v>14687</v>
      </c>
      <c r="B14606" t="s">
        <v>86</v>
      </c>
      <c r="C14606" s="2">
        <v>43799</v>
      </c>
      <c r="D14606" t="s">
        <v>29</v>
      </c>
      <c r="E14606">
        <v>1276</v>
      </c>
    </row>
    <row r="14607" spans="1:5" x14ac:dyDescent="0.55000000000000004">
      <c r="A14607" t="s">
        <v>14688</v>
      </c>
      <c r="B14607" t="s">
        <v>137</v>
      </c>
      <c r="C14607" s="2">
        <v>43784</v>
      </c>
      <c r="D14607" t="s">
        <v>29</v>
      </c>
      <c r="E14607">
        <v>276</v>
      </c>
    </row>
    <row r="14608" spans="1:5" x14ac:dyDescent="0.55000000000000004">
      <c r="A14608" t="s">
        <v>14689</v>
      </c>
      <c r="B14608" t="s">
        <v>76</v>
      </c>
      <c r="C14608" s="2">
        <v>43985</v>
      </c>
      <c r="D14608" t="s">
        <v>29</v>
      </c>
      <c r="E14608">
        <v>865</v>
      </c>
    </row>
    <row r="14609" spans="1:5" x14ac:dyDescent="0.55000000000000004">
      <c r="A14609" t="s">
        <v>14690</v>
      </c>
      <c r="B14609" t="s">
        <v>140</v>
      </c>
      <c r="C14609" s="2">
        <v>43051</v>
      </c>
      <c r="D14609" t="s">
        <v>29</v>
      </c>
      <c r="E14609">
        <v>197</v>
      </c>
    </row>
    <row r="14610" spans="1:5" x14ac:dyDescent="0.55000000000000004">
      <c r="A14610" t="s">
        <v>14691</v>
      </c>
      <c r="B14610" t="s">
        <v>86</v>
      </c>
      <c r="C14610" s="2">
        <v>42943</v>
      </c>
      <c r="D14610" t="s">
        <v>26</v>
      </c>
      <c r="E14610">
        <v>2442</v>
      </c>
    </row>
    <row r="14611" spans="1:5" x14ac:dyDescent="0.55000000000000004">
      <c r="A14611" t="s">
        <v>14692</v>
      </c>
      <c r="B14611" t="s">
        <v>35</v>
      </c>
      <c r="C14611" s="2">
        <v>43917</v>
      </c>
      <c r="D14611" t="s">
        <v>29</v>
      </c>
      <c r="E14611">
        <v>1634</v>
      </c>
    </row>
    <row r="14612" spans="1:5" x14ac:dyDescent="0.55000000000000004">
      <c r="A14612" t="s">
        <v>14693</v>
      </c>
      <c r="B14612" t="s">
        <v>74</v>
      </c>
      <c r="C14612" s="2">
        <v>44107</v>
      </c>
      <c r="D14612" t="s">
        <v>26</v>
      </c>
      <c r="E14612">
        <v>2581</v>
      </c>
    </row>
    <row r="14613" spans="1:5" x14ac:dyDescent="0.55000000000000004">
      <c r="A14613" t="s">
        <v>14694</v>
      </c>
      <c r="B14613" t="s">
        <v>67</v>
      </c>
      <c r="C14613" s="2">
        <v>43914</v>
      </c>
      <c r="D14613" t="s">
        <v>29</v>
      </c>
      <c r="E14613">
        <v>2503</v>
      </c>
    </row>
    <row r="14614" spans="1:5" x14ac:dyDescent="0.55000000000000004">
      <c r="A14614" t="s">
        <v>14695</v>
      </c>
      <c r="B14614" t="s">
        <v>94</v>
      </c>
      <c r="C14614" s="2">
        <v>45663</v>
      </c>
      <c r="D14614" t="s">
        <v>26</v>
      </c>
      <c r="E14614">
        <v>1691</v>
      </c>
    </row>
    <row r="14615" spans="1:5" x14ac:dyDescent="0.55000000000000004">
      <c r="A14615" t="s">
        <v>14696</v>
      </c>
      <c r="B14615" t="s">
        <v>96</v>
      </c>
      <c r="C14615" s="2">
        <v>45603</v>
      </c>
      <c r="D14615" t="s">
        <v>29</v>
      </c>
      <c r="E14615">
        <v>2498</v>
      </c>
    </row>
    <row r="14616" spans="1:5" x14ac:dyDescent="0.55000000000000004">
      <c r="A14616" t="s">
        <v>14697</v>
      </c>
      <c r="B14616" t="s">
        <v>14</v>
      </c>
      <c r="C14616" s="2">
        <v>43402</v>
      </c>
      <c r="D14616" t="s">
        <v>26</v>
      </c>
      <c r="E14616">
        <v>383</v>
      </c>
    </row>
    <row r="14617" spans="1:5" x14ac:dyDescent="0.55000000000000004">
      <c r="A14617" t="s">
        <v>14698</v>
      </c>
      <c r="B14617" t="s">
        <v>15</v>
      </c>
      <c r="C14617" s="2">
        <v>43823</v>
      </c>
      <c r="D14617" t="s">
        <v>29</v>
      </c>
      <c r="E14617">
        <v>2308</v>
      </c>
    </row>
    <row r="14618" spans="1:5" x14ac:dyDescent="0.55000000000000004">
      <c r="A14618" t="s">
        <v>14699</v>
      </c>
      <c r="B14618" t="s">
        <v>175</v>
      </c>
      <c r="C14618" s="2">
        <v>43849</v>
      </c>
      <c r="D14618" t="s">
        <v>26</v>
      </c>
      <c r="E14618">
        <v>1958</v>
      </c>
    </row>
    <row r="14619" spans="1:5" x14ac:dyDescent="0.55000000000000004">
      <c r="A14619" t="s">
        <v>14700</v>
      </c>
      <c r="B14619" t="s">
        <v>140</v>
      </c>
      <c r="C14619" s="2">
        <v>43815</v>
      </c>
      <c r="D14619" t="s">
        <v>29</v>
      </c>
      <c r="E14619">
        <v>1521</v>
      </c>
    </row>
    <row r="14620" spans="1:5" x14ac:dyDescent="0.55000000000000004">
      <c r="A14620" t="s">
        <v>14701</v>
      </c>
      <c r="B14620" t="s">
        <v>14</v>
      </c>
      <c r="C14620" s="2">
        <v>44336</v>
      </c>
      <c r="D14620" t="s">
        <v>26</v>
      </c>
      <c r="E14620">
        <v>1143</v>
      </c>
    </row>
    <row r="14621" spans="1:5" x14ac:dyDescent="0.55000000000000004">
      <c r="A14621" t="s">
        <v>14702</v>
      </c>
      <c r="B14621" t="s">
        <v>151</v>
      </c>
      <c r="C14621" s="2">
        <v>43928</v>
      </c>
      <c r="D14621" t="s">
        <v>29</v>
      </c>
      <c r="E14621">
        <v>2628</v>
      </c>
    </row>
    <row r="14622" spans="1:5" x14ac:dyDescent="0.55000000000000004">
      <c r="A14622" t="s">
        <v>14703</v>
      </c>
      <c r="B14622" t="s">
        <v>76</v>
      </c>
      <c r="C14622" s="2">
        <v>44281</v>
      </c>
      <c r="D14622" t="s">
        <v>26</v>
      </c>
      <c r="E14622">
        <v>1361</v>
      </c>
    </row>
    <row r="14623" spans="1:5" x14ac:dyDescent="0.55000000000000004">
      <c r="A14623" t="s">
        <v>14704</v>
      </c>
      <c r="B14623" t="s">
        <v>175</v>
      </c>
      <c r="C14623" s="2">
        <v>45291</v>
      </c>
      <c r="D14623" t="s">
        <v>29</v>
      </c>
      <c r="E14623">
        <v>2640</v>
      </c>
    </row>
    <row r="14624" spans="1:5" x14ac:dyDescent="0.55000000000000004">
      <c r="A14624" t="s">
        <v>14705</v>
      </c>
      <c r="B14624" t="s">
        <v>38</v>
      </c>
      <c r="C14624" s="2">
        <v>44101</v>
      </c>
      <c r="D14624" t="s">
        <v>26</v>
      </c>
      <c r="E14624">
        <v>2542</v>
      </c>
    </row>
    <row r="14625" spans="1:5" x14ac:dyDescent="0.55000000000000004">
      <c r="A14625" t="s">
        <v>14706</v>
      </c>
      <c r="B14625" t="s">
        <v>111</v>
      </c>
      <c r="C14625" s="2">
        <v>43024</v>
      </c>
      <c r="D14625" t="s">
        <v>26</v>
      </c>
      <c r="E14625">
        <v>2289</v>
      </c>
    </row>
    <row r="14626" spans="1:5" x14ac:dyDescent="0.55000000000000004">
      <c r="A14626" t="s">
        <v>14707</v>
      </c>
      <c r="B14626" t="s">
        <v>101</v>
      </c>
      <c r="C14626" s="2">
        <v>42990</v>
      </c>
      <c r="D14626" t="s">
        <v>26</v>
      </c>
      <c r="E14626">
        <v>2388</v>
      </c>
    </row>
    <row r="14627" spans="1:5" x14ac:dyDescent="0.55000000000000004">
      <c r="A14627" t="s">
        <v>14708</v>
      </c>
      <c r="B14627" t="s">
        <v>142</v>
      </c>
      <c r="C14627" s="2">
        <v>43353</v>
      </c>
      <c r="D14627" t="s">
        <v>29</v>
      </c>
      <c r="E14627">
        <v>2030</v>
      </c>
    </row>
    <row r="14628" spans="1:5" x14ac:dyDescent="0.55000000000000004">
      <c r="A14628" t="s">
        <v>14709</v>
      </c>
      <c r="B14628" t="s">
        <v>156</v>
      </c>
      <c r="C14628" s="2">
        <v>44054</v>
      </c>
      <c r="D14628" t="s">
        <v>29</v>
      </c>
      <c r="E14628">
        <v>1810</v>
      </c>
    </row>
    <row r="14629" spans="1:5" x14ac:dyDescent="0.55000000000000004">
      <c r="A14629" t="s">
        <v>14710</v>
      </c>
      <c r="B14629" t="s">
        <v>76</v>
      </c>
      <c r="C14629" s="2">
        <v>44940</v>
      </c>
      <c r="D14629" t="s">
        <v>29</v>
      </c>
      <c r="E14629">
        <v>1933</v>
      </c>
    </row>
    <row r="14630" spans="1:5" x14ac:dyDescent="0.55000000000000004">
      <c r="A14630" t="s">
        <v>14711</v>
      </c>
      <c r="B14630" t="s">
        <v>86</v>
      </c>
      <c r="C14630" s="2">
        <v>43333</v>
      </c>
      <c r="D14630" t="s">
        <v>29</v>
      </c>
      <c r="E14630">
        <v>307</v>
      </c>
    </row>
    <row r="14631" spans="1:5" x14ac:dyDescent="0.55000000000000004">
      <c r="A14631" t="s">
        <v>14712</v>
      </c>
      <c r="B14631" t="s">
        <v>94</v>
      </c>
      <c r="C14631" s="2">
        <v>44758</v>
      </c>
      <c r="D14631" t="s">
        <v>26</v>
      </c>
      <c r="E14631">
        <v>1059</v>
      </c>
    </row>
    <row r="14632" spans="1:5" x14ac:dyDescent="0.55000000000000004">
      <c r="A14632" t="s">
        <v>14713</v>
      </c>
      <c r="B14632" t="s">
        <v>38</v>
      </c>
      <c r="C14632" s="2">
        <v>44842</v>
      </c>
      <c r="D14632" t="s">
        <v>29</v>
      </c>
      <c r="E14632">
        <v>827</v>
      </c>
    </row>
    <row r="14633" spans="1:5" x14ac:dyDescent="0.55000000000000004">
      <c r="A14633" t="s">
        <v>14714</v>
      </c>
      <c r="B14633" t="s">
        <v>32</v>
      </c>
      <c r="C14633" s="2">
        <v>44110</v>
      </c>
      <c r="D14633" t="s">
        <v>29</v>
      </c>
      <c r="E14633">
        <v>4</v>
      </c>
    </row>
    <row r="14634" spans="1:5" x14ac:dyDescent="0.55000000000000004">
      <c r="A14634" t="s">
        <v>14715</v>
      </c>
      <c r="B14634" t="s">
        <v>67</v>
      </c>
      <c r="C14634" s="2">
        <v>43894</v>
      </c>
      <c r="D14634" t="s">
        <v>26</v>
      </c>
      <c r="E14634">
        <v>232</v>
      </c>
    </row>
    <row r="14635" spans="1:5" x14ac:dyDescent="0.55000000000000004">
      <c r="A14635" t="s">
        <v>14716</v>
      </c>
      <c r="B14635" t="s">
        <v>15</v>
      </c>
      <c r="C14635" s="2">
        <v>44034</v>
      </c>
      <c r="D14635" t="s">
        <v>26</v>
      </c>
      <c r="E14635">
        <v>2929</v>
      </c>
    </row>
    <row r="14636" spans="1:5" x14ac:dyDescent="0.55000000000000004">
      <c r="A14636" t="s">
        <v>14717</v>
      </c>
      <c r="B14636" t="s">
        <v>14</v>
      </c>
      <c r="C14636" s="2">
        <v>43341</v>
      </c>
      <c r="D14636" t="s">
        <v>29</v>
      </c>
      <c r="E14636">
        <v>2210</v>
      </c>
    </row>
    <row r="14637" spans="1:5" x14ac:dyDescent="0.55000000000000004">
      <c r="A14637" t="s">
        <v>14718</v>
      </c>
      <c r="B14637" t="s">
        <v>74</v>
      </c>
      <c r="C14637" s="2">
        <v>42921</v>
      </c>
      <c r="D14637" t="s">
        <v>26</v>
      </c>
      <c r="E14637">
        <v>12</v>
      </c>
    </row>
    <row r="14638" spans="1:5" x14ac:dyDescent="0.55000000000000004">
      <c r="A14638" t="s">
        <v>14719</v>
      </c>
      <c r="B14638" t="s">
        <v>63</v>
      </c>
      <c r="C14638" s="2">
        <v>44215</v>
      </c>
      <c r="D14638" t="s">
        <v>26</v>
      </c>
      <c r="E14638">
        <v>22</v>
      </c>
    </row>
    <row r="14639" spans="1:5" x14ac:dyDescent="0.55000000000000004">
      <c r="A14639" t="s">
        <v>14720</v>
      </c>
      <c r="B14639" t="s">
        <v>67</v>
      </c>
      <c r="C14639" s="2">
        <v>44089</v>
      </c>
      <c r="D14639" t="s">
        <v>26</v>
      </c>
      <c r="E14639">
        <v>1053</v>
      </c>
    </row>
    <row r="14640" spans="1:5" x14ac:dyDescent="0.55000000000000004">
      <c r="A14640" t="s">
        <v>14721</v>
      </c>
      <c r="B14640" t="s">
        <v>115</v>
      </c>
      <c r="C14640" s="2">
        <v>44490</v>
      </c>
      <c r="D14640" t="s">
        <v>29</v>
      </c>
      <c r="E14640">
        <v>39</v>
      </c>
    </row>
    <row r="14641" spans="1:5" x14ac:dyDescent="0.55000000000000004">
      <c r="A14641" t="s">
        <v>14722</v>
      </c>
      <c r="B14641" t="s">
        <v>32</v>
      </c>
      <c r="C14641" s="2">
        <v>43881</v>
      </c>
      <c r="D14641" t="s">
        <v>29</v>
      </c>
      <c r="E14641">
        <v>1423</v>
      </c>
    </row>
    <row r="14642" spans="1:5" x14ac:dyDescent="0.55000000000000004">
      <c r="A14642" t="s">
        <v>14723</v>
      </c>
      <c r="B14642" t="s">
        <v>96</v>
      </c>
      <c r="C14642" s="2">
        <v>45596</v>
      </c>
      <c r="D14642" t="s">
        <v>29</v>
      </c>
      <c r="E14642">
        <v>466</v>
      </c>
    </row>
    <row r="14643" spans="1:5" x14ac:dyDescent="0.55000000000000004">
      <c r="A14643" t="s">
        <v>14724</v>
      </c>
      <c r="B14643" t="s">
        <v>94</v>
      </c>
      <c r="C14643" s="2">
        <v>45106</v>
      </c>
      <c r="D14643" t="s">
        <v>29</v>
      </c>
      <c r="E14643">
        <v>345</v>
      </c>
    </row>
    <row r="14644" spans="1:5" x14ac:dyDescent="0.55000000000000004">
      <c r="A14644" t="s">
        <v>14725</v>
      </c>
      <c r="B14644" t="s">
        <v>23</v>
      </c>
      <c r="C14644" s="2">
        <v>43868</v>
      </c>
      <c r="D14644" t="s">
        <v>29</v>
      </c>
      <c r="E14644">
        <v>1623</v>
      </c>
    </row>
    <row r="14645" spans="1:5" x14ac:dyDescent="0.55000000000000004">
      <c r="A14645" t="s">
        <v>14726</v>
      </c>
      <c r="B14645" t="s">
        <v>84</v>
      </c>
      <c r="C14645" s="2">
        <v>43556</v>
      </c>
      <c r="D14645" t="s">
        <v>29</v>
      </c>
      <c r="E14645">
        <v>2454</v>
      </c>
    </row>
    <row r="14646" spans="1:5" x14ac:dyDescent="0.55000000000000004">
      <c r="A14646" t="s">
        <v>14727</v>
      </c>
      <c r="B14646" t="s">
        <v>142</v>
      </c>
      <c r="C14646" s="2">
        <v>43491</v>
      </c>
      <c r="D14646" t="s">
        <v>26</v>
      </c>
      <c r="E14646">
        <v>2416</v>
      </c>
    </row>
    <row r="14647" spans="1:5" x14ac:dyDescent="0.55000000000000004">
      <c r="A14647" t="s">
        <v>14728</v>
      </c>
      <c r="B14647" t="s">
        <v>156</v>
      </c>
      <c r="C14647" s="2">
        <v>44442</v>
      </c>
      <c r="D14647" t="s">
        <v>29</v>
      </c>
      <c r="E14647">
        <v>2938</v>
      </c>
    </row>
    <row r="14648" spans="1:5" x14ac:dyDescent="0.55000000000000004">
      <c r="A14648" t="s">
        <v>14729</v>
      </c>
      <c r="B14648" t="s">
        <v>74</v>
      </c>
      <c r="C14648" s="2">
        <v>43806</v>
      </c>
      <c r="D14648" t="s">
        <v>26</v>
      </c>
      <c r="E14648">
        <v>512</v>
      </c>
    </row>
    <row r="14649" spans="1:5" x14ac:dyDescent="0.55000000000000004">
      <c r="A14649" t="s">
        <v>14730</v>
      </c>
      <c r="B14649" t="s">
        <v>41</v>
      </c>
      <c r="C14649" s="2">
        <v>44176</v>
      </c>
      <c r="D14649" t="s">
        <v>29</v>
      </c>
      <c r="E14649">
        <v>2825</v>
      </c>
    </row>
    <row r="14650" spans="1:5" x14ac:dyDescent="0.55000000000000004">
      <c r="A14650" t="s">
        <v>14731</v>
      </c>
      <c r="B14650" t="s">
        <v>175</v>
      </c>
      <c r="C14650" s="2">
        <v>45284</v>
      </c>
      <c r="D14650" t="s">
        <v>26</v>
      </c>
      <c r="E14650">
        <v>1767</v>
      </c>
    </row>
    <row r="14651" spans="1:5" x14ac:dyDescent="0.55000000000000004">
      <c r="A14651" t="s">
        <v>14732</v>
      </c>
      <c r="B14651" t="s">
        <v>115</v>
      </c>
      <c r="C14651" s="2">
        <v>42955</v>
      </c>
      <c r="D14651" t="s">
        <v>29</v>
      </c>
      <c r="E14651">
        <v>1100</v>
      </c>
    </row>
    <row r="14652" spans="1:5" x14ac:dyDescent="0.55000000000000004">
      <c r="A14652" t="s">
        <v>14733</v>
      </c>
      <c r="B14652" t="s">
        <v>118</v>
      </c>
      <c r="C14652" s="2">
        <v>43620</v>
      </c>
      <c r="D14652" t="s">
        <v>26</v>
      </c>
      <c r="E14652">
        <v>2966</v>
      </c>
    </row>
    <row r="14653" spans="1:5" x14ac:dyDescent="0.55000000000000004">
      <c r="A14653" t="s">
        <v>14734</v>
      </c>
      <c r="B14653" t="s">
        <v>101</v>
      </c>
      <c r="C14653" s="2">
        <v>42956</v>
      </c>
      <c r="D14653" t="s">
        <v>26</v>
      </c>
      <c r="E14653">
        <v>2143</v>
      </c>
    </row>
    <row r="14654" spans="1:5" x14ac:dyDescent="0.55000000000000004">
      <c r="A14654" t="s">
        <v>14735</v>
      </c>
      <c r="B14654" t="s">
        <v>35</v>
      </c>
      <c r="C14654" s="2">
        <v>44450</v>
      </c>
      <c r="D14654" t="s">
        <v>29</v>
      </c>
      <c r="E14654">
        <v>1456</v>
      </c>
    </row>
    <row r="14655" spans="1:5" x14ac:dyDescent="0.55000000000000004">
      <c r="A14655" t="s">
        <v>14736</v>
      </c>
      <c r="B14655" t="s">
        <v>78</v>
      </c>
      <c r="C14655" s="2">
        <v>44822</v>
      </c>
      <c r="D14655" t="s">
        <v>26</v>
      </c>
      <c r="E14655">
        <v>372</v>
      </c>
    </row>
    <row r="14656" spans="1:5" x14ac:dyDescent="0.55000000000000004">
      <c r="A14656" t="s">
        <v>14737</v>
      </c>
      <c r="B14656" t="s">
        <v>41</v>
      </c>
      <c r="C14656" s="2">
        <v>44917</v>
      </c>
      <c r="D14656" t="s">
        <v>29</v>
      </c>
      <c r="E14656">
        <v>1569</v>
      </c>
    </row>
    <row r="14657" spans="1:5" x14ac:dyDescent="0.55000000000000004">
      <c r="A14657" t="s">
        <v>14738</v>
      </c>
      <c r="B14657" t="s">
        <v>99</v>
      </c>
      <c r="C14657" s="2">
        <v>45543</v>
      </c>
      <c r="D14657" t="s">
        <v>29</v>
      </c>
      <c r="E14657">
        <v>1024</v>
      </c>
    </row>
    <row r="14658" spans="1:5" x14ac:dyDescent="0.55000000000000004">
      <c r="A14658" t="s">
        <v>14739</v>
      </c>
      <c r="B14658" t="s">
        <v>76</v>
      </c>
      <c r="C14658" s="2">
        <v>45825</v>
      </c>
      <c r="D14658" t="s">
        <v>26</v>
      </c>
      <c r="E14658">
        <v>786</v>
      </c>
    </row>
    <row r="14659" spans="1:5" x14ac:dyDescent="0.55000000000000004">
      <c r="A14659" t="s">
        <v>14740</v>
      </c>
      <c r="B14659" t="s">
        <v>38</v>
      </c>
      <c r="C14659" s="2">
        <v>44752</v>
      </c>
      <c r="D14659" t="s">
        <v>29</v>
      </c>
      <c r="E14659">
        <v>1442</v>
      </c>
    </row>
    <row r="14660" spans="1:5" x14ac:dyDescent="0.55000000000000004">
      <c r="A14660" t="s">
        <v>14741</v>
      </c>
      <c r="B14660" t="s">
        <v>151</v>
      </c>
      <c r="C14660" s="2">
        <v>44159</v>
      </c>
      <c r="D14660" t="s">
        <v>26</v>
      </c>
      <c r="E14660">
        <v>2180</v>
      </c>
    </row>
    <row r="14661" spans="1:5" x14ac:dyDescent="0.55000000000000004">
      <c r="A14661" t="s">
        <v>14742</v>
      </c>
      <c r="B14661" t="s">
        <v>142</v>
      </c>
      <c r="C14661" s="2">
        <v>43277</v>
      </c>
      <c r="D14661" t="s">
        <v>26</v>
      </c>
      <c r="E14661">
        <v>2216</v>
      </c>
    </row>
    <row r="14662" spans="1:5" x14ac:dyDescent="0.55000000000000004">
      <c r="A14662" t="s">
        <v>14743</v>
      </c>
      <c r="B14662" t="s">
        <v>156</v>
      </c>
      <c r="C14662" s="2">
        <v>44056</v>
      </c>
      <c r="D14662" t="s">
        <v>29</v>
      </c>
      <c r="E14662">
        <v>1681</v>
      </c>
    </row>
    <row r="14663" spans="1:5" x14ac:dyDescent="0.55000000000000004">
      <c r="A14663" t="s">
        <v>14744</v>
      </c>
      <c r="B14663" t="s">
        <v>74</v>
      </c>
      <c r="C14663" s="2">
        <v>44524</v>
      </c>
      <c r="D14663" t="s">
        <v>29</v>
      </c>
      <c r="E14663">
        <v>1243</v>
      </c>
    </row>
    <row r="14664" spans="1:5" x14ac:dyDescent="0.55000000000000004">
      <c r="A14664" t="s">
        <v>14745</v>
      </c>
      <c r="B14664" t="s">
        <v>84</v>
      </c>
      <c r="C14664" s="2">
        <v>43375</v>
      </c>
      <c r="D14664" t="s">
        <v>26</v>
      </c>
      <c r="E14664">
        <v>2742</v>
      </c>
    </row>
    <row r="14665" spans="1:5" x14ac:dyDescent="0.55000000000000004">
      <c r="A14665" t="s">
        <v>14746</v>
      </c>
      <c r="B14665" t="s">
        <v>38</v>
      </c>
      <c r="C14665" s="2">
        <v>44734</v>
      </c>
      <c r="D14665" t="s">
        <v>26</v>
      </c>
      <c r="E14665">
        <v>1547</v>
      </c>
    </row>
    <row r="14666" spans="1:5" x14ac:dyDescent="0.55000000000000004">
      <c r="A14666" t="s">
        <v>14747</v>
      </c>
      <c r="B14666" t="s">
        <v>118</v>
      </c>
      <c r="C14666" s="2">
        <v>43617</v>
      </c>
      <c r="D14666" t="s">
        <v>26</v>
      </c>
      <c r="E14666">
        <v>2097</v>
      </c>
    </row>
    <row r="14667" spans="1:5" x14ac:dyDescent="0.55000000000000004">
      <c r="A14667" t="s">
        <v>14748</v>
      </c>
      <c r="B14667" t="s">
        <v>111</v>
      </c>
      <c r="C14667" s="2">
        <v>43814</v>
      </c>
      <c r="D14667" t="s">
        <v>29</v>
      </c>
      <c r="E14667">
        <v>912</v>
      </c>
    </row>
    <row r="14668" spans="1:5" x14ac:dyDescent="0.55000000000000004">
      <c r="A14668" t="s">
        <v>14749</v>
      </c>
      <c r="B14668" t="s">
        <v>118</v>
      </c>
      <c r="C14668" s="2">
        <v>45382</v>
      </c>
      <c r="D14668" t="s">
        <v>29</v>
      </c>
      <c r="E14668">
        <v>1813</v>
      </c>
    </row>
    <row r="14669" spans="1:5" x14ac:dyDescent="0.55000000000000004">
      <c r="A14669" t="s">
        <v>14750</v>
      </c>
      <c r="B14669" t="s">
        <v>101</v>
      </c>
      <c r="C14669" s="2">
        <v>44460</v>
      </c>
      <c r="D14669" t="s">
        <v>26</v>
      </c>
      <c r="E14669">
        <v>428</v>
      </c>
    </row>
    <row r="14670" spans="1:5" x14ac:dyDescent="0.55000000000000004">
      <c r="A14670" t="s">
        <v>14751</v>
      </c>
      <c r="B14670" t="s">
        <v>67</v>
      </c>
      <c r="C14670" s="2">
        <v>44358</v>
      </c>
      <c r="D14670" t="s">
        <v>29</v>
      </c>
      <c r="E14670">
        <v>736</v>
      </c>
    </row>
    <row r="14671" spans="1:5" x14ac:dyDescent="0.55000000000000004">
      <c r="A14671" t="s">
        <v>14752</v>
      </c>
      <c r="B14671" t="s">
        <v>41</v>
      </c>
      <c r="C14671" s="2">
        <v>43863</v>
      </c>
      <c r="D14671" t="s">
        <v>26</v>
      </c>
      <c r="E14671">
        <v>649</v>
      </c>
    </row>
    <row r="14672" spans="1:5" x14ac:dyDescent="0.55000000000000004">
      <c r="A14672" t="s">
        <v>14753</v>
      </c>
      <c r="B14672" t="s">
        <v>156</v>
      </c>
      <c r="C14672" s="2">
        <v>44132</v>
      </c>
      <c r="D14672" t="s">
        <v>26</v>
      </c>
      <c r="E14672">
        <v>2630</v>
      </c>
    </row>
    <row r="14673" spans="1:5" x14ac:dyDescent="0.55000000000000004">
      <c r="A14673" t="s">
        <v>14754</v>
      </c>
      <c r="B14673" t="s">
        <v>96</v>
      </c>
      <c r="C14673" s="2">
        <v>45666</v>
      </c>
      <c r="D14673" t="s">
        <v>29</v>
      </c>
      <c r="E14673">
        <v>643</v>
      </c>
    </row>
    <row r="14674" spans="1:5" x14ac:dyDescent="0.55000000000000004">
      <c r="A14674" t="s">
        <v>14755</v>
      </c>
      <c r="B14674" t="s">
        <v>76</v>
      </c>
      <c r="C14674" s="2">
        <v>44296</v>
      </c>
      <c r="D14674" t="s">
        <v>29</v>
      </c>
      <c r="E14674">
        <v>1636</v>
      </c>
    </row>
    <row r="14675" spans="1:5" x14ac:dyDescent="0.55000000000000004">
      <c r="A14675" t="s">
        <v>14756</v>
      </c>
      <c r="B14675" t="s">
        <v>78</v>
      </c>
      <c r="C14675" s="2">
        <v>43787</v>
      </c>
      <c r="D14675" t="s">
        <v>29</v>
      </c>
      <c r="E14675">
        <v>284</v>
      </c>
    </row>
    <row r="14676" spans="1:5" x14ac:dyDescent="0.55000000000000004">
      <c r="A14676" t="s">
        <v>14757</v>
      </c>
      <c r="B14676" t="s">
        <v>137</v>
      </c>
      <c r="C14676" s="2">
        <v>44119</v>
      </c>
      <c r="D14676" t="s">
        <v>26</v>
      </c>
      <c r="E14676">
        <v>1746</v>
      </c>
    </row>
    <row r="14677" spans="1:5" x14ac:dyDescent="0.55000000000000004">
      <c r="A14677" t="s">
        <v>14758</v>
      </c>
      <c r="B14677" t="s">
        <v>96</v>
      </c>
      <c r="C14677" s="2">
        <v>45117</v>
      </c>
      <c r="D14677" t="s">
        <v>26</v>
      </c>
      <c r="E14677">
        <v>2142</v>
      </c>
    </row>
    <row r="14678" spans="1:5" x14ac:dyDescent="0.55000000000000004">
      <c r="A14678" t="s">
        <v>14759</v>
      </c>
      <c r="B14678" t="s">
        <v>32</v>
      </c>
      <c r="C14678" s="2">
        <v>44668</v>
      </c>
      <c r="D14678" t="s">
        <v>26</v>
      </c>
      <c r="E14678">
        <v>363</v>
      </c>
    </row>
    <row r="14679" spans="1:5" x14ac:dyDescent="0.55000000000000004">
      <c r="A14679" t="s">
        <v>14760</v>
      </c>
      <c r="B14679" t="s">
        <v>14</v>
      </c>
      <c r="C14679" s="2">
        <v>43691</v>
      </c>
      <c r="D14679" t="s">
        <v>29</v>
      </c>
      <c r="E14679">
        <v>1299</v>
      </c>
    </row>
    <row r="14680" spans="1:5" x14ac:dyDescent="0.55000000000000004">
      <c r="A14680" t="s">
        <v>14761</v>
      </c>
      <c r="B14680" t="s">
        <v>67</v>
      </c>
      <c r="C14680" s="2">
        <v>45291</v>
      </c>
      <c r="D14680" t="s">
        <v>26</v>
      </c>
      <c r="E14680">
        <v>2890</v>
      </c>
    </row>
    <row r="14681" spans="1:5" x14ac:dyDescent="0.55000000000000004">
      <c r="A14681" t="s">
        <v>14762</v>
      </c>
      <c r="B14681" t="s">
        <v>156</v>
      </c>
      <c r="C14681" s="2">
        <v>43182</v>
      </c>
      <c r="D14681" t="s">
        <v>29</v>
      </c>
      <c r="E14681">
        <v>1726</v>
      </c>
    </row>
    <row r="14682" spans="1:5" x14ac:dyDescent="0.55000000000000004">
      <c r="A14682" t="s">
        <v>14763</v>
      </c>
      <c r="B14682" t="s">
        <v>86</v>
      </c>
      <c r="C14682" s="2">
        <v>44048</v>
      </c>
      <c r="D14682" t="s">
        <v>26</v>
      </c>
      <c r="E14682">
        <v>2361</v>
      </c>
    </row>
    <row r="14683" spans="1:5" x14ac:dyDescent="0.55000000000000004">
      <c r="A14683" t="s">
        <v>14764</v>
      </c>
      <c r="B14683" t="s">
        <v>151</v>
      </c>
      <c r="C14683" s="2">
        <v>44057</v>
      </c>
      <c r="D14683" t="s">
        <v>29</v>
      </c>
      <c r="E14683">
        <v>1026</v>
      </c>
    </row>
    <row r="14684" spans="1:5" x14ac:dyDescent="0.55000000000000004">
      <c r="A14684" t="s">
        <v>14765</v>
      </c>
      <c r="B14684" t="s">
        <v>41</v>
      </c>
      <c r="C14684" s="2">
        <v>43916</v>
      </c>
      <c r="D14684" t="s">
        <v>29</v>
      </c>
      <c r="E14684">
        <v>2956</v>
      </c>
    </row>
    <row r="14685" spans="1:5" x14ac:dyDescent="0.55000000000000004">
      <c r="A14685" t="s">
        <v>14766</v>
      </c>
      <c r="B14685" t="s">
        <v>156</v>
      </c>
      <c r="C14685" s="2">
        <v>44199</v>
      </c>
      <c r="D14685" t="s">
        <v>29</v>
      </c>
      <c r="E14685">
        <v>72</v>
      </c>
    </row>
    <row r="14686" spans="1:5" x14ac:dyDescent="0.55000000000000004">
      <c r="A14686" t="s">
        <v>14767</v>
      </c>
      <c r="B14686" t="s">
        <v>41</v>
      </c>
      <c r="C14686" s="2">
        <v>44307</v>
      </c>
      <c r="D14686" t="s">
        <v>29</v>
      </c>
      <c r="E14686">
        <v>793</v>
      </c>
    </row>
    <row r="14687" spans="1:5" x14ac:dyDescent="0.55000000000000004">
      <c r="A14687" t="s">
        <v>14768</v>
      </c>
      <c r="B14687" t="s">
        <v>67</v>
      </c>
      <c r="C14687" s="2">
        <v>44279</v>
      </c>
      <c r="D14687" t="s">
        <v>29</v>
      </c>
      <c r="E14687">
        <v>1544</v>
      </c>
    </row>
    <row r="14688" spans="1:5" x14ac:dyDescent="0.55000000000000004">
      <c r="A14688" t="s">
        <v>14769</v>
      </c>
      <c r="B14688" t="s">
        <v>101</v>
      </c>
      <c r="C14688" s="2">
        <v>44151</v>
      </c>
      <c r="D14688" t="s">
        <v>26</v>
      </c>
      <c r="E14688">
        <v>2142</v>
      </c>
    </row>
    <row r="14689" spans="1:5" x14ac:dyDescent="0.55000000000000004">
      <c r="A14689" t="s">
        <v>14770</v>
      </c>
      <c r="B14689" t="s">
        <v>115</v>
      </c>
      <c r="C14689" s="2">
        <v>43444</v>
      </c>
      <c r="D14689" t="s">
        <v>29</v>
      </c>
      <c r="E14689">
        <v>2486</v>
      </c>
    </row>
    <row r="14690" spans="1:5" x14ac:dyDescent="0.55000000000000004">
      <c r="A14690" t="s">
        <v>14771</v>
      </c>
      <c r="B14690" t="s">
        <v>67</v>
      </c>
      <c r="C14690" s="2">
        <v>45068</v>
      </c>
      <c r="D14690" t="s">
        <v>26</v>
      </c>
      <c r="E14690">
        <v>562</v>
      </c>
    </row>
    <row r="14691" spans="1:5" x14ac:dyDescent="0.55000000000000004">
      <c r="A14691" t="s">
        <v>14772</v>
      </c>
      <c r="B14691" t="s">
        <v>32</v>
      </c>
      <c r="C14691" s="2">
        <v>44659</v>
      </c>
      <c r="D14691" t="s">
        <v>29</v>
      </c>
      <c r="E14691">
        <v>922</v>
      </c>
    </row>
    <row r="14692" spans="1:5" x14ac:dyDescent="0.55000000000000004">
      <c r="A14692" t="s">
        <v>14773</v>
      </c>
      <c r="B14692" t="s">
        <v>105</v>
      </c>
      <c r="C14692" s="2">
        <v>44324</v>
      </c>
      <c r="D14692" t="s">
        <v>26</v>
      </c>
      <c r="E14692">
        <v>314</v>
      </c>
    </row>
    <row r="14693" spans="1:5" x14ac:dyDescent="0.55000000000000004">
      <c r="A14693" t="s">
        <v>14774</v>
      </c>
      <c r="B14693" t="s">
        <v>86</v>
      </c>
      <c r="C14693" s="2">
        <v>44274</v>
      </c>
      <c r="D14693" t="s">
        <v>26</v>
      </c>
      <c r="E14693">
        <v>90</v>
      </c>
    </row>
    <row r="14694" spans="1:5" x14ac:dyDescent="0.55000000000000004">
      <c r="A14694" t="s">
        <v>14775</v>
      </c>
      <c r="B14694" t="s">
        <v>96</v>
      </c>
      <c r="C14694" s="2">
        <v>43534</v>
      </c>
      <c r="D14694" t="s">
        <v>29</v>
      </c>
      <c r="E14694">
        <v>2461</v>
      </c>
    </row>
    <row r="14695" spans="1:5" x14ac:dyDescent="0.55000000000000004">
      <c r="A14695" t="s">
        <v>14776</v>
      </c>
      <c r="B14695" t="s">
        <v>137</v>
      </c>
      <c r="C14695" s="2">
        <v>43893</v>
      </c>
      <c r="D14695" t="s">
        <v>26</v>
      </c>
      <c r="E14695">
        <v>1193</v>
      </c>
    </row>
    <row r="14696" spans="1:5" x14ac:dyDescent="0.55000000000000004">
      <c r="A14696" t="s">
        <v>14777</v>
      </c>
      <c r="B14696" t="s">
        <v>41</v>
      </c>
      <c r="C14696" s="2">
        <v>44910</v>
      </c>
      <c r="D14696" t="s">
        <v>29</v>
      </c>
      <c r="E14696">
        <v>2115</v>
      </c>
    </row>
    <row r="14697" spans="1:5" x14ac:dyDescent="0.55000000000000004">
      <c r="A14697" t="s">
        <v>14778</v>
      </c>
      <c r="B14697" t="s">
        <v>140</v>
      </c>
      <c r="C14697" s="2">
        <v>42963</v>
      </c>
      <c r="D14697" t="s">
        <v>26</v>
      </c>
      <c r="E14697">
        <v>1470</v>
      </c>
    </row>
    <row r="14698" spans="1:5" x14ac:dyDescent="0.55000000000000004">
      <c r="A14698" t="s">
        <v>14779</v>
      </c>
      <c r="B14698" t="s">
        <v>142</v>
      </c>
      <c r="C14698" s="2">
        <v>43972</v>
      </c>
      <c r="D14698" t="s">
        <v>26</v>
      </c>
      <c r="E14698">
        <v>977</v>
      </c>
    </row>
    <row r="14699" spans="1:5" x14ac:dyDescent="0.55000000000000004">
      <c r="A14699" t="s">
        <v>14780</v>
      </c>
      <c r="B14699" t="s">
        <v>84</v>
      </c>
      <c r="C14699" s="2">
        <v>43569</v>
      </c>
      <c r="D14699" t="s">
        <v>26</v>
      </c>
      <c r="E14699">
        <v>734</v>
      </c>
    </row>
    <row r="14700" spans="1:5" x14ac:dyDescent="0.55000000000000004">
      <c r="A14700" t="s">
        <v>14781</v>
      </c>
      <c r="B14700" t="s">
        <v>32</v>
      </c>
      <c r="C14700" s="2">
        <v>44911</v>
      </c>
      <c r="D14700" t="s">
        <v>26</v>
      </c>
      <c r="E14700">
        <v>2469</v>
      </c>
    </row>
    <row r="14701" spans="1:5" x14ac:dyDescent="0.55000000000000004">
      <c r="A14701" t="s">
        <v>14782</v>
      </c>
      <c r="B14701" t="s">
        <v>35</v>
      </c>
      <c r="C14701" s="2">
        <v>44346</v>
      </c>
      <c r="D14701" t="s">
        <v>29</v>
      </c>
      <c r="E14701">
        <v>1119</v>
      </c>
    </row>
    <row r="14702" spans="1:5" x14ac:dyDescent="0.55000000000000004">
      <c r="A14702" t="s">
        <v>14783</v>
      </c>
      <c r="B14702" t="s">
        <v>118</v>
      </c>
      <c r="C14702" s="2">
        <v>43822</v>
      </c>
      <c r="D14702" t="s">
        <v>26</v>
      </c>
      <c r="E14702">
        <v>816</v>
      </c>
    </row>
    <row r="14703" spans="1:5" x14ac:dyDescent="0.55000000000000004">
      <c r="A14703" t="s">
        <v>14784</v>
      </c>
      <c r="B14703" t="s">
        <v>118</v>
      </c>
      <c r="C14703" s="2">
        <v>45498</v>
      </c>
      <c r="D14703" t="s">
        <v>26</v>
      </c>
      <c r="E14703">
        <v>1246</v>
      </c>
    </row>
    <row r="14704" spans="1:5" x14ac:dyDescent="0.55000000000000004">
      <c r="A14704" t="s">
        <v>14785</v>
      </c>
      <c r="B14704" t="s">
        <v>35</v>
      </c>
      <c r="C14704" s="2">
        <v>44837</v>
      </c>
      <c r="D14704" t="s">
        <v>29</v>
      </c>
      <c r="E14704">
        <v>592</v>
      </c>
    </row>
    <row r="14705" spans="1:5" x14ac:dyDescent="0.55000000000000004">
      <c r="A14705" t="s">
        <v>14786</v>
      </c>
      <c r="B14705" t="s">
        <v>94</v>
      </c>
      <c r="C14705" s="2">
        <v>44899</v>
      </c>
      <c r="D14705" t="s">
        <v>26</v>
      </c>
      <c r="E14705">
        <v>1875</v>
      </c>
    </row>
    <row r="14706" spans="1:5" x14ac:dyDescent="0.55000000000000004">
      <c r="A14706" t="s">
        <v>14787</v>
      </c>
      <c r="B14706" t="s">
        <v>137</v>
      </c>
      <c r="C14706" s="2">
        <v>44729</v>
      </c>
      <c r="D14706" t="s">
        <v>26</v>
      </c>
      <c r="E14706">
        <v>2155</v>
      </c>
    </row>
    <row r="14707" spans="1:5" x14ac:dyDescent="0.55000000000000004">
      <c r="A14707" t="s">
        <v>14788</v>
      </c>
      <c r="B14707" t="s">
        <v>76</v>
      </c>
      <c r="C14707" s="2">
        <v>44010</v>
      </c>
      <c r="D14707" t="s">
        <v>26</v>
      </c>
      <c r="E14707">
        <v>819</v>
      </c>
    </row>
    <row r="14708" spans="1:5" x14ac:dyDescent="0.55000000000000004">
      <c r="A14708" t="s">
        <v>14789</v>
      </c>
      <c r="B14708" t="s">
        <v>32</v>
      </c>
      <c r="C14708" s="2">
        <v>44559</v>
      </c>
      <c r="D14708" t="s">
        <v>26</v>
      </c>
      <c r="E14708">
        <v>2663</v>
      </c>
    </row>
    <row r="14709" spans="1:5" x14ac:dyDescent="0.55000000000000004">
      <c r="A14709" t="s">
        <v>14790</v>
      </c>
      <c r="B14709" t="s">
        <v>41</v>
      </c>
      <c r="C14709" s="2">
        <v>43944</v>
      </c>
      <c r="D14709" t="s">
        <v>29</v>
      </c>
      <c r="E14709">
        <v>2082</v>
      </c>
    </row>
    <row r="14710" spans="1:5" x14ac:dyDescent="0.55000000000000004">
      <c r="A14710" t="s">
        <v>14791</v>
      </c>
      <c r="B14710" t="s">
        <v>140</v>
      </c>
      <c r="C14710" s="2">
        <v>43832</v>
      </c>
      <c r="D14710" t="s">
        <v>29</v>
      </c>
      <c r="E14710">
        <v>1363</v>
      </c>
    </row>
    <row r="14711" spans="1:5" x14ac:dyDescent="0.55000000000000004">
      <c r="A14711" t="s">
        <v>14792</v>
      </c>
      <c r="B14711" t="s">
        <v>111</v>
      </c>
      <c r="C14711" s="2">
        <v>42918</v>
      </c>
      <c r="D14711" t="s">
        <v>26</v>
      </c>
      <c r="E14711">
        <v>1314</v>
      </c>
    </row>
    <row r="14712" spans="1:5" x14ac:dyDescent="0.55000000000000004">
      <c r="A14712" t="s">
        <v>14793</v>
      </c>
      <c r="B14712" t="s">
        <v>151</v>
      </c>
      <c r="C14712" s="2">
        <v>44452</v>
      </c>
      <c r="D14712" t="s">
        <v>29</v>
      </c>
      <c r="E14712">
        <v>1983</v>
      </c>
    </row>
    <row r="14713" spans="1:5" x14ac:dyDescent="0.55000000000000004">
      <c r="A14713" t="s">
        <v>14794</v>
      </c>
      <c r="B14713" t="s">
        <v>137</v>
      </c>
      <c r="C14713" s="2">
        <v>45037</v>
      </c>
      <c r="D14713" t="s">
        <v>26</v>
      </c>
      <c r="E14713">
        <v>2671</v>
      </c>
    </row>
    <row r="14714" spans="1:5" x14ac:dyDescent="0.55000000000000004">
      <c r="A14714" t="s">
        <v>14795</v>
      </c>
      <c r="B14714" t="s">
        <v>63</v>
      </c>
      <c r="C14714" s="2">
        <v>43720</v>
      </c>
      <c r="D14714" t="s">
        <v>29</v>
      </c>
      <c r="E14714">
        <v>855</v>
      </c>
    </row>
    <row r="14715" spans="1:5" x14ac:dyDescent="0.55000000000000004">
      <c r="A14715" t="s">
        <v>14796</v>
      </c>
      <c r="B14715" t="s">
        <v>151</v>
      </c>
      <c r="C14715" s="2">
        <v>43713</v>
      </c>
      <c r="D14715" t="s">
        <v>26</v>
      </c>
      <c r="E14715">
        <v>1102</v>
      </c>
    </row>
    <row r="14716" spans="1:5" x14ac:dyDescent="0.55000000000000004">
      <c r="A14716" t="s">
        <v>14797</v>
      </c>
      <c r="B14716" t="s">
        <v>105</v>
      </c>
      <c r="C14716" s="2">
        <v>43435</v>
      </c>
      <c r="D14716" t="s">
        <v>29</v>
      </c>
      <c r="E14716">
        <v>1150</v>
      </c>
    </row>
    <row r="14717" spans="1:5" x14ac:dyDescent="0.55000000000000004">
      <c r="A14717" t="s">
        <v>14798</v>
      </c>
      <c r="B14717" t="s">
        <v>74</v>
      </c>
      <c r="C14717" s="2">
        <v>43646</v>
      </c>
      <c r="D14717" t="s">
        <v>26</v>
      </c>
      <c r="E14717">
        <v>1779</v>
      </c>
    </row>
    <row r="14718" spans="1:5" x14ac:dyDescent="0.55000000000000004">
      <c r="A14718" t="s">
        <v>14799</v>
      </c>
      <c r="B14718" t="s">
        <v>78</v>
      </c>
      <c r="C14718" s="2">
        <v>44383</v>
      </c>
      <c r="D14718" t="s">
        <v>26</v>
      </c>
      <c r="E14718">
        <v>2522</v>
      </c>
    </row>
    <row r="14719" spans="1:5" x14ac:dyDescent="0.55000000000000004">
      <c r="A14719" t="s">
        <v>14800</v>
      </c>
      <c r="B14719" t="s">
        <v>111</v>
      </c>
      <c r="C14719" s="2">
        <v>43811</v>
      </c>
      <c r="D14719" t="s">
        <v>29</v>
      </c>
      <c r="E14719">
        <v>2903</v>
      </c>
    </row>
    <row r="14720" spans="1:5" x14ac:dyDescent="0.55000000000000004">
      <c r="A14720" t="s">
        <v>14801</v>
      </c>
      <c r="B14720" t="s">
        <v>74</v>
      </c>
      <c r="C14720" s="2">
        <v>44230</v>
      </c>
      <c r="D14720" t="s">
        <v>29</v>
      </c>
      <c r="E14720">
        <v>2082</v>
      </c>
    </row>
    <row r="14721" spans="1:5" x14ac:dyDescent="0.55000000000000004">
      <c r="A14721" t="s">
        <v>14802</v>
      </c>
      <c r="B14721" t="s">
        <v>94</v>
      </c>
      <c r="C14721" s="2">
        <v>44106</v>
      </c>
      <c r="D14721" t="s">
        <v>29</v>
      </c>
      <c r="E14721">
        <v>2672</v>
      </c>
    </row>
    <row r="14722" spans="1:5" x14ac:dyDescent="0.55000000000000004">
      <c r="A14722" t="s">
        <v>14803</v>
      </c>
      <c r="B14722" t="s">
        <v>63</v>
      </c>
      <c r="C14722" s="2">
        <v>43770</v>
      </c>
      <c r="D14722" t="s">
        <v>29</v>
      </c>
      <c r="E14722">
        <v>2235</v>
      </c>
    </row>
    <row r="14723" spans="1:5" x14ac:dyDescent="0.55000000000000004">
      <c r="A14723" t="s">
        <v>14804</v>
      </c>
      <c r="B14723" t="s">
        <v>111</v>
      </c>
      <c r="C14723" s="2">
        <v>43070</v>
      </c>
      <c r="D14723" t="s">
        <v>29</v>
      </c>
      <c r="E14723">
        <v>2160</v>
      </c>
    </row>
    <row r="14724" spans="1:5" x14ac:dyDescent="0.55000000000000004">
      <c r="A14724" t="s">
        <v>14805</v>
      </c>
      <c r="B14724" t="s">
        <v>105</v>
      </c>
      <c r="C14724" s="2">
        <v>44341</v>
      </c>
      <c r="D14724" t="s">
        <v>29</v>
      </c>
      <c r="E14724">
        <v>2790</v>
      </c>
    </row>
    <row r="14725" spans="1:5" x14ac:dyDescent="0.55000000000000004">
      <c r="A14725" t="s">
        <v>14806</v>
      </c>
      <c r="B14725" t="s">
        <v>86</v>
      </c>
      <c r="C14725" s="2">
        <v>44441</v>
      </c>
      <c r="D14725" t="s">
        <v>29</v>
      </c>
      <c r="E14725">
        <v>1941</v>
      </c>
    </row>
    <row r="14726" spans="1:5" x14ac:dyDescent="0.55000000000000004">
      <c r="A14726" t="s">
        <v>14807</v>
      </c>
      <c r="B14726" t="s">
        <v>151</v>
      </c>
      <c r="C14726" s="2">
        <v>43040</v>
      </c>
      <c r="D14726" t="s">
        <v>29</v>
      </c>
      <c r="E14726">
        <v>279</v>
      </c>
    </row>
    <row r="14727" spans="1:5" x14ac:dyDescent="0.55000000000000004">
      <c r="A14727" t="s">
        <v>14808</v>
      </c>
      <c r="B14727" t="s">
        <v>84</v>
      </c>
      <c r="C14727" s="2">
        <v>43717</v>
      </c>
      <c r="D14727" t="s">
        <v>26</v>
      </c>
      <c r="E14727">
        <v>327</v>
      </c>
    </row>
    <row r="14728" spans="1:5" x14ac:dyDescent="0.55000000000000004">
      <c r="A14728" t="s">
        <v>14809</v>
      </c>
      <c r="B14728" t="s">
        <v>96</v>
      </c>
      <c r="C14728" s="2">
        <v>44510</v>
      </c>
      <c r="D14728" t="s">
        <v>26</v>
      </c>
      <c r="E14728">
        <v>2439</v>
      </c>
    </row>
    <row r="14729" spans="1:5" x14ac:dyDescent="0.55000000000000004">
      <c r="A14729" t="s">
        <v>14810</v>
      </c>
      <c r="B14729" t="s">
        <v>101</v>
      </c>
      <c r="C14729" s="2">
        <v>43544</v>
      </c>
      <c r="D14729" t="s">
        <v>26</v>
      </c>
      <c r="E14729">
        <v>2972</v>
      </c>
    </row>
    <row r="14730" spans="1:5" x14ac:dyDescent="0.55000000000000004">
      <c r="A14730" t="s">
        <v>14811</v>
      </c>
      <c r="B14730" t="s">
        <v>142</v>
      </c>
      <c r="C14730" s="2">
        <v>43042</v>
      </c>
      <c r="D14730" t="s">
        <v>26</v>
      </c>
      <c r="E14730">
        <v>1341</v>
      </c>
    </row>
    <row r="14731" spans="1:5" x14ac:dyDescent="0.55000000000000004">
      <c r="A14731" t="s">
        <v>14812</v>
      </c>
      <c r="B14731" t="s">
        <v>140</v>
      </c>
      <c r="C14731" s="2">
        <v>44302</v>
      </c>
      <c r="D14731" t="s">
        <v>26</v>
      </c>
      <c r="E14731">
        <v>2772</v>
      </c>
    </row>
    <row r="14732" spans="1:5" x14ac:dyDescent="0.55000000000000004">
      <c r="A14732" t="s">
        <v>14813</v>
      </c>
      <c r="B14732" t="s">
        <v>111</v>
      </c>
      <c r="C14732" s="2">
        <v>44146</v>
      </c>
      <c r="D14732" t="s">
        <v>29</v>
      </c>
      <c r="E14732">
        <v>517</v>
      </c>
    </row>
    <row r="14733" spans="1:5" x14ac:dyDescent="0.55000000000000004">
      <c r="A14733" t="s">
        <v>14814</v>
      </c>
      <c r="B14733" t="s">
        <v>15</v>
      </c>
      <c r="C14733" s="2">
        <v>43982</v>
      </c>
      <c r="D14733" t="s">
        <v>26</v>
      </c>
      <c r="E14733">
        <v>2563</v>
      </c>
    </row>
    <row r="14734" spans="1:5" x14ac:dyDescent="0.55000000000000004">
      <c r="A14734" t="s">
        <v>14815</v>
      </c>
      <c r="B14734" t="s">
        <v>137</v>
      </c>
      <c r="C14734" s="2">
        <v>45746</v>
      </c>
      <c r="D14734" t="s">
        <v>29</v>
      </c>
      <c r="E14734">
        <v>1956</v>
      </c>
    </row>
    <row r="14735" spans="1:5" x14ac:dyDescent="0.55000000000000004">
      <c r="A14735" t="s">
        <v>14816</v>
      </c>
      <c r="B14735" t="s">
        <v>96</v>
      </c>
      <c r="C14735" s="2">
        <v>45032</v>
      </c>
      <c r="D14735" t="s">
        <v>29</v>
      </c>
      <c r="E14735">
        <v>1067</v>
      </c>
    </row>
    <row r="14736" spans="1:5" x14ac:dyDescent="0.55000000000000004">
      <c r="A14736" t="s">
        <v>14817</v>
      </c>
      <c r="B14736" t="s">
        <v>14</v>
      </c>
      <c r="C14736" s="2">
        <v>43191</v>
      </c>
      <c r="D14736" t="s">
        <v>26</v>
      </c>
      <c r="E14736">
        <v>1219</v>
      </c>
    </row>
    <row r="14737" spans="1:5" x14ac:dyDescent="0.55000000000000004">
      <c r="A14737" t="s">
        <v>14818</v>
      </c>
      <c r="B14737" t="s">
        <v>96</v>
      </c>
      <c r="C14737" s="2">
        <v>43963</v>
      </c>
      <c r="D14737" t="s">
        <v>29</v>
      </c>
      <c r="E14737">
        <v>1411</v>
      </c>
    </row>
    <row r="14738" spans="1:5" x14ac:dyDescent="0.55000000000000004">
      <c r="A14738" t="s">
        <v>14819</v>
      </c>
      <c r="B14738" t="s">
        <v>115</v>
      </c>
      <c r="C14738" s="2">
        <v>43312</v>
      </c>
      <c r="D14738" t="s">
        <v>29</v>
      </c>
      <c r="E14738">
        <v>1116</v>
      </c>
    </row>
    <row r="14739" spans="1:5" x14ac:dyDescent="0.55000000000000004">
      <c r="A14739" t="s">
        <v>14820</v>
      </c>
      <c r="B14739" t="s">
        <v>38</v>
      </c>
      <c r="C14739" s="2">
        <v>43844</v>
      </c>
      <c r="D14739" t="s">
        <v>26</v>
      </c>
      <c r="E14739">
        <v>2177</v>
      </c>
    </row>
    <row r="14740" spans="1:5" x14ac:dyDescent="0.55000000000000004">
      <c r="A14740" t="s">
        <v>14821</v>
      </c>
      <c r="B14740" t="s">
        <v>35</v>
      </c>
      <c r="C14740" s="2">
        <v>44165</v>
      </c>
      <c r="D14740" t="s">
        <v>29</v>
      </c>
      <c r="E14740">
        <v>1458</v>
      </c>
    </row>
    <row r="14741" spans="1:5" x14ac:dyDescent="0.55000000000000004">
      <c r="A14741" t="s">
        <v>14822</v>
      </c>
      <c r="B14741" t="s">
        <v>137</v>
      </c>
      <c r="C14741" s="2">
        <v>45233</v>
      </c>
      <c r="D14741" t="s">
        <v>29</v>
      </c>
      <c r="E14741">
        <v>740</v>
      </c>
    </row>
    <row r="14742" spans="1:5" x14ac:dyDescent="0.55000000000000004">
      <c r="A14742" t="s">
        <v>14823</v>
      </c>
      <c r="B14742" t="s">
        <v>23</v>
      </c>
      <c r="C14742" s="2">
        <v>44287</v>
      </c>
      <c r="D14742" t="s">
        <v>29</v>
      </c>
      <c r="E14742">
        <v>1960</v>
      </c>
    </row>
    <row r="14743" spans="1:5" x14ac:dyDescent="0.55000000000000004">
      <c r="A14743" t="s">
        <v>14824</v>
      </c>
      <c r="B14743" t="s">
        <v>86</v>
      </c>
      <c r="C14743" s="2">
        <v>43712</v>
      </c>
      <c r="D14743" t="s">
        <v>26</v>
      </c>
      <c r="E14743">
        <v>1860</v>
      </c>
    </row>
    <row r="14744" spans="1:5" x14ac:dyDescent="0.55000000000000004">
      <c r="A14744" t="s">
        <v>14825</v>
      </c>
      <c r="B14744" t="s">
        <v>86</v>
      </c>
      <c r="C14744" s="2">
        <v>44476</v>
      </c>
      <c r="D14744" t="s">
        <v>29</v>
      </c>
      <c r="E14744">
        <v>1396</v>
      </c>
    </row>
    <row r="14745" spans="1:5" x14ac:dyDescent="0.55000000000000004">
      <c r="A14745" t="s">
        <v>14826</v>
      </c>
      <c r="B14745" t="s">
        <v>38</v>
      </c>
      <c r="C14745" s="2">
        <v>44360</v>
      </c>
      <c r="D14745" t="s">
        <v>26</v>
      </c>
      <c r="E14745">
        <v>959</v>
      </c>
    </row>
    <row r="14746" spans="1:5" x14ac:dyDescent="0.55000000000000004">
      <c r="A14746" t="s">
        <v>14827</v>
      </c>
      <c r="B14746" t="s">
        <v>118</v>
      </c>
      <c r="C14746" s="2">
        <v>44715</v>
      </c>
      <c r="D14746" t="s">
        <v>26</v>
      </c>
      <c r="E14746">
        <v>2478</v>
      </c>
    </row>
    <row r="14747" spans="1:5" x14ac:dyDescent="0.55000000000000004">
      <c r="A14747" t="s">
        <v>14828</v>
      </c>
      <c r="B14747" t="s">
        <v>15</v>
      </c>
      <c r="C14747" s="2">
        <v>43656</v>
      </c>
      <c r="D14747" t="s">
        <v>29</v>
      </c>
      <c r="E14747">
        <v>1348</v>
      </c>
    </row>
    <row r="14748" spans="1:5" x14ac:dyDescent="0.55000000000000004">
      <c r="A14748" t="s">
        <v>14829</v>
      </c>
      <c r="B14748" t="s">
        <v>63</v>
      </c>
      <c r="C14748" s="2">
        <v>43734</v>
      </c>
      <c r="D14748" t="s">
        <v>29</v>
      </c>
      <c r="E14748">
        <v>2573</v>
      </c>
    </row>
    <row r="14749" spans="1:5" x14ac:dyDescent="0.55000000000000004">
      <c r="A14749" t="s">
        <v>14830</v>
      </c>
      <c r="B14749" t="s">
        <v>105</v>
      </c>
      <c r="C14749" s="2">
        <v>43288</v>
      </c>
      <c r="D14749" t="s">
        <v>26</v>
      </c>
      <c r="E14749">
        <v>2369</v>
      </c>
    </row>
    <row r="14750" spans="1:5" x14ac:dyDescent="0.55000000000000004">
      <c r="A14750" t="s">
        <v>14831</v>
      </c>
      <c r="B14750" t="s">
        <v>84</v>
      </c>
      <c r="C14750" s="2">
        <v>43814</v>
      </c>
      <c r="D14750" t="s">
        <v>26</v>
      </c>
      <c r="E14750">
        <v>1358</v>
      </c>
    </row>
    <row r="14751" spans="1:5" x14ac:dyDescent="0.55000000000000004">
      <c r="A14751" t="s">
        <v>14832</v>
      </c>
      <c r="B14751" t="s">
        <v>84</v>
      </c>
      <c r="C14751" s="2">
        <v>43449</v>
      </c>
      <c r="D14751" t="s">
        <v>29</v>
      </c>
      <c r="E14751">
        <v>1629</v>
      </c>
    </row>
    <row r="14752" spans="1:5" x14ac:dyDescent="0.55000000000000004">
      <c r="A14752" t="s">
        <v>14833</v>
      </c>
      <c r="B14752" t="s">
        <v>86</v>
      </c>
      <c r="C14752" s="2">
        <v>43949</v>
      </c>
      <c r="D14752" t="s">
        <v>26</v>
      </c>
      <c r="E14752">
        <v>2499</v>
      </c>
    </row>
    <row r="14753" spans="1:5" x14ac:dyDescent="0.55000000000000004">
      <c r="A14753" t="s">
        <v>14834</v>
      </c>
      <c r="B14753" t="s">
        <v>38</v>
      </c>
      <c r="C14753" s="2">
        <v>43853</v>
      </c>
      <c r="D14753" t="s">
        <v>26</v>
      </c>
      <c r="E14753">
        <v>2302</v>
      </c>
    </row>
    <row r="14754" spans="1:5" x14ac:dyDescent="0.55000000000000004">
      <c r="A14754" t="s">
        <v>14835</v>
      </c>
      <c r="B14754" t="s">
        <v>78</v>
      </c>
      <c r="C14754" s="2">
        <v>45384</v>
      </c>
      <c r="D14754" t="s">
        <v>29</v>
      </c>
      <c r="E14754">
        <v>2831</v>
      </c>
    </row>
    <row r="14755" spans="1:5" x14ac:dyDescent="0.55000000000000004">
      <c r="A14755" t="s">
        <v>14836</v>
      </c>
      <c r="B14755" t="s">
        <v>76</v>
      </c>
      <c r="C14755" s="2">
        <v>44139</v>
      </c>
      <c r="D14755" t="s">
        <v>29</v>
      </c>
      <c r="E14755">
        <v>255</v>
      </c>
    </row>
    <row r="14756" spans="1:5" x14ac:dyDescent="0.55000000000000004">
      <c r="A14756" t="s">
        <v>14837</v>
      </c>
      <c r="B14756" t="s">
        <v>84</v>
      </c>
      <c r="C14756" s="2">
        <v>43408</v>
      </c>
      <c r="D14756" t="s">
        <v>29</v>
      </c>
      <c r="E14756">
        <v>2960</v>
      </c>
    </row>
    <row r="14757" spans="1:5" x14ac:dyDescent="0.55000000000000004">
      <c r="A14757" t="s">
        <v>14838</v>
      </c>
      <c r="B14757" t="s">
        <v>72</v>
      </c>
      <c r="C14757" s="2">
        <v>43980</v>
      </c>
      <c r="D14757" t="s">
        <v>29</v>
      </c>
      <c r="E14757">
        <v>257</v>
      </c>
    </row>
    <row r="14758" spans="1:5" x14ac:dyDescent="0.55000000000000004">
      <c r="A14758" t="s">
        <v>14839</v>
      </c>
      <c r="B14758" t="s">
        <v>76</v>
      </c>
      <c r="C14758" s="2">
        <v>44912</v>
      </c>
      <c r="D14758" t="s">
        <v>26</v>
      </c>
      <c r="E14758">
        <v>1111</v>
      </c>
    </row>
    <row r="14759" spans="1:5" x14ac:dyDescent="0.55000000000000004">
      <c r="A14759" t="s">
        <v>14840</v>
      </c>
      <c r="B14759" t="s">
        <v>35</v>
      </c>
      <c r="C14759" s="2">
        <v>44376</v>
      </c>
      <c r="D14759" t="s">
        <v>26</v>
      </c>
      <c r="E14759">
        <v>100</v>
      </c>
    </row>
    <row r="14760" spans="1:5" x14ac:dyDescent="0.55000000000000004">
      <c r="A14760" t="s">
        <v>14841</v>
      </c>
      <c r="B14760" t="s">
        <v>72</v>
      </c>
      <c r="C14760" s="2">
        <v>44110</v>
      </c>
      <c r="D14760" t="s">
        <v>29</v>
      </c>
      <c r="E14760">
        <v>2936</v>
      </c>
    </row>
    <row r="14761" spans="1:5" x14ac:dyDescent="0.55000000000000004">
      <c r="A14761" t="s">
        <v>14842</v>
      </c>
      <c r="B14761" t="s">
        <v>63</v>
      </c>
      <c r="C14761" s="2">
        <v>44041</v>
      </c>
      <c r="D14761" t="s">
        <v>29</v>
      </c>
      <c r="E14761">
        <v>1272</v>
      </c>
    </row>
    <row r="14762" spans="1:5" x14ac:dyDescent="0.55000000000000004">
      <c r="A14762" t="s">
        <v>14843</v>
      </c>
      <c r="B14762" t="s">
        <v>84</v>
      </c>
      <c r="C14762" s="2">
        <v>43278</v>
      </c>
      <c r="D14762" t="s">
        <v>29</v>
      </c>
      <c r="E14762">
        <v>248</v>
      </c>
    </row>
    <row r="14763" spans="1:5" x14ac:dyDescent="0.55000000000000004">
      <c r="A14763" t="s">
        <v>14844</v>
      </c>
      <c r="B14763" t="s">
        <v>72</v>
      </c>
      <c r="C14763" s="2">
        <v>44177</v>
      </c>
      <c r="D14763" t="s">
        <v>29</v>
      </c>
      <c r="E14763">
        <v>2193</v>
      </c>
    </row>
    <row r="14764" spans="1:5" x14ac:dyDescent="0.55000000000000004">
      <c r="A14764" t="s">
        <v>14845</v>
      </c>
      <c r="B14764" t="s">
        <v>118</v>
      </c>
      <c r="C14764" s="2">
        <v>43496</v>
      </c>
      <c r="D14764" t="s">
        <v>29</v>
      </c>
      <c r="E14764">
        <v>2862</v>
      </c>
    </row>
    <row r="14765" spans="1:5" x14ac:dyDescent="0.55000000000000004">
      <c r="A14765" t="s">
        <v>14846</v>
      </c>
      <c r="B14765" t="s">
        <v>140</v>
      </c>
      <c r="C14765" s="2">
        <v>43972</v>
      </c>
      <c r="D14765" t="s">
        <v>29</v>
      </c>
      <c r="E14765">
        <v>2877</v>
      </c>
    </row>
    <row r="14766" spans="1:5" x14ac:dyDescent="0.55000000000000004">
      <c r="A14766" t="s">
        <v>14847</v>
      </c>
      <c r="B14766" t="s">
        <v>78</v>
      </c>
      <c r="C14766" s="2">
        <v>45751</v>
      </c>
      <c r="D14766" t="s">
        <v>26</v>
      </c>
      <c r="E14766">
        <v>2208</v>
      </c>
    </row>
    <row r="14767" spans="1:5" x14ac:dyDescent="0.55000000000000004">
      <c r="A14767" t="s">
        <v>14848</v>
      </c>
      <c r="B14767" t="s">
        <v>41</v>
      </c>
      <c r="C14767" s="2">
        <v>44755</v>
      </c>
      <c r="D14767" t="s">
        <v>29</v>
      </c>
      <c r="E14767">
        <v>816</v>
      </c>
    </row>
    <row r="14768" spans="1:5" x14ac:dyDescent="0.55000000000000004">
      <c r="A14768" t="s">
        <v>14849</v>
      </c>
      <c r="B14768" t="s">
        <v>94</v>
      </c>
      <c r="C14768" s="2">
        <v>44510</v>
      </c>
      <c r="D14768" t="s">
        <v>26</v>
      </c>
      <c r="E14768">
        <v>1997</v>
      </c>
    </row>
    <row r="14769" spans="1:5" x14ac:dyDescent="0.55000000000000004">
      <c r="A14769" t="s">
        <v>14850</v>
      </c>
      <c r="B14769" t="s">
        <v>105</v>
      </c>
      <c r="C14769" s="2">
        <v>43546</v>
      </c>
      <c r="D14769" t="s">
        <v>29</v>
      </c>
      <c r="E14769">
        <v>1906</v>
      </c>
    </row>
    <row r="14770" spans="1:5" x14ac:dyDescent="0.55000000000000004">
      <c r="A14770" t="s">
        <v>14851</v>
      </c>
      <c r="B14770" t="s">
        <v>115</v>
      </c>
      <c r="C14770" s="2">
        <v>43145</v>
      </c>
      <c r="D14770" t="s">
        <v>29</v>
      </c>
      <c r="E14770">
        <v>1824</v>
      </c>
    </row>
    <row r="14771" spans="1:5" x14ac:dyDescent="0.55000000000000004">
      <c r="A14771" t="s">
        <v>14852</v>
      </c>
      <c r="B14771" t="s">
        <v>99</v>
      </c>
      <c r="C14771" s="2">
        <v>45334</v>
      </c>
      <c r="D14771" t="s">
        <v>26</v>
      </c>
      <c r="E14771">
        <v>1967</v>
      </c>
    </row>
    <row r="14772" spans="1:5" x14ac:dyDescent="0.55000000000000004">
      <c r="A14772" t="s">
        <v>14853</v>
      </c>
      <c r="B14772" t="s">
        <v>137</v>
      </c>
      <c r="C14772" s="2">
        <v>45665</v>
      </c>
      <c r="D14772" t="s">
        <v>26</v>
      </c>
      <c r="E14772">
        <v>1398</v>
      </c>
    </row>
    <row r="14773" spans="1:5" x14ac:dyDescent="0.55000000000000004">
      <c r="A14773" t="s">
        <v>14854</v>
      </c>
      <c r="B14773" t="s">
        <v>94</v>
      </c>
      <c r="C14773" s="2">
        <v>45131</v>
      </c>
      <c r="D14773" t="s">
        <v>26</v>
      </c>
      <c r="E14773">
        <v>1653</v>
      </c>
    </row>
    <row r="14774" spans="1:5" x14ac:dyDescent="0.55000000000000004">
      <c r="A14774" t="s">
        <v>14855</v>
      </c>
      <c r="B14774" t="s">
        <v>105</v>
      </c>
      <c r="C14774" s="2">
        <v>43050</v>
      </c>
      <c r="D14774" t="s">
        <v>29</v>
      </c>
      <c r="E14774">
        <v>866</v>
      </c>
    </row>
    <row r="14775" spans="1:5" x14ac:dyDescent="0.55000000000000004">
      <c r="A14775" t="s">
        <v>14856</v>
      </c>
      <c r="B14775" t="s">
        <v>101</v>
      </c>
      <c r="C14775" s="2">
        <v>43887</v>
      </c>
      <c r="D14775" t="s">
        <v>26</v>
      </c>
      <c r="E14775">
        <v>960</v>
      </c>
    </row>
    <row r="14776" spans="1:5" x14ac:dyDescent="0.55000000000000004">
      <c r="A14776" t="s">
        <v>14857</v>
      </c>
      <c r="B14776" t="s">
        <v>78</v>
      </c>
      <c r="C14776" s="2">
        <v>45626</v>
      </c>
      <c r="D14776" t="s">
        <v>29</v>
      </c>
      <c r="E14776">
        <v>808</v>
      </c>
    </row>
    <row r="14777" spans="1:5" x14ac:dyDescent="0.55000000000000004">
      <c r="A14777" t="s">
        <v>14858</v>
      </c>
      <c r="B14777" t="s">
        <v>74</v>
      </c>
      <c r="C14777" s="2">
        <v>43514</v>
      </c>
      <c r="D14777" t="s">
        <v>26</v>
      </c>
      <c r="E14777">
        <v>2861</v>
      </c>
    </row>
    <row r="14778" spans="1:5" x14ac:dyDescent="0.55000000000000004">
      <c r="A14778" t="s">
        <v>14859</v>
      </c>
      <c r="B14778" t="s">
        <v>35</v>
      </c>
      <c r="C14778" s="2">
        <v>44272</v>
      </c>
      <c r="D14778" t="s">
        <v>26</v>
      </c>
      <c r="E14778">
        <v>2331</v>
      </c>
    </row>
    <row r="14779" spans="1:5" x14ac:dyDescent="0.55000000000000004">
      <c r="A14779" t="s">
        <v>14860</v>
      </c>
      <c r="B14779" t="s">
        <v>41</v>
      </c>
      <c r="C14779" s="2">
        <v>44071</v>
      </c>
      <c r="D14779" t="s">
        <v>29</v>
      </c>
      <c r="E14779">
        <v>1741</v>
      </c>
    </row>
    <row r="14780" spans="1:5" x14ac:dyDescent="0.55000000000000004">
      <c r="A14780" t="s">
        <v>14861</v>
      </c>
      <c r="B14780" t="s">
        <v>140</v>
      </c>
      <c r="C14780" s="2">
        <v>44503</v>
      </c>
      <c r="D14780" t="s">
        <v>26</v>
      </c>
      <c r="E14780">
        <v>1737</v>
      </c>
    </row>
    <row r="14781" spans="1:5" x14ac:dyDescent="0.55000000000000004">
      <c r="A14781" t="s">
        <v>14862</v>
      </c>
      <c r="B14781" t="s">
        <v>105</v>
      </c>
      <c r="C14781" s="2">
        <v>43553</v>
      </c>
      <c r="D14781" t="s">
        <v>29</v>
      </c>
      <c r="E14781">
        <v>2528</v>
      </c>
    </row>
    <row r="14782" spans="1:5" x14ac:dyDescent="0.55000000000000004">
      <c r="A14782" t="s">
        <v>14863</v>
      </c>
      <c r="B14782" t="s">
        <v>78</v>
      </c>
      <c r="C14782" s="2">
        <v>45700</v>
      </c>
      <c r="D14782" t="s">
        <v>29</v>
      </c>
      <c r="E14782">
        <v>1964</v>
      </c>
    </row>
    <row r="14783" spans="1:5" x14ac:dyDescent="0.55000000000000004">
      <c r="A14783" t="s">
        <v>14864</v>
      </c>
      <c r="B14783" t="s">
        <v>94</v>
      </c>
      <c r="C14783" s="2">
        <v>45076</v>
      </c>
      <c r="D14783" t="s">
        <v>26</v>
      </c>
      <c r="E14783">
        <v>311</v>
      </c>
    </row>
    <row r="14784" spans="1:5" x14ac:dyDescent="0.55000000000000004">
      <c r="A14784" t="s">
        <v>14865</v>
      </c>
      <c r="B14784" t="s">
        <v>67</v>
      </c>
      <c r="C14784" s="2">
        <v>44033</v>
      </c>
      <c r="D14784" t="s">
        <v>26</v>
      </c>
      <c r="E14784">
        <v>1278</v>
      </c>
    </row>
    <row r="14785" spans="1:5" x14ac:dyDescent="0.55000000000000004">
      <c r="A14785" t="s">
        <v>14866</v>
      </c>
      <c r="B14785" t="s">
        <v>15</v>
      </c>
      <c r="C14785" s="2">
        <v>44083</v>
      </c>
      <c r="D14785" t="s">
        <v>26</v>
      </c>
      <c r="E14785">
        <v>515</v>
      </c>
    </row>
    <row r="14786" spans="1:5" x14ac:dyDescent="0.55000000000000004">
      <c r="A14786" t="s">
        <v>14867</v>
      </c>
      <c r="B14786" t="s">
        <v>84</v>
      </c>
      <c r="C14786" s="2">
        <v>43928</v>
      </c>
      <c r="D14786" t="s">
        <v>29</v>
      </c>
      <c r="E14786">
        <v>2671</v>
      </c>
    </row>
    <row r="14787" spans="1:5" x14ac:dyDescent="0.55000000000000004">
      <c r="A14787" t="s">
        <v>14868</v>
      </c>
      <c r="B14787" t="s">
        <v>94</v>
      </c>
      <c r="C14787" s="2">
        <v>45727</v>
      </c>
      <c r="D14787" t="s">
        <v>29</v>
      </c>
      <c r="E14787">
        <v>1802</v>
      </c>
    </row>
    <row r="14788" spans="1:5" x14ac:dyDescent="0.55000000000000004">
      <c r="A14788" t="s">
        <v>14869</v>
      </c>
      <c r="B14788" t="s">
        <v>142</v>
      </c>
      <c r="C14788" s="2">
        <v>44323</v>
      </c>
      <c r="D14788" t="s">
        <v>29</v>
      </c>
      <c r="E14788">
        <v>419</v>
      </c>
    </row>
    <row r="14789" spans="1:5" x14ac:dyDescent="0.55000000000000004">
      <c r="A14789" t="s">
        <v>14870</v>
      </c>
      <c r="B14789" t="s">
        <v>101</v>
      </c>
      <c r="C14789" s="2">
        <v>43824</v>
      </c>
      <c r="D14789" t="s">
        <v>26</v>
      </c>
      <c r="E14789">
        <v>2612</v>
      </c>
    </row>
    <row r="14790" spans="1:5" x14ac:dyDescent="0.55000000000000004">
      <c r="A14790" t="s">
        <v>14871</v>
      </c>
      <c r="B14790" t="s">
        <v>84</v>
      </c>
      <c r="C14790" s="2">
        <v>43979</v>
      </c>
      <c r="D14790" t="s">
        <v>29</v>
      </c>
      <c r="E14790">
        <v>1885</v>
      </c>
    </row>
    <row r="14791" spans="1:5" x14ac:dyDescent="0.55000000000000004">
      <c r="A14791" t="s">
        <v>14872</v>
      </c>
      <c r="B14791" t="s">
        <v>32</v>
      </c>
      <c r="C14791" s="2">
        <v>44119</v>
      </c>
      <c r="D14791" t="s">
        <v>29</v>
      </c>
      <c r="E14791">
        <v>1868</v>
      </c>
    </row>
    <row r="14792" spans="1:5" x14ac:dyDescent="0.55000000000000004">
      <c r="A14792" t="s">
        <v>14873</v>
      </c>
      <c r="B14792" t="s">
        <v>99</v>
      </c>
      <c r="C14792" s="2">
        <v>44983</v>
      </c>
      <c r="D14792" t="s">
        <v>26</v>
      </c>
      <c r="E14792">
        <v>787</v>
      </c>
    </row>
    <row r="14793" spans="1:5" x14ac:dyDescent="0.55000000000000004">
      <c r="A14793" t="s">
        <v>14874</v>
      </c>
      <c r="B14793" t="s">
        <v>111</v>
      </c>
      <c r="C14793" s="2">
        <v>43226</v>
      </c>
      <c r="D14793" t="s">
        <v>26</v>
      </c>
      <c r="E14793">
        <v>106</v>
      </c>
    </row>
    <row r="14794" spans="1:5" x14ac:dyDescent="0.55000000000000004">
      <c r="A14794" t="s">
        <v>14875</v>
      </c>
      <c r="B14794" t="s">
        <v>137</v>
      </c>
      <c r="C14794" s="2">
        <v>44240</v>
      </c>
      <c r="D14794" t="s">
        <v>29</v>
      </c>
      <c r="E14794">
        <v>287</v>
      </c>
    </row>
    <row r="14795" spans="1:5" x14ac:dyDescent="0.55000000000000004">
      <c r="A14795" t="s">
        <v>14876</v>
      </c>
      <c r="B14795" t="s">
        <v>63</v>
      </c>
      <c r="C14795" s="2">
        <v>44508</v>
      </c>
      <c r="D14795" t="s">
        <v>29</v>
      </c>
      <c r="E14795">
        <v>979</v>
      </c>
    </row>
    <row r="14796" spans="1:5" x14ac:dyDescent="0.55000000000000004">
      <c r="A14796" t="s">
        <v>14877</v>
      </c>
      <c r="B14796" t="s">
        <v>84</v>
      </c>
      <c r="C14796" s="2">
        <v>43615</v>
      </c>
      <c r="D14796" t="s">
        <v>29</v>
      </c>
      <c r="E14796">
        <v>526</v>
      </c>
    </row>
    <row r="14797" spans="1:5" x14ac:dyDescent="0.55000000000000004">
      <c r="A14797" t="s">
        <v>14878</v>
      </c>
      <c r="B14797" t="s">
        <v>156</v>
      </c>
      <c r="C14797" s="2">
        <v>43896</v>
      </c>
      <c r="D14797" t="s">
        <v>26</v>
      </c>
      <c r="E14797">
        <v>268</v>
      </c>
    </row>
    <row r="14798" spans="1:5" x14ac:dyDescent="0.55000000000000004">
      <c r="A14798" t="s">
        <v>14879</v>
      </c>
      <c r="B14798" t="s">
        <v>86</v>
      </c>
      <c r="C14798" s="2">
        <v>43561</v>
      </c>
      <c r="D14798" t="s">
        <v>26</v>
      </c>
      <c r="E14798">
        <v>740</v>
      </c>
    </row>
    <row r="14799" spans="1:5" x14ac:dyDescent="0.55000000000000004">
      <c r="A14799" t="s">
        <v>14880</v>
      </c>
      <c r="B14799" t="s">
        <v>74</v>
      </c>
      <c r="C14799" s="2">
        <v>44058</v>
      </c>
      <c r="D14799" t="s">
        <v>26</v>
      </c>
      <c r="E14799">
        <v>2317</v>
      </c>
    </row>
    <row r="14800" spans="1:5" x14ac:dyDescent="0.55000000000000004">
      <c r="A14800" t="s">
        <v>14881</v>
      </c>
      <c r="B14800" t="s">
        <v>111</v>
      </c>
      <c r="C14800" s="2">
        <v>43089</v>
      </c>
      <c r="D14800" t="s">
        <v>29</v>
      </c>
      <c r="E14800">
        <v>377</v>
      </c>
    </row>
    <row r="14801" spans="1:5" x14ac:dyDescent="0.55000000000000004">
      <c r="A14801" t="s">
        <v>14882</v>
      </c>
      <c r="B14801" t="s">
        <v>137</v>
      </c>
      <c r="C14801" s="2">
        <v>43473</v>
      </c>
      <c r="D14801" t="s">
        <v>29</v>
      </c>
      <c r="E14801">
        <v>106</v>
      </c>
    </row>
    <row r="14802" spans="1:5" x14ac:dyDescent="0.55000000000000004">
      <c r="A14802" t="s">
        <v>14883</v>
      </c>
      <c r="B14802" t="s">
        <v>140</v>
      </c>
      <c r="C14802" s="2">
        <v>43851</v>
      </c>
      <c r="D14802" t="s">
        <v>29</v>
      </c>
      <c r="E14802">
        <v>2675</v>
      </c>
    </row>
    <row r="14803" spans="1:5" x14ac:dyDescent="0.55000000000000004">
      <c r="A14803" t="s">
        <v>14884</v>
      </c>
      <c r="B14803" t="s">
        <v>140</v>
      </c>
      <c r="C14803" s="2">
        <v>44283</v>
      </c>
      <c r="D14803" t="s">
        <v>26</v>
      </c>
      <c r="E14803">
        <v>479</v>
      </c>
    </row>
    <row r="14804" spans="1:5" x14ac:dyDescent="0.55000000000000004">
      <c r="A14804" t="s">
        <v>14885</v>
      </c>
      <c r="B14804" t="s">
        <v>151</v>
      </c>
      <c r="C14804" s="2">
        <v>43116</v>
      </c>
      <c r="D14804" t="s">
        <v>29</v>
      </c>
      <c r="E14804">
        <v>1219</v>
      </c>
    </row>
    <row r="14805" spans="1:5" x14ac:dyDescent="0.55000000000000004">
      <c r="A14805" t="s">
        <v>14886</v>
      </c>
      <c r="B14805" t="s">
        <v>111</v>
      </c>
      <c r="C14805" s="2">
        <v>43416</v>
      </c>
      <c r="D14805" t="s">
        <v>26</v>
      </c>
      <c r="E14805">
        <v>791</v>
      </c>
    </row>
    <row r="14806" spans="1:5" x14ac:dyDescent="0.55000000000000004">
      <c r="A14806" t="s">
        <v>14887</v>
      </c>
      <c r="B14806" t="s">
        <v>101</v>
      </c>
      <c r="C14806" s="2">
        <v>43523</v>
      </c>
      <c r="D14806" t="s">
        <v>26</v>
      </c>
      <c r="E14806">
        <v>1428</v>
      </c>
    </row>
    <row r="14807" spans="1:5" x14ac:dyDescent="0.55000000000000004">
      <c r="A14807" t="s">
        <v>14888</v>
      </c>
      <c r="B14807" t="s">
        <v>111</v>
      </c>
      <c r="C14807" s="2">
        <v>42933</v>
      </c>
      <c r="D14807" t="s">
        <v>26</v>
      </c>
      <c r="E14807">
        <v>1477</v>
      </c>
    </row>
    <row r="14808" spans="1:5" x14ac:dyDescent="0.55000000000000004">
      <c r="A14808" t="s">
        <v>14889</v>
      </c>
      <c r="B14808" t="s">
        <v>63</v>
      </c>
      <c r="C14808" s="2">
        <v>43414</v>
      </c>
      <c r="D14808" t="s">
        <v>26</v>
      </c>
      <c r="E14808">
        <v>362</v>
      </c>
    </row>
    <row r="14809" spans="1:5" x14ac:dyDescent="0.55000000000000004">
      <c r="A14809" t="s">
        <v>14890</v>
      </c>
      <c r="B14809" t="s">
        <v>142</v>
      </c>
      <c r="C14809" s="2">
        <v>43122</v>
      </c>
      <c r="D14809" t="s">
        <v>26</v>
      </c>
      <c r="E14809">
        <v>1381</v>
      </c>
    </row>
    <row r="14810" spans="1:5" x14ac:dyDescent="0.55000000000000004">
      <c r="A14810" t="s">
        <v>14891</v>
      </c>
      <c r="B14810" t="s">
        <v>156</v>
      </c>
      <c r="C14810" s="2">
        <v>44346</v>
      </c>
      <c r="D14810" t="s">
        <v>29</v>
      </c>
      <c r="E14810">
        <v>1847</v>
      </c>
    </row>
    <row r="14811" spans="1:5" x14ac:dyDescent="0.55000000000000004">
      <c r="A14811" t="s">
        <v>14892</v>
      </c>
      <c r="B14811" t="s">
        <v>111</v>
      </c>
      <c r="C14811" s="2">
        <v>44492</v>
      </c>
      <c r="D14811" t="s">
        <v>26</v>
      </c>
      <c r="E14811">
        <v>1196</v>
      </c>
    </row>
    <row r="14812" spans="1:5" x14ac:dyDescent="0.55000000000000004">
      <c r="A14812" t="s">
        <v>14893</v>
      </c>
      <c r="B14812" t="s">
        <v>23</v>
      </c>
      <c r="C14812" s="2">
        <v>44564</v>
      </c>
      <c r="D14812" t="s">
        <v>29</v>
      </c>
      <c r="E14812">
        <v>1930</v>
      </c>
    </row>
    <row r="14813" spans="1:5" x14ac:dyDescent="0.55000000000000004">
      <c r="A14813" t="s">
        <v>14894</v>
      </c>
      <c r="B14813" t="s">
        <v>142</v>
      </c>
      <c r="C14813" s="2">
        <v>43393</v>
      </c>
      <c r="D14813" t="s">
        <v>26</v>
      </c>
      <c r="E14813">
        <v>2879</v>
      </c>
    </row>
    <row r="14814" spans="1:5" x14ac:dyDescent="0.55000000000000004">
      <c r="A14814" t="s">
        <v>14895</v>
      </c>
      <c r="B14814" t="s">
        <v>137</v>
      </c>
      <c r="C14814" s="2">
        <v>45432</v>
      </c>
      <c r="D14814" t="s">
        <v>26</v>
      </c>
      <c r="E14814">
        <v>1476</v>
      </c>
    </row>
    <row r="14815" spans="1:5" x14ac:dyDescent="0.55000000000000004">
      <c r="A14815" t="s">
        <v>14896</v>
      </c>
      <c r="B14815" t="s">
        <v>140</v>
      </c>
      <c r="C14815" s="2">
        <v>44008</v>
      </c>
      <c r="D14815" t="s">
        <v>26</v>
      </c>
      <c r="E14815">
        <v>1514</v>
      </c>
    </row>
    <row r="14816" spans="1:5" x14ac:dyDescent="0.55000000000000004">
      <c r="A14816" t="s">
        <v>14897</v>
      </c>
      <c r="B14816" t="s">
        <v>99</v>
      </c>
      <c r="C14816" s="2">
        <v>44269</v>
      </c>
      <c r="D14816" t="s">
        <v>26</v>
      </c>
      <c r="E14816">
        <v>168</v>
      </c>
    </row>
    <row r="14817" spans="1:5" x14ac:dyDescent="0.55000000000000004">
      <c r="A14817" t="s">
        <v>14898</v>
      </c>
      <c r="B14817" t="s">
        <v>74</v>
      </c>
      <c r="C14817" s="2">
        <v>43461</v>
      </c>
      <c r="D14817" t="s">
        <v>26</v>
      </c>
      <c r="E14817">
        <v>1350</v>
      </c>
    </row>
    <row r="14818" spans="1:5" x14ac:dyDescent="0.55000000000000004">
      <c r="A14818" t="s">
        <v>14899</v>
      </c>
      <c r="B14818" t="s">
        <v>156</v>
      </c>
      <c r="C14818" s="2">
        <v>43676</v>
      </c>
      <c r="D14818" t="s">
        <v>29</v>
      </c>
      <c r="E14818">
        <v>790</v>
      </c>
    </row>
    <row r="14819" spans="1:5" x14ac:dyDescent="0.55000000000000004">
      <c r="A14819" t="s">
        <v>14900</v>
      </c>
      <c r="B14819" t="s">
        <v>137</v>
      </c>
      <c r="C14819" s="2">
        <v>45088</v>
      </c>
      <c r="D14819" t="s">
        <v>29</v>
      </c>
      <c r="E14819">
        <v>2523</v>
      </c>
    </row>
    <row r="14820" spans="1:5" x14ac:dyDescent="0.55000000000000004">
      <c r="A14820" t="s">
        <v>14901</v>
      </c>
      <c r="B14820" t="s">
        <v>67</v>
      </c>
      <c r="C14820" s="2">
        <v>45577</v>
      </c>
      <c r="D14820" t="s">
        <v>26</v>
      </c>
      <c r="E14820">
        <v>1789</v>
      </c>
    </row>
    <row r="14821" spans="1:5" x14ac:dyDescent="0.55000000000000004">
      <c r="A14821" t="s">
        <v>14902</v>
      </c>
      <c r="B14821" t="s">
        <v>67</v>
      </c>
      <c r="C14821" s="2">
        <v>45241</v>
      </c>
      <c r="D14821" t="s">
        <v>26</v>
      </c>
      <c r="E14821">
        <v>1717</v>
      </c>
    </row>
    <row r="14822" spans="1:5" x14ac:dyDescent="0.55000000000000004">
      <c r="A14822" t="s">
        <v>14903</v>
      </c>
      <c r="B14822" t="s">
        <v>35</v>
      </c>
      <c r="C14822" s="2">
        <v>44446</v>
      </c>
      <c r="D14822" t="s">
        <v>29</v>
      </c>
      <c r="E14822">
        <v>2946</v>
      </c>
    </row>
    <row r="14823" spans="1:5" x14ac:dyDescent="0.55000000000000004">
      <c r="A14823" t="s">
        <v>14904</v>
      </c>
      <c r="B14823" t="s">
        <v>156</v>
      </c>
      <c r="C14823" s="2">
        <v>44103</v>
      </c>
      <c r="D14823" t="s">
        <v>26</v>
      </c>
      <c r="E14823">
        <v>124</v>
      </c>
    </row>
    <row r="14824" spans="1:5" x14ac:dyDescent="0.55000000000000004">
      <c r="A14824" t="s">
        <v>14905</v>
      </c>
      <c r="B14824" t="s">
        <v>38</v>
      </c>
      <c r="C14824" s="2">
        <v>44657</v>
      </c>
      <c r="D14824" t="s">
        <v>26</v>
      </c>
      <c r="E14824">
        <v>541</v>
      </c>
    </row>
    <row r="14825" spans="1:5" x14ac:dyDescent="0.55000000000000004">
      <c r="A14825" t="s">
        <v>14906</v>
      </c>
      <c r="B14825" t="s">
        <v>137</v>
      </c>
      <c r="C14825" s="2">
        <v>45155</v>
      </c>
      <c r="D14825" t="s">
        <v>29</v>
      </c>
      <c r="E14825">
        <v>790</v>
      </c>
    </row>
    <row r="14826" spans="1:5" x14ac:dyDescent="0.55000000000000004">
      <c r="A14826" t="s">
        <v>14907</v>
      </c>
      <c r="B14826" t="s">
        <v>23</v>
      </c>
      <c r="C14826" s="2">
        <v>44116</v>
      </c>
      <c r="D14826" t="s">
        <v>26</v>
      </c>
      <c r="E14826">
        <v>1544</v>
      </c>
    </row>
    <row r="14827" spans="1:5" x14ac:dyDescent="0.55000000000000004">
      <c r="A14827" t="s">
        <v>14908</v>
      </c>
      <c r="B14827" t="s">
        <v>175</v>
      </c>
      <c r="C14827" s="2">
        <v>43560</v>
      </c>
      <c r="D14827" t="s">
        <v>29</v>
      </c>
      <c r="E14827">
        <v>575</v>
      </c>
    </row>
    <row r="14828" spans="1:5" x14ac:dyDescent="0.55000000000000004">
      <c r="A14828" t="s">
        <v>14909</v>
      </c>
      <c r="B14828" t="s">
        <v>76</v>
      </c>
      <c r="C14828" s="2">
        <v>44672</v>
      </c>
      <c r="D14828" t="s">
        <v>26</v>
      </c>
      <c r="E14828">
        <v>2523</v>
      </c>
    </row>
    <row r="14829" spans="1:5" x14ac:dyDescent="0.55000000000000004">
      <c r="A14829" t="s">
        <v>14910</v>
      </c>
      <c r="B14829" t="s">
        <v>32</v>
      </c>
      <c r="C14829" s="2">
        <v>44118</v>
      </c>
      <c r="D14829" t="s">
        <v>26</v>
      </c>
      <c r="E14829">
        <v>366</v>
      </c>
    </row>
    <row r="14830" spans="1:5" x14ac:dyDescent="0.55000000000000004">
      <c r="A14830" t="s">
        <v>14911</v>
      </c>
      <c r="B14830" t="s">
        <v>32</v>
      </c>
      <c r="C14830" s="2">
        <v>44189</v>
      </c>
      <c r="D14830" t="s">
        <v>29</v>
      </c>
      <c r="E14830">
        <v>1830</v>
      </c>
    </row>
    <row r="14831" spans="1:5" x14ac:dyDescent="0.55000000000000004">
      <c r="A14831" t="s">
        <v>14912</v>
      </c>
      <c r="B14831" t="s">
        <v>84</v>
      </c>
      <c r="C14831" s="2">
        <v>43352</v>
      </c>
      <c r="D14831" t="s">
        <v>29</v>
      </c>
      <c r="E14831">
        <v>205</v>
      </c>
    </row>
    <row r="14832" spans="1:5" x14ac:dyDescent="0.55000000000000004">
      <c r="A14832" t="s">
        <v>14913</v>
      </c>
      <c r="B14832" t="s">
        <v>140</v>
      </c>
      <c r="C14832" s="2">
        <v>44150</v>
      </c>
      <c r="D14832" t="s">
        <v>29</v>
      </c>
      <c r="E14832">
        <v>2217</v>
      </c>
    </row>
    <row r="14833" spans="1:5" x14ac:dyDescent="0.55000000000000004">
      <c r="A14833" t="s">
        <v>14914</v>
      </c>
      <c r="B14833" t="s">
        <v>94</v>
      </c>
      <c r="C14833" s="2">
        <v>44160</v>
      </c>
      <c r="D14833" t="s">
        <v>26</v>
      </c>
      <c r="E14833">
        <v>2358</v>
      </c>
    </row>
    <row r="14834" spans="1:5" x14ac:dyDescent="0.55000000000000004">
      <c r="A14834" t="s">
        <v>14915</v>
      </c>
      <c r="B14834" t="s">
        <v>23</v>
      </c>
      <c r="C14834" s="2">
        <v>44255</v>
      </c>
      <c r="D14834" t="s">
        <v>29</v>
      </c>
      <c r="E14834">
        <v>550</v>
      </c>
    </row>
    <row r="14835" spans="1:5" x14ac:dyDescent="0.55000000000000004">
      <c r="A14835" t="s">
        <v>14916</v>
      </c>
      <c r="B14835" t="s">
        <v>76</v>
      </c>
      <c r="C14835" s="2">
        <v>43952</v>
      </c>
      <c r="D14835" t="s">
        <v>26</v>
      </c>
      <c r="E14835">
        <v>566</v>
      </c>
    </row>
    <row r="14836" spans="1:5" x14ac:dyDescent="0.55000000000000004">
      <c r="A14836" t="s">
        <v>14917</v>
      </c>
      <c r="B14836" t="s">
        <v>14</v>
      </c>
      <c r="C14836" s="2">
        <v>43358</v>
      </c>
      <c r="D14836" t="s">
        <v>26</v>
      </c>
      <c r="E14836">
        <v>2962</v>
      </c>
    </row>
    <row r="14837" spans="1:5" x14ac:dyDescent="0.55000000000000004">
      <c r="A14837" t="s">
        <v>14918</v>
      </c>
      <c r="B14837" t="s">
        <v>23</v>
      </c>
      <c r="C14837" s="2">
        <v>44865</v>
      </c>
      <c r="D14837" t="s">
        <v>26</v>
      </c>
      <c r="E14837">
        <v>2406</v>
      </c>
    </row>
    <row r="14838" spans="1:5" x14ac:dyDescent="0.55000000000000004">
      <c r="A14838" t="s">
        <v>14919</v>
      </c>
      <c r="B14838" t="s">
        <v>118</v>
      </c>
      <c r="C14838" s="2">
        <v>43633</v>
      </c>
      <c r="D14838" t="s">
        <v>26</v>
      </c>
      <c r="E14838">
        <v>1511</v>
      </c>
    </row>
    <row r="14839" spans="1:5" x14ac:dyDescent="0.55000000000000004">
      <c r="A14839" t="s">
        <v>14920</v>
      </c>
      <c r="B14839" t="s">
        <v>94</v>
      </c>
      <c r="C14839" s="2">
        <v>43476</v>
      </c>
      <c r="D14839" t="s">
        <v>29</v>
      </c>
      <c r="E14839">
        <v>2546</v>
      </c>
    </row>
    <row r="14840" spans="1:5" x14ac:dyDescent="0.55000000000000004">
      <c r="A14840" t="s">
        <v>14921</v>
      </c>
      <c r="B14840" t="s">
        <v>86</v>
      </c>
      <c r="C14840" s="2">
        <v>43527</v>
      </c>
      <c r="D14840" t="s">
        <v>29</v>
      </c>
      <c r="E14840">
        <v>1744</v>
      </c>
    </row>
    <row r="14841" spans="1:5" x14ac:dyDescent="0.55000000000000004">
      <c r="A14841" t="s">
        <v>14922</v>
      </c>
      <c r="B14841" t="s">
        <v>74</v>
      </c>
      <c r="C14841" s="2">
        <v>43807</v>
      </c>
      <c r="D14841" t="s">
        <v>26</v>
      </c>
      <c r="E14841">
        <v>2961</v>
      </c>
    </row>
    <row r="14842" spans="1:5" x14ac:dyDescent="0.55000000000000004">
      <c r="A14842" t="s">
        <v>14923</v>
      </c>
      <c r="B14842" t="s">
        <v>35</v>
      </c>
      <c r="C14842" s="2">
        <v>44626</v>
      </c>
      <c r="D14842" t="s">
        <v>26</v>
      </c>
      <c r="E14842">
        <v>972</v>
      </c>
    </row>
    <row r="14843" spans="1:5" x14ac:dyDescent="0.55000000000000004">
      <c r="A14843" t="s">
        <v>14924</v>
      </c>
      <c r="B14843" t="s">
        <v>142</v>
      </c>
      <c r="C14843" s="2">
        <v>43552</v>
      </c>
      <c r="D14843" t="s">
        <v>26</v>
      </c>
      <c r="E14843">
        <v>25</v>
      </c>
    </row>
    <row r="14844" spans="1:5" x14ac:dyDescent="0.55000000000000004">
      <c r="A14844" t="s">
        <v>14925</v>
      </c>
      <c r="B14844" t="s">
        <v>76</v>
      </c>
      <c r="C14844" s="2">
        <v>44804</v>
      </c>
      <c r="D14844" t="s">
        <v>29</v>
      </c>
      <c r="E14844">
        <v>1720</v>
      </c>
    </row>
    <row r="14845" spans="1:5" x14ac:dyDescent="0.55000000000000004">
      <c r="A14845" t="s">
        <v>14926</v>
      </c>
      <c r="B14845" t="s">
        <v>67</v>
      </c>
      <c r="C14845" s="2">
        <v>43535</v>
      </c>
      <c r="D14845" t="s">
        <v>26</v>
      </c>
      <c r="E14845">
        <v>2870</v>
      </c>
    </row>
    <row r="14846" spans="1:5" x14ac:dyDescent="0.55000000000000004">
      <c r="A14846" t="s">
        <v>14927</v>
      </c>
      <c r="B14846" t="s">
        <v>118</v>
      </c>
      <c r="C14846" s="2">
        <v>44287</v>
      </c>
      <c r="D14846" t="s">
        <v>26</v>
      </c>
      <c r="E14846">
        <v>1123</v>
      </c>
    </row>
    <row r="14847" spans="1:5" x14ac:dyDescent="0.55000000000000004">
      <c r="A14847" t="s">
        <v>14928</v>
      </c>
      <c r="B14847" t="s">
        <v>151</v>
      </c>
      <c r="C14847" s="2">
        <v>43409</v>
      </c>
      <c r="D14847" t="s">
        <v>29</v>
      </c>
      <c r="E14847">
        <v>3</v>
      </c>
    </row>
    <row r="14848" spans="1:5" x14ac:dyDescent="0.55000000000000004">
      <c r="A14848" t="s">
        <v>14929</v>
      </c>
      <c r="B14848" t="s">
        <v>86</v>
      </c>
      <c r="C14848" s="2">
        <v>43927</v>
      </c>
      <c r="D14848" t="s">
        <v>29</v>
      </c>
      <c r="E14848">
        <v>802</v>
      </c>
    </row>
    <row r="14849" spans="1:5" x14ac:dyDescent="0.55000000000000004">
      <c r="A14849" t="s">
        <v>14930</v>
      </c>
      <c r="B14849" t="s">
        <v>105</v>
      </c>
      <c r="C14849" s="2">
        <v>43126</v>
      </c>
      <c r="D14849" t="s">
        <v>26</v>
      </c>
      <c r="E14849">
        <v>490</v>
      </c>
    </row>
    <row r="14850" spans="1:5" x14ac:dyDescent="0.55000000000000004">
      <c r="A14850" t="s">
        <v>14931</v>
      </c>
      <c r="B14850" t="s">
        <v>86</v>
      </c>
      <c r="C14850" s="2">
        <v>43461</v>
      </c>
      <c r="D14850" t="s">
        <v>29</v>
      </c>
      <c r="E14850">
        <v>2537</v>
      </c>
    </row>
    <row r="14851" spans="1:5" x14ac:dyDescent="0.55000000000000004">
      <c r="A14851" t="s">
        <v>14932</v>
      </c>
      <c r="B14851" t="s">
        <v>35</v>
      </c>
      <c r="C14851" s="2">
        <v>44097</v>
      </c>
      <c r="D14851" t="s">
        <v>26</v>
      </c>
      <c r="E14851">
        <v>2799</v>
      </c>
    </row>
    <row r="14852" spans="1:5" x14ac:dyDescent="0.55000000000000004">
      <c r="A14852" t="s">
        <v>14933</v>
      </c>
      <c r="B14852" t="s">
        <v>96</v>
      </c>
      <c r="C14852" s="2">
        <v>43907</v>
      </c>
      <c r="D14852" t="s">
        <v>29</v>
      </c>
      <c r="E14852">
        <v>2545</v>
      </c>
    </row>
    <row r="14853" spans="1:5" x14ac:dyDescent="0.55000000000000004">
      <c r="A14853" t="s">
        <v>14934</v>
      </c>
      <c r="B14853" t="s">
        <v>137</v>
      </c>
      <c r="C14853" s="2">
        <v>43659</v>
      </c>
      <c r="D14853" t="s">
        <v>26</v>
      </c>
      <c r="E14853">
        <v>962</v>
      </c>
    </row>
    <row r="14854" spans="1:5" x14ac:dyDescent="0.55000000000000004">
      <c r="A14854" t="s">
        <v>14935</v>
      </c>
      <c r="B14854" t="s">
        <v>101</v>
      </c>
      <c r="C14854" s="2">
        <v>43516</v>
      </c>
      <c r="D14854" t="s">
        <v>26</v>
      </c>
      <c r="E14854">
        <v>2007</v>
      </c>
    </row>
    <row r="14855" spans="1:5" x14ac:dyDescent="0.55000000000000004">
      <c r="A14855" t="s">
        <v>14936</v>
      </c>
      <c r="B14855" t="s">
        <v>35</v>
      </c>
      <c r="C14855" s="2">
        <v>44683</v>
      </c>
      <c r="D14855" t="s">
        <v>29</v>
      </c>
      <c r="E14855">
        <v>2864</v>
      </c>
    </row>
    <row r="14856" spans="1:5" x14ac:dyDescent="0.55000000000000004">
      <c r="A14856" t="s">
        <v>14937</v>
      </c>
      <c r="B14856" t="s">
        <v>23</v>
      </c>
      <c r="C14856" s="2">
        <v>44094</v>
      </c>
      <c r="D14856" t="s">
        <v>26</v>
      </c>
      <c r="E14856">
        <v>1509</v>
      </c>
    </row>
    <row r="14857" spans="1:5" x14ac:dyDescent="0.55000000000000004">
      <c r="A14857" t="s">
        <v>14938</v>
      </c>
      <c r="B14857" t="s">
        <v>23</v>
      </c>
      <c r="C14857" s="2">
        <v>44450</v>
      </c>
      <c r="D14857" t="s">
        <v>26</v>
      </c>
      <c r="E14857">
        <v>1629</v>
      </c>
    </row>
    <row r="14858" spans="1:5" x14ac:dyDescent="0.55000000000000004">
      <c r="A14858" t="s">
        <v>14939</v>
      </c>
      <c r="B14858" t="s">
        <v>14</v>
      </c>
      <c r="C14858" s="2">
        <v>44084</v>
      </c>
      <c r="D14858" t="s">
        <v>26</v>
      </c>
      <c r="E14858">
        <v>305</v>
      </c>
    </row>
    <row r="14859" spans="1:5" x14ac:dyDescent="0.55000000000000004">
      <c r="A14859" t="s">
        <v>14940</v>
      </c>
      <c r="B14859" t="s">
        <v>140</v>
      </c>
      <c r="C14859" s="2">
        <v>43981</v>
      </c>
      <c r="D14859" t="s">
        <v>26</v>
      </c>
      <c r="E14859">
        <v>439</v>
      </c>
    </row>
    <row r="14860" spans="1:5" x14ac:dyDescent="0.55000000000000004">
      <c r="A14860" t="s">
        <v>14941</v>
      </c>
      <c r="B14860" t="s">
        <v>118</v>
      </c>
      <c r="C14860" s="2">
        <v>43802</v>
      </c>
      <c r="D14860" t="s">
        <v>29</v>
      </c>
      <c r="E14860">
        <v>2710</v>
      </c>
    </row>
    <row r="14861" spans="1:5" x14ac:dyDescent="0.55000000000000004">
      <c r="A14861" t="s">
        <v>14942</v>
      </c>
      <c r="B14861" t="s">
        <v>151</v>
      </c>
      <c r="C14861" s="2">
        <v>44436</v>
      </c>
      <c r="D14861" t="s">
        <v>29</v>
      </c>
      <c r="E14861">
        <v>73</v>
      </c>
    </row>
    <row r="14862" spans="1:5" x14ac:dyDescent="0.55000000000000004">
      <c r="A14862" t="s">
        <v>14943</v>
      </c>
      <c r="B14862" t="s">
        <v>32</v>
      </c>
      <c r="C14862" s="2">
        <v>44619</v>
      </c>
      <c r="D14862" t="s">
        <v>29</v>
      </c>
      <c r="E14862">
        <v>861</v>
      </c>
    </row>
    <row r="14863" spans="1:5" x14ac:dyDescent="0.55000000000000004">
      <c r="A14863" t="s">
        <v>14944</v>
      </c>
      <c r="B14863" t="s">
        <v>32</v>
      </c>
      <c r="C14863" s="2">
        <v>44444</v>
      </c>
      <c r="D14863" t="s">
        <v>29</v>
      </c>
      <c r="E14863">
        <v>2587</v>
      </c>
    </row>
    <row r="14864" spans="1:5" x14ac:dyDescent="0.55000000000000004">
      <c r="A14864" t="s">
        <v>14945</v>
      </c>
      <c r="B14864" t="s">
        <v>76</v>
      </c>
      <c r="C14864" s="2">
        <v>44267</v>
      </c>
      <c r="D14864" t="s">
        <v>29</v>
      </c>
      <c r="E14864">
        <v>2489</v>
      </c>
    </row>
    <row r="14865" spans="1:5" x14ac:dyDescent="0.55000000000000004">
      <c r="A14865" t="s">
        <v>14946</v>
      </c>
      <c r="B14865" t="s">
        <v>96</v>
      </c>
      <c r="C14865" s="2">
        <v>44316</v>
      </c>
      <c r="D14865" t="s">
        <v>26</v>
      </c>
      <c r="E14865">
        <v>240</v>
      </c>
    </row>
    <row r="14866" spans="1:5" x14ac:dyDescent="0.55000000000000004">
      <c r="A14866" t="s">
        <v>14947</v>
      </c>
      <c r="B14866" t="s">
        <v>14</v>
      </c>
      <c r="C14866" s="2">
        <v>44111</v>
      </c>
      <c r="D14866" t="s">
        <v>29</v>
      </c>
      <c r="E14866">
        <v>136</v>
      </c>
    </row>
    <row r="14867" spans="1:5" x14ac:dyDescent="0.55000000000000004">
      <c r="A14867" t="s">
        <v>14948</v>
      </c>
      <c r="B14867" t="s">
        <v>115</v>
      </c>
      <c r="C14867" s="2">
        <v>43678</v>
      </c>
      <c r="D14867" t="s">
        <v>26</v>
      </c>
      <c r="E14867">
        <v>1371</v>
      </c>
    </row>
    <row r="14868" spans="1:5" x14ac:dyDescent="0.55000000000000004">
      <c r="A14868" t="s">
        <v>14949</v>
      </c>
      <c r="B14868" t="s">
        <v>151</v>
      </c>
      <c r="C14868" s="2">
        <v>44208</v>
      </c>
      <c r="D14868" t="s">
        <v>26</v>
      </c>
      <c r="E14868">
        <v>1469</v>
      </c>
    </row>
    <row r="14869" spans="1:5" x14ac:dyDescent="0.55000000000000004">
      <c r="A14869" t="s">
        <v>14950</v>
      </c>
      <c r="B14869" t="s">
        <v>63</v>
      </c>
      <c r="C14869" s="2">
        <v>43283</v>
      </c>
      <c r="D14869" t="s">
        <v>29</v>
      </c>
      <c r="E14869">
        <v>1769</v>
      </c>
    </row>
    <row r="14870" spans="1:5" x14ac:dyDescent="0.55000000000000004">
      <c r="A14870" t="s">
        <v>14951</v>
      </c>
      <c r="B14870" t="s">
        <v>78</v>
      </c>
      <c r="C14870" s="2">
        <v>44173</v>
      </c>
      <c r="D14870" t="s">
        <v>29</v>
      </c>
      <c r="E14870">
        <v>2773</v>
      </c>
    </row>
    <row r="14871" spans="1:5" x14ac:dyDescent="0.55000000000000004">
      <c r="A14871" t="s">
        <v>14952</v>
      </c>
      <c r="B14871" t="s">
        <v>99</v>
      </c>
      <c r="C14871" s="2">
        <v>45705</v>
      </c>
      <c r="D14871" t="s">
        <v>26</v>
      </c>
      <c r="E14871">
        <v>1230</v>
      </c>
    </row>
    <row r="14872" spans="1:5" x14ac:dyDescent="0.55000000000000004">
      <c r="A14872" t="s">
        <v>14953</v>
      </c>
      <c r="B14872" t="s">
        <v>32</v>
      </c>
      <c r="C14872" s="2">
        <v>44845</v>
      </c>
      <c r="D14872" t="s">
        <v>26</v>
      </c>
      <c r="E14872">
        <v>1084</v>
      </c>
    </row>
    <row r="14873" spans="1:5" x14ac:dyDescent="0.55000000000000004">
      <c r="A14873" t="s">
        <v>14954</v>
      </c>
      <c r="B14873" t="s">
        <v>140</v>
      </c>
      <c r="C14873" s="2">
        <v>43482</v>
      </c>
      <c r="D14873" t="s">
        <v>29</v>
      </c>
      <c r="E14873">
        <v>1321</v>
      </c>
    </row>
    <row r="14874" spans="1:5" x14ac:dyDescent="0.55000000000000004">
      <c r="A14874" t="s">
        <v>14955</v>
      </c>
      <c r="B14874" t="s">
        <v>86</v>
      </c>
      <c r="C14874" s="2">
        <v>43116</v>
      </c>
      <c r="D14874" t="s">
        <v>29</v>
      </c>
      <c r="E14874">
        <v>2335</v>
      </c>
    </row>
    <row r="14875" spans="1:5" x14ac:dyDescent="0.55000000000000004">
      <c r="A14875" t="s">
        <v>14956</v>
      </c>
      <c r="B14875" t="s">
        <v>78</v>
      </c>
      <c r="C14875" s="2">
        <v>44327</v>
      </c>
      <c r="D14875" t="s">
        <v>26</v>
      </c>
      <c r="E14875">
        <v>2938</v>
      </c>
    </row>
    <row r="14876" spans="1:5" x14ac:dyDescent="0.55000000000000004">
      <c r="A14876" t="s">
        <v>14957</v>
      </c>
      <c r="B14876" t="s">
        <v>156</v>
      </c>
      <c r="C14876" s="2">
        <v>42981</v>
      </c>
      <c r="D14876" t="s">
        <v>29</v>
      </c>
      <c r="E14876">
        <v>2615</v>
      </c>
    </row>
    <row r="14877" spans="1:5" x14ac:dyDescent="0.55000000000000004">
      <c r="A14877" t="s">
        <v>14958</v>
      </c>
      <c r="B14877" t="s">
        <v>94</v>
      </c>
      <c r="C14877" s="2">
        <v>45311</v>
      </c>
      <c r="D14877" t="s">
        <v>29</v>
      </c>
      <c r="E14877">
        <v>408</v>
      </c>
    </row>
    <row r="14878" spans="1:5" x14ac:dyDescent="0.55000000000000004">
      <c r="A14878" t="s">
        <v>14959</v>
      </c>
      <c r="B14878" t="s">
        <v>74</v>
      </c>
      <c r="C14878" s="2">
        <v>44228</v>
      </c>
      <c r="D14878" t="s">
        <v>26</v>
      </c>
      <c r="E14878">
        <v>1513</v>
      </c>
    </row>
    <row r="14879" spans="1:5" x14ac:dyDescent="0.55000000000000004">
      <c r="A14879" t="s">
        <v>14960</v>
      </c>
      <c r="B14879" t="s">
        <v>151</v>
      </c>
      <c r="C14879" s="2">
        <v>44077</v>
      </c>
      <c r="D14879" t="s">
        <v>26</v>
      </c>
      <c r="E14879">
        <v>2567</v>
      </c>
    </row>
    <row r="14880" spans="1:5" x14ac:dyDescent="0.55000000000000004">
      <c r="A14880" t="s">
        <v>14961</v>
      </c>
      <c r="B14880" t="s">
        <v>14</v>
      </c>
      <c r="C14880" s="2">
        <v>43397</v>
      </c>
      <c r="D14880" t="s">
        <v>26</v>
      </c>
      <c r="E14880">
        <v>2841</v>
      </c>
    </row>
    <row r="14881" spans="1:5" x14ac:dyDescent="0.55000000000000004">
      <c r="A14881" t="s">
        <v>14962</v>
      </c>
      <c r="B14881" t="s">
        <v>101</v>
      </c>
      <c r="C14881" s="2">
        <v>44492</v>
      </c>
      <c r="D14881" t="s">
        <v>29</v>
      </c>
      <c r="E14881">
        <v>2038</v>
      </c>
    </row>
    <row r="14882" spans="1:5" x14ac:dyDescent="0.55000000000000004">
      <c r="A14882" t="s">
        <v>14963</v>
      </c>
      <c r="B14882" t="s">
        <v>15</v>
      </c>
      <c r="C14882" s="2">
        <v>44324</v>
      </c>
      <c r="D14882" t="s">
        <v>26</v>
      </c>
      <c r="E14882">
        <v>2557</v>
      </c>
    </row>
    <row r="14883" spans="1:5" x14ac:dyDescent="0.55000000000000004">
      <c r="A14883" t="s">
        <v>14964</v>
      </c>
      <c r="B14883" t="s">
        <v>76</v>
      </c>
      <c r="C14883" s="2">
        <v>44941</v>
      </c>
      <c r="D14883" t="s">
        <v>26</v>
      </c>
      <c r="E14883">
        <v>296</v>
      </c>
    </row>
    <row r="14884" spans="1:5" x14ac:dyDescent="0.55000000000000004">
      <c r="A14884" t="s">
        <v>14965</v>
      </c>
      <c r="B14884" t="s">
        <v>67</v>
      </c>
      <c r="C14884" s="2">
        <v>44826</v>
      </c>
      <c r="D14884" t="s">
        <v>29</v>
      </c>
      <c r="E14884">
        <v>2173</v>
      </c>
    </row>
    <row r="14885" spans="1:5" x14ac:dyDescent="0.55000000000000004">
      <c r="A14885" t="s">
        <v>14966</v>
      </c>
      <c r="B14885" t="s">
        <v>94</v>
      </c>
      <c r="C14885" s="2">
        <v>43641</v>
      </c>
      <c r="D14885" t="s">
        <v>29</v>
      </c>
      <c r="E14885">
        <v>2846</v>
      </c>
    </row>
    <row r="14886" spans="1:5" x14ac:dyDescent="0.55000000000000004">
      <c r="A14886" t="s">
        <v>14967</v>
      </c>
      <c r="B14886" t="s">
        <v>151</v>
      </c>
      <c r="C14886" s="2">
        <v>44158</v>
      </c>
      <c r="D14886" t="s">
        <v>29</v>
      </c>
      <c r="E14886">
        <v>591</v>
      </c>
    </row>
    <row r="14887" spans="1:5" x14ac:dyDescent="0.55000000000000004">
      <c r="A14887" t="s">
        <v>14968</v>
      </c>
      <c r="B14887" t="s">
        <v>23</v>
      </c>
      <c r="C14887" s="2">
        <v>43859</v>
      </c>
      <c r="D14887" t="s">
        <v>26</v>
      </c>
      <c r="E14887">
        <v>2108</v>
      </c>
    </row>
    <row r="14888" spans="1:5" x14ac:dyDescent="0.55000000000000004">
      <c r="A14888" t="s">
        <v>14969</v>
      </c>
      <c r="B14888" t="s">
        <v>38</v>
      </c>
      <c r="C14888" s="2">
        <v>44918</v>
      </c>
      <c r="D14888" t="s">
        <v>26</v>
      </c>
      <c r="E14888">
        <v>1337</v>
      </c>
    </row>
    <row r="14889" spans="1:5" x14ac:dyDescent="0.55000000000000004">
      <c r="A14889" t="s">
        <v>14970</v>
      </c>
      <c r="B14889" t="s">
        <v>118</v>
      </c>
      <c r="C14889" s="2">
        <v>45677</v>
      </c>
      <c r="D14889" t="s">
        <v>29</v>
      </c>
      <c r="E14889">
        <v>1982</v>
      </c>
    </row>
    <row r="14890" spans="1:5" x14ac:dyDescent="0.55000000000000004">
      <c r="A14890" t="s">
        <v>14971</v>
      </c>
      <c r="B14890" t="s">
        <v>67</v>
      </c>
      <c r="C14890" s="2">
        <v>44284</v>
      </c>
      <c r="D14890" t="s">
        <v>26</v>
      </c>
      <c r="E14890">
        <v>785</v>
      </c>
    </row>
    <row r="14891" spans="1:5" x14ac:dyDescent="0.55000000000000004">
      <c r="A14891" t="s">
        <v>14972</v>
      </c>
      <c r="B14891" t="s">
        <v>96</v>
      </c>
      <c r="C14891" s="2">
        <v>43563</v>
      </c>
      <c r="D14891" t="s">
        <v>26</v>
      </c>
      <c r="E14891">
        <v>1852</v>
      </c>
    </row>
    <row r="14892" spans="1:5" x14ac:dyDescent="0.55000000000000004">
      <c r="A14892" t="s">
        <v>14973</v>
      </c>
      <c r="B14892" t="s">
        <v>96</v>
      </c>
      <c r="C14892" s="2">
        <v>44310</v>
      </c>
      <c r="D14892" t="s">
        <v>26</v>
      </c>
      <c r="E14892">
        <v>628</v>
      </c>
    </row>
    <row r="14893" spans="1:5" x14ac:dyDescent="0.55000000000000004">
      <c r="A14893" t="s">
        <v>14974</v>
      </c>
      <c r="B14893" t="s">
        <v>142</v>
      </c>
      <c r="C14893" s="2">
        <v>43671</v>
      </c>
      <c r="D14893" t="s">
        <v>29</v>
      </c>
      <c r="E14893">
        <v>2321</v>
      </c>
    </row>
    <row r="14894" spans="1:5" x14ac:dyDescent="0.55000000000000004">
      <c r="A14894" t="s">
        <v>14975</v>
      </c>
      <c r="B14894" t="s">
        <v>35</v>
      </c>
      <c r="C14894" s="2">
        <v>44457</v>
      </c>
      <c r="D14894" t="s">
        <v>29</v>
      </c>
      <c r="E14894">
        <v>840</v>
      </c>
    </row>
    <row r="14895" spans="1:5" x14ac:dyDescent="0.55000000000000004">
      <c r="A14895" t="s">
        <v>14976</v>
      </c>
      <c r="B14895" t="s">
        <v>41</v>
      </c>
      <c r="C14895" s="2">
        <v>43957</v>
      </c>
      <c r="D14895" t="s">
        <v>29</v>
      </c>
      <c r="E14895">
        <v>1032</v>
      </c>
    </row>
    <row r="14896" spans="1:5" x14ac:dyDescent="0.55000000000000004">
      <c r="A14896" t="s">
        <v>14977</v>
      </c>
      <c r="B14896" t="s">
        <v>67</v>
      </c>
      <c r="C14896" s="2">
        <v>45345</v>
      </c>
      <c r="D14896" t="s">
        <v>26</v>
      </c>
      <c r="E14896">
        <v>773</v>
      </c>
    </row>
    <row r="14897" spans="1:5" x14ac:dyDescent="0.55000000000000004">
      <c r="A14897" t="s">
        <v>14978</v>
      </c>
      <c r="B14897" t="s">
        <v>84</v>
      </c>
      <c r="C14897" s="2">
        <v>42962</v>
      </c>
      <c r="D14897" t="s">
        <v>29</v>
      </c>
      <c r="E14897">
        <v>2831</v>
      </c>
    </row>
    <row r="14898" spans="1:5" x14ac:dyDescent="0.55000000000000004">
      <c r="A14898" t="s">
        <v>14979</v>
      </c>
      <c r="B14898" t="s">
        <v>35</v>
      </c>
      <c r="C14898" s="2">
        <v>44071</v>
      </c>
      <c r="D14898" t="s">
        <v>29</v>
      </c>
      <c r="E14898">
        <v>58</v>
      </c>
    </row>
    <row r="14899" spans="1:5" x14ac:dyDescent="0.55000000000000004">
      <c r="A14899" t="s">
        <v>14980</v>
      </c>
      <c r="B14899" t="s">
        <v>111</v>
      </c>
      <c r="C14899" s="2">
        <v>43034</v>
      </c>
      <c r="D14899" t="s">
        <v>26</v>
      </c>
      <c r="E14899">
        <v>2267</v>
      </c>
    </row>
    <row r="14900" spans="1:5" x14ac:dyDescent="0.55000000000000004">
      <c r="A14900" t="s">
        <v>14981</v>
      </c>
      <c r="B14900" t="s">
        <v>115</v>
      </c>
      <c r="C14900" s="2">
        <v>43414</v>
      </c>
      <c r="D14900" t="s">
        <v>29</v>
      </c>
      <c r="E14900">
        <v>307</v>
      </c>
    </row>
    <row r="14901" spans="1:5" x14ac:dyDescent="0.55000000000000004">
      <c r="A14901" t="s">
        <v>14982</v>
      </c>
      <c r="B14901" t="s">
        <v>96</v>
      </c>
      <c r="C14901" s="2">
        <v>43603</v>
      </c>
      <c r="D14901" t="s">
        <v>26</v>
      </c>
      <c r="E14901">
        <v>152</v>
      </c>
    </row>
    <row r="14902" spans="1:5" x14ac:dyDescent="0.55000000000000004">
      <c r="A14902" t="s">
        <v>14983</v>
      </c>
      <c r="B14902" t="s">
        <v>84</v>
      </c>
      <c r="C14902" s="2">
        <v>43971</v>
      </c>
      <c r="D14902" t="s">
        <v>29</v>
      </c>
      <c r="E14902">
        <v>1246</v>
      </c>
    </row>
    <row r="14903" spans="1:5" x14ac:dyDescent="0.55000000000000004">
      <c r="A14903" t="s">
        <v>14984</v>
      </c>
      <c r="B14903" t="s">
        <v>78</v>
      </c>
      <c r="C14903" s="2">
        <v>43913</v>
      </c>
      <c r="D14903" t="s">
        <v>26</v>
      </c>
      <c r="E14903">
        <v>2793</v>
      </c>
    </row>
    <row r="14904" spans="1:5" x14ac:dyDescent="0.55000000000000004">
      <c r="A14904" t="s">
        <v>14985</v>
      </c>
      <c r="B14904" t="s">
        <v>151</v>
      </c>
      <c r="C14904" s="2">
        <v>44279</v>
      </c>
      <c r="D14904" t="s">
        <v>29</v>
      </c>
      <c r="E14904">
        <v>2073</v>
      </c>
    </row>
    <row r="14905" spans="1:5" x14ac:dyDescent="0.55000000000000004">
      <c r="A14905" t="s">
        <v>14986</v>
      </c>
      <c r="B14905" t="s">
        <v>115</v>
      </c>
      <c r="C14905" s="2">
        <v>42934</v>
      </c>
      <c r="D14905" t="s">
        <v>29</v>
      </c>
      <c r="E14905">
        <v>2778</v>
      </c>
    </row>
    <row r="14906" spans="1:5" x14ac:dyDescent="0.55000000000000004">
      <c r="A14906" t="s">
        <v>14987</v>
      </c>
      <c r="B14906" t="s">
        <v>111</v>
      </c>
      <c r="C14906" s="2">
        <v>43255</v>
      </c>
      <c r="D14906" t="s">
        <v>29</v>
      </c>
      <c r="E14906">
        <v>1338</v>
      </c>
    </row>
    <row r="14907" spans="1:5" x14ac:dyDescent="0.55000000000000004">
      <c r="A14907" t="s">
        <v>14988</v>
      </c>
      <c r="B14907" t="s">
        <v>94</v>
      </c>
      <c r="C14907" s="2">
        <v>44485</v>
      </c>
      <c r="D14907" t="s">
        <v>29</v>
      </c>
      <c r="E14907">
        <v>598</v>
      </c>
    </row>
    <row r="14908" spans="1:5" x14ac:dyDescent="0.55000000000000004">
      <c r="A14908" t="s">
        <v>14989</v>
      </c>
      <c r="B14908" t="s">
        <v>111</v>
      </c>
      <c r="C14908" s="2">
        <v>43656</v>
      </c>
      <c r="D14908" t="s">
        <v>29</v>
      </c>
      <c r="E14908">
        <v>320</v>
      </c>
    </row>
    <row r="14909" spans="1:5" x14ac:dyDescent="0.55000000000000004">
      <c r="A14909" t="s">
        <v>14990</v>
      </c>
      <c r="B14909" t="s">
        <v>84</v>
      </c>
      <c r="C14909" s="2">
        <v>43467</v>
      </c>
      <c r="D14909" t="s">
        <v>26</v>
      </c>
      <c r="E14909">
        <v>636</v>
      </c>
    </row>
    <row r="14910" spans="1:5" x14ac:dyDescent="0.55000000000000004">
      <c r="A14910" t="s">
        <v>14991</v>
      </c>
      <c r="B14910" t="s">
        <v>38</v>
      </c>
      <c r="C14910" s="2">
        <v>44743</v>
      </c>
      <c r="D14910" t="s">
        <v>26</v>
      </c>
      <c r="E14910">
        <v>256</v>
      </c>
    </row>
    <row r="14911" spans="1:5" x14ac:dyDescent="0.55000000000000004">
      <c r="A14911" t="s">
        <v>14992</v>
      </c>
      <c r="B14911" t="s">
        <v>175</v>
      </c>
      <c r="C14911" s="2">
        <v>43705</v>
      </c>
      <c r="D14911" t="s">
        <v>26</v>
      </c>
      <c r="E14911">
        <v>2708</v>
      </c>
    </row>
    <row r="14912" spans="1:5" x14ac:dyDescent="0.55000000000000004">
      <c r="A14912" t="s">
        <v>14993</v>
      </c>
      <c r="B14912" t="s">
        <v>72</v>
      </c>
      <c r="C14912" s="2">
        <v>43165</v>
      </c>
      <c r="D14912" t="s">
        <v>29</v>
      </c>
      <c r="E14912">
        <v>596</v>
      </c>
    </row>
    <row r="14913" spans="1:5" x14ac:dyDescent="0.55000000000000004">
      <c r="A14913" t="s">
        <v>14994</v>
      </c>
      <c r="B14913" t="s">
        <v>23</v>
      </c>
      <c r="C14913" s="2">
        <v>44354</v>
      </c>
      <c r="D14913" t="s">
        <v>26</v>
      </c>
      <c r="E14913">
        <v>2032</v>
      </c>
    </row>
    <row r="14914" spans="1:5" x14ac:dyDescent="0.55000000000000004">
      <c r="A14914" t="s">
        <v>14995</v>
      </c>
      <c r="B14914" t="s">
        <v>137</v>
      </c>
      <c r="C14914" s="2">
        <v>45232</v>
      </c>
      <c r="D14914" t="s">
        <v>26</v>
      </c>
      <c r="E14914">
        <v>453</v>
      </c>
    </row>
    <row r="14915" spans="1:5" x14ac:dyDescent="0.55000000000000004">
      <c r="A14915" t="s">
        <v>14996</v>
      </c>
      <c r="B14915" t="s">
        <v>115</v>
      </c>
      <c r="C14915" s="2">
        <v>43547</v>
      </c>
      <c r="D14915" t="s">
        <v>26</v>
      </c>
      <c r="E14915">
        <v>645</v>
      </c>
    </row>
    <row r="14916" spans="1:5" x14ac:dyDescent="0.55000000000000004">
      <c r="A14916" t="s">
        <v>14997</v>
      </c>
      <c r="B14916" t="s">
        <v>84</v>
      </c>
      <c r="C14916" s="2">
        <v>44453</v>
      </c>
      <c r="D14916" t="s">
        <v>26</v>
      </c>
      <c r="E14916">
        <v>2453</v>
      </c>
    </row>
    <row r="14917" spans="1:5" x14ac:dyDescent="0.55000000000000004">
      <c r="A14917" t="s">
        <v>14998</v>
      </c>
      <c r="B14917" t="s">
        <v>101</v>
      </c>
      <c r="C14917" s="2">
        <v>44451</v>
      </c>
      <c r="D14917" t="s">
        <v>29</v>
      </c>
      <c r="E14917">
        <v>555</v>
      </c>
    </row>
    <row r="14918" spans="1:5" x14ac:dyDescent="0.55000000000000004">
      <c r="A14918" t="s">
        <v>14999</v>
      </c>
      <c r="B14918" t="s">
        <v>38</v>
      </c>
      <c r="C14918" s="2">
        <v>44673</v>
      </c>
      <c r="D14918" t="s">
        <v>26</v>
      </c>
      <c r="E14918">
        <v>539</v>
      </c>
    </row>
    <row r="14919" spans="1:5" x14ac:dyDescent="0.55000000000000004">
      <c r="A14919" t="s">
        <v>15000</v>
      </c>
      <c r="B14919" t="s">
        <v>115</v>
      </c>
      <c r="C14919" s="2">
        <v>43711</v>
      </c>
      <c r="D14919" t="s">
        <v>29</v>
      </c>
      <c r="E14919">
        <v>2925</v>
      </c>
    </row>
    <row r="14920" spans="1:5" x14ac:dyDescent="0.55000000000000004">
      <c r="A14920" t="s">
        <v>15001</v>
      </c>
      <c r="B14920" t="s">
        <v>23</v>
      </c>
      <c r="C14920" s="2">
        <v>44442</v>
      </c>
      <c r="D14920" t="s">
        <v>26</v>
      </c>
      <c r="E14920">
        <v>2878</v>
      </c>
    </row>
    <row r="14921" spans="1:5" x14ac:dyDescent="0.55000000000000004">
      <c r="A14921" t="s">
        <v>15002</v>
      </c>
      <c r="B14921" t="s">
        <v>76</v>
      </c>
      <c r="C14921" s="2">
        <v>43713</v>
      </c>
      <c r="D14921" t="s">
        <v>26</v>
      </c>
      <c r="E14921">
        <v>315</v>
      </c>
    </row>
    <row r="14922" spans="1:5" x14ac:dyDescent="0.55000000000000004">
      <c r="A14922" t="s">
        <v>15003</v>
      </c>
      <c r="B14922" t="s">
        <v>74</v>
      </c>
      <c r="C14922" s="2">
        <v>43254</v>
      </c>
      <c r="D14922" t="s">
        <v>26</v>
      </c>
      <c r="E14922">
        <v>898</v>
      </c>
    </row>
    <row r="14923" spans="1:5" x14ac:dyDescent="0.55000000000000004">
      <c r="A14923" t="s">
        <v>15004</v>
      </c>
      <c r="B14923" t="s">
        <v>41</v>
      </c>
      <c r="C14923" s="2">
        <v>43877</v>
      </c>
      <c r="D14923" t="s">
        <v>26</v>
      </c>
      <c r="E14923">
        <v>1719</v>
      </c>
    </row>
    <row r="14924" spans="1:5" x14ac:dyDescent="0.55000000000000004">
      <c r="A14924" t="s">
        <v>15005</v>
      </c>
      <c r="B14924" t="s">
        <v>15</v>
      </c>
      <c r="C14924" s="2">
        <v>44104</v>
      </c>
      <c r="D14924" t="s">
        <v>29</v>
      </c>
      <c r="E14924">
        <v>1381</v>
      </c>
    </row>
    <row r="14925" spans="1:5" x14ac:dyDescent="0.55000000000000004">
      <c r="A14925" t="s">
        <v>15006</v>
      </c>
      <c r="B14925" t="s">
        <v>86</v>
      </c>
      <c r="C14925" s="2">
        <v>44198</v>
      </c>
      <c r="D14925" t="s">
        <v>29</v>
      </c>
      <c r="E14925">
        <v>2664</v>
      </c>
    </row>
    <row r="14926" spans="1:5" x14ac:dyDescent="0.55000000000000004">
      <c r="A14926" t="s">
        <v>15007</v>
      </c>
      <c r="B14926" t="s">
        <v>15</v>
      </c>
      <c r="C14926" s="2">
        <v>43420</v>
      </c>
      <c r="D14926" t="s">
        <v>26</v>
      </c>
      <c r="E14926">
        <v>906</v>
      </c>
    </row>
    <row r="14927" spans="1:5" x14ac:dyDescent="0.55000000000000004">
      <c r="A14927" t="s">
        <v>15008</v>
      </c>
      <c r="B14927" t="s">
        <v>99</v>
      </c>
      <c r="C14927" s="2">
        <v>44253</v>
      </c>
      <c r="D14927" t="s">
        <v>29</v>
      </c>
      <c r="E14927">
        <v>2068</v>
      </c>
    </row>
    <row r="14928" spans="1:5" x14ac:dyDescent="0.55000000000000004">
      <c r="A14928" t="s">
        <v>15009</v>
      </c>
      <c r="B14928" t="s">
        <v>156</v>
      </c>
      <c r="C14928" s="2">
        <v>43120</v>
      </c>
      <c r="D14928" t="s">
        <v>29</v>
      </c>
      <c r="E14928">
        <v>986</v>
      </c>
    </row>
    <row r="14929" spans="1:5" x14ac:dyDescent="0.55000000000000004">
      <c r="A14929" t="s">
        <v>15010</v>
      </c>
      <c r="B14929" t="s">
        <v>156</v>
      </c>
      <c r="C14929" s="2">
        <v>43493</v>
      </c>
      <c r="D14929" t="s">
        <v>29</v>
      </c>
      <c r="E14929">
        <v>695</v>
      </c>
    </row>
    <row r="14930" spans="1:5" x14ac:dyDescent="0.55000000000000004">
      <c r="A14930" t="s">
        <v>15011</v>
      </c>
      <c r="B14930" t="s">
        <v>105</v>
      </c>
      <c r="C14930" s="2">
        <v>44559</v>
      </c>
      <c r="D14930" t="s">
        <v>26</v>
      </c>
      <c r="E14930">
        <v>1993</v>
      </c>
    </row>
    <row r="14931" spans="1:5" x14ac:dyDescent="0.55000000000000004">
      <c r="A14931" t="s">
        <v>15012</v>
      </c>
      <c r="B14931" t="s">
        <v>84</v>
      </c>
      <c r="C14931" s="2">
        <v>44273</v>
      </c>
      <c r="D14931" t="s">
        <v>26</v>
      </c>
      <c r="E14931">
        <v>1285</v>
      </c>
    </row>
    <row r="14932" spans="1:5" x14ac:dyDescent="0.55000000000000004">
      <c r="A14932" t="s">
        <v>15013</v>
      </c>
      <c r="B14932" t="s">
        <v>151</v>
      </c>
      <c r="C14932" s="2">
        <v>43966</v>
      </c>
      <c r="D14932" t="s">
        <v>26</v>
      </c>
      <c r="E14932">
        <v>1403</v>
      </c>
    </row>
    <row r="14933" spans="1:5" x14ac:dyDescent="0.55000000000000004">
      <c r="A14933" t="s">
        <v>15014</v>
      </c>
      <c r="B14933" t="s">
        <v>78</v>
      </c>
      <c r="C14933" s="2">
        <v>44970</v>
      </c>
      <c r="D14933" t="s">
        <v>26</v>
      </c>
      <c r="E14933">
        <v>2518</v>
      </c>
    </row>
    <row r="14934" spans="1:5" x14ac:dyDescent="0.55000000000000004">
      <c r="A14934" t="s">
        <v>15015</v>
      </c>
      <c r="B14934" t="s">
        <v>118</v>
      </c>
      <c r="C14934" s="2">
        <v>44573</v>
      </c>
      <c r="D14934" t="s">
        <v>26</v>
      </c>
      <c r="E14934">
        <v>2149</v>
      </c>
    </row>
    <row r="14935" spans="1:5" x14ac:dyDescent="0.55000000000000004">
      <c r="A14935" t="s">
        <v>15016</v>
      </c>
      <c r="B14935" t="s">
        <v>35</v>
      </c>
      <c r="C14935" s="2">
        <v>43971</v>
      </c>
      <c r="D14935" t="s">
        <v>29</v>
      </c>
      <c r="E14935">
        <v>2225</v>
      </c>
    </row>
    <row r="14936" spans="1:5" x14ac:dyDescent="0.55000000000000004">
      <c r="A14936" t="s">
        <v>15017</v>
      </c>
      <c r="B14936" t="s">
        <v>63</v>
      </c>
      <c r="C14936" s="2">
        <v>43730</v>
      </c>
      <c r="D14936" t="s">
        <v>26</v>
      </c>
      <c r="E14936">
        <v>1357</v>
      </c>
    </row>
    <row r="14937" spans="1:5" x14ac:dyDescent="0.55000000000000004">
      <c r="A14937" t="s">
        <v>15018</v>
      </c>
      <c r="B14937" t="s">
        <v>15</v>
      </c>
      <c r="C14937" s="2">
        <v>43924</v>
      </c>
      <c r="D14937" t="s">
        <v>26</v>
      </c>
      <c r="E14937">
        <v>351</v>
      </c>
    </row>
    <row r="14938" spans="1:5" x14ac:dyDescent="0.55000000000000004">
      <c r="A14938" t="s">
        <v>15019</v>
      </c>
      <c r="B14938" t="s">
        <v>14</v>
      </c>
      <c r="C14938" s="2">
        <v>44350</v>
      </c>
      <c r="D14938" t="s">
        <v>29</v>
      </c>
      <c r="E14938">
        <v>757</v>
      </c>
    </row>
    <row r="14939" spans="1:5" x14ac:dyDescent="0.55000000000000004">
      <c r="A14939" t="s">
        <v>15020</v>
      </c>
      <c r="B14939" t="s">
        <v>15</v>
      </c>
      <c r="C14939" s="2">
        <v>43504</v>
      </c>
      <c r="D14939" t="s">
        <v>26</v>
      </c>
      <c r="E14939">
        <v>206</v>
      </c>
    </row>
    <row r="14940" spans="1:5" x14ac:dyDescent="0.55000000000000004">
      <c r="A14940" t="s">
        <v>15021</v>
      </c>
      <c r="B14940" t="s">
        <v>175</v>
      </c>
      <c r="C14940" s="2">
        <v>44992</v>
      </c>
      <c r="D14940" t="s">
        <v>26</v>
      </c>
      <c r="E14940">
        <v>1432</v>
      </c>
    </row>
    <row r="14941" spans="1:5" x14ac:dyDescent="0.55000000000000004">
      <c r="A14941" t="s">
        <v>15022</v>
      </c>
      <c r="B14941" t="s">
        <v>78</v>
      </c>
      <c r="C14941" s="2">
        <v>45352</v>
      </c>
      <c r="D14941" t="s">
        <v>26</v>
      </c>
      <c r="E14941">
        <v>1528</v>
      </c>
    </row>
    <row r="14942" spans="1:5" x14ac:dyDescent="0.55000000000000004">
      <c r="A14942" t="s">
        <v>15023</v>
      </c>
      <c r="B14942" t="s">
        <v>111</v>
      </c>
      <c r="C14942" s="2">
        <v>43605</v>
      </c>
      <c r="D14942" t="s">
        <v>26</v>
      </c>
      <c r="E14942">
        <v>2260</v>
      </c>
    </row>
    <row r="14943" spans="1:5" x14ac:dyDescent="0.55000000000000004">
      <c r="A14943" t="s">
        <v>15024</v>
      </c>
      <c r="B14943" t="s">
        <v>156</v>
      </c>
      <c r="C14943" s="2">
        <v>44131</v>
      </c>
      <c r="D14943" t="s">
        <v>29</v>
      </c>
      <c r="E14943">
        <v>2941</v>
      </c>
    </row>
    <row r="14944" spans="1:5" x14ac:dyDescent="0.55000000000000004">
      <c r="A14944" t="s">
        <v>15025</v>
      </c>
      <c r="B14944" t="s">
        <v>137</v>
      </c>
      <c r="C14944" s="2">
        <v>44973</v>
      </c>
      <c r="D14944" t="s">
        <v>26</v>
      </c>
      <c r="E14944">
        <v>2550</v>
      </c>
    </row>
    <row r="14945" spans="1:5" x14ac:dyDescent="0.55000000000000004">
      <c r="A14945" t="s">
        <v>15026</v>
      </c>
      <c r="B14945" t="s">
        <v>140</v>
      </c>
      <c r="C14945" s="2">
        <v>43441</v>
      </c>
      <c r="D14945" t="s">
        <v>26</v>
      </c>
      <c r="E14945">
        <v>2567</v>
      </c>
    </row>
    <row r="14946" spans="1:5" x14ac:dyDescent="0.55000000000000004">
      <c r="A14946" t="s">
        <v>15027</v>
      </c>
      <c r="B14946" t="s">
        <v>111</v>
      </c>
      <c r="C14946" s="2">
        <v>43204</v>
      </c>
      <c r="D14946" t="s">
        <v>26</v>
      </c>
      <c r="E14946">
        <v>393</v>
      </c>
    </row>
    <row r="14947" spans="1:5" x14ac:dyDescent="0.55000000000000004">
      <c r="A14947" t="s">
        <v>15028</v>
      </c>
      <c r="B14947" t="s">
        <v>96</v>
      </c>
      <c r="C14947" s="2">
        <v>44278</v>
      </c>
      <c r="D14947" t="s">
        <v>26</v>
      </c>
      <c r="E14947">
        <v>2259</v>
      </c>
    </row>
    <row r="14948" spans="1:5" x14ac:dyDescent="0.55000000000000004">
      <c r="A14948" t="s">
        <v>15029</v>
      </c>
      <c r="B14948" t="s">
        <v>156</v>
      </c>
      <c r="C14948" s="2">
        <v>43206</v>
      </c>
      <c r="D14948" t="s">
        <v>29</v>
      </c>
      <c r="E14948">
        <v>2148</v>
      </c>
    </row>
    <row r="14949" spans="1:5" x14ac:dyDescent="0.55000000000000004">
      <c r="A14949" t="s">
        <v>15030</v>
      </c>
      <c r="B14949" t="s">
        <v>96</v>
      </c>
      <c r="C14949" s="2">
        <v>44168</v>
      </c>
      <c r="D14949" t="s">
        <v>26</v>
      </c>
      <c r="E14949">
        <v>2716</v>
      </c>
    </row>
    <row r="14950" spans="1:5" x14ac:dyDescent="0.55000000000000004">
      <c r="A14950" t="s">
        <v>15031</v>
      </c>
      <c r="B14950" t="s">
        <v>105</v>
      </c>
      <c r="C14950" s="2">
        <v>42963</v>
      </c>
      <c r="D14950" t="s">
        <v>26</v>
      </c>
      <c r="E14950">
        <v>2528</v>
      </c>
    </row>
    <row r="14951" spans="1:5" x14ac:dyDescent="0.55000000000000004">
      <c r="A14951" t="s">
        <v>15032</v>
      </c>
      <c r="B14951" t="s">
        <v>74</v>
      </c>
      <c r="C14951" s="2">
        <v>44234</v>
      </c>
      <c r="D14951" t="s">
        <v>29</v>
      </c>
      <c r="E14951">
        <v>705</v>
      </c>
    </row>
    <row r="14952" spans="1:5" x14ac:dyDescent="0.55000000000000004">
      <c r="A14952" t="s">
        <v>15033</v>
      </c>
      <c r="B14952" t="s">
        <v>101</v>
      </c>
      <c r="C14952" s="2">
        <v>43560</v>
      </c>
      <c r="D14952" t="s">
        <v>26</v>
      </c>
      <c r="E14952">
        <v>2677</v>
      </c>
    </row>
    <row r="14953" spans="1:5" x14ac:dyDescent="0.55000000000000004">
      <c r="A14953" t="s">
        <v>15034</v>
      </c>
      <c r="B14953" t="s">
        <v>35</v>
      </c>
      <c r="C14953" s="2">
        <v>44330</v>
      </c>
      <c r="D14953" t="s">
        <v>29</v>
      </c>
      <c r="E14953">
        <v>596</v>
      </c>
    </row>
    <row r="14954" spans="1:5" x14ac:dyDescent="0.55000000000000004">
      <c r="A14954" t="s">
        <v>15035</v>
      </c>
      <c r="B14954" t="s">
        <v>142</v>
      </c>
      <c r="C14954" s="2">
        <v>43556</v>
      </c>
      <c r="D14954" t="s">
        <v>29</v>
      </c>
      <c r="E14954">
        <v>2009</v>
      </c>
    </row>
    <row r="14955" spans="1:5" x14ac:dyDescent="0.55000000000000004">
      <c r="A14955" t="s">
        <v>15036</v>
      </c>
      <c r="B14955" t="s">
        <v>67</v>
      </c>
      <c r="C14955" s="2">
        <v>43921</v>
      </c>
      <c r="D14955" t="s">
        <v>26</v>
      </c>
      <c r="E14955">
        <v>437</v>
      </c>
    </row>
    <row r="14956" spans="1:5" x14ac:dyDescent="0.55000000000000004">
      <c r="A14956" t="s">
        <v>15037</v>
      </c>
      <c r="B14956" t="s">
        <v>156</v>
      </c>
      <c r="C14956" s="2">
        <v>43660</v>
      </c>
      <c r="D14956" t="s">
        <v>29</v>
      </c>
      <c r="E14956">
        <v>561</v>
      </c>
    </row>
    <row r="14957" spans="1:5" x14ac:dyDescent="0.55000000000000004">
      <c r="A14957" t="s">
        <v>15038</v>
      </c>
      <c r="B14957" t="s">
        <v>78</v>
      </c>
      <c r="C14957" s="2">
        <v>44993</v>
      </c>
      <c r="D14957" t="s">
        <v>26</v>
      </c>
      <c r="E14957">
        <v>248</v>
      </c>
    </row>
    <row r="14958" spans="1:5" x14ac:dyDescent="0.55000000000000004">
      <c r="A14958" t="s">
        <v>15039</v>
      </c>
      <c r="B14958" t="s">
        <v>151</v>
      </c>
      <c r="C14958" s="2">
        <v>43040</v>
      </c>
      <c r="D14958" t="s">
        <v>26</v>
      </c>
      <c r="E14958">
        <v>1149</v>
      </c>
    </row>
    <row r="14959" spans="1:5" x14ac:dyDescent="0.55000000000000004">
      <c r="A14959" t="s">
        <v>15040</v>
      </c>
      <c r="B14959" t="s">
        <v>76</v>
      </c>
      <c r="C14959" s="2">
        <v>43733</v>
      </c>
      <c r="D14959" t="s">
        <v>26</v>
      </c>
      <c r="E14959">
        <v>64</v>
      </c>
    </row>
    <row r="14960" spans="1:5" x14ac:dyDescent="0.55000000000000004">
      <c r="A14960" t="s">
        <v>15041</v>
      </c>
      <c r="B14960" t="s">
        <v>14</v>
      </c>
      <c r="C14960" s="2">
        <v>43153</v>
      </c>
      <c r="D14960" t="s">
        <v>26</v>
      </c>
      <c r="E14960">
        <v>863</v>
      </c>
    </row>
    <row r="14961" spans="1:5" x14ac:dyDescent="0.55000000000000004">
      <c r="A14961" t="s">
        <v>15042</v>
      </c>
      <c r="B14961" t="s">
        <v>74</v>
      </c>
      <c r="C14961" s="2">
        <v>43493</v>
      </c>
      <c r="D14961" t="s">
        <v>29</v>
      </c>
      <c r="E14961">
        <v>1238</v>
      </c>
    </row>
    <row r="14962" spans="1:5" x14ac:dyDescent="0.55000000000000004">
      <c r="A14962" t="s">
        <v>15043</v>
      </c>
      <c r="B14962" t="s">
        <v>175</v>
      </c>
      <c r="C14962" s="2">
        <v>44725</v>
      </c>
      <c r="D14962" t="s">
        <v>26</v>
      </c>
      <c r="E14962">
        <v>342</v>
      </c>
    </row>
    <row r="14963" spans="1:5" x14ac:dyDescent="0.55000000000000004">
      <c r="A14963" t="s">
        <v>15044</v>
      </c>
      <c r="B14963" t="s">
        <v>156</v>
      </c>
      <c r="C14963" s="2">
        <v>43425</v>
      </c>
      <c r="D14963" t="s">
        <v>29</v>
      </c>
      <c r="E14963">
        <v>2630</v>
      </c>
    </row>
    <row r="14964" spans="1:5" x14ac:dyDescent="0.55000000000000004">
      <c r="A14964" t="s">
        <v>15045</v>
      </c>
      <c r="B14964" t="s">
        <v>96</v>
      </c>
      <c r="C14964" s="2">
        <v>45522</v>
      </c>
      <c r="D14964" t="s">
        <v>26</v>
      </c>
      <c r="E14964">
        <v>1520</v>
      </c>
    </row>
    <row r="14965" spans="1:5" x14ac:dyDescent="0.55000000000000004">
      <c r="A14965" t="s">
        <v>15046</v>
      </c>
      <c r="B14965" t="s">
        <v>111</v>
      </c>
      <c r="C14965" s="2">
        <v>44276</v>
      </c>
      <c r="D14965" t="s">
        <v>26</v>
      </c>
      <c r="E14965">
        <v>545</v>
      </c>
    </row>
    <row r="14966" spans="1:5" x14ac:dyDescent="0.55000000000000004">
      <c r="A14966" t="s">
        <v>15047</v>
      </c>
      <c r="B14966" t="s">
        <v>94</v>
      </c>
      <c r="C14966" s="2">
        <v>45425</v>
      </c>
      <c r="D14966" t="s">
        <v>29</v>
      </c>
      <c r="E14966">
        <v>96</v>
      </c>
    </row>
    <row r="14967" spans="1:5" x14ac:dyDescent="0.55000000000000004">
      <c r="A14967" t="s">
        <v>15048</v>
      </c>
      <c r="B14967" t="s">
        <v>38</v>
      </c>
      <c r="C14967" s="2">
        <v>44090</v>
      </c>
      <c r="D14967" t="s">
        <v>29</v>
      </c>
      <c r="E14967">
        <v>217</v>
      </c>
    </row>
    <row r="14968" spans="1:5" x14ac:dyDescent="0.55000000000000004">
      <c r="A14968" t="s">
        <v>15049</v>
      </c>
      <c r="B14968" t="s">
        <v>78</v>
      </c>
      <c r="C14968" s="2">
        <v>44718</v>
      </c>
      <c r="D14968" t="s">
        <v>29</v>
      </c>
      <c r="E14968">
        <v>1636</v>
      </c>
    </row>
    <row r="14969" spans="1:5" x14ac:dyDescent="0.55000000000000004">
      <c r="A14969" t="s">
        <v>15050</v>
      </c>
      <c r="B14969" t="s">
        <v>32</v>
      </c>
      <c r="C14969" s="2">
        <v>44799</v>
      </c>
      <c r="D14969" t="s">
        <v>29</v>
      </c>
      <c r="E14969">
        <v>2850</v>
      </c>
    </row>
    <row r="14970" spans="1:5" x14ac:dyDescent="0.55000000000000004">
      <c r="A14970" t="s">
        <v>15051</v>
      </c>
      <c r="B14970" t="s">
        <v>105</v>
      </c>
      <c r="C14970" s="2">
        <v>43636</v>
      </c>
      <c r="D14970" t="s">
        <v>29</v>
      </c>
      <c r="E14970">
        <v>2751</v>
      </c>
    </row>
    <row r="14971" spans="1:5" x14ac:dyDescent="0.55000000000000004">
      <c r="A14971" t="s">
        <v>15052</v>
      </c>
      <c r="B14971" t="s">
        <v>23</v>
      </c>
      <c r="C14971" s="2">
        <v>44724</v>
      </c>
      <c r="D14971" t="s">
        <v>29</v>
      </c>
      <c r="E14971">
        <v>318</v>
      </c>
    </row>
    <row r="14972" spans="1:5" x14ac:dyDescent="0.55000000000000004">
      <c r="A14972" t="s">
        <v>15053</v>
      </c>
      <c r="B14972" t="s">
        <v>74</v>
      </c>
      <c r="C14972" s="2">
        <v>43350</v>
      </c>
      <c r="D14972" t="s">
        <v>29</v>
      </c>
      <c r="E14972">
        <v>63</v>
      </c>
    </row>
    <row r="14973" spans="1:5" x14ac:dyDescent="0.55000000000000004">
      <c r="A14973" t="s">
        <v>15054</v>
      </c>
      <c r="B14973" t="s">
        <v>76</v>
      </c>
      <c r="C14973" s="2">
        <v>45300</v>
      </c>
      <c r="D14973" t="s">
        <v>29</v>
      </c>
      <c r="E14973">
        <v>1187</v>
      </c>
    </row>
    <row r="14974" spans="1:5" x14ac:dyDescent="0.55000000000000004">
      <c r="A14974" t="s">
        <v>15055</v>
      </c>
      <c r="B14974" t="s">
        <v>32</v>
      </c>
      <c r="C14974" s="2">
        <v>44609</v>
      </c>
      <c r="D14974" t="s">
        <v>29</v>
      </c>
      <c r="E14974">
        <v>687</v>
      </c>
    </row>
    <row r="14975" spans="1:5" x14ac:dyDescent="0.55000000000000004">
      <c r="A14975" t="s">
        <v>15056</v>
      </c>
      <c r="B14975" t="s">
        <v>41</v>
      </c>
      <c r="C14975" s="2">
        <v>44746</v>
      </c>
      <c r="D14975" t="s">
        <v>29</v>
      </c>
      <c r="E14975">
        <v>778</v>
      </c>
    </row>
    <row r="14976" spans="1:5" x14ac:dyDescent="0.55000000000000004">
      <c r="A14976" t="s">
        <v>15057</v>
      </c>
      <c r="B14976" t="s">
        <v>151</v>
      </c>
      <c r="C14976" s="2">
        <v>44073</v>
      </c>
      <c r="D14976" t="s">
        <v>29</v>
      </c>
      <c r="E14976">
        <v>2072</v>
      </c>
    </row>
    <row r="14977" spans="1:5" x14ac:dyDescent="0.55000000000000004">
      <c r="A14977" t="s">
        <v>15058</v>
      </c>
      <c r="B14977" t="s">
        <v>14</v>
      </c>
      <c r="C14977" s="2">
        <v>42999</v>
      </c>
      <c r="D14977" t="s">
        <v>29</v>
      </c>
      <c r="E14977">
        <v>463</v>
      </c>
    </row>
    <row r="14978" spans="1:5" x14ac:dyDescent="0.55000000000000004">
      <c r="A14978" t="s">
        <v>15059</v>
      </c>
      <c r="B14978" t="s">
        <v>115</v>
      </c>
      <c r="C14978" s="2">
        <v>44178</v>
      </c>
      <c r="D14978" t="s">
        <v>29</v>
      </c>
      <c r="E14978">
        <v>2044</v>
      </c>
    </row>
    <row r="14979" spans="1:5" x14ac:dyDescent="0.55000000000000004">
      <c r="A14979" t="s">
        <v>15060</v>
      </c>
      <c r="B14979" t="s">
        <v>111</v>
      </c>
      <c r="C14979" s="2">
        <v>43014</v>
      </c>
      <c r="D14979" t="s">
        <v>29</v>
      </c>
      <c r="E14979">
        <v>2600</v>
      </c>
    </row>
    <row r="14980" spans="1:5" x14ac:dyDescent="0.55000000000000004">
      <c r="A14980" t="s">
        <v>15061</v>
      </c>
      <c r="B14980" t="s">
        <v>105</v>
      </c>
      <c r="C14980" s="2">
        <v>43179</v>
      </c>
      <c r="D14980" t="s">
        <v>26</v>
      </c>
      <c r="E14980">
        <v>389</v>
      </c>
    </row>
    <row r="14981" spans="1:5" x14ac:dyDescent="0.55000000000000004">
      <c r="A14981" t="s">
        <v>15062</v>
      </c>
      <c r="B14981" t="s">
        <v>74</v>
      </c>
      <c r="C14981" s="2">
        <v>43211</v>
      </c>
      <c r="D14981" t="s">
        <v>29</v>
      </c>
      <c r="E14981">
        <v>33</v>
      </c>
    </row>
    <row r="14982" spans="1:5" x14ac:dyDescent="0.55000000000000004">
      <c r="A14982" t="s">
        <v>15063</v>
      </c>
      <c r="B14982" t="s">
        <v>78</v>
      </c>
      <c r="C14982" s="2">
        <v>44620</v>
      </c>
      <c r="D14982" t="s">
        <v>26</v>
      </c>
      <c r="E14982">
        <v>526</v>
      </c>
    </row>
    <row r="14983" spans="1:5" x14ac:dyDescent="0.55000000000000004">
      <c r="A14983" t="s">
        <v>15064</v>
      </c>
      <c r="B14983" t="s">
        <v>41</v>
      </c>
      <c r="C14983" s="2">
        <v>44587</v>
      </c>
      <c r="D14983" t="s">
        <v>26</v>
      </c>
      <c r="E14983">
        <v>964</v>
      </c>
    </row>
    <row r="14984" spans="1:5" x14ac:dyDescent="0.55000000000000004">
      <c r="A14984" t="s">
        <v>15065</v>
      </c>
      <c r="B14984" t="s">
        <v>35</v>
      </c>
      <c r="C14984" s="2">
        <v>44114</v>
      </c>
      <c r="D14984" t="s">
        <v>26</v>
      </c>
      <c r="E14984">
        <v>2260</v>
      </c>
    </row>
    <row r="14985" spans="1:5" x14ac:dyDescent="0.55000000000000004">
      <c r="A14985" t="s">
        <v>15066</v>
      </c>
      <c r="B14985" t="s">
        <v>74</v>
      </c>
      <c r="C14985" s="2">
        <v>43540</v>
      </c>
      <c r="D14985" t="s">
        <v>26</v>
      </c>
      <c r="E14985">
        <v>869</v>
      </c>
    </row>
    <row r="14986" spans="1:5" x14ac:dyDescent="0.55000000000000004">
      <c r="A14986" t="s">
        <v>15067</v>
      </c>
      <c r="B14986" t="s">
        <v>115</v>
      </c>
      <c r="C14986" s="2">
        <v>43749</v>
      </c>
      <c r="D14986" t="s">
        <v>26</v>
      </c>
      <c r="E14986">
        <v>1766</v>
      </c>
    </row>
    <row r="14987" spans="1:5" x14ac:dyDescent="0.55000000000000004">
      <c r="A14987" t="s">
        <v>15068</v>
      </c>
      <c r="B14987" t="s">
        <v>101</v>
      </c>
      <c r="C14987" s="2">
        <v>44429</v>
      </c>
      <c r="D14987" t="s">
        <v>29</v>
      </c>
      <c r="E14987">
        <v>1259</v>
      </c>
    </row>
    <row r="14988" spans="1:5" x14ac:dyDescent="0.55000000000000004">
      <c r="A14988" t="s">
        <v>15069</v>
      </c>
      <c r="B14988" t="s">
        <v>38</v>
      </c>
      <c r="C14988" s="2">
        <v>44460</v>
      </c>
      <c r="D14988" t="s">
        <v>29</v>
      </c>
      <c r="E14988">
        <v>2384</v>
      </c>
    </row>
    <row r="14989" spans="1:5" x14ac:dyDescent="0.55000000000000004">
      <c r="A14989" t="s">
        <v>15070</v>
      </c>
      <c r="B14989" t="s">
        <v>96</v>
      </c>
      <c r="C14989" s="2">
        <v>43628</v>
      </c>
      <c r="D14989" t="s">
        <v>29</v>
      </c>
      <c r="E14989">
        <v>468</v>
      </c>
    </row>
    <row r="14990" spans="1:5" x14ac:dyDescent="0.55000000000000004">
      <c r="A14990" t="s">
        <v>15071</v>
      </c>
      <c r="B14990" t="s">
        <v>115</v>
      </c>
      <c r="C14990" s="2">
        <v>44153</v>
      </c>
      <c r="D14990" t="s">
        <v>29</v>
      </c>
      <c r="E14990">
        <v>278</v>
      </c>
    </row>
    <row r="14991" spans="1:5" x14ac:dyDescent="0.55000000000000004">
      <c r="A14991" t="s">
        <v>15072</v>
      </c>
      <c r="B14991" t="s">
        <v>137</v>
      </c>
      <c r="C14991" s="2">
        <v>43916</v>
      </c>
      <c r="D14991" t="s">
        <v>26</v>
      </c>
      <c r="E14991">
        <v>1515</v>
      </c>
    </row>
    <row r="14992" spans="1:5" x14ac:dyDescent="0.55000000000000004">
      <c r="A14992" t="s">
        <v>15073</v>
      </c>
      <c r="B14992" t="s">
        <v>96</v>
      </c>
      <c r="C14992" s="2">
        <v>45698</v>
      </c>
      <c r="D14992" t="s">
        <v>29</v>
      </c>
      <c r="E14992">
        <v>525</v>
      </c>
    </row>
    <row r="14993" spans="1:5" x14ac:dyDescent="0.55000000000000004">
      <c r="A14993" t="s">
        <v>15074</v>
      </c>
      <c r="B14993" t="s">
        <v>63</v>
      </c>
      <c r="C14993" s="2">
        <v>44110</v>
      </c>
      <c r="D14993" t="s">
        <v>26</v>
      </c>
      <c r="E14993">
        <v>807</v>
      </c>
    </row>
    <row r="14994" spans="1:5" x14ac:dyDescent="0.55000000000000004">
      <c r="A14994" t="s">
        <v>15075</v>
      </c>
      <c r="B14994" t="s">
        <v>96</v>
      </c>
      <c r="C14994" s="2">
        <v>43947</v>
      </c>
      <c r="D14994" t="s">
        <v>29</v>
      </c>
      <c r="E14994">
        <v>2650</v>
      </c>
    </row>
    <row r="14995" spans="1:5" x14ac:dyDescent="0.55000000000000004">
      <c r="A14995" t="s">
        <v>15076</v>
      </c>
      <c r="B14995" t="s">
        <v>86</v>
      </c>
      <c r="C14995" s="2">
        <v>43973</v>
      </c>
      <c r="D14995" t="s">
        <v>29</v>
      </c>
      <c r="E14995">
        <v>42</v>
      </c>
    </row>
    <row r="14996" spans="1:5" x14ac:dyDescent="0.55000000000000004">
      <c r="A14996" t="s">
        <v>15077</v>
      </c>
      <c r="B14996" t="s">
        <v>105</v>
      </c>
      <c r="C14996" s="2">
        <v>43740</v>
      </c>
      <c r="D14996" t="s">
        <v>29</v>
      </c>
      <c r="E14996">
        <v>533</v>
      </c>
    </row>
    <row r="14997" spans="1:5" x14ac:dyDescent="0.55000000000000004">
      <c r="A14997" t="s">
        <v>15078</v>
      </c>
      <c r="B14997" t="s">
        <v>151</v>
      </c>
      <c r="C14997" s="2">
        <v>43742</v>
      </c>
      <c r="D14997" t="s">
        <v>26</v>
      </c>
      <c r="E14997">
        <v>2965</v>
      </c>
    </row>
    <row r="14998" spans="1:5" x14ac:dyDescent="0.55000000000000004">
      <c r="A14998" t="s">
        <v>15079</v>
      </c>
      <c r="B14998" t="s">
        <v>175</v>
      </c>
      <c r="C14998" s="2">
        <v>44704</v>
      </c>
      <c r="D14998" t="s">
        <v>29</v>
      </c>
      <c r="E14998">
        <v>2086</v>
      </c>
    </row>
    <row r="14999" spans="1:5" x14ac:dyDescent="0.55000000000000004">
      <c r="A14999" t="s">
        <v>15080</v>
      </c>
      <c r="B14999" t="s">
        <v>99</v>
      </c>
      <c r="C14999" s="2">
        <v>44635</v>
      </c>
      <c r="D14999" t="s">
        <v>29</v>
      </c>
      <c r="E14999">
        <v>2378</v>
      </c>
    </row>
    <row r="15000" spans="1:5" x14ac:dyDescent="0.55000000000000004">
      <c r="A15000" t="s">
        <v>15081</v>
      </c>
      <c r="B15000" t="s">
        <v>76</v>
      </c>
      <c r="C15000" s="2">
        <v>44311</v>
      </c>
      <c r="D15000" t="s">
        <v>29</v>
      </c>
      <c r="E15000">
        <v>283</v>
      </c>
    </row>
    <row r="15001" spans="1:5" x14ac:dyDescent="0.55000000000000004">
      <c r="A15001" t="s">
        <v>15082</v>
      </c>
      <c r="B15001" t="s">
        <v>137</v>
      </c>
      <c r="C15001" s="2">
        <v>44617</v>
      </c>
      <c r="D15001" t="s">
        <v>29</v>
      </c>
      <c r="E15001">
        <v>2649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55000000000000004"/>
  <sheetData>
    <row r="1" spans="1:3" x14ac:dyDescent="0.55000000000000004">
      <c r="A1" s="1" t="s">
        <v>15083</v>
      </c>
      <c r="B1" s="1" t="s">
        <v>15084</v>
      </c>
      <c r="C1" s="1" t="s">
        <v>15085</v>
      </c>
    </row>
    <row r="2" spans="1:3" x14ac:dyDescent="0.55000000000000004">
      <c r="A2" t="s">
        <v>15086</v>
      </c>
      <c r="B2">
        <f ca="1">COUNTIF(CALCULATOR!H2:H15001,"&gt;10000")</f>
        <v>0</v>
      </c>
      <c r="C2" t="str">
        <f ca="1">IF(B2=0,"PASS","FAIL")</f>
        <v>PASS</v>
      </c>
    </row>
    <row r="3" spans="1:3" x14ac:dyDescent="0.55000000000000004">
      <c r="A3" t="s">
        <v>15087</v>
      </c>
      <c r="B3">
        <f ca="1">COUNTBLANK(CALCULATOR!H2:H15001)</f>
        <v>13002</v>
      </c>
      <c r="C3" t="str">
        <f ca="1">IF(B3=0,"PASS","FAIL")</f>
        <v>FAIL</v>
      </c>
    </row>
    <row r="4" spans="1:3" x14ac:dyDescent="0.55000000000000004">
      <c r="A4" t="s">
        <v>15088</v>
      </c>
      <c r="B4">
        <f ca="1">COUNTIF(CALCULATOR!H2:H15001,"&gt;"&amp;CALCULATOR!F2:F15001)</f>
        <v>0</v>
      </c>
      <c r="C4" t="str">
        <f ca="1">IF(B4=0,"PASS","FAIL")</f>
        <v>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CBIC_Late_Fee_Relief_Windows_1</vt:lpstr>
      <vt:lpstr>CALCULATOR</vt:lpstr>
      <vt:lpstr>TEST_DATA</vt:lpstr>
      <vt:lpstr>ASSERTIONS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k35077</cp:lastModifiedBy>
  <dcterms:created xsi:type="dcterms:W3CDTF">2026-01-10T15:54:14Z</dcterms:created>
  <dcterms:modified xsi:type="dcterms:W3CDTF">2026-01-12T06:59:32Z</dcterms:modified>
</cp:coreProperties>
</file>